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drawings/drawing13.xml" ContentType="application/vnd.openxmlformats-officedocument.drawing+xml"/>
  <Override PartName="/xl/ctrlProps/ctrlProp40.xml" ContentType="application/vnd.ms-excel.controlproperties+xml"/>
  <Override PartName="/xl/drawings/drawing14.xml" ContentType="application/vnd.openxmlformats-officedocument.drawing+xml"/>
  <Override PartName="/xl/ctrlProps/ctrlProp41.xml" ContentType="application/vnd.ms-excel.controlproperties+xml"/>
  <Override PartName="/xl/drawings/drawing1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7.xml" ContentType="application/vnd.openxmlformats-officedocument.spreadsheetml.comments+xml"/>
  <Override PartName="/xl/drawings/drawing1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19.xml" ContentType="application/vnd.openxmlformats-officedocument.drawing+xml"/>
  <Override PartName="/xl/ctrlProps/ctrlProp101.xml" ContentType="application/vnd.ms-excel.controlproperties+xml"/>
  <Override PartName="/xl/drawings/drawing20.xml" ContentType="application/vnd.openxmlformats-officedocument.drawing+xml"/>
  <Override PartName="/xl/embeddings/oleObject1.bin" ContentType="application/vnd.openxmlformats-officedocument.oleObject"/>
  <Override PartName="/xl/drawings/drawing21.xml" ContentType="application/vnd.openxmlformats-officedocument.drawing+xml"/>
  <Override PartName="/xl/ctrlProps/ctrlProp102.xml" ContentType="application/vnd.ms-excel.controlproperties+xml"/>
  <Override PartName="/xl/drawings/drawing22.xml" ContentType="application/vnd.openxmlformats-officedocument.drawing+xml"/>
  <Override PartName="/xl/ctrlProps/ctrlProp103.xml" ContentType="application/vnd.ms-excel.controlproperties+xml"/>
  <Override PartName="/xl/drawings/drawing23.xml" ContentType="application/vnd.openxmlformats-officedocument.drawing+xml"/>
  <Override PartName="/xl/ctrlProps/ctrlProp104.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Leo\Documents\My Games\Tabletop\Saga Edition\"/>
    </mc:Choice>
  </mc:AlternateContent>
  <xr:revisionPtr revIDLastSave="0" documentId="13_ncr:1_{26453CE2-5B6A-4E49-847F-CFBB649FA565}" xr6:coauthVersionLast="47" xr6:coauthVersionMax="47" xr10:uidLastSave="{00000000-0000-0000-0000-000000000000}"/>
  <bookViews>
    <workbookView xWindow="-110" yWindow="-110" windowWidth="19420" windowHeight="10420" tabRatio="799" xr2:uid="{00000000-000D-0000-FFFF-FFFF00000000}"/>
  </bookViews>
  <sheets>
    <sheet name="Intro" sheetId="1" r:id="rId1"/>
    <sheet name="Instructions" sheetId="25" r:id="rId2"/>
    <sheet name="Beasts" sheetId="28" state="hidden" r:id="rId3"/>
    <sheet name="Droids" sheetId="23" state="hidden" r:id="rId4"/>
    <sheet name="Near-Humans" sheetId="34" r:id="rId5"/>
    <sheet name="Character &amp; Species" sheetId="2" r:id="rId6"/>
    <sheet name="Feats" sheetId="7" r:id="rId7"/>
    <sheet name="Class" sheetId="4" r:id="rId8"/>
    <sheet name="Skills" sheetId="6" r:id="rId9"/>
    <sheet name="Data" sheetId="5" state="hidden" r:id="rId10"/>
    <sheet name="Lists" sheetId="14" state="hidden" r:id="rId11"/>
    <sheet name="Talents" sheetId="9" r:id="rId12"/>
    <sheet name="Talents 2" sheetId="20" r:id="rId13"/>
    <sheet name="The Force" sheetId="15" r:id="rId14"/>
    <sheet name="ForcePowerCards" sheetId="31" state="hidden" r:id="rId15"/>
    <sheet name="Regimens-Tactics-Unleashed" sheetId="24" r:id="rId16"/>
    <sheet name="Languages" sheetId="16" r:id="rId17"/>
    <sheet name="Armor and Defenses" sheetId="8" r:id="rId18"/>
    <sheet name="Weapons" sheetId="21" r:id="rId19"/>
    <sheet name="Equipment" sheetId="17" r:id="rId20"/>
    <sheet name="Cybernetics and Biotech" sheetId="12" r:id="rId21"/>
    <sheet name="Bonuses" sheetId="22" r:id="rId22"/>
    <sheet name="Destiny Completed" sheetId="29" r:id="rId23"/>
    <sheet name="Character Sheet 1" sheetId="10" r:id="rId24"/>
    <sheet name="Character Sheet 2" sheetId="11" r:id="rId25"/>
    <sheet name="Weapons Cheat Sheet" sheetId="18" r:id="rId26"/>
    <sheet name="Stat Block" sheetId="19" r:id="rId27"/>
    <sheet name="Weapons Cheat Sheet (2)" sheetId="26" state="hidden" r:id="rId28"/>
    <sheet name="old Weapons" sheetId="13" state="hidden" r:id="rId29"/>
    <sheet name="NewStatBlockRef" sheetId="30" state="hidden" r:id="rId30"/>
    <sheet name="Force Power Descriptions" sheetId="33" state="hidden" r:id="rId31"/>
  </sheets>
  <functionGroups builtInGroupCount="19"/>
  <definedNames>
    <definedName name="AbilityScoreList">'Character &amp; Species'!$C$21:$C$26</definedName>
    <definedName name="AbilityScoresTable">'Character &amp; Species'!$C$21:$O$26</definedName>
    <definedName name="Academic">Lists!$GP$14:$GR$14</definedName>
    <definedName name="AcademicSkill">Skills!$AM$4</definedName>
    <definedName name="Ace_Pilot">Talents!$C$770</definedName>
    <definedName name="Acrobatics">Skills!$O$11</definedName>
    <definedName name="AgeTable">Data!$A$3:$G$8</definedName>
    <definedName name="Alderaan">Lists!$GP$25:$GR$25</definedName>
    <definedName name="AlderaanSkill">Skills!$AX$4</definedName>
    <definedName name="AllLevels">Class!$D$6:$D$25</definedName>
    <definedName name="ArkanianOffshootAbility">'Character &amp; Species'!$T$21</definedName>
    <definedName name="ArkanianSkillFocus">'Character &amp; Species'!$T$22</definedName>
    <definedName name="ArmorAccessoriesEnd">Data!$HN$51</definedName>
    <definedName name="ArmorAccessoriesList">ArmorAccessoriesStart:ArmorAccessoriesEnd</definedName>
    <definedName name="ArmorAccessoriesStart">Data!$HN$2</definedName>
    <definedName name="ArmorAccessoriesTable">ArmorAccessoriesStart:ArmorAccessoriesTableEnd</definedName>
    <definedName name="ArmorAccessoriesTableEnd">Data!$HT$51</definedName>
    <definedName name="ArmorAvailability">'Armor and Defenses'!$D$18</definedName>
    <definedName name="ArmorAvailabilityOverride">'Armor and Defenses'!$F$18</definedName>
    <definedName name="ArmorCharismaBonus">'Armor and Defenses'!$D$58</definedName>
    <definedName name="ArmorConstitutionBonus">'Armor and Defenses'!$D$55</definedName>
    <definedName name="ArmorCost">'Armor and Defenses'!$F$3</definedName>
    <definedName name="ArmorDexterityBonus">'Armor and Defenses'!$D$54</definedName>
    <definedName name="ArmorFortBonus">'Armor and Defenses'!$D$14</definedName>
    <definedName name="ArmorFortitudeBonusOverride">'Armor and Defenses'!$F$14</definedName>
    <definedName name="ArmorHelmet">'Armor and Defenses'!$C$48</definedName>
    <definedName name="ArmorIntelligenceBonus">'Armor and Defenses'!$D$56</definedName>
    <definedName name="ArmorList">ArmorListStart:ArmorListEnd</definedName>
    <definedName name="ArmorListEnd">Data!$DC$99</definedName>
    <definedName name="ArmorListStart">Data!$DC$2</definedName>
    <definedName name="ArmorMaxDex">'Armor and Defenses'!$D$15</definedName>
    <definedName name="ArmorMaxDexOverride">'Armor and Defenses'!$F$15</definedName>
    <definedName name="ArmorModsInstalledList">'Armor and Defenses'!$J$29:$K$40</definedName>
    <definedName name="ArmorModsStatBlock">'Armor and Defenses'!$Z$20</definedName>
    <definedName name="ArmorMountList">Data!$A$110:$A$111</definedName>
    <definedName name="ArmorPenalty">'Armor and Defenses'!$L$22</definedName>
    <definedName name="ArmorPriceOverride">'Armor and Defenses'!$F$9</definedName>
    <definedName name="ArmorRefBonus">'Armor and Defenses'!$D$13</definedName>
    <definedName name="ArmorReflexBonusOverride">'Armor and Defenses'!$F$13</definedName>
    <definedName name="ArmorSizeList">Data!$A$65:$A$68</definedName>
    <definedName name="ArmorSizeNumList">Data!$C$65:$C$68</definedName>
    <definedName name="ArmorSizeTable">Data!$A$65:$C$68</definedName>
    <definedName name="ArmorSpecial">'Armor and Defenses'!$D$19</definedName>
    <definedName name="ArmorSpeed">'Armor and Defenses'!$D$16</definedName>
    <definedName name="ArmorSpeedOverride">'Armor and Defenses'!$F$16</definedName>
    <definedName name="ArmorStengthBonus">'Armor and Defenses'!$D$53</definedName>
    <definedName name="ArmorTable">ArmorListStart:ArmorTableEnd</definedName>
    <definedName name="ArmorTableEnd">Data!$EM$99</definedName>
    <definedName name="ArmorTechModsList">'Armor and Defenses'!$E$29:$E$37</definedName>
    <definedName name="ArmorTechModsTable">'Armor and Defenses'!$D$29:$E$37</definedName>
    <definedName name="ArmorTemplateList">ArmorTemplatesStart:ArmorTemplatesEnd</definedName>
    <definedName name="ArmorTemplatesEnd">Data!$HD$31</definedName>
    <definedName name="ArmorTemplatesStart">Data!$HD$2</definedName>
    <definedName name="ArmorTemplatesTableEnd">Data!$HH$31</definedName>
    <definedName name="ArmorTemplateTable">ArmorTemplatesStart:ArmorTemplatesTableEnd</definedName>
    <definedName name="ArmorType">'Armor and Defenses'!$D$8</definedName>
    <definedName name="ArmorTypeOverride">'Armor and Defenses'!$F$8</definedName>
    <definedName name="ArmorWeight">'Armor and Defenses'!$D$17</definedName>
    <definedName name="ArmorWeightOverride">'Armor and Defenses'!$F$17</definedName>
    <definedName name="ArmorWisdomBonus">'Armor and Defenses'!$D$57</definedName>
    <definedName name="ArmorWorn">'Armor and Defenses'!$D$6</definedName>
    <definedName name="ArmorWornName">'Armor and Defenses'!$D$5</definedName>
    <definedName name="Assassin">Talents!$C$809</definedName>
    <definedName name="AttackBonus">Bonuses!$D$12</definedName>
    <definedName name="AttackOptionsList">Feats!$AE$8</definedName>
    <definedName name="AttackOptionsStatBlock" localSheetId="30">'Force Power Descriptions'!$AN$5</definedName>
    <definedName name="AttackOptionsStatBlock">'Stat Block'!$AN$5</definedName>
    <definedName name="AttOptionsStatBlock" localSheetId="30">'Force Power Descriptions'!$AU$5</definedName>
    <definedName name="AttOptionsStatBlock">'Stat Block'!$AU$5</definedName>
    <definedName name="AvailabilityList">Data!$B$17:$B$22</definedName>
    <definedName name="AvailabilityTable">Data!$A$17:$F$22</definedName>
    <definedName name="AvailList">Data!$A$17:$A$22</definedName>
    <definedName name="BAB">Class!$I$26</definedName>
    <definedName name="Background">'Character &amp; Species'!$AJ$9</definedName>
    <definedName name="BackgroundData">Lists!$GL$2:$GR$48</definedName>
    <definedName name="BackgroundLanguages">Lists!$GL$25:$GL$48</definedName>
    <definedName name="BackgroundList">Lists!$GL$2:$GL$48</definedName>
    <definedName name="BackgroundNumber">'Character &amp; Species'!$AL$9</definedName>
    <definedName name="Bakura">Lists!$GP$26:$GR$26</definedName>
    <definedName name="BakuraSkill">Skills!$AY$4</definedName>
    <definedName name="BalmorranArms">Droids!$L$10</definedName>
    <definedName name="Bankrupt">Lists!$GP$3:$GR$3</definedName>
    <definedName name="BankruptSkill">Skills!$AB$4</definedName>
    <definedName name="BaseCharisma">'Character &amp; Species'!$D$26</definedName>
    <definedName name="BaseConstitution">'Character &amp; Species'!$D$23</definedName>
    <definedName name="BaseDexterity">'Character &amp; Species'!$D$22</definedName>
    <definedName name="BaseIntelligence">'Character &amp; Species'!$D$24</definedName>
    <definedName name="BaseMeleeAttack">'old Weapons'!$N$7</definedName>
    <definedName name="BaseRangedAttack">'old Weapons'!$P$7</definedName>
    <definedName name="BaseStrength">'Character &amp; Species'!$D$21</definedName>
    <definedName name="BaseWisdom">'Character &amp; Species'!$D$25</definedName>
    <definedName name="BeastCharisma">Beasts!$I$16</definedName>
    <definedName name="BeastClimb">Beasts!$E$28</definedName>
    <definedName name="BeastConstitution">Beasts!$I$13</definedName>
    <definedName name="BeastDexterity">Beasts!$I$12</definedName>
    <definedName name="BeastFeat1">Beasts!$J$34</definedName>
    <definedName name="BeastFeat2">Beasts!$J$35</definedName>
    <definedName name="BeastFeat3">Beasts!$J$36</definedName>
    <definedName name="BeastFly">Beasts!$E$29</definedName>
    <definedName name="BeastFort">Beasts!$J$7</definedName>
    <definedName name="BeastIntelligence">Beasts!$I$14</definedName>
    <definedName name="BeastNA">Beasts!$E$8</definedName>
    <definedName name="BeastNA1">Beasts!$E$19</definedName>
    <definedName name="BeastNA1Dam">Beasts!$I$19</definedName>
    <definedName name="BeastNA1Type">Beasts!$J$19</definedName>
    <definedName name="BeastNA2">Beasts!$E$20</definedName>
    <definedName name="BeastNA2Dam">Beasts!$I$20</definedName>
    <definedName name="BeastNA2Type">Beasts!$J$20</definedName>
    <definedName name="BeastNA3">Beasts!$E$21</definedName>
    <definedName name="BeastNA3Dam">Beasts!$I$21</definedName>
    <definedName name="BeastNA3Type">Beasts!$J$21</definedName>
    <definedName name="BeastNA4">Beasts!$E$22</definedName>
    <definedName name="BeastNA4Dam">Beasts!$I$22</definedName>
    <definedName name="BeastNA4Type">Beasts!$J$22</definedName>
    <definedName name="BeastNA5">Beasts!$E$23</definedName>
    <definedName name="BeastNA5Dam">Beasts!$I$23</definedName>
    <definedName name="BeastNA5Type">Beasts!$J$23</definedName>
    <definedName name="BeastRef">Beasts!$J$6</definedName>
    <definedName name="BeastSF1">Beasts!$J$26</definedName>
    <definedName name="BeastSF2">Beasts!$J$27</definedName>
    <definedName name="BeastSF3">Beasts!$J$28</definedName>
    <definedName name="BeastSize">Beasts!$H$25</definedName>
    <definedName name="BeastSizeAbilitiesTable">Data!$A$175:$D$183</definedName>
    <definedName name="BeastSkill">Skills!$Y$4</definedName>
    <definedName name="BeastSpecies">Beasts!$E$6</definedName>
    <definedName name="BeastSpeed">Beasts!$E$27</definedName>
    <definedName name="BeastST1">Beasts!$J$30</definedName>
    <definedName name="BeastST2">Beasts!$J$31</definedName>
    <definedName name="BeastST3">Beasts!$J$32</definedName>
    <definedName name="BeastStrength">Beasts!$I$11</definedName>
    <definedName name="BeastSwim">Beasts!$E$30</definedName>
    <definedName name="BeastTrait1">Beasts!$E$32</definedName>
    <definedName name="BeastTrait2">Beasts!$E$33</definedName>
    <definedName name="BeastTrait3">Beasts!$E$34</definedName>
    <definedName name="BeastTrait4">Beasts!$E$35</definedName>
    <definedName name="BeastTrait5">Beasts!$E$36</definedName>
    <definedName name="BeastWill">Beasts!$J$8</definedName>
    <definedName name="BeastWisdom">Beasts!$I$15</definedName>
    <definedName name="Bespin">Lists!$GP$27:$GR$27</definedName>
    <definedName name="BespinSkill">Skills!$AZ$4</definedName>
    <definedName name="BF">'Stat Block'!$I$1</definedName>
    <definedName name="BGAcrobatics">Skills!$H$11</definedName>
    <definedName name="BGClimb">Skills!$H$12</definedName>
    <definedName name="BGDeception">Skills!$H$13</definedName>
    <definedName name="BGEndurance">Skills!$H$14</definedName>
    <definedName name="BGGatherInformation">Skills!$H$15</definedName>
    <definedName name="BGInitiatve">Skills!$H$16</definedName>
    <definedName name="BGJump">Skills!$H$17</definedName>
    <definedName name="BGKnowledgeBureaucracy">Skills!$H$18</definedName>
    <definedName name="BGKnowledgeGalacticLore">Skills!$H$19</definedName>
    <definedName name="BGKnowledgeLifeSciences">Skills!$H$20</definedName>
    <definedName name="BGKnowledgePhysicalSciences">Skills!$H$21</definedName>
    <definedName name="BGKnowledgeSocialSciences">Skills!$H$22</definedName>
    <definedName name="BGKnowledgeTactics">Skills!$H$23</definedName>
    <definedName name="BGKnowledgeTechnology">Skills!$H$24</definedName>
    <definedName name="BGMechanics">Skills!$H$25</definedName>
    <definedName name="BGPerception">Skills!$H$26</definedName>
    <definedName name="BGPersuasion">Skills!$H$27</definedName>
    <definedName name="BGPilot">Skills!$H$28</definedName>
    <definedName name="BGRide">Skills!$H$29</definedName>
    <definedName name="BGStealth">Skills!$H$30</definedName>
    <definedName name="BGSurvival">Skills!$H$31</definedName>
    <definedName name="BGSwim">Skills!$H$32</definedName>
    <definedName name="BGTreatInjury">Skills!$H$33</definedName>
    <definedName name="BGUseComputer">Skills!$H$34</definedName>
    <definedName name="BGUsetheForce">Skills!$H$35</definedName>
    <definedName name="Bioimplant">'Cybernetics and Biotech'!$I$10</definedName>
    <definedName name="BonusLanguageTable">Lists!$GL$25:$GN$48</definedName>
    <definedName name="Bothawui">Lists!$GP$28:$GR$28</definedName>
    <definedName name="BothawuiSkill">Skills!$BA$4</definedName>
    <definedName name="Bounty_Hunter">Talents!$C$822</definedName>
    <definedName name="BS">'Stat Block'!$H$1</definedName>
    <definedName name="Campaign">'Character &amp; Species'!$D$14</definedName>
    <definedName name="Celebrity">Lists!$GP$15:$GR$15</definedName>
    <definedName name="CelebritySkill">Skills!$AN$4</definedName>
    <definedName name="Cerea">Lists!$GP$29:$GR$29</definedName>
    <definedName name="CereaSkill">Skills!$BB$4</definedName>
    <definedName name="ChaAgeMod">Data!$G$9</definedName>
    <definedName name="ChaMod">'Character &amp; Species'!$O$26</definedName>
    <definedName name="CharacterAge">'Character &amp; Species'!$D$8</definedName>
    <definedName name="CharacterEyes">'Character &amp; Species'!$D$12</definedName>
    <definedName name="CharacterGender">'Character &amp; Species'!$D$13</definedName>
    <definedName name="CharacterHair">'Character &amp; Species'!$D$11</definedName>
    <definedName name="CharacterHeight">'Character &amp; Species'!$D$9</definedName>
    <definedName name="CharacterLevel">Class!$H$26</definedName>
    <definedName name="CharacterName">'Character &amp; Species'!$D$7</definedName>
    <definedName name="CharacterWeight">'Character &amp; Species'!$D$10</definedName>
    <definedName name="Charisma">'Character &amp; Species'!$N$26</definedName>
    <definedName name="CharismaBonus">Bonuses!$D$10</definedName>
    <definedName name="Charlatan">Talents!$C$851</definedName>
    <definedName name="ClassFeatBonus">Bonuses!$D$20</definedName>
    <definedName name="ClassFort">Class!$K$26</definedName>
    <definedName name="ClassList">ClassListStart:ClassListEnd</definedName>
    <definedName name="ClassList427">Data!$H$70:$H$78</definedName>
    <definedName name="ClassListBase">Data!$A$70:$A$77</definedName>
    <definedName name="ClassListEnd">Data!$BX$43</definedName>
    <definedName name="ClassListID">Data!$B$70:$B$78</definedName>
    <definedName name="ClassListStart">Data!$BX$3</definedName>
    <definedName name="ClassRef">Class!$J$26</definedName>
    <definedName name="ClassSpecials">Data!$DB$2</definedName>
    <definedName name="ClassTable">ClassListStart:ClassTableEnd</definedName>
    <definedName name="ClassTableEnd">Data!$CY$43</definedName>
    <definedName name="ClassTalentsTakenList">Talents!$AF$6</definedName>
    <definedName name="ClassTalentTakenDropdown">Talents!$AG$7:$AG$15</definedName>
    <definedName name="ClassWill">Class!$L$26</definedName>
    <definedName name="Climb">Skills!$O$12</definedName>
    <definedName name="CloneHeroAbility">'Character &amp; Species'!$T$25</definedName>
    <definedName name="ConAgeMod">Data!$D$9</definedName>
    <definedName name="ConcealItemList">Data!$A$114:$A$121</definedName>
    <definedName name="ConcealItemTable">Data!$A$114:$C$121</definedName>
    <definedName name="ConMod">'Character &amp; Species'!$O$23</definedName>
    <definedName name="Conspiracy">Lists!$GP$4:$GR$4</definedName>
    <definedName name="ConspiracySkill">Skills!$AC$4</definedName>
    <definedName name="Constitution">'Character &amp; Species'!$N$23</definedName>
    <definedName name="ConstitutionBonus">Bonuses!$D$7</definedName>
    <definedName name="Corellia">Lists!$GP$30:$GR$30</definedName>
    <definedName name="CorelliaSkill">Skills!$BC$4</definedName>
    <definedName name="Corporate_Agent">Talents!$C$857</definedName>
    <definedName name="Coruscant">Lists!$GP$31:$GR$31</definedName>
    <definedName name="CoruscantSkill">Skills!$BD$4</definedName>
    <definedName name="Credits">Equipment!$G$3</definedName>
    <definedName name="Crime_Lord">Talents!$C$864</definedName>
    <definedName name="Criminal">Lists!$GP$16:$GR$16</definedName>
    <definedName name="CriminalSkill">Skills!$AO$4</definedName>
    <definedName name="Crippled">Lists!$GP$5:$GR$5</definedName>
    <definedName name="CrippledSkill">Skills!$AD$4</definedName>
    <definedName name="CurrentClass">Class!$N$26</definedName>
    <definedName name="CurrentDestiny">'Character &amp; Species'!$M$8</definedName>
    <definedName name="CustomTrait1">Beasts!$C$41</definedName>
    <definedName name="CustomTrait1Desc">Beasts!$E$41</definedName>
    <definedName name="CustomTrait2">Beasts!$C$42</definedName>
    <definedName name="CustomTrait2Desc">Beasts!$E$42</definedName>
    <definedName name="CustomTrait3">Beasts!$C$43</definedName>
    <definedName name="CustomTrait3Desc">Beasts!$E$43</definedName>
    <definedName name="CustomTrait4">Beasts!$C$44</definedName>
    <definedName name="CustomTrait4Desc">Beasts!$E$44</definedName>
    <definedName name="CustomTrait5">Beasts!$C$45</definedName>
    <definedName name="CustomTrait5Desc">Beasts!$E$45</definedName>
    <definedName name="Cyborg">Intro!$K$15</definedName>
    <definedName name="DamageBonus">Bonuses!$D$13</definedName>
    <definedName name="DamageReduction">'Armor and Defenses'!$L$23</definedName>
    <definedName name="DamageThreshold">'Character Sheet 1'!$BY$88</definedName>
    <definedName name="DarkArmorList">Lists!$CP$2:$CP$5</definedName>
    <definedName name="DarkArmorTable">Lists!$CP$2:$CQ$5</definedName>
    <definedName name="Deception">Skills!$O$13</definedName>
    <definedName name="DefensesList">Feats!$AG$8</definedName>
    <definedName name="DestinyCompleted">'Destiny Completed'!$F$3</definedName>
    <definedName name="DestinyList">Lists!$AD$2:$AD$90</definedName>
    <definedName name="DestinyPoints">'Character &amp; Species'!$M$7</definedName>
    <definedName name="DestinyTable">OFFSET(Lists!$AD$2,0,0,MATCH("*",Lists!$AD:$AD,-1),3)</definedName>
    <definedName name="DexAgeMod">Data!$C$9</definedName>
    <definedName name="DexMod">'Character &amp; Species'!$O$22</definedName>
    <definedName name="Dexterity">'Character &amp; Species'!$N$22</definedName>
    <definedName name="DexterityBonus">Bonuses!$D$6</definedName>
    <definedName name="DieSize">Data!$D$25:$D$33</definedName>
    <definedName name="DieSizeList">Data!$B$51:$B$58</definedName>
    <definedName name="DieSizeNumberList">Data!$A$51:$A$58</definedName>
    <definedName name="DieSizeTable">Data!$A$51:$B$58</definedName>
    <definedName name="Disgraced">Lists!$GP$6:$GR$6</definedName>
    <definedName name="DisgracedSkill">Skills!$AE$4</definedName>
    <definedName name="Dorin">Lists!$GP$32:$GR$32</definedName>
    <definedName name="DorinSkill">Skills!$BE$4</definedName>
    <definedName name="Droid">Droids!$G$3</definedName>
    <definedName name="Droid_Commander">Talents!$C$891</definedName>
    <definedName name="DroidAccessoriesList">Lists!$EL$2:$EL$38</definedName>
    <definedName name="DroidAccessoriesOutput">Droids!$U$44</definedName>
    <definedName name="DroidAccessoriesTable">Lists!$EL$2:$EU$38</definedName>
    <definedName name="DroidAppendageOutput">Droids!$Z$30</definedName>
    <definedName name="DroidAppendages">Lists!$BN$2:$BN$6</definedName>
    <definedName name="DroidAppendagesTable">Lists!$BN$2:$BP$6</definedName>
    <definedName name="DroidArmorAvailability">Droids!$M$27</definedName>
    <definedName name="DroidArmorCost">Droids!$I$27</definedName>
    <definedName name="DroidArmorList">Lists!$BT$3:$BT$19</definedName>
    <definedName name="DroidArmorMaxDex">Droids!$L$27</definedName>
    <definedName name="DroidArmorName">Droids!$G$27</definedName>
    <definedName name="DroidArmorRarity">Droids!$N$27</definedName>
    <definedName name="DroidArmorRef">Droids!$K$27</definedName>
    <definedName name="DroidArmorTable">Lists!$BT$3:$CB$19</definedName>
    <definedName name="DroidArmorType">Droids!$H$27</definedName>
    <definedName name="DroidArmorWeight">Droids!$J$27</definedName>
    <definedName name="DroidBurrowSpeed">Droids!$Z$5</definedName>
    <definedName name="DroidCha">Droids!$N$5</definedName>
    <definedName name="DroidChassisList">Lists!$ED$2:$ED$9</definedName>
    <definedName name="DroidChassisTable">Lists!$ED$2:$EE$9</definedName>
    <definedName name="DroidCostFactor">Droids!$G$8</definedName>
    <definedName name="DroidDegree">Droids!$G$5</definedName>
    <definedName name="DroidDegreeList">Data!$A$80:$A$86</definedName>
    <definedName name="DroidDegreeTable">Data!$A$80:$F$86</definedName>
    <definedName name="DroidDex">Droids!$J$5</definedName>
    <definedName name="DroidFlySpeed">Droids!$X$5</definedName>
    <definedName name="DroidHoverSpeed">Droids!$Y$5</definedName>
    <definedName name="DroidInt">Droids!$L$5</definedName>
    <definedName name="DroidLocomotionAccessoriesOutput">Droids!$U$19</definedName>
    <definedName name="DroidLocomotionList">Data!$A$89:$A$95</definedName>
    <definedName name="DroidLocomotionOutput">Droids!$U$12</definedName>
    <definedName name="DroidLocomotionTable">Data!$A$89:$E$95</definedName>
    <definedName name="DroidManufacturer">Droids!$L$9</definedName>
    <definedName name="DroidManufacturerList">Lists!$EJ$2:$EJ$15</definedName>
    <definedName name="DroidManufacturerTable">Lists!$EJ$2:$EK$15</definedName>
    <definedName name="DroidQuirkList">Lists!$EF$2:$EF$41</definedName>
    <definedName name="DroidQuirkTable">Lists!$EF$2:$EI$41</definedName>
    <definedName name="DroidShield">Droids!$G$83</definedName>
    <definedName name="DroidSize">Droids!$G$7</definedName>
    <definedName name="DroidSpeed">Droids!$T$5</definedName>
    <definedName name="DroidSpeedList">Droids!$Z$12</definedName>
    <definedName name="DroidSRList">Data!$A$98:$A$101</definedName>
    <definedName name="DroidSRTable">Data!$A$98:$D$101</definedName>
    <definedName name="DroidStr">Droids!$I$5</definedName>
    <definedName name="DroidSwimSpeed">Droids!$AA$5</definedName>
    <definedName name="DroidSystemsOutput">Droids!$S$7</definedName>
    <definedName name="DroidTalents">Talents!$C$735</definedName>
    <definedName name="DroidTechList">Droids!$AE$6:$AE$18</definedName>
    <definedName name="DroidTrackedSpeed">Droids!$W$5</definedName>
    <definedName name="DroidTranslatorList">Data!$A$104:$A$107</definedName>
    <definedName name="DroidTranslatorTable">Data!$A$104:$C$107</definedName>
    <definedName name="DroidUnarmedModifier">Droids!$D$31</definedName>
    <definedName name="DroidWalkSpeed">Droids!$U$5</definedName>
    <definedName name="DroidWeightModifier">Droids!$H$8</definedName>
    <definedName name="DroidWheeledSpeed">Droids!$V$5</definedName>
    <definedName name="DroidWis">Droids!$M$5</definedName>
    <definedName name="DSP">'Character &amp; Species'!$M$14</definedName>
    <definedName name="DSTaint">'Character &amp; Species'!$M$15</definedName>
    <definedName name="DualGearList">Lists!$CR$2:$CR$4</definedName>
    <definedName name="DualGearWeapon1">Weapons!$H$60</definedName>
    <definedName name="DualWeap1">Feats!$M$93</definedName>
    <definedName name="DualWeap2">Feats!$M$94</definedName>
    <definedName name="DualWeap3">Feats!$M$95</definedName>
    <definedName name="Duro">Lists!$GP$33:$GR$33</definedName>
    <definedName name="DuroSkill">Skills!$BF$4</definedName>
    <definedName name="Elite_Trooper">Talents!$C$903</definedName>
    <definedName name="EndRace">Data!$J$134</definedName>
    <definedName name="EndRaceTable">Data!$BN$134</definedName>
    <definedName name="Endurance">Skills!$O$14</definedName>
    <definedName name="Enforcer">Talents!$C$956</definedName>
    <definedName name="Enslaved">Lists!$GP$7:$GR$7</definedName>
    <definedName name="EnslavedSkill">Skills!$AF$4</definedName>
    <definedName name="Enter">'Stat Block'!$AA$1</definedName>
    <definedName name="EquipmentAccessoriesList">Lists!$AI$2:$AI$18</definedName>
    <definedName name="EquipmentAccessoriesTable">Lists!$AI$2:$AR$17</definedName>
    <definedName name="EquipmentList">EquipmentListStart:EquipmentListEnd</definedName>
    <definedName name="EquipmentListEnd">Data!$GC$233</definedName>
    <definedName name="EquipmentListStart">Data!$GC$2</definedName>
    <definedName name="EquipmentNameList">Equipment!$O$7</definedName>
    <definedName name="EquipmentNameListStatBlock">Equipment!$R$7</definedName>
    <definedName name="EquipmentNumberList">Equipment!$Q$7</definedName>
    <definedName name="EquipmentNumberListStatBlock">Equipment!$T$7</definedName>
    <definedName name="EquipmentTable">EquipmentListStart:EquipmentTableEnd</definedName>
    <definedName name="EquipmentTableEnd">Data!$GI$233</definedName>
    <definedName name="EquipmentWeightList">Equipment!$P$7</definedName>
    <definedName name="Era">'Character &amp; Species'!$D$15</definedName>
    <definedName name="Executive">Lists!$GP$17:$GR$17</definedName>
    <definedName name="ExecutiveSkill">Skills!$AP$4</definedName>
    <definedName name="Exiled">Lists!$GP$8:$GR$8</definedName>
    <definedName name="ExiledSkill">Skills!$AG$4</definedName>
    <definedName name="ExoticWeaponsList">OFFSET(Lists!$W$2,0,0,MATCH("*",Lists!$W:$W,-1),1)</definedName>
    <definedName name="ExoticWeaponsTable">OFFSET(Lists!$W$2,0,0,MATCH("*",Lists!$W:$W,-1),5)</definedName>
    <definedName name="FAcrobatics">Skills!$G$11</definedName>
    <definedName name="FClimb">Skills!$G$12</definedName>
    <definedName name="FDeception">Skills!$G$13</definedName>
    <definedName name="FeatList">Feats!$C$9:$C$361</definedName>
    <definedName name="FeatsCharacterSheet">'Character Sheet 2'!$CB$171:$FP$225</definedName>
    <definedName name="FeatsEnd">Feats!$H$443:$I$443</definedName>
    <definedName name="FeatsListStatBlock" localSheetId="30">'Force Power Descriptions'!$W$5</definedName>
    <definedName name="FeatsListStatBlock">'Stat Block'!$W$5</definedName>
    <definedName name="FeatsStart">Feats!$H$9:$I$9</definedName>
    <definedName name="FeatsTakenList">Feats!$AC$8</definedName>
    <definedName name="FeatsTakenListPageRef">Feats!$AD$8</definedName>
    <definedName name="FeatTable">Feats!$C$9:$N$361</definedName>
    <definedName name="FeeorinAgeTable">Data!$A$194:$I$200</definedName>
    <definedName name="FeeorinChaAgeMod">Data!$G$200</definedName>
    <definedName name="FeeorinConAgeMod">Data!$D$200</definedName>
    <definedName name="FeeorinDexAgeMod">Data!$C$200</definedName>
    <definedName name="FeeorinIntAgeMod">Data!$E$200</definedName>
    <definedName name="FeeorinStrAgeMod">Data!$B$200</definedName>
    <definedName name="FeeorinWisAgeMod">Data!$F$200</definedName>
    <definedName name="FEndurance">Skills!$G$14</definedName>
    <definedName name="FGatherInformation">Skills!$G$15</definedName>
    <definedName name="FinalBaseMove">'Character &amp; Species'!$Y$3</definedName>
    <definedName name="FInitiative">Skills!$G$16</definedName>
    <definedName name="FirstClass">Class!$D$6</definedName>
    <definedName name="FJump">Skills!$G$17</definedName>
    <definedName name="FKnowledgeBureaucracy">Skills!$G$18</definedName>
    <definedName name="FKnowledgeGalacticLore">Skills!$G$19</definedName>
    <definedName name="FKnowledgeLifeSciences">Skills!$G$20</definedName>
    <definedName name="FKnowledgePhysicalSciences">Skills!$G$21</definedName>
    <definedName name="FKnowledgeSocialSciences">Skills!$G$22</definedName>
    <definedName name="FKnowledgeTactics">Skills!$G$23</definedName>
    <definedName name="FKnowledgeTechnology">Skills!$G$24</definedName>
    <definedName name="FMechanics">Skills!$G$25</definedName>
    <definedName name="Fondor">Lists!$GP$34:$GR$34</definedName>
    <definedName name="FondorSkill">Skills!$BG$4</definedName>
    <definedName name="FontWindings">'Stat Block'!$Z$1</definedName>
    <definedName name="Force_Adept">Talents!$C$963</definedName>
    <definedName name="Force_Traditions">Talents!$C$615</definedName>
    <definedName name="ForceAdeptList">Lists!$E$2:$E$3</definedName>
    <definedName name="ForceDeception">Skills!$Q$13</definedName>
    <definedName name="ForceExertion">Talents!$M$93</definedName>
    <definedName name="ForceExertionList">'The Force'!$AF$9</definedName>
    <definedName name="ForceFluidity">Skills!$Q$11</definedName>
    <definedName name="ForceInitiative">Skills!$Q$16</definedName>
    <definedName name="ForcePerception">Skills!$Q$26</definedName>
    <definedName name="ForcePersuasion">Skills!$Q$27</definedName>
    <definedName name="ForcePilot">Skills!$Q$28</definedName>
    <definedName name="ForcePoints">'Character &amp; Species'!$M$5</definedName>
    <definedName name="ForcePowerAdeptList">'The Force'!$Z$9</definedName>
    <definedName name="ForcePowerBonus">Bonuses!$D$24</definedName>
    <definedName name="ForcePowerDescriptions">ForcePowerCards!$O$1</definedName>
    <definedName name="ForcePowerNumbers">Intro!$K$16</definedName>
    <definedName name="ForcePowersKnownStatBlock" localSheetId="30">'Force Power Descriptions'!$BD$5</definedName>
    <definedName name="ForcePowersKnownStatBlock">'Stat Block'!$BF$5</definedName>
    <definedName name="ForcePowersList">'The Force'!$C$10:$C$74</definedName>
    <definedName name="ForcePowersStatBlockDescriptions">ForcePowerCards!$Q$1</definedName>
    <definedName name="ForcePowersTable">'The Force'!$C$10:$J$74</definedName>
    <definedName name="ForcePowersTableLayout">'Stat Block'!$BD$5</definedName>
    <definedName name="ForcePowersTaken">'The Force'!$AP$9</definedName>
    <definedName name="ForceProdigyFeats">Feats!$Z$4</definedName>
    <definedName name="ForceProdigySkill">Skills!$AA$4</definedName>
    <definedName name="ForceRegimensTaken">'Regimens-Tactics-Unleashed'!$J$5</definedName>
    <definedName name="ForceSecretBonus">Bonuses!$D$26</definedName>
    <definedName name="ForceSecretsKnownStatBlock" localSheetId="30">'Force Power Descriptions'!$BT$5</definedName>
    <definedName name="ForceSecretsKnownStatBlock">'Stat Block'!$BV$5</definedName>
    <definedName name="ForceSecretsTaken">'The Force'!$BD$9</definedName>
    <definedName name="ForceSensitive">Feats!$L$123</definedName>
    <definedName name="ForceStealth">Skills!$Q$30</definedName>
    <definedName name="ForceTechniqueBonus">Bonuses!$D$25</definedName>
    <definedName name="ForceTechniquesKnownStatBlock" localSheetId="30">'Force Power Descriptions'!$BL$5</definedName>
    <definedName name="ForceTechniquesKnownStatBlock">'Stat Block'!$BN$5</definedName>
    <definedName name="ForceTechniquesTaken">'The Force'!$AT$9</definedName>
    <definedName name="ForceTreatment">Skills!$Q$33</definedName>
    <definedName name="FortDefense">'Armor and Defenses'!$R$3</definedName>
    <definedName name="FortitudeBonus">Bonuses!$D$16</definedName>
    <definedName name="FPerception">Skills!$G$26</definedName>
    <definedName name="FPersuasion">Skills!$G$27</definedName>
    <definedName name="FPilot">Skills!$G$28</definedName>
    <definedName name="FRide">Skills!$G$29</definedName>
    <definedName name="FStealth">Skills!$G$30</definedName>
    <definedName name="FSurvival">Skills!$G$31</definedName>
    <definedName name="FSwim">Skills!$G$32</definedName>
    <definedName name="FTreatInjury">Skills!$G$33</definedName>
    <definedName name="FUseComputer">Skills!$G$34</definedName>
    <definedName name="FUsetheForce">Skills!$I$35</definedName>
    <definedName name="Gamorr">Lists!$GP$35:$GR$35</definedName>
    <definedName name="GamorrSkill">Skills!$BH$4</definedName>
    <definedName name="GatherInformation">Skills!$O$15</definedName>
    <definedName name="GenderList">Data!$A$186:$A$190</definedName>
    <definedName name="GenderTable">Data!$A$186:$C$190</definedName>
    <definedName name="Gladiator">Talents!$C$1002</definedName>
    <definedName name="Gunslinger">Talents!$C$1010</definedName>
    <definedName name="HeroicLevel">Class!$H$27</definedName>
    <definedName name="HeroIsNPC">Intro!$K$9</definedName>
    <definedName name="HitPoints">Class!$F$26</definedName>
    <definedName name="HotWire">Skills!$Q$34</definedName>
    <definedName name="HTML">'Stat Block'!$F$1</definedName>
    <definedName name="HTMLFooter">'Stat Block'!$E$16</definedName>
    <definedName name="HTMLHeader">'Stat Block'!$E$15</definedName>
    <definedName name="Imperial_Knight">Talents!$C$1045</definedName>
    <definedName name="ImplantCost">'Cybernetics and Biotech'!$I$10:$I$18</definedName>
    <definedName name="Imprisoned">Lists!$GP$9:$GR$9</definedName>
    <definedName name="ImprisonedSkill">Skills!$AH$4</definedName>
    <definedName name="Improviser">Talents!$C$1055</definedName>
    <definedName name="Independent_Droid">Talents!$C$1065</definedName>
    <definedName name="IndexReferenceList">Lists!$EB$2:$EB$13</definedName>
    <definedName name="IndexReferenceTable">Lists!$EB$2:$EC$13</definedName>
    <definedName name="Infiltrator">Talents!$C$1083</definedName>
    <definedName name="Informer">Skills!$Q$15</definedName>
    <definedName name="Initiative">Skills!$O$16</definedName>
    <definedName name="IntAgeMod">Data!$E$9</definedName>
    <definedName name="IntegratedEquipmentListStatBlock">'Armor and Defenses'!$V$52</definedName>
    <definedName name="IntegratedEquipmentNameList">'Armor and Defenses'!$W$52</definedName>
    <definedName name="IntegratedEquipmentNumberList">'Armor and Defenses'!$Y$52</definedName>
    <definedName name="IntegratedEquipmentSelectionList">Lists!$CY$2:$CY$191</definedName>
    <definedName name="IntegratedEquipmentWeightList">'Armor and Defenses'!$X$52</definedName>
    <definedName name="Intelligence">'Character &amp; Species'!$N$24</definedName>
    <definedName name="IntelligenceBonus">Bonuses!$D$8</definedName>
    <definedName name="IntMod">'Character &amp; Species'!$O$24</definedName>
    <definedName name="Iridonia">Lists!$GP$36:$GR$36</definedName>
    <definedName name="IridoniaSkill">Skills!$BI$4</definedName>
    <definedName name="IsZeroG">Intro!$K$12</definedName>
    <definedName name="Ithor">Lists!$GP$37:$GR$37</definedName>
    <definedName name="IthorSkill">Skills!$BJ$4</definedName>
    <definedName name="Jedi">Talents!$C$7</definedName>
    <definedName name="Jedi_Knight">Talents!$C$1094</definedName>
    <definedName name="JediFeats">Feats!$T$4</definedName>
    <definedName name="JediSkill">Skills!$S$4</definedName>
    <definedName name="JetPackList">Data!$A$133:$A$138</definedName>
    <definedName name="JetpackSpeed">'Armor and Defenses'!$D$25</definedName>
    <definedName name="JetPackTable">Data!$A$133:$B$138</definedName>
    <definedName name="Jump">Skills!$O$17</definedName>
    <definedName name="Kashyyyk">Lists!$GP$38:$GR$38</definedName>
    <definedName name="KashyyykSkill">Skills!$BK$4</definedName>
    <definedName name="KnowledgeBureaucracy">Skills!$O$18</definedName>
    <definedName name="KnowledgeGalacticLore">Skills!$O$19</definedName>
    <definedName name="KnowledgeLifeSciences">Skills!$O$20</definedName>
    <definedName name="KnowledgePhysicalSciences">Skills!$O$21</definedName>
    <definedName name="KnowledgeSocialSciences">Skills!$O$22</definedName>
    <definedName name="KnowledgeTactics">Skills!$O$23</definedName>
    <definedName name="KnowledgeTechnology">Skills!$O$24</definedName>
    <definedName name="Labor">Lists!$GP$18:$GR$18</definedName>
    <definedName name="LaborSkill">Skills!$AQ$4</definedName>
    <definedName name="LanguageList">OFFSET(Lists!$AH$2,0,0,MATCH("*",Lists!$AH:$AH,-1),1)</definedName>
    <definedName name="LanguagesStatBlock">Languages!$L$4</definedName>
    <definedName name="LanguagesTaken">Languages!$K$4</definedName>
    <definedName name="Law_Enforcement">Lists!$GP$19:$GR$19</definedName>
    <definedName name="LawEnforcementSkill">Skills!$AR$4</definedName>
    <definedName name="LevelFeatBonus">Bonuses!$D$19</definedName>
    <definedName name="LevelsTaken">Class!$V$26</definedName>
    <definedName name="LightsaberFormsList">'The Force'!$C$77:$C$100</definedName>
    <definedName name="LightsaberFormsTable">'The Force'!$C$77:$J$100</definedName>
    <definedName name="LocomotionTakenList">Droids!$G$13:$G$17</definedName>
    <definedName name="LocomotionTakenTable">Droids!$G$13:$J$17</definedName>
    <definedName name="Marital_Arts_Master">Talents!$C$1165</definedName>
    <definedName name="Marooned">Lists!$GP$10:$GR$10</definedName>
    <definedName name="MaroonedSkill">Skills!$AI$4</definedName>
    <definedName name="Master_Privateer">Talents!$C$1175</definedName>
    <definedName name="MasterLevel">Intro!$M$14</definedName>
    <definedName name="Mechanics">Skills!$O$25</definedName>
    <definedName name="Medic">Talents!$C$1191</definedName>
    <definedName name="Medical">Lists!$GP$20:$GR$20</definedName>
    <definedName name="MedicalSkill">Skills!$AS$4</definedName>
    <definedName name="Melee_Duelist">Talents!$C$1199</definedName>
    <definedName name="MeleeWeaponAttacksStatBlock" localSheetId="27">'Weapons Cheat Sheet (2)'!$FN$1</definedName>
    <definedName name="MeleeWeaponAttacksStatBlock">'Weapons Cheat Sheet'!$FM$1</definedName>
    <definedName name="Military">Lists!$GP$21:$GR$21</definedName>
    <definedName name="Military_Engineer">Talents!$C$1208</definedName>
    <definedName name="MilitarySkill">Skills!$AT$4</definedName>
    <definedName name="Mon_Calamari">Lists!$GP$39:$GR$39</definedName>
    <definedName name="MonCalamariSkill">Skills!$BL$4</definedName>
    <definedName name="MrlssiKnowledge">'Character &amp; Species'!$T$28</definedName>
    <definedName name="MultiattackProficiencyList">Lists!$CC$3:$CC$8</definedName>
    <definedName name="MultiattackProficiencyTable">Lists!$CC$3:$CE$8</definedName>
    <definedName name="MultiattackProficiencyType">Lists!$CE$3:$CE$8</definedName>
    <definedName name="MulticlassFeats">Class!$R$6:$R$10</definedName>
    <definedName name="Naboo">Lists!$GP$40:$GR$40</definedName>
    <definedName name="NabooSkill">Skills!$BM$4</definedName>
    <definedName name="Nar_Shaddaa">Lists!$GP$41:$GR$41</definedName>
    <definedName name="NarShaddaaSkill">Skills!$BN$4</definedName>
    <definedName name="NaturalAttackDieNumList">Data!$A$154:$A$162</definedName>
    <definedName name="NaturalAttackDieSizeList">Data!$A$142:$A$150</definedName>
    <definedName name="NaturalAttackList">Data!$A$165:$A$169</definedName>
    <definedName name="NearHumanList">'Near-Humans'!$P$4:$P$27</definedName>
    <definedName name="NearHumanName">'Near-Humans'!$E$5</definedName>
    <definedName name="NearHumanRemovedTrait">'Near-Humans'!$E$7</definedName>
    <definedName name="NearHumanTable">'Near-Humans'!$P$4:$Q$27</definedName>
    <definedName name="NearHumanTrait">'Near-Humans'!$E$9</definedName>
    <definedName name="NegativeAbilityMods">'Character &amp; Species'!$O$32</definedName>
    <definedName name="NewStatBlock">Intro!$K$18</definedName>
    <definedName name="NewStatBlockForcePowersKnown">'Stat Block'!$N$20</definedName>
    <definedName name="NHAbilityMinus">'Near-Humans'!$G$13</definedName>
    <definedName name="NHAbilityPlus">'Near-Humans'!$G$12</definedName>
    <definedName name="NHLang1">'Near-Humans'!$K$5</definedName>
    <definedName name="NHLang2">'Near-Humans'!$K$6</definedName>
    <definedName name="NHLang3">'Near-Humans'!$K$7</definedName>
    <definedName name="NHWeaponFamiliarity">'Near-Humans'!$E$16</definedName>
    <definedName name="NHWeaponFamiliarityType">'Near-Humans'!$E$17</definedName>
    <definedName name="Noble">Talents!$C$131</definedName>
    <definedName name="NobleFeats">Feats!$U$4</definedName>
    <definedName name="NobleSkill">Skills!$T$4</definedName>
    <definedName name="NonheroicFeats">Feats!$Y$4</definedName>
    <definedName name="NonheroicSkill">Skills!$X$4</definedName>
    <definedName name="NonHeroicStartFeats">Class!$R$15:$R$17</definedName>
    <definedName name="NPCType">Intro!$L$9</definedName>
    <definedName name="Officer">Talents!$C$1218</definedName>
    <definedName name="OnlyCombatDescs">Intro!$K$19</definedName>
    <definedName name="OphanedSkill">Skills!$AJ$4</definedName>
    <definedName name="Orphaned">Lists!$GP$11:$GR$11</definedName>
    <definedName name="OrphanedSkill">Skills!$AJ$4</definedName>
    <definedName name="Outlaw">Talents!$C$1250</definedName>
    <definedName name="OutputSize">'Character &amp; Species'!$T$7</definedName>
    <definedName name="Padawan">Intro!$K$13</definedName>
    <definedName name="PadawanFort">'Armor and Defenses'!$R$18</definedName>
    <definedName name="PadawanRef">'Armor and Defenses'!$L$18</definedName>
    <definedName name="PadawanWill">'Armor and Defenses'!$X$18</definedName>
    <definedName name="Pathfinder">Talents!$C$1258</definedName>
    <definedName name="Perception">Skills!$O$26</definedName>
    <definedName name="Persuasion">Skills!$O$27</definedName>
    <definedName name="Pilot">Skills!$O$28</definedName>
    <definedName name="Pilotskill">Skills!$O$28</definedName>
    <definedName name="PilotSkillBG">Skills!$AU$4</definedName>
    <definedName name="PointBuy">'Character &amp; Species'!$D$28</definedName>
    <definedName name="PointBuyCost">'Character &amp; Species'!$F$32:$F$49</definedName>
    <definedName name="PointBuyScore">'Character &amp; Species'!$E$32:$E$49</definedName>
    <definedName name="Politics">Lists!$GP$23:$GR$23</definedName>
    <definedName name="PoliticsSkill">Skills!$AV$4</definedName>
    <definedName name="PositiveAbilityMods">'Character &amp; Species'!$M$32</definedName>
    <definedName name="PosPro">Data!$C$185</definedName>
    <definedName name="PossessionsStatBlock" localSheetId="30">'Force Power Descriptions'!$BX$5</definedName>
    <definedName name="PossessionsStatBlock">'Stat Block'!$BZ$5</definedName>
    <definedName name="PowerDescriptionsList">Lists!$GJ$2</definedName>
    <definedName name="Primitive">'Character &amp; Species'!$X$7</definedName>
    <definedName name="_xlnm.Print_Area" localSheetId="23">'Character Sheet 1'!$A$1:$FB$267</definedName>
    <definedName name="_xlnm.Print_Area" localSheetId="24">'Character Sheet 2'!$A$1:$FZ$280</definedName>
    <definedName name="_xlnm.Print_Area" localSheetId="25">'Weapons Cheat Sheet'!$A$1:$DM$256</definedName>
    <definedName name="_xlnm.Print_Area" localSheetId="27">'Weapons Cheat Sheet (2)'!$A$1:$DN$46</definedName>
    <definedName name="Pronoun">Data!$B$185</definedName>
    <definedName name="Race">'Character &amp; Species'!$D$5</definedName>
    <definedName name="RaceIndex">'Character &amp; Species'!$I$5</definedName>
    <definedName name="RaceList">OFFSET(Data!$J$3,0,0,MATCH("*",Data!$J:$J,-1),1)</definedName>
    <definedName name="RaceListTable">OFFSET(Data!$J$3,0,0,MATCH("*",Data!$J:$J,-1),57)</definedName>
    <definedName name="RacialAbilitiesEnd">Data!$BO$223</definedName>
    <definedName name="RacialAbilitiesList">RacialAbilitiesStart:RacialAbilitiesEnd</definedName>
    <definedName name="RacialAbilitiesStart">Data!$BO$2</definedName>
    <definedName name="RacialAbilitiesTable">Data!$BO$2:$BV$247</definedName>
    <definedName name="RacialAbilitiesTableEnd">Data!$BV$223</definedName>
    <definedName name="RangedWeaponAttacksStatBlock" localSheetId="27">'Weapons Cheat Sheet (2)'!$FN$2</definedName>
    <definedName name="RangedWeaponAttacksStatBlock">'Weapons Cheat Sheet'!$FM$2</definedName>
    <definedName name="RangeList">Data!$A$35:$A$41</definedName>
    <definedName name="RangeTable">Data!$A$35:$F$41</definedName>
    <definedName name="RangeValue">Data!$F$35:$F$41</definedName>
    <definedName name="RefArmor">'Armor and Defenses'!$L$9</definedName>
    <definedName name="RefBonus">'Armor and Defenses'!$L$16</definedName>
    <definedName name="RefClass">'Armor and Defenses'!$L$12</definedName>
    <definedName name="RefDefense">'Armor and Defenses'!$L$3</definedName>
    <definedName name="RefDodge">'Armor and Defenses'!$L$14</definedName>
    <definedName name="ReflexBonus">Bonuses!$D$15</definedName>
    <definedName name="RefMaxDex">'Armor and Defenses'!$L$7</definedName>
    <definedName name="RefNA">'Armor and Defenses'!$L$10</definedName>
    <definedName name="RefSize">'Armor and Defenses'!$L$15</definedName>
    <definedName name="RefSpecies">'Armor and Defenses'!$L$13</definedName>
    <definedName name="RefTalents">'Armor and Defenses'!$L$11</definedName>
    <definedName name="RemoteProcessorList">Lists!$BQ$2:$BQ$5</definedName>
    <definedName name="RemoteProcessorTable">Lists!$BQ$2:$BS$5</definedName>
    <definedName name="Ride">Skills!$O$29</definedName>
    <definedName name="Rodia">Lists!$GP$42:$GR$42</definedName>
    <definedName name="RodiaSkill">Skills!$BO$4</definedName>
    <definedName name="ROFList">Data!$A$11:$A$13</definedName>
    <definedName name="Ryloth">Lists!$GP$43:$GR$43</definedName>
    <definedName name="RylothSkill">Skills!$BP$4</definedName>
    <definedName name="Saboteur">Talents!$C$1268</definedName>
    <definedName name="SAM">"SAM"</definedName>
    <definedName name="SAMMechanics">Skills!$P$25</definedName>
    <definedName name="SAMPerception">Skills!$P$26</definedName>
    <definedName name="SAMUsetheForce">Skills!$P$35</definedName>
    <definedName name="Scarred">Lists!$GP$12:$GR$12</definedName>
    <definedName name="ScarredSkill">Skills!$AK$4</definedName>
    <definedName name="Scoundrel">Talents!$C$345</definedName>
    <definedName name="ScoundrelFeats">Feats!$V$4</definedName>
    <definedName name="ScoundrelSkill">Skills!$U$4</definedName>
    <definedName name="Scout">Talents!$C$435</definedName>
    <definedName name="ScoutFeats">Feats!$W$4</definedName>
    <definedName name="ScoutSkill">Skills!$V$4</definedName>
    <definedName name="Shaper">Talents!$C$1280</definedName>
    <definedName name="ShowCloakedWeapons">Intro!$K$11</definedName>
    <definedName name="ShowForceDetails">Intro!$K$6</definedName>
    <definedName name="ShowNPCHP">Intro!$K$8</definedName>
    <definedName name="ShowStatBlockLines">Intro!$K$7</definedName>
    <definedName name="ShowTalentTrees">Intro!$K$5</definedName>
    <definedName name="ShowUnleasedinStatBlock">Intro!$K$10</definedName>
    <definedName name="Sith_Apprentice">Talents!$C$1290</definedName>
    <definedName name="SithAlchemyTable">Lists!$BJ$2:$BM$13</definedName>
    <definedName name="SithWeaponAlchemyList">Lists!$BJ$3:$BJ$5</definedName>
    <definedName name="SithWeaponAlchemyTable">Lists!$BJ$3:$BM$5</definedName>
    <definedName name="SizeAbrList">Data!$A$25:$A$33</definedName>
    <definedName name="SizeList">Data!$B$25:$B$33</definedName>
    <definedName name="SizeNumber">Data!$C$25:$C$33</definedName>
    <definedName name="SizeOverride">'Character &amp; Species'!$AJ$4</definedName>
    <definedName name="SizeTable">Data!$A$25:$I$33</definedName>
    <definedName name="SkillFocusList">Skills!$BX$10</definedName>
    <definedName name="SkillFocusTimes">Feats!$M$290</definedName>
    <definedName name="SkillList">Skills!$C$11:$C$35</definedName>
    <definedName name="SkillListStatBlock">Skills!$CL$10</definedName>
    <definedName name="SkillSpecials1List">'Character &amp; Species'!$L$42:$L$48</definedName>
    <definedName name="SkillSpecials2List">'Character &amp; Species'!$M$42:$M$48</definedName>
    <definedName name="SkillSpecials3List">'Character &amp; Species'!$N$42:$N$48</definedName>
    <definedName name="SkillSpecials4List">'Character &amp; Species'!$O$42:$O$48</definedName>
    <definedName name="SkillSpecialsReroll1List">'Character &amp; Species'!$P$42:$P$48</definedName>
    <definedName name="SkillSpecialsReroll2List">'Character &amp; Species'!$Q$42:$Q$48</definedName>
    <definedName name="SkillSpecialsTable">'Character &amp; Species'!$L$42:$Q$48</definedName>
    <definedName name="SkillTable">Skills!$C$11:$CC$35</definedName>
    <definedName name="SkillTrainingList">Skills!$BZ$10</definedName>
    <definedName name="SlinkerList">Lists!$R$2:$R$8</definedName>
    <definedName name="SlinkerTable">Lists!$R$2:$V$8</definedName>
    <definedName name="Socorro">Lists!$GP$44:$GR$44</definedName>
    <definedName name="SocorroSkill">Skills!$BQ$4</definedName>
    <definedName name="Soldier">Talents!$C$515</definedName>
    <definedName name="SoldierFeats">Feats!$X$4</definedName>
    <definedName name="SoldierSkill">Skills!$W$4</definedName>
    <definedName name="SoldierSpecialTalents">'Talents 2'!$O$12</definedName>
    <definedName name="SoldierSpecialTalentsPageRef">'Talents 2'!$X$12</definedName>
    <definedName name="SoldierSpecialTalentsTree">'Talents 2'!$AG$12</definedName>
    <definedName name="SpecialActionsList">Feats!$AF$8</definedName>
    <definedName name="SpecialModsList">OFFSET(Lists!$EV$2,0,0,MATCH("*",Lists!$EV:$EV,-1),1)</definedName>
    <definedName name="SpecialModsTable">OFFSET(Lists!$EV$2,0,0,MATCH("*",Lists!$EV:$EV,-1),14)</definedName>
    <definedName name="SpecialOpionsListStatBlock" localSheetId="30">'Force Power Descriptions'!$AF$5</definedName>
    <definedName name="SpecialOpionsListStatBlock">'Stat Block'!$AF$5</definedName>
    <definedName name="SpecialOptionsStatBlock" localSheetId="30">'Force Power Descriptions'!$AM$5</definedName>
    <definedName name="SpecialOptionsStatBlock">'Stat Block'!$AM$5</definedName>
    <definedName name="SpecialQualitiesStatBlock" localSheetId="30">'Force Power Descriptions'!$AE$5</definedName>
    <definedName name="SpecialQualitiesStatBlock">'Stat Block'!$AE$5</definedName>
    <definedName name="SpecialsImportList">'Stat Block'!$F$27</definedName>
    <definedName name="SpecialsList">Lists!$DY$2:$DY$7</definedName>
    <definedName name="SpecialsTable">Lists!$DY$2:$DZ$7</definedName>
    <definedName name="Species">'Character &amp; Species'!$X$5</definedName>
    <definedName name="SpeciesTraits">'Character &amp; Species'!$T$9:$T$14</definedName>
    <definedName name="SpeciesTraitsList">'Character &amp; Species'!$K$41</definedName>
    <definedName name="Speed">'Character &amp; Species'!$T$8</definedName>
    <definedName name="SpeedList">Feats!$AH$8</definedName>
    <definedName name="SpeedOutput">'Character &amp; Species'!$Y$1</definedName>
    <definedName name="SquadBonus">Class!$F$27</definedName>
    <definedName name="STAcrobatics">Skills!$G$11</definedName>
    <definedName name="StarshipManeuversTaken">'Regimens-Tactics-Unleashed'!$T$5</definedName>
    <definedName name="StartRace">Data!$J$2</definedName>
    <definedName name="StatBlockOutput">'Stat Block'!$C$5</definedName>
    <definedName name="STClimb">Skills!$G$12</definedName>
    <definedName name="STDeception">Skills!$G$13</definedName>
    <definedName name="Stealth">Skills!$O$30</definedName>
    <definedName name="STEndurance">Skills!$G$14</definedName>
    <definedName name="STGatherInformation">Skills!$G$15</definedName>
    <definedName name="STInitiative">Skills!$G$16</definedName>
    <definedName name="STJump">Skills!$G$17</definedName>
    <definedName name="STKnowledgeBureaucracy">Skills!$G$18</definedName>
    <definedName name="STKnowledgeGalacticLore">Skills!$G$19</definedName>
    <definedName name="STKnowledgeLifeSciences">Skills!$G$20</definedName>
    <definedName name="STKnowledgePhysicalSciences">Skills!$G$21</definedName>
    <definedName name="STKnowledgeSocialSciences">Skills!$G$22</definedName>
    <definedName name="STKnowledgeTactics">Skills!$G$23</definedName>
    <definedName name="STKnowledgeTechnology">Skills!$G$24</definedName>
    <definedName name="STMechanics">Skills!$G$25</definedName>
    <definedName name="StolenForms">Talents!$M$1300</definedName>
    <definedName name="StolenFormsList">'Talents 2'!$P$63</definedName>
    <definedName name="STPerception">Skills!$G$26</definedName>
    <definedName name="STPersuasion">Skills!$G$27</definedName>
    <definedName name="STPilot">Skills!$G$28</definedName>
    <definedName name="StrAgeMod">Data!$B$9</definedName>
    <definedName name="Strength">'Character &amp; Species'!$N$21</definedName>
    <definedName name="StrengthBonus">Bonuses!$D$5</definedName>
    <definedName name="STRide">Skills!$G$29</definedName>
    <definedName name="StrMod">'Character &amp; Species'!$O$21</definedName>
    <definedName name="STStealth">Skills!$G$30</definedName>
    <definedName name="STSurvival">Skills!$G$31</definedName>
    <definedName name="STSwim">Skills!$G$32</definedName>
    <definedName name="STTreatInjury">Skills!$G$33</definedName>
    <definedName name="STUseComputer">Skills!$G$34</definedName>
    <definedName name="STUsetheForce">Skills!$G$35</definedName>
    <definedName name="Sullust">Lists!$GP$45:$GR$45</definedName>
    <definedName name="SullustSkill">Skills!$BR$4</definedName>
    <definedName name="SuperiorTechWeapons">Lists!$C$2:$C$5</definedName>
    <definedName name="SuperiorTechWeaponsList">Lists!$C$2:$C$9</definedName>
    <definedName name="SuperiorTechWeaponsTable">Lists!$C$2:$D$9</definedName>
    <definedName name="Survival">Skills!$O$31</definedName>
    <definedName name="Swim">Skills!$O$32</definedName>
    <definedName name="TableNaturalAttack">Data!$A$165:$C$169</definedName>
    <definedName name="TableNaturalAttackDieNum">Data!$A$154:$F$162</definedName>
    <definedName name="TableNaturalAttackDieSize">Data!$A$142:$F$150</definedName>
    <definedName name="Tables">'Stat Block'!$F$2</definedName>
    <definedName name="TAcrobatics">Skills!$F$11</definedName>
    <definedName name="TAF">'Stat Block'!$T$1</definedName>
    <definedName name="TaintoftheDarkSideList">'The Force'!$AB$9</definedName>
    <definedName name="TalentBonus">Bonuses!$D$22</definedName>
    <definedName name="TalentsAttOptionsList">Talents!$Y$6</definedName>
    <definedName name="TalentsDefensesList">Talents!$AA$6</definedName>
    <definedName name="TalentsEnd">Talents!$L$1318</definedName>
    <definedName name="TalentsListStatBlock" localSheetId="30">'Force Power Descriptions'!$AA$5</definedName>
    <definedName name="TalentsListStatBlock">'Stat Block'!$AA$5</definedName>
    <definedName name="TalentsSpecialActionsList">Talents!$X$6</definedName>
    <definedName name="TalentsStart">Talents!$L$7</definedName>
    <definedName name="TalentsTable">Talents!$B$7:TalentsTableEnd</definedName>
    <definedName name="TalentsTableEnd">Talents!$N$1318</definedName>
    <definedName name="TalentsTableList">Talents!$B$7:$B$1317</definedName>
    <definedName name="TalentsTakenBlankList">Talents!$V$6</definedName>
    <definedName name="TalentsTakenList">Talents!$S$6</definedName>
    <definedName name="TalentsTakenListPageRef">Talents!$T$6</definedName>
    <definedName name="Taris">Lists!$GP$46:$GR$46</definedName>
    <definedName name="TarisSkill">Skills!$BS$4</definedName>
    <definedName name="TAS">'Stat Block'!$S$1</definedName>
    <definedName name="Tatooine">Lists!$GP$47:$GR$47</definedName>
    <definedName name="TatooineSkill">Skills!$BT$4</definedName>
    <definedName name="TClimb">Skills!$F$12</definedName>
    <definedName name="TDeception">Skills!$F$13</definedName>
    <definedName name="TDF">'Stat Block'!$W$1</definedName>
    <definedName name="TDS">'Stat Block'!$V$1</definedName>
    <definedName name="TDWThird">'Stat Block'!$Y$1</definedName>
    <definedName name="Technology">Lists!$GP$24:$GR$24</definedName>
    <definedName name="TechnologySkill">Skills!$AW$4</definedName>
    <definedName name="TechSpecialist">'Armor and Defenses'!$F$29</definedName>
    <definedName name="TechSpecialistSelfMade">'Armor and Defenses'!$E$28</definedName>
    <definedName name="TechSpecialistWeapons">Lists!$A$2:$A$4</definedName>
    <definedName name="TechSpecialistWeaponsList">Lists!$A$2:$A$7</definedName>
    <definedName name="TechSpecialistWeaponsTable">Lists!$A$2:$B$7</definedName>
    <definedName name="TelekineticProdigyList">'The Force'!$AD$9</definedName>
    <definedName name="TEndurance">Skills!$F$14</definedName>
    <definedName name="TGatherInformation">Skills!$F$15</definedName>
    <definedName name="The_Force">Talents!$C$73</definedName>
    <definedName name="TInitiative">Skills!$F$16</definedName>
    <definedName name="TJump">Skills!$F$17</definedName>
    <definedName name="TKnowledgeBureaucracy">Skills!$F$18</definedName>
    <definedName name="TKnowledgeGalacticLore">Skills!$F$19</definedName>
    <definedName name="TKnowledgeLifeSciences">Skills!$F$20</definedName>
    <definedName name="TKnowledgePhysicalSciences">Skills!$F$21</definedName>
    <definedName name="TKnowledgeSocialSciences">Skills!$F$22</definedName>
    <definedName name="TKnowledgeTactics">Skills!$F$23</definedName>
    <definedName name="TKnowledgeTechnology">Skills!$F$24</definedName>
    <definedName name="TMechanics">Skills!$F$25</definedName>
    <definedName name="TotalTalents">Data!$CW$2</definedName>
    <definedName name="ToughAsNails">Data!$A$202</definedName>
    <definedName name="TPerception">Skills!$F$26</definedName>
    <definedName name="TPersuasion">Skills!$F$27</definedName>
    <definedName name="TPilot">Skills!$F$28</definedName>
    <definedName name="Trandosha">Lists!$GP$48:$GR$48</definedName>
    <definedName name="TrandoshaSkill">Skills!$BU$4</definedName>
    <definedName name="TRB">'Stat Block'!$O$1</definedName>
    <definedName name="TRBFP">'Stat Block'!$AB$1</definedName>
    <definedName name="TreatInjury">Skills!$O$33</definedName>
    <definedName name="TRF">'Stat Block'!$N$1</definedName>
    <definedName name="TRFF">'Stat Block'!$R$1</definedName>
    <definedName name="TRG">'Stat Block'!$L$1</definedName>
    <definedName name="TRGR">'Stat Block'!$Q$1</definedName>
    <definedName name="TRide">Skills!$F$29</definedName>
    <definedName name="TRLSG">'Stat Block'!$X$1</definedName>
    <definedName name="TRO">'Stat Block'!$P$1</definedName>
    <definedName name="TRTD">'Stat Block'!$U$1</definedName>
    <definedName name="TrustySidearm">Data!$DA$13</definedName>
    <definedName name="TRW">'Stat Block'!$M$1</definedName>
    <definedName name="TStealth">Skills!$F$30</definedName>
    <definedName name="TSurvival">Skills!$F$31</definedName>
    <definedName name="TSwim">Skills!$F$32</definedName>
    <definedName name="TTreatInjury">Skills!$F$33</definedName>
    <definedName name="TUseComputer">Skills!$F$34</definedName>
    <definedName name="TUsetheForce">Skills!$F$35</definedName>
    <definedName name="UnarmedDieIncreases">Data!$E$62</definedName>
    <definedName name="UnarmedDieNumber">Data!$A$62</definedName>
    <definedName name="UnarmedDieSize">Data!$D$62</definedName>
    <definedName name="Unleashed">Feats!$M$333</definedName>
    <definedName name="UnleashedTaken">'Regimens-Tactics-Unleashed'!$AD$5</definedName>
    <definedName name="UseComputer">Skills!$O$34</definedName>
    <definedName name="UsetheForce">Skills!$O$35</definedName>
    <definedName name="UtFPenalty">'Cybernetics and Biotech'!$J$3</definedName>
    <definedName name="Vanguard">Talents!$C$1310</definedName>
    <definedName name="Weapon1">Weapons!$E$7</definedName>
    <definedName name="Weapon1Accessories">Weapons!$E$56:$E$59</definedName>
    <definedName name="Weapon2">Weapons!$O$7</definedName>
    <definedName name="Weapon2Accessories">Weapons!$O$56:$O$59</definedName>
    <definedName name="Weapon3">Weapons!$Y$7</definedName>
    <definedName name="Weapon3Accessories">Weapons!$Y$56:$Y$59</definedName>
    <definedName name="Weapon4">Weapons!$AI$7</definedName>
    <definedName name="Weapon4Accessories">Weapons!$AI$56:$AI$59</definedName>
    <definedName name="Weapon5">Weapons!$AS$7</definedName>
    <definedName name="Weapon5Accessories">Weapons!$AS$56:$AS$59</definedName>
    <definedName name="Weapon6">Weapons!$BC$7</definedName>
    <definedName name="Weapon6Accessories">Weapons!$BC$56:$BC$59</definedName>
    <definedName name="WeaponAccessoriesList">Lists!$H$2:$H$109</definedName>
    <definedName name="WeaponAccessoriesTable">Lists!$H$2:$P$109</definedName>
    <definedName name="WeaponAttacksStatBlock" localSheetId="27">'Weapons Cheat Sheet (2)'!$FN$8</definedName>
    <definedName name="WeaponAttacksStatBlock">'Weapons Cheat Sheet'!$FM$8</definedName>
    <definedName name="WeaponCheatSheetList">Data!$A$125:$A$130</definedName>
    <definedName name="WeaponCheatSheetTable">Data!$A$125:$D$130</definedName>
    <definedName name="WeaponEquippedNumberList">Weapons!$C$6</definedName>
    <definedName name="WeaponEquippedWeightList">Weapons!$C$5</definedName>
    <definedName name="WeaponFeatsModsList">WeaponFeatsModsListStart:WeaponFeatsModsListEnd</definedName>
    <definedName name="WeaponFeatsModsListEnd">Lists!$AS$136</definedName>
    <definedName name="WeaponFeatsModsListStart">Lists!$AS$2</definedName>
    <definedName name="WeaponFeatsModsTable">WeaponFeatsModsListStart:WeaponFeatsModsTableEnd</definedName>
    <definedName name="WeaponFeatsModsTableEnd">Lists!$AZ$136</definedName>
    <definedName name="WeaponGroupList">Feats!$D$321:$D$328</definedName>
    <definedName name="WeaponList">WeaponListStart:WeaponListEnd</definedName>
    <definedName name="WeaponListEnd">Data!$EN$273</definedName>
    <definedName name="WeaponListStart">Data!$EN$2</definedName>
    <definedName name="WeaponName1">'old Weapons'!$D$9</definedName>
    <definedName name="WeaponName2">'old Weapons'!$D$28</definedName>
    <definedName name="WeaponName3">'old Weapons'!$D$47</definedName>
    <definedName name="WeaponName4">'old Weapons'!$D$66</definedName>
    <definedName name="WeaponObjectList">Data!$A$44:$A$48</definedName>
    <definedName name="WeaponObjectTable">Data!$A$44:$E$48</definedName>
    <definedName name="WeaponsEquippedNameList">Weapons!$C$4</definedName>
    <definedName name="WeaponsSheetTable">Weapons!$E$7:$BC$121</definedName>
    <definedName name="WeaponsTakenTable">Weapons!$E$7:$BD$125</definedName>
    <definedName name="WeaponStrippingList">Lists!$F$2:$F$6</definedName>
    <definedName name="WeaponTable">WeaponListStart:WeaponTableEnd</definedName>
    <definedName name="WeaponTableEnd">Data!$FS$273</definedName>
    <definedName name="WeaponTemplateList">Data!$GT$2:$GT$28</definedName>
    <definedName name="WeaponTemplateTable">Data!$GT$2:$HC$28</definedName>
    <definedName name="WeightSum">'Character Sheet 2'!$AF$196</definedName>
    <definedName name="WFF">'Stat Block'!$K$1</definedName>
    <definedName name="WFS">'Stat Block'!$J$1</definedName>
    <definedName name="Widowed">Lists!$GP$13:$GR$13</definedName>
    <definedName name="WidowedSkill">Skills!$AL$4</definedName>
    <definedName name="WillBonus">Bonuses!$D$17</definedName>
    <definedName name="WillDefense">'Armor and Defenses'!$X$3</definedName>
    <definedName name="WisAgeMod">Data!$F$9</definedName>
    <definedName name="Wisdom">'Character &amp; Species'!$N$25</definedName>
    <definedName name="WisdomBonus">Bonuses!$D$9</definedName>
    <definedName name="WisMod">'Character &amp; Species'!$O$25</definedName>
    <definedName name="XP">'Character &amp; Species'!$M$12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07" i="9" l="1"/>
  <c r="P206" i="9"/>
  <c r="M206" i="9"/>
  <c r="M202" i="9"/>
  <c r="R202" i="9" s="1"/>
  <c r="P202" i="9"/>
  <c r="U202" i="9"/>
  <c r="M158" i="9"/>
  <c r="G41" i="12"/>
  <c r="H41" i="12" s="1"/>
  <c r="AS41" i="21"/>
  <c r="BC41" i="21"/>
  <c r="AI41" i="21"/>
  <c r="FQ59" i="5"/>
  <c r="N34" i="5"/>
  <c r="M34" i="5"/>
  <c r="V34" i="5"/>
  <c r="U48" i="8" l="1"/>
  <c r="V48" i="8" s="1"/>
  <c r="BC15" i="21" l="1"/>
  <c r="AI15" i="21"/>
  <c r="M887" i="9" l="1"/>
  <c r="R887" i="9" s="1"/>
  <c r="B887" i="9"/>
  <c r="U887" i="9"/>
  <c r="R54" i="8" l="1"/>
  <c r="R55" i="8"/>
  <c r="R56" i="8"/>
  <c r="R57" i="8"/>
  <c r="R58" i="8"/>
  <c r="R59" i="8"/>
  <c r="R60" i="8"/>
  <c r="R61" i="8"/>
  <c r="R62" i="8"/>
  <c r="R53" i="8"/>
  <c r="F22" i="17" l="1"/>
  <c r="F23" i="17"/>
  <c r="F24" i="17"/>
  <c r="F25" i="17"/>
  <c r="F26" i="17"/>
  <c r="BB78" i="5" l="1"/>
  <c r="AP78" i="5"/>
  <c r="AN78" i="5"/>
  <c r="R78" i="5"/>
  <c r="Q78" i="5"/>
  <c r="P78" i="5"/>
  <c r="O78" i="5"/>
  <c r="N78" i="5"/>
  <c r="M78" i="5"/>
  <c r="I5" i="2"/>
  <c r="J11" i="6" l="1"/>
  <c r="J12" i="6"/>
  <c r="J16" i="6"/>
  <c r="J20" i="6"/>
  <c r="J24" i="6"/>
  <c r="J28" i="6"/>
  <c r="J32" i="6"/>
  <c r="J29" i="6"/>
  <c r="J23" i="6"/>
  <c r="J31" i="6"/>
  <c r="J13" i="6"/>
  <c r="J17" i="6"/>
  <c r="J21" i="6"/>
  <c r="J25" i="6"/>
  <c r="J33" i="6"/>
  <c r="J35" i="6"/>
  <c r="J14" i="6"/>
  <c r="J18" i="6"/>
  <c r="J22" i="6"/>
  <c r="J26" i="6"/>
  <c r="J30" i="6"/>
  <c r="J34" i="6"/>
  <c r="J15" i="6"/>
  <c r="J19" i="6"/>
  <c r="J27" i="6"/>
  <c r="L10" i="8"/>
  <c r="T7" i="2"/>
  <c r="AQ231" i="10"/>
  <c r="AQ259" i="10"/>
  <c r="AQ255" i="10"/>
  <c r="AQ251" i="10"/>
  <c r="AQ247" i="10"/>
  <c r="AQ243" i="10"/>
  <c r="AQ239" i="10"/>
  <c r="AQ235" i="10"/>
  <c r="A202" i="5"/>
  <c r="EI30" i="10" s="1"/>
  <c r="AJ12" i="2"/>
  <c r="AJ11" i="2"/>
  <c r="G30" i="16"/>
  <c r="C30" i="16"/>
  <c r="AL9" i="2"/>
  <c r="BT4" i="6" s="1"/>
  <c r="BT31" i="6" s="1"/>
  <c r="A200" i="5"/>
  <c r="H199" i="5"/>
  <c r="H198" i="5"/>
  <c r="H197" i="5"/>
  <c r="H196" i="5"/>
  <c r="H195" i="5"/>
  <c r="P7" i="9"/>
  <c r="FP160" i="11"/>
  <c r="FP154" i="11"/>
  <c r="FP148" i="11"/>
  <c r="FP142" i="11"/>
  <c r="FP136" i="11"/>
  <c r="FP130" i="11"/>
  <c r="FP124" i="11"/>
  <c r="FP118" i="11"/>
  <c r="FP112" i="11"/>
  <c r="FP106" i="11"/>
  <c r="FP100" i="11"/>
  <c r="FP52" i="11"/>
  <c r="FP46" i="11"/>
  <c r="FP40" i="11"/>
  <c r="FP34" i="11"/>
  <c r="FP28" i="11"/>
  <c r="FP22" i="11"/>
  <c r="FP16" i="11"/>
  <c r="BV26" i="6"/>
  <c r="BV28" i="6"/>
  <c r="BV35" i="6"/>
  <c r="E8" i="6"/>
  <c r="DW39" i="10"/>
  <c r="AK78" i="5"/>
  <c r="P218" i="9"/>
  <c r="P219" i="9" s="1"/>
  <c r="P220" i="9" s="1"/>
  <c r="P221" i="9" s="1"/>
  <c r="P222" i="9" s="1"/>
  <c r="P223" i="9" s="1"/>
  <c r="P224" i="9" s="1"/>
  <c r="P225" i="9" s="1"/>
  <c r="P226" i="9" s="1"/>
  <c r="P227" i="9" s="1"/>
  <c r="P228" i="9" s="1"/>
  <c r="P229" i="9" s="1"/>
  <c r="P230" i="9" s="1"/>
  <c r="P231" i="9" s="1"/>
  <c r="P232" i="9" s="1"/>
  <c r="P233" i="9" s="1"/>
  <c r="P234" i="9" s="1"/>
  <c r="P235" i="9" s="1"/>
  <c r="P236" i="9" s="1"/>
  <c r="P237" i="9" s="1"/>
  <c r="P238" i="9" s="1"/>
  <c r="P239" i="9" s="1"/>
  <c r="P240" i="9" s="1"/>
  <c r="P241" i="9" s="1"/>
  <c r="P242" i="9" s="1"/>
  <c r="P243" i="9" s="1"/>
  <c r="P244" i="9" s="1"/>
  <c r="P245" i="9" s="1"/>
  <c r="P246" i="9" s="1"/>
  <c r="P247" i="9" s="1"/>
  <c r="P248" i="9" s="1"/>
  <c r="P249" i="9" s="1"/>
  <c r="P250" i="9" s="1"/>
  <c r="P251" i="9" s="1"/>
  <c r="P252" i="9" s="1"/>
  <c r="P253" i="9" s="1"/>
  <c r="P254" i="9" s="1"/>
  <c r="P255" i="9" s="1"/>
  <c r="P256" i="9" s="1"/>
  <c r="P257" i="9" s="1"/>
  <c r="P258" i="9" s="1"/>
  <c r="P259" i="9" s="1"/>
  <c r="P260" i="9" s="1"/>
  <c r="P261" i="9" s="1"/>
  <c r="P262" i="9" s="1"/>
  <c r="P263" i="9" s="1"/>
  <c r="P264" i="9" s="1"/>
  <c r="P265" i="9" s="1"/>
  <c r="P266" i="9" s="1"/>
  <c r="P267" i="9" s="1"/>
  <c r="P268" i="9" s="1"/>
  <c r="P269" i="9" s="1"/>
  <c r="P270" i="9" s="1"/>
  <c r="P271" i="9" s="1"/>
  <c r="P272" i="9" s="1"/>
  <c r="P273" i="9" s="1"/>
  <c r="P274" i="9" s="1"/>
  <c r="P275" i="9" s="1"/>
  <c r="P276" i="9" s="1"/>
  <c r="P277" i="9" s="1"/>
  <c r="P278" i="9" s="1"/>
  <c r="P279" i="9" s="1"/>
  <c r="P280" i="9" s="1"/>
  <c r="P281" i="9" s="1"/>
  <c r="P282" i="9" s="1"/>
  <c r="P283" i="9" s="1"/>
  <c r="P284" i="9" s="1"/>
  <c r="P285" i="9" s="1"/>
  <c r="P286" i="9" s="1"/>
  <c r="P287" i="9" s="1"/>
  <c r="P288" i="9" s="1"/>
  <c r="P289" i="9" s="1"/>
  <c r="P290" i="9" s="1"/>
  <c r="P291" i="9" s="1"/>
  <c r="P292" i="9" s="1"/>
  <c r="P293" i="9" s="1"/>
  <c r="P294" i="9" s="1"/>
  <c r="P295" i="9" s="1"/>
  <c r="P296" i="9" s="1"/>
  <c r="P297" i="9" s="1"/>
  <c r="P298" i="9" s="1"/>
  <c r="P299" i="9" s="1"/>
  <c r="P300" i="9" s="1"/>
  <c r="P301" i="9" s="1"/>
  <c r="P302" i="9" s="1"/>
  <c r="P303" i="9" s="1"/>
  <c r="P304" i="9" s="1"/>
  <c r="P305" i="9" s="1"/>
  <c r="P306" i="9" s="1"/>
  <c r="P307" i="9" s="1"/>
  <c r="P308" i="9" s="1"/>
  <c r="P309" i="9" s="1"/>
  <c r="P310" i="9" s="1"/>
  <c r="P311" i="9" s="1"/>
  <c r="P312" i="9" s="1"/>
  <c r="P313" i="9" s="1"/>
  <c r="P314" i="9" s="1"/>
  <c r="P315" i="9" s="1"/>
  <c r="P316" i="9" s="1"/>
  <c r="P317" i="9" s="1"/>
  <c r="P318" i="9" s="1"/>
  <c r="P319" i="9" s="1"/>
  <c r="P320" i="9" s="1"/>
  <c r="P321" i="9" s="1"/>
  <c r="P322" i="9" s="1"/>
  <c r="P323" i="9" s="1"/>
  <c r="P324" i="9" s="1"/>
  <c r="P325" i="9" s="1"/>
  <c r="P326" i="9" s="1"/>
  <c r="P327" i="9" s="1"/>
  <c r="P328" i="9" s="1"/>
  <c r="P329" i="9" s="1"/>
  <c r="P330" i="9" s="1"/>
  <c r="P331" i="9" s="1"/>
  <c r="P332" i="9" s="1"/>
  <c r="P333" i="9" s="1"/>
  <c r="P334" i="9" s="1"/>
  <c r="P335" i="9" s="1"/>
  <c r="P336" i="9" s="1"/>
  <c r="P337" i="9" s="1"/>
  <c r="P338" i="9" s="1"/>
  <c r="P339" i="9" s="1"/>
  <c r="P340" i="9" s="1"/>
  <c r="P341" i="9" s="1"/>
  <c r="P342" i="9" s="1"/>
  <c r="P343" i="9" s="1"/>
  <c r="P344" i="9" s="1"/>
  <c r="U344" i="9"/>
  <c r="U343" i="9"/>
  <c r="U342" i="9"/>
  <c r="U341" i="9"/>
  <c r="U340" i="9"/>
  <c r="U339" i="9"/>
  <c r="U338" i="9"/>
  <c r="U337" i="9"/>
  <c r="U336" i="9"/>
  <c r="U335" i="9"/>
  <c r="U334" i="9"/>
  <c r="U333" i="9"/>
  <c r="U332" i="9"/>
  <c r="U331" i="9"/>
  <c r="U330" i="9"/>
  <c r="U329" i="9"/>
  <c r="U328" i="9"/>
  <c r="U327" i="9"/>
  <c r="U326" i="9"/>
  <c r="U325" i="9"/>
  <c r="U324" i="9"/>
  <c r="U323" i="9"/>
  <c r="U322" i="9"/>
  <c r="U321" i="9"/>
  <c r="U320" i="9"/>
  <c r="U319" i="9"/>
  <c r="U318" i="9"/>
  <c r="U317" i="9"/>
  <c r="U316" i="9"/>
  <c r="U315" i="9"/>
  <c r="U314" i="9"/>
  <c r="U313" i="9"/>
  <c r="U312" i="9"/>
  <c r="U311" i="9"/>
  <c r="U310" i="9"/>
  <c r="U309" i="9"/>
  <c r="U308" i="9"/>
  <c r="U307" i="9"/>
  <c r="U306" i="9"/>
  <c r="U305" i="9"/>
  <c r="U304" i="9"/>
  <c r="U303" i="9"/>
  <c r="U302" i="9"/>
  <c r="U301" i="9"/>
  <c r="U300" i="9"/>
  <c r="U299" i="9"/>
  <c r="U298" i="9"/>
  <c r="U297" i="9"/>
  <c r="U296" i="9"/>
  <c r="U295" i="9"/>
  <c r="U294" i="9"/>
  <c r="U293" i="9"/>
  <c r="U292" i="9"/>
  <c r="U291" i="9"/>
  <c r="U290" i="9"/>
  <c r="U289" i="9"/>
  <c r="U288" i="9"/>
  <c r="U287" i="9"/>
  <c r="U286" i="9"/>
  <c r="U285" i="9"/>
  <c r="U284" i="9"/>
  <c r="U283" i="9"/>
  <c r="U282" i="9"/>
  <c r="U281" i="9"/>
  <c r="U280" i="9"/>
  <c r="U279" i="9"/>
  <c r="U278" i="9"/>
  <c r="U277" i="9"/>
  <c r="U276" i="9"/>
  <c r="U275" i="9"/>
  <c r="U274" i="9"/>
  <c r="U273" i="9"/>
  <c r="U272" i="9"/>
  <c r="U271" i="9"/>
  <c r="U270" i="9"/>
  <c r="U269" i="9"/>
  <c r="U268" i="9"/>
  <c r="U267" i="9"/>
  <c r="U266" i="9"/>
  <c r="U265" i="9"/>
  <c r="U264" i="9"/>
  <c r="U263" i="9"/>
  <c r="U262" i="9"/>
  <c r="U261" i="9"/>
  <c r="U260" i="9"/>
  <c r="U259" i="9"/>
  <c r="U258" i="9"/>
  <c r="U257" i="9"/>
  <c r="U256" i="9"/>
  <c r="U255" i="9"/>
  <c r="U254" i="9"/>
  <c r="U253" i="9"/>
  <c r="U252" i="9"/>
  <c r="U251" i="9"/>
  <c r="U250" i="9"/>
  <c r="U249" i="9"/>
  <c r="U248" i="9"/>
  <c r="U247" i="9"/>
  <c r="U246" i="9"/>
  <c r="U245" i="9"/>
  <c r="U244" i="9"/>
  <c r="U243" i="9"/>
  <c r="U242" i="9"/>
  <c r="U241" i="9"/>
  <c r="U240" i="9"/>
  <c r="U239" i="9"/>
  <c r="U238" i="9"/>
  <c r="U237" i="9"/>
  <c r="U236" i="9"/>
  <c r="U235" i="9"/>
  <c r="U234" i="9"/>
  <c r="U233" i="9"/>
  <c r="U232" i="9"/>
  <c r="U231" i="9"/>
  <c r="U230" i="9"/>
  <c r="U229" i="9"/>
  <c r="U228" i="9"/>
  <c r="U227" i="9"/>
  <c r="U226" i="9"/>
  <c r="U225" i="9"/>
  <c r="U224" i="9"/>
  <c r="U223" i="9"/>
  <c r="U222" i="9"/>
  <c r="U221" i="9"/>
  <c r="U220" i="9"/>
  <c r="U219" i="9"/>
  <c r="U218" i="9"/>
  <c r="M293" i="9"/>
  <c r="R293" i="9" s="1"/>
  <c r="M292" i="9"/>
  <c r="R292" i="9" s="1"/>
  <c r="M291" i="9"/>
  <c r="R291" i="9" s="1"/>
  <c r="M290" i="9"/>
  <c r="R290" i="9" s="1"/>
  <c r="M289" i="9"/>
  <c r="R289" i="9" s="1"/>
  <c r="M288" i="9"/>
  <c r="R288" i="9" s="1"/>
  <c r="M287" i="9"/>
  <c r="R287" i="9" s="1"/>
  <c r="M286" i="9"/>
  <c r="R286" i="9" s="1"/>
  <c r="M285" i="9"/>
  <c r="R285" i="9" s="1"/>
  <c r="M284" i="9"/>
  <c r="R284" i="9" s="1"/>
  <c r="M283" i="9"/>
  <c r="R283" i="9" s="1"/>
  <c r="M282" i="9"/>
  <c r="R282" i="9" s="1"/>
  <c r="M281" i="9"/>
  <c r="R281" i="9" s="1"/>
  <c r="M280" i="9"/>
  <c r="R280" i="9" s="1"/>
  <c r="M279" i="9"/>
  <c r="R279" i="9" s="1"/>
  <c r="M278" i="9"/>
  <c r="R278" i="9" s="1"/>
  <c r="M277" i="9"/>
  <c r="R277" i="9" s="1"/>
  <c r="M276" i="9"/>
  <c r="R276" i="9" s="1"/>
  <c r="M275" i="9"/>
  <c r="R275" i="9" s="1"/>
  <c r="M274" i="9"/>
  <c r="R274" i="9" s="1"/>
  <c r="M273" i="9"/>
  <c r="R273" i="9" s="1"/>
  <c r="M272" i="9"/>
  <c r="R272" i="9" s="1"/>
  <c r="M271" i="9"/>
  <c r="R271" i="9" s="1"/>
  <c r="M270" i="9"/>
  <c r="R270" i="9" s="1"/>
  <c r="M319" i="9"/>
  <c r="R319" i="9" s="1"/>
  <c r="M318" i="9"/>
  <c r="R318" i="9" s="1"/>
  <c r="M317" i="9"/>
  <c r="R317" i="9" s="1"/>
  <c r="M316" i="9"/>
  <c r="R316" i="9" s="1"/>
  <c r="M315" i="9"/>
  <c r="R315" i="9" s="1"/>
  <c r="M314" i="9"/>
  <c r="R314" i="9" s="1"/>
  <c r="M313" i="9"/>
  <c r="R313" i="9" s="1"/>
  <c r="M312" i="9"/>
  <c r="R312" i="9" s="1"/>
  <c r="M311" i="9"/>
  <c r="R311" i="9" s="1"/>
  <c r="M310" i="9"/>
  <c r="R310" i="9" s="1"/>
  <c r="M309" i="9"/>
  <c r="R309" i="9" s="1"/>
  <c r="M308" i="9"/>
  <c r="R308" i="9" s="1"/>
  <c r="M307" i="9"/>
  <c r="R307" i="9" s="1"/>
  <c r="M306" i="9"/>
  <c r="R306" i="9" s="1"/>
  <c r="M305" i="9"/>
  <c r="R305" i="9" s="1"/>
  <c r="M304" i="9"/>
  <c r="R304" i="9" s="1"/>
  <c r="M303" i="9"/>
  <c r="R303" i="9" s="1"/>
  <c r="M302" i="9"/>
  <c r="R302" i="9" s="1"/>
  <c r="M301" i="9"/>
  <c r="R301" i="9" s="1"/>
  <c r="M300" i="9"/>
  <c r="R300" i="9" s="1"/>
  <c r="M299" i="9"/>
  <c r="R299" i="9" s="1"/>
  <c r="M298" i="9"/>
  <c r="R298" i="9" s="1"/>
  <c r="M297" i="9"/>
  <c r="R297" i="9" s="1"/>
  <c r="M296" i="9"/>
  <c r="R296" i="9" s="1"/>
  <c r="M343" i="9"/>
  <c r="R343" i="9" s="1"/>
  <c r="M342" i="9"/>
  <c r="R342" i="9" s="1"/>
  <c r="M341" i="9"/>
  <c r="R341" i="9" s="1"/>
  <c r="M340" i="9"/>
  <c r="R340" i="9" s="1"/>
  <c r="M339" i="9"/>
  <c r="R339" i="9" s="1"/>
  <c r="M338" i="9"/>
  <c r="R338" i="9" s="1"/>
  <c r="M337" i="9"/>
  <c r="R337" i="9" s="1"/>
  <c r="M336" i="9"/>
  <c r="R336" i="9" s="1"/>
  <c r="M335" i="9"/>
  <c r="R335" i="9" s="1"/>
  <c r="M334" i="9"/>
  <c r="R334" i="9" s="1"/>
  <c r="M333" i="9"/>
  <c r="R333" i="9" s="1"/>
  <c r="M332" i="9"/>
  <c r="R332" i="9" s="1"/>
  <c r="M331" i="9"/>
  <c r="R331" i="9" s="1"/>
  <c r="M330" i="9"/>
  <c r="R330" i="9" s="1"/>
  <c r="M329" i="9"/>
  <c r="R329" i="9" s="1"/>
  <c r="M328" i="9"/>
  <c r="R328" i="9" s="1"/>
  <c r="M327" i="9"/>
  <c r="R327" i="9" s="1"/>
  <c r="M326" i="9"/>
  <c r="R326" i="9" s="1"/>
  <c r="M325" i="9"/>
  <c r="R325" i="9" s="1"/>
  <c r="M324" i="9"/>
  <c r="R324" i="9" s="1"/>
  <c r="M323" i="9"/>
  <c r="R323" i="9" s="1"/>
  <c r="M322" i="9"/>
  <c r="R322" i="9" s="1"/>
  <c r="M321" i="9"/>
  <c r="R321" i="9" s="1"/>
  <c r="M320" i="9"/>
  <c r="R320" i="9" s="1"/>
  <c r="M268" i="9"/>
  <c r="R268" i="9" s="1"/>
  <c r="M267" i="9"/>
  <c r="R267" i="9" s="1"/>
  <c r="M266" i="9"/>
  <c r="R266" i="9" s="1"/>
  <c r="M265" i="9"/>
  <c r="R265" i="9" s="1"/>
  <c r="M264" i="9"/>
  <c r="R264" i="9" s="1"/>
  <c r="M263" i="9"/>
  <c r="R263" i="9" s="1"/>
  <c r="M262" i="9"/>
  <c r="R262" i="9" s="1"/>
  <c r="M261" i="9"/>
  <c r="R261" i="9" s="1"/>
  <c r="M260" i="9"/>
  <c r="R260" i="9" s="1"/>
  <c r="M259" i="9"/>
  <c r="R259" i="9" s="1"/>
  <c r="M258" i="9"/>
  <c r="R258" i="9" s="1"/>
  <c r="M257" i="9"/>
  <c r="R257" i="9" s="1"/>
  <c r="M256" i="9"/>
  <c r="R256" i="9" s="1"/>
  <c r="M255" i="9"/>
  <c r="R255" i="9" s="1"/>
  <c r="M254" i="9"/>
  <c r="R254" i="9" s="1"/>
  <c r="M253" i="9"/>
  <c r="R253" i="9" s="1"/>
  <c r="M252" i="9"/>
  <c r="R252" i="9" s="1"/>
  <c r="M251" i="9"/>
  <c r="R251" i="9" s="1"/>
  <c r="M250" i="9"/>
  <c r="R250" i="9" s="1"/>
  <c r="M249" i="9"/>
  <c r="R249" i="9" s="1"/>
  <c r="M248" i="9"/>
  <c r="R248" i="9" s="1"/>
  <c r="M247" i="9"/>
  <c r="R247" i="9" s="1"/>
  <c r="M246" i="9"/>
  <c r="R246" i="9" s="1"/>
  <c r="M245" i="9"/>
  <c r="R245" i="9" s="1"/>
  <c r="M242" i="9"/>
  <c r="R242" i="9" s="1"/>
  <c r="M241" i="9"/>
  <c r="R241" i="9" s="1"/>
  <c r="M240" i="9"/>
  <c r="R240" i="9" s="1"/>
  <c r="M239" i="9"/>
  <c r="R239" i="9" s="1"/>
  <c r="M238" i="9"/>
  <c r="R238" i="9" s="1"/>
  <c r="M237" i="9"/>
  <c r="R237" i="9" s="1"/>
  <c r="M236" i="9"/>
  <c r="R236" i="9" s="1"/>
  <c r="M235" i="9"/>
  <c r="R235" i="9" s="1"/>
  <c r="M234" i="9"/>
  <c r="R234" i="9" s="1"/>
  <c r="M233" i="9"/>
  <c r="R233" i="9" s="1"/>
  <c r="M232" i="9"/>
  <c r="R232" i="9" s="1"/>
  <c r="M231" i="9"/>
  <c r="R231" i="9" s="1"/>
  <c r="M230" i="9"/>
  <c r="R230" i="9" s="1"/>
  <c r="M229" i="9"/>
  <c r="R229" i="9" s="1"/>
  <c r="M228" i="9"/>
  <c r="R228" i="9" s="1"/>
  <c r="M227" i="9"/>
  <c r="R227" i="9" s="1"/>
  <c r="M226" i="9"/>
  <c r="R226" i="9" s="1"/>
  <c r="M225" i="9"/>
  <c r="R225" i="9" s="1"/>
  <c r="M224" i="9"/>
  <c r="R224" i="9" s="1"/>
  <c r="M223" i="9"/>
  <c r="R223" i="9" s="1"/>
  <c r="M222" i="9"/>
  <c r="R222" i="9" s="1"/>
  <c r="M221" i="9"/>
  <c r="R221" i="9" s="1"/>
  <c r="M220" i="9"/>
  <c r="R220" i="9" s="1"/>
  <c r="M219" i="9"/>
  <c r="R219" i="9" s="1"/>
  <c r="M1227" i="9"/>
  <c r="R1227" i="9" s="1"/>
  <c r="M1226" i="9"/>
  <c r="R1226" i="9" s="1"/>
  <c r="M1234" i="9"/>
  <c r="R1234" i="9" s="1"/>
  <c r="M1233" i="9"/>
  <c r="R1233" i="9" s="1"/>
  <c r="M1033" i="9"/>
  <c r="R1033" i="9" s="1"/>
  <c r="M1032" i="9"/>
  <c r="R1032" i="9" s="1"/>
  <c r="M1030" i="9"/>
  <c r="R1030" i="9" s="1"/>
  <c r="M1028" i="9"/>
  <c r="R1028" i="9" s="1"/>
  <c r="M1022" i="9"/>
  <c r="R1022" i="9" s="1"/>
  <c r="M1021" i="9"/>
  <c r="R1021" i="9" s="1"/>
  <c r="M979" i="9"/>
  <c r="R979" i="9" s="1"/>
  <c r="M978" i="9"/>
  <c r="R978" i="9" s="1"/>
  <c r="M977" i="9"/>
  <c r="R977" i="9" s="1"/>
  <c r="M955" i="9"/>
  <c r="R955" i="9" s="1"/>
  <c r="M954" i="9"/>
  <c r="R954" i="9" s="1"/>
  <c r="M947" i="9"/>
  <c r="R947" i="9" s="1"/>
  <c r="M905" i="9"/>
  <c r="R905" i="9" s="1"/>
  <c r="M884" i="9"/>
  <c r="R884" i="9" s="1"/>
  <c r="M881" i="9"/>
  <c r="R881" i="9" s="1"/>
  <c r="M873" i="9"/>
  <c r="R873" i="9" s="1"/>
  <c r="M871" i="9"/>
  <c r="R871" i="9" s="1"/>
  <c r="M838" i="9"/>
  <c r="R838" i="9" s="1"/>
  <c r="M837" i="9"/>
  <c r="R837" i="9" s="1"/>
  <c r="M826" i="9"/>
  <c r="R826" i="9" s="1"/>
  <c r="M825" i="9"/>
  <c r="R825" i="9" s="1"/>
  <c r="M824" i="9"/>
  <c r="R824" i="9" s="1"/>
  <c r="M823" i="9"/>
  <c r="R823" i="9" s="1"/>
  <c r="M822" i="9"/>
  <c r="R822" i="9" s="1"/>
  <c r="M795" i="9"/>
  <c r="R795" i="9" s="1"/>
  <c r="M793" i="9"/>
  <c r="R793" i="9" s="1"/>
  <c r="M681" i="9"/>
  <c r="R681" i="9" s="1"/>
  <c r="M680" i="9"/>
  <c r="R680" i="9" s="1"/>
  <c r="M679" i="9"/>
  <c r="R679" i="9" s="1"/>
  <c r="M678" i="9"/>
  <c r="R678" i="9" s="1"/>
  <c r="M677" i="9"/>
  <c r="R677" i="9" s="1"/>
  <c r="M641" i="9"/>
  <c r="R641" i="9" s="1"/>
  <c r="M640" i="9"/>
  <c r="R640" i="9" s="1"/>
  <c r="M639" i="9"/>
  <c r="R639" i="9" s="1"/>
  <c r="M638" i="9"/>
  <c r="R638" i="9" s="1"/>
  <c r="M564" i="9"/>
  <c r="R564" i="9" s="1"/>
  <c r="M563" i="9"/>
  <c r="R563" i="9" s="1"/>
  <c r="M562" i="9"/>
  <c r="R562" i="9" s="1"/>
  <c r="M561" i="9"/>
  <c r="R561" i="9" s="1"/>
  <c r="M546" i="9"/>
  <c r="R546" i="9" s="1"/>
  <c r="M532" i="9"/>
  <c r="R532" i="9" s="1"/>
  <c r="M531" i="9"/>
  <c r="R531" i="9" s="1"/>
  <c r="M530" i="9"/>
  <c r="R530" i="9" s="1"/>
  <c r="M485" i="9"/>
  <c r="R485" i="9" s="1"/>
  <c r="M484" i="9"/>
  <c r="M483" i="9"/>
  <c r="R483" i="9" s="1"/>
  <c r="M482" i="9"/>
  <c r="R482" i="9" s="1"/>
  <c r="M481" i="9"/>
  <c r="R481" i="9" s="1"/>
  <c r="M480" i="9"/>
  <c r="R480" i="9" s="1"/>
  <c r="M479" i="9"/>
  <c r="R479" i="9" s="1"/>
  <c r="M478" i="9"/>
  <c r="R478" i="9" s="1"/>
  <c r="M477" i="9"/>
  <c r="R477" i="9" s="1"/>
  <c r="M475" i="9"/>
  <c r="R475" i="9" s="1"/>
  <c r="M461" i="9"/>
  <c r="R461" i="9" s="1"/>
  <c r="M460" i="9"/>
  <c r="R460" i="9" s="1"/>
  <c r="M459" i="9"/>
  <c r="R459" i="9" s="1"/>
  <c r="M458" i="9"/>
  <c r="R458" i="9" s="1"/>
  <c r="M457" i="9"/>
  <c r="R457" i="9" s="1"/>
  <c r="M451" i="9"/>
  <c r="R451" i="9" s="1"/>
  <c r="M427" i="9"/>
  <c r="R427" i="9" s="1"/>
  <c r="M405" i="9"/>
  <c r="R405" i="9" s="1"/>
  <c r="M404" i="9"/>
  <c r="R404" i="9" s="1"/>
  <c r="M403" i="9"/>
  <c r="R403" i="9" s="1"/>
  <c r="M402" i="9"/>
  <c r="R402" i="9" s="1"/>
  <c r="M396" i="9"/>
  <c r="R396" i="9" s="1"/>
  <c r="M395" i="9"/>
  <c r="R395" i="9" s="1"/>
  <c r="M394" i="9"/>
  <c r="R394" i="9" s="1"/>
  <c r="M393" i="9"/>
  <c r="R393" i="9" s="1"/>
  <c r="M207" i="9"/>
  <c r="R207" i="9" s="1"/>
  <c r="M205" i="9"/>
  <c r="R205" i="9" s="1"/>
  <c r="M204" i="9"/>
  <c r="R204" i="9" s="1"/>
  <c r="M203" i="9"/>
  <c r="R203" i="9" s="1"/>
  <c r="M344" i="9"/>
  <c r="R344" i="9" s="1"/>
  <c r="M295" i="9"/>
  <c r="R295" i="9" s="1"/>
  <c r="M294" i="9"/>
  <c r="R294" i="9" s="1"/>
  <c r="M269" i="9"/>
  <c r="R269" i="9" s="1"/>
  <c r="M244" i="9"/>
  <c r="R244" i="9" s="1"/>
  <c r="M243" i="9"/>
  <c r="R243" i="9" s="1"/>
  <c r="M218" i="9"/>
  <c r="R218" i="9" s="1"/>
  <c r="M217" i="9"/>
  <c r="R217" i="9" s="1"/>
  <c r="M216" i="9"/>
  <c r="R216" i="9" s="1"/>
  <c r="M215" i="9"/>
  <c r="R215" i="9" s="1"/>
  <c r="M214" i="9"/>
  <c r="R214" i="9" s="1"/>
  <c r="M213" i="9"/>
  <c r="R213" i="9" s="1"/>
  <c r="M181" i="9"/>
  <c r="R181" i="9" s="1"/>
  <c r="M151" i="9"/>
  <c r="R151" i="9" s="1"/>
  <c r="M150" i="9"/>
  <c r="M149" i="9"/>
  <c r="R149" i="9" s="1"/>
  <c r="M148" i="9"/>
  <c r="R148" i="9" s="1"/>
  <c r="M147" i="9"/>
  <c r="R147" i="9" s="1"/>
  <c r="M56" i="9"/>
  <c r="R56" i="9" s="1"/>
  <c r="P1310" i="9"/>
  <c r="P1311" i="9" s="1"/>
  <c r="P1312" i="9" s="1"/>
  <c r="P1313" i="9" s="1"/>
  <c r="P1314" i="9" s="1"/>
  <c r="P1315" i="9" s="1"/>
  <c r="P1316" i="9" s="1"/>
  <c r="P1317" i="9" s="1"/>
  <c r="P1306" i="9"/>
  <c r="P1307" i="9" s="1"/>
  <c r="P1308" i="9" s="1"/>
  <c r="P1309" i="9" s="1"/>
  <c r="P1302" i="9"/>
  <c r="P1303" i="9" s="1"/>
  <c r="P1304" i="9" s="1"/>
  <c r="P1305" i="9" s="1"/>
  <c r="P1290" i="9"/>
  <c r="P1291" i="9" s="1"/>
  <c r="P1292" i="9" s="1"/>
  <c r="P1293" i="9" s="1"/>
  <c r="P1294" i="9" s="1"/>
  <c r="P1295" i="9" s="1"/>
  <c r="P1296" i="9" s="1"/>
  <c r="P1297" i="9" s="1"/>
  <c r="P1298" i="9" s="1"/>
  <c r="P1299" i="9" s="1"/>
  <c r="P1300" i="9" s="1"/>
  <c r="P1301" i="9" s="1"/>
  <c r="P1285" i="9"/>
  <c r="P1286" i="9" s="1"/>
  <c r="P1287" i="9" s="1"/>
  <c r="P1288" i="9" s="1"/>
  <c r="P1289" i="9" s="1"/>
  <c r="P1280" i="9"/>
  <c r="P1281" i="9" s="1"/>
  <c r="P1282" i="9" s="1"/>
  <c r="P1283" i="9" s="1"/>
  <c r="P1284" i="9" s="1"/>
  <c r="P1274" i="9"/>
  <c r="P1275" i="9" s="1"/>
  <c r="P1276" i="9" s="1"/>
  <c r="P1277" i="9" s="1"/>
  <c r="P1278" i="9" s="1"/>
  <c r="P1279" i="9" s="1"/>
  <c r="P1268" i="9"/>
  <c r="P1269" i="9" s="1"/>
  <c r="P1270" i="9" s="1"/>
  <c r="P1271" i="9" s="1"/>
  <c r="P1272" i="9" s="1"/>
  <c r="P1273" i="9" s="1"/>
  <c r="P1258" i="9"/>
  <c r="P1259" i="9" s="1"/>
  <c r="P1260" i="9" s="1"/>
  <c r="P1261" i="9" s="1"/>
  <c r="P1262" i="9" s="1"/>
  <c r="P1263" i="9" s="1"/>
  <c r="P1264" i="9" s="1"/>
  <c r="P1265" i="9" s="1"/>
  <c r="P1266" i="9" s="1"/>
  <c r="P1267" i="9" s="1"/>
  <c r="P1250" i="9"/>
  <c r="P1251" i="9" s="1"/>
  <c r="P1252" i="9" s="1"/>
  <c r="P1253" i="9" s="1"/>
  <c r="P1254" i="9" s="1"/>
  <c r="P1255" i="9" s="1"/>
  <c r="P1256" i="9" s="1"/>
  <c r="P1257" i="9" s="1"/>
  <c r="P1245" i="9"/>
  <c r="P1246" i="9" s="1"/>
  <c r="P1247" i="9" s="1"/>
  <c r="P1248" i="9" s="1"/>
  <c r="P1249" i="9" s="1"/>
  <c r="P1240" i="9"/>
  <c r="P1241" i="9" s="1"/>
  <c r="P1242" i="9" s="1"/>
  <c r="P1243" i="9" s="1"/>
  <c r="P1244" i="9" s="1"/>
  <c r="P1224" i="9"/>
  <c r="P1225" i="9" s="1"/>
  <c r="P1226" i="9" s="1"/>
  <c r="P1227" i="9" s="1"/>
  <c r="P1228" i="9" s="1"/>
  <c r="P1229" i="9" s="1"/>
  <c r="P1230" i="9" s="1"/>
  <c r="P1231" i="9" s="1"/>
  <c r="P1232" i="9" s="1"/>
  <c r="P1233" i="9" s="1"/>
  <c r="P1234" i="9" s="1"/>
  <c r="P1235" i="9" s="1"/>
  <c r="P1236" i="9" s="1"/>
  <c r="P1237" i="9" s="1"/>
  <c r="P1238" i="9" s="1"/>
  <c r="P1239" i="9" s="1"/>
  <c r="P1218" i="9"/>
  <c r="P1219" i="9" s="1"/>
  <c r="P1220" i="9" s="1"/>
  <c r="P1221" i="9" s="1"/>
  <c r="P1222" i="9" s="1"/>
  <c r="P1223" i="9" s="1"/>
  <c r="P1208" i="9"/>
  <c r="P1209" i="9" s="1"/>
  <c r="P1210" i="9" s="1"/>
  <c r="P1211" i="9" s="1"/>
  <c r="P1212" i="9" s="1"/>
  <c r="P1213" i="9" s="1"/>
  <c r="P1214" i="9" s="1"/>
  <c r="P1215" i="9" s="1"/>
  <c r="P1216" i="9" s="1"/>
  <c r="P1217" i="9" s="1"/>
  <c r="P1199" i="9"/>
  <c r="P1200" i="9" s="1"/>
  <c r="P1201" i="9" s="1"/>
  <c r="P1202" i="9" s="1"/>
  <c r="P1203" i="9" s="1"/>
  <c r="P1204" i="9" s="1"/>
  <c r="P1205" i="9" s="1"/>
  <c r="P1206" i="9" s="1"/>
  <c r="P1207" i="9" s="1"/>
  <c r="P1191" i="9"/>
  <c r="P1192" i="9" s="1"/>
  <c r="P1193" i="9" s="1"/>
  <c r="P1194" i="9" s="1"/>
  <c r="P1195" i="9" s="1"/>
  <c r="P1196" i="9" s="1"/>
  <c r="P1197" i="9" s="1"/>
  <c r="P1198" i="9" s="1"/>
  <c r="P1182" i="9"/>
  <c r="P1183" i="9" s="1"/>
  <c r="P1184" i="9" s="1"/>
  <c r="P1185" i="9" s="1"/>
  <c r="P1186" i="9" s="1"/>
  <c r="P1187" i="9" s="1"/>
  <c r="P1188" i="9" s="1"/>
  <c r="P1189" i="9" s="1"/>
  <c r="P1190" i="9" s="1"/>
  <c r="P1175" i="9"/>
  <c r="P1176" i="9" s="1"/>
  <c r="P1177" i="9" s="1"/>
  <c r="P1178" i="9" s="1"/>
  <c r="P1179" i="9" s="1"/>
  <c r="P1180" i="9" s="1"/>
  <c r="P1181" i="9" s="1"/>
  <c r="P1172" i="9"/>
  <c r="P1173" i="9" s="1"/>
  <c r="P1174" i="9" s="1"/>
  <c r="P1165" i="9"/>
  <c r="P1166" i="9" s="1"/>
  <c r="P1167" i="9" s="1"/>
  <c r="P1168" i="9" s="1"/>
  <c r="P1169" i="9" s="1"/>
  <c r="P1170" i="9" s="1"/>
  <c r="P1171" i="9" s="1"/>
  <c r="P1153" i="9"/>
  <c r="P1154" i="9" s="1"/>
  <c r="P1155" i="9" s="1"/>
  <c r="P1156" i="9" s="1"/>
  <c r="P1157" i="9" s="1"/>
  <c r="P1158" i="9" s="1"/>
  <c r="P1159" i="9" s="1"/>
  <c r="P1160" i="9" s="1"/>
  <c r="P1161" i="9" s="1"/>
  <c r="P1162" i="9" s="1"/>
  <c r="P1163" i="9" s="1"/>
  <c r="P1164" i="9" s="1"/>
  <c r="P1148" i="9"/>
  <c r="P1149" i="9" s="1"/>
  <c r="P1150" i="9" s="1"/>
  <c r="P1151" i="9" s="1"/>
  <c r="P1152" i="9" s="1"/>
  <c r="P1143" i="9"/>
  <c r="P1144" i="9" s="1"/>
  <c r="P1145" i="9" s="1"/>
  <c r="P1146" i="9" s="1"/>
  <c r="P1147" i="9" s="1"/>
  <c r="P1138" i="9"/>
  <c r="P1139" i="9" s="1"/>
  <c r="P1140" i="9" s="1"/>
  <c r="P1141" i="9" s="1"/>
  <c r="P1142" i="9" s="1"/>
  <c r="P1134" i="9"/>
  <c r="P1135" i="9" s="1"/>
  <c r="P1136" i="9" s="1"/>
  <c r="P1137" i="9" s="1"/>
  <c r="P1129" i="9"/>
  <c r="P1130" i="9" s="1"/>
  <c r="P1131" i="9" s="1"/>
  <c r="P1132" i="9" s="1"/>
  <c r="P1133" i="9" s="1"/>
  <c r="P1124" i="9"/>
  <c r="P1125" i="9" s="1"/>
  <c r="P1126" i="9" s="1"/>
  <c r="P1127" i="9" s="1"/>
  <c r="P1128" i="9" s="1"/>
  <c r="P1120" i="9"/>
  <c r="P1121" i="9" s="1"/>
  <c r="P1122" i="9" s="1"/>
  <c r="P1123" i="9" s="1"/>
  <c r="P1115" i="9"/>
  <c r="P1116" i="9" s="1"/>
  <c r="P1117" i="9" s="1"/>
  <c r="P1118" i="9" s="1"/>
  <c r="P1119" i="9" s="1"/>
  <c r="P1110" i="9"/>
  <c r="P1111" i="9" s="1"/>
  <c r="P1112" i="9" s="1"/>
  <c r="P1113" i="9" s="1"/>
  <c r="P1114" i="9" s="1"/>
  <c r="P1105" i="9"/>
  <c r="P1106" i="9" s="1"/>
  <c r="P1107" i="9" s="1"/>
  <c r="P1108" i="9" s="1"/>
  <c r="P1109" i="9" s="1"/>
  <c r="P1094" i="9"/>
  <c r="P1095" i="9" s="1"/>
  <c r="P1096" i="9" s="1"/>
  <c r="P1097" i="9" s="1"/>
  <c r="P1098" i="9" s="1"/>
  <c r="P1099" i="9" s="1"/>
  <c r="P1100" i="9" s="1"/>
  <c r="P1101" i="9" s="1"/>
  <c r="P1102" i="9" s="1"/>
  <c r="P1103" i="9" s="1"/>
  <c r="P1104" i="9" s="1"/>
  <c r="P1088" i="9"/>
  <c r="P1089" i="9" s="1"/>
  <c r="P1090" i="9" s="1"/>
  <c r="P1091" i="9" s="1"/>
  <c r="P1092" i="9" s="1"/>
  <c r="P1093" i="9" s="1"/>
  <c r="P1083" i="9"/>
  <c r="P1084" i="9" s="1"/>
  <c r="P1085" i="9" s="1"/>
  <c r="P1086" i="9" s="1"/>
  <c r="P1087" i="9" s="1"/>
  <c r="P1075" i="9"/>
  <c r="P1076" i="9" s="1"/>
  <c r="P1077" i="9" s="1"/>
  <c r="P1078" i="9" s="1"/>
  <c r="P1079" i="9" s="1"/>
  <c r="P1080" i="9" s="1"/>
  <c r="P1081" i="9" s="1"/>
  <c r="P1082" i="9" s="1"/>
  <c r="P1071" i="9"/>
  <c r="P1072" i="9" s="1"/>
  <c r="P1073" i="9" s="1"/>
  <c r="P1074" i="9" s="1"/>
  <c r="P1065" i="9"/>
  <c r="P1066" i="9" s="1"/>
  <c r="P1067" i="9" s="1"/>
  <c r="P1068" i="9" s="1"/>
  <c r="P1069" i="9" s="1"/>
  <c r="P1070" i="9" s="1"/>
  <c r="P1060" i="9"/>
  <c r="P1061" i="9" s="1"/>
  <c r="P1062" i="9" s="1"/>
  <c r="P1063" i="9" s="1"/>
  <c r="P1064" i="9" s="1"/>
  <c r="P1055" i="9"/>
  <c r="P1056" i="9" s="1"/>
  <c r="P1057" i="9" s="1"/>
  <c r="P1058" i="9" s="1"/>
  <c r="P1059" i="9" s="1"/>
  <c r="P1050" i="9"/>
  <c r="P1051" i="9" s="1"/>
  <c r="P1052" i="9" s="1"/>
  <c r="P1053" i="9" s="1"/>
  <c r="P1054" i="9" s="1"/>
  <c r="P1045" i="9"/>
  <c r="P1046" i="9" s="1"/>
  <c r="P1047" i="9" s="1"/>
  <c r="P1048" i="9" s="1"/>
  <c r="P1049" i="9" s="1"/>
  <c r="P1040" i="9"/>
  <c r="P1041" i="9" s="1"/>
  <c r="P1042" i="9" s="1"/>
  <c r="P1043" i="9" s="1"/>
  <c r="P1044" i="9" s="1"/>
  <c r="P1035" i="9"/>
  <c r="P1036" i="9" s="1"/>
  <c r="P1037" i="9" s="1"/>
  <c r="P1038" i="9" s="1"/>
  <c r="P1039" i="9" s="1"/>
  <c r="P1019" i="9"/>
  <c r="P1020" i="9" s="1"/>
  <c r="P1021" i="9" s="1"/>
  <c r="P1022" i="9" s="1"/>
  <c r="P1023" i="9" s="1"/>
  <c r="P1024" i="9" s="1"/>
  <c r="P1025" i="9" s="1"/>
  <c r="P1026" i="9" s="1"/>
  <c r="P1027" i="9" s="1"/>
  <c r="P1028" i="9" s="1"/>
  <c r="P1029" i="9" s="1"/>
  <c r="P1030" i="9" s="1"/>
  <c r="P1031" i="9" s="1"/>
  <c r="P1032" i="9" s="1"/>
  <c r="P1033" i="9" s="1"/>
  <c r="P1034" i="9" s="1"/>
  <c r="P1010" i="9"/>
  <c r="P1011" i="9" s="1"/>
  <c r="P1012" i="9" s="1"/>
  <c r="P1013" i="9" s="1"/>
  <c r="P1014" i="9" s="1"/>
  <c r="P1015" i="9" s="1"/>
  <c r="P1016" i="9" s="1"/>
  <c r="P1017" i="9" s="1"/>
  <c r="P1018" i="9" s="1"/>
  <c r="P1002" i="9"/>
  <c r="P1003" i="9" s="1"/>
  <c r="P1004" i="9" s="1"/>
  <c r="P1005" i="9" s="1"/>
  <c r="P1006" i="9" s="1"/>
  <c r="P1007" i="9" s="1"/>
  <c r="P1008" i="9" s="1"/>
  <c r="P1009" i="9" s="1"/>
  <c r="P997" i="9"/>
  <c r="P998" i="9" s="1"/>
  <c r="P999" i="9" s="1"/>
  <c r="P1000" i="9" s="1"/>
  <c r="P1001" i="9" s="1"/>
  <c r="P992" i="9"/>
  <c r="P993" i="9" s="1"/>
  <c r="P994" i="9" s="1"/>
  <c r="P995" i="9" s="1"/>
  <c r="P996" i="9" s="1"/>
  <c r="P988" i="9"/>
  <c r="P989" i="9" s="1"/>
  <c r="P990" i="9" s="1"/>
  <c r="P991" i="9" s="1"/>
  <c r="P980" i="9"/>
  <c r="P981" i="9" s="1"/>
  <c r="P982" i="9" s="1"/>
  <c r="P983" i="9" s="1"/>
  <c r="P984" i="9" s="1"/>
  <c r="P985" i="9" s="1"/>
  <c r="P986" i="9" s="1"/>
  <c r="P987" i="9" s="1"/>
  <c r="P974" i="9"/>
  <c r="P975" i="9" s="1"/>
  <c r="P976" i="9" s="1"/>
  <c r="P977" i="9" s="1"/>
  <c r="P978" i="9" s="1"/>
  <c r="P979" i="9" s="1"/>
  <c r="P968" i="9"/>
  <c r="P969" i="9" s="1"/>
  <c r="P970" i="9" s="1"/>
  <c r="P971" i="9" s="1"/>
  <c r="P972" i="9" s="1"/>
  <c r="P973" i="9" s="1"/>
  <c r="P963" i="9"/>
  <c r="P964" i="9" s="1"/>
  <c r="P965" i="9" s="1"/>
  <c r="P966" i="9" s="1"/>
  <c r="P967" i="9" s="1"/>
  <c r="P956" i="9"/>
  <c r="P957" i="9" s="1"/>
  <c r="P958" i="9" s="1"/>
  <c r="P959" i="9" s="1"/>
  <c r="P960" i="9" s="1"/>
  <c r="P961" i="9" s="1"/>
  <c r="P962" i="9" s="1"/>
  <c r="P944" i="9"/>
  <c r="P945" i="9" s="1"/>
  <c r="P946" i="9" s="1"/>
  <c r="P947" i="9" s="1"/>
  <c r="P948" i="9" s="1"/>
  <c r="P949" i="9" s="1"/>
  <c r="P950" i="9" s="1"/>
  <c r="P951" i="9" s="1"/>
  <c r="P952" i="9" s="1"/>
  <c r="P953" i="9" s="1"/>
  <c r="P954" i="9" s="1"/>
  <c r="P955" i="9" s="1"/>
  <c r="P939" i="9"/>
  <c r="P940" i="9" s="1"/>
  <c r="P941" i="9" s="1"/>
  <c r="P942" i="9" s="1"/>
  <c r="P943" i="9" s="1"/>
  <c r="P933" i="9"/>
  <c r="P934" i="9" s="1"/>
  <c r="P935" i="9" s="1"/>
  <c r="P936" i="9" s="1"/>
  <c r="P937" i="9" s="1"/>
  <c r="P938" i="9" s="1"/>
  <c r="P925" i="9"/>
  <c r="P926" i="9" s="1"/>
  <c r="P927" i="9" s="1"/>
  <c r="P928" i="9" s="1"/>
  <c r="P929" i="9" s="1"/>
  <c r="P930" i="9" s="1"/>
  <c r="P931" i="9" s="1"/>
  <c r="P932" i="9" s="1"/>
  <c r="P920" i="9"/>
  <c r="P921" i="9" s="1"/>
  <c r="P922" i="9" s="1"/>
  <c r="P923" i="9" s="1"/>
  <c r="P924" i="9" s="1"/>
  <c r="P915" i="9"/>
  <c r="P916" i="9" s="1"/>
  <c r="P917" i="9" s="1"/>
  <c r="P918" i="9" s="1"/>
  <c r="P919" i="9" s="1"/>
  <c r="P911" i="9"/>
  <c r="P912" i="9" s="1"/>
  <c r="P913" i="9" s="1"/>
  <c r="P914" i="9" s="1"/>
  <c r="P903" i="9"/>
  <c r="P904" i="9" s="1"/>
  <c r="P905" i="9" s="1"/>
  <c r="P906" i="9" s="1"/>
  <c r="P907" i="9" s="1"/>
  <c r="P908" i="9" s="1"/>
  <c r="P909" i="9" s="1"/>
  <c r="P910" i="9" s="1"/>
  <c r="P899" i="9"/>
  <c r="P900" i="9" s="1"/>
  <c r="P901" i="9" s="1"/>
  <c r="P902" i="9" s="1"/>
  <c r="P891" i="9"/>
  <c r="P892" i="9" s="1"/>
  <c r="P893" i="9" s="1"/>
  <c r="P894" i="9" s="1"/>
  <c r="P895" i="9" s="1"/>
  <c r="P896" i="9" s="1"/>
  <c r="P897" i="9" s="1"/>
  <c r="P898" i="9" s="1"/>
  <c r="P875" i="9"/>
  <c r="P876" i="9" s="1"/>
  <c r="P877" i="9" s="1"/>
  <c r="P878" i="9" s="1"/>
  <c r="P879" i="9" s="1"/>
  <c r="P880" i="9" s="1"/>
  <c r="P881" i="9" s="1"/>
  <c r="P882" i="9" s="1"/>
  <c r="P883" i="9" s="1"/>
  <c r="P884" i="9" s="1"/>
  <c r="P885" i="9" s="1"/>
  <c r="P886" i="9" s="1"/>
  <c r="P864" i="9"/>
  <c r="P865" i="9" s="1"/>
  <c r="P866" i="9" s="1"/>
  <c r="P867" i="9" s="1"/>
  <c r="P868" i="9" s="1"/>
  <c r="P869" i="9" s="1"/>
  <c r="P870" i="9" s="1"/>
  <c r="P871" i="9" s="1"/>
  <c r="P872" i="9" s="1"/>
  <c r="P873" i="9" s="1"/>
  <c r="P874" i="9" s="1"/>
  <c r="P857" i="9"/>
  <c r="P858" i="9" s="1"/>
  <c r="P859" i="9" s="1"/>
  <c r="P860" i="9" s="1"/>
  <c r="P861" i="9" s="1"/>
  <c r="P862" i="9" s="1"/>
  <c r="P863" i="9" s="1"/>
  <c r="P851" i="9"/>
  <c r="P852" i="9" s="1"/>
  <c r="P853" i="9" s="1"/>
  <c r="P854" i="9" s="1"/>
  <c r="P855" i="9" s="1"/>
  <c r="P856" i="9" s="1"/>
  <c r="P846" i="9"/>
  <c r="P847" i="9" s="1"/>
  <c r="P848" i="9" s="1"/>
  <c r="P849" i="9" s="1"/>
  <c r="P850" i="9" s="1"/>
  <c r="P840" i="9"/>
  <c r="P841" i="9" s="1"/>
  <c r="P842" i="9" s="1"/>
  <c r="P843" i="9" s="1"/>
  <c r="P844" i="9" s="1"/>
  <c r="P845" i="9" s="1"/>
  <c r="P822" i="9"/>
  <c r="P823" i="9" s="1"/>
  <c r="P824" i="9" s="1"/>
  <c r="P825" i="9" s="1"/>
  <c r="P826" i="9" s="1"/>
  <c r="P827" i="9" s="1"/>
  <c r="P828" i="9" s="1"/>
  <c r="P829" i="9" s="1"/>
  <c r="P830" i="9" s="1"/>
  <c r="P831" i="9" s="1"/>
  <c r="P832" i="9" s="1"/>
  <c r="P833" i="9" s="1"/>
  <c r="P834" i="9" s="1"/>
  <c r="P835" i="9" s="1"/>
  <c r="P836" i="9" s="1"/>
  <c r="P837" i="9" s="1"/>
  <c r="P838" i="9" s="1"/>
  <c r="P839" i="9" s="1"/>
  <c r="P818" i="9"/>
  <c r="P819" i="9" s="1"/>
  <c r="P820" i="9" s="1"/>
  <c r="P821" i="9" s="1"/>
  <c r="P809" i="9"/>
  <c r="P810" i="9" s="1"/>
  <c r="P811" i="9" s="1"/>
  <c r="P812" i="9" s="1"/>
  <c r="P813" i="9" s="1"/>
  <c r="P814" i="9" s="1"/>
  <c r="P815" i="9" s="1"/>
  <c r="P816" i="9" s="1"/>
  <c r="P817" i="9" s="1"/>
  <c r="P804" i="9"/>
  <c r="P805" i="9" s="1"/>
  <c r="P806" i="9" s="1"/>
  <c r="P807" i="9" s="1"/>
  <c r="P808" i="9" s="1"/>
  <c r="P800" i="9"/>
  <c r="P801" i="9" s="1"/>
  <c r="P802" i="9" s="1"/>
  <c r="P803" i="9" s="1"/>
  <c r="P791" i="9"/>
  <c r="P792" i="9" s="1"/>
  <c r="P793" i="9" s="1"/>
  <c r="P794" i="9" s="1"/>
  <c r="P795" i="9" s="1"/>
  <c r="P796" i="9" s="1"/>
  <c r="P797" i="9" s="1"/>
  <c r="P798" i="9" s="1"/>
  <c r="P799" i="9" s="1"/>
  <c r="P775" i="9"/>
  <c r="P776" i="9" s="1"/>
  <c r="P777" i="9" s="1"/>
  <c r="P778" i="9" s="1"/>
  <c r="P779" i="9" s="1"/>
  <c r="P780" i="9" s="1"/>
  <c r="P781" i="9" s="1"/>
  <c r="P782" i="9" s="1"/>
  <c r="P783" i="9" s="1"/>
  <c r="P784" i="9" s="1"/>
  <c r="P785" i="9" s="1"/>
  <c r="P786" i="9" s="1"/>
  <c r="P787" i="9" s="1"/>
  <c r="P788" i="9" s="1"/>
  <c r="P789" i="9" s="1"/>
  <c r="P790" i="9" s="1"/>
  <c r="P770" i="9"/>
  <c r="P771" i="9" s="1"/>
  <c r="P772" i="9" s="1"/>
  <c r="P773" i="9" s="1"/>
  <c r="P774" i="9" s="1"/>
  <c r="P763" i="9"/>
  <c r="P764" i="9" s="1"/>
  <c r="P765" i="9" s="1"/>
  <c r="P766" i="9" s="1"/>
  <c r="P767" i="9" s="1"/>
  <c r="P768" i="9" s="1"/>
  <c r="P769" i="9" s="1"/>
  <c r="P756" i="9"/>
  <c r="P757" i="9" s="1"/>
  <c r="P758" i="9" s="1"/>
  <c r="P759" i="9" s="1"/>
  <c r="P760" i="9" s="1"/>
  <c r="P761" i="9" s="1"/>
  <c r="P762" i="9" s="1"/>
  <c r="P749" i="9"/>
  <c r="P750" i="9" s="1"/>
  <c r="P751" i="9" s="1"/>
  <c r="P752" i="9" s="1"/>
  <c r="P753" i="9" s="1"/>
  <c r="P754" i="9" s="1"/>
  <c r="P755" i="9" s="1"/>
  <c r="P742" i="9"/>
  <c r="P743" i="9" s="1"/>
  <c r="P744" i="9" s="1"/>
  <c r="P745" i="9" s="1"/>
  <c r="P746" i="9" s="1"/>
  <c r="P747" i="9" s="1"/>
  <c r="P748" i="9" s="1"/>
  <c r="P735" i="9"/>
  <c r="P736" i="9" s="1"/>
  <c r="P737" i="9" s="1"/>
  <c r="P738" i="9" s="1"/>
  <c r="P739" i="9" s="1"/>
  <c r="P740" i="9" s="1"/>
  <c r="P741" i="9" s="1"/>
  <c r="P730" i="9"/>
  <c r="P731" i="9" s="1"/>
  <c r="P732" i="9" s="1"/>
  <c r="P733" i="9" s="1"/>
  <c r="P734" i="9" s="1"/>
  <c r="P725" i="9"/>
  <c r="P726" i="9" s="1"/>
  <c r="P727" i="9" s="1"/>
  <c r="P728" i="9" s="1"/>
  <c r="P729" i="9" s="1"/>
  <c r="P719" i="9"/>
  <c r="P720" i="9" s="1"/>
  <c r="P721" i="9" s="1"/>
  <c r="P722" i="9" s="1"/>
  <c r="P723" i="9" s="1"/>
  <c r="P724" i="9" s="1"/>
  <c r="P714" i="9"/>
  <c r="P715" i="9" s="1"/>
  <c r="P716" i="9" s="1"/>
  <c r="P717" i="9" s="1"/>
  <c r="P718" i="9" s="1"/>
  <c r="P709" i="9"/>
  <c r="P710" i="9" s="1"/>
  <c r="P711" i="9" s="1"/>
  <c r="P712" i="9" s="1"/>
  <c r="P713" i="9" s="1"/>
  <c r="P704" i="9"/>
  <c r="P705" i="9" s="1"/>
  <c r="P706" i="9" s="1"/>
  <c r="P707" i="9" s="1"/>
  <c r="P708" i="9" s="1"/>
  <c r="P700" i="9"/>
  <c r="P701" i="9" s="1"/>
  <c r="P702" i="9" s="1"/>
  <c r="P703" i="9" s="1"/>
  <c r="P694" i="9"/>
  <c r="P695" i="9" s="1"/>
  <c r="P696" i="9" s="1"/>
  <c r="P697" i="9" s="1"/>
  <c r="P698" i="9" s="1"/>
  <c r="P699" i="9" s="1"/>
  <c r="P690" i="9"/>
  <c r="P691" i="9" s="1"/>
  <c r="P692" i="9" s="1"/>
  <c r="P693" i="9" s="1"/>
  <c r="P686" i="9"/>
  <c r="P687" i="9" s="1"/>
  <c r="P688" i="9" s="1"/>
  <c r="P689" i="9" s="1"/>
  <c r="P682" i="9"/>
  <c r="P683" i="9" s="1"/>
  <c r="P684" i="9" s="1"/>
  <c r="P685" i="9" s="1"/>
  <c r="P677" i="9"/>
  <c r="P678" i="9" s="1"/>
  <c r="P679" i="9" s="1"/>
  <c r="P680" i="9" s="1"/>
  <c r="P681" i="9" s="1"/>
  <c r="P673" i="9"/>
  <c r="P674" i="9" s="1"/>
  <c r="P675" i="9" s="1"/>
  <c r="P676" i="9" s="1"/>
  <c r="P669" i="9"/>
  <c r="P670" i="9" s="1"/>
  <c r="P671" i="9" s="1"/>
  <c r="P672" i="9" s="1"/>
  <c r="P665" i="9"/>
  <c r="P666" i="9" s="1"/>
  <c r="P667" i="9" s="1"/>
  <c r="P668" i="9" s="1"/>
  <c r="P660" i="9"/>
  <c r="P661" i="9" s="1"/>
  <c r="P662" i="9" s="1"/>
  <c r="P663" i="9" s="1"/>
  <c r="P664" i="9" s="1"/>
  <c r="P656" i="9"/>
  <c r="P657" i="9" s="1"/>
  <c r="P658" i="9" s="1"/>
  <c r="P659" i="9" s="1"/>
  <c r="P651" i="9"/>
  <c r="P652" i="9" s="1"/>
  <c r="P653" i="9" s="1"/>
  <c r="P654" i="9" s="1"/>
  <c r="P655" i="9" s="1"/>
  <c r="P646" i="9"/>
  <c r="P647" i="9" s="1"/>
  <c r="P648" i="9" s="1"/>
  <c r="P649" i="9" s="1"/>
  <c r="P650" i="9" s="1"/>
  <c r="P642" i="9"/>
  <c r="P643" i="9" s="1"/>
  <c r="P644" i="9" s="1"/>
  <c r="P645" i="9" s="1"/>
  <c r="P638" i="9"/>
  <c r="P639" i="9" s="1"/>
  <c r="P640" i="9" s="1"/>
  <c r="P641" i="9" s="1"/>
  <c r="P633" i="9"/>
  <c r="P634" i="9" s="1"/>
  <c r="P635" i="9" s="1"/>
  <c r="P636" i="9" s="1"/>
  <c r="P637" i="9" s="1"/>
  <c r="P628" i="9"/>
  <c r="P629" i="9" s="1"/>
  <c r="P630" i="9" s="1"/>
  <c r="P631" i="9" s="1"/>
  <c r="P632" i="9" s="1"/>
  <c r="P624" i="9"/>
  <c r="P625" i="9" s="1"/>
  <c r="P626" i="9" s="1"/>
  <c r="P627" i="9" s="1"/>
  <c r="P619" i="9"/>
  <c r="P620" i="9" s="1"/>
  <c r="P621" i="9" s="1"/>
  <c r="P622" i="9" s="1"/>
  <c r="P623" i="9" s="1"/>
  <c r="P615" i="9"/>
  <c r="P616" i="9" s="1"/>
  <c r="P617" i="9" s="1"/>
  <c r="P618" i="9" s="1"/>
  <c r="P610" i="9"/>
  <c r="P611" i="9" s="1"/>
  <c r="P612" i="9" s="1"/>
  <c r="P613" i="9" s="1"/>
  <c r="P614" i="9" s="1"/>
  <c r="P601" i="9"/>
  <c r="P602" i="9" s="1"/>
  <c r="P603" i="9" s="1"/>
  <c r="P604" i="9" s="1"/>
  <c r="P605" i="9" s="1"/>
  <c r="P606" i="9" s="1"/>
  <c r="P607" i="9" s="1"/>
  <c r="P608" i="9" s="1"/>
  <c r="P609" i="9" s="1"/>
  <c r="P596" i="9"/>
  <c r="P597" i="9" s="1"/>
  <c r="P598" i="9" s="1"/>
  <c r="P599" i="9" s="1"/>
  <c r="P600" i="9" s="1"/>
  <c r="P592" i="9"/>
  <c r="P593" i="9" s="1"/>
  <c r="P594" i="9" s="1"/>
  <c r="P595" i="9" s="1"/>
  <c r="P587" i="9"/>
  <c r="P588" i="9" s="1"/>
  <c r="P589" i="9" s="1"/>
  <c r="P590" i="9" s="1"/>
  <c r="P591" i="9" s="1"/>
  <c r="P582" i="9"/>
  <c r="P583" i="9" s="1"/>
  <c r="P584" i="9" s="1"/>
  <c r="P585" i="9" s="1"/>
  <c r="P586" i="9" s="1"/>
  <c r="P578" i="9"/>
  <c r="P579" i="9" s="1"/>
  <c r="P580" i="9" s="1"/>
  <c r="P581" i="9" s="1"/>
  <c r="P569" i="9"/>
  <c r="P570" i="9" s="1"/>
  <c r="P571" i="9" s="1"/>
  <c r="P572" i="9" s="1"/>
  <c r="P573" i="9" s="1"/>
  <c r="P574" i="9" s="1"/>
  <c r="P575" i="9" s="1"/>
  <c r="P576" i="9" s="1"/>
  <c r="P577" i="9" s="1"/>
  <c r="P555" i="9"/>
  <c r="P556" i="9" s="1"/>
  <c r="P557" i="9" s="1"/>
  <c r="P558" i="9" s="1"/>
  <c r="P559" i="9" s="1"/>
  <c r="P560" i="9" s="1"/>
  <c r="P561" i="9" s="1"/>
  <c r="P562" i="9" s="1"/>
  <c r="P563" i="9" s="1"/>
  <c r="P564" i="9" s="1"/>
  <c r="P565" i="9" s="1"/>
  <c r="P566" i="9" s="1"/>
  <c r="P567" i="9" s="1"/>
  <c r="P568" i="9" s="1"/>
  <c r="P549" i="9"/>
  <c r="P550" i="9" s="1"/>
  <c r="P551" i="9" s="1"/>
  <c r="P552" i="9" s="1"/>
  <c r="P553" i="9" s="1"/>
  <c r="P554" i="9" s="1"/>
  <c r="P527" i="9"/>
  <c r="P528" i="9" s="1"/>
  <c r="P529" i="9" s="1"/>
  <c r="P530" i="9" s="1"/>
  <c r="P531" i="9" s="1"/>
  <c r="P532" i="9" s="1"/>
  <c r="P533" i="9" s="1"/>
  <c r="P534" i="9" s="1"/>
  <c r="P535" i="9" s="1"/>
  <c r="P536" i="9" s="1"/>
  <c r="P537" i="9" s="1"/>
  <c r="P538" i="9" s="1"/>
  <c r="P539" i="9" s="1"/>
  <c r="P540" i="9" s="1"/>
  <c r="P541" i="9" s="1"/>
  <c r="P542" i="9" s="1"/>
  <c r="P543" i="9" s="1"/>
  <c r="P544" i="9" s="1"/>
  <c r="P545" i="9" s="1"/>
  <c r="P546" i="9" s="1"/>
  <c r="P547" i="9" s="1"/>
  <c r="P548" i="9" s="1"/>
  <c r="P521" i="9"/>
  <c r="P522" i="9" s="1"/>
  <c r="P523" i="9" s="1"/>
  <c r="P524" i="9" s="1"/>
  <c r="P525" i="9" s="1"/>
  <c r="P526" i="9" s="1"/>
  <c r="P515" i="9"/>
  <c r="P516" i="9" s="1"/>
  <c r="P517" i="9" s="1"/>
  <c r="P518" i="9" s="1"/>
  <c r="P519" i="9" s="1"/>
  <c r="P520" i="9" s="1"/>
  <c r="P510" i="9"/>
  <c r="P511" i="9" s="1"/>
  <c r="P512" i="9" s="1"/>
  <c r="P513" i="9" s="1"/>
  <c r="P514" i="9" s="1"/>
  <c r="P505" i="9"/>
  <c r="P506" i="9" s="1"/>
  <c r="P507" i="9" s="1"/>
  <c r="P508" i="9" s="1"/>
  <c r="P509" i="9" s="1"/>
  <c r="P501" i="9"/>
  <c r="P502" i="9" s="1"/>
  <c r="P503" i="9" s="1"/>
  <c r="P504" i="9" s="1"/>
  <c r="P496" i="9"/>
  <c r="P497" i="9" s="1"/>
  <c r="P498" i="9" s="1"/>
  <c r="P499" i="9" s="1"/>
  <c r="P500" i="9" s="1"/>
  <c r="P490" i="9"/>
  <c r="P491" i="9" s="1"/>
  <c r="P492" i="9" s="1"/>
  <c r="P493" i="9" s="1"/>
  <c r="P494" i="9" s="1"/>
  <c r="P495" i="9" s="1"/>
  <c r="P486" i="9"/>
  <c r="P487" i="9" s="1"/>
  <c r="P488" i="9" s="1"/>
  <c r="P489" i="9" s="1"/>
  <c r="P482" i="9"/>
  <c r="P483" i="9" s="1"/>
  <c r="P484" i="9" s="1"/>
  <c r="P485" i="9" s="1"/>
  <c r="P477" i="9"/>
  <c r="P478" i="9" s="1"/>
  <c r="P479" i="9" s="1"/>
  <c r="P480" i="9" s="1"/>
  <c r="P481" i="9" s="1"/>
  <c r="P471" i="9"/>
  <c r="P472" i="9" s="1"/>
  <c r="P473" i="9" s="1"/>
  <c r="P474" i="9" s="1"/>
  <c r="P475" i="9" s="1"/>
  <c r="P476" i="9" s="1"/>
  <c r="P462" i="9"/>
  <c r="P463" i="9" s="1"/>
  <c r="P464" i="9" s="1"/>
  <c r="P465" i="9" s="1"/>
  <c r="P466" i="9" s="1"/>
  <c r="P467" i="9" s="1"/>
  <c r="P468" i="9" s="1"/>
  <c r="P469" i="9" s="1"/>
  <c r="P470" i="9" s="1"/>
  <c r="P457" i="9"/>
  <c r="P458" i="9" s="1"/>
  <c r="P459" i="9" s="1"/>
  <c r="P460" i="9" s="1"/>
  <c r="P461" i="9" s="1"/>
  <c r="P447" i="9"/>
  <c r="P448" i="9" s="1"/>
  <c r="P449" i="9" s="1"/>
  <c r="P450" i="9" s="1"/>
  <c r="P451" i="9" s="1"/>
  <c r="P452" i="9" s="1"/>
  <c r="P453" i="9" s="1"/>
  <c r="P454" i="9" s="1"/>
  <c r="P455" i="9" s="1"/>
  <c r="P456" i="9" s="1"/>
  <c r="P439" i="9"/>
  <c r="P440" i="9" s="1"/>
  <c r="P441" i="9" s="1"/>
  <c r="P442" i="9" s="1"/>
  <c r="P443" i="9" s="1"/>
  <c r="P444" i="9" s="1"/>
  <c r="P445" i="9" s="1"/>
  <c r="P446" i="9" s="1"/>
  <c r="P435" i="9"/>
  <c r="P436" i="9" s="1"/>
  <c r="P437" i="9" s="1"/>
  <c r="P438" i="9" s="1"/>
  <c r="P430" i="9"/>
  <c r="P431" i="9" s="1"/>
  <c r="P432" i="9" s="1"/>
  <c r="P433" i="9" s="1"/>
  <c r="P434" i="9" s="1"/>
  <c r="P423" i="9"/>
  <c r="P424" i="9" s="1"/>
  <c r="P425" i="9" s="1"/>
  <c r="P426" i="9" s="1"/>
  <c r="P427" i="9" s="1"/>
  <c r="P428" i="9" s="1"/>
  <c r="P429" i="9" s="1"/>
  <c r="P418" i="9"/>
  <c r="P419" i="9" s="1"/>
  <c r="P420" i="9" s="1"/>
  <c r="P421" i="9" s="1"/>
  <c r="P422" i="9" s="1"/>
  <c r="P411" i="9"/>
  <c r="P412" i="9" s="1"/>
  <c r="P413" i="9" s="1"/>
  <c r="P414" i="9" s="1"/>
  <c r="P415" i="9" s="1"/>
  <c r="P416" i="9" s="1"/>
  <c r="P417" i="9" s="1"/>
  <c r="P406" i="9"/>
  <c r="P407" i="9" s="1"/>
  <c r="P408" i="9" s="1"/>
  <c r="P409" i="9" s="1"/>
  <c r="P410" i="9" s="1"/>
  <c r="P402" i="9"/>
  <c r="P403" i="9" s="1"/>
  <c r="P404" i="9" s="1"/>
  <c r="P405" i="9" s="1"/>
  <c r="P397" i="9"/>
  <c r="P398" i="9" s="1"/>
  <c r="P399" i="9" s="1"/>
  <c r="P400" i="9" s="1"/>
  <c r="P401" i="9" s="1"/>
  <c r="P393" i="9"/>
  <c r="P394" i="9" s="1"/>
  <c r="P395" i="9" s="1"/>
  <c r="P396" i="9" s="1"/>
  <c r="P389" i="9"/>
  <c r="P390" i="9" s="1"/>
  <c r="P391" i="9" s="1"/>
  <c r="P392" i="9" s="1"/>
  <c r="P384" i="9"/>
  <c r="P385" i="9" s="1"/>
  <c r="P386" i="9" s="1"/>
  <c r="P387" i="9" s="1"/>
  <c r="P388" i="9" s="1"/>
  <c r="P367" i="9"/>
  <c r="P368" i="9" s="1"/>
  <c r="P369" i="9" s="1"/>
  <c r="P370" i="9" s="1"/>
  <c r="P371" i="9" s="1"/>
  <c r="P372" i="9" s="1"/>
  <c r="P373" i="9" s="1"/>
  <c r="P374" i="9" s="1"/>
  <c r="P375" i="9" s="1"/>
  <c r="P376" i="9" s="1"/>
  <c r="P377" i="9" s="1"/>
  <c r="P378" i="9" s="1"/>
  <c r="P379" i="9" s="1"/>
  <c r="P380" i="9" s="1"/>
  <c r="P381" i="9" s="1"/>
  <c r="P382" i="9" s="1"/>
  <c r="P383" i="9" s="1"/>
  <c r="P362" i="9"/>
  <c r="P363" i="9" s="1"/>
  <c r="P364" i="9" s="1"/>
  <c r="P365" i="9" s="1"/>
  <c r="P366" i="9" s="1"/>
  <c r="P349" i="9"/>
  <c r="P350" i="9" s="1"/>
  <c r="P351" i="9" s="1"/>
  <c r="P352" i="9" s="1"/>
  <c r="P353" i="9" s="1"/>
  <c r="P354" i="9" s="1"/>
  <c r="P355" i="9" s="1"/>
  <c r="P356" i="9" s="1"/>
  <c r="P357" i="9" s="1"/>
  <c r="P358" i="9" s="1"/>
  <c r="P359" i="9" s="1"/>
  <c r="P360" i="9" s="1"/>
  <c r="P361" i="9" s="1"/>
  <c r="P345" i="9"/>
  <c r="P346" i="9" s="1"/>
  <c r="P347" i="9" s="1"/>
  <c r="P348" i="9" s="1"/>
  <c r="P214" i="9"/>
  <c r="P215" i="9" s="1"/>
  <c r="P216" i="9" s="1"/>
  <c r="P217" i="9" s="1"/>
  <c r="P208" i="9"/>
  <c r="P209" i="9" s="1"/>
  <c r="P210" i="9" s="1"/>
  <c r="P211" i="9" s="1"/>
  <c r="P212" i="9" s="1"/>
  <c r="P213" i="9" s="1"/>
  <c r="P203" i="9"/>
  <c r="P204" i="9" s="1"/>
  <c r="P205" i="9" s="1"/>
  <c r="P198" i="9"/>
  <c r="P199" i="9" s="1"/>
  <c r="P200" i="9" s="1"/>
  <c r="P201" i="9" s="1"/>
  <c r="P191" i="9"/>
  <c r="P192" i="9" s="1"/>
  <c r="P193" i="9" s="1"/>
  <c r="P194" i="9" s="1"/>
  <c r="P195" i="9" s="1"/>
  <c r="P196" i="9" s="1"/>
  <c r="P197" i="9" s="1"/>
  <c r="P180" i="9"/>
  <c r="P181" i="9" s="1"/>
  <c r="P182" i="9" s="1"/>
  <c r="P183" i="9" s="1"/>
  <c r="P184" i="9" s="1"/>
  <c r="P185" i="9" s="1"/>
  <c r="P186" i="9" s="1"/>
  <c r="P187" i="9" s="1"/>
  <c r="P188" i="9" s="1"/>
  <c r="P189" i="9" s="1"/>
  <c r="P190" i="9" s="1"/>
  <c r="P173" i="9"/>
  <c r="P174" i="9" s="1"/>
  <c r="P175" i="9" s="1"/>
  <c r="P176" i="9" s="1"/>
  <c r="P177" i="9" s="1"/>
  <c r="P178" i="9" s="1"/>
  <c r="P179" i="9" s="1"/>
  <c r="P167" i="9"/>
  <c r="P168" i="9" s="1"/>
  <c r="P169" i="9" s="1"/>
  <c r="P170" i="9" s="1"/>
  <c r="P171" i="9" s="1"/>
  <c r="P172" i="9" s="1"/>
  <c r="P162" i="9"/>
  <c r="P163" i="9" s="1"/>
  <c r="P164" i="9" s="1"/>
  <c r="P165" i="9" s="1"/>
  <c r="P166" i="9" s="1"/>
  <c r="P157" i="9"/>
  <c r="P158" i="9" s="1"/>
  <c r="P159" i="9" s="1"/>
  <c r="P160" i="9" s="1"/>
  <c r="P161" i="9" s="1"/>
  <c r="P152" i="9"/>
  <c r="P153" i="9" s="1"/>
  <c r="P154" i="9" s="1"/>
  <c r="P155" i="9" s="1"/>
  <c r="P156" i="9" s="1"/>
  <c r="P147" i="9"/>
  <c r="P148" i="9" s="1"/>
  <c r="P149" i="9" s="1"/>
  <c r="P150" i="9" s="1"/>
  <c r="P151" i="9" s="1"/>
  <c r="P141" i="9"/>
  <c r="P142" i="9" s="1"/>
  <c r="P143" i="9" s="1"/>
  <c r="P144" i="9" s="1"/>
  <c r="P145" i="9" s="1"/>
  <c r="P146" i="9" s="1"/>
  <c r="P136" i="9"/>
  <c r="P137" i="9" s="1"/>
  <c r="P138" i="9" s="1"/>
  <c r="P139" i="9" s="1"/>
  <c r="P140" i="9" s="1"/>
  <c r="P131" i="9"/>
  <c r="P132" i="9" s="1"/>
  <c r="P133" i="9" s="1"/>
  <c r="P134" i="9" s="1"/>
  <c r="P135" i="9" s="1"/>
  <c r="P119" i="9"/>
  <c r="P120" i="9" s="1"/>
  <c r="P121" i="9" s="1"/>
  <c r="P122" i="9" s="1"/>
  <c r="P123" i="9" s="1"/>
  <c r="P124" i="9" s="1"/>
  <c r="P125" i="9" s="1"/>
  <c r="P126" i="9" s="1"/>
  <c r="P127" i="9" s="1"/>
  <c r="P128" i="9" s="1"/>
  <c r="P129" i="9" s="1"/>
  <c r="P130" i="9" s="1"/>
  <c r="P115" i="9"/>
  <c r="P116" i="9" s="1"/>
  <c r="P117" i="9" s="1"/>
  <c r="P118" i="9" s="1"/>
  <c r="P110" i="9"/>
  <c r="P111" i="9" s="1"/>
  <c r="P112" i="9" s="1"/>
  <c r="P113" i="9" s="1"/>
  <c r="P114" i="9" s="1"/>
  <c r="P100" i="9"/>
  <c r="P101" i="9" s="1"/>
  <c r="P102" i="9" s="1"/>
  <c r="P103" i="9" s="1"/>
  <c r="P104" i="9" s="1"/>
  <c r="P105" i="9" s="1"/>
  <c r="P106" i="9" s="1"/>
  <c r="P107" i="9" s="1"/>
  <c r="P108" i="9" s="1"/>
  <c r="P109" i="9" s="1"/>
  <c r="P88" i="9"/>
  <c r="P89" i="9" s="1"/>
  <c r="P90" i="9" s="1"/>
  <c r="P91" i="9" s="1"/>
  <c r="P92" i="9" s="1"/>
  <c r="P93" i="9" s="1"/>
  <c r="P94" i="9" s="1"/>
  <c r="P95" i="9" s="1"/>
  <c r="P96" i="9" s="1"/>
  <c r="P97" i="9" s="1"/>
  <c r="P98" i="9" s="1"/>
  <c r="P99" i="9" s="1"/>
  <c r="P73" i="9"/>
  <c r="P74" i="9" s="1"/>
  <c r="P75" i="9" s="1"/>
  <c r="P76" i="9" s="1"/>
  <c r="P77" i="9" s="1"/>
  <c r="P78" i="9" s="1"/>
  <c r="P79" i="9" s="1"/>
  <c r="P80" i="9" s="1"/>
  <c r="P81" i="9" s="1"/>
  <c r="P82" i="9" s="1"/>
  <c r="P83" i="9" s="1"/>
  <c r="P84" i="9" s="1"/>
  <c r="P85" i="9" s="1"/>
  <c r="P86" i="9" s="1"/>
  <c r="P87" i="9" s="1"/>
  <c r="P62" i="9"/>
  <c r="P63" i="9" s="1"/>
  <c r="P64" i="9" s="1"/>
  <c r="P65" i="9" s="1"/>
  <c r="P66" i="9" s="1"/>
  <c r="P67" i="9" s="1"/>
  <c r="P68" i="9" s="1"/>
  <c r="P69" i="9" s="1"/>
  <c r="P70" i="9" s="1"/>
  <c r="P71" i="9" s="1"/>
  <c r="P72" i="9" s="1"/>
  <c r="P43" i="9"/>
  <c r="P44" i="9" s="1"/>
  <c r="P45" i="9" s="1"/>
  <c r="P46" i="9" s="1"/>
  <c r="P47" i="9" s="1"/>
  <c r="P48" i="9" s="1"/>
  <c r="P49" i="9" s="1"/>
  <c r="P50" i="9" s="1"/>
  <c r="P51" i="9" s="1"/>
  <c r="P52" i="9" s="1"/>
  <c r="P53" i="9" s="1"/>
  <c r="P54" i="9" s="1"/>
  <c r="P55" i="9" s="1"/>
  <c r="P56" i="9" s="1"/>
  <c r="P57" i="9" s="1"/>
  <c r="P58" i="9" s="1"/>
  <c r="P59" i="9" s="1"/>
  <c r="P60" i="9" s="1"/>
  <c r="P61" i="9" s="1"/>
  <c r="P27" i="9"/>
  <c r="P28" i="9" s="1"/>
  <c r="P29" i="9" s="1"/>
  <c r="P30" i="9" s="1"/>
  <c r="P31" i="9" s="1"/>
  <c r="P32" i="9" s="1"/>
  <c r="P33" i="9" s="1"/>
  <c r="P34" i="9" s="1"/>
  <c r="P35" i="9" s="1"/>
  <c r="P36" i="9" s="1"/>
  <c r="P37" i="9" s="1"/>
  <c r="P38" i="9" s="1"/>
  <c r="P39" i="9" s="1"/>
  <c r="P40" i="9" s="1"/>
  <c r="P41" i="9" s="1"/>
  <c r="P42" i="9" s="1"/>
  <c r="U1317" i="9"/>
  <c r="V1317" i="9" s="1"/>
  <c r="U1316" i="9"/>
  <c r="U1315" i="9"/>
  <c r="U1314" i="9"/>
  <c r="U1313" i="9"/>
  <c r="U1312" i="9"/>
  <c r="U1311" i="9"/>
  <c r="U1310" i="9"/>
  <c r="U1309" i="9"/>
  <c r="U1308" i="9"/>
  <c r="U1307" i="9"/>
  <c r="U1306" i="9"/>
  <c r="U1305" i="9"/>
  <c r="U1304" i="9"/>
  <c r="U1303" i="9"/>
  <c r="U1302" i="9"/>
  <c r="U1301" i="9"/>
  <c r="U1300" i="9"/>
  <c r="U1299" i="9"/>
  <c r="U1298" i="9"/>
  <c r="U1297" i="9"/>
  <c r="U1296" i="9"/>
  <c r="U1295" i="9"/>
  <c r="U1294" i="9"/>
  <c r="U1293" i="9"/>
  <c r="U1292" i="9"/>
  <c r="U1291" i="9"/>
  <c r="U1290" i="9"/>
  <c r="U1289" i="9"/>
  <c r="U1288" i="9"/>
  <c r="U1287" i="9"/>
  <c r="U1286" i="9"/>
  <c r="U1285" i="9"/>
  <c r="U1284" i="9"/>
  <c r="U1283" i="9"/>
  <c r="U1282" i="9"/>
  <c r="U1281" i="9"/>
  <c r="U1280" i="9"/>
  <c r="U1279" i="9"/>
  <c r="U1278" i="9"/>
  <c r="U1277" i="9"/>
  <c r="U1276" i="9"/>
  <c r="U1275" i="9"/>
  <c r="U1274" i="9"/>
  <c r="U1273" i="9"/>
  <c r="U1272" i="9"/>
  <c r="U1271" i="9"/>
  <c r="U1270" i="9"/>
  <c r="U1269" i="9"/>
  <c r="U1268" i="9"/>
  <c r="U1267" i="9"/>
  <c r="U1266" i="9"/>
  <c r="U1265" i="9"/>
  <c r="U1264" i="9"/>
  <c r="U1263" i="9"/>
  <c r="U1262" i="9"/>
  <c r="U1261" i="9"/>
  <c r="U1260" i="9"/>
  <c r="U1259" i="9"/>
  <c r="U1258" i="9"/>
  <c r="U1257" i="9"/>
  <c r="U1256" i="9"/>
  <c r="U1255" i="9"/>
  <c r="U1254" i="9"/>
  <c r="U1253" i="9"/>
  <c r="U1252" i="9"/>
  <c r="U1251" i="9"/>
  <c r="U1250" i="9"/>
  <c r="U1249" i="9"/>
  <c r="U1248" i="9"/>
  <c r="U1247" i="9"/>
  <c r="U1246" i="9"/>
  <c r="U1245" i="9"/>
  <c r="U1244" i="9"/>
  <c r="U1243" i="9"/>
  <c r="U1242" i="9"/>
  <c r="U1241" i="9"/>
  <c r="U1240" i="9"/>
  <c r="U1239" i="9"/>
  <c r="U1238" i="9"/>
  <c r="U1237" i="9"/>
  <c r="U1236" i="9"/>
  <c r="U1235" i="9"/>
  <c r="U1234" i="9"/>
  <c r="U1233" i="9"/>
  <c r="U1232" i="9"/>
  <c r="U1231" i="9"/>
  <c r="U1230" i="9"/>
  <c r="U1229" i="9"/>
  <c r="U1228" i="9"/>
  <c r="U1227" i="9"/>
  <c r="U1226" i="9"/>
  <c r="U1225" i="9"/>
  <c r="U1224" i="9"/>
  <c r="U1223" i="9"/>
  <c r="U1222" i="9"/>
  <c r="U1221" i="9"/>
  <c r="U1220" i="9"/>
  <c r="U1219" i="9"/>
  <c r="U1218" i="9"/>
  <c r="U1217" i="9"/>
  <c r="U1216" i="9"/>
  <c r="U1215" i="9"/>
  <c r="U1214" i="9"/>
  <c r="U1213" i="9"/>
  <c r="U1212" i="9"/>
  <c r="U1211" i="9"/>
  <c r="U1210" i="9"/>
  <c r="U1209" i="9"/>
  <c r="U1208" i="9"/>
  <c r="U1207" i="9"/>
  <c r="U1206" i="9"/>
  <c r="U1205" i="9"/>
  <c r="U1204" i="9"/>
  <c r="U1203" i="9"/>
  <c r="U1202" i="9"/>
  <c r="U1201" i="9"/>
  <c r="U1200" i="9"/>
  <c r="U1199" i="9"/>
  <c r="U1198" i="9"/>
  <c r="U1197" i="9"/>
  <c r="U1196" i="9"/>
  <c r="U1195" i="9"/>
  <c r="U1194" i="9"/>
  <c r="U1193" i="9"/>
  <c r="U1192" i="9"/>
  <c r="U1191" i="9"/>
  <c r="U1190" i="9"/>
  <c r="U1189" i="9"/>
  <c r="U1188" i="9"/>
  <c r="U1187" i="9"/>
  <c r="U1186" i="9"/>
  <c r="U1185" i="9"/>
  <c r="U1184" i="9"/>
  <c r="U1183" i="9"/>
  <c r="U1182" i="9"/>
  <c r="U1181" i="9"/>
  <c r="U1180" i="9"/>
  <c r="U1179" i="9"/>
  <c r="U1178" i="9"/>
  <c r="U1177" i="9"/>
  <c r="U1176" i="9"/>
  <c r="U1175" i="9"/>
  <c r="U1174" i="9"/>
  <c r="U1173" i="9"/>
  <c r="U1172" i="9"/>
  <c r="U1171" i="9"/>
  <c r="U1170" i="9"/>
  <c r="U1169" i="9"/>
  <c r="U1168" i="9"/>
  <c r="U1167" i="9"/>
  <c r="U1166" i="9"/>
  <c r="U1165" i="9"/>
  <c r="U1164" i="9"/>
  <c r="U1163" i="9"/>
  <c r="U1162" i="9"/>
  <c r="U1161" i="9"/>
  <c r="U1160" i="9"/>
  <c r="U1159" i="9"/>
  <c r="U1158" i="9"/>
  <c r="U1157" i="9"/>
  <c r="U1156" i="9"/>
  <c r="U1155" i="9"/>
  <c r="U1154" i="9"/>
  <c r="U1153" i="9"/>
  <c r="U1152" i="9"/>
  <c r="U1151" i="9"/>
  <c r="U1150" i="9"/>
  <c r="U1149" i="9"/>
  <c r="U1148" i="9"/>
  <c r="U1147" i="9"/>
  <c r="U1146" i="9"/>
  <c r="U1145" i="9"/>
  <c r="U1144" i="9"/>
  <c r="U1143" i="9"/>
  <c r="U1142" i="9"/>
  <c r="U1141" i="9"/>
  <c r="U1140" i="9"/>
  <c r="U1139" i="9"/>
  <c r="U1138" i="9"/>
  <c r="U1137" i="9"/>
  <c r="U1136" i="9"/>
  <c r="U1135" i="9"/>
  <c r="U1134" i="9"/>
  <c r="U1133" i="9"/>
  <c r="U1132" i="9"/>
  <c r="U1131" i="9"/>
  <c r="U1130" i="9"/>
  <c r="U1129" i="9"/>
  <c r="U1128" i="9"/>
  <c r="U1127" i="9"/>
  <c r="U1126" i="9"/>
  <c r="U1125" i="9"/>
  <c r="U1124" i="9"/>
  <c r="U1123" i="9"/>
  <c r="U1122" i="9"/>
  <c r="U1121" i="9"/>
  <c r="U1120" i="9"/>
  <c r="U1119" i="9"/>
  <c r="U1118" i="9"/>
  <c r="U1117" i="9"/>
  <c r="U1116" i="9"/>
  <c r="U1115" i="9"/>
  <c r="U1114" i="9"/>
  <c r="U1113" i="9"/>
  <c r="U1112" i="9"/>
  <c r="U1111" i="9"/>
  <c r="U1110" i="9"/>
  <c r="U1109" i="9"/>
  <c r="U1108" i="9"/>
  <c r="U1107" i="9"/>
  <c r="U1106" i="9"/>
  <c r="U1105" i="9"/>
  <c r="U1104" i="9"/>
  <c r="U1103" i="9"/>
  <c r="U1102" i="9"/>
  <c r="U1101" i="9"/>
  <c r="U1100" i="9"/>
  <c r="U1099" i="9"/>
  <c r="U1098" i="9"/>
  <c r="U1097" i="9"/>
  <c r="U1096" i="9"/>
  <c r="U1095" i="9"/>
  <c r="U1094" i="9"/>
  <c r="U1093" i="9"/>
  <c r="U1092" i="9"/>
  <c r="U1091" i="9"/>
  <c r="U1090" i="9"/>
  <c r="U1089" i="9"/>
  <c r="U1088" i="9"/>
  <c r="U1087" i="9"/>
  <c r="U1086" i="9"/>
  <c r="U1085" i="9"/>
  <c r="U1084" i="9"/>
  <c r="U1083" i="9"/>
  <c r="U1082" i="9"/>
  <c r="U1081" i="9"/>
  <c r="U1080" i="9"/>
  <c r="U1079" i="9"/>
  <c r="U1078" i="9"/>
  <c r="U1077" i="9"/>
  <c r="U1076" i="9"/>
  <c r="U1075" i="9"/>
  <c r="U1074" i="9"/>
  <c r="U1073" i="9"/>
  <c r="U1072" i="9"/>
  <c r="U1071" i="9"/>
  <c r="U1070" i="9"/>
  <c r="U1069" i="9"/>
  <c r="U1068" i="9"/>
  <c r="U1067" i="9"/>
  <c r="U1066" i="9"/>
  <c r="U1065" i="9"/>
  <c r="U1064" i="9"/>
  <c r="U1063" i="9"/>
  <c r="U1062" i="9"/>
  <c r="U1061" i="9"/>
  <c r="U1060" i="9"/>
  <c r="U1059" i="9"/>
  <c r="U1058" i="9"/>
  <c r="U1057" i="9"/>
  <c r="U1056" i="9"/>
  <c r="U1055" i="9"/>
  <c r="U1054" i="9"/>
  <c r="U1053" i="9"/>
  <c r="U1052" i="9"/>
  <c r="U1051" i="9"/>
  <c r="U1050" i="9"/>
  <c r="U1049" i="9"/>
  <c r="U1048" i="9"/>
  <c r="U1047" i="9"/>
  <c r="U1046" i="9"/>
  <c r="U1045" i="9"/>
  <c r="U1044" i="9"/>
  <c r="U1043" i="9"/>
  <c r="U1042" i="9"/>
  <c r="U1041" i="9"/>
  <c r="U1040" i="9"/>
  <c r="U1039" i="9"/>
  <c r="U1038" i="9"/>
  <c r="U1037" i="9"/>
  <c r="U1036" i="9"/>
  <c r="U1035" i="9"/>
  <c r="U1034" i="9"/>
  <c r="U1033" i="9"/>
  <c r="U1032" i="9"/>
  <c r="U1031" i="9"/>
  <c r="U1030" i="9"/>
  <c r="U1029" i="9"/>
  <c r="U1028" i="9"/>
  <c r="U1027" i="9"/>
  <c r="U1026" i="9"/>
  <c r="U1025" i="9"/>
  <c r="U1024" i="9"/>
  <c r="U1023" i="9"/>
  <c r="U1022" i="9"/>
  <c r="U1021" i="9"/>
  <c r="U1020" i="9"/>
  <c r="U1019" i="9"/>
  <c r="U1018" i="9"/>
  <c r="U1017" i="9"/>
  <c r="U1016" i="9"/>
  <c r="U1015" i="9"/>
  <c r="U1014" i="9"/>
  <c r="U1013" i="9"/>
  <c r="U1012" i="9"/>
  <c r="U1011" i="9"/>
  <c r="U1010" i="9"/>
  <c r="U1009" i="9"/>
  <c r="U1008" i="9"/>
  <c r="U1007" i="9"/>
  <c r="U1006" i="9"/>
  <c r="U1005" i="9"/>
  <c r="U1004" i="9"/>
  <c r="U1003" i="9"/>
  <c r="U1002" i="9"/>
  <c r="U1001" i="9"/>
  <c r="U1000" i="9"/>
  <c r="U999" i="9"/>
  <c r="U998" i="9"/>
  <c r="U997" i="9"/>
  <c r="U996" i="9"/>
  <c r="U995" i="9"/>
  <c r="U994" i="9"/>
  <c r="U993" i="9"/>
  <c r="U992" i="9"/>
  <c r="U991" i="9"/>
  <c r="U990" i="9"/>
  <c r="U989" i="9"/>
  <c r="U988" i="9"/>
  <c r="U987" i="9"/>
  <c r="U986" i="9"/>
  <c r="U985" i="9"/>
  <c r="U984" i="9"/>
  <c r="U983" i="9"/>
  <c r="U982" i="9"/>
  <c r="U981" i="9"/>
  <c r="U980" i="9"/>
  <c r="U979" i="9"/>
  <c r="U978" i="9"/>
  <c r="U977" i="9"/>
  <c r="U976" i="9"/>
  <c r="U975" i="9"/>
  <c r="U974" i="9"/>
  <c r="U973" i="9"/>
  <c r="U972" i="9"/>
  <c r="U971" i="9"/>
  <c r="U970" i="9"/>
  <c r="U969" i="9"/>
  <c r="U968" i="9"/>
  <c r="U967" i="9"/>
  <c r="U966" i="9"/>
  <c r="U965" i="9"/>
  <c r="U964" i="9"/>
  <c r="U963" i="9"/>
  <c r="U962" i="9"/>
  <c r="U961" i="9"/>
  <c r="U960" i="9"/>
  <c r="U959" i="9"/>
  <c r="U958" i="9"/>
  <c r="U957" i="9"/>
  <c r="U956" i="9"/>
  <c r="U955" i="9"/>
  <c r="U954" i="9"/>
  <c r="U953" i="9"/>
  <c r="U952" i="9"/>
  <c r="U951" i="9"/>
  <c r="U950" i="9"/>
  <c r="U949" i="9"/>
  <c r="U948" i="9"/>
  <c r="U947" i="9"/>
  <c r="U946" i="9"/>
  <c r="U945" i="9"/>
  <c r="U944" i="9"/>
  <c r="U943" i="9"/>
  <c r="U942" i="9"/>
  <c r="U941" i="9"/>
  <c r="U940" i="9"/>
  <c r="U939" i="9"/>
  <c r="U938" i="9"/>
  <c r="U937" i="9"/>
  <c r="U936" i="9"/>
  <c r="U935" i="9"/>
  <c r="U934" i="9"/>
  <c r="U933" i="9"/>
  <c r="U932" i="9"/>
  <c r="U931" i="9"/>
  <c r="U930" i="9"/>
  <c r="U929" i="9"/>
  <c r="U928" i="9"/>
  <c r="U927" i="9"/>
  <c r="U926" i="9"/>
  <c r="U925" i="9"/>
  <c r="U924" i="9"/>
  <c r="U923" i="9"/>
  <c r="U922" i="9"/>
  <c r="U921" i="9"/>
  <c r="U920" i="9"/>
  <c r="U919" i="9"/>
  <c r="U918" i="9"/>
  <c r="U917" i="9"/>
  <c r="U916" i="9"/>
  <c r="U915" i="9"/>
  <c r="U914" i="9"/>
  <c r="U913" i="9"/>
  <c r="U912" i="9"/>
  <c r="U911" i="9"/>
  <c r="U910" i="9"/>
  <c r="U909" i="9"/>
  <c r="U908" i="9"/>
  <c r="U907" i="9"/>
  <c r="U906" i="9"/>
  <c r="U905" i="9"/>
  <c r="U904" i="9"/>
  <c r="U903" i="9"/>
  <c r="U902" i="9"/>
  <c r="U901" i="9"/>
  <c r="U900" i="9"/>
  <c r="U899" i="9"/>
  <c r="U898" i="9"/>
  <c r="U897" i="9"/>
  <c r="U896" i="9"/>
  <c r="U895" i="9"/>
  <c r="U894" i="9"/>
  <c r="U893" i="9"/>
  <c r="U892" i="9"/>
  <c r="U891" i="9"/>
  <c r="U890" i="9"/>
  <c r="U889" i="9"/>
  <c r="U888" i="9"/>
  <c r="U886" i="9"/>
  <c r="U885" i="9"/>
  <c r="U884" i="9"/>
  <c r="U883" i="9"/>
  <c r="U882" i="9"/>
  <c r="U881" i="9"/>
  <c r="U880" i="9"/>
  <c r="U879" i="9"/>
  <c r="U878" i="9"/>
  <c r="U877" i="9"/>
  <c r="U876" i="9"/>
  <c r="U875" i="9"/>
  <c r="U874" i="9"/>
  <c r="U873" i="9"/>
  <c r="U872" i="9"/>
  <c r="U871" i="9"/>
  <c r="U870" i="9"/>
  <c r="U869" i="9"/>
  <c r="U868" i="9"/>
  <c r="U867" i="9"/>
  <c r="U866" i="9"/>
  <c r="U865" i="9"/>
  <c r="U864" i="9"/>
  <c r="U863" i="9"/>
  <c r="U862" i="9"/>
  <c r="U861" i="9"/>
  <c r="U860" i="9"/>
  <c r="U859" i="9"/>
  <c r="U858" i="9"/>
  <c r="U857" i="9"/>
  <c r="U856" i="9"/>
  <c r="U855" i="9"/>
  <c r="U854" i="9"/>
  <c r="U853" i="9"/>
  <c r="U852" i="9"/>
  <c r="U851" i="9"/>
  <c r="U850" i="9"/>
  <c r="U849" i="9"/>
  <c r="U848" i="9"/>
  <c r="U847" i="9"/>
  <c r="U846" i="9"/>
  <c r="U845" i="9"/>
  <c r="U844" i="9"/>
  <c r="U843" i="9"/>
  <c r="U842" i="9"/>
  <c r="U841" i="9"/>
  <c r="U840" i="9"/>
  <c r="U839" i="9"/>
  <c r="U838" i="9"/>
  <c r="U837" i="9"/>
  <c r="U836" i="9"/>
  <c r="U835" i="9"/>
  <c r="U834" i="9"/>
  <c r="U833" i="9"/>
  <c r="U832" i="9"/>
  <c r="U831" i="9"/>
  <c r="U830" i="9"/>
  <c r="U829" i="9"/>
  <c r="U828" i="9"/>
  <c r="U827" i="9"/>
  <c r="U826" i="9"/>
  <c r="U825" i="9"/>
  <c r="U824" i="9"/>
  <c r="U823" i="9"/>
  <c r="U822" i="9"/>
  <c r="U821" i="9"/>
  <c r="U820" i="9"/>
  <c r="U819" i="9"/>
  <c r="U818" i="9"/>
  <c r="U817" i="9"/>
  <c r="U816" i="9"/>
  <c r="U815" i="9"/>
  <c r="U814" i="9"/>
  <c r="U813" i="9"/>
  <c r="U812" i="9"/>
  <c r="U811" i="9"/>
  <c r="U810" i="9"/>
  <c r="U809" i="9"/>
  <c r="U808" i="9"/>
  <c r="U807" i="9"/>
  <c r="U806" i="9"/>
  <c r="U805" i="9"/>
  <c r="U804" i="9"/>
  <c r="U803" i="9"/>
  <c r="U802" i="9"/>
  <c r="U801" i="9"/>
  <c r="U800" i="9"/>
  <c r="U799" i="9"/>
  <c r="U798" i="9"/>
  <c r="U797" i="9"/>
  <c r="U796" i="9"/>
  <c r="U795" i="9"/>
  <c r="U794" i="9"/>
  <c r="U793" i="9"/>
  <c r="U792" i="9"/>
  <c r="U791" i="9"/>
  <c r="U790" i="9"/>
  <c r="U789" i="9"/>
  <c r="U788" i="9"/>
  <c r="U787" i="9"/>
  <c r="U786" i="9"/>
  <c r="U785" i="9"/>
  <c r="U784" i="9"/>
  <c r="U783" i="9"/>
  <c r="U782" i="9"/>
  <c r="U781" i="9"/>
  <c r="U780" i="9"/>
  <c r="U779" i="9"/>
  <c r="U778" i="9"/>
  <c r="U777" i="9"/>
  <c r="U776" i="9"/>
  <c r="U775" i="9"/>
  <c r="U774" i="9"/>
  <c r="U773" i="9"/>
  <c r="U772" i="9"/>
  <c r="U771" i="9"/>
  <c r="U770" i="9"/>
  <c r="U769" i="9"/>
  <c r="U768" i="9"/>
  <c r="U767" i="9"/>
  <c r="U766" i="9"/>
  <c r="U765" i="9"/>
  <c r="U764" i="9"/>
  <c r="U763" i="9"/>
  <c r="U762" i="9"/>
  <c r="U761" i="9"/>
  <c r="U760" i="9"/>
  <c r="U759" i="9"/>
  <c r="U758" i="9"/>
  <c r="U757" i="9"/>
  <c r="U756" i="9"/>
  <c r="U755" i="9"/>
  <c r="U754" i="9"/>
  <c r="U753" i="9"/>
  <c r="U752" i="9"/>
  <c r="U751" i="9"/>
  <c r="U750" i="9"/>
  <c r="U749" i="9"/>
  <c r="U748" i="9"/>
  <c r="U747" i="9"/>
  <c r="U746" i="9"/>
  <c r="U745" i="9"/>
  <c r="U744" i="9"/>
  <c r="U743" i="9"/>
  <c r="U742" i="9"/>
  <c r="U741" i="9"/>
  <c r="U740" i="9"/>
  <c r="U739" i="9"/>
  <c r="U738" i="9"/>
  <c r="U737" i="9"/>
  <c r="U736" i="9"/>
  <c r="U735" i="9"/>
  <c r="U734" i="9"/>
  <c r="U733" i="9"/>
  <c r="U732" i="9"/>
  <c r="U731" i="9"/>
  <c r="U730" i="9"/>
  <c r="U729" i="9"/>
  <c r="U728" i="9"/>
  <c r="U727" i="9"/>
  <c r="U726" i="9"/>
  <c r="U725" i="9"/>
  <c r="U724" i="9"/>
  <c r="U723" i="9"/>
  <c r="U722" i="9"/>
  <c r="U721" i="9"/>
  <c r="U720" i="9"/>
  <c r="U719" i="9"/>
  <c r="U718" i="9"/>
  <c r="U717" i="9"/>
  <c r="U716" i="9"/>
  <c r="U715" i="9"/>
  <c r="U714" i="9"/>
  <c r="U713" i="9"/>
  <c r="U712" i="9"/>
  <c r="U711" i="9"/>
  <c r="U710" i="9"/>
  <c r="U709" i="9"/>
  <c r="U708" i="9"/>
  <c r="U707" i="9"/>
  <c r="U706" i="9"/>
  <c r="U705" i="9"/>
  <c r="U704" i="9"/>
  <c r="U703" i="9"/>
  <c r="U702" i="9"/>
  <c r="U701" i="9"/>
  <c r="U700" i="9"/>
  <c r="U699" i="9"/>
  <c r="U698" i="9"/>
  <c r="U697" i="9"/>
  <c r="U696" i="9"/>
  <c r="U695" i="9"/>
  <c r="U694" i="9"/>
  <c r="U693" i="9"/>
  <c r="U692" i="9"/>
  <c r="U691" i="9"/>
  <c r="U690" i="9"/>
  <c r="U689" i="9"/>
  <c r="U688" i="9"/>
  <c r="U687" i="9"/>
  <c r="U686" i="9"/>
  <c r="U685" i="9"/>
  <c r="U684" i="9"/>
  <c r="U683" i="9"/>
  <c r="U682" i="9"/>
  <c r="U681" i="9"/>
  <c r="U680" i="9"/>
  <c r="U679" i="9"/>
  <c r="U678" i="9"/>
  <c r="U677" i="9"/>
  <c r="U676" i="9"/>
  <c r="U675" i="9"/>
  <c r="U674" i="9"/>
  <c r="U673" i="9"/>
  <c r="U672" i="9"/>
  <c r="U671" i="9"/>
  <c r="U670" i="9"/>
  <c r="U669" i="9"/>
  <c r="U668" i="9"/>
  <c r="U667" i="9"/>
  <c r="U666" i="9"/>
  <c r="U665" i="9"/>
  <c r="U664" i="9"/>
  <c r="U663" i="9"/>
  <c r="U662" i="9"/>
  <c r="U661" i="9"/>
  <c r="U660" i="9"/>
  <c r="U659" i="9"/>
  <c r="U658" i="9"/>
  <c r="U657" i="9"/>
  <c r="U656" i="9"/>
  <c r="U655" i="9"/>
  <c r="U654" i="9"/>
  <c r="U653" i="9"/>
  <c r="U652" i="9"/>
  <c r="U651" i="9"/>
  <c r="U650" i="9"/>
  <c r="U649" i="9"/>
  <c r="U648" i="9"/>
  <c r="U647" i="9"/>
  <c r="U646" i="9"/>
  <c r="U645" i="9"/>
  <c r="U644" i="9"/>
  <c r="U643" i="9"/>
  <c r="U642" i="9"/>
  <c r="U641" i="9"/>
  <c r="U640" i="9"/>
  <c r="U639" i="9"/>
  <c r="U638" i="9"/>
  <c r="U637" i="9"/>
  <c r="U636" i="9"/>
  <c r="U635" i="9"/>
  <c r="U634" i="9"/>
  <c r="U633" i="9"/>
  <c r="U632" i="9"/>
  <c r="U631" i="9"/>
  <c r="U630" i="9"/>
  <c r="U629" i="9"/>
  <c r="U628" i="9"/>
  <c r="U627" i="9"/>
  <c r="U626" i="9"/>
  <c r="U625" i="9"/>
  <c r="U624" i="9"/>
  <c r="U623" i="9"/>
  <c r="U622" i="9"/>
  <c r="U621" i="9"/>
  <c r="U620" i="9"/>
  <c r="U619" i="9"/>
  <c r="U618" i="9"/>
  <c r="U617" i="9"/>
  <c r="U616" i="9"/>
  <c r="U615" i="9"/>
  <c r="U614" i="9"/>
  <c r="U613" i="9"/>
  <c r="U612" i="9"/>
  <c r="U611" i="9"/>
  <c r="U610" i="9"/>
  <c r="U609" i="9"/>
  <c r="U608" i="9"/>
  <c r="U607" i="9"/>
  <c r="U606" i="9"/>
  <c r="U604" i="9"/>
  <c r="U603" i="9"/>
  <c r="U602" i="9"/>
  <c r="U601" i="9"/>
  <c r="U600" i="9"/>
  <c r="U599" i="9"/>
  <c r="U598" i="9"/>
  <c r="U597" i="9"/>
  <c r="U596" i="9"/>
  <c r="U595" i="9"/>
  <c r="U594" i="9"/>
  <c r="U593" i="9"/>
  <c r="U592" i="9"/>
  <c r="U591" i="9"/>
  <c r="U590" i="9"/>
  <c r="U589" i="9"/>
  <c r="U588" i="9"/>
  <c r="U587" i="9"/>
  <c r="U586" i="9"/>
  <c r="U585" i="9"/>
  <c r="U584" i="9"/>
  <c r="U583" i="9"/>
  <c r="U582" i="9"/>
  <c r="U581" i="9"/>
  <c r="U580" i="9"/>
  <c r="U579" i="9"/>
  <c r="U578" i="9"/>
  <c r="U577" i="9"/>
  <c r="U576" i="9"/>
  <c r="U575" i="9"/>
  <c r="U574" i="9"/>
  <c r="U573" i="9"/>
  <c r="U572" i="9"/>
  <c r="U571" i="9"/>
  <c r="U570" i="9"/>
  <c r="U569" i="9"/>
  <c r="U568" i="9"/>
  <c r="U567" i="9"/>
  <c r="U566" i="9"/>
  <c r="U565" i="9"/>
  <c r="U564" i="9"/>
  <c r="U563" i="9"/>
  <c r="U562" i="9"/>
  <c r="U561" i="9"/>
  <c r="U560" i="9"/>
  <c r="U559" i="9"/>
  <c r="U558" i="9"/>
  <c r="U557" i="9"/>
  <c r="U556" i="9"/>
  <c r="U555" i="9"/>
  <c r="U554" i="9"/>
  <c r="U553" i="9"/>
  <c r="U552" i="9"/>
  <c r="U551" i="9"/>
  <c r="U550" i="9"/>
  <c r="U549" i="9"/>
  <c r="U548" i="9"/>
  <c r="U547" i="9"/>
  <c r="U546" i="9"/>
  <c r="U545" i="9"/>
  <c r="U544" i="9"/>
  <c r="U543" i="9"/>
  <c r="U542" i="9"/>
  <c r="U541" i="9"/>
  <c r="U540" i="9"/>
  <c r="U539" i="9"/>
  <c r="U538" i="9"/>
  <c r="U537" i="9"/>
  <c r="U536" i="9"/>
  <c r="U535" i="9"/>
  <c r="U534" i="9"/>
  <c r="U533" i="9"/>
  <c r="U532" i="9"/>
  <c r="U531" i="9"/>
  <c r="U530" i="9"/>
  <c r="U529" i="9"/>
  <c r="U528" i="9"/>
  <c r="U527" i="9"/>
  <c r="U526" i="9"/>
  <c r="U525" i="9"/>
  <c r="U524" i="9"/>
  <c r="U523" i="9"/>
  <c r="U522" i="9"/>
  <c r="U521" i="9"/>
  <c r="U520" i="9"/>
  <c r="U519" i="9"/>
  <c r="U518" i="9"/>
  <c r="U517" i="9"/>
  <c r="U516" i="9"/>
  <c r="U515" i="9"/>
  <c r="U514" i="9"/>
  <c r="U513" i="9"/>
  <c r="U512" i="9"/>
  <c r="U511" i="9"/>
  <c r="U510" i="9"/>
  <c r="U509" i="9"/>
  <c r="U508" i="9"/>
  <c r="U507" i="9"/>
  <c r="U506" i="9"/>
  <c r="U505" i="9"/>
  <c r="U504" i="9"/>
  <c r="U503" i="9"/>
  <c r="U502" i="9"/>
  <c r="U501" i="9"/>
  <c r="U500" i="9"/>
  <c r="U499" i="9"/>
  <c r="U498" i="9"/>
  <c r="U497" i="9"/>
  <c r="U496" i="9"/>
  <c r="U495" i="9"/>
  <c r="U494" i="9"/>
  <c r="U493" i="9"/>
  <c r="U492" i="9"/>
  <c r="U491" i="9"/>
  <c r="U490" i="9"/>
  <c r="U489" i="9"/>
  <c r="U488" i="9"/>
  <c r="U487" i="9"/>
  <c r="U486" i="9"/>
  <c r="U485" i="9"/>
  <c r="U484" i="9"/>
  <c r="U483" i="9"/>
  <c r="U482" i="9"/>
  <c r="U481" i="9"/>
  <c r="U480" i="9"/>
  <c r="U479" i="9"/>
  <c r="U478" i="9"/>
  <c r="U477" i="9"/>
  <c r="U476" i="9"/>
  <c r="U475" i="9"/>
  <c r="U474" i="9"/>
  <c r="U473" i="9"/>
  <c r="U472" i="9"/>
  <c r="U471" i="9"/>
  <c r="U470" i="9"/>
  <c r="U469" i="9"/>
  <c r="U468" i="9"/>
  <c r="U467" i="9"/>
  <c r="U466" i="9"/>
  <c r="U465" i="9"/>
  <c r="U464" i="9"/>
  <c r="U463" i="9"/>
  <c r="U462" i="9"/>
  <c r="U461" i="9"/>
  <c r="U460" i="9"/>
  <c r="U459" i="9"/>
  <c r="U458" i="9"/>
  <c r="U457" i="9"/>
  <c r="U456" i="9"/>
  <c r="U455" i="9"/>
  <c r="U454" i="9"/>
  <c r="U453" i="9"/>
  <c r="U452" i="9"/>
  <c r="U451" i="9"/>
  <c r="U450" i="9"/>
  <c r="U449" i="9"/>
  <c r="U448" i="9"/>
  <c r="U447" i="9"/>
  <c r="U446" i="9"/>
  <c r="U445" i="9"/>
  <c r="U444" i="9"/>
  <c r="U443" i="9"/>
  <c r="U442" i="9"/>
  <c r="U441" i="9"/>
  <c r="U440" i="9"/>
  <c r="U439" i="9"/>
  <c r="U437" i="9"/>
  <c r="U436" i="9"/>
  <c r="U435" i="9"/>
  <c r="U434" i="9"/>
  <c r="U433" i="9"/>
  <c r="U432" i="9"/>
  <c r="U431" i="9"/>
  <c r="U430" i="9"/>
  <c r="U429" i="9"/>
  <c r="U428" i="9"/>
  <c r="U427" i="9"/>
  <c r="U426" i="9"/>
  <c r="U425" i="9"/>
  <c r="U424" i="9"/>
  <c r="U423" i="9"/>
  <c r="U422" i="9"/>
  <c r="U421" i="9"/>
  <c r="U420" i="9"/>
  <c r="U419" i="9"/>
  <c r="U418" i="9"/>
  <c r="U417" i="9"/>
  <c r="U416" i="9"/>
  <c r="U415" i="9"/>
  <c r="U414" i="9"/>
  <c r="U413" i="9"/>
  <c r="U412" i="9"/>
  <c r="U411" i="9"/>
  <c r="U410" i="9"/>
  <c r="U409" i="9"/>
  <c r="U408" i="9"/>
  <c r="U407" i="9"/>
  <c r="U406" i="9"/>
  <c r="U405" i="9"/>
  <c r="U404" i="9"/>
  <c r="U403" i="9"/>
  <c r="U402" i="9"/>
  <c r="U401" i="9"/>
  <c r="U400" i="9"/>
  <c r="U399" i="9"/>
  <c r="U398" i="9"/>
  <c r="U397" i="9"/>
  <c r="U396" i="9"/>
  <c r="U395" i="9"/>
  <c r="U394" i="9"/>
  <c r="U393" i="9"/>
  <c r="U392" i="9"/>
  <c r="U391" i="9"/>
  <c r="U390" i="9"/>
  <c r="U389" i="9"/>
  <c r="U388" i="9"/>
  <c r="U387" i="9"/>
  <c r="U386" i="9"/>
  <c r="U385" i="9"/>
  <c r="U384" i="9"/>
  <c r="U383" i="9"/>
  <c r="U382" i="9"/>
  <c r="U381" i="9"/>
  <c r="U380" i="9"/>
  <c r="U379" i="9"/>
  <c r="U378" i="9"/>
  <c r="U377" i="9"/>
  <c r="U376" i="9"/>
  <c r="U375" i="9"/>
  <c r="U374" i="9"/>
  <c r="U373" i="9"/>
  <c r="U372" i="9"/>
  <c r="U371" i="9"/>
  <c r="U370" i="9"/>
  <c r="U369" i="9"/>
  <c r="U368" i="9"/>
  <c r="U367" i="9"/>
  <c r="U366" i="9"/>
  <c r="U365" i="9"/>
  <c r="U364" i="9"/>
  <c r="U363" i="9"/>
  <c r="U362" i="9"/>
  <c r="U361" i="9"/>
  <c r="U360" i="9"/>
  <c r="U359" i="9"/>
  <c r="U358" i="9"/>
  <c r="U357" i="9"/>
  <c r="U356" i="9"/>
  <c r="U355" i="9"/>
  <c r="U354" i="9"/>
  <c r="U353" i="9"/>
  <c r="U352" i="9"/>
  <c r="U351" i="9"/>
  <c r="U350" i="9"/>
  <c r="U349" i="9"/>
  <c r="U348" i="9"/>
  <c r="U347" i="9"/>
  <c r="U346" i="9"/>
  <c r="U345" i="9"/>
  <c r="U217" i="9"/>
  <c r="U216" i="9"/>
  <c r="U215" i="9"/>
  <c r="U214" i="9"/>
  <c r="U213" i="9"/>
  <c r="U212" i="9"/>
  <c r="U211" i="9"/>
  <c r="U210" i="9"/>
  <c r="U209" i="9"/>
  <c r="U208" i="9"/>
  <c r="U207" i="9"/>
  <c r="U205" i="9"/>
  <c r="U204" i="9"/>
  <c r="U203" i="9"/>
  <c r="U201" i="9"/>
  <c r="U200" i="9"/>
  <c r="U199" i="9"/>
  <c r="U198" i="9"/>
  <c r="U197" i="9"/>
  <c r="U196" i="9"/>
  <c r="U195" i="9"/>
  <c r="U194" i="9"/>
  <c r="U193" i="9"/>
  <c r="U192" i="9"/>
  <c r="U191" i="9"/>
  <c r="U190" i="9"/>
  <c r="U189" i="9"/>
  <c r="U188" i="9"/>
  <c r="U187" i="9"/>
  <c r="U186" i="9"/>
  <c r="U185" i="9"/>
  <c r="U184" i="9"/>
  <c r="U183" i="9"/>
  <c r="U182" i="9"/>
  <c r="U181" i="9"/>
  <c r="U180" i="9"/>
  <c r="U179" i="9"/>
  <c r="U178" i="9"/>
  <c r="U177" i="9"/>
  <c r="U176" i="9"/>
  <c r="U175" i="9"/>
  <c r="U174" i="9"/>
  <c r="U173" i="9"/>
  <c r="U172" i="9"/>
  <c r="U171" i="9"/>
  <c r="U170" i="9"/>
  <c r="U169" i="9"/>
  <c r="U168" i="9"/>
  <c r="U167" i="9"/>
  <c r="U166" i="9"/>
  <c r="U165" i="9"/>
  <c r="U164" i="9"/>
  <c r="U163" i="9"/>
  <c r="U162" i="9"/>
  <c r="U161" i="9"/>
  <c r="U160" i="9"/>
  <c r="U159" i="9"/>
  <c r="U158" i="9"/>
  <c r="U157" i="9"/>
  <c r="U156" i="9"/>
  <c r="U155" i="9"/>
  <c r="U154" i="9"/>
  <c r="U153" i="9"/>
  <c r="U152" i="9"/>
  <c r="U151" i="9"/>
  <c r="U150" i="9"/>
  <c r="U149" i="9"/>
  <c r="U148" i="9"/>
  <c r="U147" i="9"/>
  <c r="U146" i="9"/>
  <c r="U145" i="9"/>
  <c r="U144" i="9"/>
  <c r="U143" i="9"/>
  <c r="U142" i="9"/>
  <c r="U141" i="9"/>
  <c r="U140" i="9"/>
  <c r="U139" i="9"/>
  <c r="U138" i="9"/>
  <c r="U137" i="9"/>
  <c r="U136" i="9"/>
  <c r="U135" i="9"/>
  <c r="U134" i="9"/>
  <c r="U133" i="9"/>
  <c r="U132" i="9"/>
  <c r="U131" i="9"/>
  <c r="U130" i="9"/>
  <c r="U129" i="9"/>
  <c r="U128" i="9"/>
  <c r="U127" i="9"/>
  <c r="U126" i="9"/>
  <c r="U125" i="9"/>
  <c r="U124" i="9"/>
  <c r="U123" i="9"/>
  <c r="U122" i="9"/>
  <c r="U121" i="9"/>
  <c r="U120" i="9"/>
  <c r="U119" i="9"/>
  <c r="U118" i="9"/>
  <c r="U117" i="9"/>
  <c r="U116" i="9"/>
  <c r="U115" i="9"/>
  <c r="U114" i="9"/>
  <c r="U113" i="9"/>
  <c r="U112" i="9"/>
  <c r="U111" i="9"/>
  <c r="U110" i="9"/>
  <c r="U109" i="9"/>
  <c r="U108" i="9"/>
  <c r="U107" i="9"/>
  <c r="U106" i="9"/>
  <c r="U105" i="9"/>
  <c r="U104" i="9"/>
  <c r="U103" i="9"/>
  <c r="U102" i="9"/>
  <c r="U101" i="9"/>
  <c r="U100" i="9"/>
  <c r="U99" i="9"/>
  <c r="U98" i="9"/>
  <c r="U97" i="9"/>
  <c r="U96" i="9"/>
  <c r="U95" i="9"/>
  <c r="U94" i="9"/>
  <c r="U93" i="9"/>
  <c r="U92" i="9"/>
  <c r="U91" i="9"/>
  <c r="U90" i="9"/>
  <c r="U89" i="9"/>
  <c r="U88" i="9"/>
  <c r="U87" i="9"/>
  <c r="U86" i="9"/>
  <c r="U85" i="9"/>
  <c r="U84" i="9"/>
  <c r="U83" i="9"/>
  <c r="U82" i="9"/>
  <c r="U81" i="9"/>
  <c r="U80" i="9"/>
  <c r="U79" i="9"/>
  <c r="U78" i="9"/>
  <c r="U77" i="9"/>
  <c r="U76" i="9"/>
  <c r="U75" i="9"/>
  <c r="U74" i="9"/>
  <c r="U73" i="9"/>
  <c r="U72" i="9"/>
  <c r="U71" i="9"/>
  <c r="U70" i="9"/>
  <c r="U69" i="9"/>
  <c r="U68" i="9"/>
  <c r="U67" i="9"/>
  <c r="U66" i="9"/>
  <c r="U65" i="9"/>
  <c r="U64" i="9"/>
  <c r="U63" i="9"/>
  <c r="U62" i="9"/>
  <c r="U61" i="9"/>
  <c r="U60" i="9"/>
  <c r="U59" i="9"/>
  <c r="U58" i="9"/>
  <c r="U57" i="9"/>
  <c r="U56" i="9"/>
  <c r="U55" i="9"/>
  <c r="U54" i="9"/>
  <c r="U53" i="9"/>
  <c r="U52" i="9"/>
  <c r="U51" i="9"/>
  <c r="U50" i="9"/>
  <c r="U49" i="9"/>
  <c r="U48" i="9"/>
  <c r="U47" i="9"/>
  <c r="U46" i="9"/>
  <c r="U45" i="9"/>
  <c r="U44" i="9"/>
  <c r="U43" i="9"/>
  <c r="U42" i="9"/>
  <c r="U41" i="9"/>
  <c r="U40" i="9"/>
  <c r="U39" i="9"/>
  <c r="U38" i="9"/>
  <c r="U37" i="9"/>
  <c r="U36" i="9"/>
  <c r="U35" i="9"/>
  <c r="U34" i="9"/>
  <c r="U33" i="9"/>
  <c r="U32" i="9"/>
  <c r="U31" i="9"/>
  <c r="U30" i="9"/>
  <c r="U29" i="9"/>
  <c r="U28" i="9"/>
  <c r="U27" i="9"/>
  <c r="U26" i="9"/>
  <c r="U25" i="9"/>
  <c r="U24" i="9"/>
  <c r="U23" i="9"/>
  <c r="U22" i="9"/>
  <c r="U21" i="9"/>
  <c r="U20" i="9"/>
  <c r="U19" i="9"/>
  <c r="U18" i="9"/>
  <c r="U17" i="9"/>
  <c r="U16" i="9"/>
  <c r="U15" i="9"/>
  <c r="U14" i="9"/>
  <c r="U13" i="9"/>
  <c r="U12" i="9"/>
  <c r="U11" i="9"/>
  <c r="U10" i="9"/>
  <c r="U9" i="9"/>
  <c r="U8" i="9"/>
  <c r="U7" i="9"/>
  <c r="U605" i="9"/>
  <c r="M614" i="9"/>
  <c r="R614" i="9" s="1"/>
  <c r="M613" i="9"/>
  <c r="R613" i="9" s="1"/>
  <c r="M612" i="9"/>
  <c r="R612" i="9" s="1"/>
  <c r="M611" i="9"/>
  <c r="R611" i="9" s="1"/>
  <c r="M610" i="9"/>
  <c r="R610" i="9" s="1"/>
  <c r="M787" i="9"/>
  <c r="R787" i="9" s="1"/>
  <c r="M786" i="9"/>
  <c r="R786" i="9" s="1"/>
  <c r="M785" i="9"/>
  <c r="R785" i="9" s="1"/>
  <c r="M784" i="9"/>
  <c r="R784" i="9" s="1"/>
  <c r="M783" i="9"/>
  <c r="R783" i="9" s="1"/>
  <c r="M779" i="9"/>
  <c r="R779" i="9" s="1"/>
  <c r="M776" i="9"/>
  <c r="R776" i="9" s="1"/>
  <c r="M775" i="9"/>
  <c r="R775" i="9" s="1"/>
  <c r="R484" i="9" l="1"/>
  <c r="P887" i="9"/>
  <c r="P888" i="9" s="1"/>
  <c r="P889" i="9" s="1"/>
  <c r="P890" i="9" s="1"/>
  <c r="R150" i="9"/>
  <c r="I199" i="5"/>
  <c r="I195" i="5"/>
  <c r="I197" i="5"/>
  <c r="I198" i="5"/>
  <c r="I196" i="5"/>
  <c r="I194" i="5"/>
  <c r="V1316" i="9"/>
  <c r="V1315" i="9" s="1"/>
  <c r="V1314" i="9" s="1"/>
  <c r="V1313" i="9" s="1"/>
  <c r="V1312" i="9" s="1"/>
  <c r="V1311" i="9" s="1"/>
  <c r="V1310" i="9" s="1"/>
  <c r="V1309" i="9" s="1"/>
  <c r="V1308" i="9" s="1"/>
  <c r="V1307" i="9" s="1"/>
  <c r="V1306" i="9" s="1"/>
  <c r="V1305" i="9" s="1"/>
  <c r="V1304" i="9" s="1"/>
  <c r="V1303" i="9" s="1"/>
  <c r="V1302" i="9" s="1"/>
  <c r="V1301" i="9" s="1"/>
  <c r="V1300" i="9" s="1"/>
  <c r="V1299" i="9" s="1"/>
  <c r="V1298" i="9" s="1"/>
  <c r="V1297" i="9" s="1"/>
  <c r="V1296" i="9" s="1"/>
  <c r="V1295" i="9" s="1"/>
  <c r="V1294" i="9" s="1"/>
  <c r="V1293" i="9" s="1"/>
  <c r="V1292" i="9" s="1"/>
  <c r="V1291" i="9" s="1"/>
  <c r="V1290" i="9" s="1"/>
  <c r="V1289" i="9" s="1"/>
  <c r="V1288" i="9" s="1"/>
  <c r="V1287" i="9" s="1"/>
  <c r="V1286" i="9" s="1"/>
  <c r="V1285" i="9" s="1"/>
  <c r="V1284" i="9" s="1"/>
  <c r="V1283" i="9" s="1"/>
  <c r="V1282" i="9" s="1"/>
  <c r="V1281" i="9" s="1"/>
  <c r="V1280" i="9" s="1"/>
  <c r="V1279" i="9" s="1"/>
  <c r="V1278" i="9" s="1"/>
  <c r="V1277" i="9" s="1"/>
  <c r="V1276" i="9" s="1"/>
  <c r="V1275" i="9" s="1"/>
  <c r="V1274" i="9" s="1"/>
  <c r="V1273" i="9" s="1"/>
  <c r="V1272" i="9" s="1"/>
  <c r="V1271" i="9" s="1"/>
  <c r="V1270" i="9" s="1"/>
  <c r="V1269" i="9" s="1"/>
  <c r="V1268" i="9" s="1"/>
  <c r="V1267" i="9" s="1"/>
  <c r="V1266" i="9" s="1"/>
  <c r="V1265" i="9" s="1"/>
  <c r="V1264" i="9" s="1"/>
  <c r="V1263" i="9" s="1"/>
  <c r="V1262" i="9" s="1"/>
  <c r="V1261" i="9" s="1"/>
  <c r="V1260" i="9" s="1"/>
  <c r="V1259" i="9" s="1"/>
  <c r="V1258" i="9" s="1"/>
  <c r="V1257" i="9" s="1"/>
  <c r="V1256" i="9" s="1"/>
  <c r="V1255" i="9" s="1"/>
  <c r="V1254" i="9" s="1"/>
  <c r="V1253" i="9" s="1"/>
  <c r="V1252" i="9" s="1"/>
  <c r="V1251" i="9" s="1"/>
  <c r="V1250" i="9" s="1"/>
  <c r="V1249" i="9" s="1"/>
  <c r="V1248" i="9" s="1"/>
  <c r="V1247" i="9" s="1"/>
  <c r="V1246" i="9" s="1"/>
  <c r="V1245" i="9" s="1"/>
  <c r="V1244" i="9" s="1"/>
  <c r="V1243" i="9" s="1"/>
  <c r="V1242" i="9" s="1"/>
  <c r="V1241" i="9" s="1"/>
  <c r="V1240" i="9" s="1"/>
  <c r="V1239" i="9" s="1"/>
  <c r="V1238" i="9" s="1"/>
  <c r="V1237" i="9" s="1"/>
  <c r="V1236" i="9" s="1"/>
  <c r="V1235" i="9" s="1"/>
  <c r="V1234" i="9" s="1"/>
  <c r="V1233" i="9" s="1"/>
  <c r="V1232" i="9" s="1"/>
  <c r="V1231" i="9" s="1"/>
  <c r="V1230" i="9" s="1"/>
  <c r="V1229" i="9" s="1"/>
  <c r="V1228" i="9" s="1"/>
  <c r="V1227" i="9" s="1"/>
  <c r="V1226" i="9" s="1"/>
  <c r="V1225" i="9" s="1"/>
  <c r="V1224" i="9" s="1"/>
  <c r="V1223" i="9" s="1"/>
  <c r="V1222" i="9" s="1"/>
  <c r="V1221" i="9" s="1"/>
  <c r="V1220" i="9" s="1"/>
  <c r="V1219" i="9" s="1"/>
  <c r="V1218" i="9" s="1"/>
  <c r="V1217" i="9" s="1"/>
  <c r="V1216" i="9" s="1"/>
  <c r="V1215" i="9" s="1"/>
  <c r="V1214" i="9" s="1"/>
  <c r="V1213" i="9" s="1"/>
  <c r="V1212" i="9" s="1"/>
  <c r="V1211" i="9" s="1"/>
  <c r="V1210" i="9" s="1"/>
  <c r="V1209" i="9" s="1"/>
  <c r="V1208" i="9" s="1"/>
  <c r="V1207" i="9" s="1"/>
  <c r="V1206" i="9" s="1"/>
  <c r="V1205" i="9" s="1"/>
  <c r="V1204" i="9" s="1"/>
  <c r="V1203" i="9" s="1"/>
  <c r="V1202" i="9" s="1"/>
  <c r="V1201" i="9" s="1"/>
  <c r="V1200" i="9" s="1"/>
  <c r="V1199" i="9" s="1"/>
  <c r="V1198" i="9" s="1"/>
  <c r="V1197" i="9" s="1"/>
  <c r="V1196" i="9" s="1"/>
  <c r="V1195" i="9" s="1"/>
  <c r="V1194" i="9" s="1"/>
  <c r="V1193" i="9" s="1"/>
  <c r="V1192" i="9" s="1"/>
  <c r="V1191" i="9" s="1"/>
  <c r="V1190" i="9" s="1"/>
  <c r="V1189" i="9" s="1"/>
  <c r="V1188" i="9" s="1"/>
  <c r="V1187" i="9" s="1"/>
  <c r="V1186" i="9" s="1"/>
  <c r="V1185" i="9" s="1"/>
  <c r="V1184" i="9" s="1"/>
  <c r="V1183" i="9" s="1"/>
  <c r="V1182" i="9" s="1"/>
  <c r="V1181" i="9" s="1"/>
  <c r="V1180" i="9" s="1"/>
  <c r="V1179" i="9" s="1"/>
  <c r="V1178" i="9" s="1"/>
  <c r="V1177" i="9" s="1"/>
  <c r="V1176" i="9" s="1"/>
  <c r="V1175" i="9" s="1"/>
  <c r="V1174" i="9" s="1"/>
  <c r="V1173" i="9" s="1"/>
  <c r="V1172" i="9" s="1"/>
  <c r="V1171" i="9" s="1"/>
  <c r="V1170" i="9" s="1"/>
  <c r="V1169" i="9" s="1"/>
  <c r="V1168" i="9" s="1"/>
  <c r="V1167" i="9" s="1"/>
  <c r="V1166" i="9" s="1"/>
  <c r="V1165" i="9" s="1"/>
  <c r="V1164" i="9" s="1"/>
  <c r="V1163" i="9" s="1"/>
  <c r="V1162" i="9" s="1"/>
  <c r="V1161" i="9" s="1"/>
  <c r="V1160" i="9" s="1"/>
  <c r="V1159" i="9" s="1"/>
  <c r="V1158" i="9" s="1"/>
  <c r="V1157" i="9" s="1"/>
  <c r="V1156" i="9" s="1"/>
  <c r="V1155" i="9" s="1"/>
  <c r="V1154" i="9" s="1"/>
  <c r="V1153" i="9" s="1"/>
  <c r="V1152" i="9" s="1"/>
  <c r="V1151" i="9" s="1"/>
  <c r="V1150" i="9" s="1"/>
  <c r="V1149" i="9" s="1"/>
  <c r="V1148" i="9" s="1"/>
  <c r="V1147" i="9" s="1"/>
  <c r="V1146" i="9" s="1"/>
  <c r="V1145" i="9" s="1"/>
  <c r="V1144" i="9" s="1"/>
  <c r="V1143" i="9" s="1"/>
  <c r="V1142" i="9" s="1"/>
  <c r="V1141" i="9" s="1"/>
  <c r="V1140" i="9" s="1"/>
  <c r="V1139" i="9" s="1"/>
  <c r="V1138" i="9" s="1"/>
  <c r="V1137" i="9" s="1"/>
  <c r="V1136" i="9" s="1"/>
  <c r="V1135" i="9" s="1"/>
  <c r="V1134" i="9" s="1"/>
  <c r="V1133" i="9" s="1"/>
  <c r="V1132" i="9" s="1"/>
  <c r="V1131" i="9" s="1"/>
  <c r="V1130" i="9" s="1"/>
  <c r="V1129" i="9" s="1"/>
  <c r="V1128" i="9" s="1"/>
  <c r="V1127" i="9" s="1"/>
  <c r="V1126" i="9" s="1"/>
  <c r="V1125" i="9" s="1"/>
  <c r="V1124" i="9" s="1"/>
  <c r="V1123" i="9" s="1"/>
  <c r="V1122" i="9" s="1"/>
  <c r="V1121" i="9" s="1"/>
  <c r="V1120" i="9" s="1"/>
  <c r="V1119" i="9" s="1"/>
  <c r="V1118" i="9" s="1"/>
  <c r="V1117" i="9" s="1"/>
  <c r="V1116" i="9" s="1"/>
  <c r="V1115" i="9" s="1"/>
  <c r="V1114" i="9" s="1"/>
  <c r="V1113" i="9" s="1"/>
  <c r="V1112" i="9" s="1"/>
  <c r="V1111" i="9" s="1"/>
  <c r="V1110" i="9" s="1"/>
  <c r="V1109" i="9" s="1"/>
  <c r="V1108" i="9" s="1"/>
  <c r="V1107" i="9" s="1"/>
  <c r="V1106" i="9" s="1"/>
  <c r="V1105" i="9" s="1"/>
  <c r="V1104" i="9" s="1"/>
  <c r="V1103" i="9" s="1"/>
  <c r="V1102" i="9" s="1"/>
  <c r="V1101" i="9" s="1"/>
  <c r="V1100" i="9" s="1"/>
  <c r="V1099" i="9" s="1"/>
  <c r="V1098" i="9" s="1"/>
  <c r="V1097" i="9" s="1"/>
  <c r="V1096" i="9" s="1"/>
  <c r="V1095" i="9" s="1"/>
  <c r="V1094" i="9" s="1"/>
  <c r="V1093" i="9" s="1"/>
  <c r="V1092" i="9" s="1"/>
  <c r="V1091" i="9" s="1"/>
  <c r="V1090" i="9" s="1"/>
  <c r="V1089" i="9" s="1"/>
  <c r="V1088" i="9" s="1"/>
  <c r="V1087" i="9" s="1"/>
  <c r="V1086" i="9" s="1"/>
  <c r="V1085" i="9" s="1"/>
  <c r="V1084" i="9" s="1"/>
  <c r="V1083" i="9" s="1"/>
  <c r="V1082" i="9" s="1"/>
  <c r="V1081" i="9" s="1"/>
  <c r="V1080" i="9" s="1"/>
  <c r="V1079" i="9" s="1"/>
  <c r="V1078" i="9" s="1"/>
  <c r="V1077" i="9" s="1"/>
  <c r="V1076" i="9" s="1"/>
  <c r="V1075" i="9" s="1"/>
  <c r="V1074" i="9" s="1"/>
  <c r="V1073" i="9" s="1"/>
  <c r="V1072" i="9" s="1"/>
  <c r="V1071" i="9" s="1"/>
  <c r="V1070" i="9" s="1"/>
  <c r="V1069" i="9" s="1"/>
  <c r="V1068" i="9" s="1"/>
  <c r="V1067" i="9" s="1"/>
  <c r="V1066" i="9" s="1"/>
  <c r="V1065" i="9" s="1"/>
  <c r="V1064" i="9" s="1"/>
  <c r="V1063" i="9" s="1"/>
  <c r="V1062" i="9" s="1"/>
  <c r="V1061" i="9" s="1"/>
  <c r="V1060" i="9" s="1"/>
  <c r="V1059" i="9" s="1"/>
  <c r="V1058" i="9" s="1"/>
  <c r="V1057" i="9" s="1"/>
  <c r="V1056" i="9" s="1"/>
  <c r="V1055" i="9" s="1"/>
  <c r="V1054" i="9" s="1"/>
  <c r="V1053" i="9" s="1"/>
  <c r="V1052" i="9" s="1"/>
  <c r="V1051" i="9" s="1"/>
  <c r="V1050" i="9" s="1"/>
  <c r="V1049" i="9" s="1"/>
  <c r="V1048" i="9" s="1"/>
  <c r="V1047" i="9" s="1"/>
  <c r="V1046" i="9" s="1"/>
  <c r="V1045" i="9" s="1"/>
  <c r="V1044" i="9" s="1"/>
  <c r="V1043" i="9" s="1"/>
  <c r="V1042" i="9" s="1"/>
  <c r="V1041" i="9" s="1"/>
  <c r="V1040" i="9" s="1"/>
  <c r="V1039" i="9" s="1"/>
  <c r="V1038" i="9" s="1"/>
  <c r="V1037" i="9" s="1"/>
  <c r="V1036" i="9" s="1"/>
  <c r="V1035" i="9" s="1"/>
  <c r="V1034" i="9" s="1"/>
  <c r="V1033" i="9" s="1"/>
  <c r="V1032" i="9" s="1"/>
  <c r="V1031" i="9" s="1"/>
  <c r="V1030" i="9" s="1"/>
  <c r="V1029" i="9" s="1"/>
  <c r="V1028" i="9" s="1"/>
  <c r="V1027" i="9" s="1"/>
  <c r="V1026" i="9" s="1"/>
  <c r="V1025" i="9" s="1"/>
  <c r="V1024" i="9" s="1"/>
  <c r="V1023" i="9" s="1"/>
  <c r="V1022" i="9" s="1"/>
  <c r="V1021" i="9" s="1"/>
  <c r="V1020" i="9" s="1"/>
  <c r="V1019" i="9" s="1"/>
  <c r="V1018" i="9" s="1"/>
  <c r="V1017" i="9" s="1"/>
  <c r="V1016" i="9" s="1"/>
  <c r="V1015" i="9" s="1"/>
  <c r="V1014" i="9" s="1"/>
  <c r="V1013" i="9" s="1"/>
  <c r="V1012" i="9" s="1"/>
  <c r="V1011" i="9" s="1"/>
  <c r="V1010" i="9" s="1"/>
  <c r="V1009" i="9" s="1"/>
  <c r="V1008" i="9" s="1"/>
  <c r="V1007" i="9" s="1"/>
  <c r="V1006" i="9" s="1"/>
  <c r="V1005" i="9" s="1"/>
  <c r="V1004" i="9" s="1"/>
  <c r="V1003" i="9" s="1"/>
  <c r="V1002" i="9" s="1"/>
  <c r="V1001" i="9" s="1"/>
  <c r="V1000" i="9" s="1"/>
  <c r="V999" i="9" s="1"/>
  <c r="V998" i="9" s="1"/>
  <c r="V997" i="9" s="1"/>
  <c r="V996" i="9" s="1"/>
  <c r="V995" i="9" s="1"/>
  <c r="V994" i="9" s="1"/>
  <c r="V993" i="9" s="1"/>
  <c r="V992" i="9" s="1"/>
  <c r="V991" i="9" s="1"/>
  <c r="V990" i="9" s="1"/>
  <c r="V989" i="9" s="1"/>
  <c r="V988" i="9" s="1"/>
  <c r="V987" i="9" s="1"/>
  <c r="V986" i="9" s="1"/>
  <c r="V985" i="9" s="1"/>
  <c r="V984" i="9" s="1"/>
  <c r="V983" i="9" s="1"/>
  <c r="V982" i="9" s="1"/>
  <c r="V981" i="9" s="1"/>
  <c r="V980" i="9" s="1"/>
  <c r="V979" i="9" s="1"/>
  <c r="V978" i="9" s="1"/>
  <c r="V977" i="9" s="1"/>
  <c r="V976" i="9" s="1"/>
  <c r="V975" i="9" s="1"/>
  <c r="V974" i="9" s="1"/>
  <c r="V973" i="9" s="1"/>
  <c r="V972" i="9" s="1"/>
  <c r="V971" i="9" s="1"/>
  <c r="V970" i="9" s="1"/>
  <c r="V969" i="9" s="1"/>
  <c r="V968" i="9" s="1"/>
  <c r="V967" i="9" s="1"/>
  <c r="V966" i="9" s="1"/>
  <c r="V965" i="9" s="1"/>
  <c r="V964" i="9" s="1"/>
  <c r="V963" i="9" s="1"/>
  <c r="V962" i="9" s="1"/>
  <c r="V961" i="9" s="1"/>
  <c r="V960" i="9" s="1"/>
  <c r="V959" i="9" s="1"/>
  <c r="V958" i="9" s="1"/>
  <c r="V957" i="9" s="1"/>
  <c r="V956" i="9" s="1"/>
  <c r="V955" i="9" s="1"/>
  <c r="V954" i="9" s="1"/>
  <c r="V953" i="9" s="1"/>
  <c r="V952" i="9" s="1"/>
  <c r="V951" i="9" s="1"/>
  <c r="V950" i="9" s="1"/>
  <c r="V949" i="9" s="1"/>
  <c r="V948" i="9" s="1"/>
  <c r="V947" i="9" s="1"/>
  <c r="V946" i="9" s="1"/>
  <c r="V945" i="9" s="1"/>
  <c r="V944" i="9" s="1"/>
  <c r="V943" i="9" s="1"/>
  <c r="V942" i="9" s="1"/>
  <c r="V941" i="9" s="1"/>
  <c r="V940" i="9" s="1"/>
  <c r="V939" i="9" s="1"/>
  <c r="V938" i="9" s="1"/>
  <c r="V937" i="9" s="1"/>
  <c r="V936" i="9" s="1"/>
  <c r="V935" i="9" s="1"/>
  <c r="V934" i="9" s="1"/>
  <c r="V933" i="9" s="1"/>
  <c r="V932" i="9" s="1"/>
  <c r="V931" i="9" s="1"/>
  <c r="V930" i="9" s="1"/>
  <c r="V929" i="9" s="1"/>
  <c r="V928" i="9" s="1"/>
  <c r="V927" i="9" s="1"/>
  <c r="V926" i="9" s="1"/>
  <c r="V925" i="9" s="1"/>
  <c r="V924" i="9" s="1"/>
  <c r="V923" i="9" s="1"/>
  <c r="V922" i="9" s="1"/>
  <c r="V921" i="9" s="1"/>
  <c r="V920" i="9" s="1"/>
  <c r="V919" i="9" s="1"/>
  <c r="V918" i="9" s="1"/>
  <c r="V917" i="9" s="1"/>
  <c r="V916" i="9" s="1"/>
  <c r="V915" i="9" s="1"/>
  <c r="V914" i="9" s="1"/>
  <c r="V913" i="9" s="1"/>
  <c r="V912" i="9" s="1"/>
  <c r="V911" i="9" s="1"/>
  <c r="V910" i="9" s="1"/>
  <c r="V909" i="9" s="1"/>
  <c r="V908" i="9" s="1"/>
  <c r="V907" i="9" s="1"/>
  <c r="V906" i="9" s="1"/>
  <c r="V905" i="9" s="1"/>
  <c r="V904" i="9" s="1"/>
  <c r="V903" i="9" s="1"/>
  <c r="V902" i="9" s="1"/>
  <c r="V901" i="9" s="1"/>
  <c r="V900" i="9" s="1"/>
  <c r="V899" i="9" s="1"/>
  <c r="V898" i="9" s="1"/>
  <c r="V897" i="9" s="1"/>
  <c r="V896" i="9" s="1"/>
  <c r="V895" i="9" s="1"/>
  <c r="V894" i="9" s="1"/>
  <c r="V893" i="9" s="1"/>
  <c r="V892" i="9" s="1"/>
  <c r="V891" i="9" s="1"/>
  <c r="V890" i="9" s="1"/>
  <c r="V889" i="9" s="1"/>
  <c r="V888" i="9" s="1"/>
  <c r="V887" i="9" s="1"/>
  <c r="V886" i="9" s="1"/>
  <c r="BT29" i="6"/>
  <c r="BT14" i="6"/>
  <c r="AC4" i="6"/>
  <c r="AE4" i="6"/>
  <c r="AG4" i="6"/>
  <c r="AI4" i="6"/>
  <c r="AK4" i="6"/>
  <c r="AM4" i="6"/>
  <c r="AO4" i="6"/>
  <c r="AQ4" i="6"/>
  <c r="AS4" i="6"/>
  <c r="AU4" i="6"/>
  <c r="AW4" i="6"/>
  <c r="AY4" i="6"/>
  <c r="BA4" i="6"/>
  <c r="BC4" i="6"/>
  <c r="BE4" i="6"/>
  <c r="BG4" i="6"/>
  <c r="BI4" i="6"/>
  <c r="BK4" i="6"/>
  <c r="BM4" i="6"/>
  <c r="BO4" i="6"/>
  <c r="BQ4" i="6"/>
  <c r="BS4" i="6"/>
  <c r="BU4" i="6"/>
  <c r="AB4" i="6"/>
  <c r="AB31" i="6" s="1"/>
  <c r="AD4" i="6"/>
  <c r="AF4" i="6"/>
  <c r="AH4" i="6"/>
  <c r="AH11" i="6" s="1"/>
  <c r="AJ4" i="6"/>
  <c r="AL4" i="6"/>
  <c r="AN4" i="6"/>
  <c r="AP4" i="6"/>
  <c r="AR4" i="6"/>
  <c r="AT4" i="6"/>
  <c r="AV4" i="6"/>
  <c r="AX4" i="6"/>
  <c r="AZ4" i="6"/>
  <c r="BB4" i="6"/>
  <c r="BD4" i="6"/>
  <c r="BF4" i="6"/>
  <c r="BH4" i="6"/>
  <c r="BJ4" i="6"/>
  <c r="BL4" i="6"/>
  <c r="BN4" i="6"/>
  <c r="BP4" i="6"/>
  <c r="BR4" i="6"/>
  <c r="Y1317" i="9"/>
  <c r="Y1316" i="9" s="1"/>
  <c r="Y1315" i="9" s="1"/>
  <c r="Y1314" i="9" s="1"/>
  <c r="Y1313" i="9" s="1"/>
  <c r="Y1312" i="9" s="1"/>
  <c r="Y1311" i="9" s="1"/>
  <c r="Y1310" i="9" s="1"/>
  <c r="Y1309" i="9" s="1"/>
  <c r="Y1308" i="9" s="1"/>
  <c r="Y1307" i="9" s="1"/>
  <c r="Y1306" i="9" s="1"/>
  <c r="Y1305" i="9" s="1"/>
  <c r="Y1304" i="9" s="1"/>
  <c r="Y1303" i="9" s="1"/>
  <c r="Y1302" i="9" s="1"/>
  <c r="Y1301" i="9" s="1"/>
  <c r="Y1300" i="9" s="1"/>
  <c r="Y1299" i="9" s="1"/>
  <c r="Y1298" i="9" s="1"/>
  <c r="Y1297" i="9" s="1"/>
  <c r="Y1296" i="9" s="1"/>
  <c r="Y1295" i="9" s="1"/>
  <c r="Y1294" i="9" s="1"/>
  <c r="Y1293" i="9" s="1"/>
  <c r="Y1292" i="9" s="1"/>
  <c r="Y1291" i="9" s="1"/>
  <c r="Y1290" i="9" s="1"/>
  <c r="Y1289" i="9" s="1"/>
  <c r="Y1288" i="9" s="1"/>
  <c r="Y1287" i="9" s="1"/>
  <c r="Y1286" i="9" s="1"/>
  <c r="Y1285" i="9" s="1"/>
  <c r="Y1284" i="9" s="1"/>
  <c r="Y1283" i="9" s="1"/>
  <c r="Y1282" i="9" s="1"/>
  <c r="Y1281" i="9" s="1"/>
  <c r="Y1280" i="9" s="1"/>
  <c r="Y1279" i="9" s="1"/>
  <c r="Y1278" i="9" s="1"/>
  <c r="Y1277" i="9" s="1"/>
  <c r="Y1276" i="9" s="1"/>
  <c r="Y1275" i="9" s="1"/>
  <c r="Y1274" i="9" s="1"/>
  <c r="Y1273" i="9" s="1"/>
  <c r="Y1272" i="9" s="1"/>
  <c r="Y1271" i="9" s="1"/>
  <c r="Y1270" i="9" s="1"/>
  <c r="Y1269" i="9" s="1"/>
  <c r="Y1268" i="9" s="1"/>
  <c r="Y1267" i="9" s="1"/>
  <c r="Y1266" i="9" s="1"/>
  <c r="Y1265" i="9" s="1"/>
  <c r="Y1264" i="9" s="1"/>
  <c r="Y1263" i="9" s="1"/>
  <c r="Y1262" i="9" s="1"/>
  <c r="Y1261" i="9" s="1"/>
  <c r="Y1260" i="9" s="1"/>
  <c r="Y1259" i="9" s="1"/>
  <c r="Y1258" i="9" s="1"/>
  <c r="Y1257" i="9" s="1"/>
  <c r="Y1256" i="9" s="1"/>
  <c r="Y1255" i="9" s="1"/>
  <c r="Y1254" i="9" s="1"/>
  <c r="Y1253" i="9" s="1"/>
  <c r="Y1252" i="9" s="1"/>
  <c r="Y1251" i="9" s="1"/>
  <c r="Y1250" i="9" s="1"/>
  <c r="Y1249" i="9" s="1"/>
  <c r="Y1248" i="9" s="1"/>
  <c r="Y1247" i="9" s="1"/>
  <c r="Y1246" i="9" s="1"/>
  <c r="Y1245" i="9" s="1"/>
  <c r="Y1244" i="9" s="1"/>
  <c r="Y1243" i="9" s="1"/>
  <c r="Y1242" i="9" s="1"/>
  <c r="Y1241" i="9" s="1"/>
  <c r="Y1240" i="9" s="1"/>
  <c r="Y1239" i="9" s="1"/>
  <c r="Y1238" i="9" s="1"/>
  <c r="Y1237" i="9" s="1"/>
  <c r="Y1236" i="9" s="1"/>
  <c r="Y1235" i="9" s="1"/>
  <c r="Y1234" i="9" s="1"/>
  <c r="Y1233" i="9" s="1"/>
  <c r="Y1232" i="9" s="1"/>
  <c r="Y1231" i="9" s="1"/>
  <c r="Y1230" i="9" s="1"/>
  <c r="Y1229" i="9" s="1"/>
  <c r="Y1228" i="9" s="1"/>
  <c r="Y1227" i="9" s="1"/>
  <c r="Y1226" i="9" s="1"/>
  <c r="Y1225" i="9" s="1"/>
  <c r="Y1224" i="9" s="1"/>
  <c r="Y1223" i="9" s="1"/>
  <c r="Y1222" i="9" s="1"/>
  <c r="Y1221" i="9" s="1"/>
  <c r="Y1220" i="9" s="1"/>
  <c r="Y1219" i="9" s="1"/>
  <c r="Y1218" i="9" s="1"/>
  <c r="Y1217" i="9" s="1"/>
  <c r="Y1216" i="9" s="1"/>
  <c r="Y1215" i="9" s="1"/>
  <c r="Y1214" i="9" s="1"/>
  <c r="Y1213" i="9" s="1"/>
  <c r="Y1212" i="9" s="1"/>
  <c r="Y1211" i="9" s="1"/>
  <c r="Y1210" i="9" s="1"/>
  <c r="Y1209" i="9" s="1"/>
  <c r="Y1208" i="9" s="1"/>
  <c r="Y1207" i="9" s="1"/>
  <c r="Y1206" i="9" s="1"/>
  <c r="Y1205" i="9" s="1"/>
  <c r="Y1204" i="9" s="1"/>
  <c r="Y1203" i="9" s="1"/>
  <c r="Y1202" i="9" s="1"/>
  <c r="Y1201" i="9" s="1"/>
  <c r="Y1200" i="9" s="1"/>
  <c r="Y1199" i="9" s="1"/>
  <c r="Y1198" i="9" s="1"/>
  <c r="Y1197" i="9" s="1"/>
  <c r="Y1196" i="9" s="1"/>
  <c r="Y1195" i="9" s="1"/>
  <c r="Y1194" i="9" s="1"/>
  <c r="Y1193" i="9" s="1"/>
  <c r="Y1192" i="9" s="1"/>
  <c r="Y1191" i="9" s="1"/>
  <c r="Y1190" i="9" s="1"/>
  <c r="Y1189" i="9" s="1"/>
  <c r="Y1188" i="9" s="1"/>
  <c r="Y1187" i="9" s="1"/>
  <c r="Y1186" i="9" s="1"/>
  <c r="Y1185" i="9" s="1"/>
  <c r="Y1184" i="9" s="1"/>
  <c r="Y1183" i="9" s="1"/>
  <c r="Y1182" i="9" s="1"/>
  <c r="Y1181" i="9" s="1"/>
  <c r="Y1180" i="9" s="1"/>
  <c r="Y1179" i="9" s="1"/>
  <c r="Y1178" i="9" s="1"/>
  <c r="Y1177" i="9" s="1"/>
  <c r="Y1176" i="9" s="1"/>
  <c r="Y1175" i="9" s="1"/>
  <c r="Y1174" i="9" s="1"/>
  <c r="Y1173" i="9" s="1"/>
  <c r="Y1172" i="9" s="1"/>
  <c r="Y1171" i="9" s="1"/>
  <c r="Y1170" i="9" s="1"/>
  <c r="Y1169" i="9" s="1"/>
  <c r="Y1168" i="9" s="1"/>
  <c r="Y1167" i="9" s="1"/>
  <c r="Y1166" i="9" s="1"/>
  <c r="Y1165" i="9" s="1"/>
  <c r="Y1164" i="9" s="1"/>
  <c r="Y1163" i="9" s="1"/>
  <c r="Y1162" i="9" s="1"/>
  <c r="Y1161" i="9" s="1"/>
  <c r="Y1160" i="9" s="1"/>
  <c r="Y1159" i="9" s="1"/>
  <c r="Y1158" i="9" s="1"/>
  <c r="Y1157" i="9" s="1"/>
  <c r="Y1156" i="9" s="1"/>
  <c r="Y1155" i="9" s="1"/>
  <c r="Y1154" i="9" s="1"/>
  <c r="Y1153" i="9" s="1"/>
  <c r="Y1152" i="9" s="1"/>
  <c r="Y1151" i="9" s="1"/>
  <c r="Y1150" i="9" s="1"/>
  <c r="Y1149" i="9" s="1"/>
  <c r="Y1148" i="9" s="1"/>
  <c r="Y1147" i="9" s="1"/>
  <c r="Y1146" i="9" s="1"/>
  <c r="Y1145" i="9" s="1"/>
  <c r="Y1144" i="9" s="1"/>
  <c r="Y1143" i="9" s="1"/>
  <c r="Y1142" i="9" s="1"/>
  <c r="Y1141" i="9" s="1"/>
  <c r="Y1140" i="9" s="1"/>
  <c r="Y1139" i="9" s="1"/>
  <c r="Y1138" i="9" s="1"/>
  <c r="Y1137" i="9" s="1"/>
  <c r="Y1136" i="9" s="1"/>
  <c r="Y1135" i="9" s="1"/>
  <c r="Y1134" i="9" s="1"/>
  <c r="Y1133" i="9" s="1"/>
  <c r="Y1132" i="9" s="1"/>
  <c r="Y1131" i="9" s="1"/>
  <c r="Y1130" i="9" s="1"/>
  <c r="Y1129" i="9" s="1"/>
  <c r="Y1128" i="9" s="1"/>
  <c r="Y1127" i="9" s="1"/>
  <c r="Y1126" i="9" s="1"/>
  <c r="Y1125" i="9" s="1"/>
  <c r="Y1124" i="9" s="1"/>
  <c r="Y1123" i="9" s="1"/>
  <c r="Y1122" i="9" s="1"/>
  <c r="Y1121" i="9" s="1"/>
  <c r="Y1120" i="9" s="1"/>
  <c r="Y1119" i="9" s="1"/>
  <c r="Y1118" i="9" s="1"/>
  <c r="Y1117" i="9" s="1"/>
  <c r="Y1116" i="9" s="1"/>
  <c r="Y1115" i="9" s="1"/>
  <c r="Y1114" i="9" s="1"/>
  <c r="Y1113" i="9" s="1"/>
  <c r="Y1112" i="9" s="1"/>
  <c r="Y1111" i="9" s="1"/>
  <c r="Y1110" i="9" s="1"/>
  <c r="Y1109" i="9" s="1"/>
  <c r="Y1108" i="9" s="1"/>
  <c r="Y1107" i="9" s="1"/>
  <c r="Y1106" i="9" s="1"/>
  <c r="Y1105" i="9" s="1"/>
  <c r="Y1104" i="9" s="1"/>
  <c r="Y1103" i="9" s="1"/>
  <c r="Y1102" i="9" s="1"/>
  <c r="Y1101" i="9" s="1"/>
  <c r="Y1100" i="9" s="1"/>
  <c r="Y1099" i="9" s="1"/>
  <c r="Y1098" i="9" s="1"/>
  <c r="Y1097" i="9" s="1"/>
  <c r="Y1096" i="9" s="1"/>
  <c r="Y1095" i="9" s="1"/>
  <c r="Y1094" i="9" s="1"/>
  <c r="Y1093" i="9" s="1"/>
  <c r="Y1092" i="9" s="1"/>
  <c r="Y1091" i="9" s="1"/>
  <c r="Y1090" i="9" s="1"/>
  <c r="Y1089" i="9" s="1"/>
  <c r="Y1088" i="9" s="1"/>
  <c r="Y1087" i="9" s="1"/>
  <c r="Y1086" i="9" s="1"/>
  <c r="Y1085" i="9" s="1"/>
  <c r="Y1084" i="9" s="1"/>
  <c r="Y1083" i="9" s="1"/>
  <c r="Y1082" i="9" s="1"/>
  <c r="Y1081" i="9" s="1"/>
  <c r="Y1080" i="9" s="1"/>
  <c r="Y1079" i="9" s="1"/>
  <c r="Y1078" i="9" s="1"/>
  <c r="Y1077" i="9" s="1"/>
  <c r="Y1076" i="9" s="1"/>
  <c r="Y1075" i="9" s="1"/>
  <c r="Y1074" i="9" s="1"/>
  <c r="Y1073" i="9" s="1"/>
  <c r="Y1072" i="9" s="1"/>
  <c r="Y1071" i="9" s="1"/>
  <c r="Y1070" i="9" s="1"/>
  <c r="Y1069" i="9" s="1"/>
  <c r="Y1068" i="9" s="1"/>
  <c r="Y1067" i="9" s="1"/>
  <c r="Y1066" i="9" s="1"/>
  <c r="Y1065" i="9" s="1"/>
  <c r="Y1064" i="9" s="1"/>
  <c r="Y1063" i="9" s="1"/>
  <c r="Y1062" i="9" s="1"/>
  <c r="Y1061" i="9" s="1"/>
  <c r="Y1060" i="9" s="1"/>
  <c r="Y1059" i="9" s="1"/>
  <c r="Y1058" i="9" s="1"/>
  <c r="Y1057" i="9" s="1"/>
  <c r="Y1056" i="9" s="1"/>
  <c r="Y1055" i="9" s="1"/>
  <c r="Y1054" i="9" s="1"/>
  <c r="Y1053" i="9" s="1"/>
  <c r="Y1052" i="9" s="1"/>
  <c r="Y1051" i="9" s="1"/>
  <c r="Y1050" i="9" s="1"/>
  <c r="Y1049" i="9" s="1"/>
  <c r="Y1048" i="9" s="1"/>
  <c r="Y1047" i="9" s="1"/>
  <c r="Y1046" i="9" s="1"/>
  <c r="Y1045" i="9" s="1"/>
  <c r="Y1044" i="9" s="1"/>
  <c r="Y1043" i="9" s="1"/>
  <c r="Y1042" i="9" s="1"/>
  <c r="Y1041" i="9" s="1"/>
  <c r="Y1040" i="9" s="1"/>
  <c r="Y1039" i="9" s="1"/>
  <c r="Y1038" i="9" s="1"/>
  <c r="Y1037" i="9" s="1"/>
  <c r="Y1036" i="9" s="1"/>
  <c r="Y1035" i="9" s="1"/>
  <c r="Y1034" i="9" s="1"/>
  <c r="Y1033" i="9" s="1"/>
  <c r="Y1032" i="9" s="1"/>
  <c r="Y1031" i="9" s="1"/>
  <c r="Y1030" i="9" s="1"/>
  <c r="Y1029" i="9" s="1"/>
  <c r="Y1028" i="9" s="1"/>
  <c r="Y1027" i="9" s="1"/>
  <c r="Y1026" i="9" s="1"/>
  <c r="Y1025" i="9" s="1"/>
  <c r="Y1024" i="9" s="1"/>
  <c r="Y1023" i="9" s="1"/>
  <c r="Y1022" i="9" s="1"/>
  <c r="Y1021" i="9" s="1"/>
  <c r="Y1020" i="9" s="1"/>
  <c r="Y1019" i="9" s="1"/>
  <c r="Y1018" i="9" s="1"/>
  <c r="Y1017" i="9" s="1"/>
  <c r="Y1016" i="9" s="1"/>
  <c r="Y1015" i="9" s="1"/>
  <c r="Y1014" i="9" s="1"/>
  <c r="Y1013" i="9" s="1"/>
  <c r="Y1012" i="9" s="1"/>
  <c r="Y1011" i="9" s="1"/>
  <c r="Y1010" i="9" s="1"/>
  <c r="Y1009" i="9" s="1"/>
  <c r="Y1008" i="9" s="1"/>
  <c r="Y1007" i="9" s="1"/>
  <c r="Y1006" i="9" s="1"/>
  <c r="Y1005" i="9" s="1"/>
  <c r="Y1004" i="9" s="1"/>
  <c r="Y1003" i="9" s="1"/>
  <c r="Y1002" i="9" s="1"/>
  <c r="Y1001" i="9" s="1"/>
  <c r="Y1000" i="9" s="1"/>
  <c r="Y999" i="9" s="1"/>
  <c r="Y998" i="9" s="1"/>
  <c r="Y997" i="9" s="1"/>
  <c r="Y996" i="9" s="1"/>
  <c r="Y995" i="9" s="1"/>
  <c r="Y994" i="9" s="1"/>
  <c r="Y993" i="9" s="1"/>
  <c r="Y992" i="9" s="1"/>
  <c r="Y991" i="9" s="1"/>
  <c r="Y990" i="9" s="1"/>
  <c r="Y989" i="9" s="1"/>
  <c r="Y988" i="9" s="1"/>
  <c r="Y987" i="9" s="1"/>
  <c r="Y986" i="9" s="1"/>
  <c r="Y985" i="9" s="1"/>
  <c r="Y984" i="9" s="1"/>
  <c r="Y983" i="9" s="1"/>
  <c r="Y982" i="9" s="1"/>
  <c r="Y981" i="9" s="1"/>
  <c r="Y980" i="9" s="1"/>
  <c r="Y979" i="9" s="1"/>
  <c r="Y978" i="9" s="1"/>
  <c r="Y977" i="9" s="1"/>
  <c r="Y976" i="9" s="1"/>
  <c r="Y975" i="9" s="1"/>
  <c r="Y974" i="9" s="1"/>
  <c r="Y973" i="9" s="1"/>
  <c r="Y972" i="9" s="1"/>
  <c r="Y971" i="9" s="1"/>
  <c r="Y970" i="9" s="1"/>
  <c r="Y969" i="9" s="1"/>
  <c r="Y968" i="9" s="1"/>
  <c r="Y967" i="9" s="1"/>
  <c r="Y966" i="9" s="1"/>
  <c r="Y965" i="9" s="1"/>
  <c r="Y964" i="9" s="1"/>
  <c r="Y963" i="9" s="1"/>
  <c r="Y962" i="9" s="1"/>
  <c r="Y961" i="9" s="1"/>
  <c r="Y960" i="9" s="1"/>
  <c r="Y959" i="9" s="1"/>
  <c r="Y958" i="9" s="1"/>
  <c r="Y957" i="9" s="1"/>
  <c r="Y956" i="9" s="1"/>
  <c r="Y955" i="9" s="1"/>
  <c r="Y954" i="9" s="1"/>
  <c r="Y953" i="9" s="1"/>
  <c r="Y952" i="9" s="1"/>
  <c r="Y951" i="9" s="1"/>
  <c r="Y950" i="9" s="1"/>
  <c r="Y949" i="9" s="1"/>
  <c r="Y948" i="9" s="1"/>
  <c r="Y947" i="9" s="1"/>
  <c r="Y946" i="9" s="1"/>
  <c r="Y945" i="9" s="1"/>
  <c r="Y944" i="9" s="1"/>
  <c r="Y943" i="9" s="1"/>
  <c r="Y942" i="9" s="1"/>
  <c r="Y941" i="9" s="1"/>
  <c r="Y940" i="9" s="1"/>
  <c r="Y939" i="9" s="1"/>
  <c r="Y938" i="9" s="1"/>
  <c r="Y937" i="9" s="1"/>
  <c r="Y936" i="9" s="1"/>
  <c r="Y935" i="9" s="1"/>
  <c r="Y934" i="9" s="1"/>
  <c r="Y933" i="9" s="1"/>
  <c r="Y932" i="9" s="1"/>
  <c r="Y931" i="9" s="1"/>
  <c r="Y930" i="9" s="1"/>
  <c r="Y929" i="9" s="1"/>
  <c r="Y928" i="9" s="1"/>
  <c r="Y927" i="9" s="1"/>
  <c r="Y926" i="9" s="1"/>
  <c r="Y925" i="9" s="1"/>
  <c r="Y924" i="9" s="1"/>
  <c r="Y923" i="9" s="1"/>
  <c r="Y922" i="9" s="1"/>
  <c r="Y921" i="9" s="1"/>
  <c r="Y920" i="9" s="1"/>
  <c r="Y919" i="9" s="1"/>
  <c r="Y918" i="9" s="1"/>
  <c r="Y917" i="9" s="1"/>
  <c r="Y916" i="9" s="1"/>
  <c r="Y915" i="9" s="1"/>
  <c r="Y914" i="9" s="1"/>
  <c r="Y913" i="9" s="1"/>
  <c r="Y912" i="9" s="1"/>
  <c r="Y911" i="9" s="1"/>
  <c r="Y910" i="9" s="1"/>
  <c r="Y909" i="9" s="1"/>
  <c r="Y908" i="9" s="1"/>
  <c r="Y907" i="9" s="1"/>
  <c r="Y906" i="9" s="1"/>
  <c r="Y905" i="9" s="1"/>
  <c r="Y904" i="9" s="1"/>
  <c r="Y903" i="9" s="1"/>
  <c r="Y902" i="9" s="1"/>
  <c r="Y901" i="9" s="1"/>
  <c r="Y900" i="9" s="1"/>
  <c r="Y899" i="9" s="1"/>
  <c r="Y898" i="9" s="1"/>
  <c r="Y897" i="9" s="1"/>
  <c r="Y896" i="9" s="1"/>
  <c r="Y895" i="9" s="1"/>
  <c r="Y894" i="9" s="1"/>
  <c r="Y893" i="9" s="1"/>
  <c r="Y892" i="9" s="1"/>
  <c r="Y891" i="9" s="1"/>
  <c r="Y890" i="9" s="1"/>
  <c r="Y889" i="9" s="1"/>
  <c r="Y888" i="9" s="1"/>
  <c r="BG78" i="5"/>
  <c r="BH78" i="5"/>
  <c r="BF78" i="5"/>
  <c r="AL74" i="5"/>
  <c r="J14" i="7"/>
  <c r="J38" i="7"/>
  <c r="J39" i="7"/>
  <c r="J44" i="7"/>
  <c r="J60" i="7"/>
  <c r="J67" i="7"/>
  <c r="J72" i="7"/>
  <c r="J103" i="7"/>
  <c r="J113" i="7"/>
  <c r="J126" i="7"/>
  <c r="J135" i="7"/>
  <c r="J142" i="7"/>
  <c r="J154" i="7"/>
  <c r="J164" i="7"/>
  <c r="J181" i="7"/>
  <c r="J182" i="7"/>
  <c r="J226" i="7"/>
  <c r="J255" i="7"/>
  <c r="J265" i="7"/>
  <c r="J270" i="7"/>
  <c r="J285" i="7"/>
  <c r="J287" i="7"/>
  <c r="J288" i="7"/>
  <c r="J289" i="7"/>
  <c r="J300" i="7"/>
  <c r="J360" i="7"/>
  <c r="G143" i="7"/>
  <c r="G144" i="7"/>
  <c r="G163" i="7"/>
  <c r="G215" i="7"/>
  <c r="J222" i="7"/>
  <c r="G318" i="7"/>
  <c r="G354" i="7"/>
  <c r="GI210" i="5"/>
  <c r="GI206" i="5"/>
  <c r="GI231" i="5"/>
  <c r="GI219" i="5"/>
  <c r="GI232" i="5"/>
  <c r="GH9" i="5"/>
  <c r="GI9" i="5" s="1"/>
  <c r="GH34" i="5"/>
  <c r="GI34" i="5" s="1"/>
  <c r="GH75" i="5"/>
  <c r="GI75" i="5" s="1"/>
  <c r="GH81" i="5"/>
  <c r="GI81" i="5" s="1"/>
  <c r="GH82" i="5"/>
  <c r="GI82" i="5" s="1"/>
  <c r="GH103" i="5"/>
  <c r="GI103" i="5" s="1"/>
  <c r="GH126" i="5"/>
  <c r="GI126" i="5" s="1"/>
  <c r="GH134" i="5"/>
  <c r="GI134" i="5" s="1"/>
  <c r="GH135" i="5"/>
  <c r="GI135" i="5" s="1"/>
  <c r="GH137" i="5"/>
  <c r="GI137" i="5" s="1"/>
  <c r="GH139" i="5"/>
  <c r="GI139" i="5" s="1"/>
  <c r="GH151" i="5"/>
  <c r="GI151" i="5" s="1"/>
  <c r="GH152" i="5"/>
  <c r="GI152" i="5" s="1"/>
  <c r="GH156" i="5"/>
  <c r="GI156" i="5" s="1"/>
  <c r="GH157" i="5"/>
  <c r="GI157" i="5" s="1"/>
  <c r="GH163" i="5"/>
  <c r="GI163" i="5" s="1"/>
  <c r="GH164" i="5"/>
  <c r="GI164" i="5" s="1"/>
  <c r="GH171" i="5"/>
  <c r="GI171" i="5" s="1"/>
  <c r="GH177" i="5"/>
  <c r="GI177" i="5" s="1"/>
  <c r="GH201" i="5"/>
  <c r="GI201" i="5" s="1"/>
  <c r="GH38" i="5"/>
  <c r="GI38" i="5" s="1"/>
  <c r="GH132" i="5"/>
  <c r="GI132" i="5" s="1"/>
  <c r="GH97" i="5"/>
  <c r="GI97" i="5" s="1"/>
  <c r="GH179" i="5"/>
  <c r="GI179" i="5" s="1"/>
  <c r="GH180" i="5"/>
  <c r="GI180" i="5" s="1"/>
  <c r="GH196" i="5"/>
  <c r="GI196" i="5" s="1"/>
  <c r="GH198" i="5"/>
  <c r="GI198" i="5" s="1"/>
  <c r="GH13" i="5"/>
  <c r="GI13" i="5" s="1"/>
  <c r="GH186" i="5"/>
  <c r="GI186" i="5" s="1"/>
  <c r="GH149" i="5"/>
  <c r="GI149" i="5" s="1"/>
  <c r="GH162" i="5"/>
  <c r="GI162" i="5" s="1"/>
  <c r="GH83" i="5"/>
  <c r="GI83" i="5" s="1"/>
  <c r="IC265" i="5"/>
  <c r="IC264" i="5"/>
  <c r="IC263" i="5"/>
  <c r="IC262" i="5"/>
  <c r="IC261" i="5"/>
  <c r="IC260" i="5"/>
  <c r="IC259" i="5"/>
  <c r="IC258" i="5"/>
  <c r="IC257" i="5"/>
  <c r="IC256" i="5"/>
  <c r="IC255" i="5"/>
  <c r="IC254" i="5"/>
  <c r="IC253" i="5"/>
  <c r="IC252" i="5"/>
  <c r="FS210" i="5"/>
  <c r="FS183" i="5"/>
  <c r="FS207" i="5"/>
  <c r="FS147" i="5"/>
  <c r="FS159" i="5"/>
  <c r="FS128" i="5"/>
  <c r="FS246" i="5"/>
  <c r="FS245" i="5"/>
  <c r="FS241" i="5"/>
  <c r="FS50" i="5"/>
  <c r="FS105" i="5"/>
  <c r="FS94" i="5"/>
  <c r="FS5" i="5"/>
  <c r="FS144" i="5"/>
  <c r="FS154" i="5"/>
  <c r="FS140" i="5"/>
  <c r="FS248" i="5"/>
  <c r="L118" i="5"/>
  <c r="L79" i="5"/>
  <c r="L74" i="5"/>
  <c r="L50" i="5"/>
  <c r="L47" i="5"/>
  <c r="L46" i="5"/>
  <c r="L41" i="5"/>
  <c r="L31" i="5"/>
  <c r="L15" i="5"/>
  <c r="BC78" i="5"/>
  <c r="V885" i="9" l="1"/>
  <c r="V884" i="9" s="1"/>
  <c r="V883" i="9" s="1"/>
  <c r="V882" i="9" s="1"/>
  <c r="V881" i="9" s="1"/>
  <c r="V880" i="9" s="1"/>
  <c r="V879" i="9" s="1"/>
  <c r="V878" i="9" s="1"/>
  <c r="V877" i="9" s="1"/>
  <c r="V876" i="9" s="1"/>
  <c r="V875" i="9" s="1"/>
  <c r="V874" i="9" s="1"/>
  <c r="V873" i="9" s="1"/>
  <c r="V872" i="9" s="1"/>
  <c r="V871" i="9" s="1"/>
  <c r="V870" i="9" s="1"/>
  <c r="V869" i="9" s="1"/>
  <c r="V868" i="9" s="1"/>
  <c r="V867" i="9" s="1"/>
  <c r="V866" i="9" s="1"/>
  <c r="V865" i="9" s="1"/>
  <c r="V864" i="9" s="1"/>
  <c r="V863" i="9" s="1"/>
  <c r="V862" i="9" s="1"/>
  <c r="V861" i="9" s="1"/>
  <c r="V860" i="9" s="1"/>
  <c r="V859" i="9" s="1"/>
  <c r="V858" i="9" s="1"/>
  <c r="V857" i="9" s="1"/>
  <c r="V856" i="9" s="1"/>
  <c r="V855" i="9" s="1"/>
  <c r="V854" i="9" s="1"/>
  <c r="V853" i="9" s="1"/>
  <c r="V852" i="9" s="1"/>
  <c r="V851" i="9" s="1"/>
  <c r="V850" i="9" s="1"/>
  <c r="V849" i="9" s="1"/>
  <c r="V848" i="9" s="1"/>
  <c r="V847" i="9" s="1"/>
  <c r="V846" i="9" s="1"/>
  <c r="V845" i="9" s="1"/>
  <c r="V844" i="9" s="1"/>
  <c r="V843" i="9" s="1"/>
  <c r="V842" i="9" s="1"/>
  <c r="V841" i="9" s="1"/>
  <c r="V840" i="9" s="1"/>
  <c r="V839" i="9" s="1"/>
  <c r="V838" i="9" s="1"/>
  <c r="V837" i="9" s="1"/>
  <c r="V836" i="9" s="1"/>
  <c r="V835" i="9" s="1"/>
  <c r="V834" i="9" s="1"/>
  <c r="V833" i="9" s="1"/>
  <c r="V832" i="9" s="1"/>
  <c r="V831" i="9" s="1"/>
  <c r="V830" i="9" s="1"/>
  <c r="V829" i="9" s="1"/>
  <c r="V828" i="9" s="1"/>
  <c r="V827" i="9" s="1"/>
  <c r="V826" i="9" s="1"/>
  <c r="V825" i="9" s="1"/>
  <c r="V824" i="9" s="1"/>
  <c r="V823" i="9" s="1"/>
  <c r="V822" i="9" s="1"/>
  <c r="V821" i="9" s="1"/>
  <c r="V820" i="9" s="1"/>
  <c r="V819" i="9" s="1"/>
  <c r="V818" i="9" s="1"/>
  <c r="V817" i="9" s="1"/>
  <c r="V816" i="9" s="1"/>
  <c r="V815" i="9" s="1"/>
  <c r="V814" i="9" s="1"/>
  <c r="V813" i="9" s="1"/>
  <c r="V812" i="9" s="1"/>
  <c r="V811" i="9" s="1"/>
  <c r="V810" i="9" s="1"/>
  <c r="V809" i="9" s="1"/>
  <c r="V808" i="9" s="1"/>
  <c r="V807" i="9" s="1"/>
  <c r="V806" i="9" s="1"/>
  <c r="V805" i="9" s="1"/>
  <c r="V804" i="9" s="1"/>
  <c r="V803" i="9" s="1"/>
  <c r="V802" i="9" s="1"/>
  <c r="V801" i="9" s="1"/>
  <c r="V800" i="9" s="1"/>
  <c r="V799" i="9" s="1"/>
  <c r="V798" i="9" s="1"/>
  <c r="V797" i="9" s="1"/>
  <c r="V796" i="9" s="1"/>
  <c r="V795" i="9" s="1"/>
  <c r="V794" i="9" s="1"/>
  <c r="V793" i="9" s="1"/>
  <c r="V792" i="9" s="1"/>
  <c r="V791" i="9" s="1"/>
  <c r="V790" i="9" s="1"/>
  <c r="V789" i="9" s="1"/>
  <c r="V788" i="9" s="1"/>
  <c r="V787" i="9" s="1"/>
  <c r="V786" i="9" s="1"/>
  <c r="V785" i="9" s="1"/>
  <c r="V784" i="9" s="1"/>
  <c r="V783" i="9" s="1"/>
  <c r="V782" i="9" s="1"/>
  <c r="V781" i="9" s="1"/>
  <c r="V780" i="9" s="1"/>
  <c r="V779" i="9" s="1"/>
  <c r="V778" i="9" s="1"/>
  <c r="V777" i="9" s="1"/>
  <c r="V776" i="9" s="1"/>
  <c r="V775" i="9" s="1"/>
  <c r="V774" i="9" s="1"/>
  <c r="V773" i="9" s="1"/>
  <c r="V772" i="9" s="1"/>
  <c r="V771" i="9" s="1"/>
  <c r="V770" i="9" s="1"/>
  <c r="V769" i="9" s="1"/>
  <c r="V768" i="9" s="1"/>
  <c r="V767" i="9" s="1"/>
  <c r="V766" i="9" s="1"/>
  <c r="V765" i="9" s="1"/>
  <c r="V764" i="9" s="1"/>
  <c r="V763" i="9" s="1"/>
  <c r="V762" i="9" s="1"/>
  <c r="V761" i="9" s="1"/>
  <c r="V760" i="9" s="1"/>
  <c r="V759" i="9" s="1"/>
  <c r="V758" i="9" s="1"/>
  <c r="V757" i="9" s="1"/>
  <c r="V756" i="9" s="1"/>
  <c r="V755" i="9" s="1"/>
  <c r="V754" i="9" s="1"/>
  <c r="V753" i="9" s="1"/>
  <c r="V752" i="9" s="1"/>
  <c r="V751" i="9" s="1"/>
  <c r="V750" i="9" s="1"/>
  <c r="V749" i="9" s="1"/>
  <c r="V748" i="9" s="1"/>
  <c r="V747" i="9" s="1"/>
  <c r="V746" i="9" s="1"/>
  <c r="V745" i="9" s="1"/>
  <c r="V744" i="9" s="1"/>
  <c r="V743" i="9" s="1"/>
  <c r="V742" i="9" s="1"/>
  <c r="V741" i="9" s="1"/>
  <c r="V740" i="9" s="1"/>
  <c r="V739" i="9" s="1"/>
  <c r="V738" i="9" s="1"/>
  <c r="V737" i="9" s="1"/>
  <c r="V736" i="9" s="1"/>
  <c r="V735" i="9" s="1"/>
  <c r="V734" i="9" s="1"/>
  <c r="V733" i="9" s="1"/>
  <c r="V732" i="9" s="1"/>
  <c r="V731" i="9" s="1"/>
  <c r="V730" i="9" s="1"/>
  <c r="V729" i="9" s="1"/>
  <c r="V728" i="9" s="1"/>
  <c r="V727" i="9" s="1"/>
  <c r="V726" i="9" s="1"/>
  <c r="V725" i="9" s="1"/>
  <c r="V724" i="9" s="1"/>
  <c r="V723" i="9" s="1"/>
  <c r="V722" i="9" s="1"/>
  <c r="V721" i="9" s="1"/>
  <c r="V720" i="9" s="1"/>
  <c r="V719" i="9" s="1"/>
  <c r="V718" i="9" s="1"/>
  <c r="V717" i="9" s="1"/>
  <c r="V716" i="9" s="1"/>
  <c r="V715" i="9" s="1"/>
  <c r="V714" i="9" s="1"/>
  <c r="V713" i="9" s="1"/>
  <c r="V712" i="9" s="1"/>
  <c r="V711" i="9" s="1"/>
  <c r="V710" i="9" s="1"/>
  <c r="V709" i="9" s="1"/>
  <c r="V708" i="9" s="1"/>
  <c r="V707" i="9" s="1"/>
  <c r="V706" i="9" s="1"/>
  <c r="V705" i="9" s="1"/>
  <c r="V704" i="9" s="1"/>
  <c r="V703" i="9" s="1"/>
  <c r="V702" i="9" s="1"/>
  <c r="V701" i="9" s="1"/>
  <c r="V700" i="9" s="1"/>
  <c r="V699" i="9" s="1"/>
  <c r="V698" i="9" s="1"/>
  <c r="V697" i="9" s="1"/>
  <c r="V696" i="9" s="1"/>
  <c r="V695" i="9" s="1"/>
  <c r="V694" i="9" s="1"/>
  <c r="V693" i="9" s="1"/>
  <c r="V692" i="9" s="1"/>
  <c r="V691" i="9" s="1"/>
  <c r="V690" i="9" s="1"/>
  <c r="V689" i="9" s="1"/>
  <c r="V688" i="9" s="1"/>
  <c r="V687" i="9" s="1"/>
  <c r="V686" i="9" s="1"/>
  <c r="V685" i="9" s="1"/>
  <c r="V684" i="9" s="1"/>
  <c r="V683" i="9" s="1"/>
  <c r="V682" i="9" s="1"/>
  <c r="V681" i="9" s="1"/>
  <c r="V680" i="9" s="1"/>
  <c r="V679" i="9" s="1"/>
  <c r="V678" i="9" s="1"/>
  <c r="V677" i="9" s="1"/>
  <c r="V676" i="9" s="1"/>
  <c r="V675" i="9" s="1"/>
  <c r="V674" i="9" s="1"/>
  <c r="V673" i="9" s="1"/>
  <c r="V672" i="9" s="1"/>
  <c r="V671" i="9" s="1"/>
  <c r="V670" i="9" s="1"/>
  <c r="V669" i="9" s="1"/>
  <c r="V668" i="9" s="1"/>
  <c r="V667" i="9" s="1"/>
  <c r="V666" i="9" s="1"/>
  <c r="V665" i="9" s="1"/>
  <c r="V664" i="9" s="1"/>
  <c r="V663" i="9" s="1"/>
  <c r="V662" i="9" s="1"/>
  <c r="V661" i="9" s="1"/>
  <c r="V660" i="9" s="1"/>
  <c r="V659" i="9" s="1"/>
  <c r="V658" i="9" s="1"/>
  <c r="V657" i="9" s="1"/>
  <c r="V656" i="9" s="1"/>
  <c r="V655" i="9" s="1"/>
  <c r="V654" i="9" s="1"/>
  <c r="V653" i="9" s="1"/>
  <c r="V652" i="9" s="1"/>
  <c r="V651" i="9" s="1"/>
  <c r="V650" i="9" s="1"/>
  <c r="V649" i="9" s="1"/>
  <c r="V648" i="9" s="1"/>
  <c r="V647" i="9" s="1"/>
  <c r="V646" i="9" s="1"/>
  <c r="V645" i="9" s="1"/>
  <c r="V644" i="9" s="1"/>
  <c r="V643" i="9" s="1"/>
  <c r="V642" i="9" s="1"/>
  <c r="V641" i="9" s="1"/>
  <c r="V640" i="9" s="1"/>
  <c r="V639" i="9" s="1"/>
  <c r="V638" i="9" s="1"/>
  <c r="V637" i="9" s="1"/>
  <c r="V636" i="9" s="1"/>
  <c r="V635" i="9" s="1"/>
  <c r="V634" i="9" s="1"/>
  <c r="V633" i="9" s="1"/>
  <c r="V632" i="9" s="1"/>
  <c r="V631" i="9" s="1"/>
  <c r="V630" i="9" s="1"/>
  <c r="V629" i="9" s="1"/>
  <c r="V628" i="9" s="1"/>
  <c r="V627" i="9" s="1"/>
  <c r="V626" i="9" s="1"/>
  <c r="V625" i="9" s="1"/>
  <c r="V624" i="9" s="1"/>
  <c r="V623" i="9" s="1"/>
  <c r="V622" i="9" s="1"/>
  <c r="V621" i="9" s="1"/>
  <c r="V620" i="9" s="1"/>
  <c r="V619" i="9" s="1"/>
  <c r="V618" i="9" s="1"/>
  <c r="V617" i="9" s="1"/>
  <c r="V616" i="9" s="1"/>
  <c r="V615" i="9" s="1"/>
  <c r="V614" i="9" s="1"/>
  <c r="V613" i="9" s="1"/>
  <c r="V612" i="9" s="1"/>
  <c r="V611" i="9" s="1"/>
  <c r="V610" i="9" s="1"/>
  <c r="V609" i="9" s="1"/>
  <c r="V608" i="9" s="1"/>
  <c r="V607" i="9" s="1"/>
  <c r="V606" i="9" s="1"/>
  <c r="V605" i="9" s="1"/>
  <c r="V604" i="9" s="1"/>
  <c r="V603" i="9" s="1"/>
  <c r="V602" i="9" s="1"/>
  <c r="V601" i="9" s="1"/>
  <c r="V600" i="9" s="1"/>
  <c r="V599" i="9" s="1"/>
  <c r="V598" i="9" s="1"/>
  <c r="V597" i="9" s="1"/>
  <c r="V596" i="9" s="1"/>
  <c r="V595" i="9" s="1"/>
  <c r="V594" i="9" s="1"/>
  <c r="V593" i="9" s="1"/>
  <c r="V592" i="9" s="1"/>
  <c r="V591" i="9" s="1"/>
  <c r="V590" i="9" s="1"/>
  <c r="V589" i="9" s="1"/>
  <c r="V588" i="9" s="1"/>
  <c r="V587" i="9" s="1"/>
  <c r="V586" i="9" s="1"/>
  <c r="V585" i="9" s="1"/>
  <c r="V584" i="9" s="1"/>
  <c r="V583" i="9" s="1"/>
  <c r="V582" i="9" s="1"/>
  <c r="V581" i="9" s="1"/>
  <c r="V580" i="9" s="1"/>
  <c r="V579" i="9" s="1"/>
  <c r="V578" i="9" s="1"/>
  <c r="V577" i="9" s="1"/>
  <c r="V576" i="9" s="1"/>
  <c r="V575" i="9" s="1"/>
  <c r="V574" i="9" s="1"/>
  <c r="V573" i="9" s="1"/>
  <c r="V572" i="9" s="1"/>
  <c r="V571" i="9" s="1"/>
  <c r="V570" i="9" s="1"/>
  <c r="V569" i="9" s="1"/>
  <c r="V568" i="9" s="1"/>
  <c r="V567" i="9" s="1"/>
  <c r="V566" i="9" s="1"/>
  <c r="V565" i="9" s="1"/>
  <c r="V564" i="9" s="1"/>
  <c r="V563" i="9" s="1"/>
  <c r="V562" i="9" s="1"/>
  <c r="V561" i="9" s="1"/>
  <c r="V560" i="9" s="1"/>
  <c r="V559" i="9" s="1"/>
  <c r="V558" i="9" s="1"/>
  <c r="V557" i="9" s="1"/>
  <c r="V556" i="9" s="1"/>
  <c r="V555" i="9" s="1"/>
  <c r="V554" i="9" s="1"/>
  <c r="V553" i="9" s="1"/>
  <c r="V552" i="9" s="1"/>
  <c r="V551" i="9" s="1"/>
  <c r="V550" i="9" s="1"/>
  <c r="V549" i="9" s="1"/>
  <c r="V548" i="9" s="1"/>
  <c r="V547" i="9" s="1"/>
  <c r="V546" i="9" s="1"/>
  <c r="V545" i="9" s="1"/>
  <c r="V544" i="9" s="1"/>
  <c r="V543" i="9" s="1"/>
  <c r="V542" i="9" s="1"/>
  <c r="V541" i="9" s="1"/>
  <c r="V540" i="9" s="1"/>
  <c r="V539" i="9" s="1"/>
  <c r="V538" i="9" s="1"/>
  <c r="V537" i="9" s="1"/>
  <c r="V536" i="9" s="1"/>
  <c r="V535" i="9" s="1"/>
  <c r="V534" i="9" s="1"/>
  <c r="V533" i="9" s="1"/>
  <c r="V532" i="9" s="1"/>
  <c r="V531" i="9" s="1"/>
  <c r="V530" i="9" s="1"/>
  <c r="V529" i="9" s="1"/>
  <c r="V528" i="9" s="1"/>
  <c r="V527" i="9" s="1"/>
  <c r="V526" i="9" s="1"/>
  <c r="V525" i="9" s="1"/>
  <c r="V524" i="9" s="1"/>
  <c r="V523" i="9" s="1"/>
  <c r="V522" i="9" s="1"/>
  <c r="V521" i="9" s="1"/>
  <c r="V520" i="9" s="1"/>
  <c r="V519" i="9" s="1"/>
  <c r="V518" i="9" s="1"/>
  <c r="V517" i="9" s="1"/>
  <c r="V516" i="9" s="1"/>
  <c r="V515" i="9" s="1"/>
  <c r="V514" i="9" s="1"/>
  <c r="V513" i="9" s="1"/>
  <c r="V512" i="9" s="1"/>
  <c r="V511" i="9" s="1"/>
  <c r="V510" i="9" s="1"/>
  <c r="V509" i="9" s="1"/>
  <c r="V508" i="9" s="1"/>
  <c r="V507" i="9" s="1"/>
  <c r="V506" i="9" s="1"/>
  <c r="V505" i="9" s="1"/>
  <c r="V504" i="9" s="1"/>
  <c r="V503" i="9" s="1"/>
  <c r="V502" i="9" s="1"/>
  <c r="V501" i="9" s="1"/>
  <c r="V500" i="9" s="1"/>
  <c r="V499" i="9" s="1"/>
  <c r="V498" i="9" s="1"/>
  <c r="V497" i="9" s="1"/>
  <c r="V496" i="9" s="1"/>
  <c r="V495" i="9" s="1"/>
  <c r="V494" i="9" s="1"/>
  <c r="V493" i="9" s="1"/>
  <c r="V492" i="9" s="1"/>
  <c r="V491" i="9" s="1"/>
  <c r="V490" i="9" s="1"/>
  <c r="V489" i="9" s="1"/>
  <c r="V488" i="9" s="1"/>
  <c r="V487" i="9" s="1"/>
  <c r="V486" i="9" s="1"/>
  <c r="V485" i="9" s="1"/>
  <c r="V484" i="9" s="1"/>
  <c r="V483" i="9" s="1"/>
  <c r="V482" i="9" s="1"/>
  <c r="V481" i="9" s="1"/>
  <c r="V480" i="9" s="1"/>
  <c r="V479" i="9" s="1"/>
  <c r="V478" i="9" s="1"/>
  <c r="V477" i="9" s="1"/>
  <c r="V476" i="9" s="1"/>
  <c r="V475" i="9" s="1"/>
  <c r="V474" i="9" s="1"/>
  <c r="V473" i="9" s="1"/>
  <c r="V472" i="9" s="1"/>
  <c r="V471" i="9" s="1"/>
  <c r="V470" i="9" s="1"/>
  <c r="V469" i="9" s="1"/>
  <c r="V468" i="9" s="1"/>
  <c r="V467" i="9" s="1"/>
  <c r="V466" i="9" s="1"/>
  <c r="V465" i="9" s="1"/>
  <c r="V464" i="9" s="1"/>
  <c r="V463" i="9" s="1"/>
  <c r="V462" i="9" s="1"/>
  <c r="V461" i="9" s="1"/>
  <c r="V460" i="9" s="1"/>
  <c r="V459" i="9" s="1"/>
  <c r="V458" i="9" s="1"/>
  <c r="V457" i="9" s="1"/>
  <c r="V456" i="9" s="1"/>
  <c r="V455" i="9" s="1"/>
  <c r="V454" i="9" s="1"/>
  <c r="V453" i="9" s="1"/>
  <c r="V452" i="9" s="1"/>
  <c r="V451" i="9" s="1"/>
  <c r="V450" i="9" s="1"/>
  <c r="V449" i="9" s="1"/>
  <c r="V448" i="9" s="1"/>
  <c r="V447" i="9" s="1"/>
  <c r="V446" i="9" s="1"/>
  <c r="V445" i="9" s="1"/>
  <c r="V444" i="9" s="1"/>
  <c r="V443" i="9" s="1"/>
  <c r="V442" i="9" s="1"/>
  <c r="V441" i="9" s="1"/>
  <c r="V440" i="9" s="1"/>
  <c r="V439" i="9" s="1"/>
  <c r="Y887" i="9"/>
  <c r="Y886" i="9" s="1"/>
  <c r="Y885" i="9" s="1"/>
  <c r="Y884" i="9" s="1"/>
  <c r="Y883" i="9" s="1"/>
  <c r="Y882" i="9" s="1"/>
  <c r="Y881" i="9" s="1"/>
  <c r="Y880" i="9" s="1"/>
  <c r="Y879" i="9" s="1"/>
  <c r="Y878" i="9" s="1"/>
  <c r="Y877" i="9" s="1"/>
  <c r="Y876" i="9" s="1"/>
  <c r="Y875" i="9" s="1"/>
  <c r="Y874" i="9" s="1"/>
  <c r="Y873" i="9" s="1"/>
  <c r="Y872" i="9" s="1"/>
  <c r="Y871" i="9" s="1"/>
  <c r="Y870" i="9" s="1"/>
  <c r="Y869" i="9" s="1"/>
  <c r="Y868" i="9" s="1"/>
  <c r="Y867" i="9" s="1"/>
  <c r="Y866" i="9" s="1"/>
  <c r="Y865" i="9" s="1"/>
  <c r="Y864" i="9" s="1"/>
  <c r="Y863" i="9" s="1"/>
  <c r="Y862" i="9" s="1"/>
  <c r="Y861" i="9" s="1"/>
  <c r="Y860" i="9" s="1"/>
  <c r="Y859" i="9" s="1"/>
  <c r="Y858" i="9" s="1"/>
  <c r="Y857" i="9" s="1"/>
  <c r="Y856" i="9" s="1"/>
  <c r="Y855" i="9" s="1"/>
  <c r="Y854" i="9" s="1"/>
  <c r="Y853" i="9" s="1"/>
  <c r="Y852" i="9" s="1"/>
  <c r="Y851" i="9" s="1"/>
  <c r="Y850" i="9" s="1"/>
  <c r="Y849" i="9" s="1"/>
  <c r="Y848" i="9" s="1"/>
  <c r="Y847" i="9" s="1"/>
  <c r="Y846" i="9" s="1"/>
  <c r="Y845" i="9" s="1"/>
  <c r="Y844" i="9" s="1"/>
  <c r="Y843" i="9" s="1"/>
  <c r="Y842" i="9" s="1"/>
  <c r="Y841" i="9" s="1"/>
  <c r="Y840" i="9" s="1"/>
  <c r="Y839" i="9" s="1"/>
  <c r="Y838" i="9" s="1"/>
  <c r="Y837" i="9" s="1"/>
  <c r="Y836" i="9" s="1"/>
  <c r="Y835" i="9" s="1"/>
  <c r="Y834" i="9" s="1"/>
  <c r="Y833" i="9" s="1"/>
  <c r="Y832" i="9" s="1"/>
  <c r="Y831" i="9" s="1"/>
  <c r="Y830" i="9" s="1"/>
  <c r="Y829" i="9" s="1"/>
  <c r="Y828" i="9" s="1"/>
  <c r="Y827" i="9" s="1"/>
  <c r="Y826" i="9" s="1"/>
  <c r="Y825" i="9" s="1"/>
  <c r="Y824" i="9" s="1"/>
  <c r="Y823" i="9" s="1"/>
  <c r="Y822" i="9" s="1"/>
  <c r="Y821" i="9" s="1"/>
  <c r="Y820" i="9" s="1"/>
  <c r="Y819" i="9" s="1"/>
  <c r="Y818" i="9" s="1"/>
  <c r="Y817" i="9" s="1"/>
  <c r="Y816" i="9" s="1"/>
  <c r="Y815" i="9" s="1"/>
  <c r="Y814" i="9" s="1"/>
  <c r="Y813" i="9" s="1"/>
  <c r="Y812" i="9" s="1"/>
  <c r="Y811" i="9" s="1"/>
  <c r="Y810" i="9" s="1"/>
  <c r="Y809" i="9" s="1"/>
  <c r="Y808" i="9" s="1"/>
  <c r="Y807" i="9" s="1"/>
  <c r="Y806" i="9" s="1"/>
  <c r="Y805" i="9" s="1"/>
  <c r="Y804" i="9" s="1"/>
  <c r="Y803" i="9" s="1"/>
  <c r="Y802" i="9" s="1"/>
  <c r="Y801" i="9" s="1"/>
  <c r="Y800" i="9" s="1"/>
  <c r="Y799" i="9" s="1"/>
  <c r="Y798" i="9" s="1"/>
  <c r="Y797" i="9" s="1"/>
  <c r="Y796" i="9" s="1"/>
  <c r="Y795" i="9" s="1"/>
  <c r="Y794" i="9" s="1"/>
  <c r="Y793" i="9" s="1"/>
  <c r="Y792" i="9" s="1"/>
  <c r="Y791" i="9" s="1"/>
  <c r="Y790" i="9" s="1"/>
  <c r="Y789" i="9" s="1"/>
  <c r="Y788" i="9" s="1"/>
  <c r="Y787" i="9" s="1"/>
  <c r="Y786" i="9" s="1"/>
  <c r="Y785" i="9" s="1"/>
  <c r="Y784" i="9" s="1"/>
  <c r="Y783" i="9" s="1"/>
  <c r="Y782" i="9" s="1"/>
  <c r="Y781" i="9" s="1"/>
  <c r="Y780" i="9" s="1"/>
  <c r="Y779" i="9" s="1"/>
  <c r="Y778" i="9" s="1"/>
  <c r="Y777" i="9" s="1"/>
  <c r="Y776" i="9" s="1"/>
  <c r="Y775" i="9" s="1"/>
  <c r="Y774" i="9" s="1"/>
  <c r="Y773" i="9" s="1"/>
  <c r="Y772" i="9" s="1"/>
  <c r="Y771" i="9" s="1"/>
  <c r="Y770" i="9" s="1"/>
  <c r="Y769" i="9" s="1"/>
  <c r="Y768" i="9" s="1"/>
  <c r="Y767" i="9" s="1"/>
  <c r="Y766" i="9" s="1"/>
  <c r="Y765" i="9" s="1"/>
  <c r="Y764" i="9" s="1"/>
  <c r="Y763" i="9" s="1"/>
  <c r="Y762" i="9" s="1"/>
  <c r="Y761" i="9" s="1"/>
  <c r="Y760" i="9" s="1"/>
  <c r="Y759" i="9" s="1"/>
  <c r="Y758" i="9" s="1"/>
  <c r="Y757" i="9" s="1"/>
  <c r="Y756" i="9" s="1"/>
  <c r="Y755" i="9" s="1"/>
  <c r="Y754" i="9" s="1"/>
  <c r="Y753" i="9" s="1"/>
  <c r="Y752" i="9" s="1"/>
  <c r="Y751" i="9" s="1"/>
  <c r="Y750" i="9" s="1"/>
  <c r="Y749" i="9" s="1"/>
  <c r="Y748" i="9" s="1"/>
  <c r="Y747" i="9" s="1"/>
  <c r="Y746" i="9" s="1"/>
  <c r="Y745" i="9" s="1"/>
  <c r="Y744" i="9" s="1"/>
  <c r="Y743" i="9" s="1"/>
  <c r="Y742" i="9" s="1"/>
  <c r="Y741" i="9" s="1"/>
  <c r="Y740" i="9" s="1"/>
  <c r="Y739" i="9" s="1"/>
  <c r="Y738" i="9" s="1"/>
  <c r="Y737" i="9" s="1"/>
  <c r="Y736" i="9" s="1"/>
  <c r="Y735" i="9" s="1"/>
  <c r="Y734" i="9" s="1"/>
  <c r="Y733" i="9" s="1"/>
  <c r="Y732" i="9" s="1"/>
  <c r="Y731" i="9" s="1"/>
  <c r="Y730" i="9" s="1"/>
  <c r="Y729" i="9" s="1"/>
  <c r="Y728" i="9" s="1"/>
  <c r="Y727" i="9" s="1"/>
  <c r="Y726" i="9" s="1"/>
  <c r="Y725" i="9" s="1"/>
  <c r="Y724" i="9" s="1"/>
  <c r="Y723" i="9" s="1"/>
  <c r="Y722" i="9" s="1"/>
  <c r="Y721" i="9" s="1"/>
  <c r="Y720" i="9" s="1"/>
  <c r="Y719" i="9" s="1"/>
  <c r="Y718" i="9" s="1"/>
  <c r="Y717" i="9" s="1"/>
  <c r="Y716" i="9" s="1"/>
  <c r="Y715" i="9" s="1"/>
  <c r="Y714" i="9" s="1"/>
  <c r="Y713" i="9" s="1"/>
  <c r="Y712" i="9" s="1"/>
  <c r="Y711" i="9" s="1"/>
  <c r="Y710" i="9" s="1"/>
  <c r="Y709" i="9" s="1"/>
  <c r="Y708" i="9" s="1"/>
  <c r="Y707" i="9" s="1"/>
  <c r="Y706" i="9" s="1"/>
  <c r="Y705" i="9" s="1"/>
  <c r="Y704" i="9" s="1"/>
  <c r="Y703" i="9" s="1"/>
  <c r="Y702" i="9" s="1"/>
  <c r="Y701" i="9" s="1"/>
  <c r="Y700" i="9" s="1"/>
  <c r="Y699" i="9" s="1"/>
  <c r="Y698" i="9" s="1"/>
  <c r="Y697" i="9" s="1"/>
  <c r="Y696" i="9" s="1"/>
  <c r="Y695" i="9" s="1"/>
  <c r="Y694" i="9" s="1"/>
  <c r="Y693" i="9" s="1"/>
  <c r="Y692" i="9" s="1"/>
  <c r="Y691" i="9" s="1"/>
  <c r="Y690" i="9" s="1"/>
  <c r="Y689" i="9" s="1"/>
  <c r="Y688" i="9" s="1"/>
  <c r="Y687" i="9" s="1"/>
  <c r="Y686" i="9" s="1"/>
  <c r="Y685" i="9" s="1"/>
  <c r="Y684" i="9" s="1"/>
  <c r="Y683" i="9" s="1"/>
  <c r="Y682" i="9" s="1"/>
  <c r="Y681" i="9" s="1"/>
  <c r="Y680" i="9" s="1"/>
  <c r="Y679" i="9" s="1"/>
  <c r="Y678" i="9" s="1"/>
  <c r="Y677" i="9" s="1"/>
  <c r="Y676" i="9" s="1"/>
  <c r="Y675" i="9" s="1"/>
  <c r="Y674" i="9" s="1"/>
  <c r="Y673" i="9" s="1"/>
  <c r="Y672" i="9" s="1"/>
  <c r="Y671" i="9" s="1"/>
  <c r="Y670" i="9" s="1"/>
  <c r="Y669" i="9" s="1"/>
  <c r="Y668" i="9" s="1"/>
  <c r="Y667" i="9" s="1"/>
  <c r="Y666" i="9" s="1"/>
  <c r="Y665" i="9" s="1"/>
  <c r="Y664" i="9" s="1"/>
  <c r="Y663" i="9" s="1"/>
  <c r="Y662" i="9" s="1"/>
  <c r="Y661" i="9" s="1"/>
  <c r="Y660" i="9" s="1"/>
  <c r="Y659" i="9" s="1"/>
  <c r="Y658" i="9" s="1"/>
  <c r="Y657" i="9" s="1"/>
  <c r="Y656" i="9" s="1"/>
  <c r="Y655" i="9" s="1"/>
  <c r="Y654" i="9" s="1"/>
  <c r="Y653" i="9" s="1"/>
  <c r="Y652" i="9" s="1"/>
  <c r="Y651" i="9" s="1"/>
  <c r="Y650" i="9" s="1"/>
  <c r="Y649" i="9" s="1"/>
  <c r="Y648" i="9" s="1"/>
  <c r="Y647" i="9" s="1"/>
  <c r="Y646" i="9" s="1"/>
  <c r="Y645" i="9" s="1"/>
  <c r="Y644" i="9" s="1"/>
  <c r="Y643" i="9" s="1"/>
  <c r="Y642" i="9" s="1"/>
  <c r="Y641" i="9" s="1"/>
  <c r="Y640" i="9" s="1"/>
  <c r="Y639" i="9" s="1"/>
  <c r="Y638" i="9" s="1"/>
  <c r="Y637" i="9" s="1"/>
  <c r="Y636" i="9" s="1"/>
  <c r="Y635" i="9" s="1"/>
  <c r="Y634" i="9" s="1"/>
  <c r="Y633" i="9" s="1"/>
  <c r="Y632" i="9" s="1"/>
  <c r="Y631" i="9" s="1"/>
  <c r="Y630" i="9" s="1"/>
  <c r="Y629" i="9" s="1"/>
  <c r="Y628" i="9" s="1"/>
  <c r="Y627" i="9" s="1"/>
  <c r="Y626" i="9" s="1"/>
  <c r="Y625" i="9" s="1"/>
  <c r="Y624" i="9" s="1"/>
  <c r="Y623" i="9" s="1"/>
  <c r="Y622" i="9" s="1"/>
  <c r="Y621" i="9" s="1"/>
  <c r="Y620" i="9" s="1"/>
  <c r="Y619" i="9" s="1"/>
  <c r="Y618" i="9" s="1"/>
  <c r="Y617" i="9" s="1"/>
  <c r="Y616" i="9" s="1"/>
  <c r="Y615" i="9" s="1"/>
  <c r="Y614" i="9" s="1"/>
  <c r="Y613" i="9" s="1"/>
  <c r="Y612" i="9" s="1"/>
  <c r="Y611" i="9" s="1"/>
  <c r="Y610" i="9" s="1"/>
  <c r="Y609" i="9" s="1"/>
  <c r="Y608" i="9" s="1"/>
  <c r="Y607" i="9" s="1"/>
  <c r="Y606" i="9" s="1"/>
  <c r="Y605" i="9" s="1"/>
  <c r="Y604" i="9" s="1"/>
  <c r="Y603" i="9" s="1"/>
  <c r="Y602" i="9" s="1"/>
  <c r="Y601" i="9" s="1"/>
  <c r="Y600" i="9" s="1"/>
  <c r="Y599" i="9" s="1"/>
  <c r="Y598" i="9" s="1"/>
  <c r="Y597" i="9" s="1"/>
  <c r="Y596" i="9" s="1"/>
  <c r="Y595" i="9" s="1"/>
  <c r="Y594" i="9" s="1"/>
  <c r="Y593" i="9" s="1"/>
  <c r="Y592" i="9" s="1"/>
  <c r="Y591" i="9" s="1"/>
  <c r="Y590" i="9" s="1"/>
  <c r="Y589" i="9" s="1"/>
  <c r="Y588" i="9" s="1"/>
  <c r="Y587" i="9" s="1"/>
  <c r="Y586" i="9" s="1"/>
  <c r="Y585" i="9" s="1"/>
  <c r="Y584" i="9" s="1"/>
  <c r="Y583" i="9" s="1"/>
  <c r="Y582" i="9" s="1"/>
  <c r="Y581" i="9" s="1"/>
  <c r="Y580" i="9" s="1"/>
  <c r="Y579" i="9" s="1"/>
  <c r="Y578" i="9" s="1"/>
  <c r="Y577" i="9" s="1"/>
  <c r="Y576" i="9" s="1"/>
  <c r="Y575" i="9" s="1"/>
  <c r="Y574" i="9" s="1"/>
  <c r="Y573" i="9" s="1"/>
  <c r="Y572" i="9" s="1"/>
  <c r="Y571" i="9" s="1"/>
  <c r="Y570" i="9" s="1"/>
  <c r="Y569" i="9" s="1"/>
  <c r="Y568" i="9" s="1"/>
  <c r="Y567" i="9" s="1"/>
  <c r="Y566" i="9" s="1"/>
  <c r="Y565" i="9" s="1"/>
  <c r="Y564" i="9" s="1"/>
  <c r="Y563" i="9" s="1"/>
  <c r="Y562" i="9" s="1"/>
  <c r="Y561" i="9" s="1"/>
  <c r="Y560" i="9" s="1"/>
  <c r="Y559" i="9" s="1"/>
  <c r="Y558" i="9" s="1"/>
  <c r="Y557" i="9" s="1"/>
  <c r="Y556" i="9" s="1"/>
  <c r="Y555" i="9" s="1"/>
  <c r="Y554" i="9" s="1"/>
  <c r="Y553" i="9" s="1"/>
  <c r="Y552" i="9" s="1"/>
  <c r="Y551" i="9" s="1"/>
  <c r="Y550" i="9" s="1"/>
  <c r="Y549" i="9" s="1"/>
  <c r="Y548" i="9" s="1"/>
  <c r="Y547" i="9" s="1"/>
  <c r="Y546" i="9" s="1"/>
  <c r="Y545" i="9" s="1"/>
  <c r="Y544" i="9" s="1"/>
  <c r="Y543" i="9" s="1"/>
  <c r="Y542" i="9" s="1"/>
  <c r="Y541" i="9" s="1"/>
  <c r="Y540" i="9" s="1"/>
  <c r="Y539" i="9" s="1"/>
  <c r="Y538" i="9" s="1"/>
  <c r="Y537" i="9" s="1"/>
  <c r="Y536" i="9" s="1"/>
  <c r="Y535" i="9" s="1"/>
  <c r="Y534" i="9" s="1"/>
  <c r="Y533" i="9" s="1"/>
  <c r="Y532" i="9" s="1"/>
  <c r="Y531" i="9" s="1"/>
  <c r="Y530" i="9" s="1"/>
  <c r="Y529" i="9" s="1"/>
  <c r="Y528" i="9" s="1"/>
  <c r="Y527" i="9" s="1"/>
  <c r="Y526" i="9" s="1"/>
  <c r="Y525" i="9" s="1"/>
  <c r="Y524" i="9" s="1"/>
  <c r="Y523" i="9" s="1"/>
  <c r="Y522" i="9" s="1"/>
  <c r="Y521" i="9" s="1"/>
  <c r="Y520" i="9" s="1"/>
  <c r="Y519" i="9" s="1"/>
  <c r="Y518" i="9" s="1"/>
  <c r="Y517" i="9" s="1"/>
  <c r="Y516" i="9" s="1"/>
  <c r="Y515" i="9" s="1"/>
  <c r="Y514" i="9" s="1"/>
  <c r="Y513" i="9" s="1"/>
  <c r="Y512" i="9" s="1"/>
  <c r="Y511" i="9" s="1"/>
  <c r="Y510" i="9" s="1"/>
  <c r="Y509" i="9" s="1"/>
  <c r="Y508" i="9" s="1"/>
  <c r="Y507" i="9" s="1"/>
  <c r="Y506" i="9" s="1"/>
  <c r="Y505" i="9" s="1"/>
  <c r="Y504" i="9" s="1"/>
  <c r="Y503" i="9" s="1"/>
  <c r="Y502" i="9" s="1"/>
  <c r="Y501" i="9" s="1"/>
  <c r="Y500" i="9" s="1"/>
  <c r="Y499" i="9" s="1"/>
  <c r="Y498" i="9" s="1"/>
  <c r="Y497" i="9" s="1"/>
  <c r="Y496" i="9" s="1"/>
  <c r="Y495" i="9" s="1"/>
  <c r="Y494" i="9" s="1"/>
  <c r="Y493" i="9" s="1"/>
  <c r="Y492" i="9" s="1"/>
  <c r="Y491" i="9" s="1"/>
  <c r="Y490" i="9" s="1"/>
  <c r="Y489" i="9" s="1"/>
  <c r="Y488" i="9" s="1"/>
  <c r="Y487" i="9" s="1"/>
  <c r="Y486" i="9" s="1"/>
  <c r="Y485" i="9" s="1"/>
  <c r="Y484" i="9" s="1"/>
  <c r="Y483" i="9" s="1"/>
  <c r="Y482" i="9" s="1"/>
  <c r="Y481" i="9" s="1"/>
  <c r="Y480" i="9" s="1"/>
  <c r="Y479" i="9" s="1"/>
  <c r="Y478" i="9" s="1"/>
  <c r="Y477" i="9" s="1"/>
  <c r="Y476" i="9" s="1"/>
  <c r="Y475" i="9" s="1"/>
  <c r="Y474" i="9" s="1"/>
  <c r="Y473" i="9" s="1"/>
  <c r="Y472" i="9" s="1"/>
  <c r="Y471" i="9" s="1"/>
  <c r="Y470" i="9" s="1"/>
  <c r="Y469" i="9" s="1"/>
  <c r="Y468" i="9" s="1"/>
  <c r="Y467" i="9" s="1"/>
  <c r="Y466" i="9" s="1"/>
  <c r="Y465" i="9" s="1"/>
  <c r="Y464" i="9" s="1"/>
  <c r="Y463" i="9" s="1"/>
  <c r="Y462" i="9" s="1"/>
  <c r="Y461" i="9" s="1"/>
  <c r="Y460" i="9" s="1"/>
  <c r="Y459" i="9" s="1"/>
  <c r="Y458" i="9" s="1"/>
  <c r="Y457" i="9" s="1"/>
  <c r="Y456" i="9" s="1"/>
  <c r="Y455" i="9" s="1"/>
  <c r="Y454" i="9" s="1"/>
  <c r="Y453" i="9" s="1"/>
  <c r="Y452" i="9" s="1"/>
  <c r="Y451" i="9" s="1"/>
  <c r="Y450" i="9" s="1"/>
  <c r="Y449" i="9" s="1"/>
  <c r="Y448" i="9" s="1"/>
  <c r="Y447" i="9" s="1"/>
  <c r="Y446" i="9" s="1"/>
  <c r="Y445" i="9" s="1"/>
  <c r="Y444" i="9" s="1"/>
  <c r="Y443" i="9" s="1"/>
  <c r="Y442" i="9" s="1"/>
  <c r="Y441" i="9" s="1"/>
  <c r="Y440" i="9" s="1"/>
  <c r="Y439" i="9" s="1"/>
  <c r="AB15" i="6"/>
  <c r="I200" i="5"/>
  <c r="AB13" i="6"/>
  <c r="BR31" i="6"/>
  <c r="BR12" i="6"/>
  <c r="BR25" i="6"/>
  <c r="BN30" i="6"/>
  <c r="BN13" i="6"/>
  <c r="BN15" i="6"/>
  <c r="BJ33" i="6"/>
  <c r="BJ20" i="6"/>
  <c r="BJ27" i="6"/>
  <c r="BF34" i="6"/>
  <c r="BF24" i="6"/>
  <c r="BF25" i="6"/>
  <c r="BB31" i="6"/>
  <c r="BB11" i="6"/>
  <c r="BB20" i="6"/>
  <c r="AX33" i="6"/>
  <c r="AX24" i="6"/>
  <c r="AX22" i="6"/>
  <c r="AX20" i="6"/>
  <c r="AX18" i="6"/>
  <c r="AX27" i="6"/>
  <c r="AX23" i="6"/>
  <c r="AX21" i="6"/>
  <c r="AX19" i="6"/>
  <c r="AT33" i="6"/>
  <c r="AT14" i="6"/>
  <c r="AT29" i="6"/>
  <c r="AP34" i="6"/>
  <c r="AP16" i="6"/>
  <c r="AP27" i="6"/>
  <c r="AL34" i="6"/>
  <c r="AL15" i="6"/>
  <c r="AL19" i="6"/>
  <c r="AH30" i="6"/>
  <c r="AH15" i="6"/>
  <c r="AD33" i="6"/>
  <c r="AD14" i="6"/>
  <c r="AD25" i="6"/>
  <c r="BU27" i="6"/>
  <c r="BU31" i="6"/>
  <c r="BU14" i="6"/>
  <c r="BQ30" i="6"/>
  <c r="BQ31" i="6"/>
  <c r="BQ13" i="6"/>
  <c r="BM29" i="6"/>
  <c r="BM32" i="6"/>
  <c r="BM27" i="6"/>
  <c r="BI14" i="6"/>
  <c r="BI31" i="6"/>
  <c r="BE31" i="6"/>
  <c r="BE33" i="6"/>
  <c r="BE14" i="6"/>
  <c r="BA15" i="6"/>
  <c r="BA27" i="6"/>
  <c r="BA13" i="6"/>
  <c r="AW25" i="6"/>
  <c r="AW34" i="6"/>
  <c r="AW24" i="6"/>
  <c r="AS33" i="6"/>
  <c r="AS34" i="6"/>
  <c r="AS20" i="6"/>
  <c r="AO15" i="6"/>
  <c r="AO30" i="6"/>
  <c r="AO13" i="6"/>
  <c r="AK27" i="6"/>
  <c r="AK33" i="6"/>
  <c r="AK13" i="6"/>
  <c r="AG19" i="6"/>
  <c r="AG31" i="6"/>
  <c r="AG15" i="6"/>
  <c r="AC30" i="6"/>
  <c r="AC34" i="6"/>
  <c r="AC13" i="6"/>
  <c r="BP31" i="6"/>
  <c r="BP13" i="6"/>
  <c r="BP27" i="6"/>
  <c r="BL32" i="6"/>
  <c r="BL25" i="6"/>
  <c r="BL27" i="6"/>
  <c r="BH31" i="6"/>
  <c r="BH12" i="6"/>
  <c r="BH14" i="6"/>
  <c r="BD19" i="6"/>
  <c r="BD15" i="6"/>
  <c r="BD18" i="6"/>
  <c r="AZ27" i="6"/>
  <c r="AZ13" i="6"/>
  <c r="AZ18" i="6"/>
  <c r="AV27" i="6"/>
  <c r="AV13" i="6"/>
  <c r="AV15" i="6"/>
  <c r="AR18" i="6"/>
  <c r="AR11" i="6"/>
  <c r="AR15" i="6"/>
  <c r="AN27" i="6"/>
  <c r="AN13" i="6"/>
  <c r="AN15" i="6"/>
  <c r="AJ33" i="6"/>
  <c r="AJ15" i="6"/>
  <c r="AJ31" i="6"/>
  <c r="AF17" i="6"/>
  <c r="AF12" i="6"/>
  <c r="AF14" i="6"/>
  <c r="BS25" i="6"/>
  <c r="BS30" i="6"/>
  <c r="BS13" i="6"/>
  <c r="BO30" i="6"/>
  <c r="BO31" i="6"/>
  <c r="BO12" i="6"/>
  <c r="BK27" i="6"/>
  <c r="BK31" i="6"/>
  <c r="BK12" i="6"/>
  <c r="BG25" i="6"/>
  <c r="BG34" i="6"/>
  <c r="BG24" i="6"/>
  <c r="BC24" i="6"/>
  <c r="BC25" i="6"/>
  <c r="BC16" i="6"/>
  <c r="AY33" i="6"/>
  <c r="AY34" i="6"/>
  <c r="AY25" i="6"/>
  <c r="AU25" i="6"/>
  <c r="AU34" i="6"/>
  <c r="AU19" i="6"/>
  <c r="AQ14" i="6"/>
  <c r="AQ17" i="6"/>
  <c r="AQ12" i="6"/>
  <c r="AM27" i="6"/>
  <c r="AM23" i="6"/>
  <c r="AM21" i="6"/>
  <c r="AM19" i="6"/>
  <c r="AM34" i="6"/>
  <c r="AM24" i="6"/>
  <c r="AM22" i="6"/>
  <c r="AM20" i="6"/>
  <c r="AM18" i="6"/>
  <c r="AI31" i="6"/>
  <c r="AI32" i="6"/>
  <c r="AI29" i="6"/>
  <c r="AE15" i="6"/>
  <c r="AE30" i="6"/>
  <c r="AE13" i="6"/>
  <c r="IE3" i="5"/>
  <c r="IE4" i="5" s="1"/>
  <c r="IE5" i="5" s="1"/>
  <c r="IE6" i="5" s="1"/>
  <c r="IE7" i="5" s="1"/>
  <c r="IE8" i="5" s="1"/>
  <c r="IE9" i="5" s="1"/>
  <c r="IE10" i="5" s="1"/>
  <c r="IE11" i="5" s="1"/>
  <c r="IE12" i="5" s="1"/>
  <c r="IE13" i="5" s="1"/>
  <c r="IE14" i="5" s="1"/>
  <c r="IE15" i="5" s="1"/>
  <c r="IE16" i="5" s="1"/>
  <c r="IE17" i="5" s="1"/>
  <c r="IE18" i="5" s="1"/>
  <c r="IE19" i="5" s="1"/>
  <c r="IE20" i="5" s="1"/>
  <c r="IE21" i="5" s="1"/>
  <c r="IE22" i="5" s="1"/>
  <c r="IE23" i="5" s="1"/>
  <c r="IE24" i="5" s="1"/>
  <c r="IE25" i="5" s="1"/>
  <c r="IE26" i="5" s="1"/>
  <c r="IE27" i="5" s="1"/>
  <c r="IE28" i="5" s="1"/>
  <c r="IE29" i="5" s="1"/>
  <c r="IE30" i="5" s="1"/>
  <c r="IE31" i="5" s="1"/>
  <c r="IE32" i="5" s="1"/>
  <c r="IE33" i="5" s="1"/>
  <c r="IE34" i="5" s="1"/>
  <c r="IE35" i="5" s="1"/>
  <c r="IE36" i="5" s="1"/>
  <c r="IE37" i="5" s="1"/>
  <c r="IE38" i="5" s="1"/>
  <c r="IE39" i="5" s="1"/>
  <c r="IE40" i="5" s="1"/>
  <c r="IE41" i="5" s="1"/>
  <c r="IE42" i="5" s="1"/>
  <c r="IE43" i="5" s="1"/>
  <c r="IE44" i="5" s="1"/>
  <c r="IE45" i="5" s="1"/>
  <c r="IE46" i="5" s="1"/>
  <c r="IE47" i="5" s="1"/>
  <c r="IE48" i="5" s="1"/>
  <c r="IE49" i="5" s="1"/>
  <c r="IE50" i="5" s="1"/>
  <c r="IE51" i="5" s="1"/>
  <c r="IE52" i="5" s="1"/>
  <c r="IE53" i="5" s="1"/>
  <c r="IE54" i="5" s="1"/>
  <c r="IE55" i="5" s="1"/>
  <c r="IE56" i="5" s="1"/>
  <c r="IE57" i="5" s="1"/>
  <c r="IE58" i="5" s="1"/>
  <c r="IE59" i="5" s="1"/>
  <c r="IE60" i="5" s="1"/>
  <c r="IE61" i="5" s="1"/>
  <c r="IE62" i="5" s="1"/>
  <c r="IE63" i="5" s="1"/>
  <c r="IE64" i="5" s="1"/>
  <c r="IE65" i="5" s="1"/>
  <c r="IE66" i="5" s="1"/>
  <c r="IE67" i="5" s="1"/>
  <c r="IE68" i="5" s="1"/>
  <c r="IE69" i="5" s="1"/>
  <c r="IE70" i="5" s="1"/>
  <c r="IE71" i="5" s="1"/>
  <c r="IE72" i="5" s="1"/>
  <c r="IE73" i="5" s="1"/>
  <c r="IE74" i="5" s="1"/>
  <c r="IE75" i="5" s="1"/>
  <c r="IE76" i="5" s="1"/>
  <c r="IE77" i="5" s="1"/>
  <c r="IE78" i="5" s="1"/>
  <c r="IE79" i="5" s="1"/>
  <c r="IE80" i="5" s="1"/>
  <c r="IE81" i="5" s="1"/>
  <c r="IE82" i="5" s="1"/>
  <c r="IE83" i="5" s="1"/>
  <c r="IE84" i="5" s="1"/>
  <c r="IE85" i="5" s="1"/>
  <c r="IE86" i="5" s="1"/>
  <c r="IE87" i="5" s="1"/>
  <c r="IE88" i="5" s="1"/>
  <c r="IE89" i="5" s="1"/>
  <c r="IE90" i="5" s="1"/>
  <c r="IE91" i="5" s="1"/>
  <c r="IE92" i="5" s="1"/>
  <c r="IE93" i="5" s="1"/>
  <c r="IE94" i="5" s="1"/>
  <c r="IE95" i="5" s="1"/>
  <c r="IE96" i="5" s="1"/>
  <c r="IE97" i="5" s="1"/>
  <c r="IE98" i="5" s="1"/>
  <c r="IE99" i="5" s="1"/>
  <c r="IE100" i="5" s="1"/>
  <c r="IE101" i="5" s="1"/>
  <c r="IE102" i="5" s="1"/>
  <c r="IE103" i="5" s="1"/>
  <c r="IE104" i="5" s="1"/>
  <c r="IE105" i="5" s="1"/>
  <c r="IE106" i="5" s="1"/>
  <c r="IE107" i="5" s="1"/>
  <c r="IE108" i="5" s="1"/>
  <c r="IE109" i="5" s="1"/>
  <c r="IE110" i="5" s="1"/>
  <c r="IE111" i="5" s="1"/>
  <c r="IE112" i="5" s="1"/>
  <c r="IE113" i="5" s="1"/>
  <c r="IE114" i="5" s="1"/>
  <c r="IE115" i="5" s="1"/>
  <c r="IE116" i="5" s="1"/>
  <c r="IE117" i="5" s="1"/>
  <c r="IE118" i="5" s="1"/>
  <c r="IE119" i="5" s="1"/>
  <c r="IE120" i="5" s="1"/>
  <c r="IE121" i="5" s="1"/>
  <c r="IE122" i="5" s="1"/>
  <c r="IE123" i="5" s="1"/>
  <c r="IE124" i="5" s="1"/>
  <c r="IE125" i="5" s="1"/>
  <c r="IE126" i="5" s="1"/>
  <c r="IE127" i="5" s="1"/>
  <c r="IE128" i="5" s="1"/>
  <c r="IE129" i="5" s="1"/>
  <c r="IE130" i="5" s="1"/>
  <c r="IE131" i="5" s="1"/>
  <c r="IC300" i="5"/>
  <c r="ID300" i="5" s="1"/>
  <c r="IC299" i="5"/>
  <c r="IC298" i="5"/>
  <c r="IC297" i="5"/>
  <c r="IC296" i="5"/>
  <c r="IC295" i="5"/>
  <c r="IC294" i="5"/>
  <c r="IC293" i="5"/>
  <c r="IC292" i="5"/>
  <c r="IC291" i="5"/>
  <c r="IC290" i="5"/>
  <c r="IC289" i="5"/>
  <c r="IC288" i="5"/>
  <c r="IC287" i="5"/>
  <c r="IC286" i="5"/>
  <c r="IC285" i="5"/>
  <c r="IC284" i="5"/>
  <c r="IC283" i="5"/>
  <c r="IC282" i="5"/>
  <c r="IC281" i="5"/>
  <c r="IC280" i="5"/>
  <c r="IC279" i="5"/>
  <c r="IC278" i="5"/>
  <c r="IC277" i="5"/>
  <c r="IC276" i="5"/>
  <c r="IC275" i="5"/>
  <c r="IC274" i="5"/>
  <c r="IC273" i="5"/>
  <c r="IC272" i="5"/>
  <c r="IC271" i="5"/>
  <c r="IC270" i="5"/>
  <c r="IC269" i="5"/>
  <c r="IC268" i="5"/>
  <c r="IC267" i="5"/>
  <c r="IC266" i="5"/>
  <c r="IC251" i="5"/>
  <c r="IC250" i="5"/>
  <c r="IC249" i="5"/>
  <c r="IC248" i="5"/>
  <c r="IC247" i="5"/>
  <c r="IC246" i="5"/>
  <c r="IC245" i="5"/>
  <c r="IC244" i="5"/>
  <c r="IC243" i="5"/>
  <c r="IC242" i="5"/>
  <c r="IC241" i="5"/>
  <c r="IC240" i="5"/>
  <c r="IC239" i="5"/>
  <c r="IC238" i="5"/>
  <c r="IC237" i="5"/>
  <c r="IC236" i="5"/>
  <c r="IC235" i="5"/>
  <c r="IC234" i="5"/>
  <c r="IC233" i="5"/>
  <c r="IC232" i="5"/>
  <c r="IC231" i="5"/>
  <c r="IC230" i="5"/>
  <c r="IC229" i="5"/>
  <c r="IC227" i="5"/>
  <c r="IC226" i="5"/>
  <c r="IC224" i="5"/>
  <c r="IC223" i="5"/>
  <c r="IC222" i="5"/>
  <c r="IC221" i="5"/>
  <c r="IC220" i="5"/>
  <c r="IC219" i="5"/>
  <c r="IC218" i="5"/>
  <c r="IC217" i="5"/>
  <c r="IC216" i="5"/>
  <c r="IC215" i="5"/>
  <c r="IC214" i="5"/>
  <c r="IC213" i="5"/>
  <c r="IC212" i="5"/>
  <c r="IC211" i="5"/>
  <c r="IC210" i="5"/>
  <c r="IC209" i="5"/>
  <c r="IC208" i="5"/>
  <c r="IC207" i="5"/>
  <c r="IC206" i="5"/>
  <c r="IC205" i="5"/>
  <c r="IC204" i="5"/>
  <c r="IC203" i="5"/>
  <c r="IC202" i="5"/>
  <c r="IC201" i="5"/>
  <c r="IC200" i="5"/>
  <c r="IC199" i="5"/>
  <c r="IC198" i="5"/>
  <c r="IC197" i="5"/>
  <c r="IC196" i="5"/>
  <c r="IC195" i="5"/>
  <c r="IC194" i="5"/>
  <c r="IC193" i="5"/>
  <c r="IC192" i="5"/>
  <c r="IC191" i="5"/>
  <c r="IC190" i="5"/>
  <c r="IC189" i="5"/>
  <c r="IC188" i="5"/>
  <c r="IC187" i="5"/>
  <c r="IC186" i="5"/>
  <c r="IC185" i="5"/>
  <c r="IC184" i="5"/>
  <c r="IC183" i="5"/>
  <c r="IC182" i="5"/>
  <c r="IC181" i="5"/>
  <c r="IC180" i="5"/>
  <c r="IC179" i="5"/>
  <c r="IC178" i="5"/>
  <c r="IC177" i="5"/>
  <c r="IC176" i="5"/>
  <c r="IC175" i="5"/>
  <c r="IC174" i="5"/>
  <c r="IC173" i="5"/>
  <c r="IC172" i="5"/>
  <c r="IC171" i="5"/>
  <c r="IC170" i="5"/>
  <c r="IC169" i="5"/>
  <c r="IC168" i="5"/>
  <c r="IC167" i="5"/>
  <c r="IC166" i="5"/>
  <c r="IC165" i="5"/>
  <c r="IC164" i="5"/>
  <c r="IC163" i="5"/>
  <c r="IC162" i="5"/>
  <c r="IC161" i="5"/>
  <c r="IC160" i="5"/>
  <c r="IC159" i="5"/>
  <c r="IC158" i="5"/>
  <c r="IC157" i="5"/>
  <c r="IC156" i="5"/>
  <c r="IC155" i="5"/>
  <c r="IC154" i="5"/>
  <c r="IC153" i="5"/>
  <c r="IC152" i="5"/>
  <c r="IC151" i="5"/>
  <c r="IC150" i="5"/>
  <c r="IC149" i="5"/>
  <c r="IC148" i="5"/>
  <c r="IC147" i="5"/>
  <c r="IC146" i="5"/>
  <c r="IC145" i="5"/>
  <c r="IC144" i="5"/>
  <c r="IC143" i="5"/>
  <c r="IC142" i="5"/>
  <c r="IC141" i="5"/>
  <c r="IC140" i="5"/>
  <c r="IC139" i="5"/>
  <c r="IC138" i="5"/>
  <c r="IC137" i="5"/>
  <c r="IC136" i="5"/>
  <c r="IC135" i="5"/>
  <c r="IC134" i="5"/>
  <c r="IC133" i="5"/>
  <c r="IC132" i="5"/>
  <c r="IC131" i="5"/>
  <c r="IC130" i="5"/>
  <c r="IC129" i="5"/>
  <c r="IC128" i="5"/>
  <c r="IC127" i="5"/>
  <c r="IC126" i="5"/>
  <c r="IC125" i="5"/>
  <c r="IC124" i="5"/>
  <c r="IC123" i="5"/>
  <c r="IC122" i="5"/>
  <c r="IC121" i="5"/>
  <c r="IC120" i="5"/>
  <c r="IC119" i="5"/>
  <c r="IC118" i="5"/>
  <c r="IC117" i="5"/>
  <c r="IC116" i="5"/>
  <c r="IC115" i="5"/>
  <c r="IC114" i="5"/>
  <c r="IC113" i="5"/>
  <c r="IC112" i="5"/>
  <c r="IC111" i="5"/>
  <c r="IC110" i="5"/>
  <c r="IC109" i="5"/>
  <c r="IC108" i="5"/>
  <c r="IC107" i="5"/>
  <c r="IC106" i="5"/>
  <c r="IC105" i="5"/>
  <c r="IC104" i="5"/>
  <c r="IC103" i="5"/>
  <c r="IC102" i="5"/>
  <c r="IC101" i="5"/>
  <c r="IC100" i="5"/>
  <c r="IC99" i="5"/>
  <c r="IC98" i="5"/>
  <c r="IC97" i="5"/>
  <c r="IC96" i="5"/>
  <c r="IC95" i="5"/>
  <c r="IC94" i="5"/>
  <c r="IC93" i="5"/>
  <c r="IC92" i="5"/>
  <c r="IC91" i="5"/>
  <c r="IC90" i="5"/>
  <c r="IC89" i="5"/>
  <c r="IC88" i="5"/>
  <c r="IC87" i="5"/>
  <c r="IC86" i="5"/>
  <c r="IC85" i="5"/>
  <c r="IC84" i="5"/>
  <c r="IC83" i="5"/>
  <c r="IC82" i="5"/>
  <c r="IC81" i="5"/>
  <c r="IC80" i="5"/>
  <c r="IC79" i="5"/>
  <c r="IC78" i="5"/>
  <c r="IC77" i="5"/>
  <c r="IC76" i="5"/>
  <c r="IC75" i="5"/>
  <c r="IC74" i="5"/>
  <c r="IC73" i="5"/>
  <c r="IC72" i="5"/>
  <c r="IC71" i="5"/>
  <c r="IC70" i="5"/>
  <c r="IC69" i="5"/>
  <c r="IC68" i="5"/>
  <c r="IC67" i="5"/>
  <c r="IC66" i="5"/>
  <c r="IC65" i="5"/>
  <c r="IC64" i="5"/>
  <c r="IC63" i="5"/>
  <c r="IC62" i="5"/>
  <c r="IC61" i="5"/>
  <c r="IC60" i="5"/>
  <c r="IC59" i="5"/>
  <c r="IC58" i="5"/>
  <c r="IC57" i="5"/>
  <c r="IC56" i="5"/>
  <c r="IC55" i="5"/>
  <c r="IC54" i="5"/>
  <c r="IC53" i="5"/>
  <c r="IC52" i="5"/>
  <c r="IC51" i="5"/>
  <c r="IC50" i="5"/>
  <c r="IC49" i="5"/>
  <c r="IC48" i="5"/>
  <c r="IC47" i="5"/>
  <c r="IC46" i="5"/>
  <c r="IC45" i="5"/>
  <c r="IC44" i="5"/>
  <c r="IC43" i="5"/>
  <c r="IC42" i="5"/>
  <c r="IC41" i="5"/>
  <c r="IC40" i="5"/>
  <c r="IC39" i="5"/>
  <c r="IC38" i="5"/>
  <c r="IC37" i="5"/>
  <c r="IC36" i="5"/>
  <c r="IC35" i="5"/>
  <c r="IC34" i="5"/>
  <c r="IC33" i="5"/>
  <c r="IC32" i="5"/>
  <c r="IC31" i="5"/>
  <c r="IC30" i="5"/>
  <c r="IC29" i="5"/>
  <c r="IC28" i="5"/>
  <c r="IC27" i="5"/>
  <c r="IC26" i="5"/>
  <c r="IC25" i="5"/>
  <c r="IC24" i="5"/>
  <c r="IC23" i="5"/>
  <c r="IC22" i="5"/>
  <c r="IC21" i="5"/>
  <c r="IC20" i="5"/>
  <c r="IC19" i="5"/>
  <c r="IC18" i="5"/>
  <c r="IC17" i="5"/>
  <c r="IC16" i="5"/>
  <c r="IC15" i="5"/>
  <c r="IC14" i="5"/>
  <c r="IC13" i="5"/>
  <c r="IC12" i="5"/>
  <c r="IC11" i="5"/>
  <c r="IC10" i="5"/>
  <c r="IC9" i="5"/>
  <c r="IC8" i="5"/>
  <c r="IC7" i="5"/>
  <c r="IC6" i="5"/>
  <c r="IC5" i="5"/>
  <c r="IC4" i="5"/>
  <c r="IC3" i="5"/>
  <c r="AB78" i="5"/>
  <c r="AD78" i="5"/>
  <c r="AC78" i="5"/>
  <c r="U78" i="5"/>
  <c r="T78" i="5"/>
  <c r="S78" i="5"/>
  <c r="L78" i="5"/>
  <c r="AH120" i="5"/>
  <c r="AW101" i="5"/>
  <c r="AH99" i="5"/>
  <c r="L120" i="5"/>
  <c r="L103" i="5"/>
  <c r="L101" i="5"/>
  <c r="L99" i="5"/>
  <c r="L81" i="5"/>
  <c r="L65" i="5"/>
  <c r="L55" i="5"/>
  <c r="L22" i="5"/>
  <c r="L5" i="5"/>
  <c r="BV29" i="6" l="1"/>
  <c r="BV22" i="6"/>
  <c r="BV15" i="6"/>
  <c r="BV32" i="6"/>
  <c r="BV18" i="6"/>
  <c r="BV21" i="6"/>
  <c r="BV20" i="6"/>
  <c r="BV24" i="6"/>
  <c r="BV23" i="6"/>
  <c r="BV11" i="6"/>
  <c r="BV31" i="6"/>
  <c r="BV12" i="6"/>
  <c r="BV34" i="6"/>
  <c r="BV19" i="6"/>
  <c r="BV25" i="6"/>
  <c r="BV33" i="6"/>
  <c r="BV13" i="6"/>
  <c r="BV17" i="6"/>
  <c r="BV30" i="6"/>
  <c r="BV27" i="6"/>
  <c r="BV14" i="6"/>
  <c r="BV16" i="6"/>
  <c r="ID299" i="5"/>
  <c r="ID298" i="5" s="1"/>
  <c r="ID297" i="5" s="1"/>
  <c r="ID296" i="5" s="1"/>
  <c r="ID295" i="5" s="1"/>
  <c r="ID294" i="5" s="1"/>
  <c r="ID293" i="5" s="1"/>
  <c r="ID292" i="5" s="1"/>
  <c r="ID291" i="5" s="1"/>
  <c r="ID290" i="5" s="1"/>
  <c r="ID289" i="5" s="1"/>
  <c r="ID288" i="5" s="1"/>
  <c r="ID287" i="5" s="1"/>
  <c r="ID286" i="5" s="1"/>
  <c r="ID285" i="5" s="1"/>
  <c r="ID284" i="5" s="1"/>
  <c r="ID283" i="5" s="1"/>
  <c r="ID282" i="5" s="1"/>
  <c r="ID281" i="5" s="1"/>
  <c r="ID280" i="5" s="1"/>
  <c r="ID279" i="5" s="1"/>
  <c r="ID278" i="5" s="1"/>
  <c r="ID277" i="5" s="1"/>
  <c r="ID276" i="5" s="1"/>
  <c r="ID275" i="5" s="1"/>
  <c r="ID274" i="5" s="1"/>
  <c r="ID273" i="5" s="1"/>
  <c r="ID272" i="5" s="1"/>
  <c r="ID271" i="5" s="1"/>
  <c r="ID270" i="5" s="1"/>
  <c r="ID269" i="5" s="1"/>
  <c r="ID268" i="5" s="1"/>
  <c r="ID267" i="5" s="1"/>
  <c r="ID266" i="5" s="1"/>
  <c r="ID265" i="5" s="1"/>
  <c r="ID264" i="5" s="1"/>
  <c r="ID263" i="5" s="1"/>
  <c r="ID262" i="5" s="1"/>
  <c r="ID261" i="5" s="1"/>
  <c r="ID260" i="5" s="1"/>
  <c r="ID259" i="5" s="1"/>
  <c r="ID258" i="5" s="1"/>
  <c r="ID257" i="5" s="1"/>
  <c r="ID256" i="5" s="1"/>
  <c r="ID255" i="5" s="1"/>
  <c r="ID254" i="5" s="1"/>
  <c r="ID253" i="5" s="1"/>
  <c r="ID252" i="5" s="1"/>
  <c r="ID251" i="5" s="1"/>
  <c r="ID250" i="5" s="1"/>
  <c r="ID249" i="5" s="1"/>
  <c r="ID248" i="5" s="1"/>
  <c r="ID247" i="5" s="1"/>
  <c r="ID246" i="5" s="1"/>
  <c r="ID245" i="5" s="1"/>
  <c r="ID244" i="5" s="1"/>
  <c r="ID243" i="5" s="1"/>
  <c r="ID242" i="5" s="1"/>
  <c r="ID241" i="5" s="1"/>
  <c r="ID240" i="5" s="1"/>
  <c r="ID239" i="5" s="1"/>
  <c r="ID238" i="5" s="1"/>
  <c r="ID237" i="5" s="1"/>
  <c r="ID236" i="5" s="1"/>
  <c r="ID235" i="5" s="1"/>
  <c r="ID234" i="5" s="1"/>
  <c r="ID233" i="5" s="1"/>
  <c r="ID232" i="5" s="1"/>
  <c r="ID231" i="5" s="1"/>
  <c r="ID230" i="5" s="1"/>
  <c r="ID229" i="5" s="1"/>
  <c r="EW17" i="14"/>
  <c r="FQ153" i="14"/>
  <c r="FQ149" i="14"/>
  <c r="GH164" i="14"/>
  <c r="GH163" i="14"/>
  <c r="GH162" i="14"/>
  <c r="GH161" i="14"/>
  <c r="GH160" i="14"/>
  <c r="GH159" i="14"/>
  <c r="AB1" i="19" l="1"/>
  <c r="O1" i="19"/>
  <c r="Q91" i="31"/>
  <c r="AA1" i="19"/>
  <c r="N66" i="31"/>
  <c r="M68" i="31"/>
  <c r="FQ55" i="14"/>
  <c r="GC7" i="14"/>
  <c r="FQ13" i="14"/>
  <c r="FQ12" i="14"/>
  <c r="GC130" i="14"/>
  <c r="FG80" i="14"/>
  <c r="GC67" i="14"/>
  <c r="C185" i="5"/>
  <c r="B185" i="5"/>
  <c r="FQ64" i="14" s="1"/>
  <c r="FQ143" i="14"/>
  <c r="FQ144" i="14"/>
  <c r="GC64" i="14"/>
  <c r="B1317" i="9"/>
  <c r="B1316" i="9"/>
  <c r="B1315" i="9"/>
  <c r="B1314" i="9"/>
  <c r="B1313" i="9"/>
  <c r="B1312" i="9"/>
  <c r="B1311" i="9"/>
  <c r="B1310" i="9"/>
  <c r="B1309" i="9"/>
  <c r="B1308" i="9"/>
  <c r="B1307" i="9"/>
  <c r="B1306" i="9"/>
  <c r="B1305" i="9"/>
  <c r="B1304" i="9"/>
  <c r="B1303" i="9"/>
  <c r="B1302" i="9"/>
  <c r="B1301" i="9"/>
  <c r="B1300" i="9"/>
  <c r="B1299" i="9"/>
  <c r="B1298" i="9"/>
  <c r="B1297" i="9"/>
  <c r="B1296" i="9"/>
  <c r="B1295" i="9"/>
  <c r="B1294" i="9"/>
  <c r="B1293" i="9"/>
  <c r="B1292" i="9"/>
  <c r="B1291" i="9"/>
  <c r="B1290" i="9"/>
  <c r="B1289" i="9"/>
  <c r="B1288" i="9"/>
  <c r="B1287" i="9"/>
  <c r="B1286" i="9"/>
  <c r="B1285" i="9"/>
  <c r="B1284" i="9"/>
  <c r="B1283" i="9"/>
  <c r="B1282" i="9"/>
  <c r="B1281" i="9"/>
  <c r="B1280" i="9"/>
  <c r="B1279" i="9"/>
  <c r="B1278" i="9"/>
  <c r="B1277" i="9"/>
  <c r="B1276" i="9"/>
  <c r="B1275" i="9"/>
  <c r="B1274" i="9"/>
  <c r="B1273" i="9"/>
  <c r="B1272" i="9"/>
  <c r="B1271" i="9"/>
  <c r="B1270" i="9"/>
  <c r="B1269" i="9"/>
  <c r="B1268" i="9"/>
  <c r="B1267" i="9"/>
  <c r="B1266" i="9"/>
  <c r="B1265" i="9"/>
  <c r="B1264" i="9"/>
  <c r="B1263" i="9"/>
  <c r="B1262" i="9"/>
  <c r="B1261" i="9"/>
  <c r="B1260" i="9"/>
  <c r="B1259" i="9"/>
  <c r="B1258" i="9"/>
  <c r="B1257" i="9"/>
  <c r="B1256" i="9"/>
  <c r="B1255" i="9"/>
  <c r="B1254" i="9"/>
  <c r="B1253" i="9"/>
  <c r="B1252" i="9"/>
  <c r="B1251" i="9"/>
  <c r="B1250" i="9"/>
  <c r="B1249" i="9"/>
  <c r="B1248" i="9"/>
  <c r="B1247" i="9"/>
  <c r="B1246" i="9"/>
  <c r="B1245" i="9"/>
  <c r="B1244" i="9"/>
  <c r="B1243" i="9"/>
  <c r="B1242" i="9"/>
  <c r="B1241" i="9"/>
  <c r="B1240" i="9"/>
  <c r="B1239" i="9"/>
  <c r="B1238" i="9"/>
  <c r="B1237" i="9"/>
  <c r="B1236" i="9"/>
  <c r="B1235" i="9"/>
  <c r="B1232" i="9"/>
  <c r="B1231" i="9"/>
  <c r="B1230" i="9"/>
  <c r="B1229" i="9"/>
  <c r="B1228" i="9"/>
  <c r="B1225" i="9"/>
  <c r="B1224" i="9"/>
  <c r="B1223" i="9"/>
  <c r="B1222" i="9"/>
  <c r="B1221" i="9"/>
  <c r="B1220" i="9"/>
  <c r="B1219" i="9"/>
  <c r="B1218" i="9"/>
  <c r="B1217" i="9"/>
  <c r="B1216" i="9"/>
  <c r="B1215" i="9"/>
  <c r="B1214" i="9"/>
  <c r="B1213" i="9"/>
  <c r="B1212" i="9"/>
  <c r="B1211" i="9"/>
  <c r="B1210" i="9"/>
  <c r="B1209" i="9"/>
  <c r="B1208" i="9"/>
  <c r="B1207" i="9"/>
  <c r="B1206" i="9"/>
  <c r="B1205" i="9"/>
  <c r="B1204" i="9"/>
  <c r="B1203" i="9"/>
  <c r="B1202" i="9"/>
  <c r="B1201" i="9"/>
  <c r="B1200" i="9"/>
  <c r="B1199" i="9"/>
  <c r="B1198" i="9"/>
  <c r="B1197" i="9"/>
  <c r="B1196" i="9"/>
  <c r="B1195" i="9"/>
  <c r="B1194" i="9"/>
  <c r="B1193" i="9"/>
  <c r="B1192" i="9"/>
  <c r="B1191" i="9"/>
  <c r="B1190" i="9"/>
  <c r="B1189" i="9"/>
  <c r="B1188" i="9"/>
  <c r="B1187" i="9"/>
  <c r="B1186" i="9"/>
  <c r="B1185" i="9"/>
  <c r="B1184" i="9"/>
  <c r="B1183" i="9"/>
  <c r="B1182" i="9"/>
  <c r="B1181" i="9"/>
  <c r="B1180" i="9"/>
  <c r="B1179" i="9"/>
  <c r="B1178" i="9"/>
  <c r="B1177" i="9"/>
  <c r="B1176" i="9"/>
  <c r="B1175" i="9"/>
  <c r="B1174" i="9"/>
  <c r="B1173" i="9"/>
  <c r="B1172" i="9"/>
  <c r="B1171" i="9"/>
  <c r="B1170" i="9"/>
  <c r="B1169" i="9"/>
  <c r="B1168" i="9"/>
  <c r="B1167" i="9"/>
  <c r="B1166" i="9"/>
  <c r="B1165" i="9"/>
  <c r="B1164" i="9"/>
  <c r="B1163" i="9"/>
  <c r="B1162" i="9"/>
  <c r="B1161" i="9"/>
  <c r="B1160" i="9"/>
  <c r="B1159" i="9"/>
  <c r="B1158" i="9"/>
  <c r="B1157" i="9"/>
  <c r="B1156" i="9"/>
  <c r="B1155" i="9"/>
  <c r="B1154" i="9"/>
  <c r="B1153" i="9"/>
  <c r="B1152" i="9"/>
  <c r="B1151" i="9"/>
  <c r="B1150" i="9"/>
  <c r="B1149" i="9"/>
  <c r="B1148" i="9"/>
  <c r="B1147" i="9"/>
  <c r="B1146" i="9"/>
  <c r="B1145" i="9"/>
  <c r="B1144" i="9"/>
  <c r="B1143" i="9"/>
  <c r="B1142" i="9"/>
  <c r="B1141" i="9"/>
  <c r="B1140" i="9"/>
  <c r="B1139" i="9"/>
  <c r="B1138" i="9"/>
  <c r="B1137" i="9"/>
  <c r="B1136" i="9"/>
  <c r="B1135" i="9"/>
  <c r="B1134" i="9"/>
  <c r="B1133" i="9"/>
  <c r="B1132" i="9"/>
  <c r="B1131" i="9"/>
  <c r="B1130" i="9"/>
  <c r="B1129" i="9"/>
  <c r="B1128" i="9"/>
  <c r="B1127" i="9"/>
  <c r="B1126" i="9"/>
  <c r="B1125" i="9"/>
  <c r="B1124" i="9"/>
  <c r="B1123" i="9"/>
  <c r="B1122" i="9"/>
  <c r="B1121" i="9"/>
  <c r="B1120" i="9"/>
  <c r="B1119" i="9"/>
  <c r="B1118" i="9"/>
  <c r="B1117" i="9"/>
  <c r="B1116" i="9"/>
  <c r="B1115" i="9"/>
  <c r="B1114" i="9"/>
  <c r="B1113" i="9"/>
  <c r="B1112" i="9"/>
  <c r="B1111" i="9"/>
  <c r="B1110" i="9"/>
  <c r="B1109" i="9"/>
  <c r="B1108" i="9"/>
  <c r="B1107" i="9"/>
  <c r="B1106" i="9"/>
  <c r="B1105" i="9"/>
  <c r="B1104" i="9"/>
  <c r="B1103" i="9"/>
  <c r="B1102" i="9"/>
  <c r="B1101" i="9"/>
  <c r="B1100" i="9"/>
  <c r="B1099" i="9"/>
  <c r="B1098" i="9"/>
  <c r="B1097" i="9"/>
  <c r="B1096" i="9"/>
  <c r="B1095" i="9"/>
  <c r="B1094" i="9"/>
  <c r="B1093" i="9"/>
  <c r="B1092" i="9"/>
  <c r="B1091" i="9"/>
  <c r="B1090" i="9"/>
  <c r="B1089" i="9"/>
  <c r="B1088" i="9"/>
  <c r="B1087" i="9"/>
  <c r="B1086" i="9"/>
  <c r="B1085" i="9"/>
  <c r="B1084" i="9"/>
  <c r="B1083" i="9"/>
  <c r="B1082" i="9"/>
  <c r="B1081" i="9"/>
  <c r="B1080" i="9"/>
  <c r="B1079" i="9"/>
  <c r="B1078" i="9"/>
  <c r="B1077" i="9"/>
  <c r="B1076" i="9"/>
  <c r="B1075" i="9"/>
  <c r="B1074" i="9"/>
  <c r="B1073" i="9"/>
  <c r="B1072" i="9"/>
  <c r="B1071" i="9"/>
  <c r="B1070" i="9"/>
  <c r="B1069" i="9"/>
  <c r="B1068" i="9"/>
  <c r="B1067" i="9"/>
  <c r="B1066" i="9"/>
  <c r="B1065" i="9"/>
  <c r="B1064" i="9"/>
  <c r="B1063" i="9"/>
  <c r="B1062" i="9"/>
  <c r="B1061" i="9"/>
  <c r="B1060" i="9"/>
  <c r="B1059" i="9"/>
  <c r="B1058" i="9"/>
  <c r="B1057" i="9"/>
  <c r="B1056" i="9"/>
  <c r="B1055" i="9"/>
  <c r="B1054" i="9"/>
  <c r="B1053" i="9"/>
  <c r="B1052" i="9"/>
  <c r="B1051" i="9"/>
  <c r="B1050" i="9"/>
  <c r="B1049" i="9"/>
  <c r="B1048" i="9"/>
  <c r="B1047" i="9"/>
  <c r="B1046" i="9"/>
  <c r="B1045" i="9"/>
  <c r="B1044" i="9"/>
  <c r="B1043" i="9"/>
  <c r="B1042" i="9"/>
  <c r="B1041" i="9"/>
  <c r="B1040" i="9"/>
  <c r="B1039" i="9"/>
  <c r="B1038" i="9"/>
  <c r="B1037" i="9"/>
  <c r="B1036" i="9"/>
  <c r="B1035" i="9"/>
  <c r="B1034" i="9"/>
  <c r="B1031" i="9"/>
  <c r="B1029" i="9"/>
  <c r="B1027" i="9"/>
  <c r="B1026" i="9"/>
  <c r="B1025" i="9"/>
  <c r="B1024" i="9"/>
  <c r="B1023" i="9"/>
  <c r="B1020" i="9"/>
  <c r="B1019" i="9"/>
  <c r="B1018" i="9"/>
  <c r="B1017" i="9"/>
  <c r="B1016" i="9"/>
  <c r="B1015" i="9"/>
  <c r="B1014" i="9"/>
  <c r="B1013" i="9"/>
  <c r="B1012" i="9"/>
  <c r="B1011" i="9"/>
  <c r="B1010" i="9"/>
  <c r="B1009" i="9"/>
  <c r="B1008" i="9"/>
  <c r="B1007" i="9"/>
  <c r="B1006" i="9"/>
  <c r="B1005" i="9"/>
  <c r="B1004" i="9"/>
  <c r="B1003" i="9"/>
  <c r="B1002" i="9"/>
  <c r="B1001" i="9"/>
  <c r="B1000" i="9"/>
  <c r="B999" i="9"/>
  <c r="B998" i="9"/>
  <c r="B997" i="9"/>
  <c r="B996" i="9"/>
  <c r="B995" i="9"/>
  <c r="B994" i="9"/>
  <c r="B993" i="9"/>
  <c r="B992" i="9"/>
  <c r="B991" i="9"/>
  <c r="B990" i="9"/>
  <c r="B989" i="9"/>
  <c r="B988" i="9"/>
  <c r="B987" i="9"/>
  <c r="B986" i="9"/>
  <c r="B985" i="9"/>
  <c r="B984" i="9"/>
  <c r="B983" i="9"/>
  <c r="B982" i="9"/>
  <c r="B981" i="9"/>
  <c r="B980" i="9"/>
  <c r="B976" i="9"/>
  <c r="B975" i="9"/>
  <c r="B974" i="9"/>
  <c r="B973" i="9"/>
  <c r="B972" i="9"/>
  <c r="B971" i="9"/>
  <c r="B970" i="9"/>
  <c r="B969" i="9"/>
  <c r="B968" i="9"/>
  <c r="B967" i="9"/>
  <c r="B966" i="9"/>
  <c r="B965" i="9"/>
  <c r="B964" i="9"/>
  <c r="B963" i="9"/>
  <c r="B962" i="9"/>
  <c r="B961" i="9"/>
  <c r="B960" i="9"/>
  <c r="B959" i="9"/>
  <c r="B958" i="9"/>
  <c r="B957" i="9"/>
  <c r="B956" i="9"/>
  <c r="B953" i="9"/>
  <c r="B952" i="9"/>
  <c r="B951" i="9"/>
  <c r="B950" i="9"/>
  <c r="B949" i="9"/>
  <c r="B948" i="9"/>
  <c r="B946" i="9"/>
  <c r="B945" i="9"/>
  <c r="B944" i="9"/>
  <c r="B943" i="9"/>
  <c r="B942" i="9"/>
  <c r="B941" i="9"/>
  <c r="B940" i="9"/>
  <c r="B939" i="9"/>
  <c r="B938" i="9"/>
  <c r="B937" i="9"/>
  <c r="B936" i="9"/>
  <c r="B935" i="9"/>
  <c r="B934" i="9"/>
  <c r="B933" i="9"/>
  <c r="B932" i="9"/>
  <c r="B931" i="9"/>
  <c r="B930" i="9"/>
  <c r="B929" i="9"/>
  <c r="B928" i="9"/>
  <c r="B927" i="9"/>
  <c r="B926" i="9"/>
  <c r="B925" i="9"/>
  <c r="B924" i="9"/>
  <c r="B923" i="9"/>
  <c r="B922" i="9"/>
  <c r="B921" i="9"/>
  <c r="B920" i="9"/>
  <c r="B919" i="9"/>
  <c r="B918" i="9"/>
  <c r="B917" i="9"/>
  <c r="B916" i="9"/>
  <c r="B915" i="9"/>
  <c r="B914" i="9"/>
  <c r="B913" i="9"/>
  <c r="B912" i="9"/>
  <c r="B911" i="9"/>
  <c r="B910" i="9"/>
  <c r="B909" i="9"/>
  <c r="B908" i="9"/>
  <c r="B907" i="9"/>
  <c r="B906" i="9"/>
  <c r="B904" i="9"/>
  <c r="B903" i="9"/>
  <c r="B902" i="9"/>
  <c r="B901" i="9"/>
  <c r="B900" i="9"/>
  <c r="B899" i="9"/>
  <c r="B898" i="9"/>
  <c r="B897" i="9"/>
  <c r="B896" i="9"/>
  <c r="B895" i="9"/>
  <c r="B894" i="9"/>
  <c r="B893" i="9"/>
  <c r="B892" i="9"/>
  <c r="B891" i="9"/>
  <c r="B890" i="9"/>
  <c r="B889" i="9"/>
  <c r="B888" i="9"/>
  <c r="B886" i="9"/>
  <c r="B885" i="9"/>
  <c r="B883" i="9"/>
  <c r="B882" i="9"/>
  <c r="B880" i="9"/>
  <c r="B879" i="9"/>
  <c r="B878" i="9"/>
  <c r="B877" i="9"/>
  <c r="B876" i="9"/>
  <c r="B875" i="9"/>
  <c r="B874" i="9"/>
  <c r="B872" i="9"/>
  <c r="B870" i="9"/>
  <c r="B869" i="9"/>
  <c r="B868" i="9"/>
  <c r="B867" i="9"/>
  <c r="B866" i="9"/>
  <c r="B865" i="9"/>
  <c r="B864" i="9"/>
  <c r="B863" i="9"/>
  <c r="B862" i="9"/>
  <c r="B861" i="9"/>
  <c r="B860" i="9"/>
  <c r="B859" i="9"/>
  <c r="B858" i="9"/>
  <c r="B857" i="9"/>
  <c r="B856" i="9"/>
  <c r="B855" i="9"/>
  <c r="B854" i="9"/>
  <c r="B853" i="9"/>
  <c r="B852" i="9"/>
  <c r="B851" i="9"/>
  <c r="B850" i="9"/>
  <c r="B849" i="9"/>
  <c r="B848" i="9"/>
  <c r="B847" i="9"/>
  <c r="B846" i="9"/>
  <c r="B845" i="9"/>
  <c r="B844" i="9"/>
  <c r="B843" i="9"/>
  <c r="B842" i="9"/>
  <c r="B841" i="9"/>
  <c r="B840" i="9"/>
  <c r="B839" i="9"/>
  <c r="B836" i="9"/>
  <c r="B835" i="9"/>
  <c r="B834" i="9"/>
  <c r="B833" i="9"/>
  <c r="B832" i="9"/>
  <c r="B831" i="9"/>
  <c r="B830" i="9"/>
  <c r="B829" i="9"/>
  <c r="B828" i="9"/>
  <c r="B827" i="9"/>
  <c r="B822" i="9"/>
  <c r="B821" i="9"/>
  <c r="B820" i="9"/>
  <c r="B819" i="9"/>
  <c r="B818" i="9"/>
  <c r="B817" i="9"/>
  <c r="B816" i="9"/>
  <c r="B815" i="9"/>
  <c r="B814" i="9"/>
  <c r="B813" i="9"/>
  <c r="B812" i="9"/>
  <c r="B811" i="9"/>
  <c r="B810" i="9"/>
  <c r="B809" i="9"/>
  <c r="B808" i="9"/>
  <c r="B807" i="9"/>
  <c r="B806" i="9"/>
  <c r="B805" i="9"/>
  <c r="B804" i="9"/>
  <c r="B803" i="9"/>
  <c r="B802" i="9"/>
  <c r="B801" i="9"/>
  <c r="B800" i="9"/>
  <c r="B799" i="9"/>
  <c r="B798" i="9"/>
  <c r="B797" i="9"/>
  <c r="B796" i="9"/>
  <c r="B794" i="9"/>
  <c r="B792" i="9"/>
  <c r="B791" i="9"/>
  <c r="B790" i="9"/>
  <c r="B789" i="9"/>
  <c r="B788" i="9"/>
  <c r="B787" i="9"/>
  <c r="B785" i="9"/>
  <c r="B784" i="9"/>
  <c r="B782" i="9"/>
  <c r="B781" i="9"/>
  <c r="B780" i="9"/>
  <c r="B778" i="9"/>
  <c r="B777" i="9"/>
  <c r="B775" i="9"/>
  <c r="B774" i="9"/>
  <c r="B773" i="9"/>
  <c r="B772" i="9"/>
  <c r="B771" i="9"/>
  <c r="B770" i="9"/>
  <c r="B769" i="9"/>
  <c r="B768" i="9"/>
  <c r="B767" i="9"/>
  <c r="B766" i="9"/>
  <c r="B765" i="9"/>
  <c r="B764" i="9"/>
  <c r="B763" i="9"/>
  <c r="B762" i="9"/>
  <c r="B761" i="9"/>
  <c r="B760" i="9"/>
  <c r="B759" i="9"/>
  <c r="B758" i="9"/>
  <c r="B757" i="9"/>
  <c r="B756" i="9"/>
  <c r="B755" i="9"/>
  <c r="B754" i="9"/>
  <c r="B753" i="9"/>
  <c r="B752" i="9"/>
  <c r="B751" i="9"/>
  <c r="B750" i="9"/>
  <c r="B749" i="9"/>
  <c r="B748" i="9"/>
  <c r="B747" i="9"/>
  <c r="B746" i="9"/>
  <c r="B745" i="9"/>
  <c r="B744" i="9"/>
  <c r="B743" i="9"/>
  <c r="B742" i="9"/>
  <c r="B741" i="9"/>
  <c r="B740" i="9"/>
  <c r="B739" i="9"/>
  <c r="B738" i="9"/>
  <c r="B737" i="9"/>
  <c r="B736" i="9"/>
  <c r="B735" i="9"/>
  <c r="B734" i="9"/>
  <c r="B733" i="9"/>
  <c r="B732" i="9"/>
  <c r="B731" i="9"/>
  <c r="B730" i="9"/>
  <c r="B729" i="9"/>
  <c r="B728" i="9"/>
  <c r="B727" i="9"/>
  <c r="B726" i="9"/>
  <c r="B725" i="9"/>
  <c r="B724" i="9"/>
  <c r="B723" i="9"/>
  <c r="B722" i="9"/>
  <c r="B721" i="9"/>
  <c r="B720" i="9"/>
  <c r="B719" i="9"/>
  <c r="B718" i="9"/>
  <c r="B717" i="9"/>
  <c r="B716" i="9"/>
  <c r="B715" i="9"/>
  <c r="B714" i="9"/>
  <c r="B713" i="9"/>
  <c r="B712" i="9"/>
  <c r="B711" i="9"/>
  <c r="B710" i="9"/>
  <c r="B709" i="9"/>
  <c r="B708" i="9"/>
  <c r="B707" i="9"/>
  <c r="B706" i="9"/>
  <c r="B705" i="9"/>
  <c r="B704" i="9"/>
  <c r="B703" i="9"/>
  <c r="B702" i="9"/>
  <c r="B701" i="9"/>
  <c r="B700" i="9"/>
  <c r="B699" i="9"/>
  <c r="B698" i="9"/>
  <c r="B697" i="9"/>
  <c r="B696" i="9"/>
  <c r="B695" i="9"/>
  <c r="B694" i="9"/>
  <c r="B693" i="9"/>
  <c r="B692" i="9"/>
  <c r="B691" i="9"/>
  <c r="B690" i="9"/>
  <c r="B689" i="9"/>
  <c r="B688" i="9"/>
  <c r="B687" i="9"/>
  <c r="B686" i="9"/>
  <c r="B685" i="9"/>
  <c r="B684" i="9"/>
  <c r="B683" i="9"/>
  <c r="B682" i="9"/>
  <c r="B681" i="9"/>
  <c r="B680" i="9"/>
  <c r="B679" i="9"/>
  <c r="B678" i="9"/>
  <c r="B677" i="9"/>
  <c r="B676" i="9"/>
  <c r="B675" i="9"/>
  <c r="B674" i="9"/>
  <c r="B673" i="9"/>
  <c r="B672" i="9"/>
  <c r="B671" i="9"/>
  <c r="B670" i="9"/>
  <c r="B669" i="9"/>
  <c r="B668" i="9"/>
  <c r="B667" i="9"/>
  <c r="B666" i="9"/>
  <c r="B665" i="9"/>
  <c r="B664" i="9"/>
  <c r="B663" i="9"/>
  <c r="B662" i="9"/>
  <c r="B661" i="9"/>
  <c r="B660" i="9"/>
  <c r="B659" i="9"/>
  <c r="B658" i="9"/>
  <c r="B657" i="9"/>
  <c r="B656" i="9"/>
  <c r="B655" i="9"/>
  <c r="B654" i="9"/>
  <c r="B653" i="9"/>
  <c r="B652" i="9"/>
  <c r="B651" i="9"/>
  <c r="B650" i="9"/>
  <c r="B649" i="9"/>
  <c r="B648" i="9"/>
  <c r="B647" i="9"/>
  <c r="B646" i="9"/>
  <c r="B645" i="9"/>
  <c r="B644" i="9"/>
  <c r="B643" i="9"/>
  <c r="B642" i="9"/>
  <c r="B637" i="9"/>
  <c r="B636" i="9"/>
  <c r="B635" i="9"/>
  <c r="B634" i="9"/>
  <c r="B633" i="9"/>
  <c r="B632" i="9"/>
  <c r="B631" i="9"/>
  <c r="B630" i="9"/>
  <c r="B629" i="9"/>
  <c r="B628" i="9"/>
  <c r="B627" i="9"/>
  <c r="B626" i="9"/>
  <c r="B625" i="9"/>
  <c r="B624" i="9"/>
  <c r="B623" i="9"/>
  <c r="B622" i="9"/>
  <c r="B621" i="9"/>
  <c r="B620" i="9"/>
  <c r="B619" i="9"/>
  <c r="B618" i="9"/>
  <c r="B617" i="9"/>
  <c r="B616" i="9"/>
  <c r="B615" i="9"/>
  <c r="B614" i="9"/>
  <c r="B608" i="9"/>
  <c r="B607" i="9"/>
  <c r="B606" i="9"/>
  <c r="B605" i="9"/>
  <c r="B604" i="9"/>
  <c r="B603" i="9"/>
  <c r="B602" i="9"/>
  <c r="B601" i="9"/>
  <c r="B600" i="9"/>
  <c r="B599" i="9"/>
  <c r="B598" i="9"/>
  <c r="B597" i="9"/>
  <c r="B596" i="9"/>
  <c r="B595" i="9"/>
  <c r="B594" i="9"/>
  <c r="B593" i="9"/>
  <c r="B592" i="9"/>
  <c r="B591" i="9"/>
  <c r="B590" i="9"/>
  <c r="B589" i="9"/>
  <c r="B588" i="9"/>
  <c r="B587" i="9"/>
  <c r="B586" i="9"/>
  <c r="B585" i="9"/>
  <c r="B584" i="9"/>
  <c r="B583" i="9"/>
  <c r="B582" i="9"/>
  <c r="B581" i="9"/>
  <c r="B580" i="9"/>
  <c r="B579" i="9"/>
  <c r="B578" i="9"/>
  <c r="B577" i="9"/>
  <c r="B576" i="9"/>
  <c r="B575" i="9"/>
  <c r="B574" i="9"/>
  <c r="B573" i="9"/>
  <c r="B572" i="9"/>
  <c r="B571" i="9"/>
  <c r="B570" i="9"/>
  <c r="B569" i="9"/>
  <c r="B568" i="9"/>
  <c r="B567" i="9"/>
  <c r="B566" i="9"/>
  <c r="B565" i="9"/>
  <c r="B560" i="9"/>
  <c r="B559" i="9"/>
  <c r="B558" i="9"/>
  <c r="B557" i="9"/>
  <c r="B556" i="9"/>
  <c r="B555" i="9"/>
  <c r="B554" i="9"/>
  <c r="B553" i="9"/>
  <c r="B552" i="9"/>
  <c r="B551" i="9"/>
  <c r="B550" i="9"/>
  <c r="B549" i="9"/>
  <c r="B548" i="9"/>
  <c r="B547" i="9"/>
  <c r="B545" i="9"/>
  <c r="B544" i="9"/>
  <c r="B543" i="9"/>
  <c r="B542" i="9"/>
  <c r="B541" i="9"/>
  <c r="B540" i="9"/>
  <c r="B539" i="9"/>
  <c r="B538" i="9"/>
  <c r="B537" i="9"/>
  <c r="B536" i="9"/>
  <c r="B535" i="9"/>
  <c r="B534" i="9"/>
  <c r="B533" i="9"/>
  <c r="B529" i="9"/>
  <c r="B528" i="9"/>
  <c r="B527" i="9"/>
  <c r="B526" i="9"/>
  <c r="B525" i="9"/>
  <c r="B524" i="9"/>
  <c r="B523" i="9"/>
  <c r="B522" i="9"/>
  <c r="B521" i="9"/>
  <c r="B520" i="9"/>
  <c r="B519" i="9"/>
  <c r="B518" i="9"/>
  <c r="B517" i="9"/>
  <c r="B516" i="9"/>
  <c r="B515" i="9"/>
  <c r="B514" i="9"/>
  <c r="B513" i="9"/>
  <c r="B512" i="9"/>
  <c r="B511" i="9"/>
  <c r="B510" i="9"/>
  <c r="B509" i="9"/>
  <c r="B508" i="9"/>
  <c r="B507" i="9"/>
  <c r="B506" i="9"/>
  <c r="B505" i="9"/>
  <c r="B504" i="9"/>
  <c r="B503" i="9"/>
  <c r="B502" i="9"/>
  <c r="B501" i="9"/>
  <c r="B500" i="9"/>
  <c r="B499" i="9"/>
  <c r="B498" i="9"/>
  <c r="B497" i="9"/>
  <c r="B496" i="9"/>
  <c r="B495" i="9"/>
  <c r="B494" i="9"/>
  <c r="B493" i="9"/>
  <c r="B492" i="9"/>
  <c r="B491" i="9"/>
  <c r="B490" i="9"/>
  <c r="B489" i="9"/>
  <c r="B488" i="9"/>
  <c r="B487" i="9"/>
  <c r="B486" i="9"/>
  <c r="B476" i="9"/>
  <c r="B474" i="9"/>
  <c r="B473" i="9"/>
  <c r="B472" i="9"/>
  <c r="B471" i="9"/>
  <c r="B470" i="9"/>
  <c r="B469" i="9"/>
  <c r="B468" i="9"/>
  <c r="B467" i="9"/>
  <c r="B466" i="9"/>
  <c r="B465" i="9"/>
  <c r="B464" i="9"/>
  <c r="B463" i="9"/>
  <c r="B462" i="9"/>
  <c r="B456" i="9"/>
  <c r="B455" i="9"/>
  <c r="B454" i="9"/>
  <c r="B453" i="9"/>
  <c r="B452" i="9"/>
  <c r="B450" i="9"/>
  <c r="B449" i="9"/>
  <c r="B448" i="9"/>
  <c r="B447" i="9"/>
  <c r="B446" i="9"/>
  <c r="B445" i="9"/>
  <c r="B444" i="9"/>
  <c r="B443" i="9"/>
  <c r="B442" i="9"/>
  <c r="B441" i="9"/>
  <c r="B440" i="9"/>
  <c r="B439" i="9"/>
  <c r="B438" i="9"/>
  <c r="B437" i="9"/>
  <c r="B436" i="9"/>
  <c r="B435" i="9"/>
  <c r="B434" i="9"/>
  <c r="B433" i="9"/>
  <c r="B432" i="9"/>
  <c r="B431" i="9"/>
  <c r="B430" i="9"/>
  <c r="B429" i="9"/>
  <c r="B428" i="9"/>
  <c r="B426" i="9"/>
  <c r="B425" i="9"/>
  <c r="B424" i="9"/>
  <c r="B423" i="9"/>
  <c r="B422" i="9"/>
  <c r="B421" i="9"/>
  <c r="B420" i="9"/>
  <c r="B419" i="9"/>
  <c r="B418" i="9"/>
  <c r="B417" i="9"/>
  <c r="B416" i="9"/>
  <c r="B415" i="9"/>
  <c r="B414" i="9"/>
  <c r="B413" i="9"/>
  <c r="B412" i="9"/>
  <c r="B411" i="9"/>
  <c r="B410" i="9"/>
  <c r="B409" i="9"/>
  <c r="B408" i="9"/>
  <c r="B407" i="9"/>
  <c r="B406" i="9"/>
  <c r="B401" i="9"/>
  <c r="B400" i="9"/>
  <c r="B399" i="9"/>
  <c r="B398" i="9"/>
  <c r="B397" i="9"/>
  <c r="B392" i="9"/>
  <c r="B391" i="9"/>
  <c r="B390" i="9"/>
  <c r="B389" i="9"/>
  <c r="B388" i="9"/>
  <c r="B387" i="9"/>
  <c r="B386" i="9"/>
  <c r="B385" i="9"/>
  <c r="B384" i="9"/>
  <c r="B383" i="9"/>
  <c r="B382" i="9"/>
  <c r="B381" i="9"/>
  <c r="B380" i="9"/>
  <c r="B379" i="9"/>
  <c r="B378" i="9"/>
  <c r="B377" i="9"/>
  <c r="B376" i="9"/>
  <c r="B375" i="9"/>
  <c r="B374" i="9"/>
  <c r="B373" i="9"/>
  <c r="B372" i="9"/>
  <c r="B371" i="9"/>
  <c r="B370" i="9"/>
  <c r="B369" i="9"/>
  <c r="B368" i="9"/>
  <c r="B367" i="9"/>
  <c r="B366" i="9"/>
  <c r="B365" i="9"/>
  <c r="B364" i="9"/>
  <c r="B363" i="9"/>
  <c r="B362" i="9"/>
  <c r="B361" i="9"/>
  <c r="B360" i="9"/>
  <c r="B359" i="9"/>
  <c r="B358" i="9"/>
  <c r="B357" i="9"/>
  <c r="B356" i="9"/>
  <c r="B355" i="9"/>
  <c r="B354" i="9"/>
  <c r="B353" i="9"/>
  <c r="B352" i="9"/>
  <c r="B351" i="9"/>
  <c r="B350" i="9"/>
  <c r="B349" i="9"/>
  <c r="B348" i="9"/>
  <c r="B347" i="9"/>
  <c r="B346" i="9"/>
  <c r="B345" i="9"/>
  <c r="B344" i="9"/>
  <c r="B212" i="9"/>
  <c r="B211" i="9"/>
  <c r="B210" i="9"/>
  <c r="B209" i="9"/>
  <c r="B208" i="9"/>
  <c r="B201" i="9"/>
  <c r="B200" i="9"/>
  <c r="B199" i="9"/>
  <c r="B198" i="9"/>
  <c r="B197" i="9"/>
  <c r="B196" i="9"/>
  <c r="B195" i="9"/>
  <c r="B194" i="9"/>
  <c r="B193" i="9"/>
  <c r="B192" i="9"/>
  <c r="B191" i="9"/>
  <c r="B190" i="9"/>
  <c r="B189" i="9"/>
  <c r="B188" i="9"/>
  <c r="B187" i="9"/>
  <c r="B186" i="9"/>
  <c r="B185" i="9"/>
  <c r="B184" i="9"/>
  <c r="B183" i="9"/>
  <c r="B182"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C129" i="21"/>
  <c r="I42" i="19" s="1"/>
  <c r="GH146" i="14" l="1"/>
  <c r="GH134" i="14"/>
  <c r="GH128" i="14"/>
  <c r="GH37" i="14"/>
  <c r="GH17" i="14"/>
  <c r="GH21" i="14"/>
  <c r="GH18" i="14"/>
  <c r="GH115" i="14"/>
  <c r="GH117" i="14"/>
  <c r="GH138" i="14"/>
  <c r="GH15" i="14"/>
  <c r="GH114" i="14"/>
  <c r="GH64" i="14"/>
  <c r="GH58" i="14"/>
  <c r="GH130" i="14"/>
  <c r="GH8" i="14"/>
  <c r="GH66" i="14"/>
  <c r="GH136" i="14"/>
  <c r="GH62" i="14"/>
  <c r="GH144" i="14"/>
  <c r="GH19" i="14"/>
  <c r="GH16" i="14"/>
  <c r="GH129" i="14"/>
  <c r="GH126" i="14"/>
  <c r="GH38" i="14"/>
  <c r="GH13" i="14"/>
  <c r="GH55" i="14"/>
  <c r="GH121" i="14"/>
  <c r="GH28" i="14"/>
  <c r="GH57" i="14"/>
  <c r="GH47" i="14"/>
  <c r="GH35" i="14"/>
  <c r="GH125" i="14"/>
  <c r="GH9" i="14"/>
  <c r="GH7" i="14"/>
  <c r="GH4" i="14"/>
  <c r="GH135" i="14"/>
  <c r="GH137" i="14"/>
  <c r="GH56" i="14"/>
  <c r="GH140" i="14"/>
  <c r="GC30" i="14"/>
  <c r="GH158" i="14"/>
  <c r="GH156" i="14"/>
  <c r="GH154" i="14"/>
  <c r="GH150" i="14"/>
  <c r="GH155" i="14"/>
  <c r="GH151" i="14"/>
  <c r="GH152" i="14"/>
  <c r="GH157" i="14"/>
  <c r="GH153" i="14"/>
  <c r="GH147" i="14"/>
  <c r="GH149" i="14"/>
  <c r="GH148" i="14"/>
  <c r="FG76" i="14"/>
  <c r="GH120" i="14"/>
  <c r="GH67" i="14"/>
  <c r="GH63" i="14"/>
  <c r="GH143" i="14"/>
  <c r="GH145" i="14"/>
  <c r="GH30" i="14"/>
  <c r="GC47" i="14"/>
  <c r="FQ126" i="14"/>
  <c r="P1" i="19"/>
  <c r="S1" i="19"/>
  <c r="GJ284" i="14"/>
  <c r="GJ283" i="14" s="1"/>
  <c r="GJ282" i="14" s="1"/>
  <c r="GJ281" i="14" s="1"/>
  <c r="GJ280" i="14" s="1"/>
  <c r="GJ279" i="14" s="1"/>
  <c r="GJ278" i="14" s="1"/>
  <c r="GJ277" i="14" s="1"/>
  <c r="GJ276" i="14" s="1"/>
  <c r="GJ275" i="14" s="1"/>
  <c r="GJ274" i="14" s="1"/>
  <c r="GJ273" i="14" s="1"/>
  <c r="GJ272" i="14" s="1"/>
  <c r="GJ271" i="14" s="1"/>
  <c r="GJ270" i="14" s="1"/>
  <c r="GJ269" i="14" s="1"/>
  <c r="GJ268" i="14" s="1"/>
  <c r="GJ267" i="14" s="1"/>
  <c r="GJ266" i="14" s="1"/>
  <c r="GJ265" i="14" s="1"/>
  <c r="GJ264" i="14" s="1"/>
  <c r="GJ263" i="14" s="1"/>
  <c r="GJ262" i="14" s="1"/>
  <c r="GJ261" i="14" s="1"/>
  <c r="GJ260" i="14" s="1"/>
  <c r="GJ259" i="14" s="1"/>
  <c r="GJ258" i="14" s="1"/>
  <c r="GJ257" i="14" s="1"/>
  <c r="GJ256" i="14" s="1"/>
  <c r="GJ255" i="14" s="1"/>
  <c r="GJ254" i="14" s="1"/>
  <c r="GJ253" i="14" s="1"/>
  <c r="GJ252" i="14" s="1"/>
  <c r="GJ251" i="14" s="1"/>
  <c r="GJ250" i="14" s="1"/>
  <c r="GJ249" i="14" s="1"/>
  <c r="GJ248" i="14" s="1"/>
  <c r="GJ247" i="14" s="1"/>
  <c r="GJ246" i="14" s="1"/>
  <c r="GJ245" i="14" s="1"/>
  <c r="GJ244" i="14" s="1"/>
  <c r="GJ243" i="14" s="1"/>
  <c r="GJ242" i="14" s="1"/>
  <c r="GJ241" i="14" s="1"/>
  <c r="GJ240" i="14" s="1"/>
  <c r="GJ239" i="14" s="1"/>
  <c r="GJ238" i="14" s="1"/>
  <c r="GJ237" i="14" s="1"/>
  <c r="GJ236" i="14" s="1"/>
  <c r="GJ235" i="14" s="1"/>
  <c r="GJ234" i="14" s="1"/>
  <c r="GJ233" i="14" s="1"/>
  <c r="GJ232" i="14" s="1"/>
  <c r="GJ231" i="14" s="1"/>
  <c r="GJ230" i="14" s="1"/>
  <c r="GJ229" i="14" s="1"/>
  <c r="GJ228" i="14" s="1"/>
  <c r="GJ227" i="14" s="1"/>
  <c r="GJ226" i="14" s="1"/>
  <c r="GJ225" i="14" s="1"/>
  <c r="GJ224" i="14" s="1"/>
  <c r="Q1" i="19"/>
  <c r="M1" i="19"/>
  <c r="L1" i="19"/>
  <c r="X1" i="19"/>
  <c r="T1" i="19"/>
  <c r="K8" i="19"/>
  <c r="R1" i="19"/>
  <c r="N1" i="19"/>
  <c r="N12" i="19"/>
  <c r="M8" i="19"/>
  <c r="U26" i="4"/>
  <c r="U25" i="4"/>
  <c r="U24" i="4"/>
  <c r="U23" i="4"/>
  <c r="U22" i="4"/>
  <c r="U21" i="4"/>
  <c r="U20" i="4"/>
  <c r="U19" i="4"/>
  <c r="U18" i="4"/>
  <c r="U17" i="4"/>
  <c r="U16" i="4"/>
  <c r="U15" i="4"/>
  <c r="U14" i="4"/>
  <c r="U13" i="4"/>
  <c r="U12" i="4"/>
  <c r="U11" i="4"/>
  <c r="U10" i="4"/>
  <c r="U9" i="4"/>
  <c r="U8" i="4"/>
  <c r="U7" i="4"/>
  <c r="U6" i="4"/>
  <c r="FQ25" i="14"/>
  <c r="GC40" i="14"/>
  <c r="GK222" i="14"/>
  <c r="GK221" i="14"/>
  <c r="GK220" i="14"/>
  <c r="GK219" i="14"/>
  <c r="GK218" i="14"/>
  <c r="GK217" i="14"/>
  <c r="GK216" i="14"/>
  <c r="GK215" i="14"/>
  <c r="GK214" i="14"/>
  <c r="GK213" i="14"/>
  <c r="GK212" i="14"/>
  <c r="GK211" i="14"/>
  <c r="GK210" i="14"/>
  <c r="GK209" i="14"/>
  <c r="GK208" i="14"/>
  <c r="GK207" i="14"/>
  <c r="GK206" i="14"/>
  <c r="GK205" i="14"/>
  <c r="GK204" i="14"/>
  <c r="GK203" i="14"/>
  <c r="GK202" i="14"/>
  <c r="GK201" i="14"/>
  <c r="GK200" i="14"/>
  <c r="GK199" i="14"/>
  <c r="GK198" i="14"/>
  <c r="GK197" i="14"/>
  <c r="GK196" i="14"/>
  <c r="GK195" i="14"/>
  <c r="GK194" i="14"/>
  <c r="GK193" i="14"/>
  <c r="GK192" i="14"/>
  <c r="GK191" i="14"/>
  <c r="GK190" i="14"/>
  <c r="GK189" i="14"/>
  <c r="GK188" i="14"/>
  <c r="GK187" i="14"/>
  <c r="GK186" i="14"/>
  <c r="GK185" i="14"/>
  <c r="GK184" i="14"/>
  <c r="GK183" i="14"/>
  <c r="GK182" i="14"/>
  <c r="GK181" i="14"/>
  <c r="GK180" i="14"/>
  <c r="GK179" i="14"/>
  <c r="GK178" i="14"/>
  <c r="GK177" i="14"/>
  <c r="GK176" i="14"/>
  <c r="GK175" i="14"/>
  <c r="GK174" i="14"/>
  <c r="GK173" i="14"/>
  <c r="GK172" i="14"/>
  <c r="GK171" i="14"/>
  <c r="GK170" i="14"/>
  <c r="GK169" i="14"/>
  <c r="GK168" i="14"/>
  <c r="GK167" i="14"/>
  <c r="GK166" i="14"/>
  <c r="GK165" i="14"/>
  <c r="GK223" i="14"/>
  <c r="GI223" i="14"/>
  <c r="GI222" i="14"/>
  <c r="GI221" i="14"/>
  <c r="GI220" i="14"/>
  <c r="GI219" i="14"/>
  <c r="GI218" i="14"/>
  <c r="GI217" i="14"/>
  <c r="GI216" i="14"/>
  <c r="GI215" i="14"/>
  <c r="GI214" i="14"/>
  <c r="GI213" i="14"/>
  <c r="GI212" i="14"/>
  <c r="GI211" i="14"/>
  <c r="GI210" i="14"/>
  <c r="GI209" i="14"/>
  <c r="GI208" i="14"/>
  <c r="GI207" i="14"/>
  <c r="GI206" i="14"/>
  <c r="GI205" i="14"/>
  <c r="GI204" i="14"/>
  <c r="GI203" i="14"/>
  <c r="GI202" i="14"/>
  <c r="GI201" i="14"/>
  <c r="GI200" i="14"/>
  <c r="GI199" i="14"/>
  <c r="GI198" i="14"/>
  <c r="GI197" i="14"/>
  <c r="GI196" i="14"/>
  <c r="GI195" i="14"/>
  <c r="GI194" i="14"/>
  <c r="GI193" i="14"/>
  <c r="GI192" i="14"/>
  <c r="GI191" i="14"/>
  <c r="GI190" i="14"/>
  <c r="GI189" i="14"/>
  <c r="GI188" i="14"/>
  <c r="GI187" i="14"/>
  <c r="GI186" i="14"/>
  <c r="GI185" i="14"/>
  <c r="GI184" i="14"/>
  <c r="GI183" i="14"/>
  <c r="GI182" i="14"/>
  <c r="GI181" i="14"/>
  <c r="GI180" i="14"/>
  <c r="GI179" i="14"/>
  <c r="GI178" i="14"/>
  <c r="GI177" i="14"/>
  <c r="GI176" i="14"/>
  <c r="GI175" i="14"/>
  <c r="GI174" i="14"/>
  <c r="GI173" i="14"/>
  <c r="GI172" i="14"/>
  <c r="GI171" i="14"/>
  <c r="GI170" i="14"/>
  <c r="GI169" i="14"/>
  <c r="GI168" i="14"/>
  <c r="GI167" i="14"/>
  <c r="GI166" i="14"/>
  <c r="GI165" i="14"/>
  <c r="GI164" i="14"/>
  <c r="GI163" i="14"/>
  <c r="GI162" i="14"/>
  <c r="GI161" i="14"/>
  <c r="GI160" i="14"/>
  <c r="GI159" i="14"/>
  <c r="FL2" i="14"/>
  <c r="FM2" i="14" s="1"/>
  <c r="FN2" i="14" s="1"/>
  <c r="FO2" i="14" s="1"/>
  <c r="FQ22" i="14"/>
  <c r="FQ65" i="14"/>
  <c r="FQ119" i="14"/>
  <c r="GC142" i="14"/>
  <c r="GC54" i="14"/>
  <c r="GC133" i="14"/>
  <c r="GC31" i="14"/>
  <c r="FQ14" i="14"/>
  <c r="FA12" i="14"/>
  <c r="EV12" i="14"/>
  <c r="FA11" i="14"/>
  <c r="EV11" i="14"/>
  <c r="BA32" i="14"/>
  <c r="BA31" i="14"/>
  <c r="A132" i="2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N6" i="23"/>
  <c r="M6" i="23"/>
  <c r="L6" i="23"/>
  <c r="J6" i="23"/>
  <c r="I6" i="23"/>
  <c r="K10" i="23"/>
  <c r="S127" i="23"/>
  <c r="U127" i="23" s="1"/>
  <c r="S126" i="23"/>
  <c r="S125" i="23"/>
  <c r="S124" i="23"/>
  <c r="S123" i="23"/>
  <c r="S122" i="23"/>
  <c r="S121" i="23"/>
  <c r="S120" i="23"/>
  <c r="S119" i="23"/>
  <c r="S118" i="23"/>
  <c r="S117" i="23"/>
  <c r="S116" i="23"/>
  <c r="S115" i="23"/>
  <c r="S114" i="23"/>
  <c r="S113" i="23"/>
  <c r="S112" i="23"/>
  <c r="S111" i="23"/>
  <c r="S110" i="23"/>
  <c r="S109" i="23"/>
  <c r="S108" i="23"/>
  <c r="S107" i="23"/>
  <c r="S106" i="23"/>
  <c r="S105" i="23"/>
  <c r="S103" i="23"/>
  <c r="S102" i="23"/>
  <c r="S101" i="23"/>
  <c r="S100" i="23"/>
  <c r="S99" i="23"/>
  <c r="S98" i="23"/>
  <c r="S97" i="23"/>
  <c r="S96" i="23"/>
  <c r="S95" i="23"/>
  <c r="S94" i="23"/>
  <c r="S93" i="23"/>
  <c r="S92" i="23"/>
  <c r="S91" i="23"/>
  <c r="S90" i="23"/>
  <c r="S104" i="23"/>
  <c r="EP38" i="14"/>
  <c r="EP37" i="14"/>
  <c r="EP35" i="14"/>
  <c r="EP34" i="14"/>
  <c r="EP33" i="14"/>
  <c r="EP32" i="14"/>
  <c r="EP31" i="14"/>
  <c r="EP30" i="14"/>
  <c r="EP29" i="14"/>
  <c r="EP28" i="14"/>
  <c r="EP27" i="14"/>
  <c r="EP26" i="14"/>
  <c r="EP20" i="14"/>
  <c r="EP19" i="14"/>
  <c r="EP18" i="14"/>
  <c r="EP16" i="14"/>
  <c r="EP15" i="14"/>
  <c r="EP12" i="14"/>
  <c r="EP11" i="14"/>
  <c r="EP10" i="14"/>
  <c r="EP9" i="14"/>
  <c r="EP6" i="14"/>
  <c r="EP5" i="14"/>
  <c r="EP4" i="14"/>
  <c r="EP3" i="14"/>
  <c r="EP2" i="14"/>
  <c r="ET38" i="14"/>
  <c r="ET37" i="14"/>
  <c r="ET36" i="14"/>
  <c r="ET35" i="14"/>
  <c r="ET34" i="14"/>
  <c r="ET33" i="14"/>
  <c r="ET31" i="14"/>
  <c r="ET30" i="14"/>
  <c r="ET29" i="14"/>
  <c r="ET28" i="14"/>
  <c r="ET26" i="14"/>
  <c r="ET23" i="14"/>
  <c r="ET20" i="14"/>
  <c r="ET19" i="14"/>
  <c r="ET18" i="14"/>
  <c r="ET16" i="14"/>
  <c r="ET15" i="14"/>
  <c r="ET12" i="14"/>
  <c r="ET10" i="14"/>
  <c r="ET8" i="14"/>
  <c r="EU8" i="14" s="1"/>
  <c r="ET6" i="14"/>
  <c r="ET5" i="14"/>
  <c r="ET4" i="14"/>
  <c r="ET3" i="14"/>
  <c r="ET2" i="14"/>
  <c r="EQ38" i="14"/>
  <c r="EQ37" i="14"/>
  <c r="EQ36" i="14"/>
  <c r="EQ35" i="14"/>
  <c r="EQ34" i="14"/>
  <c r="EQ33" i="14"/>
  <c r="EQ31" i="14"/>
  <c r="EQ30" i="14"/>
  <c r="EQ29" i="14"/>
  <c r="EQ28" i="14"/>
  <c r="EQ26" i="14"/>
  <c r="ER26" i="14" s="1"/>
  <c r="I115" i="23" s="1"/>
  <c r="EQ23" i="14"/>
  <c r="EQ20" i="14"/>
  <c r="EQ19" i="14"/>
  <c r="EQ18" i="14"/>
  <c r="EQ16" i="14"/>
  <c r="EQ15" i="14"/>
  <c r="EQ12" i="14"/>
  <c r="EQ10" i="14"/>
  <c r="ER10" i="14" s="1"/>
  <c r="I98" i="23" s="1"/>
  <c r="EQ8" i="14"/>
  <c r="ER8" i="14" s="1"/>
  <c r="EQ6" i="14"/>
  <c r="EQ5" i="14"/>
  <c r="EQ4" i="14"/>
  <c r="ER4" i="14" s="1"/>
  <c r="I92" i="23" s="1"/>
  <c r="EQ3" i="14"/>
  <c r="EQ2" i="14"/>
  <c r="ES38" i="14"/>
  <c r="ES37" i="14"/>
  <c r="ES36" i="14"/>
  <c r="EP36" i="14"/>
  <c r="ES35" i="14"/>
  <c r="ES34" i="14"/>
  <c r="ES33" i="14"/>
  <c r="ES32" i="14"/>
  <c r="ES31" i="14"/>
  <c r="ES30" i="14"/>
  <c r="ES29" i="14"/>
  <c r="ES28" i="14"/>
  <c r="ES27" i="14"/>
  <c r="ES26" i="14"/>
  <c r="ES25" i="14"/>
  <c r="EP25" i="14"/>
  <c r="ES24" i="14"/>
  <c r="EP24" i="14"/>
  <c r="ES23" i="14"/>
  <c r="EP23" i="14"/>
  <c r="ES22" i="14"/>
  <c r="EP22" i="14"/>
  <c r="ES21" i="14"/>
  <c r="EP21" i="14"/>
  <c r="ES20" i="14"/>
  <c r="ES19" i="14"/>
  <c r="ES18" i="14"/>
  <c r="ES17" i="14"/>
  <c r="EP17" i="14"/>
  <c r="ES16" i="14"/>
  <c r="ES15" i="14"/>
  <c r="ES14" i="14"/>
  <c r="EP14" i="14"/>
  <c r="J102" i="23"/>
  <c r="ES13" i="14"/>
  <c r="EP13" i="14"/>
  <c r="ES12" i="14"/>
  <c r="ES11" i="14"/>
  <c r="ES10" i="14"/>
  <c r="ES9" i="14"/>
  <c r="ES7" i="14"/>
  <c r="EP7" i="14"/>
  <c r="ES6" i="14"/>
  <c r="ES5" i="14"/>
  <c r="ES4" i="14"/>
  <c r="ES3" i="14"/>
  <c r="ES2" i="14"/>
  <c r="G4" i="23"/>
  <c r="AF10" i="5"/>
  <c r="AG13" i="5"/>
  <c r="AG66" i="5"/>
  <c r="AG70" i="5"/>
  <c r="AF88" i="5"/>
  <c r="AF87" i="5"/>
  <c r="AF71" i="5"/>
  <c r="AE97" i="5"/>
  <c r="AD34" i="5"/>
  <c r="N41" i="12"/>
  <c r="J283" i="7"/>
  <c r="J62" i="7"/>
  <c r="J71" i="7"/>
  <c r="G88" i="7"/>
  <c r="G87" i="7"/>
  <c r="G86" i="7"/>
  <c r="G85" i="7"/>
  <c r="G89" i="7"/>
  <c r="J85" i="7"/>
  <c r="J88" i="7"/>
  <c r="J87" i="7"/>
  <c r="J86" i="7"/>
  <c r="J89" i="7"/>
  <c r="J91" i="7"/>
  <c r="J99" i="7"/>
  <c r="J165" i="7"/>
  <c r="J173" i="7"/>
  <c r="J183" i="7"/>
  <c r="J219" i="7"/>
  <c r="J231" i="7"/>
  <c r="J230" i="7"/>
  <c r="J280" i="7"/>
  <c r="J292" i="7"/>
  <c r="J316" i="7"/>
  <c r="J332" i="7"/>
  <c r="G3" i="23"/>
  <c r="M1082" i="9"/>
  <c r="R1082" i="9" s="1"/>
  <c r="M1079" i="9"/>
  <c r="R1079" i="9" s="1"/>
  <c r="M1074" i="9"/>
  <c r="R1074" i="9" s="1"/>
  <c r="M1073" i="9"/>
  <c r="R1073" i="9" s="1"/>
  <c r="M1072" i="9"/>
  <c r="R1072" i="9" s="1"/>
  <c r="M1071" i="9"/>
  <c r="R1071" i="9" s="1"/>
  <c r="M1069" i="9"/>
  <c r="R1069" i="9" s="1"/>
  <c r="M902" i="9"/>
  <c r="R902" i="9" s="1"/>
  <c r="M901" i="9"/>
  <c r="R901" i="9" s="1"/>
  <c r="M900" i="9"/>
  <c r="R900" i="9" s="1"/>
  <c r="M899" i="9"/>
  <c r="R899" i="9" s="1"/>
  <c r="M743" i="9"/>
  <c r="R743" i="9" s="1"/>
  <c r="M747" i="9"/>
  <c r="R747" i="9" s="1"/>
  <c r="M746" i="9"/>
  <c r="R746" i="9" s="1"/>
  <c r="M745" i="9"/>
  <c r="R745" i="9" s="1"/>
  <c r="M752" i="9"/>
  <c r="R752" i="9" s="1"/>
  <c r="M751" i="9"/>
  <c r="R751" i="9" s="1"/>
  <c r="M755" i="9"/>
  <c r="R755" i="9" s="1"/>
  <c r="M754" i="9"/>
  <c r="R754" i="9" s="1"/>
  <c r="M760" i="9"/>
  <c r="R760" i="9" s="1"/>
  <c r="M759" i="9"/>
  <c r="R759" i="9" s="1"/>
  <c r="M758" i="9"/>
  <c r="R758" i="9" s="1"/>
  <c r="M762" i="9"/>
  <c r="R762" i="9" s="1"/>
  <c r="M764" i="9"/>
  <c r="R764" i="9" s="1"/>
  <c r="M767" i="9"/>
  <c r="R767" i="9" s="1"/>
  <c r="M766" i="9"/>
  <c r="R766" i="9" s="1"/>
  <c r="M769" i="9"/>
  <c r="R769" i="9" s="1"/>
  <c r="M741" i="9"/>
  <c r="R741" i="9" s="1"/>
  <c r="M740" i="9"/>
  <c r="R740" i="9" s="1"/>
  <c r="M736" i="9"/>
  <c r="R736" i="9" s="1"/>
  <c r="M737" i="9"/>
  <c r="R737" i="9" s="1"/>
  <c r="H84" i="23"/>
  <c r="S81" i="23"/>
  <c r="S80" i="23"/>
  <c r="S79" i="23"/>
  <c r="S78" i="23"/>
  <c r="S84" i="23"/>
  <c r="J84" i="23"/>
  <c r="I84" i="23"/>
  <c r="J80" i="23"/>
  <c r="I80" i="23"/>
  <c r="J79" i="23"/>
  <c r="I79" i="23"/>
  <c r="J78" i="23"/>
  <c r="I78" i="23"/>
  <c r="S73" i="23"/>
  <c r="S72" i="23"/>
  <c r="S71" i="23"/>
  <c r="S70" i="23"/>
  <c r="S69" i="23"/>
  <c r="S68" i="23"/>
  <c r="J73" i="23"/>
  <c r="J72" i="23"/>
  <c r="J71" i="23"/>
  <c r="J69" i="23"/>
  <c r="J68" i="23"/>
  <c r="I73" i="23"/>
  <c r="I72" i="23"/>
  <c r="I71" i="23"/>
  <c r="I69" i="23"/>
  <c r="I68" i="23"/>
  <c r="S52" i="23"/>
  <c r="S51" i="23"/>
  <c r="S50" i="23"/>
  <c r="S49" i="23"/>
  <c r="S48" i="23"/>
  <c r="J51" i="23"/>
  <c r="J50" i="23"/>
  <c r="J47" i="23"/>
  <c r="J46" i="23"/>
  <c r="I51" i="23"/>
  <c r="I50" i="23"/>
  <c r="I47" i="23"/>
  <c r="I46" i="23"/>
  <c r="R40" i="23"/>
  <c r="S40" i="23" s="1"/>
  <c r="R39" i="23"/>
  <c r="S39" i="23" s="1"/>
  <c r="R38" i="23"/>
  <c r="S38" i="23" s="1"/>
  <c r="R37" i="23"/>
  <c r="S37" i="23" s="1"/>
  <c r="R36" i="23"/>
  <c r="S36" i="23" s="1"/>
  <c r="R35" i="23"/>
  <c r="S35" i="23" s="1"/>
  <c r="R34" i="23"/>
  <c r="S34" i="23" s="1"/>
  <c r="R33" i="23"/>
  <c r="S33" i="23" s="1"/>
  <c r="R32" i="23"/>
  <c r="S32" i="23" s="1"/>
  <c r="R31" i="23"/>
  <c r="S31" i="23" s="1"/>
  <c r="J24" i="23"/>
  <c r="I24" i="23"/>
  <c r="S24" i="23"/>
  <c r="I42" i="23"/>
  <c r="H40" i="23"/>
  <c r="H39" i="23"/>
  <c r="ER5" i="14" l="1"/>
  <c r="I93" i="23" s="1"/>
  <c r="ER3" i="14"/>
  <c r="I91" i="23" s="1"/>
  <c r="ER12" i="14"/>
  <c r="I100" i="23" s="1"/>
  <c r="ER6" i="14"/>
  <c r="I94" i="23" s="1"/>
  <c r="EU18" i="14"/>
  <c r="J107" i="23" s="1"/>
  <c r="EU36" i="14"/>
  <c r="EU20" i="14"/>
  <c r="J109" i="23" s="1"/>
  <c r="EU38" i="14"/>
  <c r="J127" i="23" s="1"/>
  <c r="EU19" i="14"/>
  <c r="J108" i="23" s="1"/>
  <c r="EU37" i="14"/>
  <c r="J126" i="23" s="1"/>
  <c r="ER18" i="14"/>
  <c r="I107" i="23" s="1"/>
  <c r="ER31" i="14"/>
  <c r="I120" i="23" s="1"/>
  <c r="G280" i="7"/>
  <c r="G162" i="7"/>
  <c r="EU12" i="14"/>
  <c r="J100" i="23" s="1"/>
  <c r="EU31" i="14"/>
  <c r="J120" i="23" s="1"/>
  <c r="GD147" i="14"/>
  <c r="GK147" i="14" s="1"/>
  <c r="P48" i="31"/>
  <c r="P44" i="31"/>
  <c r="P66" i="31"/>
  <c r="P20" i="31"/>
  <c r="P13" i="31"/>
  <c r="P52" i="31"/>
  <c r="P42" i="31"/>
  <c r="P18" i="31"/>
  <c r="GD158" i="14"/>
  <c r="GK158" i="14" s="1"/>
  <c r="GD154" i="14"/>
  <c r="GK154" i="14" s="1"/>
  <c r="GD148" i="14"/>
  <c r="GK148" i="14" s="1"/>
  <c r="GD155" i="14"/>
  <c r="GK155" i="14" s="1"/>
  <c r="GD149" i="14"/>
  <c r="GK149" i="14" s="1"/>
  <c r="GD146" i="14"/>
  <c r="GK146" i="14" s="1"/>
  <c r="GD156" i="14"/>
  <c r="GK156" i="14" s="1"/>
  <c r="GD150" i="14"/>
  <c r="GK150" i="14" s="1"/>
  <c r="GD157" i="14"/>
  <c r="GK157" i="14" s="1"/>
  <c r="GD152" i="14"/>
  <c r="GK152" i="14" s="1"/>
  <c r="GD117" i="14"/>
  <c r="GD153" i="14"/>
  <c r="GK153" i="14" s="1"/>
  <c r="GD118" i="14"/>
  <c r="GD30" i="14"/>
  <c r="GK30" i="14" s="1"/>
  <c r="GD21" i="14"/>
  <c r="GK21" i="14" s="1"/>
  <c r="GD17" i="14"/>
  <c r="GD16" i="14"/>
  <c r="GD11" i="14"/>
  <c r="GD15" i="14"/>
  <c r="GD19" i="14"/>
  <c r="GK19" i="14" s="1"/>
  <c r="GD64" i="14"/>
  <c r="GD7" i="14"/>
  <c r="GD47" i="14"/>
  <c r="GD114" i="14"/>
  <c r="GD57" i="14"/>
  <c r="GK57" i="14" s="1"/>
  <c r="GD38" i="14"/>
  <c r="GK38" i="14" s="1"/>
  <c r="GD28" i="14"/>
  <c r="GD138" i="14"/>
  <c r="GD121" i="14"/>
  <c r="GD115" i="14"/>
  <c r="GD67" i="14"/>
  <c r="GD126" i="14"/>
  <c r="GD29" i="14"/>
  <c r="GD140" i="14"/>
  <c r="GD62" i="14"/>
  <c r="GD55" i="14"/>
  <c r="GK55" i="14" s="1"/>
  <c r="GD130" i="14"/>
  <c r="GK121" i="14" s="1"/>
  <c r="GD125" i="14"/>
  <c r="GD129" i="14"/>
  <c r="GD134" i="14"/>
  <c r="GD137" i="14"/>
  <c r="GK137" i="14" s="1"/>
  <c r="GD136" i="14"/>
  <c r="GD135" i="14"/>
  <c r="GD35" i="14"/>
  <c r="GK35" i="14" s="1"/>
  <c r="GD128" i="14"/>
  <c r="EU5" i="14"/>
  <c r="J93" i="23" s="1"/>
  <c r="I102" i="23"/>
  <c r="ER19" i="14"/>
  <c r="I108" i="23" s="1"/>
  <c r="ER28" i="14"/>
  <c r="I117" i="23" s="1"/>
  <c r="ER37" i="14"/>
  <c r="I126" i="23" s="1"/>
  <c r="EU3" i="14"/>
  <c r="J91" i="23" s="1"/>
  <c r="EU26" i="14"/>
  <c r="J115" i="23" s="1"/>
  <c r="EU34" i="14"/>
  <c r="J123" i="23" s="1"/>
  <c r="GD112" i="14"/>
  <c r="GD133" i="14"/>
  <c r="GD95" i="14"/>
  <c r="GD65" i="14"/>
  <c r="GD43" i="14"/>
  <c r="GD124" i="14"/>
  <c r="GD39" i="14"/>
  <c r="GK39" i="14" s="1"/>
  <c r="GD60" i="14"/>
  <c r="GK60" i="14" s="1"/>
  <c r="GD45" i="14"/>
  <c r="GK45" i="14" s="1"/>
  <c r="GD52" i="14"/>
  <c r="GD72" i="14"/>
  <c r="GK72" i="14" s="1"/>
  <c r="GD76" i="14"/>
  <c r="GK76" i="14" s="1"/>
  <c r="GD82" i="14"/>
  <c r="GD86" i="14"/>
  <c r="GD91" i="14"/>
  <c r="GK91" i="14" s="1"/>
  <c r="GD98" i="14"/>
  <c r="GD103" i="14"/>
  <c r="GD111" i="14"/>
  <c r="GD61" i="14"/>
  <c r="GK61" i="14" s="1"/>
  <c r="GD41" i="14"/>
  <c r="GK41" i="14" s="1"/>
  <c r="GD40" i="14"/>
  <c r="GK40" i="14" s="1"/>
  <c r="GD70" i="14"/>
  <c r="GK70" i="14" s="1"/>
  <c r="GD46" i="14"/>
  <c r="GD127" i="14"/>
  <c r="GD23" i="14"/>
  <c r="GK23" i="14" s="1"/>
  <c r="GD123" i="14"/>
  <c r="GD42" i="14"/>
  <c r="GK42" i="14" s="1"/>
  <c r="GD51" i="14"/>
  <c r="GD69" i="14"/>
  <c r="GD75" i="14"/>
  <c r="GD81" i="14"/>
  <c r="GD85" i="14"/>
  <c r="GD89" i="14"/>
  <c r="GD96" i="14"/>
  <c r="GD101" i="14"/>
  <c r="GD109" i="14"/>
  <c r="GK109" i="14" s="1"/>
  <c r="GD54" i="14"/>
  <c r="GK54" i="14" s="1"/>
  <c r="GD27" i="14"/>
  <c r="GD141" i="14"/>
  <c r="GD110" i="14"/>
  <c r="GD44" i="14"/>
  <c r="GD34" i="14"/>
  <c r="GD25" i="14"/>
  <c r="GK25" i="14" s="1"/>
  <c r="GD36" i="14"/>
  <c r="GK36" i="14" s="1"/>
  <c r="GD50" i="14"/>
  <c r="GD68" i="14"/>
  <c r="GD74" i="14"/>
  <c r="GD78" i="14"/>
  <c r="GD84" i="14"/>
  <c r="GD88" i="14"/>
  <c r="GD94" i="14"/>
  <c r="GD100" i="14"/>
  <c r="GD108" i="14"/>
  <c r="GD116" i="14"/>
  <c r="GD59" i="14"/>
  <c r="GD131" i="14"/>
  <c r="GD93" i="14"/>
  <c r="GK93" i="14" s="1"/>
  <c r="GD119" i="14"/>
  <c r="GD132" i="14"/>
  <c r="GD113" i="14"/>
  <c r="GD49" i="14"/>
  <c r="GD53" i="14"/>
  <c r="GK53" i="14" s="1"/>
  <c r="GD73" i="14"/>
  <c r="GK73" i="14" s="1"/>
  <c r="GD77" i="14"/>
  <c r="GD83" i="14"/>
  <c r="GD87" i="14"/>
  <c r="GK75" i="14" s="1"/>
  <c r="GD92" i="14"/>
  <c r="GK92" i="14" s="1"/>
  <c r="GD99" i="14"/>
  <c r="GD104" i="14"/>
  <c r="GJ223" i="14"/>
  <c r="GJ222" i="14" s="1"/>
  <c r="GJ221" i="14" s="1"/>
  <c r="GJ220" i="14" s="1"/>
  <c r="GJ219" i="14" s="1"/>
  <c r="GJ218" i="14" s="1"/>
  <c r="GJ217" i="14" s="1"/>
  <c r="GJ216" i="14" s="1"/>
  <c r="GJ215" i="14" s="1"/>
  <c r="GJ214" i="14" s="1"/>
  <c r="GJ213" i="14" s="1"/>
  <c r="GJ212" i="14" s="1"/>
  <c r="GJ211" i="14" s="1"/>
  <c r="GJ210" i="14" s="1"/>
  <c r="GJ209" i="14" s="1"/>
  <c r="GJ208" i="14" s="1"/>
  <c r="GJ207" i="14" s="1"/>
  <c r="GJ206" i="14" s="1"/>
  <c r="GJ205" i="14" s="1"/>
  <c r="GJ204" i="14" s="1"/>
  <c r="GJ203" i="14" s="1"/>
  <c r="GJ202" i="14" s="1"/>
  <c r="GJ201" i="14" s="1"/>
  <c r="GJ200" i="14" s="1"/>
  <c r="GJ199" i="14" s="1"/>
  <c r="GJ198" i="14" s="1"/>
  <c r="GJ197" i="14" s="1"/>
  <c r="GJ196" i="14" s="1"/>
  <c r="GJ195" i="14" s="1"/>
  <c r="GJ194" i="14" s="1"/>
  <c r="GJ193" i="14" s="1"/>
  <c r="GJ192" i="14" s="1"/>
  <c r="GJ191" i="14" s="1"/>
  <c r="GJ190" i="14" s="1"/>
  <c r="GJ189" i="14" s="1"/>
  <c r="GJ188" i="14" s="1"/>
  <c r="GJ187" i="14" s="1"/>
  <c r="GJ186" i="14" s="1"/>
  <c r="GJ185" i="14" s="1"/>
  <c r="GJ184" i="14" s="1"/>
  <c r="GJ183" i="14" s="1"/>
  <c r="GJ182" i="14" s="1"/>
  <c r="GJ181" i="14" s="1"/>
  <c r="GJ180" i="14" s="1"/>
  <c r="GJ179" i="14" s="1"/>
  <c r="GJ178" i="14" s="1"/>
  <c r="GJ177" i="14" s="1"/>
  <c r="GJ176" i="14" s="1"/>
  <c r="GJ175" i="14" s="1"/>
  <c r="GJ174" i="14" s="1"/>
  <c r="GJ173" i="14" s="1"/>
  <c r="GJ172" i="14" s="1"/>
  <c r="GJ171" i="14" s="1"/>
  <c r="GJ170" i="14" s="1"/>
  <c r="GJ169" i="14" s="1"/>
  <c r="GJ168" i="14" s="1"/>
  <c r="GJ167" i="14" s="1"/>
  <c r="GJ166" i="14" s="1"/>
  <c r="GJ165" i="14" s="1"/>
  <c r="GJ164" i="14" s="1"/>
  <c r="GJ163" i="14" s="1"/>
  <c r="GJ162" i="14" s="1"/>
  <c r="GJ161" i="14" s="1"/>
  <c r="GJ160" i="14" s="1"/>
  <c r="GJ159" i="14" s="1"/>
  <c r="GK81" i="14"/>
  <c r="FP2" i="14"/>
  <c r="FQ2" i="14" s="1"/>
  <c r="FR2" i="14" s="1"/>
  <c r="FS2" i="14" s="1"/>
  <c r="FT2" i="14" s="1"/>
  <c r="FU2" i="14" s="1"/>
  <c r="FV2" i="14" s="1"/>
  <c r="FW2" i="14" s="1"/>
  <c r="FX2" i="14" s="1"/>
  <c r="FY2" i="14" s="1"/>
  <c r="FZ2" i="14" s="1"/>
  <c r="GA2" i="14" s="1"/>
  <c r="EU6" i="14"/>
  <c r="J94" i="23" s="1"/>
  <c r="EU28" i="14"/>
  <c r="J117" i="23" s="1"/>
  <c r="ER33" i="14"/>
  <c r="I122" i="23" s="1"/>
  <c r="EU33" i="14"/>
  <c r="J122" i="23" s="1"/>
  <c r="ER36" i="14"/>
  <c r="ER16" i="14"/>
  <c r="I105" i="23" s="1"/>
  <c r="ER30" i="14"/>
  <c r="I119" i="23" s="1"/>
  <c r="EU15" i="14"/>
  <c r="J104" i="23" s="1"/>
  <c r="EU29" i="14"/>
  <c r="J118" i="23" s="1"/>
  <c r="ER15" i="14"/>
  <c r="I104" i="23" s="1"/>
  <c r="ER20" i="14"/>
  <c r="I109" i="23" s="1"/>
  <c r="ER29" i="14"/>
  <c r="I118" i="23" s="1"/>
  <c r="ER34" i="14"/>
  <c r="I123" i="23" s="1"/>
  <c r="ER38" i="14"/>
  <c r="I127" i="23" s="1"/>
  <c r="ER23" i="14"/>
  <c r="I112" i="23" s="1"/>
  <c r="ER35" i="14"/>
  <c r="I124" i="23" s="1"/>
  <c r="U126" i="23"/>
  <c r="U125" i="23" s="1"/>
  <c r="U124" i="23" s="1"/>
  <c r="U123" i="23" s="1"/>
  <c r="U122" i="23" s="1"/>
  <c r="U121" i="23" s="1"/>
  <c r="U120" i="23" s="1"/>
  <c r="U119" i="23" s="1"/>
  <c r="U118" i="23" s="1"/>
  <c r="U117" i="23" s="1"/>
  <c r="U116" i="23" s="1"/>
  <c r="U115" i="23" s="1"/>
  <c r="U114" i="23" s="1"/>
  <c r="U113" i="23" s="1"/>
  <c r="U112" i="23" s="1"/>
  <c r="U111" i="23" s="1"/>
  <c r="U110" i="23" s="1"/>
  <c r="U109" i="23" s="1"/>
  <c r="U108" i="23" s="1"/>
  <c r="U107" i="23" s="1"/>
  <c r="U106" i="23" s="1"/>
  <c r="U105" i="23" s="1"/>
  <c r="U104" i="23" s="1"/>
  <c r="U103" i="23" s="1"/>
  <c r="U102" i="23" s="1"/>
  <c r="U101" i="23" s="1"/>
  <c r="U100" i="23" s="1"/>
  <c r="U99" i="23" s="1"/>
  <c r="U98" i="23" s="1"/>
  <c r="U97" i="23" s="1"/>
  <c r="U96" i="23" s="1"/>
  <c r="U95" i="23" s="1"/>
  <c r="U94" i="23" s="1"/>
  <c r="U93" i="23" s="1"/>
  <c r="U92" i="23" s="1"/>
  <c r="U91" i="23" s="1"/>
  <c r="U90" i="23" s="1"/>
  <c r="EU16" i="14"/>
  <c r="J105" i="23" s="1"/>
  <c r="EU30" i="14"/>
  <c r="J119" i="23" s="1"/>
  <c r="EU10" i="14"/>
  <c r="J98" i="23" s="1"/>
  <c r="EU23" i="14"/>
  <c r="J112" i="23" s="1"/>
  <c r="EU4" i="14"/>
  <c r="J92" i="23" s="1"/>
  <c r="EU35" i="14"/>
  <c r="J124" i="23" s="1"/>
  <c r="ER2" i="14"/>
  <c r="I90" i="23" s="1"/>
  <c r="EU2" i="14"/>
  <c r="J90" i="23" s="1"/>
  <c r="G173" i="7"/>
  <c r="G292" i="7"/>
  <c r="G91" i="7"/>
  <c r="G71" i="7"/>
  <c r="G283" i="7"/>
  <c r="G172" i="7"/>
  <c r="G316" i="7"/>
  <c r="C40" i="23"/>
  <c r="C39" i="23"/>
  <c r="M37" i="31"/>
  <c r="N52" i="31"/>
  <c r="N48" i="31"/>
  <c r="N44" i="31"/>
  <c r="N42" i="31"/>
  <c r="N20" i="31"/>
  <c r="N18" i="31"/>
  <c r="N13" i="31"/>
  <c r="O91" i="31"/>
  <c r="G35" i="33"/>
  <c r="N12" i="33"/>
  <c r="M11" i="33"/>
  <c r="L9" i="33"/>
  <c r="AB8" i="33"/>
  <c r="AB9" i="33" s="1"/>
  <c r="AB10" i="33" s="1"/>
  <c r="AB11" i="33" s="1"/>
  <c r="AB12" i="33" s="1"/>
  <c r="AB13" i="33" s="1"/>
  <c r="AB14" i="33" s="1"/>
  <c r="AB15" i="33" s="1"/>
  <c r="AB16" i="33" s="1"/>
  <c r="AB17" i="33" s="1"/>
  <c r="AB18" i="33" s="1"/>
  <c r="AB19" i="33" s="1"/>
  <c r="T8" i="33"/>
  <c r="T9" i="33" s="1"/>
  <c r="T10" i="33" s="1"/>
  <c r="T11" i="33" s="1"/>
  <c r="T12" i="33" s="1"/>
  <c r="T13" i="33" s="1"/>
  <c r="T14" i="33" s="1"/>
  <c r="T15" i="33" s="1"/>
  <c r="T16" i="33" s="1"/>
  <c r="T17" i="33" s="1"/>
  <c r="T18" i="33" s="1"/>
  <c r="T19" i="33" s="1"/>
  <c r="T20" i="33" s="1"/>
  <c r="T21" i="33" s="1"/>
  <c r="T22" i="33" s="1"/>
  <c r="T23" i="33" s="1"/>
  <c r="T24" i="33" s="1"/>
  <c r="T25" i="33" s="1"/>
  <c r="T26" i="33" s="1"/>
  <c r="T27" i="33" s="1"/>
  <c r="T28" i="33" s="1"/>
  <c r="T29" i="33" s="1"/>
  <c r="T30" i="33" s="1"/>
  <c r="T31" i="33" s="1"/>
  <c r="T32" i="33" s="1"/>
  <c r="T33" i="33" s="1"/>
  <c r="T34" i="33" s="1"/>
  <c r="M8" i="33"/>
  <c r="K8" i="33"/>
  <c r="BU7" i="33"/>
  <c r="BU8" i="33" s="1"/>
  <c r="BU9" i="33" s="1"/>
  <c r="BU10" i="33" s="1"/>
  <c r="BU11" i="33" s="1"/>
  <c r="BU12" i="33" s="1"/>
  <c r="BU13" i="33" s="1"/>
  <c r="BU14" i="33" s="1"/>
  <c r="BU15" i="33" s="1"/>
  <c r="BU16" i="33" s="1"/>
  <c r="BU17" i="33" s="1"/>
  <c r="BU18" i="33" s="1"/>
  <c r="BU19" i="33" s="1"/>
  <c r="BU20" i="33" s="1"/>
  <c r="BU21" i="33" s="1"/>
  <c r="BU22" i="33" s="1"/>
  <c r="BU23" i="33" s="1"/>
  <c r="BU24" i="33" s="1"/>
  <c r="BU25" i="33" s="1"/>
  <c r="BM7" i="33"/>
  <c r="BM8" i="33" s="1"/>
  <c r="BM9" i="33" s="1"/>
  <c r="BM10" i="33" s="1"/>
  <c r="BM11" i="33" s="1"/>
  <c r="BM12" i="33" s="1"/>
  <c r="BM13" i="33" s="1"/>
  <c r="BM14" i="33" s="1"/>
  <c r="BM15" i="33" s="1"/>
  <c r="BM16" i="33" s="1"/>
  <c r="BM17" i="33" s="1"/>
  <c r="BM18" i="33" s="1"/>
  <c r="BM19" i="33" s="1"/>
  <c r="BM20" i="33" s="1"/>
  <c r="BM21" i="33" s="1"/>
  <c r="BM22" i="33" s="1"/>
  <c r="BM23" i="33" s="1"/>
  <c r="BM24" i="33" s="1"/>
  <c r="BM25" i="33" s="1"/>
  <c r="BE7" i="33"/>
  <c r="BE8" i="33" s="1"/>
  <c r="BE9" i="33" s="1"/>
  <c r="BE10" i="33" s="1"/>
  <c r="BE11" i="33" s="1"/>
  <c r="BE12" i="33" s="1"/>
  <c r="BE13" i="33" s="1"/>
  <c r="BE14" i="33" s="1"/>
  <c r="BE15" i="33" s="1"/>
  <c r="BE16" i="33" s="1"/>
  <c r="BE17" i="33" s="1"/>
  <c r="BE18" i="33" s="1"/>
  <c r="BE19" i="33" s="1"/>
  <c r="BE20" i="33" s="1"/>
  <c r="BE21" i="33" s="1"/>
  <c r="BE22" i="33" s="1"/>
  <c r="BE23" i="33" s="1"/>
  <c r="BE24" i="33" s="1"/>
  <c r="BE25" i="33" s="1"/>
  <c r="AW7" i="33"/>
  <c r="AW8" i="33" s="1"/>
  <c r="AW9" i="33" s="1"/>
  <c r="AW10" i="33" s="1"/>
  <c r="AW11" i="33" s="1"/>
  <c r="AW12" i="33" s="1"/>
  <c r="AW13" i="33" s="1"/>
  <c r="AW14" i="33" s="1"/>
  <c r="AW15" i="33" s="1"/>
  <c r="AW16" i="33" s="1"/>
  <c r="AW17" i="33" s="1"/>
  <c r="AW18" i="33" s="1"/>
  <c r="AW19" i="33" s="1"/>
  <c r="AW20" i="33" s="1"/>
  <c r="AW21" i="33" s="1"/>
  <c r="AW22" i="33" s="1"/>
  <c r="AW23" i="33" s="1"/>
  <c r="AW24" i="33" s="1"/>
  <c r="AW25" i="33" s="1"/>
  <c r="AN7" i="33"/>
  <c r="AN8" i="33" s="1"/>
  <c r="AN9" i="33" s="1"/>
  <c r="AN10" i="33" s="1"/>
  <c r="AN11" i="33" s="1"/>
  <c r="AN12" i="33" s="1"/>
  <c r="AN13" i="33" s="1"/>
  <c r="AN14" i="33" s="1"/>
  <c r="AN15" i="33" s="1"/>
  <c r="AN16" i="33" s="1"/>
  <c r="AN17" i="33" s="1"/>
  <c r="AN18" i="33" s="1"/>
  <c r="AN19" i="33" s="1"/>
  <c r="AN20" i="33" s="1"/>
  <c r="AN21" i="33" s="1"/>
  <c r="AN22" i="33" s="1"/>
  <c r="AN23" i="33" s="1"/>
  <c r="AN24" i="33" s="1"/>
  <c r="AN25" i="33" s="1"/>
  <c r="AF7" i="33"/>
  <c r="AF8" i="33" s="1"/>
  <c r="AF9" i="33" s="1"/>
  <c r="AF10" i="33" s="1"/>
  <c r="AF11" i="33" s="1"/>
  <c r="AF12" i="33" s="1"/>
  <c r="AF13" i="33" s="1"/>
  <c r="AF14" i="33" s="1"/>
  <c r="AF15" i="33" s="1"/>
  <c r="AF16" i="33" s="1"/>
  <c r="AF17" i="33" s="1"/>
  <c r="AF18" i="33" s="1"/>
  <c r="AF19" i="33" s="1"/>
  <c r="AF20" i="33" s="1"/>
  <c r="AF21" i="33" s="1"/>
  <c r="AF22" i="33" s="1"/>
  <c r="AF23" i="33" s="1"/>
  <c r="AF24" i="33" s="1"/>
  <c r="AF25" i="33" s="1"/>
  <c r="AB7" i="33"/>
  <c r="X7" i="33"/>
  <c r="X8" i="33" s="1"/>
  <c r="X9" i="33" s="1"/>
  <c r="X10" i="33" s="1"/>
  <c r="X11" i="33" s="1"/>
  <c r="X12" i="33" s="1"/>
  <c r="X13" i="33" s="1"/>
  <c r="X14" i="33" s="1"/>
  <c r="X15" i="33" s="1"/>
  <c r="X16" i="33" s="1"/>
  <c r="X17" i="33" s="1"/>
  <c r="X18" i="33" s="1"/>
  <c r="X19" i="33" s="1"/>
  <c r="X20" i="33" s="1"/>
  <c r="X21" i="33" s="1"/>
  <c r="X22" i="33" s="1"/>
  <c r="X23" i="33" s="1"/>
  <c r="X24" i="33" s="1"/>
  <c r="X25" i="33" s="1"/>
  <c r="X26" i="33" s="1"/>
  <c r="X27" i="33" s="1"/>
  <c r="X28" i="33" s="1"/>
  <c r="X29" i="33" s="1"/>
  <c r="X30" i="33" s="1"/>
  <c r="X31" i="33" s="1"/>
  <c r="X32" i="33" s="1"/>
  <c r="X33" i="33" s="1"/>
  <c r="X34" i="33" s="1"/>
  <c r="T7" i="33"/>
  <c r="J4" i="33"/>
  <c r="I4" i="33"/>
  <c r="H4" i="33"/>
  <c r="AO5" i="23"/>
  <c r="AW87" i="5"/>
  <c r="AW71" i="5"/>
  <c r="AD90" i="14"/>
  <c r="AD89" i="14"/>
  <c r="GK16" i="14" l="1"/>
  <c r="GK15" i="14"/>
  <c r="GK114" i="14"/>
  <c r="GK27" i="14"/>
  <c r="GK88" i="14"/>
  <c r="GK84" i="14"/>
  <c r="GK87" i="14"/>
  <c r="GK83" i="14"/>
  <c r="GK135" i="14"/>
  <c r="GK138" i="14"/>
  <c r="GK65" i="14"/>
  <c r="GK103" i="14"/>
  <c r="GK132" i="14"/>
  <c r="GK100" i="14"/>
  <c r="GK119" i="14"/>
  <c r="GK130" i="14"/>
  <c r="GK126" i="14"/>
  <c r="GK127" i="14"/>
  <c r="GK140" i="14"/>
  <c r="GK133" i="14"/>
  <c r="GK112" i="14"/>
  <c r="GK136" i="14"/>
  <c r="GK125" i="14"/>
  <c r="GK117" i="14"/>
  <c r="GK118" i="14"/>
  <c r="GK110" i="14"/>
  <c r="GK128" i="14"/>
  <c r="GK104" i="14"/>
  <c r="GK134" i="14"/>
  <c r="GK123" i="14"/>
  <c r="GK101" i="14"/>
  <c r="GK49" i="14"/>
  <c r="GK94" i="14"/>
  <c r="GK85" i="14"/>
  <c r="GK50" i="14"/>
  <c r="GK34" i="14"/>
  <c r="GK82" i="14"/>
  <c r="GK64" i="14"/>
  <c r="GK47" i="14"/>
  <c r="GB2" i="14"/>
  <c r="GC2" i="14" s="1"/>
  <c r="GD2" i="14" s="1"/>
  <c r="GE2" i="14" s="1"/>
  <c r="GF2" i="14" s="1"/>
  <c r="GG2" i="14" s="1"/>
  <c r="GH2" i="14" s="1"/>
  <c r="L97" i="5"/>
  <c r="L88" i="5"/>
  <c r="L87" i="5"/>
  <c r="L71" i="5"/>
  <c r="L70" i="5"/>
  <c r="L66" i="5"/>
  <c r="L13" i="5"/>
  <c r="L10" i="5"/>
  <c r="GI58" i="5"/>
  <c r="GH73" i="5"/>
  <c r="GI73" i="5" s="1"/>
  <c r="GH195" i="5"/>
  <c r="GI195" i="5" s="1"/>
  <c r="GH136" i="5"/>
  <c r="GI136" i="5" s="1"/>
  <c r="GH133" i="5"/>
  <c r="GI133" i="5" s="1"/>
  <c r="GH78" i="5"/>
  <c r="GI78" i="5" s="1"/>
  <c r="GH29" i="5"/>
  <c r="GI29" i="5" s="1"/>
  <c r="GH28" i="5"/>
  <c r="GI28" i="5" s="1"/>
  <c r="GH64" i="5"/>
  <c r="GI64" i="5" s="1"/>
  <c r="GH11" i="5"/>
  <c r="GI11" i="5" s="1"/>
  <c r="GH147" i="5"/>
  <c r="GI147" i="5" s="1"/>
  <c r="GH146" i="5"/>
  <c r="GI146" i="5" s="1"/>
  <c r="GH61" i="5"/>
  <c r="GI61" i="5" s="1"/>
  <c r="GH188" i="5"/>
  <c r="GI188" i="5" s="1"/>
  <c r="GH182" i="5"/>
  <c r="GI182" i="5" s="1"/>
  <c r="GH36" i="5"/>
  <c r="GI36" i="5" s="1"/>
  <c r="M71" i="31"/>
  <c r="G71" i="31" s="1"/>
  <c r="M88" i="31"/>
  <c r="G88" i="31" s="1"/>
  <c r="M89" i="31"/>
  <c r="D89" i="31"/>
  <c r="M84" i="31"/>
  <c r="M82" i="31"/>
  <c r="M79" i="31"/>
  <c r="M76" i="31"/>
  <c r="G76" i="31" s="1"/>
  <c r="M70" i="31"/>
  <c r="M69" i="31"/>
  <c r="E69" i="31"/>
  <c r="D69" i="31" s="1"/>
  <c r="M65" i="31"/>
  <c r="M64" i="31"/>
  <c r="G64" i="31" s="1"/>
  <c r="M62" i="31"/>
  <c r="M58" i="31"/>
  <c r="E60" i="31"/>
  <c r="D60" i="31" s="1"/>
  <c r="M55" i="31"/>
  <c r="M53" i="31"/>
  <c r="M50" i="31"/>
  <c r="G50" i="31" s="1"/>
  <c r="M47" i="31"/>
  <c r="G47" i="31" s="1"/>
  <c r="E41" i="31"/>
  <c r="D41" i="31" s="1"/>
  <c r="E30" i="31"/>
  <c r="D30" i="31" s="1"/>
  <c r="M43" i="31"/>
  <c r="M40" i="31"/>
  <c r="M39" i="31"/>
  <c r="G39" i="31" s="1"/>
  <c r="M36" i="31"/>
  <c r="G36" i="31" s="1"/>
  <c r="M35" i="31"/>
  <c r="G35" i="31" s="1"/>
  <c r="M32" i="31"/>
  <c r="G32" i="31" s="1"/>
  <c r="E31" i="31"/>
  <c r="D31" i="31" s="1"/>
  <c r="C30" i="31"/>
  <c r="M30" i="31"/>
  <c r="M28" i="31"/>
  <c r="G28" i="31" s="1"/>
  <c r="D23" i="31"/>
  <c r="D22" i="31"/>
  <c r="M18" i="31"/>
  <c r="M16" i="31"/>
  <c r="M14" i="31"/>
  <c r="G14" i="31" s="1"/>
  <c r="M13" i="31"/>
  <c r="M11" i="31"/>
  <c r="G11" i="31" s="1"/>
  <c r="M8" i="31"/>
  <c r="G8" i="31" s="1"/>
  <c r="M3" i="31"/>
  <c r="E6" i="31"/>
  <c r="D6" i="31" s="1"/>
  <c r="P47" i="31" l="1"/>
  <c r="N47" i="31"/>
  <c r="N23" i="31"/>
  <c r="P23" i="31"/>
  <c r="N71" i="31"/>
  <c r="P71" i="31"/>
  <c r="N88" i="31"/>
  <c r="P88" i="31"/>
  <c r="N22" i="31"/>
  <c r="P22" i="31"/>
  <c r="N39" i="31"/>
  <c r="P39" i="31"/>
  <c r="N35" i="31"/>
  <c r="P35" i="31"/>
  <c r="N50" i="31"/>
  <c r="P50" i="31"/>
  <c r="N8" i="31"/>
  <c r="P8" i="31"/>
  <c r="N28" i="31"/>
  <c r="P28" i="31"/>
  <c r="N32" i="31"/>
  <c r="P32" i="31"/>
  <c r="N76" i="31"/>
  <c r="P76" i="31"/>
  <c r="N14" i="31"/>
  <c r="P14" i="31"/>
  <c r="N64" i="31"/>
  <c r="P64" i="31"/>
  <c r="N36" i="31"/>
  <c r="P36" i="31"/>
  <c r="N11" i="31"/>
  <c r="P11" i="31"/>
  <c r="H50" i="12"/>
  <c r="H49" i="12"/>
  <c r="H40" i="12"/>
  <c r="G52" i="12"/>
  <c r="H52" i="12" s="1"/>
  <c r="G51" i="12"/>
  <c r="H51" i="12" s="1"/>
  <c r="G50" i="12"/>
  <c r="G49" i="12"/>
  <c r="G48" i="12"/>
  <c r="H48" i="12" s="1"/>
  <c r="G47" i="12"/>
  <c r="H47" i="12" s="1"/>
  <c r="G46" i="12"/>
  <c r="H46" i="12" s="1"/>
  <c r="G45" i="12"/>
  <c r="H45" i="12" s="1"/>
  <c r="G44" i="12"/>
  <c r="H44" i="12" s="1"/>
  <c r="G43" i="12"/>
  <c r="H43" i="12" s="1"/>
  <c r="G42" i="12"/>
  <c r="H42" i="12" s="1"/>
  <c r="G39" i="12"/>
  <c r="H39" i="12" s="1"/>
  <c r="G38" i="12"/>
  <c r="H38" i="12" s="1"/>
  <c r="F40" i="12"/>
  <c r="G81" i="30"/>
  <c r="G80" i="30"/>
  <c r="G79" i="30"/>
  <c r="G78" i="30"/>
  <c r="G77" i="30"/>
  <c r="G76" i="30"/>
  <c r="G75" i="30"/>
  <c r="G74" i="30"/>
  <c r="G71" i="30"/>
  <c r="G70" i="30"/>
  <c r="G69" i="30"/>
  <c r="G68" i="30"/>
  <c r="G67" i="30"/>
  <c r="G66" i="30"/>
  <c r="G65" i="30"/>
  <c r="G63" i="30"/>
  <c r="G62" i="30"/>
  <c r="G61" i="30"/>
  <c r="G60" i="30"/>
  <c r="G59" i="30"/>
  <c r="G58"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6" i="30"/>
  <c r="G13" i="30"/>
  <c r="G12" i="30"/>
  <c r="G11" i="30"/>
  <c r="G10" i="30"/>
  <c r="G9" i="30"/>
  <c r="G6" i="30"/>
  <c r="G2" i="30"/>
  <c r="B17" i="30"/>
  <c r="G17" i="30" s="1"/>
  <c r="B15" i="30"/>
  <c r="G15" i="30" s="1"/>
  <c r="AA5" i="23" l="1"/>
  <c r="Z5" i="23"/>
  <c r="AG5" i="2" s="1"/>
  <c r="AG3" i="2" s="1"/>
  <c r="Y5" i="23"/>
  <c r="AC5" i="2" s="1"/>
  <c r="I17" i="23"/>
  <c r="I16" i="23"/>
  <c r="I15" i="23"/>
  <c r="I14" i="23"/>
  <c r="I13" i="23"/>
  <c r="V5" i="23"/>
  <c r="AD5" i="2" s="1"/>
  <c r="EM61" i="5" l="1"/>
  <c r="EM35" i="5"/>
  <c r="EM51" i="5"/>
  <c r="EM80" i="5"/>
  <c r="EM70" i="5"/>
  <c r="EM63" i="5"/>
  <c r="EM8" i="5"/>
  <c r="G442" i="7"/>
  <c r="L442" i="7" s="1"/>
  <c r="M442" i="7" s="1"/>
  <c r="G439" i="7"/>
  <c r="L439" i="7" s="1"/>
  <c r="M439" i="7" s="1"/>
  <c r="G438" i="7"/>
  <c r="L438" i="7" s="1"/>
  <c r="M438" i="7" s="1"/>
  <c r="G437" i="7"/>
  <c r="L437" i="7" s="1"/>
  <c r="M437" i="7" s="1"/>
  <c r="G434" i="7"/>
  <c r="L434" i="7" s="1"/>
  <c r="M434" i="7" s="1"/>
  <c r="G431" i="7"/>
  <c r="L431" i="7" s="1"/>
  <c r="M431" i="7" s="1"/>
  <c r="G430" i="7"/>
  <c r="L430" i="7" s="1"/>
  <c r="M430" i="7" s="1"/>
  <c r="AB425" i="7"/>
  <c r="AB413" i="7"/>
  <c r="AB442" i="7"/>
  <c r="AB441" i="7"/>
  <c r="AB440" i="7"/>
  <c r="AB439" i="7"/>
  <c r="AB438" i="7"/>
  <c r="AB437" i="7"/>
  <c r="AB436" i="7"/>
  <c r="AB435" i="7"/>
  <c r="AB434" i="7"/>
  <c r="AB433" i="7"/>
  <c r="AB432" i="7"/>
  <c r="AB431" i="7"/>
  <c r="AB430" i="7"/>
  <c r="AB429" i="7"/>
  <c r="AB424" i="7"/>
  <c r="AB423" i="7"/>
  <c r="AB422" i="7"/>
  <c r="AB421" i="7"/>
  <c r="AB420" i="7"/>
  <c r="AB419" i="7"/>
  <c r="AB418" i="7"/>
  <c r="AB417" i="7"/>
  <c r="M601" i="9"/>
  <c r="R601" i="9" s="1"/>
  <c r="M600" i="9"/>
  <c r="R600" i="9" s="1"/>
  <c r="M599" i="9"/>
  <c r="R599" i="9" s="1"/>
  <c r="M598" i="9"/>
  <c r="R598" i="9" s="1"/>
  <c r="M597" i="9"/>
  <c r="R597" i="9" s="1"/>
  <c r="M596" i="9"/>
  <c r="R596" i="9" s="1"/>
  <c r="M591" i="9"/>
  <c r="R591" i="9" s="1"/>
  <c r="M590" i="9"/>
  <c r="R590" i="9" s="1"/>
  <c r="M589" i="9"/>
  <c r="R589" i="9" s="1"/>
  <c r="M588" i="9"/>
  <c r="R588" i="9" s="1"/>
  <c r="M587" i="9"/>
  <c r="R587" i="9" s="1"/>
  <c r="M557" i="9"/>
  <c r="R557" i="9" s="1"/>
  <c r="M437" i="9"/>
  <c r="M436" i="9"/>
  <c r="R436" i="9" s="1"/>
  <c r="M435" i="9"/>
  <c r="R435" i="9" s="1"/>
  <c r="M456" i="9"/>
  <c r="R456" i="9" s="1"/>
  <c r="M449" i="9"/>
  <c r="R449" i="9" s="1"/>
  <c r="M448" i="9"/>
  <c r="R448" i="9" s="1"/>
  <c r="M381" i="9"/>
  <c r="R381" i="9" s="1"/>
  <c r="M380" i="9"/>
  <c r="R380" i="9" s="1"/>
  <c r="M348" i="9"/>
  <c r="R348" i="9" s="1"/>
  <c r="M347" i="9"/>
  <c r="R347" i="9" s="1"/>
  <c r="M346" i="9"/>
  <c r="R346" i="9" s="1"/>
  <c r="M345" i="9"/>
  <c r="R345" i="9" s="1"/>
  <c r="M187" i="9"/>
  <c r="R187" i="9" s="1"/>
  <c r="M186" i="9"/>
  <c r="R186" i="9" s="1"/>
  <c r="M135" i="9"/>
  <c r="R135" i="9" s="1"/>
  <c r="M134" i="9"/>
  <c r="R134" i="9" s="1"/>
  <c r="M133" i="9"/>
  <c r="R133" i="9" s="1"/>
  <c r="M132" i="9"/>
  <c r="R132" i="9" s="1"/>
  <c r="M131" i="9"/>
  <c r="R131" i="9" s="1"/>
  <c r="M54" i="9"/>
  <c r="R54" i="9" s="1"/>
  <c r="M31" i="9"/>
  <c r="R31" i="9" s="1"/>
  <c r="M1044" i="9"/>
  <c r="R1044" i="9" s="1"/>
  <c r="M1043" i="9"/>
  <c r="R1043" i="9" s="1"/>
  <c r="M1042" i="9"/>
  <c r="R1042" i="9" s="1"/>
  <c r="M1041" i="9"/>
  <c r="R1041" i="9" s="1"/>
  <c r="M1040" i="9"/>
  <c r="R1040" i="9" s="1"/>
  <c r="M1012" i="9"/>
  <c r="R1012" i="9" s="1"/>
  <c r="M943" i="9"/>
  <c r="R943" i="9" s="1"/>
  <c r="M942" i="9"/>
  <c r="R942" i="9" s="1"/>
  <c r="M941" i="9"/>
  <c r="R941" i="9" s="1"/>
  <c r="M940" i="9"/>
  <c r="R940" i="9" s="1"/>
  <c r="M939" i="9"/>
  <c r="R939" i="9" s="1"/>
  <c r="M938" i="9"/>
  <c r="R938" i="9" s="1"/>
  <c r="M945" i="9"/>
  <c r="R945" i="9" s="1"/>
  <c r="M1173" i="9"/>
  <c r="R1173" i="9" s="1"/>
  <c r="M1172" i="9"/>
  <c r="R1172" i="9" s="1"/>
  <c r="M1171" i="9"/>
  <c r="R1171" i="9" s="1"/>
  <c r="M1170" i="9"/>
  <c r="R1170" i="9" s="1"/>
  <c r="M1169" i="9"/>
  <c r="R1169" i="9" s="1"/>
  <c r="M1168" i="9"/>
  <c r="R1168" i="9" s="1"/>
  <c r="M1167" i="9"/>
  <c r="R1167" i="9" s="1"/>
  <c r="M1174" i="9"/>
  <c r="R1174" i="9" s="1"/>
  <c r="M1166" i="9"/>
  <c r="R1166" i="9" s="1"/>
  <c r="M1165" i="9"/>
  <c r="R1165" i="9" s="1"/>
  <c r="M1164" i="9"/>
  <c r="CT42" i="5"/>
  <c r="CW42" i="5" s="1"/>
  <c r="E212" i="7"/>
  <c r="E211" i="7"/>
  <c r="E210" i="7"/>
  <c r="E209" i="7"/>
  <c r="E208" i="7"/>
  <c r="E207" i="7"/>
  <c r="E206" i="7"/>
  <c r="E205" i="7"/>
  <c r="E204" i="7"/>
  <c r="E203" i="7"/>
  <c r="E202" i="7"/>
  <c r="E201" i="7"/>
  <c r="E200" i="7"/>
  <c r="E199" i="7"/>
  <c r="E198" i="7"/>
  <c r="E197" i="7"/>
  <c r="E196" i="7"/>
  <c r="E195" i="7"/>
  <c r="E194" i="7"/>
  <c r="E193" i="7"/>
  <c r="E192" i="7"/>
  <c r="E191" i="7"/>
  <c r="E190" i="7"/>
  <c r="E189" i="7"/>
  <c r="E188" i="7"/>
  <c r="J268" i="7"/>
  <c r="J267" i="7"/>
  <c r="J245" i="7"/>
  <c r="J232" i="7"/>
  <c r="J225" i="7"/>
  <c r="J223" i="7"/>
  <c r="J221" i="7"/>
  <c r="J212" i="7"/>
  <c r="J211" i="7"/>
  <c r="J210" i="7"/>
  <c r="J209" i="7"/>
  <c r="J208" i="7"/>
  <c r="J207" i="7"/>
  <c r="J206" i="7"/>
  <c r="J205" i="7"/>
  <c r="J204" i="7"/>
  <c r="J203" i="7"/>
  <c r="J202" i="7"/>
  <c r="J201" i="7"/>
  <c r="J200" i="7"/>
  <c r="J199" i="7"/>
  <c r="J198" i="7"/>
  <c r="J197" i="7"/>
  <c r="J196" i="7"/>
  <c r="J195" i="7"/>
  <c r="J194" i="7"/>
  <c r="J193" i="7"/>
  <c r="J192" i="7"/>
  <c r="J191" i="7"/>
  <c r="J190" i="7"/>
  <c r="J189" i="7"/>
  <c r="J188" i="7"/>
  <c r="J127" i="7"/>
  <c r="J125" i="7"/>
  <c r="J120" i="7"/>
  <c r="J111" i="7"/>
  <c r="J73" i="7"/>
  <c r="J70" i="7"/>
  <c r="J69" i="7"/>
  <c r="J34" i="7"/>
  <c r="AB294" i="7"/>
  <c r="AB299" i="7"/>
  <c r="AB304" i="7"/>
  <c r="J32" i="7"/>
  <c r="R437" i="9" l="1"/>
  <c r="M63" i="31"/>
  <c r="G63" i="31" s="1"/>
  <c r="P63" i="31" s="1"/>
  <c r="R1164" i="9"/>
  <c r="AE442" i="7"/>
  <c r="AE441" i="7" s="1"/>
  <c r="AE440" i="7" s="1"/>
  <c r="AE439" i="7" s="1"/>
  <c r="AE438" i="7" s="1"/>
  <c r="AE437" i="7" s="1"/>
  <c r="AE436" i="7" s="1"/>
  <c r="AE435" i="7" s="1"/>
  <c r="AE434" i="7" s="1"/>
  <c r="AE433" i="7" s="1"/>
  <c r="AE432" i="7" s="1"/>
  <c r="AE431" i="7" s="1"/>
  <c r="AE430" i="7" s="1"/>
  <c r="AG442" i="7"/>
  <c r="AG441" i="7" s="1"/>
  <c r="AG440" i="7" s="1"/>
  <c r="AG439" i="7" s="1"/>
  <c r="AG438" i="7" s="1"/>
  <c r="AG437" i="7" s="1"/>
  <c r="AG436" i="7" s="1"/>
  <c r="AG435" i="7" s="1"/>
  <c r="AG434" i="7" s="1"/>
  <c r="AG433" i="7" s="1"/>
  <c r="AG432" i="7" s="1"/>
  <c r="AG431" i="7" s="1"/>
  <c r="AG430" i="7" s="1"/>
  <c r="AD442" i="7"/>
  <c r="AD441" i="7" s="1"/>
  <c r="AD440" i="7" s="1"/>
  <c r="AD439" i="7" s="1"/>
  <c r="AD438" i="7" s="1"/>
  <c r="AD437" i="7" s="1"/>
  <c r="AD436" i="7" s="1"/>
  <c r="AD435" i="7" s="1"/>
  <c r="AD434" i="7" s="1"/>
  <c r="AD433" i="7" s="1"/>
  <c r="AD432" i="7" s="1"/>
  <c r="AD431" i="7" s="1"/>
  <c r="AD430" i="7" s="1"/>
  <c r="AD429" i="7" s="1"/>
  <c r="AH442" i="7"/>
  <c r="AH441" i="7" s="1"/>
  <c r="AH440" i="7" s="1"/>
  <c r="AH439" i="7" s="1"/>
  <c r="AH438" i="7" s="1"/>
  <c r="AH437" i="7" s="1"/>
  <c r="AH436" i="7" s="1"/>
  <c r="AH435" i="7" s="1"/>
  <c r="AH434" i="7" s="1"/>
  <c r="AH433" i="7" s="1"/>
  <c r="AH432" i="7" s="1"/>
  <c r="AH431" i="7" s="1"/>
  <c r="AH430" i="7" s="1"/>
  <c r="AH429" i="7" s="1"/>
  <c r="AC442" i="7"/>
  <c r="AC441" i="7" s="1"/>
  <c r="AC440" i="7" s="1"/>
  <c r="AC439" i="7" s="1"/>
  <c r="AC438" i="7" s="1"/>
  <c r="AC437" i="7" s="1"/>
  <c r="AC436" i="7" s="1"/>
  <c r="AC435" i="7" s="1"/>
  <c r="AC434" i="7" s="1"/>
  <c r="AC433" i="7" s="1"/>
  <c r="AC432" i="7" s="1"/>
  <c r="AC431" i="7" s="1"/>
  <c r="AC430" i="7" s="1"/>
  <c r="AC429" i="7" s="1"/>
  <c r="AF442" i="7"/>
  <c r="AF441" i="7" s="1"/>
  <c r="AF440" i="7" s="1"/>
  <c r="AF439" i="7" s="1"/>
  <c r="AF438" i="7" s="1"/>
  <c r="AF437" i="7" s="1"/>
  <c r="AF436" i="7" s="1"/>
  <c r="AF435" i="7" s="1"/>
  <c r="AF434" i="7" s="1"/>
  <c r="AF433" i="7" s="1"/>
  <c r="AF432" i="7" s="1"/>
  <c r="AF431" i="7" s="1"/>
  <c r="AF430" i="7" s="1"/>
  <c r="AF429" i="7" s="1"/>
  <c r="DA43" i="5"/>
  <c r="CU42" i="5"/>
  <c r="AD71" i="14"/>
  <c r="G35" i="19"/>
  <c r="G8" i="29"/>
  <c r="G7" i="29" s="1"/>
  <c r="F8" i="29"/>
  <c r="F7" i="29"/>
  <c r="F6" i="29"/>
  <c r="F5" i="29"/>
  <c r="F4" i="29"/>
  <c r="AY14" i="5"/>
  <c r="AX14" i="5"/>
  <c r="AW14" i="5"/>
  <c r="AQ14" i="5"/>
  <c r="AP14" i="5"/>
  <c r="AO14" i="5"/>
  <c r="AM14" i="5"/>
  <c r="AL14" i="5"/>
  <c r="AK14" i="5"/>
  <c r="AJ14" i="5"/>
  <c r="AI14" i="5"/>
  <c r="AH14" i="5"/>
  <c r="H25" i="28"/>
  <c r="H11" i="28" s="1"/>
  <c r="I11" i="28" s="1"/>
  <c r="M14" i="5" s="1"/>
  <c r="BV222" i="5"/>
  <c r="BV221" i="5"/>
  <c r="BV220" i="5"/>
  <c r="BV219" i="5"/>
  <c r="BV218" i="5"/>
  <c r="BO222" i="5"/>
  <c r="BO221" i="5"/>
  <c r="BO220" i="5"/>
  <c r="BO219" i="5"/>
  <c r="BO218" i="5"/>
  <c r="BC112" i="21"/>
  <c r="BC72" i="21"/>
  <c r="BC71" i="21"/>
  <c r="BC43" i="21"/>
  <c r="BC42" i="21"/>
  <c r="M807" i="9"/>
  <c r="R807" i="9" s="1"/>
  <c r="J4" i="19"/>
  <c r="EM92" i="5"/>
  <c r="EM93" i="5"/>
  <c r="EM91" i="5"/>
  <c r="EM98" i="5"/>
  <c r="BC18" i="21"/>
  <c r="EN76" i="5"/>
  <c r="EN77" i="5"/>
  <c r="I23" i="28"/>
  <c r="FD77" i="5" s="1"/>
  <c r="I22" i="28"/>
  <c r="FE76" i="5" s="1"/>
  <c r="H23" i="28"/>
  <c r="H22" i="28"/>
  <c r="G23" i="28"/>
  <c r="G22" i="28"/>
  <c r="AG14" i="5"/>
  <c r="AF14" i="5"/>
  <c r="AE14" i="5"/>
  <c r="AD14" i="5"/>
  <c r="AC14" i="5"/>
  <c r="L14" i="5"/>
  <c r="I16" i="28"/>
  <c r="R14" i="5" s="1"/>
  <c r="I15" i="28"/>
  <c r="Q14" i="5" s="1"/>
  <c r="I14" i="28"/>
  <c r="P14" i="5" s="1"/>
  <c r="J19" i="28"/>
  <c r="BH14" i="5" s="1"/>
  <c r="AN14" i="5"/>
  <c r="BI14" i="5"/>
  <c r="BL14" i="5"/>
  <c r="J23" i="28"/>
  <c r="EZ77" i="5" s="1"/>
  <c r="J22" i="28"/>
  <c r="EZ76" i="5" s="1"/>
  <c r="J21" i="28"/>
  <c r="BN14" i="5" s="1"/>
  <c r="J20" i="28"/>
  <c r="BK14" i="5" s="1"/>
  <c r="BF14" i="5"/>
  <c r="AB14" i="5"/>
  <c r="FQ6" i="5"/>
  <c r="FQ7" i="5"/>
  <c r="FR7" i="5"/>
  <c r="FS7" i="5" s="1"/>
  <c r="FQ8" i="5"/>
  <c r="FQ9" i="5"/>
  <c r="FQ10" i="5"/>
  <c r="FR10" i="5"/>
  <c r="FS10" i="5" s="1"/>
  <c r="FS11" i="5"/>
  <c r="FQ13" i="5"/>
  <c r="FQ14" i="5"/>
  <c r="FQ16" i="5"/>
  <c r="FQ17" i="5"/>
  <c r="FQ18" i="5"/>
  <c r="FQ19" i="5"/>
  <c r="FQ20" i="5"/>
  <c r="FQ21" i="5"/>
  <c r="FQ22" i="5"/>
  <c r="FQ24" i="5"/>
  <c r="FQ25" i="5"/>
  <c r="FQ27" i="5"/>
  <c r="FA28" i="5"/>
  <c r="FQ28" i="5"/>
  <c r="FA29" i="5"/>
  <c r="FS29" i="5"/>
  <c r="FA30" i="5"/>
  <c r="FQ30" i="5"/>
  <c r="FA31" i="5"/>
  <c r="FQ31" i="5"/>
  <c r="FA32" i="5"/>
  <c r="FQ32" i="5"/>
  <c r="FA33" i="5"/>
  <c r="FS33" i="5"/>
  <c r="FA34" i="5"/>
  <c r="FS34" i="5"/>
  <c r="FA35" i="5"/>
  <c r="FQ35" i="5"/>
  <c r="FA36" i="5"/>
  <c r="FS36" i="5"/>
  <c r="FA37" i="5"/>
  <c r="FS37" i="5"/>
  <c r="FA38" i="5"/>
  <c r="FS38" i="5"/>
  <c r="FA39" i="5"/>
  <c r="FS39" i="5"/>
  <c r="FA40" i="5"/>
  <c r="FQ40" i="5"/>
  <c r="FA41" i="5"/>
  <c r="FQ41" i="5"/>
  <c r="FA42" i="5"/>
  <c r="FQ42" i="5"/>
  <c r="FA43" i="5"/>
  <c r="FQ43" i="5"/>
  <c r="FA44" i="5"/>
  <c r="FQ44" i="5"/>
  <c r="FA45" i="5"/>
  <c r="FS45" i="5"/>
  <c r="FQ47" i="5"/>
  <c r="FQ48" i="5"/>
  <c r="FQ49" i="5"/>
  <c r="FQ51" i="5"/>
  <c r="FQ54" i="5"/>
  <c r="FR54" i="5"/>
  <c r="FS54" i="5" s="1"/>
  <c r="FQ55" i="5"/>
  <c r="FQ56" i="5"/>
  <c r="FQ57" i="5"/>
  <c r="FQ58" i="5"/>
  <c r="FQ60" i="5"/>
  <c r="FQ61" i="5"/>
  <c r="FQ62" i="5"/>
  <c r="FQ63" i="5"/>
  <c r="FQ64" i="5"/>
  <c r="FQ65" i="5"/>
  <c r="FQ67" i="5"/>
  <c r="FQ68" i="5"/>
  <c r="FQ69" i="5"/>
  <c r="FQ70" i="5"/>
  <c r="FQ72" i="5"/>
  <c r="FQ73" i="5"/>
  <c r="FQ74" i="5"/>
  <c r="FQ75" i="5"/>
  <c r="FQ76" i="5"/>
  <c r="FQ77" i="5"/>
  <c r="FQ80" i="5"/>
  <c r="FQ82" i="5"/>
  <c r="FQ83" i="5"/>
  <c r="FQ84" i="5"/>
  <c r="FQ85" i="5"/>
  <c r="FQ86" i="5"/>
  <c r="FQ89" i="5"/>
  <c r="FQ90" i="5"/>
  <c r="FQ91" i="5"/>
  <c r="FQ92" i="5"/>
  <c r="FQ93" i="5"/>
  <c r="FQ95" i="5"/>
  <c r="FQ97" i="5"/>
  <c r="FQ98" i="5"/>
  <c r="FQ99" i="5"/>
  <c r="FQ100" i="5"/>
  <c r="FQ101" i="5"/>
  <c r="FQ102" i="5"/>
  <c r="FQ103" i="5"/>
  <c r="FQ104" i="5"/>
  <c r="FS106" i="5"/>
  <c r="FQ107" i="5"/>
  <c r="FQ110" i="5"/>
  <c r="FQ112" i="5"/>
  <c r="FQ113" i="5"/>
  <c r="FQ114" i="5"/>
  <c r="FQ115" i="5"/>
  <c r="FQ117" i="5"/>
  <c r="FQ118" i="5"/>
  <c r="FQ119" i="5"/>
  <c r="FR120" i="5"/>
  <c r="FS120" i="5" s="1"/>
  <c r="FR121" i="5"/>
  <c r="FS121" i="5" s="1"/>
  <c r="FQ122" i="5"/>
  <c r="FQ123" i="5"/>
  <c r="FQ129" i="5"/>
  <c r="FQ130" i="5"/>
  <c r="FQ131" i="5"/>
  <c r="FQ132" i="5"/>
  <c r="FQ133" i="5"/>
  <c r="FQ134" i="5"/>
  <c r="FQ136" i="5"/>
  <c r="FQ137" i="5"/>
  <c r="FQ138" i="5"/>
  <c r="FQ139" i="5"/>
  <c r="FQ141" i="5"/>
  <c r="FQ143" i="5"/>
  <c r="FQ145" i="5"/>
  <c r="FQ146" i="5"/>
  <c r="FQ148" i="5"/>
  <c r="FQ149" i="5"/>
  <c r="FQ150" i="5"/>
  <c r="FQ151" i="5"/>
  <c r="FQ152" i="5"/>
  <c r="FQ153" i="5"/>
  <c r="FQ155" i="5"/>
  <c r="FQ156" i="5"/>
  <c r="FQ157" i="5"/>
  <c r="FQ158" i="5"/>
  <c r="FQ161" i="5"/>
  <c r="FR162" i="5"/>
  <c r="FS162" i="5" s="1"/>
  <c r="FQ163" i="5"/>
  <c r="FQ164" i="5"/>
  <c r="FQ165" i="5"/>
  <c r="FQ166" i="5"/>
  <c r="FQ167" i="5"/>
  <c r="FQ168" i="5"/>
  <c r="FQ169" i="5"/>
  <c r="FQ170" i="5"/>
  <c r="FQ171" i="5"/>
  <c r="FQ172" i="5"/>
  <c r="FQ173" i="5"/>
  <c r="FQ174" i="5"/>
  <c r="FQ175" i="5"/>
  <c r="FQ177" i="5"/>
  <c r="FQ178" i="5"/>
  <c r="FQ179" i="5"/>
  <c r="FQ181" i="5"/>
  <c r="FQ182" i="5"/>
  <c r="FQ184" i="5"/>
  <c r="FQ185" i="5"/>
  <c r="FQ186" i="5"/>
  <c r="FR187" i="5"/>
  <c r="FS187" i="5" s="1"/>
  <c r="FQ188" i="5"/>
  <c r="FQ189" i="5"/>
  <c r="FQ193" i="5"/>
  <c r="FQ194" i="5"/>
  <c r="FQ195" i="5"/>
  <c r="FQ196" i="5"/>
  <c r="FQ197" i="5"/>
  <c r="FR199" i="5"/>
  <c r="FS199" i="5" s="1"/>
  <c r="FR200" i="5"/>
  <c r="FS200" i="5" s="1"/>
  <c r="FQ201" i="5"/>
  <c r="FQ202" i="5"/>
  <c r="FQ203" i="5"/>
  <c r="FQ204" i="5"/>
  <c r="FQ205" i="5"/>
  <c r="FQ206" i="5"/>
  <c r="FQ209" i="5"/>
  <c r="FQ211" i="5"/>
  <c r="FS213" i="5"/>
  <c r="FS217" i="5"/>
  <c r="FQ223" i="5"/>
  <c r="FS224" i="5"/>
  <c r="FQ226" i="5"/>
  <c r="FQ231" i="5"/>
  <c r="FQ232" i="5"/>
  <c r="FQ233" i="5"/>
  <c r="FQ234" i="5"/>
  <c r="FQ235" i="5"/>
  <c r="FQ236" i="5"/>
  <c r="FS237" i="5"/>
  <c r="FQ239" i="5"/>
  <c r="FQ240" i="5"/>
  <c r="FQ242" i="5"/>
  <c r="FQ243" i="5"/>
  <c r="EQ244" i="5"/>
  <c r="ER244" i="5"/>
  <c r="FR244" i="5"/>
  <c r="FS244" i="5" s="1"/>
  <c r="FQ247" i="5"/>
  <c r="FQ250" i="5"/>
  <c r="FQ251" i="5"/>
  <c r="FQ252" i="5"/>
  <c r="FQ253" i="5"/>
  <c r="FQ254" i="5"/>
  <c r="FQ255" i="5"/>
  <c r="FQ256" i="5"/>
  <c r="FQ267" i="5"/>
  <c r="FQ268" i="5"/>
  <c r="FQ269" i="5"/>
  <c r="FQ270" i="5"/>
  <c r="FQ271" i="5"/>
  <c r="FQ272" i="5"/>
  <c r="AE414" i="7"/>
  <c r="AB412" i="7"/>
  <c r="AB411" i="7"/>
  <c r="AB410" i="7"/>
  <c r="AB409" i="7"/>
  <c r="AB408" i="7"/>
  <c r="AB407" i="7"/>
  <c r="AB406" i="7"/>
  <c r="AB405" i="7"/>
  <c r="AB404" i="7"/>
  <c r="AB403" i="7"/>
  <c r="AB402" i="7"/>
  <c r="AB401" i="7"/>
  <c r="AB400" i="7"/>
  <c r="AB399" i="7"/>
  <c r="AB398" i="7"/>
  <c r="AB397" i="7"/>
  <c r="AB396" i="7"/>
  <c r="AB395" i="7"/>
  <c r="AB394" i="7"/>
  <c r="AB393" i="7"/>
  <c r="AB392" i="7"/>
  <c r="AB391" i="7"/>
  <c r="AB390" i="7"/>
  <c r="AB389" i="7"/>
  <c r="AB388" i="7"/>
  <c r="AB387" i="7"/>
  <c r="AB386" i="7"/>
  <c r="AB385" i="7"/>
  <c r="AB384" i="7"/>
  <c r="AB383" i="7"/>
  <c r="AB382" i="7"/>
  <c r="AB381" i="7"/>
  <c r="AB380" i="7"/>
  <c r="AB379" i="7"/>
  <c r="AB378" i="7"/>
  <c r="AB377" i="7"/>
  <c r="AB376" i="7"/>
  <c r="AB375" i="7"/>
  <c r="AB374" i="7"/>
  <c r="AB373" i="7"/>
  <c r="AB372" i="7"/>
  <c r="AB371" i="7"/>
  <c r="AB370" i="7"/>
  <c r="AB369" i="7"/>
  <c r="AB368" i="7"/>
  <c r="AB367" i="7"/>
  <c r="AB366" i="7"/>
  <c r="M509" i="9"/>
  <c r="R509" i="9" s="1"/>
  <c r="G410" i="7"/>
  <c r="L410" i="7" s="1"/>
  <c r="M410" i="7" s="1"/>
  <c r="G385" i="7"/>
  <c r="L385" i="7" s="1"/>
  <c r="M385" i="7" s="1"/>
  <c r="G383" i="7"/>
  <c r="L383" i="7" s="1"/>
  <c r="M383" i="7" s="1"/>
  <c r="G413" i="7"/>
  <c r="L413" i="7" s="1"/>
  <c r="M413" i="7" s="1"/>
  <c r="G401" i="7"/>
  <c r="L401" i="7" s="1"/>
  <c r="M401" i="7" s="1"/>
  <c r="G369" i="7"/>
  <c r="L369" i="7" s="1"/>
  <c r="M369" i="7" s="1"/>
  <c r="G408" i="7"/>
  <c r="L408" i="7" s="1"/>
  <c r="M408" i="7" s="1"/>
  <c r="G382" i="7"/>
  <c r="L382" i="7" s="1"/>
  <c r="M382" i="7" s="1"/>
  <c r="G409" i="7"/>
  <c r="L409" i="7" s="1"/>
  <c r="M409" i="7" s="1"/>
  <c r="AP113" i="5" s="1"/>
  <c r="G400" i="7"/>
  <c r="L400" i="7" s="1"/>
  <c r="M400" i="7" s="1"/>
  <c r="G396" i="7"/>
  <c r="L396" i="7" s="1"/>
  <c r="M396" i="7" s="1"/>
  <c r="D23" i="6" s="1"/>
  <c r="G407" i="7"/>
  <c r="L407" i="7" s="1"/>
  <c r="M407" i="7" s="1"/>
  <c r="G375" i="7"/>
  <c r="L375" i="7" s="1"/>
  <c r="M375" i="7" s="1"/>
  <c r="G372" i="7"/>
  <c r="L372" i="7" s="1"/>
  <c r="M372" i="7" s="1"/>
  <c r="G390" i="7"/>
  <c r="L390" i="7" s="1"/>
  <c r="M390" i="7" s="1"/>
  <c r="G381" i="7"/>
  <c r="L381" i="7" s="1"/>
  <c r="M381" i="7" s="1"/>
  <c r="CI26" i="6" s="1"/>
  <c r="G379" i="7"/>
  <c r="L379" i="7" s="1"/>
  <c r="M379" i="7" s="1"/>
  <c r="G404" i="7"/>
  <c r="L404" i="7" s="1"/>
  <c r="M404" i="7" s="1"/>
  <c r="G373" i="7"/>
  <c r="L373" i="7" s="1"/>
  <c r="M373" i="7" s="1"/>
  <c r="AG89" i="5" s="1"/>
  <c r="G370" i="7"/>
  <c r="L370" i="7" s="1"/>
  <c r="M370" i="7" s="1"/>
  <c r="G403" i="7"/>
  <c r="L403" i="7" s="1"/>
  <c r="M403" i="7" s="1"/>
  <c r="G392" i="7"/>
  <c r="L392" i="7" s="1"/>
  <c r="M392" i="7" s="1"/>
  <c r="D19" i="6" s="1"/>
  <c r="G376" i="7"/>
  <c r="L376" i="7" s="1"/>
  <c r="M376" i="7" s="1"/>
  <c r="AF73" i="5" s="1"/>
  <c r="G402" i="7"/>
  <c r="L402" i="7" s="1"/>
  <c r="M402" i="7" s="1"/>
  <c r="G399" i="7"/>
  <c r="L399" i="7" s="1"/>
  <c r="M399" i="7" s="1"/>
  <c r="G387" i="7"/>
  <c r="L387" i="7" s="1"/>
  <c r="M387" i="7" s="1"/>
  <c r="G406" i="7"/>
  <c r="L406" i="7" s="1"/>
  <c r="M406" i="7" s="1"/>
  <c r="G393" i="7"/>
  <c r="L393" i="7" s="1"/>
  <c r="M393" i="7" s="1"/>
  <c r="D20" i="6" s="1"/>
  <c r="G374" i="7"/>
  <c r="L374" i="7" s="1"/>
  <c r="M374" i="7" s="1"/>
  <c r="G412" i="7"/>
  <c r="L412" i="7" s="1"/>
  <c r="M412" i="7" s="1"/>
  <c r="G395" i="7"/>
  <c r="L395" i="7" s="1"/>
  <c r="M395" i="7" s="1"/>
  <c r="D22" i="6" s="1"/>
  <c r="G380" i="7"/>
  <c r="L380" i="7" s="1"/>
  <c r="M380" i="7" s="1"/>
  <c r="G398" i="7"/>
  <c r="L398" i="7" s="1"/>
  <c r="M398" i="7" s="1"/>
  <c r="D25" i="6" s="1"/>
  <c r="G397" i="7"/>
  <c r="L397" i="7" s="1"/>
  <c r="M397" i="7" s="1"/>
  <c r="D24" i="6" s="1"/>
  <c r="G384" i="7"/>
  <c r="L384" i="7" s="1"/>
  <c r="M384" i="7" s="1"/>
  <c r="G388" i="7"/>
  <c r="L388" i="7" s="1"/>
  <c r="M388" i="7" s="1"/>
  <c r="BV146" i="5" s="1"/>
  <c r="G378" i="7"/>
  <c r="L378" i="7" s="1"/>
  <c r="M378" i="7" s="1"/>
  <c r="CI30" i="6" s="1"/>
  <c r="G366" i="7"/>
  <c r="L366" i="7" s="1"/>
  <c r="M366" i="7" s="1"/>
  <c r="G411" i="7"/>
  <c r="L411" i="7" s="1"/>
  <c r="M411" i="7" s="1"/>
  <c r="G405" i="7"/>
  <c r="L405" i="7" s="1"/>
  <c r="M405" i="7" s="1"/>
  <c r="G377" i="7"/>
  <c r="L377" i="7" s="1"/>
  <c r="M377" i="7" s="1"/>
  <c r="CI28" i="6" s="1"/>
  <c r="G394" i="7"/>
  <c r="L394" i="7" s="1"/>
  <c r="M394" i="7" s="1"/>
  <c r="D21" i="6" s="1"/>
  <c r="G391" i="7"/>
  <c r="L391" i="7" s="1"/>
  <c r="M391" i="7" s="1"/>
  <c r="D18" i="6" s="1"/>
  <c r="G367" i="7"/>
  <c r="L367" i="7" s="1"/>
  <c r="M367" i="7" s="1"/>
  <c r="G389" i="7"/>
  <c r="L389" i="7" s="1"/>
  <c r="M389" i="7" s="1"/>
  <c r="G371" i="7"/>
  <c r="L371" i="7" s="1"/>
  <c r="M371" i="7" s="1"/>
  <c r="G368" i="7"/>
  <c r="L368" i="7" s="1"/>
  <c r="M368" i="7" s="1"/>
  <c r="F28" i="8"/>
  <c r="M1064" i="9"/>
  <c r="R1064" i="9" s="1"/>
  <c r="M1063" i="9"/>
  <c r="R1063" i="9" s="1"/>
  <c r="M1062" i="9"/>
  <c r="R1062" i="9" s="1"/>
  <c r="M1061" i="9"/>
  <c r="R1061" i="9" s="1"/>
  <c r="M1060" i="9"/>
  <c r="R1060" i="9" s="1"/>
  <c r="M1059" i="9"/>
  <c r="R1059" i="9" s="1"/>
  <c r="M1058" i="9"/>
  <c r="R1058" i="9" s="1"/>
  <c r="M1057" i="9"/>
  <c r="R1057" i="9" s="1"/>
  <c r="M1056" i="9"/>
  <c r="R1056" i="9" s="1"/>
  <c r="M1055" i="9"/>
  <c r="R1055" i="9" s="1"/>
  <c r="M808" i="9"/>
  <c r="R808" i="9" s="1"/>
  <c r="M806" i="9"/>
  <c r="R806" i="9" s="1"/>
  <c r="M805" i="9"/>
  <c r="R805" i="9" s="1"/>
  <c r="M804" i="9"/>
  <c r="R804" i="9" s="1"/>
  <c r="M1249" i="9"/>
  <c r="R1249" i="9" s="1"/>
  <c r="M1248" i="9"/>
  <c r="R1248" i="9" s="1"/>
  <c r="M1247" i="9"/>
  <c r="R1247" i="9" s="1"/>
  <c r="M1246" i="9"/>
  <c r="R1246" i="9" s="1"/>
  <c r="M1245" i="9"/>
  <c r="R1245" i="9" s="1"/>
  <c r="M526" i="9"/>
  <c r="R526" i="9" s="1"/>
  <c r="M525" i="9"/>
  <c r="R525" i="9" s="1"/>
  <c r="M524" i="9"/>
  <c r="R524" i="9" s="1"/>
  <c r="M523" i="9"/>
  <c r="R523" i="9" s="1"/>
  <c r="M522" i="9"/>
  <c r="R522" i="9" s="1"/>
  <c r="M521" i="9"/>
  <c r="R521" i="9" s="1"/>
  <c r="M508" i="9"/>
  <c r="R508" i="9" s="1"/>
  <c r="M507" i="9"/>
  <c r="R507" i="9" s="1"/>
  <c r="M506" i="9"/>
  <c r="R506" i="9" s="1"/>
  <c r="M505" i="9"/>
  <c r="R505" i="9" s="1"/>
  <c r="M401" i="9"/>
  <c r="R401" i="9" s="1"/>
  <c r="M400" i="9"/>
  <c r="R400" i="9" s="1"/>
  <c r="M399" i="9"/>
  <c r="R399" i="9" s="1"/>
  <c r="M398" i="9"/>
  <c r="R398" i="9" s="1"/>
  <c r="M397" i="9"/>
  <c r="R397" i="9" s="1"/>
  <c r="M190" i="9"/>
  <c r="R190" i="9" s="1"/>
  <c r="M166" i="9"/>
  <c r="R166" i="9" s="1"/>
  <c r="M165" i="9"/>
  <c r="R165" i="9" s="1"/>
  <c r="M164" i="9"/>
  <c r="R164" i="9" s="1"/>
  <c r="M163" i="9"/>
  <c r="R163" i="9" s="1"/>
  <c r="M162" i="9"/>
  <c r="R162" i="9" s="1"/>
  <c r="M67" i="9"/>
  <c r="R67" i="9" s="1"/>
  <c r="M55" i="9"/>
  <c r="R55" i="9" s="1"/>
  <c r="M52" i="9"/>
  <c r="R52" i="9" s="1"/>
  <c r="M40" i="9"/>
  <c r="R40" i="9" s="1"/>
  <c r="M30" i="9"/>
  <c r="R30" i="9" s="1"/>
  <c r="M22" i="9"/>
  <c r="R22" i="9" s="1"/>
  <c r="M20" i="9"/>
  <c r="R20" i="9" s="1"/>
  <c r="J341" i="7"/>
  <c r="J334" i="7"/>
  <c r="EM36" i="5"/>
  <c r="M1266" i="9"/>
  <c r="R1266" i="9" s="1"/>
  <c r="M1265" i="9"/>
  <c r="R1265" i="9" s="1"/>
  <c r="M1264" i="9"/>
  <c r="R1264" i="9" s="1"/>
  <c r="M1263" i="9"/>
  <c r="R1263" i="9" s="1"/>
  <c r="M1262" i="9"/>
  <c r="R1262" i="9" s="1"/>
  <c r="M1261" i="9"/>
  <c r="R1261" i="9" s="1"/>
  <c r="M1260" i="9"/>
  <c r="R1260" i="9" s="1"/>
  <c r="M1259" i="9"/>
  <c r="R1259" i="9" s="1"/>
  <c r="M1267" i="9"/>
  <c r="R1267" i="9" s="1"/>
  <c r="M1258" i="9"/>
  <c r="R1258" i="9" s="1"/>
  <c r="CT41" i="5"/>
  <c r="CU41" i="5" s="1"/>
  <c r="CT40" i="5"/>
  <c r="CU40" i="5" s="1"/>
  <c r="N63" i="31" l="1"/>
  <c r="IC228" i="5"/>
  <c r="ID228" i="5" s="1"/>
  <c r="ID227" i="5" s="1"/>
  <c r="ID226" i="5" s="1"/>
  <c r="IC225" i="5"/>
  <c r="D34" i="6"/>
  <c r="Z5" i="2"/>
  <c r="AG429" i="7"/>
  <c r="AG425" i="7"/>
  <c r="AG424" i="7" s="1"/>
  <c r="AG423" i="7" s="1"/>
  <c r="AG422" i="7" s="1"/>
  <c r="AG421" i="7" s="1"/>
  <c r="AG420" i="7" s="1"/>
  <c r="AG419" i="7" s="1"/>
  <c r="AG418" i="7" s="1"/>
  <c r="AG417" i="7" s="1"/>
  <c r="AE429" i="7"/>
  <c r="AE425" i="7"/>
  <c r="AE424" i="7" s="1"/>
  <c r="AE423" i="7" s="1"/>
  <c r="AE422" i="7" s="1"/>
  <c r="AE421" i="7" s="1"/>
  <c r="AE420" i="7" s="1"/>
  <c r="AE419" i="7" s="1"/>
  <c r="AE418" i="7" s="1"/>
  <c r="AE417" i="7" s="1"/>
  <c r="AH425" i="7"/>
  <c r="AH424" i="7" s="1"/>
  <c r="AH423" i="7" s="1"/>
  <c r="AH422" i="7" s="1"/>
  <c r="AH421" i="7" s="1"/>
  <c r="AH420" i="7" s="1"/>
  <c r="AH419" i="7" s="1"/>
  <c r="AH418" i="7" s="1"/>
  <c r="AH417" i="7" s="1"/>
  <c r="AC425" i="7"/>
  <c r="AC424" i="7" s="1"/>
  <c r="AC423" i="7" s="1"/>
  <c r="AC422" i="7" s="1"/>
  <c r="AC421" i="7" s="1"/>
  <c r="AC420" i="7" s="1"/>
  <c r="AC419" i="7" s="1"/>
  <c r="AC418" i="7" s="1"/>
  <c r="AC417" i="7" s="1"/>
  <c r="AF425" i="7"/>
  <c r="AF424" i="7" s="1"/>
  <c r="AF423" i="7" s="1"/>
  <c r="AF422" i="7" s="1"/>
  <c r="AF421" i="7" s="1"/>
  <c r="AF420" i="7" s="1"/>
  <c r="AF419" i="7" s="1"/>
  <c r="AF418" i="7" s="1"/>
  <c r="AF417" i="7" s="1"/>
  <c r="AD425" i="7"/>
  <c r="AD424" i="7" s="1"/>
  <c r="AD423" i="7" s="1"/>
  <c r="AD422" i="7" s="1"/>
  <c r="AD421" i="7" s="1"/>
  <c r="AD420" i="7" s="1"/>
  <c r="AD419" i="7" s="1"/>
  <c r="AD418" i="7" s="1"/>
  <c r="AD417" i="7" s="1"/>
  <c r="G6" i="29"/>
  <c r="G5" i="29" s="1"/>
  <c r="G4" i="29" s="1"/>
  <c r="F3" i="29" s="1"/>
  <c r="CI32" i="6"/>
  <c r="CI16" i="6"/>
  <c r="H13" i="28"/>
  <c r="I13" i="28" s="1"/>
  <c r="O14" i="5" s="1"/>
  <c r="H12" i="28"/>
  <c r="I12" i="28" s="1"/>
  <c r="N14" i="5" s="1"/>
  <c r="BF89" i="5"/>
  <c r="BH89" i="5"/>
  <c r="FD76" i="5"/>
  <c r="FE77" i="5"/>
  <c r="V14" i="5"/>
  <c r="DA42" i="5"/>
  <c r="DA41" i="5"/>
  <c r="DA40" i="5"/>
  <c r="CW41" i="5"/>
  <c r="CW40" i="5"/>
  <c r="C3" i="19"/>
  <c r="F27" i="4"/>
  <c r="D12" i="22"/>
  <c r="BC116" i="21"/>
  <c r="BC110" i="21"/>
  <c r="BC106" i="21"/>
  <c r="BC102" i="21"/>
  <c r="BC92" i="21"/>
  <c r="BC91" i="21"/>
  <c r="BC90" i="21"/>
  <c r="BC89" i="21"/>
  <c r="BC85" i="21"/>
  <c r="BC67" i="21"/>
  <c r="BC69" i="21" s="1"/>
  <c r="M70" i="9"/>
  <c r="R70" i="9" s="1"/>
  <c r="M53" i="9"/>
  <c r="R53" i="9" s="1"/>
  <c r="M39" i="9"/>
  <c r="R39" i="9" s="1"/>
  <c r="M35" i="9"/>
  <c r="R35" i="9" s="1"/>
  <c r="M13" i="9"/>
  <c r="R13" i="9" s="1"/>
  <c r="M12" i="9"/>
  <c r="R12" i="9" s="1"/>
  <c r="CP15" i="26"/>
  <c r="BQ15" i="26"/>
  <c r="ID225" i="5" l="1"/>
  <c r="ID224" i="5" s="1"/>
  <c r="ID223" i="5" s="1"/>
  <c r="ID222" i="5" s="1"/>
  <c r="ID221" i="5" s="1"/>
  <c r="ID220" i="5" s="1"/>
  <c r="ID219" i="5" s="1"/>
  <c r="ID218" i="5" s="1"/>
  <c r="ID217" i="5" s="1"/>
  <c r="ID216" i="5" s="1"/>
  <c r="ID215" i="5" s="1"/>
  <c r="ID214" i="5" s="1"/>
  <c r="ID213" i="5" s="1"/>
  <c r="ID212" i="5" s="1"/>
  <c r="ID211" i="5" s="1"/>
  <c r="ID210" i="5" s="1"/>
  <c r="ID209" i="5" s="1"/>
  <c r="ID208" i="5" s="1"/>
  <c r="ID207" i="5" s="1"/>
  <c r="ID206" i="5" s="1"/>
  <c r="ID205" i="5" s="1"/>
  <c r="ID204" i="5" s="1"/>
  <c r="ID203" i="5" s="1"/>
  <c r="ID202" i="5" s="1"/>
  <c r="ID201" i="5" s="1"/>
  <c r="ID200" i="5" s="1"/>
  <c r="ID199" i="5" s="1"/>
  <c r="ID198" i="5" s="1"/>
  <c r="ID197" i="5" s="1"/>
  <c r="ID196" i="5" s="1"/>
  <c r="ID195" i="5" s="1"/>
  <c r="ID194" i="5" s="1"/>
  <c r="ID193" i="5" s="1"/>
  <c r="ID192" i="5" s="1"/>
  <c r="ID191" i="5" s="1"/>
  <c r="ID190" i="5" s="1"/>
  <c r="ID189" i="5" s="1"/>
  <c r="ID188" i="5" s="1"/>
  <c r="ID187" i="5" s="1"/>
  <c r="ID186" i="5" s="1"/>
  <c r="ID185" i="5" s="1"/>
  <c r="ID184" i="5" s="1"/>
  <c r="ID183" i="5" s="1"/>
  <c r="ID182" i="5" s="1"/>
  <c r="ID181" i="5" s="1"/>
  <c r="ID180" i="5" s="1"/>
  <c r="ID179" i="5" s="1"/>
  <c r="ID178" i="5" s="1"/>
  <c r="ID177" i="5" s="1"/>
  <c r="ID176" i="5" s="1"/>
  <c r="ID175" i="5" s="1"/>
  <c r="ID174" i="5" s="1"/>
  <c r="ID173" i="5" s="1"/>
  <c r="ID172" i="5" s="1"/>
  <c r="ID171" i="5" s="1"/>
  <c r="ID170" i="5" s="1"/>
  <c r="ID169" i="5" s="1"/>
  <c r="ID168" i="5" s="1"/>
  <c r="ID167" i="5" s="1"/>
  <c r="ID166" i="5" s="1"/>
  <c r="ID165" i="5" s="1"/>
  <c r="ID164" i="5" s="1"/>
  <c r="ID163" i="5" s="1"/>
  <c r="ID162" i="5" s="1"/>
  <c r="ID161" i="5" s="1"/>
  <c r="ID160" i="5" s="1"/>
  <c r="ID159" i="5" s="1"/>
  <c r="ID158" i="5" s="1"/>
  <c r="ID157" i="5" s="1"/>
  <c r="ID156" i="5" s="1"/>
  <c r="ID155" i="5" s="1"/>
  <c r="ID154" i="5" s="1"/>
  <c r="ID153" i="5" s="1"/>
  <c r="ID152" i="5" s="1"/>
  <c r="ID151" i="5" s="1"/>
  <c r="ID150" i="5" s="1"/>
  <c r="ID149" i="5" s="1"/>
  <c r="ID148" i="5" s="1"/>
  <c r="ID147" i="5" s="1"/>
  <c r="ID146" i="5" s="1"/>
  <c r="ID145" i="5" s="1"/>
  <c r="ID144" i="5" s="1"/>
  <c r="ID143" i="5" s="1"/>
  <c r="ID142" i="5" s="1"/>
  <c r="ID141" i="5" s="1"/>
  <c r="ID140" i="5" s="1"/>
  <c r="ID139" i="5" s="1"/>
  <c r="ID138" i="5" s="1"/>
  <c r="ID137" i="5" s="1"/>
  <c r="ID136" i="5" s="1"/>
  <c r="ID135" i="5" s="1"/>
  <c r="ID134" i="5" s="1"/>
  <c r="ID133" i="5" s="1"/>
  <c r="ID132" i="5" s="1"/>
  <c r="ID131" i="5" s="1"/>
  <c r="ID130" i="5" s="1"/>
  <c r="ID129" i="5" s="1"/>
  <c r="ID128" i="5" s="1"/>
  <c r="ID127" i="5" s="1"/>
  <c r="ID126" i="5" s="1"/>
  <c r="ID125" i="5" s="1"/>
  <c r="ID124" i="5" s="1"/>
  <c r="ID123" i="5" s="1"/>
  <c r="ID122" i="5" s="1"/>
  <c r="ID121" i="5" s="1"/>
  <c r="ID120" i="5" s="1"/>
  <c r="ID119" i="5" s="1"/>
  <c r="ID118" i="5" s="1"/>
  <c r="ID117" i="5" s="1"/>
  <c r="ID116" i="5" s="1"/>
  <c r="ID115" i="5" s="1"/>
  <c r="ID114" i="5" s="1"/>
  <c r="ID113" i="5" s="1"/>
  <c r="ID112" i="5" s="1"/>
  <c r="ID111" i="5" s="1"/>
  <c r="ID110" i="5" s="1"/>
  <c r="ID109" i="5" s="1"/>
  <c r="ID108" i="5" s="1"/>
  <c r="ID107" i="5" s="1"/>
  <c r="ID106" i="5" s="1"/>
  <c r="ID105" i="5" s="1"/>
  <c r="ID104" i="5" s="1"/>
  <c r="ID103" i="5" s="1"/>
  <c r="ID102" i="5" s="1"/>
  <c r="ID101" i="5" s="1"/>
  <c r="ID100" i="5" s="1"/>
  <c r="ID99" i="5" s="1"/>
  <c r="ID98" i="5" s="1"/>
  <c r="ID97" i="5" s="1"/>
  <c r="ID96" i="5" s="1"/>
  <c r="ID95" i="5" s="1"/>
  <c r="ID94" i="5" s="1"/>
  <c r="ID93" i="5" s="1"/>
  <c r="ID92" i="5" s="1"/>
  <c r="ID91" i="5" s="1"/>
  <c r="ID90" i="5" s="1"/>
  <c r="ID89" i="5" s="1"/>
  <c r="ID88" i="5" s="1"/>
  <c r="ID87" i="5" s="1"/>
  <c r="ID86" i="5" s="1"/>
  <c r="ID85" i="5" s="1"/>
  <c r="ID84" i="5" s="1"/>
  <c r="ID83" i="5" s="1"/>
  <c r="ID82" i="5" s="1"/>
  <c r="ID81" i="5" s="1"/>
  <c r="ID80" i="5" s="1"/>
  <c r="ID79" i="5" s="1"/>
  <c r="ID78" i="5" s="1"/>
  <c r="ID77" i="5" s="1"/>
  <c r="ID76" i="5" s="1"/>
  <c r="ID75" i="5" s="1"/>
  <c r="ID74" i="5" s="1"/>
  <c r="ID73" i="5" s="1"/>
  <c r="ID72" i="5" s="1"/>
  <c r="ID71" i="5" s="1"/>
  <c r="ID70" i="5" s="1"/>
  <c r="ID69" i="5" s="1"/>
  <c r="ID68" i="5" s="1"/>
  <c r="ID67" i="5" s="1"/>
  <c r="ID66" i="5" s="1"/>
  <c r="ID65" i="5" s="1"/>
  <c r="ID64" i="5" s="1"/>
  <c r="ID63" i="5" s="1"/>
  <c r="ID62" i="5" s="1"/>
  <c r="ID61" i="5" s="1"/>
  <c r="ID60" i="5" s="1"/>
  <c r="ID59" i="5" s="1"/>
  <c r="ID58" i="5" s="1"/>
  <c r="ID57" i="5" s="1"/>
  <c r="ID56" i="5" s="1"/>
  <c r="ID55" i="5" s="1"/>
  <c r="ID54" i="5" s="1"/>
  <c r="ID53" i="5" s="1"/>
  <c r="ID52" i="5" s="1"/>
  <c r="ID51" i="5" s="1"/>
  <c r="ID50" i="5" s="1"/>
  <c r="ID49" i="5" s="1"/>
  <c r="ID48" i="5" s="1"/>
  <c r="ID47" i="5" s="1"/>
  <c r="ID46" i="5" s="1"/>
  <c r="ID45" i="5" s="1"/>
  <c r="ID44" i="5" s="1"/>
  <c r="ID43" i="5" s="1"/>
  <c r="ID42" i="5" s="1"/>
  <c r="ID41" i="5" s="1"/>
  <c r="ID40" i="5" s="1"/>
  <c r="ID39" i="5" s="1"/>
  <c r="ID38" i="5" s="1"/>
  <c r="ID37" i="5" s="1"/>
  <c r="ID36" i="5" s="1"/>
  <c r="ID35" i="5" s="1"/>
  <c r="ID34" i="5" s="1"/>
  <c r="ID33" i="5" s="1"/>
  <c r="ID32" i="5" s="1"/>
  <c r="ID31" i="5" s="1"/>
  <c r="ID30" i="5" s="1"/>
  <c r="ID29" i="5" s="1"/>
  <c r="ID28" i="5" s="1"/>
  <c r="ID27" i="5" s="1"/>
  <c r="ID26" i="5" s="1"/>
  <c r="ID25" i="5" s="1"/>
  <c r="ID24" i="5" s="1"/>
  <c r="ID23" i="5" s="1"/>
  <c r="ID22" i="5" s="1"/>
  <c r="ID21" i="5" s="1"/>
  <c r="ID20" i="5" s="1"/>
  <c r="ID19" i="5" s="1"/>
  <c r="ID18" i="5" s="1"/>
  <c r="ID17" i="5" s="1"/>
  <c r="ID16" i="5" s="1"/>
  <c r="ID15" i="5" s="1"/>
  <c r="ID14" i="5" s="1"/>
  <c r="ID13" i="5" s="1"/>
  <c r="ID12" i="5" s="1"/>
  <c r="ID11" i="5" s="1"/>
  <c r="ID10" i="5" s="1"/>
  <c r="ID9" i="5" s="1"/>
  <c r="ID8" i="5" s="1"/>
  <c r="ID7" i="5" s="1"/>
  <c r="ID6" i="5" s="1"/>
  <c r="ID5" i="5" s="1"/>
  <c r="ID4" i="5" s="1"/>
  <c r="ID3" i="5" s="1"/>
  <c r="IF3" i="5" s="1"/>
  <c r="IG3" i="5" s="1"/>
  <c r="K34" i="19"/>
  <c r="I34" i="19" s="1"/>
  <c r="K34" i="33"/>
  <c r="I34" i="33" s="1"/>
  <c r="AH413" i="7"/>
  <c r="AH412" i="7" s="1"/>
  <c r="AH411" i="7" s="1"/>
  <c r="AH410" i="7" s="1"/>
  <c r="AH409" i="7" s="1"/>
  <c r="AH408" i="7" s="1"/>
  <c r="AH407" i="7" s="1"/>
  <c r="AH406" i="7" s="1"/>
  <c r="AH405" i="7" s="1"/>
  <c r="AH404" i="7" s="1"/>
  <c r="AH403" i="7" s="1"/>
  <c r="AH402" i="7" s="1"/>
  <c r="AH401" i="7" s="1"/>
  <c r="AH400" i="7" s="1"/>
  <c r="AH399" i="7" s="1"/>
  <c r="AH398" i="7" s="1"/>
  <c r="AH397" i="7" s="1"/>
  <c r="AH396" i="7" s="1"/>
  <c r="AH395" i="7" s="1"/>
  <c r="AH394" i="7" s="1"/>
  <c r="AH393" i="7" s="1"/>
  <c r="AH392" i="7" s="1"/>
  <c r="AH391" i="7" s="1"/>
  <c r="AH390" i="7" s="1"/>
  <c r="AH389" i="7" s="1"/>
  <c r="AH388" i="7" s="1"/>
  <c r="AH387" i="7" s="1"/>
  <c r="AH386" i="7" s="1"/>
  <c r="AH385" i="7" s="1"/>
  <c r="AH384" i="7" s="1"/>
  <c r="AH383" i="7" s="1"/>
  <c r="AH382" i="7" s="1"/>
  <c r="AH381" i="7" s="1"/>
  <c r="AH380" i="7" s="1"/>
  <c r="AH379" i="7" s="1"/>
  <c r="AH378" i="7" s="1"/>
  <c r="AH377" i="7" s="1"/>
  <c r="AH376" i="7" s="1"/>
  <c r="AH375" i="7" s="1"/>
  <c r="AH374" i="7" s="1"/>
  <c r="AH373" i="7" s="1"/>
  <c r="AH372" i="7" s="1"/>
  <c r="AH371" i="7" s="1"/>
  <c r="AH370" i="7" s="1"/>
  <c r="AH369" i="7" s="1"/>
  <c r="AH368" i="7" s="1"/>
  <c r="AH367" i="7" s="1"/>
  <c r="AH366" i="7" s="1"/>
  <c r="AD413" i="7"/>
  <c r="AD412" i="7" s="1"/>
  <c r="AD411" i="7" s="1"/>
  <c r="AD410" i="7" s="1"/>
  <c r="AD409" i="7" s="1"/>
  <c r="AD408" i="7" s="1"/>
  <c r="AD407" i="7" s="1"/>
  <c r="AD406" i="7" s="1"/>
  <c r="AD405" i="7" s="1"/>
  <c r="AD404" i="7" s="1"/>
  <c r="AD403" i="7" s="1"/>
  <c r="AD402" i="7" s="1"/>
  <c r="AD401" i="7" s="1"/>
  <c r="AD400" i="7" s="1"/>
  <c r="AD399" i="7" s="1"/>
  <c r="AD398" i="7" s="1"/>
  <c r="AD397" i="7" s="1"/>
  <c r="AD396" i="7" s="1"/>
  <c r="AD395" i="7" s="1"/>
  <c r="AD394" i="7" s="1"/>
  <c r="AD393" i="7" s="1"/>
  <c r="AD392" i="7" s="1"/>
  <c r="AD391" i="7" s="1"/>
  <c r="AD390" i="7" s="1"/>
  <c r="AD389" i="7" s="1"/>
  <c r="AD388" i="7" s="1"/>
  <c r="AD387" i="7" s="1"/>
  <c r="AD386" i="7" s="1"/>
  <c r="AD385" i="7" s="1"/>
  <c r="AD384" i="7" s="1"/>
  <c r="AD383" i="7" s="1"/>
  <c r="AD382" i="7" s="1"/>
  <c r="AD381" i="7" s="1"/>
  <c r="AD380" i="7" s="1"/>
  <c r="AD379" i="7" s="1"/>
  <c r="AD378" i="7" s="1"/>
  <c r="AD377" i="7" s="1"/>
  <c r="AD376" i="7" s="1"/>
  <c r="AD375" i="7" s="1"/>
  <c r="AD374" i="7" s="1"/>
  <c r="AD373" i="7" s="1"/>
  <c r="AD372" i="7" s="1"/>
  <c r="AD371" i="7" s="1"/>
  <c r="AD370" i="7" s="1"/>
  <c r="AD369" i="7" s="1"/>
  <c r="AD368" i="7" s="1"/>
  <c r="AD367" i="7" s="1"/>
  <c r="AD366" i="7" s="1"/>
  <c r="AE413" i="7"/>
  <c r="AE412" i="7" s="1"/>
  <c r="AE411" i="7" s="1"/>
  <c r="AE410" i="7" s="1"/>
  <c r="AE409" i="7" s="1"/>
  <c r="AE408" i="7" s="1"/>
  <c r="AE407" i="7" s="1"/>
  <c r="AE406" i="7" s="1"/>
  <c r="AE405" i="7" s="1"/>
  <c r="AE404" i="7" s="1"/>
  <c r="AE403" i="7" s="1"/>
  <c r="AE402" i="7" s="1"/>
  <c r="AE401" i="7" s="1"/>
  <c r="AE400" i="7" s="1"/>
  <c r="AE399" i="7" s="1"/>
  <c r="AE398" i="7" s="1"/>
  <c r="AE397" i="7" s="1"/>
  <c r="AE396" i="7" s="1"/>
  <c r="AE395" i="7" s="1"/>
  <c r="AE394" i="7" s="1"/>
  <c r="AE393" i="7" s="1"/>
  <c r="AE392" i="7" s="1"/>
  <c r="AE391" i="7" s="1"/>
  <c r="AE390" i="7" s="1"/>
  <c r="AE389" i="7" s="1"/>
  <c r="AE388" i="7" s="1"/>
  <c r="AE387" i="7" s="1"/>
  <c r="AE386" i="7" s="1"/>
  <c r="AE385" i="7" s="1"/>
  <c r="AE384" i="7" s="1"/>
  <c r="AE383" i="7" s="1"/>
  <c r="AE382" i="7" s="1"/>
  <c r="AE381" i="7" s="1"/>
  <c r="AE380" i="7" s="1"/>
  <c r="AE379" i="7" s="1"/>
  <c r="AE378" i="7" s="1"/>
  <c r="AE377" i="7" s="1"/>
  <c r="AE376" i="7" s="1"/>
  <c r="AE375" i="7" s="1"/>
  <c r="AE374" i="7" s="1"/>
  <c r="AE373" i="7" s="1"/>
  <c r="AE372" i="7" s="1"/>
  <c r="AE371" i="7" s="1"/>
  <c r="AE370" i="7" s="1"/>
  <c r="AE369" i="7" s="1"/>
  <c r="AE368" i="7" s="1"/>
  <c r="AE367" i="7" s="1"/>
  <c r="AE366" i="7" s="1"/>
  <c r="AF413" i="7"/>
  <c r="AF412" i="7" s="1"/>
  <c r="AF411" i="7" s="1"/>
  <c r="AF410" i="7" s="1"/>
  <c r="AF409" i="7" s="1"/>
  <c r="AF408" i="7" s="1"/>
  <c r="AF407" i="7" s="1"/>
  <c r="AF406" i="7" s="1"/>
  <c r="AF405" i="7" s="1"/>
  <c r="AF404" i="7" s="1"/>
  <c r="AF403" i="7" s="1"/>
  <c r="AF402" i="7" s="1"/>
  <c r="AF401" i="7" s="1"/>
  <c r="AF400" i="7" s="1"/>
  <c r="AF399" i="7" s="1"/>
  <c r="AF398" i="7" s="1"/>
  <c r="AF397" i="7" s="1"/>
  <c r="AF396" i="7" s="1"/>
  <c r="AF395" i="7" s="1"/>
  <c r="AF394" i="7" s="1"/>
  <c r="AF393" i="7" s="1"/>
  <c r="AF392" i="7" s="1"/>
  <c r="AF391" i="7" s="1"/>
  <c r="AF390" i="7" s="1"/>
  <c r="AF389" i="7" s="1"/>
  <c r="AF388" i="7" s="1"/>
  <c r="AF387" i="7" s="1"/>
  <c r="AF386" i="7" s="1"/>
  <c r="AF385" i="7" s="1"/>
  <c r="AF384" i="7" s="1"/>
  <c r="AF383" i="7" s="1"/>
  <c r="AF382" i="7" s="1"/>
  <c r="AF381" i="7" s="1"/>
  <c r="AF380" i="7" s="1"/>
  <c r="AF379" i="7" s="1"/>
  <c r="AF378" i="7" s="1"/>
  <c r="AF377" i="7" s="1"/>
  <c r="AF376" i="7" s="1"/>
  <c r="AF375" i="7" s="1"/>
  <c r="AF374" i="7" s="1"/>
  <c r="AF373" i="7" s="1"/>
  <c r="AF372" i="7" s="1"/>
  <c r="AF371" i="7" s="1"/>
  <c r="AF370" i="7" s="1"/>
  <c r="AF369" i="7" s="1"/>
  <c r="AF368" i="7" s="1"/>
  <c r="AF367" i="7" s="1"/>
  <c r="AF366" i="7" s="1"/>
  <c r="AG413" i="7"/>
  <c r="AG412" i="7" s="1"/>
  <c r="AG411" i="7" s="1"/>
  <c r="AG410" i="7" s="1"/>
  <c r="AG409" i="7" s="1"/>
  <c r="AG408" i="7" s="1"/>
  <c r="AG407" i="7" s="1"/>
  <c r="AG406" i="7" s="1"/>
  <c r="AG405" i="7" s="1"/>
  <c r="AG404" i="7" s="1"/>
  <c r="AG403" i="7" s="1"/>
  <c r="AG402" i="7" s="1"/>
  <c r="AG401" i="7" s="1"/>
  <c r="AG400" i="7" s="1"/>
  <c r="AG399" i="7" s="1"/>
  <c r="AG398" i="7" s="1"/>
  <c r="AG397" i="7" s="1"/>
  <c r="AG396" i="7" s="1"/>
  <c r="AG395" i="7" s="1"/>
  <c r="AG394" i="7" s="1"/>
  <c r="AG393" i="7" s="1"/>
  <c r="AG392" i="7" s="1"/>
  <c r="AG391" i="7" s="1"/>
  <c r="AG390" i="7" s="1"/>
  <c r="AG389" i="7" s="1"/>
  <c r="AG388" i="7" s="1"/>
  <c r="AG387" i="7" s="1"/>
  <c r="AG386" i="7" s="1"/>
  <c r="AG385" i="7" s="1"/>
  <c r="AG384" i="7" s="1"/>
  <c r="AG383" i="7" s="1"/>
  <c r="AG382" i="7" s="1"/>
  <c r="AG381" i="7" s="1"/>
  <c r="AG380" i="7" s="1"/>
  <c r="AG379" i="7" s="1"/>
  <c r="AG378" i="7" s="1"/>
  <c r="AG377" i="7" s="1"/>
  <c r="AG376" i="7" s="1"/>
  <c r="AG375" i="7" s="1"/>
  <c r="AG374" i="7" s="1"/>
  <c r="AG373" i="7" s="1"/>
  <c r="AG372" i="7" s="1"/>
  <c r="AG371" i="7" s="1"/>
  <c r="AG370" i="7" s="1"/>
  <c r="AG369" i="7" s="1"/>
  <c r="AG368" i="7" s="1"/>
  <c r="AG367" i="7" s="1"/>
  <c r="AG366" i="7" s="1"/>
  <c r="AC413" i="7"/>
  <c r="AC412" i="7" s="1"/>
  <c r="AC411" i="7" s="1"/>
  <c r="AC410" i="7" s="1"/>
  <c r="AC409" i="7" s="1"/>
  <c r="AC408" i="7" s="1"/>
  <c r="AC407" i="7" s="1"/>
  <c r="AC406" i="7" s="1"/>
  <c r="AC405" i="7" s="1"/>
  <c r="AC404" i="7" s="1"/>
  <c r="AC403" i="7" s="1"/>
  <c r="AC402" i="7" s="1"/>
  <c r="AC401" i="7" s="1"/>
  <c r="AC400" i="7" s="1"/>
  <c r="AC399" i="7" s="1"/>
  <c r="AC398" i="7" s="1"/>
  <c r="AC397" i="7" s="1"/>
  <c r="AC396" i="7" s="1"/>
  <c r="AC395" i="7" s="1"/>
  <c r="AC394" i="7" s="1"/>
  <c r="AC393" i="7" s="1"/>
  <c r="AC392" i="7" s="1"/>
  <c r="AC391" i="7" s="1"/>
  <c r="AC390" i="7" s="1"/>
  <c r="AC389" i="7" s="1"/>
  <c r="AC388" i="7" s="1"/>
  <c r="AC387" i="7" s="1"/>
  <c r="AC386" i="7" s="1"/>
  <c r="AC385" i="7" s="1"/>
  <c r="AC384" i="7" s="1"/>
  <c r="AC383" i="7" s="1"/>
  <c r="AC382" i="7" s="1"/>
  <c r="AC381" i="7" s="1"/>
  <c r="AC380" i="7" s="1"/>
  <c r="AC379" i="7" s="1"/>
  <c r="AC378" i="7" s="1"/>
  <c r="AC377" i="7" s="1"/>
  <c r="AC376" i="7" s="1"/>
  <c r="AC375" i="7" s="1"/>
  <c r="AC374" i="7" s="1"/>
  <c r="AC373" i="7" s="1"/>
  <c r="AC372" i="7" s="1"/>
  <c r="AC371" i="7" s="1"/>
  <c r="AC370" i="7" s="1"/>
  <c r="AC369" i="7" s="1"/>
  <c r="AC368" i="7" s="1"/>
  <c r="AC367" i="7" s="1"/>
  <c r="AC366" i="7" s="1"/>
  <c r="IF4" i="5" l="1"/>
  <c r="IG4" i="5" s="1"/>
  <c r="Z3" i="2"/>
  <c r="Z6" i="2" s="1"/>
  <c r="AC3" i="2"/>
  <c r="AC6" i="2" s="1"/>
  <c r="X5" i="23"/>
  <c r="W5" i="23"/>
  <c r="AE5" i="2" s="1"/>
  <c r="IF5" i="5" l="1"/>
  <c r="IG5" i="5" s="1"/>
  <c r="AE3" i="2"/>
  <c r="AE6" i="2" s="1"/>
  <c r="BJ3" i="11"/>
  <c r="BW11" i="5"/>
  <c r="BW12" i="5" s="1"/>
  <c r="BW13" i="5" s="1"/>
  <c r="BW14" i="5" s="1"/>
  <c r="BW15" i="5" s="1"/>
  <c r="BW16" i="5" s="1"/>
  <c r="BW17" i="5" s="1"/>
  <c r="BW18" i="5" s="1"/>
  <c r="BW19" i="5" s="1"/>
  <c r="BW20" i="5" s="1"/>
  <c r="BW21" i="5" s="1"/>
  <c r="BW22" i="5" s="1"/>
  <c r="BW23" i="5" s="1"/>
  <c r="BW24" i="5" s="1"/>
  <c r="BW25" i="5" s="1"/>
  <c r="BW26" i="5" s="1"/>
  <c r="BW27" i="5" s="1"/>
  <c r="BW28" i="5" s="1"/>
  <c r="BW29" i="5" s="1"/>
  <c r="BW30" i="5" s="1"/>
  <c r="BW31" i="5" s="1"/>
  <c r="BW32" i="5" s="1"/>
  <c r="BW33" i="5" s="1"/>
  <c r="BW34" i="5" s="1"/>
  <c r="BW35" i="5" s="1"/>
  <c r="BW36" i="5" s="1"/>
  <c r="BW37" i="5" s="1"/>
  <c r="BW38" i="5" s="1"/>
  <c r="BW39" i="5" s="1"/>
  <c r="BW40" i="5" s="1"/>
  <c r="BW41" i="5" s="1"/>
  <c r="BW42" i="5" s="1"/>
  <c r="BC21" i="21"/>
  <c r="BC9" i="21"/>
  <c r="IF6" i="5" l="1"/>
  <c r="IF7" i="5" s="1"/>
  <c r="IF8" i="5" s="1"/>
  <c r="D31" i="23"/>
  <c r="IG7" i="5" l="1"/>
  <c r="IG6" i="5"/>
  <c r="IG8" i="5"/>
  <c r="IF9" i="5"/>
  <c r="O70" i="20"/>
  <c r="O67" i="20"/>
  <c r="O75" i="20"/>
  <c r="P75" i="20" s="1"/>
  <c r="O74" i="20"/>
  <c r="O73" i="20"/>
  <c r="O72" i="20"/>
  <c r="O71" i="20"/>
  <c r="O69" i="20"/>
  <c r="O68" i="20"/>
  <c r="O66" i="20"/>
  <c r="O65" i="20"/>
  <c r="O64" i="20"/>
  <c r="F63" i="20"/>
  <c r="IG9" i="5" l="1"/>
  <c r="IF10" i="5"/>
  <c r="R75" i="20"/>
  <c r="R74" i="20" s="1"/>
  <c r="R73" i="20" s="1"/>
  <c r="R72" i="20" s="1"/>
  <c r="R71" i="20" s="1"/>
  <c r="R70" i="20" s="1"/>
  <c r="R69" i="20" s="1"/>
  <c r="R68" i="20" s="1"/>
  <c r="R67" i="20" s="1"/>
  <c r="R66" i="20" s="1"/>
  <c r="R65" i="20" s="1"/>
  <c r="R64" i="20" s="1"/>
  <c r="R63" i="20" s="1"/>
  <c r="P74" i="20"/>
  <c r="P73" i="20" s="1"/>
  <c r="P72" i="20" s="1"/>
  <c r="P71" i="20" s="1"/>
  <c r="P70" i="20" s="1"/>
  <c r="P69" i="20" s="1"/>
  <c r="P68" i="20" s="1"/>
  <c r="P67" i="20" s="1"/>
  <c r="P66" i="20" s="1"/>
  <c r="P65" i="20" s="1"/>
  <c r="P64" i="20" s="1"/>
  <c r="P63" i="20" s="1"/>
  <c r="FT2" i="26"/>
  <c r="FS2" i="26"/>
  <c r="FT1" i="26"/>
  <c r="FS1" i="26"/>
  <c r="IG10" i="5" l="1"/>
  <c r="IF11" i="5"/>
  <c r="B130" i="5"/>
  <c r="B129" i="5"/>
  <c r="B128" i="5"/>
  <c r="B127" i="5"/>
  <c r="B126" i="5"/>
  <c r="B125" i="5"/>
  <c r="V39" i="26"/>
  <c r="W39" i="26" s="1"/>
  <c r="X39" i="26" s="1"/>
  <c r="Y39" i="26" s="1"/>
  <c r="AA39" i="26" s="1"/>
  <c r="AB39" i="26" s="1"/>
  <c r="AC39" i="26" s="1"/>
  <c r="AD39" i="26" s="1"/>
  <c r="AE39" i="26" s="1"/>
  <c r="AG39" i="26" s="1"/>
  <c r="AH39" i="26" s="1"/>
  <c r="AI39" i="26" s="1"/>
  <c r="AJ39" i="26" s="1"/>
  <c r="AK39" i="26" s="1"/>
  <c r="AM39" i="26" s="1"/>
  <c r="AN39" i="26" s="1"/>
  <c r="AO39" i="26" s="1"/>
  <c r="AP39" i="26" s="1"/>
  <c r="AQ39" i="26" s="1"/>
  <c r="AS39" i="26" s="1"/>
  <c r="AT39" i="26" s="1"/>
  <c r="AU39" i="26" s="1"/>
  <c r="AV39" i="26" s="1"/>
  <c r="AW39" i="26" s="1"/>
  <c r="FM32" i="26"/>
  <c r="FM31" i="26"/>
  <c r="FM30" i="26"/>
  <c r="CP24" i="26"/>
  <c r="BQ24" i="26"/>
  <c r="BY24" i="26" s="1"/>
  <c r="FM26" i="26" s="1"/>
  <c r="CP21" i="26"/>
  <c r="BQ21" i="26"/>
  <c r="FM21" i="26" s="1"/>
  <c r="FM39" i="26" s="1"/>
  <c r="J352" i="7"/>
  <c r="J336" i="7"/>
  <c r="J333" i="7"/>
  <c r="J312" i="7"/>
  <c r="J308" i="7"/>
  <c r="J302" i="7"/>
  <c r="J301" i="7"/>
  <c r="J298" i="7"/>
  <c r="J295" i="7"/>
  <c r="J286" i="7"/>
  <c r="J264" i="7"/>
  <c r="J263" i="7"/>
  <c r="J262" i="7"/>
  <c r="J261" i="7"/>
  <c r="J260" i="7"/>
  <c r="J259" i="7"/>
  <c r="J258" i="7"/>
  <c r="J257" i="7"/>
  <c r="J256" i="7"/>
  <c r="J238" i="7"/>
  <c r="J228" i="7"/>
  <c r="J220" i="7"/>
  <c r="J216" i="7"/>
  <c r="J214" i="7"/>
  <c r="J185" i="7"/>
  <c r="J176" i="7"/>
  <c r="J175" i="7"/>
  <c r="J174" i="7"/>
  <c r="J172" i="7"/>
  <c r="J168" i="7"/>
  <c r="J166" i="7"/>
  <c r="J146" i="7"/>
  <c r="J141" i="7"/>
  <c r="J122" i="7"/>
  <c r="J118" i="7"/>
  <c r="J117" i="7"/>
  <c r="J105" i="7"/>
  <c r="J97" i="7"/>
  <c r="J84" i="7"/>
  <c r="J83" i="7"/>
  <c r="J52" i="7"/>
  <c r="J41" i="7"/>
  <c r="J24" i="7"/>
  <c r="J19" i="7"/>
  <c r="J9" i="7"/>
  <c r="AH9" i="5"/>
  <c r="AA35" i="6"/>
  <c r="AA34" i="6"/>
  <c r="AA33" i="6"/>
  <c r="AA32" i="6"/>
  <c r="AA31" i="6"/>
  <c r="AA30" i="6"/>
  <c r="AA29" i="6"/>
  <c r="AA28" i="6"/>
  <c r="AA27" i="6"/>
  <c r="AA26" i="6"/>
  <c r="AA25" i="6"/>
  <c r="AA24" i="6"/>
  <c r="AA23" i="6"/>
  <c r="AA22" i="6"/>
  <c r="AA21" i="6"/>
  <c r="AA20" i="6"/>
  <c r="AA19" i="6"/>
  <c r="AA18" i="6"/>
  <c r="AA17" i="6"/>
  <c r="AA16" i="6"/>
  <c r="AA15" i="6"/>
  <c r="AA14" i="6"/>
  <c r="AA13" i="6"/>
  <c r="AA12" i="6"/>
  <c r="AA11" i="6"/>
  <c r="BC13" i="21"/>
  <c r="AT109" i="14"/>
  <c r="AS109" i="14" s="1"/>
  <c r="AT46" i="14"/>
  <c r="AS46" i="14" s="1"/>
  <c r="AU19" i="14"/>
  <c r="AV19" i="14" s="1"/>
  <c r="AS19" i="14"/>
  <c r="BY35" i="6"/>
  <c r="BZ35" i="6" s="1"/>
  <c r="BY34" i="6"/>
  <c r="BY33" i="6"/>
  <c r="BY32" i="6"/>
  <c r="BY31" i="6"/>
  <c r="BY30" i="6"/>
  <c r="BY29" i="6"/>
  <c r="BY28" i="6"/>
  <c r="BY27" i="6"/>
  <c r="BY26" i="6"/>
  <c r="BY25" i="6"/>
  <c r="BY24" i="6"/>
  <c r="BY23" i="6"/>
  <c r="BY22" i="6"/>
  <c r="BY21" i="6"/>
  <c r="BY20" i="6"/>
  <c r="BY19" i="6"/>
  <c r="BY18" i="6"/>
  <c r="BY17" i="6"/>
  <c r="BY16" i="6"/>
  <c r="BY15" i="6"/>
  <c r="BY14" i="6"/>
  <c r="BY13" i="6"/>
  <c r="BY12" i="6"/>
  <c r="BY11" i="6"/>
  <c r="D328" i="7"/>
  <c r="BV153" i="5"/>
  <c r="E29" i="17"/>
  <c r="E28" i="17"/>
  <c r="E27" i="17"/>
  <c r="E26" i="17"/>
  <c r="E25" i="17"/>
  <c r="E24" i="17"/>
  <c r="E23" i="17"/>
  <c r="E22" i="17"/>
  <c r="U249" i="18"/>
  <c r="V249" i="18" s="1"/>
  <c r="W249" i="18" s="1"/>
  <c r="X249" i="18" s="1"/>
  <c r="Z249" i="18" s="1"/>
  <c r="AA249" i="18" s="1"/>
  <c r="AB249" i="18" s="1"/>
  <c r="AC249" i="18" s="1"/>
  <c r="AD249" i="18" s="1"/>
  <c r="AF249" i="18" s="1"/>
  <c r="AG249" i="18" s="1"/>
  <c r="AH249" i="18" s="1"/>
  <c r="AI249" i="18" s="1"/>
  <c r="AJ249" i="18" s="1"/>
  <c r="AL249" i="18" s="1"/>
  <c r="AM249" i="18" s="1"/>
  <c r="AN249" i="18" s="1"/>
  <c r="AO249" i="18" s="1"/>
  <c r="AP249" i="18" s="1"/>
  <c r="AR249" i="18" s="1"/>
  <c r="AS249" i="18" s="1"/>
  <c r="AT249" i="18" s="1"/>
  <c r="AU249" i="18" s="1"/>
  <c r="AV249" i="18" s="1"/>
  <c r="U207" i="18"/>
  <c r="V207" i="18" s="1"/>
  <c r="W207" i="18" s="1"/>
  <c r="X207" i="18" s="1"/>
  <c r="Z207" i="18" s="1"/>
  <c r="AA207" i="18" s="1"/>
  <c r="AB207" i="18" s="1"/>
  <c r="AC207" i="18" s="1"/>
  <c r="AD207" i="18" s="1"/>
  <c r="AF207" i="18" s="1"/>
  <c r="AG207" i="18" s="1"/>
  <c r="AH207" i="18" s="1"/>
  <c r="AI207" i="18" s="1"/>
  <c r="AJ207" i="18" s="1"/>
  <c r="AL207" i="18" s="1"/>
  <c r="AM207" i="18" s="1"/>
  <c r="AN207" i="18" s="1"/>
  <c r="AO207" i="18" s="1"/>
  <c r="AP207" i="18" s="1"/>
  <c r="AR207" i="18" s="1"/>
  <c r="AS207" i="18" s="1"/>
  <c r="AT207" i="18" s="1"/>
  <c r="AU207" i="18" s="1"/>
  <c r="AV207" i="18" s="1"/>
  <c r="U165" i="18"/>
  <c r="V165" i="18" s="1"/>
  <c r="W165" i="18" s="1"/>
  <c r="X165" i="18" s="1"/>
  <c r="Z165" i="18" s="1"/>
  <c r="AA165" i="18" s="1"/>
  <c r="AB165" i="18" s="1"/>
  <c r="AC165" i="18" s="1"/>
  <c r="AD165" i="18" s="1"/>
  <c r="AF165" i="18" s="1"/>
  <c r="AG165" i="18" s="1"/>
  <c r="AH165" i="18" s="1"/>
  <c r="AI165" i="18" s="1"/>
  <c r="AJ165" i="18" s="1"/>
  <c r="AL165" i="18" s="1"/>
  <c r="AM165" i="18" s="1"/>
  <c r="AN165" i="18" s="1"/>
  <c r="AO165" i="18" s="1"/>
  <c r="AP165" i="18" s="1"/>
  <c r="AR165" i="18" s="1"/>
  <c r="AS165" i="18" s="1"/>
  <c r="AT165" i="18" s="1"/>
  <c r="AU165" i="18" s="1"/>
  <c r="AV165" i="18" s="1"/>
  <c r="U123" i="18"/>
  <c r="V123" i="18" s="1"/>
  <c r="W123" i="18" s="1"/>
  <c r="X123" i="18" s="1"/>
  <c r="Z123" i="18" s="1"/>
  <c r="AA123" i="18" s="1"/>
  <c r="AB123" i="18" s="1"/>
  <c r="AC123" i="18" s="1"/>
  <c r="AD123" i="18" s="1"/>
  <c r="AF123" i="18" s="1"/>
  <c r="AG123" i="18" s="1"/>
  <c r="AH123" i="18" s="1"/>
  <c r="AI123" i="18" s="1"/>
  <c r="AJ123" i="18" s="1"/>
  <c r="AL123" i="18" s="1"/>
  <c r="AM123" i="18" s="1"/>
  <c r="AN123" i="18" s="1"/>
  <c r="AO123" i="18" s="1"/>
  <c r="AP123" i="18" s="1"/>
  <c r="AR123" i="18" s="1"/>
  <c r="AS123" i="18" s="1"/>
  <c r="AT123" i="18" s="1"/>
  <c r="AU123" i="18" s="1"/>
  <c r="AV123" i="18" s="1"/>
  <c r="U39" i="18"/>
  <c r="V39" i="18" s="1"/>
  <c r="W39" i="18" s="1"/>
  <c r="X39" i="18" s="1"/>
  <c r="Z39" i="18" s="1"/>
  <c r="AA39" i="18" s="1"/>
  <c r="AB39" i="18" s="1"/>
  <c r="AC39" i="18" s="1"/>
  <c r="AD39" i="18" s="1"/>
  <c r="AF39" i="18" s="1"/>
  <c r="AG39" i="18" s="1"/>
  <c r="AH39" i="18" s="1"/>
  <c r="AI39" i="18" s="1"/>
  <c r="AJ39" i="18" s="1"/>
  <c r="AL39" i="18" s="1"/>
  <c r="AM39" i="18" s="1"/>
  <c r="AN39" i="18" s="1"/>
  <c r="AO39" i="18" s="1"/>
  <c r="AP39" i="18" s="1"/>
  <c r="AR39" i="18" s="1"/>
  <c r="AS39" i="18" s="1"/>
  <c r="AT39" i="18" s="1"/>
  <c r="AU39" i="18" s="1"/>
  <c r="AV39" i="18" s="1"/>
  <c r="U81" i="18"/>
  <c r="V81" i="18" s="1"/>
  <c r="W81" i="18" s="1"/>
  <c r="X81" i="18" s="1"/>
  <c r="H18" i="4"/>
  <c r="M1101" i="9"/>
  <c r="R1101" i="9" s="1"/>
  <c r="D8" i="6" l="1"/>
  <c r="G6" i="6" s="1"/>
  <c r="IF12" i="5"/>
  <c r="IG11" i="5"/>
  <c r="AU109" i="14"/>
  <c r="AV109" i="14" s="1"/>
  <c r="BZ34" i="6"/>
  <c r="BZ33" i="6" s="1"/>
  <c r="BZ32" i="6" s="1"/>
  <c r="BZ31" i="6" s="1"/>
  <c r="BZ30" i="6" s="1"/>
  <c r="BZ29" i="6" s="1"/>
  <c r="BZ28" i="6" s="1"/>
  <c r="BZ27" i="6" s="1"/>
  <c r="BZ26" i="6" s="1"/>
  <c r="BZ25" i="6" s="1"/>
  <c r="BZ24" i="6" s="1"/>
  <c r="BZ23" i="6" s="1"/>
  <c r="BZ22" i="6" s="1"/>
  <c r="BZ21" i="6" s="1"/>
  <c r="BZ20" i="6" s="1"/>
  <c r="BZ19" i="6" s="1"/>
  <c r="BZ18" i="6" s="1"/>
  <c r="BZ17" i="6" s="1"/>
  <c r="BZ16" i="6" s="1"/>
  <c r="BZ15" i="6" s="1"/>
  <c r="BZ14" i="6" s="1"/>
  <c r="BZ13" i="6" s="1"/>
  <c r="BZ12" i="6" s="1"/>
  <c r="BZ11" i="6" s="1"/>
  <c r="BZ10" i="6" s="1"/>
  <c r="BY21" i="26"/>
  <c r="FM23" i="26" s="1"/>
  <c r="FM41" i="26" s="1"/>
  <c r="FN41" i="26" s="1"/>
  <c r="BU21" i="26"/>
  <c r="FM22" i="26" s="1"/>
  <c r="FM40" i="26" s="1"/>
  <c r="FM24" i="26"/>
  <c r="BU24" i="26"/>
  <c r="FM25" i="26" s="1"/>
  <c r="AU46" i="14"/>
  <c r="AV46" i="14" s="1"/>
  <c r="Z81" i="18"/>
  <c r="AA81" i="18" s="1"/>
  <c r="AB81" i="18" s="1"/>
  <c r="AC81" i="18" s="1"/>
  <c r="AD81" i="18" s="1"/>
  <c r="IG12" i="5" l="1"/>
  <c r="IF13" i="5"/>
  <c r="FN40" i="26"/>
  <c r="FN39" i="26" s="1"/>
  <c r="AF81" i="18"/>
  <c r="AG81" i="18" s="1"/>
  <c r="AH81" i="18" s="1"/>
  <c r="AI81" i="18" s="1"/>
  <c r="AJ81" i="18" s="1"/>
  <c r="IF14" i="5" l="1"/>
  <c r="IG13" i="5"/>
  <c r="AL81" i="18"/>
  <c r="AM81" i="18" s="1"/>
  <c r="AN81" i="18" s="1"/>
  <c r="AO81" i="18" s="1"/>
  <c r="AP81" i="18" s="1"/>
  <c r="IG14" i="5" l="1"/>
  <c r="IF15" i="5"/>
  <c r="AR81" i="18"/>
  <c r="AS81" i="18" s="1"/>
  <c r="AT81" i="18" s="1"/>
  <c r="AU81" i="18" s="1"/>
  <c r="AV81" i="18" s="1"/>
  <c r="IF16" i="5" l="1"/>
  <c r="IG15" i="5"/>
  <c r="BC62" i="21"/>
  <c r="BG61" i="21"/>
  <c r="BI61" i="21" s="1"/>
  <c r="BF61" i="21"/>
  <c r="BH61" i="21" s="1"/>
  <c r="BD61" i="21"/>
  <c r="BB61" i="21"/>
  <c r="BD60" i="21"/>
  <c r="BJ60" i="21" s="1"/>
  <c r="BB60" i="21"/>
  <c r="BJ59" i="21"/>
  <c r="BI59" i="21"/>
  <c r="BH59" i="21"/>
  <c r="BG59" i="21"/>
  <c r="BF59" i="21"/>
  <c r="BE59" i="21"/>
  <c r="BD59" i="21"/>
  <c r="BB59" i="21"/>
  <c r="BJ58" i="21"/>
  <c r="BI58" i="21"/>
  <c r="BH58" i="21"/>
  <c r="BG58" i="21"/>
  <c r="BF58" i="21"/>
  <c r="BE58" i="21"/>
  <c r="BD58" i="21"/>
  <c r="BB58" i="21"/>
  <c r="BJ57" i="21"/>
  <c r="BI57" i="21"/>
  <c r="BH57" i="21"/>
  <c r="BG57" i="21"/>
  <c r="BF57" i="21"/>
  <c r="BE57" i="21"/>
  <c r="BD57" i="21"/>
  <c r="BB57" i="21"/>
  <c r="BJ56" i="21"/>
  <c r="BI56" i="21"/>
  <c r="BH56" i="21"/>
  <c r="BG56" i="21"/>
  <c r="BF56" i="21"/>
  <c r="BE56" i="21"/>
  <c r="BD56" i="21"/>
  <c r="BB56" i="21"/>
  <c r="BC55" i="21"/>
  <c r="BJ53" i="21"/>
  <c r="BH53" i="21"/>
  <c r="BG53" i="21"/>
  <c r="BF53" i="21"/>
  <c r="BD53" i="21"/>
  <c r="BD52" i="21"/>
  <c r="BF52" i="21" s="1"/>
  <c r="BJ61" i="21" s="1"/>
  <c r="BD51" i="21"/>
  <c r="BD50" i="21"/>
  <c r="BJ49" i="21"/>
  <c r="BI49" i="21"/>
  <c r="BH49" i="21"/>
  <c r="BG49" i="21"/>
  <c r="BF49" i="21"/>
  <c r="BD49" i="21"/>
  <c r="BK49" i="21" s="1"/>
  <c r="BJ63" i="21" s="1"/>
  <c r="BK63" i="21" s="1"/>
  <c r="BB49" i="21"/>
  <c r="BJ48" i="21"/>
  <c r="BI48" i="21"/>
  <c r="BH48" i="21"/>
  <c r="BG48" i="21"/>
  <c r="BF48" i="21"/>
  <c r="BD48" i="21"/>
  <c r="BK48" i="21" s="1"/>
  <c r="BJ62" i="21" s="1"/>
  <c r="BB48" i="21"/>
  <c r="BD47" i="21"/>
  <c r="BB47" i="21"/>
  <c r="BD46" i="21"/>
  <c r="BB46" i="21"/>
  <c r="AW61" i="21"/>
  <c r="AY61" i="21" s="1"/>
  <c r="AV61" i="21"/>
  <c r="AX61" i="21" s="1"/>
  <c r="AT61" i="21"/>
  <c r="AR61" i="21"/>
  <c r="AT60" i="21"/>
  <c r="AZ60" i="21" s="1"/>
  <c r="AR60" i="21"/>
  <c r="AZ59" i="21"/>
  <c r="AY59" i="21"/>
  <c r="AX59" i="21"/>
  <c r="AW59" i="21"/>
  <c r="AV59" i="21"/>
  <c r="AU59" i="21"/>
  <c r="AT59" i="21"/>
  <c r="AR59" i="21"/>
  <c r="AZ58" i="21"/>
  <c r="AY58" i="21"/>
  <c r="AX58" i="21"/>
  <c r="AW58" i="21"/>
  <c r="AV58" i="21"/>
  <c r="AU58" i="21"/>
  <c r="AT58" i="21"/>
  <c r="AR58" i="21"/>
  <c r="AZ57" i="21"/>
  <c r="AY57" i="21"/>
  <c r="AX57" i="21"/>
  <c r="AW57" i="21"/>
  <c r="AV57" i="21"/>
  <c r="AU57" i="21"/>
  <c r="AT57" i="21"/>
  <c r="AR57" i="21"/>
  <c r="AZ56" i="21"/>
  <c r="AY56" i="21"/>
  <c r="AX56" i="21"/>
  <c r="AW56" i="21"/>
  <c r="AV56" i="21"/>
  <c r="AU56" i="21"/>
  <c r="AT56" i="21"/>
  <c r="AR56" i="21"/>
  <c r="AZ53" i="21"/>
  <c r="AX53" i="21"/>
  <c r="AW53" i="21"/>
  <c r="AV53" i="21"/>
  <c r="AT53" i="21"/>
  <c r="AT52" i="21"/>
  <c r="AV52" i="21" s="1"/>
  <c r="AZ61" i="21" s="1"/>
  <c r="AT51" i="21"/>
  <c r="AT50" i="21"/>
  <c r="AZ49" i="21"/>
  <c r="AY49" i="21"/>
  <c r="AX49" i="21"/>
  <c r="AW49" i="21"/>
  <c r="AV49" i="21"/>
  <c r="AT49" i="21"/>
  <c r="BA49" i="21" s="1"/>
  <c r="AZ63" i="21" s="1"/>
  <c r="BA63" i="21" s="1"/>
  <c r="AR49" i="21"/>
  <c r="AZ48" i="21"/>
  <c r="AY48" i="21"/>
  <c r="AX48" i="21"/>
  <c r="AW48" i="21"/>
  <c r="AV48" i="21"/>
  <c r="AT48" i="21"/>
  <c r="BA48" i="21" s="1"/>
  <c r="AZ62" i="21" s="1"/>
  <c r="AR48" i="21"/>
  <c r="AT47" i="21"/>
  <c r="AR47" i="21"/>
  <c r="AT46" i="21"/>
  <c r="AR46" i="21"/>
  <c r="AM61" i="21"/>
  <c r="AO61" i="21" s="1"/>
  <c r="AL61" i="21"/>
  <c r="AN61" i="21" s="1"/>
  <c r="AJ61" i="21"/>
  <c r="AH61" i="21"/>
  <c r="AJ60" i="21"/>
  <c r="AP60" i="21" s="1"/>
  <c r="AH60" i="21"/>
  <c r="AP59" i="21"/>
  <c r="AO59" i="21"/>
  <c r="AN59" i="21"/>
  <c r="AM59" i="21"/>
  <c r="AL59" i="21"/>
  <c r="AK59" i="21"/>
  <c r="AJ59" i="21"/>
  <c r="AH59" i="21"/>
  <c r="AP58" i="21"/>
  <c r="AO58" i="21"/>
  <c r="AN58" i="21"/>
  <c r="AM58" i="21"/>
  <c r="AL58" i="21"/>
  <c r="AK58" i="21"/>
  <c r="AJ58" i="21"/>
  <c r="AH58" i="21"/>
  <c r="AP57" i="21"/>
  <c r="AO57" i="21"/>
  <c r="AN57" i="21"/>
  <c r="AM57" i="21"/>
  <c r="AL57" i="21"/>
  <c r="AK57" i="21"/>
  <c r="AJ57" i="21"/>
  <c r="AH57" i="21"/>
  <c r="AP56" i="21"/>
  <c r="AO56" i="21"/>
  <c r="AN56" i="21"/>
  <c r="AM56" i="21"/>
  <c r="AL56" i="21"/>
  <c r="AK56" i="21"/>
  <c r="AJ56" i="21"/>
  <c r="AH56" i="21"/>
  <c r="AP53" i="21"/>
  <c r="AN53" i="21"/>
  <c r="AM53" i="21"/>
  <c r="AL53" i="21"/>
  <c r="AJ53" i="21"/>
  <c r="AJ52" i="21"/>
  <c r="AL52" i="21" s="1"/>
  <c r="AP61" i="21" s="1"/>
  <c r="AJ51" i="21"/>
  <c r="AJ50" i="21"/>
  <c r="AP49" i="21"/>
  <c r="AO49" i="21"/>
  <c r="AN49" i="21"/>
  <c r="AM49" i="21"/>
  <c r="AL49" i="21"/>
  <c r="AJ49" i="21"/>
  <c r="AQ49" i="21" s="1"/>
  <c r="AP63" i="21" s="1"/>
  <c r="AQ63" i="21" s="1"/>
  <c r="AH49" i="21"/>
  <c r="AP48" i="21"/>
  <c r="AO48" i="21"/>
  <c r="AN48" i="21"/>
  <c r="AM48" i="21"/>
  <c r="AL48" i="21"/>
  <c r="AJ48" i="21"/>
  <c r="AQ48" i="21" s="1"/>
  <c r="AP62" i="21" s="1"/>
  <c r="AH48" i="21"/>
  <c r="AJ47" i="21"/>
  <c r="AH47" i="21"/>
  <c r="AJ46" i="21"/>
  <c r="AH46" i="21"/>
  <c r="AC61" i="21"/>
  <c r="AE61" i="21" s="1"/>
  <c r="AB61" i="21"/>
  <c r="AD61" i="21" s="1"/>
  <c r="X61" i="21"/>
  <c r="Z60" i="21"/>
  <c r="AF60" i="21" s="1"/>
  <c r="X60" i="21"/>
  <c r="AF59" i="21"/>
  <c r="AE59" i="21"/>
  <c r="AD59" i="21"/>
  <c r="AC59" i="21"/>
  <c r="AB59" i="21"/>
  <c r="AA59" i="21"/>
  <c r="Z59" i="21"/>
  <c r="X59" i="21"/>
  <c r="AF58" i="21"/>
  <c r="AE58" i="21"/>
  <c r="AD58" i="21"/>
  <c r="AC58" i="21"/>
  <c r="AB58" i="21"/>
  <c r="AA58" i="21"/>
  <c r="Z58" i="21"/>
  <c r="X58" i="21"/>
  <c r="AF57" i="21"/>
  <c r="AE57" i="21"/>
  <c r="AD57" i="21"/>
  <c r="AC57" i="21"/>
  <c r="AA57" i="21"/>
  <c r="X57" i="21"/>
  <c r="AF56" i="21"/>
  <c r="AC56" i="21"/>
  <c r="AA56" i="21"/>
  <c r="X56" i="21"/>
  <c r="AF53" i="21"/>
  <c r="AD53" i="21"/>
  <c r="AC53" i="21"/>
  <c r="AB53" i="21"/>
  <c r="Z53" i="21"/>
  <c r="Z52" i="21"/>
  <c r="AB52" i="21" s="1"/>
  <c r="AF61" i="21" s="1"/>
  <c r="Z51" i="21"/>
  <c r="Z50" i="21"/>
  <c r="AF49" i="21"/>
  <c r="AE49" i="21"/>
  <c r="AD49" i="21"/>
  <c r="AC49" i="21"/>
  <c r="AB49" i="21"/>
  <c r="Z49" i="21"/>
  <c r="AG49" i="21" s="1"/>
  <c r="AF63" i="21" s="1"/>
  <c r="AG63" i="21" s="1"/>
  <c r="X49" i="21"/>
  <c r="AF48" i="21"/>
  <c r="AE48" i="21"/>
  <c r="AD48" i="21"/>
  <c r="AC48" i="21"/>
  <c r="AB48" i="21"/>
  <c r="Z48" i="21"/>
  <c r="AG48" i="21" s="1"/>
  <c r="AF62" i="21" s="1"/>
  <c r="X48" i="21"/>
  <c r="Z47" i="21"/>
  <c r="X47" i="21"/>
  <c r="Z46" i="21"/>
  <c r="X46" i="21"/>
  <c r="N61" i="21"/>
  <c r="P60" i="21"/>
  <c r="V60" i="21" s="1"/>
  <c r="N60" i="21"/>
  <c r="V59" i="21"/>
  <c r="U59" i="21"/>
  <c r="T59" i="21"/>
  <c r="S59" i="21"/>
  <c r="R59" i="21"/>
  <c r="Q59" i="21"/>
  <c r="P59" i="21"/>
  <c r="N59" i="21"/>
  <c r="V58" i="21"/>
  <c r="U58" i="21"/>
  <c r="T58" i="21"/>
  <c r="S58" i="21"/>
  <c r="R58" i="21"/>
  <c r="Q58" i="21"/>
  <c r="N58" i="21"/>
  <c r="V57" i="21"/>
  <c r="U57" i="21"/>
  <c r="T57" i="21"/>
  <c r="S57" i="21"/>
  <c r="R57" i="21"/>
  <c r="Q57" i="21"/>
  <c r="N57" i="21"/>
  <c r="U56" i="21"/>
  <c r="T56" i="21"/>
  <c r="S56" i="21"/>
  <c r="Q56" i="21"/>
  <c r="N56" i="21"/>
  <c r="V53" i="21"/>
  <c r="T53" i="21"/>
  <c r="S53" i="21"/>
  <c r="R53" i="21"/>
  <c r="P52" i="21"/>
  <c r="R52" i="21" s="1"/>
  <c r="V61" i="21" s="1"/>
  <c r="P51" i="21"/>
  <c r="V49" i="21"/>
  <c r="U49" i="21"/>
  <c r="T49" i="21"/>
  <c r="S49" i="21"/>
  <c r="R49" i="21"/>
  <c r="P49" i="21"/>
  <c r="W49" i="21" s="1"/>
  <c r="V63" i="21" s="1"/>
  <c r="W63" i="21" s="1"/>
  <c r="N49" i="21"/>
  <c r="U48" i="21"/>
  <c r="T48" i="21"/>
  <c r="S48" i="21"/>
  <c r="R48" i="21"/>
  <c r="N48" i="21"/>
  <c r="P47" i="21"/>
  <c r="N47" i="21"/>
  <c r="P46" i="21"/>
  <c r="N46" i="21"/>
  <c r="P58" i="21" l="1"/>
  <c r="P57" i="21"/>
  <c r="AS55" i="21"/>
  <c r="IG16" i="5"/>
  <c r="IF17" i="5"/>
  <c r="Z61" i="21"/>
  <c r="AI55" i="21"/>
  <c r="Y55" i="21"/>
  <c r="AG62" i="21"/>
  <c r="AG61" i="21" s="1"/>
  <c r="AG60" i="21" s="1"/>
  <c r="AG59" i="21" s="1"/>
  <c r="AG58" i="21" s="1"/>
  <c r="AG57" i="21" s="1"/>
  <c r="AG56" i="21" s="1"/>
  <c r="BK62" i="21"/>
  <c r="BK61" i="21" s="1"/>
  <c r="BK60" i="21" s="1"/>
  <c r="BK59" i="21" s="1"/>
  <c r="BK58" i="21" s="1"/>
  <c r="BK57" i="21" s="1"/>
  <c r="BK56" i="21" s="1"/>
  <c r="BA62" i="21"/>
  <c r="BA61" i="21" s="1"/>
  <c r="BA60" i="21" s="1"/>
  <c r="BA59" i="21" s="1"/>
  <c r="BA58" i="21" s="1"/>
  <c r="BA57" i="21" s="1"/>
  <c r="BA56" i="21" s="1"/>
  <c r="AQ62" i="21"/>
  <c r="AQ61" i="21" s="1"/>
  <c r="AQ60" i="21" s="1"/>
  <c r="AQ59" i="21" s="1"/>
  <c r="AQ58" i="21" s="1"/>
  <c r="AQ57" i="21" s="1"/>
  <c r="AQ56" i="21" s="1"/>
  <c r="S87" i="23"/>
  <c r="Q29" i="14"/>
  <c r="Q30" i="14"/>
  <c r="P35" i="14"/>
  <c r="Q35" i="14" s="1"/>
  <c r="Q37" i="14"/>
  <c r="Q40" i="14"/>
  <c r="Q41" i="14"/>
  <c r="Q44" i="14"/>
  <c r="Q45" i="14"/>
  <c r="Q46" i="14"/>
  <c r="Q47" i="14"/>
  <c r="Q49" i="14"/>
  <c r="Q61" i="14"/>
  <c r="Q62" i="14"/>
  <c r="Q63" i="14"/>
  <c r="Q64" i="14"/>
  <c r="Q65" i="14"/>
  <c r="Q66" i="14"/>
  <c r="Q67" i="14"/>
  <c r="Q68" i="14"/>
  <c r="Q69" i="14"/>
  <c r="Q70" i="14"/>
  <c r="I61" i="21"/>
  <c r="K61" i="21" s="1"/>
  <c r="H61" i="21"/>
  <c r="J61" i="21" s="1"/>
  <c r="D52" i="22"/>
  <c r="D51" i="22"/>
  <c r="D50" i="22"/>
  <c r="D49" i="22"/>
  <c r="D48" i="22"/>
  <c r="D47" i="22"/>
  <c r="D46" i="22"/>
  <c r="D45" i="22"/>
  <c r="D44" i="22"/>
  <c r="N27" i="6" s="1"/>
  <c r="D43" i="22"/>
  <c r="D42" i="22"/>
  <c r="D41" i="22"/>
  <c r="N24" i="6" s="1"/>
  <c r="D40" i="22"/>
  <c r="N23" i="6" s="1"/>
  <c r="D39" i="22"/>
  <c r="N22" i="6" s="1"/>
  <c r="D38" i="22"/>
  <c r="N21" i="6" s="1"/>
  <c r="D37" i="22"/>
  <c r="N20" i="6" s="1"/>
  <c r="D36" i="22"/>
  <c r="N19" i="6" s="1"/>
  <c r="D35" i="22"/>
  <c r="N18" i="6" s="1"/>
  <c r="D34" i="22"/>
  <c r="N17" i="6" s="1"/>
  <c r="D33" i="22"/>
  <c r="N16" i="6" s="1"/>
  <c r="D32" i="22"/>
  <c r="N15" i="6" s="1"/>
  <c r="D31" i="22"/>
  <c r="N14" i="6" s="1"/>
  <c r="D30" i="22"/>
  <c r="N13" i="6" s="1"/>
  <c r="D29" i="22"/>
  <c r="N12" i="6" s="1"/>
  <c r="D28" i="22"/>
  <c r="D5" i="22"/>
  <c r="Z34" i="6"/>
  <c r="Z33" i="6"/>
  <c r="Z32" i="6"/>
  <c r="Z31" i="6"/>
  <c r="Z30" i="6"/>
  <c r="Z29" i="6"/>
  <c r="Z28" i="6"/>
  <c r="Z27" i="6"/>
  <c r="Z26" i="6"/>
  <c r="Z25" i="6"/>
  <c r="Z24" i="6"/>
  <c r="Z23" i="6"/>
  <c r="Z22" i="6"/>
  <c r="Z21" i="6"/>
  <c r="Z20" i="6"/>
  <c r="Z19" i="6"/>
  <c r="Z18" i="6"/>
  <c r="Z17" i="6"/>
  <c r="Z16" i="6"/>
  <c r="Z15" i="6"/>
  <c r="Z14" i="6"/>
  <c r="Z13" i="6"/>
  <c r="Z12" i="6"/>
  <c r="Z11" i="6"/>
  <c r="H29" i="8"/>
  <c r="U20" i="8" s="1"/>
  <c r="I4" i="19"/>
  <c r="H4" i="19"/>
  <c r="I29" i="8"/>
  <c r="J54" i="8"/>
  <c r="J53" i="8"/>
  <c r="J29" i="8"/>
  <c r="J30" i="8"/>
  <c r="N5" i="23"/>
  <c r="M5" i="23"/>
  <c r="L5" i="23"/>
  <c r="J5" i="23"/>
  <c r="I5" i="23"/>
  <c r="AE16" i="23"/>
  <c r="AE15" i="23"/>
  <c r="AE14" i="23"/>
  <c r="AE13" i="23"/>
  <c r="AE12" i="23"/>
  <c r="AE11" i="23"/>
  <c r="AE10" i="23"/>
  <c r="AE9" i="23"/>
  <c r="AE8" i="23"/>
  <c r="AE7" i="23"/>
  <c r="AS67" i="14"/>
  <c r="AU67" i="14"/>
  <c r="AV67" i="14" s="1"/>
  <c r="AS88" i="14"/>
  <c r="AV88" i="14"/>
  <c r="J62" i="8"/>
  <c r="U62" i="8" s="1"/>
  <c r="J61" i="8"/>
  <c r="U61" i="8" s="1"/>
  <c r="J60" i="8"/>
  <c r="U60" i="8" s="1"/>
  <c r="J59" i="8"/>
  <c r="U59" i="8" s="1"/>
  <c r="J58" i="8"/>
  <c r="U58" i="8" s="1"/>
  <c r="J57" i="8"/>
  <c r="U57" i="8" s="1"/>
  <c r="J56" i="8"/>
  <c r="U56" i="8" s="1"/>
  <c r="J55" i="8"/>
  <c r="U55" i="8" s="1"/>
  <c r="CT226" i="14"/>
  <c r="CT225" i="14"/>
  <c r="CT224" i="14"/>
  <c r="CR226" i="14"/>
  <c r="AK4" i="2"/>
  <c r="Y62" i="8" l="1"/>
  <c r="V62" i="8"/>
  <c r="V61" i="8" s="1"/>
  <c r="V60" i="8" s="1"/>
  <c r="V59" i="8" s="1"/>
  <c r="V58" i="8" s="1"/>
  <c r="V57" i="8" s="1"/>
  <c r="V56" i="8" s="1"/>
  <c r="V55" i="8" s="1"/>
  <c r="W62" i="8"/>
  <c r="W61" i="8" s="1"/>
  <c r="W60" i="8" s="1"/>
  <c r="W59" i="8" s="1"/>
  <c r="W58" i="8" s="1"/>
  <c r="W57" i="8" s="1"/>
  <c r="W56" i="8" s="1"/>
  <c r="W55" i="8" s="1"/>
  <c r="X62" i="8"/>
  <c r="X61" i="8" s="1"/>
  <c r="X60" i="8" s="1"/>
  <c r="X59" i="8" s="1"/>
  <c r="X58" i="8" s="1"/>
  <c r="X57" i="8" s="1"/>
  <c r="X56" i="8" s="1"/>
  <c r="X55" i="8" s="1"/>
  <c r="Y61" i="8"/>
  <c r="Y60" i="8" s="1"/>
  <c r="Y59" i="8" s="1"/>
  <c r="Y58" i="8" s="1"/>
  <c r="Y57" i="8" s="1"/>
  <c r="Y56" i="8" s="1"/>
  <c r="Y55" i="8" s="1"/>
  <c r="U30" i="8"/>
  <c r="W30" i="8"/>
  <c r="W29" i="8"/>
  <c r="U29" i="8"/>
  <c r="Q53" i="8"/>
  <c r="U53" i="8"/>
  <c r="Q54" i="8"/>
  <c r="U54" i="8"/>
  <c r="M58" i="8"/>
  <c r="Q58" i="8"/>
  <c r="M62" i="8"/>
  <c r="Q62" i="8"/>
  <c r="M59" i="8"/>
  <c r="Q59" i="8"/>
  <c r="M57" i="8"/>
  <c r="Q57" i="8"/>
  <c r="M61" i="8"/>
  <c r="Q61" i="8"/>
  <c r="M55" i="8"/>
  <c r="Q55" i="8"/>
  <c r="M56" i="8"/>
  <c r="Q56" i="8"/>
  <c r="M60" i="8"/>
  <c r="Q60" i="8"/>
  <c r="IF18" i="5"/>
  <c r="IG17" i="5"/>
  <c r="U87" i="23"/>
  <c r="U86" i="23" s="1"/>
  <c r="N25" i="6"/>
  <c r="N29" i="6"/>
  <c r="N32" i="6"/>
  <c r="N31" i="6"/>
  <c r="F61" i="21"/>
  <c r="M54" i="8"/>
  <c r="S54" i="8" s="1"/>
  <c r="M53" i="8"/>
  <c r="S53" i="8" s="1"/>
  <c r="BC4" i="21"/>
  <c r="C7" i="8"/>
  <c r="J48" i="8"/>
  <c r="A9" i="5"/>
  <c r="H8" i="5"/>
  <c r="H7" i="5"/>
  <c r="H6" i="5"/>
  <c r="H4" i="5"/>
  <c r="H5" i="5"/>
  <c r="BE4" i="21"/>
  <c r="BD4" i="21"/>
  <c r="AU4" i="21"/>
  <c r="AK4" i="21"/>
  <c r="AA4" i="21"/>
  <c r="Q4" i="21"/>
  <c r="G4" i="21"/>
  <c r="AD21" i="24"/>
  <c r="AD22" i="24"/>
  <c r="T31" i="24"/>
  <c r="U31" i="24" s="1"/>
  <c r="T30" i="24"/>
  <c r="T29" i="24"/>
  <c r="T28" i="24"/>
  <c r="T27" i="24"/>
  <c r="T26" i="24"/>
  <c r="T25" i="24"/>
  <c r="T24" i="24"/>
  <c r="T23" i="24"/>
  <c r="T22" i="24"/>
  <c r="T21" i="24"/>
  <c r="T20" i="24"/>
  <c r="T19" i="24"/>
  <c r="T18" i="24"/>
  <c r="T17" i="24"/>
  <c r="T16" i="24"/>
  <c r="T15" i="24"/>
  <c r="T14" i="24"/>
  <c r="T13" i="24"/>
  <c r="T12" i="24"/>
  <c r="T11" i="24"/>
  <c r="T10" i="24"/>
  <c r="T9" i="24"/>
  <c r="T7" i="24"/>
  <c r="T6" i="24"/>
  <c r="T8" i="24"/>
  <c r="J19" i="24"/>
  <c r="K19" i="24" s="1"/>
  <c r="J18" i="24"/>
  <c r="J17" i="24"/>
  <c r="J16" i="24"/>
  <c r="J15" i="24"/>
  <c r="J14" i="24"/>
  <c r="J13" i="24"/>
  <c r="J12" i="24"/>
  <c r="J11" i="24"/>
  <c r="J10" i="24"/>
  <c r="J9" i="24"/>
  <c r="J8" i="24"/>
  <c r="J7" i="24"/>
  <c r="J6" i="24"/>
  <c r="Y54" i="8" l="1"/>
  <c r="Y53" i="8" s="1"/>
  <c r="Y52" i="8" s="1"/>
  <c r="X54" i="8"/>
  <c r="X53" i="8" s="1"/>
  <c r="X52" i="8" s="1"/>
  <c r="W54" i="8"/>
  <c r="W53" i="8" s="1"/>
  <c r="W52" i="8" s="1"/>
  <c r="V54" i="8"/>
  <c r="V53" i="8" s="1"/>
  <c r="U30" i="24"/>
  <c r="U29" i="24" s="1"/>
  <c r="U28" i="24" s="1"/>
  <c r="U27" i="24" s="1"/>
  <c r="U26" i="24" s="1"/>
  <c r="U25" i="24" s="1"/>
  <c r="U24" i="24" s="1"/>
  <c r="U23" i="24" s="1"/>
  <c r="U22" i="24" s="1"/>
  <c r="U21" i="24" s="1"/>
  <c r="U20" i="24" s="1"/>
  <c r="U19" i="24" s="1"/>
  <c r="U18" i="24" s="1"/>
  <c r="U17" i="24" s="1"/>
  <c r="U16" i="24" s="1"/>
  <c r="U15" i="24" s="1"/>
  <c r="U14" i="24" s="1"/>
  <c r="U13" i="24" s="1"/>
  <c r="U12" i="24" s="1"/>
  <c r="U11" i="24" s="1"/>
  <c r="U10" i="24" s="1"/>
  <c r="U9" i="24" s="1"/>
  <c r="U8" i="24" s="1"/>
  <c r="U7" i="24" s="1"/>
  <c r="U6" i="24" s="1"/>
  <c r="T5" i="24" s="1"/>
  <c r="IG18" i="5"/>
  <c r="IF19" i="5"/>
  <c r="I8" i="5"/>
  <c r="K18" i="24"/>
  <c r="K17" i="24" s="1"/>
  <c r="K16" i="24" s="1"/>
  <c r="K15" i="24" s="1"/>
  <c r="K14" i="24" s="1"/>
  <c r="K13" i="24" s="1"/>
  <c r="K12" i="24" s="1"/>
  <c r="K11" i="24" s="1"/>
  <c r="K10" i="24" s="1"/>
  <c r="K9" i="24" s="1"/>
  <c r="K8" i="24" s="1"/>
  <c r="K7" i="24" s="1"/>
  <c r="K6" i="24" s="1"/>
  <c r="I3" i="5"/>
  <c r="I4" i="5"/>
  <c r="I5" i="5"/>
  <c r="I6" i="5"/>
  <c r="I7" i="5"/>
  <c r="EM94" i="5"/>
  <c r="EM79" i="5"/>
  <c r="EM47" i="5"/>
  <c r="EM49" i="5"/>
  <c r="EM16" i="5"/>
  <c r="EM97" i="5"/>
  <c r="EM71" i="5"/>
  <c r="EM68" i="5"/>
  <c r="EM24" i="5"/>
  <c r="EM23" i="5"/>
  <c r="EM78" i="5"/>
  <c r="EM31" i="5"/>
  <c r="EM30" i="5"/>
  <c r="EM77" i="5"/>
  <c r="EM76" i="5"/>
  <c r="EM38" i="5"/>
  <c r="EM37" i="5"/>
  <c r="EM32" i="5"/>
  <c r="EM27" i="5"/>
  <c r="EM29" i="5"/>
  <c r="EM19" i="5"/>
  <c r="EM17" i="5"/>
  <c r="EM25" i="5"/>
  <c r="FF235" i="10" l="1"/>
  <c r="DK235" i="10" s="1"/>
  <c r="IF20" i="5"/>
  <c r="IG19" i="5"/>
  <c r="J5" i="24"/>
  <c r="K5" i="24" s="1"/>
  <c r="DC219" i="10"/>
  <c r="I9" i="5"/>
  <c r="FL209" i="18"/>
  <c r="FM209" i="18" s="1"/>
  <c r="FL208" i="18"/>
  <c r="FL207" i="18"/>
  <c r="FL206" i="18"/>
  <c r="FL205" i="18"/>
  <c r="FL204" i="18"/>
  <c r="FL203" i="18"/>
  <c r="FL202" i="18"/>
  <c r="FL201" i="18"/>
  <c r="FL200" i="18"/>
  <c r="FL199" i="18"/>
  <c r="FL198" i="18"/>
  <c r="FL197" i="18"/>
  <c r="FL196" i="18"/>
  <c r="FL195" i="18"/>
  <c r="FL210" i="18"/>
  <c r="FL32" i="18"/>
  <c r="FL31" i="18"/>
  <c r="FL30" i="18"/>
  <c r="FL116" i="18"/>
  <c r="FL115" i="18"/>
  <c r="FL114" i="18"/>
  <c r="CO234" i="18"/>
  <c r="CO231" i="18"/>
  <c r="CO228" i="18"/>
  <c r="CO225" i="18"/>
  <c r="CO192" i="18"/>
  <c r="CO189" i="18"/>
  <c r="CO186" i="18"/>
  <c r="CO183" i="18"/>
  <c r="CO150" i="18"/>
  <c r="CO147" i="18"/>
  <c r="CO144" i="18"/>
  <c r="CO108" i="18"/>
  <c r="CO66" i="18"/>
  <c r="AQ9" i="18"/>
  <c r="M616" i="9"/>
  <c r="R616" i="9" s="1"/>
  <c r="FF239" i="10" l="1"/>
  <c r="DK239" i="10" s="1"/>
  <c r="B9" i="5"/>
  <c r="G21" i="2" s="1"/>
  <c r="IG20" i="5"/>
  <c r="IF21" i="5"/>
  <c r="FM208" i="18"/>
  <c r="FM207" i="18" s="1"/>
  <c r="FM206" i="18" s="1"/>
  <c r="FM205" i="18" s="1"/>
  <c r="FM204" i="18" s="1"/>
  <c r="FM203" i="18" s="1"/>
  <c r="FM202" i="18" s="1"/>
  <c r="FM201" i="18" s="1"/>
  <c r="FM200" i="18" s="1"/>
  <c r="FM199" i="18" s="1"/>
  <c r="FM198" i="18" s="1"/>
  <c r="FM197" i="18" s="1"/>
  <c r="FM196" i="18" s="1"/>
  <c r="FM195" i="18" s="1"/>
  <c r="G9" i="5"/>
  <c r="G26" i="2" s="1"/>
  <c r="C9" i="5"/>
  <c r="G22" i="2" s="1"/>
  <c r="D9" i="5"/>
  <c r="G23" i="2" s="1"/>
  <c r="E9" i="5"/>
  <c r="G24" i="2" s="1"/>
  <c r="F9" i="5"/>
  <c r="G25" i="2" s="1"/>
  <c r="X33" i="24"/>
  <c r="X32" i="24"/>
  <c r="X31" i="24"/>
  <c r="X30" i="24"/>
  <c r="X29" i="24"/>
  <c r="X28" i="24"/>
  <c r="X27" i="24"/>
  <c r="X26" i="24"/>
  <c r="X25" i="24"/>
  <c r="X24" i="24"/>
  <c r="X23" i="24"/>
  <c r="X20" i="24"/>
  <c r="X19" i="24"/>
  <c r="X18" i="24"/>
  <c r="X17" i="24"/>
  <c r="X16" i="24"/>
  <c r="X15" i="24"/>
  <c r="X14" i="24"/>
  <c r="X13" i="24"/>
  <c r="X12" i="24"/>
  <c r="X11" i="24"/>
  <c r="X10" i="24"/>
  <c r="X9" i="24"/>
  <c r="X8" i="24"/>
  <c r="X7" i="24"/>
  <c r="X6" i="24"/>
  <c r="AR100" i="15"/>
  <c r="AS100" i="15" s="1"/>
  <c r="AO100" i="15"/>
  <c r="AP100" i="15" s="1"/>
  <c r="AR99" i="15"/>
  <c r="AO99" i="15"/>
  <c r="AR98" i="15"/>
  <c r="AO98" i="15"/>
  <c r="E100" i="15"/>
  <c r="Y100" i="15"/>
  <c r="AA100" i="15"/>
  <c r="AC100" i="15"/>
  <c r="AE100" i="15"/>
  <c r="E99" i="15"/>
  <c r="Y99" i="15"/>
  <c r="AA99" i="15"/>
  <c r="AC99" i="15"/>
  <c r="AE99" i="15"/>
  <c r="L49" i="21"/>
  <c r="K49" i="21"/>
  <c r="J49" i="21"/>
  <c r="I49" i="21"/>
  <c r="H49" i="21"/>
  <c r="F49" i="21"/>
  <c r="M49" i="21" s="1"/>
  <c r="L63" i="21" s="1"/>
  <c r="M63" i="21" s="1"/>
  <c r="I48" i="21"/>
  <c r="L48" i="21"/>
  <c r="D49" i="21"/>
  <c r="D48" i="21"/>
  <c r="FF243" i="10" l="1"/>
  <c r="FF247" i="10" s="1"/>
  <c r="IF22" i="5"/>
  <c r="IG21" i="5"/>
  <c r="AP99" i="15"/>
  <c r="AP98" i="15" s="1"/>
  <c r="AS99" i="15"/>
  <c r="AS98" i="15" s="1"/>
  <c r="J22" i="16"/>
  <c r="J21" i="16"/>
  <c r="J20" i="16"/>
  <c r="J19" i="16"/>
  <c r="J18" i="16"/>
  <c r="J17" i="16"/>
  <c r="J16" i="16"/>
  <c r="J15" i="16"/>
  <c r="J14" i="16"/>
  <c r="J13" i="16"/>
  <c r="J12" i="16"/>
  <c r="J11" i="16"/>
  <c r="J10" i="16"/>
  <c r="J9" i="16"/>
  <c r="M997" i="9"/>
  <c r="R997" i="9" s="1"/>
  <c r="AO97" i="15"/>
  <c r="AO96" i="15"/>
  <c r="AO95" i="15"/>
  <c r="AO94" i="15"/>
  <c r="AO93" i="15"/>
  <c r="AO92" i="15"/>
  <c r="AO91" i="15"/>
  <c r="AO90" i="15"/>
  <c r="AO89" i="15"/>
  <c r="AO88" i="15"/>
  <c r="AO87" i="15"/>
  <c r="AO86" i="15"/>
  <c r="AO85" i="15"/>
  <c r="AO84" i="15"/>
  <c r="AO83" i="15"/>
  <c r="AO82" i="15"/>
  <c r="AO81" i="15"/>
  <c r="AO80" i="15"/>
  <c r="AO79" i="15"/>
  <c r="AO78" i="15"/>
  <c r="AO77" i="15"/>
  <c r="AO76" i="15"/>
  <c r="AO75" i="15"/>
  <c r="AO74" i="15"/>
  <c r="AO73" i="15"/>
  <c r="AO72" i="15"/>
  <c r="AO71" i="15"/>
  <c r="AO70" i="15"/>
  <c r="AO69" i="15"/>
  <c r="AO68" i="15"/>
  <c r="AO67" i="15"/>
  <c r="AO66" i="15"/>
  <c r="AO65" i="15"/>
  <c r="AO64" i="15"/>
  <c r="AO63" i="15"/>
  <c r="AO62" i="15"/>
  <c r="AO61" i="15"/>
  <c r="AO60" i="15"/>
  <c r="AO59" i="15"/>
  <c r="AO58" i="15"/>
  <c r="AO57" i="15"/>
  <c r="AO56" i="15"/>
  <c r="AO54" i="15"/>
  <c r="AO53" i="15"/>
  <c r="AO52" i="15"/>
  <c r="AO51" i="15"/>
  <c r="AO50" i="15"/>
  <c r="AO49" i="15"/>
  <c r="AO48" i="15"/>
  <c r="AO47" i="15"/>
  <c r="AO46" i="15"/>
  <c r="AO45" i="15"/>
  <c r="AO44" i="15"/>
  <c r="AO43" i="15"/>
  <c r="AO42" i="15"/>
  <c r="AO41" i="15"/>
  <c r="AO40" i="15"/>
  <c r="AO39" i="15"/>
  <c r="AO38" i="15"/>
  <c r="AO37" i="15"/>
  <c r="AO36" i="15"/>
  <c r="AO35" i="15"/>
  <c r="AO34" i="15"/>
  <c r="AO33" i="15"/>
  <c r="AO32" i="15"/>
  <c r="AO31" i="15"/>
  <c r="AO30" i="15"/>
  <c r="AO29" i="15"/>
  <c r="AO28" i="15"/>
  <c r="AO27" i="15"/>
  <c r="AO26" i="15"/>
  <c r="AO25" i="15"/>
  <c r="AO24" i="15"/>
  <c r="AO23" i="15"/>
  <c r="AO22" i="15"/>
  <c r="AO21" i="15"/>
  <c r="AO20" i="15"/>
  <c r="AO19" i="15"/>
  <c r="AO18" i="15"/>
  <c r="AO17" i="15"/>
  <c r="AO16" i="15"/>
  <c r="AO15" i="15"/>
  <c r="AO14" i="15"/>
  <c r="AO13" i="15"/>
  <c r="AO12" i="15"/>
  <c r="AO11" i="15"/>
  <c r="AO10" i="15"/>
  <c r="AO55" i="15"/>
  <c r="M16" i="17"/>
  <c r="M12" i="17"/>
  <c r="N12" i="17" s="1"/>
  <c r="M11" i="17"/>
  <c r="N11" i="17" s="1"/>
  <c r="M9" i="17"/>
  <c r="N9" i="17" s="1"/>
  <c r="D5" i="8"/>
  <c r="D53" i="8" s="1"/>
  <c r="DK243" i="10" l="1"/>
  <c r="FF251" i="10"/>
  <c r="DK247" i="10"/>
  <c r="IG22" i="5"/>
  <c r="IF23" i="5"/>
  <c r="D55" i="8"/>
  <c r="D56" i="8"/>
  <c r="D57" i="8"/>
  <c r="D58" i="8"/>
  <c r="D54" i="8"/>
  <c r="DG191" i="10"/>
  <c r="M19" i="17"/>
  <c r="N19" i="17" s="1"/>
  <c r="M18" i="17"/>
  <c r="N18" i="17" s="1"/>
  <c r="M17" i="17"/>
  <c r="N17" i="17" s="1"/>
  <c r="N16" i="17"/>
  <c r="M15" i="17"/>
  <c r="N15" i="17" s="1"/>
  <c r="M69" i="17"/>
  <c r="N69" i="17" s="1"/>
  <c r="M68" i="17"/>
  <c r="N68" i="17" s="1"/>
  <c r="M67" i="17"/>
  <c r="N67" i="17" s="1"/>
  <c r="M66" i="17"/>
  <c r="N66" i="17" s="1"/>
  <c r="M65" i="17"/>
  <c r="N65" i="17" s="1"/>
  <c r="M64" i="17"/>
  <c r="N64" i="17" s="1"/>
  <c r="M63" i="17"/>
  <c r="N63" i="17" s="1"/>
  <c r="M62" i="17"/>
  <c r="N62" i="17" s="1"/>
  <c r="M61" i="17"/>
  <c r="N61" i="17" s="1"/>
  <c r="M60" i="17"/>
  <c r="N60" i="17" s="1"/>
  <c r="M59" i="17"/>
  <c r="N59" i="17" s="1"/>
  <c r="M58" i="17"/>
  <c r="N58" i="17" s="1"/>
  <c r="M57" i="17"/>
  <c r="N57" i="17" s="1"/>
  <c r="M56" i="17"/>
  <c r="N56" i="17" s="1"/>
  <c r="M55" i="17"/>
  <c r="N55" i="17" s="1"/>
  <c r="M54" i="17"/>
  <c r="N54" i="17" s="1"/>
  <c r="M53" i="17"/>
  <c r="N53" i="17" s="1"/>
  <c r="M52" i="17"/>
  <c r="N52" i="17" s="1"/>
  <c r="M51" i="17"/>
  <c r="N51" i="17" s="1"/>
  <c r="M50" i="17"/>
  <c r="N50" i="17" s="1"/>
  <c r="M49" i="17"/>
  <c r="N49" i="17" s="1"/>
  <c r="M48" i="17"/>
  <c r="N48" i="17" s="1"/>
  <c r="M47" i="17"/>
  <c r="N47" i="17" s="1"/>
  <c r="M46" i="17"/>
  <c r="N46" i="17" s="1"/>
  <c r="M45" i="17"/>
  <c r="N45" i="17" s="1"/>
  <c r="M44" i="17"/>
  <c r="N44" i="17" s="1"/>
  <c r="M43" i="17"/>
  <c r="N43" i="17" s="1"/>
  <c r="M42" i="17"/>
  <c r="N42" i="17" s="1"/>
  <c r="M41" i="17"/>
  <c r="N41" i="17" s="1"/>
  <c r="M40" i="17"/>
  <c r="N40" i="17" s="1"/>
  <c r="M39" i="17"/>
  <c r="N39" i="17" s="1"/>
  <c r="M38" i="17"/>
  <c r="N38" i="17" s="1"/>
  <c r="M37" i="17"/>
  <c r="N37" i="17" s="1"/>
  <c r="M36" i="17"/>
  <c r="N36" i="17" s="1"/>
  <c r="M35" i="17"/>
  <c r="N35" i="17" s="1"/>
  <c r="M34" i="17"/>
  <c r="N34" i="17" s="1"/>
  <c r="M33" i="17"/>
  <c r="N33" i="17" s="1"/>
  <c r="M32" i="17"/>
  <c r="N32" i="17" s="1"/>
  <c r="M31" i="17"/>
  <c r="N31" i="17" s="1"/>
  <c r="M30" i="17"/>
  <c r="N30" i="17" s="1"/>
  <c r="M29" i="17"/>
  <c r="N29" i="17" s="1"/>
  <c r="M28" i="17"/>
  <c r="N28" i="17" s="1"/>
  <c r="M27" i="17"/>
  <c r="N27" i="17" s="1"/>
  <c r="M26" i="17"/>
  <c r="N26" i="17" s="1"/>
  <c r="M25" i="17"/>
  <c r="N25" i="17" s="1"/>
  <c r="M24" i="17"/>
  <c r="N24" i="17" s="1"/>
  <c r="M23" i="17"/>
  <c r="N23" i="17" s="1"/>
  <c r="M22" i="17"/>
  <c r="N22" i="17" s="1"/>
  <c r="BW7" i="19"/>
  <c r="BW8" i="19" s="1"/>
  <c r="BW9" i="19" s="1"/>
  <c r="BW10" i="19" s="1"/>
  <c r="BW11" i="19" s="1"/>
  <c r="BW12" i="19" s="1"/>
  <c r="BW13" i="19" s="1"/>
  <c r="BW14" i="19" s="1"/>
  <c r="BW15" i="19" s="1"/>
  <c r="BW16" i="19" s="1"/>
  <c r="BW17" i="19" s="1"/>
  <c r="BW18" i="19" s="1"/>
  <c r="BW19" i="19" s="1"/>
  <c r="BW20" i="19" s="1"/>
  <c r="BW21" i="19" s="1"/>
  <c r="BW22" i="19" s="1"/>
  <c r="BW23" i="19" s="1"/>
  <c r="BW24" i="19" s="1"/>
  <c r="BW25" i="19" s="1"/>
  <c r="L53" i="21"/>
  <c r="J53" i="21"/>
  <c r="I53" i="21"/>
  <c r="H53" i="21"/>
  <c r="FF255" i="10" l="1"/>
  <c r="DK251" i="10"/>
  <c r="IF24" i="5"/>
  <c r="IG23" i="5"/>
  <c r="L9" i="19"/>
  <c r="D222" i="18"/>
  <c r="AQ219" i="18"/>
  <c r="D180" i="18"/>
  <c r="AQ177" i="18"/>
  <c r="AQ93" i="18"/>
  <c r="D138" i="18"/>
  <c r="AQ135" i="18"/>
  <c r="D96" i="18"/>
  <c r="D54" i="18"/>
  <c r="D12" i="18"/>
  <c r="AQ51" i="18"/>
  <c r="M1300" i="9"/>
  <c r="R1300" i="9" s="1"/>
  <c r="M1204" i="9"/>
  <c r="R1204" i="9" s="1"/>
  <c r="M1189" i="9"/>
  <c r="R1189" i="9" s="1"/>
  <c r="M1183" i="9"/>
  <c r="R1183" i="9" s="1"/>
  <c r="M1026" i="9"/>
  <c r="R1026" i="9" s="1"/>
  <c r="M1013" i="9"/>
  <c r="R1013" i="9" s="1"/>
  <c r="M1005" i="9"/>
  <c r="R1005" i="9" s="1"/>
  <c r="M953" i="9"/>
  <c r="R953" i="9" s="1"/>
  <c r="M952" i="9"/>
  <c r="R952" i="9" s="1"/>
  <c r="M951" i="9"/>
  <c r="R951" i="9" s="1"/>
  <c r="M950" i="9"/>
  <c r="R950" i="9" s="1"/>
  <c r="M949" i="9"/>
  <c r="R949" i="9" s="1"/>
  <c r="M948" i="9"/>
  <c r="R948" i="9" s="1"/>
  <c r="M920" i="9"/>
  <c r="R920" i="9" s="1"/>
  <c r="M912" i="9"/>
  <c r="R912" i="9" s="1"/>
  <c r="M906" i="9"/>
  <c r="R906" i="9" s="1"/>
  <c r="M875" i="9"/>
  <c r="R875" i="9" s="1"/>
  <c r="M57" i="9"/>
  <c r="M68" i="9"/>
  <c r="R68" i="9" s="1"/>
  <c r="R158" i="9"/>
  <c r="M188" i="9"/>
  <c r="R188" i="9" s="1"/>
  <c r="M355" i="9"/>
  <c r="R355" i="9" s="1"/>
  <c r="M354" i="9"/>
  <c r="R354" i="9" s="1"/>
  <c r="M353" i="9"/>
  <c r="R353" i="9" s="1"/>
  <c r="M196" i="9"/>
  <c r="R196" i="9" s="1"/>
  <c r="M558" i="9"/>
  <c r="R558" i="9" s="1"/>
  <c r="M565" i="9"/>
  <c r="R565" i="9" s="1"/>
  <c r="M839" i="9"/>
  <c r="R839" i="9" s="1"/>
  <c r="M379" i="9"/>
  <c r="R379" i="9" s="1"/>
  <c r="BO7" i="19"/>
  <c r="BO8" i="19" s="1"/>
  <c r="BO9" i="19" s="1"/>
  <c r="BO10" i="19" s="1"/>
  <c r="BO11" i="19" s="1"/>
  <c r="BO12" i="19" s="1"/>
  <c r="BO13" i="19" s="1"/>
  <c r="BO14" i="19" s="1"/>
  <c r="BO15" i="19" s="1"/>
  <c r="BO16" i="19" s="1"/>
  <c r="BO17" i="19" s="1"/>
  <c r="BO18" i="19" s="1"/>
  <c r="BO19" i="19" s="1"/>
  <c r="BO20" i="19" s="1"/>
  <c r="BO21" i="19" s="1"/>
  <c r="BO22" i="19" s="1"/>
  <c r="BO23" i="19" s="1"/>
  <c r="BO24" i="19" s="1"/>
  <c r="BO25" i="19" s="1"/>
  <c r="BG7" i="19"/>
  <c r="BG8" i="19" s="1"/>
  <c r="BG9" i="19" s="1"/>
  <c r="BG10" i="19" s="1"/>
  <c r="BG11" i="19" s="1"/>
  <c r="BG12" i="19" s="1"/>
  <c r="BG13" i="19" s="1"/>
  <c r="BG14" i="19" s="1"/>
  <c r="BG15" i="19" s="1"/>
  <c r="BG16" i="19" s="1"/>
  <c r="BG17" i="19" s="1"/>
  <c r="BG18" i="19" s="1"/>
  <c r="BG19" i="19" s="1"/>
  <c r="BG20" i="19" s="1"/>
  <c r="BG21" i="19" s="1"/>
  <c r="BG22" i="19" s="1"/>
  <c r="BG23" i="19" s="1"/>
  <c r="BG24" i="19" s="1"/>
  <c r="BG25" i="19" s="1"/>
  <c r="AW7" i="19"/>
  <c r="AW8" i="19" s="1"/>
  <c r="AW9" i="19" s="1"/>
  <c r="AW10" i="19" s="1"/>
  <c r="AW11" i="19" s="1"/>
  <c r="AW12" i="19" s="1"/>
  <c r="AW13" i="19" s="1"/>
  <c r="AW14" i="19" s="1"/>
  <c r="AW15" i="19" s="1"/>
  <c r="AW16" i="19" s="1"/>
  <c r="AW17" i="19" s="1"/>
  <c r="AW18" i="19" s="1"/>
  <c r="AW19" i="19" s="1"/>
  <c r="AW20" i="19" s="1"/>
  <c r="AW21" i="19" s="1"/>
  <c r="AW22" i="19" s="1"/>
  <c r="AW23" i="19" s="1"/>
  <c r="AW24" i="19" s="1"/>
  <c r="AW25" i="19" s="1"/>
  <c r="D32" i="23"/>
  <c r="E40" i="23"/>
  <c r="E39" i="23"/>
  <c r="E38" i="23"/>
  <c r="E37" i="23"/>
  <c r="E36" i="23"/>
  <c r="E35" i="23"/>
  <c r="E34" i="23"/>
  <c r="E33" i="23"/>
  <c r="E32" i="23"/>
  <c r="E31" i="23"/>
  <c r="CC8" i="14"/>
  <c r="BA15" i="14"/>
  <c r="M1102" i="9"/>
  <c r="CD4" i="14" l="1"/>
  <c r="FF259" i="10"/>
  <c r="DK259" i="10" s="1"/>
  <c r="DK255" i="10"/>
  <c r="CD3" i="14"/>
  <c r="EW14" i="14" s="1"/>
  <c r="R1102" i="9"/>
  <c r="FG81" i="14"/>
  <c r="R57" i="9"/>
  <c r="IG24" i="5"/>
  <c r="IF25" i="5"/>
  <c r="GC18" i="14"/>
  <c r="GD18" i="14" s="1"/>
  <c r="I39" i="23"/>
  <c r="J39" i="23"/>
  <c r="J40" i="23"/>
  <c r="I40" i="23"/>
  <c r="CD5" i="14"/>
  <c r="EW15" i="14" s="1"/>
  <c r="E63" i="20"/>
  <c r="CD8" i="14"/>
  <c r="G30" i="23"/>
  <c r="CD6" i="14"/>
  <c r="EW13" i="14" s="1"/>
  <c r="CD7" i="14"/>
  <c r="EW16" i="14" s="1"/>
  <c r="CT16" i="5"/>
  <c r="EW11" i="14" l="1"/>
  <c r="EW12" i="14"/>
  <c r="IF26" i="5"/>
  <c r="IG25" i="5"/>
  <c r="CW16" i="5"/>
  <c r="AE98" i="15"/>
  <c r="AF98" i="15" s="1"/>
  <c r="AE97" i="15"/>
  <c r="AE96" i="15"/>
  <c r="AE95" i="15"/>
  <c r="AE94" i="15"/>
  <c r="AE93" i="15"/>
  <c r="AE92" i="15"/>
  <c r="AE91" i="15"/>
  <c r="AE90" i="15"/>
  <c r="AE89" i="15"/>
  <c r="AE88" i="15"/>
  <c r="AE87" i="15"/>
  <c r="AE86" i="15"/>
  <c r="AE85" i="15"/>
  <c r="AE84" i="15"/>
  <c r="AE83" i="15"/>
  <c r="AE82" i="15"/>
  <c r="AE81" i="15"/>
  <c r="AE80" i="15"/>
  <c r="AE79" i="15"/>
  <c r="AE78" i="15"/>
  <c r="AE77" i="15"/>
  <c r="AE76" i="15"/>
  <c r="AE75" i="15"/>
  <c r="AE74" i="15"/>
  <c r="AE73" i="15"/>
  <c r="AE72" i="15"/>
  <c r="AE71" i="15"/>
  <c r="AE70" i="15"/>
  <c r="AE69" i="15"/>
  <c r="AE68" i="15"/>
  <c r="AE67" i="15"/>
  <c r="AE66" i="15"/>
  <c r="AE65" i="15"/>
  <c r="AE64" i="15"/>
  <c r="AE63" i="15"/>
  <c r="AE62" i="15"/>
  <c r="AE61" i="15"/>
  <c r="AE60" i="15"/>
  <c r="AE59" i="15"/>
  <c r="AE58" i="15"/>
  <c r="AE57" i="15"/>
  <c r="AE56" i="15"/>
  <c r="AE55" i="15"/>
  <c r="AE54" i="15"/>
  <c r="AE53" i="15"/>
  <c r="AE52" i="15"/>
  <c r="AE51" i="15"/>
  <c r="AE50" i="15"/>
  <c r="AE49" i="15"/>
  <c r="AE48" i="15"/>
  <c r="AE47" i="15"/>
  <c r="AE46" i="15"/>
  <c r="AE45" i="15"/>
  <c r="AE44" i="15"/>
  <c r="AE43" i="15"/>
  <c r="AE42" i="15"/>
  <c r="AE41" i="15"/>
  <c r="AE40" i="15"/>
  <c r="AE39" i="15"/>
  <c r="AE38" i="15"/>
  <c r="AE37" i="15"/>
  <c r="AE36" i="15"/>
  <c r="AE35" i="15"/>
  <c r="AE34" i="15"/>
  <c r="AE33" i="15"/>
  <c r="AE32" i="15"/>
  <c r="AE31" i="15"/>
  <c r="AE30" i="15"/>
  <c r="AE29" i="15"/>
  <c r="AE28" i="15"/>
  <c r="AE27" i="15"/>
  <c r="AE26" i="15"/>
  <c r="AE25" i="15"/>
  <c r="AE24" i="15"/>
  <c r="AE23" i="15"/>
  <c r="AE22" i="15"/>
  <c r="AE21" i="15"/>
  <c r="AE20" i="15"/>
  <c r="AE19" i="15"/>
  <c r="AE18" i="15"/>
  <c r="AE17" i="15"/>
  <c r="AE16" i="15"/>
  <c r="AE15" i="15"/>
  <c r="AE14" i="15"/>
  <c r="AE13" i="15"/>
  <c r="AE12" i="15"/>
  <c r="AE11" i="15"/>
  <c r="AE10" i="15"/>
  <c r="AC98" i="15"/>
  <c r="AD98" i="15" s="1"/>
  <c r="AC97" i="15"/>
  <c r="AC96" i="15"/>
  <c r="AC95" i="15"/>
  <c r="AC94" i="15"/>
  <c r="AC93" i="15"/>
  <c r="AC92" i="15"/>
  <c r="AC91" i="15"/>
  <c r="AC90" i="15"/>
  <c r="AC89" i="15"/>
  <c r="AC88" i="15"/>
  <c r="AC87" i="15"/>
  <c r="AC86" i="15"/>
  <c r="AC85" i="15"/>
  <c r="AC84" i="15"/>
  <c r="AC83" i="15"/>
  <c r="AC82" i="15"/>
  <c r="AC81" i="15"/>
  <c r="AC80" i="15"/>
  <c r="AC79" i="15"/>
  <c r="AC78" i="15"/>
  <c r="AC77" i="15"/>
  <c r="AC76" i="15"/>
  <c r="AC75" i="15"/>
  <c r="AC74" i="15"/>
  <c r="AC73" i="15"/>
  <c r="AC72" i="15"/>
  <c r="AC71" i="15"/>
  <c r="AC70" i="15"/>
  <c r="AC69" i="15"/>
  <c r="AC68" i="15"/>
  <c r="AC67" i="15"/>
  <c r="AC66" i="15"/>
  <c r="AC65" i="15"/>
  <c r="AC64" i="15"/>
  <c r="AC63" i="15"/>
  <c r="AC62" i="15"/>
  <c r="AC61" i="15"/>
  <c r="AC60" i="15"/>
  <c r="AC59" i="15"/>
  <c r="AC58" i="15"/>
  <c r="AC57" i="15"/>
  <c r="AC56" i="15"/>
  <c r="AC55" i="15"/>
  <c r="AC54" i="15"/>
  <c r="AC53" i="15"/>
  <c r="AC52" i="15"/>
  <c r="AC51" i="15"/>
  <c r="AC50" i="15"/>
  <c r="AC49" i="15"/>
  <c r="AC48" i="15"/>
  <c r="AC47" i="15"/>
  <c r="AC46" i="15"/>
  <c r="AC45" i="15"/>
  <c r="AC44" i="15"/>
  <c r="AC43" i="15"/>
  <c r="AC42" i="15"/>
  <c r="AC41" i="15"/>
  <c r="AC40" i="15"/>
  <c r="AC39" i="15"/>
  <c r="AC38" i="15"/>
  <c r="AC37" i="15"/>
  <c r="AC36" i="15"/>
  <c r="AC35" i="15"/>
  <c r="AC34" i="15"/>
  <c r="AC33" i="15"/>
  <c r="AC32" i="15"/>
  <c r="AC31" i="15"/>
  <c r="AC30" i="15"/>
  <c r="AC29" i="15"/>
  <c r="AC28" i="15"/>
  <c r="AC27" i="15"/>
  <c r="AC26" i="15"/>
  <c r="AC25" i="15"/>
  <c r="AC24" i="15"/>
  <c r="AC23" i="15"/>
  <c r="AC22" i="15"/>
  <c r="AC21" i="15"/>
  <c r="AC20" i="15"/>
  <c r="AC19" i="15"/>
  <c r="AC18" i="15"/>
  <c r="AC17" i="15"/>
  <c r="AC16" i="15"/>
  <c r="AC15" i="15"/>
  <c r="AC14" i="15"/>
  <c r="AC13" i="15"/>
  <c r="AC12" i="15"/>
  <c r="AC11" i="15"/>
  <c r="AC10" i="15"/>
  <c r="AA98" i="15"/>
  <c r="AB98" i="15" s="1"/>
  <c r="AA97" i="15"/>
  <c r="AA96" i="15"/>
  <c r="AA95" i="15"/>
  <c r="AA94" i="15"/>
  <c r="AA93" i="15"/>
  <c r="AA92" i="15"/>
  <c r="AA91" i="15"/>
  <c r="AA90" i="15"/>
  <c r="AA89" i="15"/>
  <c r="AA88" i="15"/>
  <c r="AA87" i="15"/>
  <c r="AA86" i="15"/>
  <c r="AA85" i="15"/>
  <c r="AA84" i="15"/>
  <c r="AA83" i="15"/>
  <c r="AA82" i="15"/>
  <c r="AA81" i="15"/>
  <c r="AA80" i="15"/>
  <c r="AA79" i="15"/>
  <c r="AA78" i="15"/>
  <c r="AA77" i="15"/>
  <c r="AA76" i="15"/>
  <c r="AA75" i="15"/>
  <c r="AA74" i="15"/>
  <c r="AA73" i="15"/>
  <c r="AA72" i="15"/>
  <c r="AA71" i="15"/>
  <c r="AA70" i="15"/>
  <c r="AA69" i="15"/>
  <c r="AA68" i="15"/>
  <c r="AA67" i="15"/>
  <c r="AA66" i="15"/>
  <c r="AA65" i="15"/>
  <c r="AA64" i="15"/>
  <c r="AA63" i="15"/>
  <c r="AA62" i="15"/>
  <c r="AA61" i="15"/>
  <c r="AA60" i="15"/>
  <c r="AA59" i="15"/>
  <c r="AA58" i="15"/>
  <c r="AA57" i="15"/>
  <c r="AA56" i="15"/>
  <c r="AA55" i="15"/>
  <c r="AA54" i="15"/>
  <c r="AA53" i="15"/>
  <c r="AA52" i="15"/>
  <c r="AA51" i="15"/>
  <c r="AA50" i="15"/>
  <c r="AA49" i="15"/>
  <c r="AA48" i="15"/>
  <c r="AA47" i="15"/>
  <c r="AA46" i="15"/>
  <c r="AA45" i="15"/>
  <c r="AA44" i="15"/>
  <c r="AA43" i="15"/>
  <c r="AA42" i="15"/>
  <c r="AA41" i="15"/>
  <c r="AA40" i="15"/>
  <c r="AA39" i="15"/>
  <c r="AA38" i="15"/>
  <c r="AA37" i="15"/>
  <c r="AA36" i="15"/>
  <c r="AA35" i="15"/>
  <c r="AA34" i="15"/>
  <c r="AA33" i="15"/>
  <c r="AA32" i="15"/>
  <c r="AA31" i="15"/>
  <c r="AA30" i="15"/>
  <c r="AA29" i="15"/>
  <c r="AA28" i="15"/>
  <c r="AA27" i="15"/>
  <c r="AA26" i="15"/>
  <c r="AA25" i="15"/>
  <c r="AA24" i="15"/>
  <c r="AA23" i="15"/>
  <c r="AA22" i="15"/>
  <c r="AA21" i="15"/>
  <c r="AA20" i="15"/>
  <c r="AA19" i="15"/>
  <c r="AA18" i="15"/>
  <c r="AA17" i="15"/>
  <c r="AA16" i="15"/>
  <c r="AA15" i="15"/>
  <c r="AA14" i="15"/>
  <c r="AA13" i="15"/>
  <c r="AA12" i="15"/>
  <c r="AA11" i="15"/>
  <c r="AA10" i="15"/>
  <c r="K5" i="15"/>
  <c r="M1139" i="9"/>
  <c r="Y98" i="15"/>
  <c r="Z98" i="15" s="1"/>
  <c r="Y97" i="15"/>
  <c r="Y96" i="15"/>
  <c r="Y95" i="15"/>
  <c r="Y94" i="15"/>
  <c r="Y93" i="15"/>
  <c r="Y92" i="15"/>
  <c r="Y91" i="15"/>
  <c r="Y90" i="15"/>
  <c r="Y89" i="15"/>
  <c r="Y88" i="15"/>
  <c r="Y87" i="15"/>
  <c r="Y86" i="15"/>
  <c r="Y85" i="15"/>
  <c r="Y84" i="15"/>
  <c r="Y83" i="15"/>
  <c r="Y82" i="15"/>
  <c r="Y81" i="15"/>
  <c r="Y80" i="15"/>
  <c r="Y79" i="15"/>
  <c r="Y78" i="15"/>
  <c r="Y77" i="15"/>
  <c r="Y76"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M974" i="9"/>
  <c r="Y10" i="15"/>
  <c r="M604" i="9"/>
  <c r="M93" i="9"/>
  <c r="M85" i="9"/>
  <c r="AR97" i="15"/>
  <c r="AS97" i="15" s="1"/>
  <c r="AR96" i="15"/>
  <c r="AR95" i="15"/>
  <c r="AR94" i="15"/>
  <c r="AR93" i="15"/>
  <c r="AR92" i="15"/>
  <c r="AR91" i="15"/>
  <c r="AR90" i="15"/>
  <c r="AR89" i="15"/>
  <c r="AR88" i="15"/>
  <c r="AR87" i="15"/>
  <c r="AR86" i="15"/>
  <c r="AR85" i="15"/>
  <c r="AR84" i="15"/>
  <c r="AR83" i="15"/>
  <c r="AR82" i="15"/>
  <c r="AR81" i="15"/>
  <c r="AR80" i="15"/>
  <c r="AR79" i="15"/>
  <c r="AR78" i="15"/>
  <c r="AR77" i="15"/>
  <c r="AR76" i="15"/>
  <c r="AR75" i="15"/>
  <c r="AR74" i="15"/>
  <c r="AR73" i="15"/>
  <c r="AR72" i="15"/>
  <c r="AR71" i="15"/>
  <c r="AR70" i="15"/>
  <c r="AR69" i="15"/>
  <c r="AR68" i="15"/>
  <c r="AR67" i="15"/>
  <c r="AR66" i="15"/>
  <c r="AR65" i="15"/>
  <c r="AR64" i="15"/>
  <c r="AR63" i="15"/>
  <c r="AR62" i="15"/>
  <c r="AR61" i="15"/>
  <c r="AR60" i="15"/>
  <c r="AR59" i="15"/>
  <c r="AR58" i="15"/>
  <c r="AR57" i="15"/>
  <c r="AR56" i="15"/>
  <c r="AR55" i="15"/>
  <c r="AR54" i="15"/>
  <c r="AR53" i="15"/>
  <c r="AR52" i="15"/>
  <c r="AR51" i="15"/>
  <c r="AR50" i="15"/>
  <c r="AR49" i="15"/>
  <c r="AR48" i="15"/>
  <c r="AR47" i="15"/>
  <c r="AR46" i="15"/>
  <c r="AR45" i="15"/>
  <c r="AR44" i="15"/>
  <c r="AR43" i="15"/>
  <c r="AR42" i="15"/>
  <c r="AR41" i="15"/>
  <c r="AR40" i="15"/>
  <c r="AR39" i="15"/>
  <c r="AR38" i="15"/>
  <c r="AR37" i="15"/>
  <c r="AR36" i="15"/>
  <c r="AR35" i="15"/>
  <c r="AR34" i="15"/>
  <c r="AR33" i="15"/>
  <c r="AR32" i="15"/>
  <c r="AR31" i="15"/>
  <c r="AR30" i="15"/>
  <c r="AR29" i="15"/>
  <c r="AR28" i="15"/>
  <c r="AR27" i="15"/>
  <c r="AR26" i="15"/>
  <c r="AR25" i="15"/>
  <c r="AR24" i="15"/>
  <c r="AR23" i="15"/>
  <c r="AR22" i="15"/>
  <c r="AR21" i="15"/>
  <c r="AR20" i="15"/>
  <c r="AR19" i="15"/>
  <c r="AR18" i="15"/>
  <c r="AR17" i="15"/>
  <c r="AR16" i="15"/>
  <c r="AR15" i="15"/>
  <c r="AR14" i="15"/>
  <c r="AR13" i="15"/>
  <c r="AR12" i="15"/>
  <c r="AR11" i="15"/>
  <c r="AR10" i="15"/>
  <c r="M734" i="9"/>
  <c r="R734" i="9" s="1"/>
  <c r="M733" i="9"/>
  <c r="R733" i="9" s="1"/>
  <c r="M732" i="9"/>
  <c r="R732" i="9" s="1"/>
  <c r="M731" i="9"/>
  <c r="R731" i="9" s="1"/>
  <c r="M730" i="9"/>
  <c r="R730" i="9" s="1"/>
  <c r="M724" i="9"/>
  <c r="R724" i="9" s="1"/>
  <c r="M721" i="9"/>
  <c r="R721" i="9" s="1"/>
  <c r="M720" i="9"/>
  <c r="R720" i="9" s="1"/>
  <c r="M719" i="9"/>
  <c r="R719" i="9" s="1"/>
  <c r="M723" i="9"/>
  <c r="R723" i="9" s="1"/>
  <c r="M722" i="9"/>
  <c r="R722" i="9" s="1"/>
  <c r="M715" i="9"/>
  <c r="R715" i="9" s="1"/>
  <c r="M714" i="9"/>
  <c r="R714" i="9" s="1"/>
  <c r="M718" i="9"/>
  <c r="R718" i="9" s="1"/>
  <c r="M717" i="9"/>
  <c r="R717" i="9" s="1"/>
  <c r="M716" i="9"/>
  <c r="R716" i="9" s="1"/>
  <c r="M713" i="9"/>
  <c r="R713" i="9" s="1"/>
  <c r="M712" i="9"/>
  <c r="R712" i="9" s="1"/>
  <c r="M711" i="9"/>
  <c r="Q11" i="6" s="1"/>
  <c r="M710" i="9"/>
  <c r="R710" i="9" s="1"/>
  <c r="M709" i="9"/>
  <c r="R709" i="9" s="1"/>
  <c r="M708" i="9"/>
  <c r="R708" i="9" s="1"/>
  <c r="M707" i="9"/>
  <c r="R707" i="9" s="1"/>
  <c r="M706" i="9"/>
  <c r="R706" i="9" s="1"/>
  <c r="M705" i="9"/>
  <c r="R705" i="9" s="1"/>
  <c r="M704" i="9"/>
  <c r="R704" i="9" s="1"/>
  <c r="M699" i="9"/>
  <c r="R699" i="9" s="1"/>
  <c r="M698" i="9"/>
  <c r="R698" i="9" s="1"/>
  <c r="M697" i="9"/>
  <c r="R697" i="9" s="1"/>
  <c r="M696" i="9"/>
  <c r="R696" i="9" s="1"/>
  <c r="M695" i="9"/>
  <c r="R695" i="9" s="1"/>
  <c r="M694" i="9"/>
  <c r="M664" i="9"/>
  <c r="R664" i="9" s="1"/>
  <c r="M663" i="9"/>
  <c r="R663" i="9" s="1"/>
  <c r="M662" i="9"/>
  <c r="R662" i="9" s="1"/>
  <c r="M661" i="9"/>
  <c r="R661" i="9" s="1"/>
  <c r="M660" i="9"/>
  <c r="R660" i="9" s="1"/>
  <c r="M726" i="9"/>
  <c r="R726" i="9" s="1"/>
  <c r="M725" i="9"/>
  <c r="R725" i="9" s="1"/>
  <c r="M729" i="9"/>
  <c r="R729" i="9" s="1"/>
  <c r="M728" i="9"/>
  <c r="R728" i="9" s="1"/>
  <c r="M727" i="9"/>
  <c r="M632" i="9"/>
  <c r="R632" i="9" s="1"/>
  <c r="M631" i="9"/>
  <c r="R631" i="9" s="1"/>
  <c r="M630" i="9"/>
  <c r="R630" i="9" s="1"/>
  <c r="M629" i="9"/>
  <c r="R629" i="9" s="1"/>
  <c r="M628" i="9"/>
  <c r="R628" i="9" s="1"/>
  <c r="M623" i="9"/>
  <c r="R623" i="9" s="1"/>
  <c r="M622" i="9"/>
  <c r="R622" i="9" s="1"/>
  <c r="M621" i="9"/>
  <c r="R621" i="9" s="1"/>
  <c r="M620" i="9"/>
  <c r="R620" i="9" s="1"/>
  <c r="M619" i="9"/>
  <c r="R619" i="9" s="1"/>
  <c r="U40" i="23"/>
  <c r="U39" i="23"/>
  <c r="H9" i="23"/>
  <c r="S23" i="23"/>
  <c r="U23" i="23" s="1"/>
  <c r="S22" i="23"/>
  <c r="S21" i="23"/>
  <c r="S20" i="23"/>
  <c r="W16" i="23"/>
  <c r="W15" i="23"/>
  <c r="W14" i="23"/>
  <c r="W13" i="23"/>
  <c r="W17" i="23"/>
  <c r="S17" i="23"/>
  <c r="U17" i="23" s="1"/>
  <c r="S16" i="23"/>
  <c r="S15" i="23"/>
  <c r="S14" i="23"/>
  <c r="S13" i="23"/>
  <c r="S27" i="23"/>
  <c r="S83" i="23"/>
  <c r="S77" i="23"/>
  <c r="S76" i="23"/>
  <c r="S61" i="23"/>
  <c r="S66" i="23"/>
  <c r="S65" i="23"/>
  <c r="S64" i="23"/>
  <c r="S63" i="23"/>
  <c r="S62" i="23"/>
  <c r="S60" i="23"/>
  <c r="S55" i="23"/>
  <c r="S57" i="23"/>
  <c r="S56" i="23"/>
  <c r="S47" i="23"/>
  <c r="S46" i="23"/>
  <c r="S45" i="23"/>
  <c r="S85" i="23"/>
  <c r="U85" i="23" s="1"/>
  <c r="U84" i="23" s="1"/>
  <c r="S74" i="23"/>
  <c r="S58" i="23"/>
  <c r="S53" i="23"/>
  <c r="B19" i="8"/>
  <c r="B12" i="8" s="1"/>
  <c r="N27" i="23"/>
  <c r="B18" i="8"/>
  <c r="M27" i="23"/>
  <c r="K27" i="23"/>
  <c r="L27" i="23"/>
  <c r="H27" i="23"/>
  <c r="D8" i="8" s="1"/>
  <c r="I87" i="23"/>
  <c r="J77" i="23"/>
  <c r="J76" i="23"/>
  <c r="I77" i="23"/>
  <c r="I76" i="23"/>
  <c r="J64" i="23"/>
  <c r="J66" i="23"/>
  <c r="J67" i="23"/>
  <c r="I67" i="23"/>
  <c r="S67" i="23" s="1"/>
  <c r="I66" i="23"/>
  <c r="I65" i="23"/>
  <c r="I64" i="23"/>
  <c r="I63" i="23"/>
  <c r="J62" i="23"/>
  <c r="I62" i="23"/>
  <c r="J61" i="23"/>
  <c r="I61" i="23"/>
  <c r="J60" i="23"/>
  <c r="I60" i="23"/>
  <c r="I57" i="23"/>
  <c r="J56" i="23"/>
  <c r="I56" i="23"/>
  <c r="I55" i="23"/>
  <c r="J49" i="23"/>
  <c r="J48" i="23"/>
  <c r="J52" i="23"/>
  <c r="I49" i="23"/>
  <c r="I52" i="23"/>
  <c r="I48" i="23"/>
  <c r="J45" i="23"/>
  <c r="I45" i="23"/>
  <c r="AD3" i="2"/>
  <c r="AD6" i="2" s="1"/>
  <c r="H23" i="23"/>
  <c r="H22" i="23"/>
  <c r="H21" i="23"/>
  <c r="H20" i="23"/>
  <c r="J17" i="23"/>
  <c r="J16" i="23"/>
  <c r="GR272" i="11"/>
  <c r="GU264" i="11" s="1"/>
  <c r="GU268" i="11" s="1"/>
  <c r="GU272" i="11" s="1"/>
  <c r="GX264" i="11" s="1"/>
  <c r="GX268" i="11" s="1"/>
  <c r="GX272" i="11" s="1"/>
  <c r="GR268" i="11"/>
  <c r="AO9" i="15"/>
  <c r="R727" i="9" l="1"/>
  <c r="Q30" i="6"/>
  <c r="P6" i="8"/>
  <c r="R694" i="9"/>
  <c r="N5" i="15"/>
  <c r="R85" i="9"/>
  <c r="L5" i="15"/>
  <c r="R974" i="9"/>
  <c r="G435" i="7"/>
  <c r="L435" i="7" s="1"/>
  <c r="M435" i="7" s="1"/>
  <c r="N11" i="6" s="1"/>
  <c r="R711" i="9"/>
  <c r="O5" i="15"/>
  <c r="R93" i="9"/>
  <c r="M5" i="15"/>
  <c r="R1139" i="9"/>
  <c r="IG26" i="5"/>
  <c r="IF27" i="5"/>
  <c r="U83" i="23"/>
  <c r="U82" i="23" s="1"/>
  <c r="U81" i="23" s="1"/>
  <c r="U80" i="23" s="1"/>
  <c r="U79" i="23" s="1"/>
  <c r="U78" i="23" s="1"/>
  <c r="U77" i="23" s="1"/>
  <c r="U76" i="23" s="1"/>
  <c r="U75" i="23" s="1"/>
  <c r="U74" i="23" s="1"/>
  <c r="U73" i="23" s="1"/>
  <c r="AB97" i="15"/>
  <c r="AB96" i="15" s="1"/>
  <c r="AB95" i="15" s="1"/>
  <c r="AB94" i="15" s="1"/>
  <c r="AB93" i="15" s="1"/>
  <c r="AB92" i="15" s="1"/>
  <c r="AB91" i="15" s="1"/>
  <c r="AB90" i="15" s="1"/>
  <c r="AB89" i="15" s="1"/>
  <c r="AB88" i="15" s="1"/>
  <c r="AB87" i="15" s="1"/>
  <c r="AB86" i="15" s="1"/>
  <c r="AB85" i="15" s="1"/>
  <c r="AB84" i="15" s="1"/>
  <c r="AB83" i="15" s="1"/>
  <c r="AB82" i="15" s="1"/>
  <c r="AB81" i="15" s="1"/>
  <c r="AB80" i="15" s="1"/>
  <c r="AB79" i="15" s="1"/>
  <c r="AB78" i="15" s="1"/>
  <c r="AB77" i="15" s="1"/>
  <c r="AB76" i="15" s="1"/>
  <c r="AB75" i="15" s="1"/>
  <c r="AB74" i="15" s="1"/>
  <c r="AB73" i="15" s="1"/>
  <c r="AB72" i="15" s="1"/>
  <c r="AB71" i="15" s="1"/>
  <c r="AB70" i="15" s="1"/>
  <c r="AB69" i="15" s="1"/>
  <c r="AB68" i="15" s="1"/>
  <c r="AB67" i="15" s="1"/>
  <c r="AB66" i="15" s="1"/>
  <c r="AB65" i="15" s="1"/>
  <c r="AB64" i="15" s="1"/>
  <c r="AB63" i="15" s="1"/>
  <c r="AB62" i="15" s="1"/>
  <c r="AB61" i="15" s="1"/>
  <c r="AB60" i="15" s="1"/>
  <c r="AB59" i="15" s="1"/>
  <c r="AB58" i="15" s="1"/>
  <c r="AB57" i="15" s="1"/>
  <c r="AB56" i="15" s="1"/>
  <c r="AB55" i="15" s="1"/>
  <c r="AB54" i="15" s="1"/>
  <c r="AB53" i="15" s="1"/>
  <c r="AB52" i="15" s="1"/>
  <c r="AB51" i="15" s="1"/>
  <c r="AB50" i="15" s="1"/>
  <c r="AB49" i="15" s="1"/>
  <c r="AB48" i="15" s="1"/>
  <c r="AB47" i="15" s="1"/>
  <c r="AB46" i="15" s="1"/>
  <c r="AB45" i="15" s="1"/>
  <c r="AB44" i="15" s="1"/>
  <c r="AB43" i="15" s="1"/>
  <c r="AB42" i="15" s="1"/>
  <c r="AB41" i="15" s="1"/>
  <c r="AB40" i="15" s="1"/>
  <c r="AB39" i="15" s="1"/>
  <c r="AB38" i="15" s="1"/>
  <c r="AB37" i="15" s="1"/>
  <c r="AB36" i="15" s="1"/>
  <c r="AB35" i="15" s="1"/>
  <c r="AB34" i="15" s="1"/>
  <c r="AB33" i="15" s="1"/>
  <c r="AB32" i="15" s="1"/>
  <c r="AB31" i="15" s="1"/>
  <c r="AB30" i="15" s="1"/>
  <c r="AB29" i="15" s="1"/>
  <c r="AB28" i="15" s="1"/>
  <c r="AB27" i="15" s="1"/>
  <c r="AB26" i="15" s="1"/>
  <c r="AB25" i="15" s="1"/>
  <c r="AB24" i="15" s="1"/>
  <c r="AB23" i="15" s="1"/>
  <c r="AB22" i="15" s="1"/>
  <c r="AB21" i="15" s="1"/>
  <c r="AB20" i="15" s="1"/>
  <c r="AB19" i="15" s="1"/>
  <c r="AB18" i="15" s="1"/>
  <c r="AB17" i="15" s="1"/>
  <c r="AB16" i="15" s="1"/>
  <c r="AB15" i="15" s="1"/>
  <c r="AB14" i="15" s="1"/>
  <c r="AB13" i="15" s="1"/>
  <c r="AB12" i="15" s="1"/>
  <c r="AB11" i="15" s="1"/>
  <c r="AB10" i="15" s="1"/>
  <c r="AB9" i="15" s="1"/>
  <c r="AF97" i="15"/>
  <c r="AF96" i="15" s="1"/>
  <c r="AF95" i="15" s="1"/>
  <c r="AF94" i="15" s="1"/>
  <c r="AF93" i="15" s="1"/>
  <c r="AF92" i="15" s="1"/>
  <c r="AF91" i="15" s="1"/>
  <c r="AF90" i="15" s="1"/>
  <c r="AF89" i="15" s="1"/>
  <c r="AF88" i="15" s="1"/>
  <c r="AF87" i="15" s="1"/>
  <c r="AF86" i="15" s="1"/>
  <c r="AF85" i="15" s="1"/>
  <c r="AF84" i="15" s="1"/>
  <c r="AF83" i="15" s="1"/>
  <c r="AF82" i="15" s="1"/>
  <c r="AF81" i="15" s="1"/>
  <c r="AF80" i="15" s="1"/>
  <c r="AF79" i="15" s="1"/>
  <c r="AF78" i="15" s="1"/>
  <c r="AF77" i="15" s="1"/>
  <c r="AF76" i="15" s="1"/>
  <c r="AF75" i="15" s="1"/>
  <c r="AF74" i="15" s="1"/>
  <c r="AF73" i="15" s="1"/>
  <c r="AF72" i="15" s="1"/>
  <c r="AF71" i="15" s="1"/>
  <c r="AF70" i="15" s="1"/>
  <c r="AF69" i="15" s="1"/>
  <c r="AF68" i="15" s="1"/>
  <c r="AF67" i="15" s="1"/>
  <c r="AF66" i="15" s="1"/>
  <c r="AF65" i="15" s="1"/>
  <c r="AF64" i="15" s="1"/>
  <c r="AF63" i="15" s="1"/>
  <c r="AF62" i="15" s="1"/>
  <c r="AF61" i="15" s="1"/>
  <c r="AF60" i="15" s="1"/>
  <c r="AF59" i="15" s="1"/>
  <c r="AF58" i="15" s="1"/>
  <c r="AF57" i="15" s="1"/>
  <c r="AF56" i="15" s="1"/>
  <c r="AF55" i="15" s="1"/>
  <c r="AF54" i="15" s="1"/>
  <c r="AF53" i="15" s="1"/>
  <c r="AF52" i="15" s="1"/>
  <c r="AF51" i="15" s="1"/>
  <c r="AF50" i="15" s="1"/>
  <c r="AF49" i="15" s="1"/>
  <c r="AF48" i="15" s="1"/>
  <c r="AF47" i="15" s="1"/>
  <c r="AF46" i="15" s="1"/>
  <c r="AF45" i="15" s="1"/>
  <c r="AF44" i="15" s="1"/>
  <c r="AF43" i="15" s="1"/>
  <c r="AF42" i="15" s="1"/>
  <c r="AF41" i="15" s="1"/>
  <c r="AF40" i="15" s="1"/>
  <c r="AF39" i="15" s="1"/>
  <c r="AF38" i="15" s="1"/>
  <c r="AF37" i="15" s="1"/>
  <c r="AF36" i="15" s="1"/>
  <c r="AF35" i="15" s="1"/>
  <c r="AF34" i="15" s="1"/>
  <c r="AF33" i="15" s="1"/>
  <c r="AF32" i="15" s="1"/>
  <c r="AF31" i="15" s="1"/>
  <c r="AF30" i="15" s="1"/>
  <c r="AF29" i="15" s="1"/>
  <c r="AF28" i="15" s="1"/>
  <c r="AF27" i="15" s="1"/>
  <c r="AF26" i="15" s="1"/>
  <c r="AF25" i="15" s="1"/>
  <c r="AF24" i="15" s="1"/>
  <c r="AF23" i="15" s="1"/>
  <c r="AF22" i="15" s="1"/>
  <c r="AF21" i="15" s="1"/>
  <c r="AF20" i="15" s="1"/>
  <c r="AF19" i="15" s="1"/>
  <c r="AF18" i="15" s="1"/>
  <c r="AF17" i="15" s="1"/>
  <c r="AF16" i="15" s="1"/>
  <c r="AF15" i="15" s="1"/>
  <c r="AF14" i="15" s="1"/>
  <c r="AF13" i="15" s="1"/>
  <c r="AF12" i="15" s="1"/>
  <c r="AF11" i="15" s="1"/>
  <c r="AF10" i="15" s="1"/>
  <c r="AF9" i="15" s="1"/>
  <c r="Z97" i="15"/>
  <c r="Z96" i="15" s="1"/>
  <c r="Z95" i="15" s="1"/>
  <c r="Z94" i="15" s="1"/>
  <c r="Z93" i="15" s="1"/>
  <c r="Z92" i="15" s="1"/>
  <c r="Z91" i="15" s="1"/>
  <c r="Z90" i="15" s="1"/>
  <c r="Z89" i="15" s="1"/>
  <c r="Z88" i="15" s="1"/>
  <c r="Z87" i="15" s="1"/>
  <c r="Z86" i="15" s="1"/>
  <c r="Z85" i="15" s="1"/>
  <c r="Z84" i="15" s="1"/>
  <c r="Z83" i="15" s="1"/>
  <c r="Z82" i="15" s="1"/>
  <c r="Z81" i="15" s="1"/>
  <c r="Z80" i="15" s="1"/>
  <c r="Z79" i="15" s="1"/>
  <c r="Z78" i="15" s="1"/>
  <c r="Z77" i="15" s="1"/>
  <c r="Z76" i="15" s="1"/>
  <c r="Z75" i="15" s="1"/>
  <c r="Z74" i="15" s="1"/>
  <c r="Z73" i="15" s="1"/>
  <c r="Z72" i="15" s="1"/>
  <c r="Z71" i="15" s="1"/>
  <c r="Z70" i="15" s="1"/>
  <c r="Z69" i="15" s="1"/>
  <c r="Z68" i="15" s="1"/>
  <c r="Z67" i="15" s="1"/>
  <c r="Z66" i="15" s="1"/>
  <c r="Z65" i="15" s="1"/>
  <c r="Z64" i="15" s="1"/>
  <c r="Z63" i="15" s="1"/>
  <c r="Z62" i="15" s="1"/>
  <c r="Z61" i="15" s="1"/>
  <c r="Z60" i="15" s="1"/>
  <c r="Z59" i="15" s="1"/>
  <c r="Z58" i="15" s="1"/>
  <c r="Z57" i="15" s="1"/>
  <c r="Z56" i="15" s="1"/>
  <c r="Z55" i="15" s="1"/>
  <c r="Z54" i="15" s="1"/>
  <c r="Z53" i="15" s="1"/>
  <c r="Z52" i="15" s="1"/>
  <c r="Z51" i="15" s="1"/>
  <c r="Z50" i="15" s="1"/>
  <c r="Z49" i="15" s="1"/>
  <c r="Z48" i="15" s="1"/>
  <c r="Z47" i="15" s="1"/>
  <c r="Z46" i="15" s="1"/>
  <c r="Z45" i="15" s="1"/>
  <c r="Z44" i="15" s="1"/>
  <c r="Z43" i="15" s="1"/>
  <c r="Z42" i="15" s="1"/>
  <c r="Z41" i="15" s="1"/>
  <c r="Z40" i="15" s="1"/>
  <c r="Z39" i="15" s="1"/>
  <c r="Z38" i="15" s="1"/>
  <c r="Z37" i="15" s="1"/>
  <c r="Z36" i="15" s="1"/>
  <c r="Z35" i="15" s="1"/>
  <c r="Z34" i="15" s="1"/>
  <c r="Z33" i="15" s="1"/>
  <c r="Z32" i="15" s="1"/>
  <c r="Z31" i="15" s="1"/>
  <c r="Z30" i="15" s="1"/>
  <c r="Z29" i="15" s="1"/>
  <c r="Z28" i="15" s="1"/>
  <c r="Z27" i="15" s="1"/>
  <c r="Z26" i="15" s="1"/>
  <c r="Z25" i="15" s="1"/>
  <c r="Z24" i="15" s="1"/>
  <c r="Z23" i="15" s="1"/>
  <c r="Z22" i="15" s="1"/>
  <c r="Z21" i="15" s="1"/>
  <c r="Z20" i="15" s="1"/>
  <c r="Z19" i="15" s="1"/>
  <c r="Z18" i="15" s="1"/>
  <c r="Z17" i="15" s="1"/>
  <c r="Z16" i="15" s="1"/>
  <c r="Z15" i="15" s="1"/>
  <c r="Z14" i="15" s="1"/>
  <c r="Z13" i="15" s="1"/>
  <c r="Z12" i="15" s="1"/>
  <c r="Z11" i="15" s="1"/>
  <c r="Z10" i="15" s="1"/>
  <c r="Z9" i="15" s="1"/>
  <c r="U22" i="23"/>
  <c r="U21" i="23" s="1"/>
  <c r="U20" i="23" s="1"/>
  <c r="U19" i="23" s="1"/>
  <c r="X15" i="23"/>
  <c r="Y15" i="23" s="1"/>
  <c r="U16" i="23"/>
  <c r="U15" i="23" s="1"/>
  <c r="U14" i="23" s="1"/>
  <c r="U13" i="23" s="1"/>
  <c r="X17" i="23"/>
  <c r="Y17" i="23" s="1"/>
  <c r="Z17" i="23" s="1"/>
  <c r="X16" i="23"/>
  <c r="Y16" i="23" s="1"/>
  <c r="I20" i="23"/>
  <c r="AD97" i="15"/>
  <c r="AD96" i="15" s="1"/>
  <c r="AD95" i="15" s="1"/>
  <c r="AD94" i="15" s="1"/>
  <c r="AD93" i="15" s="1"/>
  <c r="AD92" i="15" s="1"/>
  <c r="AD91" i="15" s="1"/>
  <c r="AD90" i="15" s="1"/>
  <c r="AD89" i="15" s="1"/>
  <c r="AD88" i="15" s="1"/>
  <c r="AD87" i="15" s="1"/>
  <c r="AD86" i="15" s="1"/>
  <c r="AD85" i="15" s="1"/>
  <c r="AD84" i="15" s="1"/>
  <c r="AD83" i="15" s="1"/>
  <c r="AD82" i="15" s="1"/>
  <c r="AD81" i="15" s="1"/>
  <c r="AD80" i="15" s="1"/>
  <c r="AD79" i="15" s="1"/>
  <c r="AD78" i="15" s="1"/>
  <c r="AD77" i="15" s="1"/>
  <c r="AD76" i="15" s="1"/>
  <c r="AD75" i="15" s="1"/>
  <c r="AD74" i="15" s="1"/>
  <c r="AD73" i="15" s="1"/>
  <c r="AD72" i="15" s="1"/>
  <c r="AD71" i="15" s="1"/>
  <c r="AD70" i="15" s="1"/>
  <c r="AD69" i="15" s="1"/>
  <c r="AD68" i="15" s="1"/>
  <c r="AD67" i="15" s="1"/>
  <c r="AD66" i="15" s="1"/>
  <c r="AD65" i="15" s="1"/>
  <c r="AD64" i="15" s="1"/>
  <c r="AD63" i="15" s="1"/>
  <c r="AD62" i="15" s="1"/>
  <c r="AD61" i="15" s="1"/>
  <c r="AD60" i="15" s="1"/>
  <c r="AD59" i="15" s="1"/>
  <c r="AD58" i="15" s="1"/>
  <c r="AD57" i="15" s="1"/>
  <c r="AD56" i="15" s="1"/>
  <c r="AD55" i="15" s="1"/>
  <c r="AD54" i="15" s="1"/>
  <c r="AD53" i="15" s="1"/>
  <c r="AD52" i="15" s="1"/>
  <c r="AD51" i="15" s="1"/>
  <c r="AD50" i="15" s="1"/>
  <c r="AD49" i="15" s="1"/>
  <c r="AD48" i="15" s="1"/>
  <c r="AD47" i="15" s="1"/>
  <c r="AD46" i="15" s="1"/>
  <c r="AD45" i="15" s="1"/>
  <c r="AD44" i="15" s="1"/>
  <c r="AD43" i="15" s="1"/>
  <c r="AD42" i="15" s="1"/>
  <c r="AD41" i="15" s="1"/>
  <c r="AD40" i="15" s="1"/>
  <c r="AD39" i="15" s="1"/>
  <c r="AD38" i="15" s="1"/>
  <c r="AD37" i="15" s="1"/>
  <c r="AD36" i="15" s="1"/>
  <c r="AD35" i="15" s="1"/>
  <c r="AD34" i="15" s="1"/>
  <c r="AD33" i="15" s="1"/>
  <c r="AD32" i="15" s="1"/>
  <c r="AD31" i="15" s="1"/>
  <c r="AD30" i="15" s="1"/>
  <c r="AD29" i="15" s="1"/>
  <c r="AD28" i="15" s="1"/>
  <c r="AD27" i="15" s="1"/>
  <c r="AD26" i="15" s="1"/>
  <c r="AD25" i="15" s="1"/>
  <c r="AD24" i="15" s="1"/>
  <c r="AD23" i="15" s="1"/>
  <c r="AD22" i="15" s="1"/>
  <c r="AD21" i="15" s="1"/>
  <c r="AD20" i="15" s="1"/>
  <c r="AD19" i="15" s="1"/>
  <c r="AD18" i="15" s="1"/>
  <c r="AD17" i="15" s="1"/>
  <c r="AD16" i="15" s="1"/>
  <c r="AD15" i="15" s="1"/>
  <c r="AD14" i="15" s="1"/>
  <c r="AD13" i="15" s="1"/>
  <c r="AD12" i="15" s="1"/>
  <c r="AD11" i="15" s="1"/>
  <c r="AD10" i="15" s="1"/>
  <c r="AD9" i="15" s="1"/>
  <c r="AS96" i="15"/>
  <c r="AS95" i="15" s="1"/>
  <c r="AS94" i="15" s="1"/>
  <c r="AS93" i="15" s="1"/>
  <c r="AS92" i="15" s="1"/>
  <c r="AS91" i="15" s="1"/>
  <c r="AS90" i="15" s="1"/>
  <c r="AS89" i="15" s="1"/>
  <c r="AS88" i="15" s="1"/>
  <c r="AS87" i="15" s="1"/>
  <c r="AS86" i="15" s="1"/>
  <c r="AS85" i="15" s="1"/>
  <c r="AS84" i="15" s="1"/>
  <c r="AS83" i="15" s="1"/>
  <c r="AS82" i="15" s="1"/>
  <c r="AS81" i="15" s="1"/>
  <c r="AS80" i="15" s="1"/>
  <c r="AS79" i="15" s="1"/>
  <c r="AS78" i="15" s="1"/>
  <c r="AS77" i="15" s="1"/>
  <c r="AS76" i="15" s="1"/>
  <c r="AS75" i="15" s="1"/>
  <c r="AS74" i="15" s="1"/>
  <c r="AS73" i="15" s="1"/>
  <c r="AS72" i="15" s="1"/>
  <c r="AS71" i="15" s="1"/>
  <c r="AS70" i="15" s="1"/>
  <c r="AS69" i="15" s="1"/>
  <c r="AS68" i="15" s="1"/>
  <c r="AS67" i="15" s="1"/>
  <c r="AS66" i="15" s="1"/>
  <c r="AS65" i="15" s="1"/>
  <c r="AS64" i="15" s="1"/>
  <c r="AS63" i="15" s="1"/>
  <c r="AS62" i="15" s="1"/>
  <c r="AS61" i="15" s="1"/>
  <c r="AS60" i="15" s="1"/>
  <c r="AS59" i="15" s="1"/>
  <c r="AS58" i="15" s="1"/>
  <c r="AS57" i="15" s="1"/>
  <c r="AS56" i="15" s="1"/>
  <c r="AS55" i="15" s="1"/>
  <c r="AS54" i="15" s="1"/>
  <c r="AS53" i="15" s="1"/>
  <c r="AS52" i="15" s="1"/>
  <c r="AS51" i="15" s="1"/>
  <c r="AS50" i="15" s="1"/>
  <c r="AS49" i="15" s="1"/>
  <c r="AS48" i="15" s="1"/>
  <c r="AS47" i="15" s="1"/>
  <c r="AS46" i="15" s="1"/>
  <c r="AS45" i="15" s="1"/>
  <c r="AS44" i="15" s="1"/>
  <c r="AS43" i="15" s="1"/>
  <c r="AS42" i="15" s="1"/>
  <c r="AS41" i="15" s="1"/>
  <c r="AS40" i="15" s="1"/>
  <c r="AS39" i="15" s="1"/>
  <c r="AS38" i="15" s="1"/>
  <c r="AS37" i="15" s="1"/>
  <c r="AS36" i="15" s="1"/>
  <c r="AS35" i="15" s="1"/>
  <c r="AS34" i="15" s="1"/>
  <c r="AS33" i="15" s="1"/>
  <c r="AS32" i="15" s="1"/>
  <c r="AS31" i="15" s="1"/>
  <c r="AS30" i="15" s="1"/>
  <c r="AS29" i="15" s="1"/>
  <c r="AS28" i="15" s="1"/>
  <c r="AS27" i="15" s="1"/>
  <c r="AS26" i="15" s="1"/>
  <c r="AS25" i="15" s="1"/>
  <c r="AS24" i="15" s="1"/>
  <c r="AS23" i="15" s="1"/>
  <c r="AS22" i="15" s="1"/>
  <c r="AS21" i="15" s="1"/>
  <c r="AS20" i="15" s="1"/>
  <c r="AS19" i="15" s="1"/>
  <c r="AS18" i="15" s="1"/>
  <c r="AS17" i="15" s="1"/>
  <c r="AS16" i="15" s="1"/>
  <c r="AS15" i="15" s="1"/>
  <c r="AS14" i="15" s="1"/>
  <c r="AS13" i="15" s="1"/>
  <c r="AS12" i="15" s="1"/>
  <c r="AS11" i="15" s="1"/>
  <c r="AS10" i="15" s="1"/>
  <c r="AS9" i="15" s="1"/>
  <c r="AQ20" i="15" s="1"/>
  <c r="D18" i="8"/>
  <c r="T37" i="23"/>
  <c r="U37" i="23" s="1"/>
  <c r="T38" i="23"/>
  <c r="U38" i="23" s="1"/>
  <c r="T39" i="23"/>
  <c r="T40" i="23"/>
  <c r="I21" i="23"/>
  <c r="T33" i="23"/>
  <c r="U33" i="23" s="1"/>
  <c r="T34" i="23"/>
  <c r="U34" i="23" s="1"/>
  <c r="T35" i="23"/>
  <c r="U35" i="23" s="1"/>
  <c r="T36" i="23"/>
  <c r="U36" i="23" s="1"/>
  <c r="I22" i="23"/>
  <c r="AL59" i="20"/>
  <c r="AK59" i="20"/>
  <c r="AJ59" i="20"/>
  <c r="AI59" i="20"/>
  <c r="AH59" i="20"/>
  <c r="AG59" i="20"/>
  <c r="L53" i="20"/>
  <c r="K53" i="20"/>
  <c r="L36" i="20"/>
  <c r="L8" i="20"/>
  <c r="AN59" i="20" s="1"/>
  <c r="M1002" i="9"/>
  <c r="T59" i="20"/>
  <c r="AC59" i="20" s="1"/>
  <c r="S59" i="20"/>
  <c r="AB59" i="20" s="1"/>
  <c r="R59" i="20"/>
  <c r="AA59" i="20" s="1"/>
  <c r="Q59" i="20"/>
  <c r="Z59" i="20" s="1"/>
  <c r="P59" i="20"/>
  <c r="Y59" i="20" s="1"/>
  <c r="O59" i="20"/>
  <c r="X59" i="20" s="1"/>
  <c r="AL48" i="20"/>
  <c r="AK48" i="20"/>
  <c r="AJ48" i="20"/>
  <c r="AN47" i="20"/>
  <c r="AL47" i="20"/>
  <c r="AK47" i="20"/>
  <c r="AJ47" i="20"/>
  <c r="AN46" i="20"/>
  <c r="AL46" i="20"/>
  <c r="AK46" i="20"/>
  <c r="AJ46" i="20"/>
  <c r="AN45" i="20"/>
  <c r="AL45" i="20"/>
  <c r="AK45" i="20"/>
  <c r="AJ45" i="20"/>
  <c r="AH48" i="20"/>
  <c r="AG48" i="20"/>
  <c r="AH47" i="20"/>
  <c r="AG47" i="20"/>
  <c r="AH46" i="20"/>
  <c r="AG46" i="20"/>
  <c r="AH45" i="20"/>
  <c r="AG45" i="20"/>
  <c r="AI46" i="20"/>
  <c r="AL44" i="20"/>
  <c r="AK44" i="20"/>
  <c r="AJ44" i="20"/>
  <c r="AH44" i="20"/>
  <c r="AG44" i="20"/>
  <c r="AI44" i="20"/>
  <c r="AL42" i="20"/>
  <c r="AK42" i="20"/>
  <c r="AJ42" i="20"/>
  <c r="AH42" i="20"/>
  <c r="AG42" i="20"/>
  <c r="AI42" i="20"/>
  <c r="AL43" i="20"/>
  <c r="AK43" i="20"/>
  <c r="AJ43" i="20"/>
  <c r="AH43" i="20"/>
  <c r="AG43" i="20"/>
  <c r="AI43" i="20"/>
  <c r="AL31" i="20"/>
  <c r="AK31" i="20"/>
  <c r="AJ31" i="20"/>
  <c r="AI31" i="20"/>
  <c r="AG31" i="20"/>
  <c r="AL20" i="20"/>
  <c r="AK20" i="20"/>
  <c r="AJ20" i="20"/>
  <c r="AI20" i="20"/>
  <c r="AH20" i="20"/>
  <c r="AG20" i="20"/>
  <c r="AL19" i="20"/>
  <c r="AK19" i="20"/>
  <c r="AJ19" i="20"/>
  <c r="AI19" i="20"/>
  <c r="AH19" i="20"/>
  <c r="AG19" i="20"/>
  <c r="AN18" i="20"/>
  <c r="AL18" i="20"/>
  <c r="AK18" i="20"/>
  <c r="AJ18" i="20"/>
  <c r="AI18" i="20"/>
  <c r="AH18" i="20"/>
  <c r="AG18" i="20"/>
  <c r="AL17" i="20"/>
  <c r="AK17" i="20"/>
  <c r="AJ17" i="20"/>
  <c r="AI17" i="20"/>
  <c r="AH17" i="20"/>
  <c r="AG17" i="20"/>
  <c r="AL16" i="20"/>
  <c r="AK16" i="20"/>
  <c r="AJ16" i="20"/>
  <c r="AI16" i="20"/>
  <c r="AH16" i="20"/>
  <c r="AG16" i="20"/>
  <c r="AL15" i="20"/>
  <c r="AK15" i="20"/>
  <c r="AJ15" i="20"/>
  <c r="AI15" i="20"/>
  <c r="AH15" i="20"/>
  <c r="AG15" i="20"/>
  <c r="AL14" i="20"/>
  <c r="AK14" i="20"/>
  <c r="AJ14" i="20"/>
  <c r="AI14" i="20"/>
  <c r="AH14" i="20"/>
  <c r="AG14" i="20"/>
  <c r="AH31" i="20"/>
  <c r="T31" i="20"/>
  <c r="AC31" i="20" s="1"/>
  <c r="S31" i="20"/>
  <c r="AB31" i="20" s="1"/>
  <c r="R31" i="20"/>
  <c r="AA31" i="20" s="1"/>
  <c r="Q31" i="20"/>
  <c r="Z31" i="20" s="1"/>
  <c r="P31" i="20"/>
  <c r="Y31" i="20" s="1"/>
  <c r="O31" i="20"/>
  <c r="X31" i="20" s="1"/>
  <c r="AI45" i="20"/>
  <c r="AI47" i="20"/>
  <c r="AI48" i="20"/>
  <c r="T48" i="20"/>
  <c r="AC48" i="20" s="1"/>
  <c r="S48" i="20"/>
  <c r="AB48" i="20" s="1"/>
  <c r="R48" i="20"/>
  <c r="AA48" i="20" s="1"/>
  <c r="Q48" i="20"/>
  <c r="Z48" i="20" s="1"/>
  <c r="P48" i="20"/>
  <c r="Y48" i="20" s="1"/>
  <c r="O48" i="20"/>
  <c r="X48" i="20" s="1"/>
  <c r="T47" i="20"/>
  <c r="AC47" i="20" s="1"/>
  <c r="S47" i="20"/>
  <c r="AB47" i="20" s="1"/>
  <c r="R47" i="20"/>
  <c r="AA47" i="20" s="1"/>
  <c r="Q47" i="20"/>
  <c r="Z47" i="20" s="1"/>
  <c r="P47" i="20"/>
  <c r="Y47" i="20" s="1"/>
  <c r="O47" i="20"/>
  <c r="X47" i="20" s="1"/>
  <c r="T46" i="20"/>
  <c r="AC46" i="20" s="1"/>
  <c r="S46" i="20"/>
  <c r="AB46" i="20" s="1"/>
  <c r="R46" i="20"/>
  <c r="AA46" i="20" s="1"/>
  <c r="Q46" i="20"/>
  <c r="Z46" i="20" s="1"/>
  <c r="P46" i="20"/>
  <c r="Y46" i="20" s="1"/>
  <c r="O46" i="20"/>
  <c r="X46" i="20" s="1"/>
  <c r="T45" i="20"/>
  <c r="AC45" i="20" s="1"/>
  <c r="S45" i="20"/>
  <c r="AB45" i="20" s="1"/>
  <c r="R45" i="20"/>
  <c r="AA45" i="20" s="1"/>
  <c r="Q45" i="20"/>
  <c r="Z45" i="20" s="1"/>
  <c r="P45" i="20"/>
  <c r="Y45" i="20" s="1"/>
  <c r="O45" i="20"/>
  <c r="X45" i="20" s="1"/>
  <c r="T44" i="20"/>
  <c r="AC44" i="20" s="1"/>
  <c r="S44" i="20"/>
  <c r="AB44" i="20" s="1"/>
  <c r="R44" i="20"/>
  <c r="AA44" i="20" s="1"/>
  <c r="Q44" i="20"/>
  <c r="Z44" i="20" s="1"/>
  <c r="P44" i="20"/>
  <c r="Y44" i="20" s="1"/>
  <c r="O44" i="20"/>
  <c r="X44" i="20" s="1"/>
  <c r="T43" i="20"/>
  <c r="AC43" i="20" s="1"/>
  <c r="S43" i="20"/>
  <c r="AB43" i="20" s="1"/>
  <c r="R43" i="20"/>
  <c r="AA43" i="20" s="1"/>
  <c r="Q43" i="20"/>
  <c r="Z43" i="20" s="1"/>
  <c r="P43" i="20"/>
  <c r="Y43" i="20" s="1"/>
  <c r="O43" i="20"/>
  <c r="X43" i="20" s="1"/>
  <c r="T42" i="20"/>
  <c r="AC42" i="20" s="1"/>
  <c r="S42" i="20"/>
  <c r="AB42" i="20" s="1"/>
  <c r="R42" i="20"/>
  <c r="AA42" i="20" s="1"/>
  <c r="Q42" i="20"/>
  <c r="Z42" i="20" s="1"/>
  <c r="P42" i="20"/>
  <c r="Y42" i="20" s="1"/>
  <c r="O42" i="20"/>
  <c r="X42" i="20" s="1"/>
  <c r="D48" i="20"/>
  <c r="D47" i="20"/>
  <c r="D46" i="20"/>
  <c r="D45" i="20"/>
  <c r="D44" i="20"/>
  <c r="D43" i="20"/>
  <c r="D42" i="20"/>
  <c r="K36" i="20"/>
  <c r="K8" i="20"/>
  <c r="AM59" i="20" s="1"/>
  <c r="M608" i="9"/>
  <c r="M607" i="9"/>
  <c r="M606" i="9"/>
  <c r="M605" i="9"/>
  <c r="M602" i="9"/>
  <c r="GI8" i="5"/>
  <c r="GI7" i="5"/>
  <c r="GH168" i="5"/>
  <c r="GI168" i="5" s="1"/>
  <c r="GH169" i="5"/>
  <c r="GI169" i="5" s="1"/>
  <c r="GH166" i="5"/>
  <c r="GI166" i="5" s="1"/>
  <c r="GH104" i="5"/>
  <c r="GI104" i="5" s="1"/>
  <c r="GH105" i="5"/>
  <c r="GI105" i="5" s="1"/>
  <c r="GH24" i="5"/>
  <c r="GI24" i="5" s="1"/>
  <c r="GH165" i="5"/>
  <c r="GI165" i="5" s="1"/>
  <c r="GI32" i="5"/>
  <c r="GH66" i="5"/>
  <c r="GI66" i="5" s="1"/>
  <c r="GH130" i="5"/>
  <c r="GI130" i="5" s="1"/>
  <c r="GI67" i="5"/>
  <c r="GH170" i="5"/>
  <c r="GI170" i="5" s="1"/>
  <c r="GH106" i="5"/>
  <c r="GI106" i="5" s="1"/>
  <c r="GH176" i="5"/>
  <c r="GI176" i="5" s="1"/>
  <c r="GH167" i="5"/>
  <c r="GI167" i="5" s="1"/>
  <c r="GH191" i="5"/>
  <c r="GI191" i="5" s="1"/>
  <c r="GH86" i="5"/>
  <c r="GI86" i="5" s="1"/>
  <c r="GH85" i="5"/>
  <c r="GI85" i="5" s="1"/>
  <c r="GH3" i="5"/>
  <c r="GI3" i="5" s="1"/>
  <c r="J160" i="10"/>
  <c r="J177" i="10"/>
  <c r="J194" i="10"/>
  <c r="J211" i="10"/>
  <c r="M143" i="10"/>
  <c r="M126" i="10"/>
  <c r="BN140" i="10"/>
  <c r="BC36" i="21"/>
  <c r="BC35" i="21"/>
  <c r="BC34" i="21"/>
  <c r="BC33" i="21"/>
  <c r="BC27" i="21"/>
  <c r="BC25" i="21"/>
  <c r="BC19" i="21"/>
  <c r="BC17" i="21"/>
  <c r="BC20" i="21" s="1"/>
  <c r="BC14" i="21"/>
  <c r="BC12" i="21"/>
  <c r="BC7" i="21"/>
  <c r="A130" i="5" s="1"/>
  <c r="AS7" i="21"/>
  <c r="AI7" i="21"/>
  <c r="Y7" i="21"/>
  <c r="O7" i="21"/>
  <c r="BK208" i="10"/>
  <c r="F52" i="21"/>
  <c r="H52" i="21" s="1"/>
  <c r="L61" i="21" s="1"/>
  <c r="J18" i="12"/>
  <c r="K18" i="12" s="1"/>
  <c r="EM56" i="5"/>
  <c r="EM69" i="5"/>
  <c r="EM28" i="5"/>
  <c r="EM86" i="5"/>
  <c r="EM66" i="5"/>
  <c r="EM18" i="5"/>
  <c r="EM90" i="5"/>
  <c r="M1305" i="9"/>
  <c r="R1305" i="9" s="1"/>
  <c r="M1304" i="9"/>
  <c r="R1304" i="9" s="1"/>
  <c r="M1303" i="9"/>
  <c r="R1303" i="9" s="1"/>
  <c r="M1302" i="9"/>
  <c r="R1302" i="9" s="1"/>
  <c r="M1152" i="9"/>
  <c r="R1152" i="9" s="1"/>
  <c r="M1151" i="9"/>
  <c r="R1151" i="9" s="1"/>
  <c r="M1150" i="9"/>
  <c r="R1150" i="9" s="1"/>
  <c r="M1149" i="9"/>
  <c r="R1149" i="9" s="1"/>
  <c r="M1148" i="9"/>
  <c r="R1148" i="9" s="1"/>
  <c r="M1133" i="9"/>
  <c r="R1133" i="9" s="1"/>
  <c r="M1132" i="9"/>
  <c r="R1132" i="9" s="1"/>
  <c r="M1131" i="9"/>
  <c r="R1131" i="9" s="1"/>
  <c r="M1130" i="9"/>
  <c r="R1130" i="9" s="1"/>
  <c r="M1129" i="9"/>
  <c r="R1129" i="9" s="1"/>
  <c r="M1128" i="9"/>
  <c r="R1128" i="9" s="1"/>
  <c r="M1127" i="9"/>
  <c r="R1127" i="9" s="1"/>
  <c r="M1126" i="9"/>
  <c r="R1126" i="9" s="1"/>
  <c r="M1125" i="9"/>
  <c r="R1125" i="9" s="1"/>
  <c r="M1124" i="9"/>
  <c r="R1124" i="9" s="1"/>
  <c r="M1114" i="9"/>
  <c r="R1114" i="9" s="1"/>
  <c r="M1113" i="9"/>
  <c r="R1113" i="9" s="1"/>
  <c r="M1112" i="9"/>
  <c r="R1112" i="9" s="1"/>
  <c r="M1111" i="9"/>
  <c r="R1111" i="9" s="1"/>
  <c r="M1110" i="9"/>
  <c r="R1110" i="9" s="1"/>
  <c r="M1104" i="9"/>
  <c r="R1104" i="9" s="1"/>
  <c r="M1001" i="9"/>
  <c r="R1001" i="9" s="1"/>
  <c r="M1000" i="9"/>
  <c r="R1000" i="9" s="1"/>
  <c r="M999" i="9"/>
  <c r="R999" i="9" s="1"/>
  <c r="M998" i="9"/>
  <c r="R998" i="9" s="1"/>
  <c r="M996" i="9"/>
  <c r="R996" i="9" s="1"/>
  <c r="M995" i="9"/>
  <c r="R995" i="9" s="1"/>
  <c r="M994" i="9"/>
  <c r="R994" i="9" s="1"/>
  <c r="M993" i="9"/>
  <c r="R993" i="9" s="1"/>
  <c r="M992" i="9"/>
  <c r="R992" i="9" s="1"/>
  <c r="M973" i="9"/>
  <c r="R973" i="9" s="1"/>
  <c r="M972" i="9"/>
  <c r="R972" i="9" s="1"/>
  <c r="M963" i="9"/>
  <c r="R963" i="9" s="1"/>
  <c r="M967" i="9"/>
  <c r="R967" i="9" s="1"/>
  <c r="M966" i="9"/>
  <c r="R966" i="9" s="1"/>
  <c r="M965" i="9"/>
  <c r="R965" i="9" s="1"/>
  <c r="M964" i="9"/>
  <c r="R964" i="9" s="1"/>
  <c r="N963" i="9"/>
  <c r="M123" i="9"/>
  <c r="R123" i="9" s="1"/>
  <c r="M128" i="9"/>
  <c r="R128" i="9" s="1"/>
  <c r="M114" i="9"/>
  <c r="R114" i="9" s="1"/>
  <c r="M113" i="9"/>
  <c r="R113" i="9" s="1"/>
  <c r="M112" i="9"/>
  <c r="R112" i="9" s="1"/>
  <c r="M111" i="9"/>
  <c r="R111" i="9" s="1"/>
  <c r="M110" i="9"/>
  <c r="R110" i="9" s="1"/>
  <c r="M109" i="9"/>
  <c r="R109" i="9" s="1"/>
  <c r="M101" i="9"/>
  <c r="R101" i="9" s="1"/>
  <c r="M95" i="9"/>
  <c r="R95" i="9" s="1"/>
  <c r="M89" i="9"/>
  <c r="R89" i="9" s="1"/>
  <c r="M80" i="9"/>
  <c r="R80" i="9" s="1"/>
  <c r="M81" i="9"/>
  <c r="R81" i="9" s="1"/>
  <c r="M78" i="9"/>
  <c r="R78" i="9" s="1"/>
  <c r="M79" i="9"/>
  <c r="R79" i="9" s="1"/>
  <c r="M77" i="9"/>
  <c r="R77" i="9" s="1"/>
  <c r="J42" i="8"/>
  <c r="S29" i="8"/>
  <c r="J44" i="8"/>
  <c r="U44" i="8" s="1"/>
  <c r="V44" i="8" s="1"/>
  <c r="J43" i="8"/>
  <c r="U43" i="8" s="1"/>
  <c r="BC24" i="15"/>
  <c r="BD24" i="15" s="1"/>
  <c r="BC23" i="15"/>
  <c r="BC22" i="15"/>
  <c r="BC21" i="15"/>
  <c r="BC20" i="15"/>
  <c r="BC19" i="15"/>
  <c r="BC18" i="15"/>
  <c r="BC17" i="15"/>
  <c r="BC16" i="15"/>
  <c r="BC15" i="15"/>
  <c r="BC14" i="15"/>
  <c r="BC13" i="15"/>
  <c r="AQ67" i="15"/>
  <c r="AT67" i="15" s="1"/>
  <c r="AQ66" i="15"/>
  <c r="AQ65" i="15"/>
  <c r="AQ64" i="15"/>
  <c r="AQ63" i="15"/>
  <c r="AQ62" i="15"/>
  <c r="AQ61" i="15"/>
  <c r="AQ60" i="15"/>
  <c r="AQ59" i="15"/>
  <c r="AQ58" i="15"/>
  <c r="AQ57" i="15"/>
  <c r="AQ56" i="15"/>
  <c r="AQ55" i="15"/>
  <c r="AQ54" i="15"/>
  <c r="AQ53" i="15"/>
  <c r="AQ52" i="15"/>
  <c r="AQ51" i="15"/>
  <c r="AQ50" i="15"/>
  <c r="AQ49" i="15"/>
  <c r="AQ48" i="15"/>
  <c r="AQ47" i="15"/>
  <c r="AQ46" i="15"/>
  <c r="AQ45" i="15"/>
  <c r="AQ44" i="15"/>
  <c r="AQ43" i="15"/>
  <c r="AQ42" i="15"/>
  <c r="AQ41" i="15"/>
  <c r="AQ40" i="15"/>
  <c r="AQ39" i="15"/>
  <c r="AQ38" i="15"/>
  <c r="AQ37" i="15"/>
  <c r="AQ36" i="15"/>
  <c r="AQ35" i="15"/>
  <c r="AQ34" i="15"/>
  <c r="AQ33" i="15"/>
  <c r="AQ32" i="15"/>
  <c r="AQ31" i="15"/>
  <c r="AQ30" i="15"/>
  <c r="AQ29" i="15"/>
  <c r="AQ28" i="15"/>
  <c r="AQ27" i="15"/>
  <c r="AQ26" i="15"/>
  <c r="AQ25" i="15"/>
  <c r="AQ24" i="15"/>
  <c r="AQ23" i="15"/>
  <c r="AQ22" i="15"/>
  <c r="AQ21" i="15"/>
  <c r="AQ16" i="15"/>
  <c r="AQ15" i="15"/>
  <c r="AQ14" i="15"/>
  <c r="AQ13" i="15"/>
  <c r="AQ11" i="15"/>
  <c r="AQ12" i="15"/>
  <c r="AQ19" i="15"/>
  <c r="AP97" i="15"/>
  <c r="AP96" i="15" s="1"/>
  <c r="AP95" i="15" s="1"/>
  <c r="AP94" i="15" s="1"/>
  <c r="AP93" i="15" s="1"/>
  <c r="AP92" i="15" s="1"/>
  <c r="AP91" i="15" s="1"/>
  <c r="AP90" i="15" s="1"/>
  <c r="AP89" i="15" s="1"/>
  <c r="AP88" i="15" s="1"/>
  <c r="AP87" i="15" s="1"/>
  <c r="AP86" i="15" s="1"/>
  <c r="AP85" i="15" s="1"/>
  <c r="AP84" i="15" s="1"/>
  <c r="AP83" i="15" s="1"/>
  <c r="AP82" i="15" s="1"/>
  <c r="AP81" i="15" s="1"/>
  <c r="AP80" i="15" s="1"/>
  <c r="AP79" i="15" s="1"/>
  <c r="AP78" i="15" s="1"/>
  <c r="AP77" i="15" s="1"/>
  <c r="AP76" i="15" s="1"/>
  <c r="AP75" i="15" s="1"/>
  <c r="AP74" i="15" s="1"/>
  <c r="AP73" i="15" s="1"/>
  <c r="AP72" i="15" s="1"/>
  <c r="AP71" i="15" s="1"/>
  <c r="AP70" i="15" s="1"/>
  <c r="AP69" i="15" s="1"/>
  <c r="AP68" i="15" s="1"/>
  <c r="AP67" i="15" s="1"/>
  <c r="AP66" i="15" s="1"/>
  <c r="AP65" i="15" s="1"/>
  <c r="AP64" i="15" s="1"/>
  <c r="AP63" i="15" s="1"/>
  <c r="AP62" i="15" s="1"/>
  <c r="P98" i="15"/>
  <c r="P97" i="15"/>
  <c r="P96" i="15"/>
  <c r="P95" i="15"/>
  <c r="P94" i="15"/>
  <c r="P93" i="15"/>
  <c r="P92" i="15"/>
  <c r="P91" i="15"/>
  <c r="P90" i="15"/>
  <c r="P89" i="15"/>
  <c r="P88" i="15"/>
  <c r="P87" i="15"/>
  <c r="P86" i="15"/>
  <c r="P85" i="15"/>
  <c r="P84" i="15"/>
  <c r="P83" i="15"/>
  <c r="P82" i="15"/>
  <c r="P81" i="15"/>
  <c r="E98" i="15"/>
  <c r="E97" i="15"/>
  <c r="E96" i="15"/>
  <c r="E95" i="15"/>
  <c r="E94" i="15"/>
  <c r="E92" i="15"/>
  <c r="E91" i="15"/>
  <c r="E90" i="15"/>
  <c r="E89" i="15"/>
  <c r="E88" i="15"/>
  <c r="E87" i="15"/>
  <c r="E86" i="15"/>
  <c r="E85" i="15"/>
  <c r="E84" i="15"/>
  <c r="E83" i="15"/>
  <c r="E82" i="15"/>
  <c r="E81" i="15"/>
  <c r="E80" i="15"/>
  <c r="E79" i="15"/>
  <c r="E78" i="15"/>
  <c r="E77" i="15"/>
  <c r="P71" i="15"/>
  <c r="P59" i="15"/>
  <c r="P52" i="15"/>
  <c r="P51" i="15"/>
  <c r="P45" i="15"/>
  <c r="P44" i="15"/>
  <c r="P43" i="15"/>
  <c r="P42" i="15"/>
  <c r="P40" i="15"/>
  <c r="P37" i="15"/>
  <c r="P31" i="15"/>
  <c r="P27" i="15"/>
  <c r="P22" i="15"/>
  <c r="P18" i="15"/>
  <c r="P17" i="15"/>
  <c r="P15" i="15"/>
  <c r="P12" i="15"/>
  <c r="E71" i="15"/>
  <c r="E59" i="15"/>
  <c r="E52" i="15"/>
  <c r="E51" i="15"/>
  <c r="E45" i="15"/>
  <c r="E44" i="15"/>
  <c r="E43" i="15"/>
  <c r="E42" i="15"/>
  <c r="E27" i="15"/>
  <c r="E22" i="15"/>
  <c r="E18" i="15"/>
  <c r="E17" i="15"/>
  <c r="E15" i="15"/>
  <c r="E12" i="15"/>
  <c r="D327" i="7"/>
  <c r="D263" i="7"/>
  <c r="D262" i="7"/>
  <c r="D278" i="7"/>
  <c r="D277" i="7"/>
  <c r="M21" i="2"/>
  <c r="D6" i="22"/>
  <c r="M22" i="2" s="1"/>
  <c r="D7" i="22"/>
  <c r="M23" i="2" s="1"/>
  <c r="D8" i="22"/>
  <c r="M24" i="2" s="1"/>
  <c r="D9" i="22"/>
  <c r="M25" i="2" s="1"/>
  <c r="D10" i="22"/>
  <c r="M26" i="2" s="1"/>
  <c r="D17" i="22"/>
  <c r="D16" i="22"/>
  <c r="D15" i="22"/>
  <c r="D13" i="22"/>
  <c r="J39" i="8"/>
  <c r="J40" i="8"/>
  <c r="J38" i="8"/>
  <c r="D59" i="21"/>
  <c r="D58" i="21"/>
  <c r="D57" i="21"/>
  <c r="D56" i="21"/>
  <c r="G59" i="21"/>
  <c r="G58" i="21"/>
  <c r="G57" i="21"/>
  <c r="G56" i="21"/>
  <c r="D46" i="21"/>
  <c r="D60" i="21"/>
  <c r="D47" i="21"/>
  <c r="L59" i="21"/>
  <c r="L58" i="21"/>
  <c r="L57" i="21"/>
  <c r="K59" i="21"/>
  <c r="J59" i="21"/>
  <c r="I59" i="21"/>
  <c r="K58" i="21"/>
  <c r="J58" i="21"/>
  <c r="I58" i="21"/>
  <c r="K57" i="21"/>
  <c r="I57" i="21"/>
  <c r="F60" i="21"/>
  <c r="L60" i="21" s="1"/>
  <c r="F47" i="21"/>
  <c r="F46" i="21"/>
  <c r="E7" i="21"/>
  <c r="BA23" i="14"/>
  <c r="BA22" i="14"/>
  <c r="BA16" i="14"/>
  <c r="BA7" i="14"/>
  <c r="BA8" i="14"/>
  <c r="V43" i="8" l="1"/>
  <c r="U38" i="8"/>
  <c r="W38" i="8"/>
  <c r="Z40" i="8"/>
  <c r="Z39" i="8" s="1"/>
  <c r="Z38" i="8" s="1"/>
  <c r="W40" i="8"/>
  <c r="U40" i="8"/>
  <c r="U39" i="8"/>
  <c r="W39" i="8"/>
  <c r="W25" i="8"/>
  <c r="X25" i="8" s="1"/>
  <c r="W26" i="8"/>
  <c r="X26" i="8" s="1"/>
  <c r="W23" i="8"/>
  <c r="X23" i="8" s="1"/>
  <c r="W28" i="8"/>
  <c r="X28" i="8" s="1"/>
  <c r="Y28" i="8" s="1"/>
  <c r="W24" i="8"/>
  <c r="X24" i="8" s="1"/>
  <c r="U42" i="8"/>
  <c r="W27" i="8"/>
  <c r="X27" i="8" s="1"/>
  <c r="AH41" i="20"/>
  <c r="AJ41" i="20"/>
  <c r="AL41" i="20"/>
  <c r="R41" i="20"/>
  <c r="AN48" i="20"/>
  <c r="AK41" i="20"/>
  <c r="A129" i="5"/>
  <c r="A128" i="5"/>
  <c r="A127" i="5"/>
  <c r="AI41" i="20"/>
  <c r="AG41" i="20"/>
  <c r="A126" i="5"/>
  <c r="G47" i="7"/>
  <c r="D59" i="20"/>
  <c r="R1002" i="9"/>
  <c r="G13" i="7"/>
  <c r="K35" i="33"/>
  <c r="IF28" i="5"/>
  <c r="IG27" i="5"/>
  <c r="BC80" i="21"/>
  <c r="BB129" i="21"/>
  <c r="U72" i="23"/>
  <c r="U71" i="23" s="1"/>
  <c r="U70" i="23" s="1"/>
  <c r="U69" i="23" s="1"/>
  <c r="U68" i="23" s="1"/>
  <c r="U67" i="23" s="1"/>
  <c r="U66" i="23" s="1"/>
  <c r="U65" i="23" s="1"/>
  <c r="U64" i="23" s="1"/>
  <c r="U63" i="23" s="1"/>
  <c r="U62" i="23" s="1"/>
  <c r="U61" i="23" s="1"/>
  <c r="U60" i="23" s="1"/>
  <c r="U59" i="23" s="1"/>
  <c r="U58" i="23" s="1"/>
  <c r="U57" i="23" s="1"/>
  <c r="U56" i="23" s="1"/>
  <c r="U55" i="23" s="1"/>
  <c r="G16" i="7"/>
  <c r="G432" i="7"/>
  <c r="L432" i="7" s="1"/>
  <c r="M432" i="7" s="1"/>
  <c r="AB41" i="20"/>
  <c r="S41" i="20"/>
  <c r="Q41" i="20"/>
  <c r="AA41" i="20"/>
  <c r="Z41" i="20"/>
  <c r="T41" i="20"/>
  <c r="AC41" i="20"/>
  <c r="A125" i="5"/>
  <c r="K35" i="19"/>
  <c r="AN14" i="20"/>
  <c r="L39" i="8"/>
  <c r="T39" i="8" s="1"/>
  <c r="AG58" i="20"/>
  <c r="AG30" i="20" s="1"/>
  <c r="AN16" i="20"/>
  <c r="AN42" i="20"/>
  <c r="M38" i="8"/>
  <c r="M40" i="8"/>
  <c r="AN20" i="20"/>
  <c r="U12" i="23"/>
  <c r="Z16" i="23"/>
  <c r="Z15" i="23" s="1"/>
  <c r="AN15" i="20"/>
  <c r="AN19" i="20"/>
  <c r="AN44" i="20"/>
  <c r="V59" i="20"/>
  <c r="AE59" i="20" s="1"/>
  <c r="AN17" i="20"/>
  <c r="X41" i="20"/>
  <c r="O41" i="20"/>
  <c r="P41" i="20"/>
  <c r="Y41" i="20"/>
  <c r="AN43" i="20"/>
  <c r="M39" i="8"/>
  <c r="BD23" i="15"/>
  <c r="BD22" i="15" s="1"/>
  <c r="BD21" i="15" s="1"/>
  <c r="BD20" i="15" s="1"/>
  <c r="BD19" i="15" s="1"/>
  <c r="BD18" i="15" s="1"/>
  <c r="BD17" i="15" s="1"/>
  <c r="BD16" i="15" s="1"/>
  <c r="BD15" i="15" s="1"/>
  <c r="BD14" i="15" s="1"/>
  <c r="BD13" i="15" s="1"/>
  <c r="L38" i="8"/>
  <c r="T38" i="8" s="1"/>
  <c r="L40" i="8"/>
  <c r="T40" i="8" s="1"/>
  <c r="AB57" i="21"/>
  <c r="Z57" i="21" s="1"/>
  <c r="BI53" i="21"/>
  <c r="L224" i="18"/>
  <c r="S38" i="8"/>
  <c r="S40" i="8"/>
  <c r="S39" i="8"/>
  <c r="L29" i="8"/>
  <c r="T29" i="8" s="1"/>
  <c r="M44" i="8"/>
  <c r="H48" i="21"/>
  <c r="K48" i="21"/>
  <c r="J48" i="21"/>
  <c r="J57" i="21"/>
  <c r="J51" i="18"/>
  <c r="J9" i="18"/>
  <c r="J87" i="23"/>
  <c r="P157" i="10"/>
  <c r="J93" i="18"/>
  <c r="P174" i="10"/>
  <c r="J135" i="18"/>
  <c r="P191" i="10"/>
  <c r="J177" i="18"/>
  <c r="P208" i="10"/>
  <c r="J219" i="18"/>
  <c r="CQ246" i="18" s="1"/>
  <c r="AQ217" i="18"/>
  <c r="BO213" i="10"/>
  <c r="N234" i="18"/>
  <c r="S140" i="10"/>
  <c r="AM14" i="20"/>
  <c r="AM15" i="20"/>
  <c r="AM16" i="20"/>
  <c r="AM17" i="20"/>
  <c r="AM18" i="20"/>
  <c r="AM19" i="20"/>
  <c r="AM20" i="20"/>
  <c r="AM43" i="20"/>
  <c r="AM42" i="20"/>
  <c r="AM44" i="20"/>
  <c r="AM45" i="20"/>
  <c r="AM46" i="20"/>
  <c r="AM47" i="20"/>
  <c r="AM48" i="20"/>
  <c r="U59" i="20"/>
  <c r="AD59" i="20" s="1"/>
  <c r="AT66" i="15"/>
  <c r="AT65" i="15" s="1"/>
  <c r="AT64" i="15" s="1"/>
  <c r="AT63" i="15" s="1"/>
  <c r="AT62" i="15" s="1"/>
  <c r="AT61" i="15" s="1"/>
  <c r="AT60" i="15" s="1"/>
  <c r="AT59" i="15" s="1"/>
  <c r="AT58" i="15" s="1"/>
  <c r="AT57" i="15" s="1"/>
  <c r="AT56" i="15" s="1"/>
  <c r="AT55" i="15" s="1"/>
  <c r="AT54" i="15" s="1"/>
  <c r="AT53" i="15" s="1"/>
  <c r="AT52" i="15" s="1"/>
  <c r="AT51" i="15" s="1"/>
  <c r="AT50" i="15" s="1"/>
  <c r="AT49" i="15" s="1"/>
  <c r="AT48" i="15" s="1"/>
  <c r="AT47" i="15" s="1"/>
  <c r="AT46" i="15" s="1"/>
  <c r="AT45" i="15" s="1"/>
  <c r="AT44" i="15" s="1"/>
  <c r="AT43" i="15" s="1"/>
  <c r="AT42" i="15" s="1"/>
  <c r="AT41" i="15" s="1"/>
  <c r="AT40" i="15" s="1"/>
  <c r="AT39" i="15" s="1"/>
  <c r="AT38" i="15" s="1"/>
  <c r="AT37" i="15" s="1"/>
  <c r="AT36" i="15" s="1"/>
  <c r="AT35" i="15" s="1"/>
  <c r="AT34" i="15" s="1"/>
  <c r="AT33" i="15" s="1"/>
  <c r="AT32" i="15" s="1"/>
  <c r="AT31" i="15" s="1"/>
  <c r="AT30" i="15" s="1"/>
  <c r="AT29" i="15" s="1"/>
  <c r="AT28" i="15" s="1"/>
  <c r="AT27" i="15" s="1"/>
  <c r="AT26" i="15" s="1"/>
  <c r="AT25" i="15" s="1"/>
  <c r="AT24" i="15" s="1"/>
  <c r="AT23" i="15" s="1"/>
  <c r="AT22" i="15" s="1"/>
  <c r="AT21" i="15" s="1"/>
  <c r="AT20" i="15" s="1"/>
  <c r="R213" i="10"/>
  <c r="U42" i="20"/>
  <c r="U43" i="20"/>
  <c r="AD43" i="20" s="1"/>
  <c r="U44" i="20"/>
  <c r="AD44" i="20" s="1"/>
  <c r="U45" i="20"/>
  <c r="AD45" i="20" s="1"/>
  <c r="U46" i="20"/>
  <c r="AD46" i="20" s="1"/>
  <c r="U47" i="20"/>
  <c r="AD47" i="20" s="1"/>
  <c r="U48" i="20"/>
  <c r="AD48" i="20" s="1"/>
  <c r="C6" i="21"/>
  <c r="BC23" i="21"/>
  <c r="BC24" i="21"/>
  <c r="BC26" i="21"/>
  <c r="M43" i="8"/>
  <c r="S123" i="10"/>
  <c r="AK13" i="20"/>
  <c r="AJ13" i="20"/>
  <c r="AH13" i="20"/>
  <c r="AG13" i="20"/>
  <c r="AL13" i="20"/>
  <c r="AI13" i="20"/>
  <c r="T20" i="20"/>
  <c r="AC20" i="20" s="1"/>
  <c r="S20" i="20"/>
  <c r="R20" i="20"/>
  <c r="Q20" i="20"/>
  <c r="Z20" i="20" s="1"/>
  <c r="P20" i="20"/>
  <c r="O20" i="20"/>
  <c r="T19" i="20"/>
  <c r="S19" i="20"/>
  <c r="AB19" i="20" s="1"/>
  <c r="R19" i="20"/>
  <c r="AA19" i="20" s="1"/>
  <c r="Q19" i="20"/>
  <c r="Z19" i="20" s="1"/>
  <c r="P19" i="20"/>
  <c r="Y19" i="20" s="1"/>
  <c r="O19" i="20"/>
  <c r="X19" i="20" s="1"/>
  <c r="T18" i="20"/>
  <c r="AC18" i="20" s="1"/>
  <c r="S18" i="20"/>
  <c r="AB18" i="20" s="1"/>
  <c r="R18" i="20"/>
  <c r="AA18" i="20" s="1"/>
  <c r="Q18" i="20"/>
  <c r="Z18" i="20" s="1"/>
  <c r="P18" i="20"/>
  <c r="Y18" i="20" s="1"/>
  <c r="O18" i="20"/>
  <c r="X18" i="20" s="1"/>
  <c r="T17" i="20"/>
  <c r="AC17" i="20" s="1"/>
  <c r="S17" i="20"/>
  <c r="AB17" i="20" s="1"/>
  <c r="R17" i="20"/>
  <c r="AA17" i="20" s="1"/>
  <c r="Q17" i="20"/>
  <c r="Z17" i="20" s="1"/>
  <c r="P17" i="20"/>
  <c r="Y17" i="20" s="1"/>
  <c r="O17" i="20"/>
  <c r="X17" i="20" s="1"/>
  <c r="T16" i="20"/>
  <c r="AC16" i="20" s="1"/>
  <c r="S16" i="20"/>
  <c r="AB16" i="20" s="1"/>
  <c r="R16" i="20"/>
  <c r="AA16" i="20" s="1"/>
  <c r="Q16" i="20"/>
  <c r="P16" i="20"/>
  <c r="Y16" i="20" s="1"/>
  <c r="O16" i="20"/>
  <c r="X16" i="20" s="1"/>
  <c r="T15" i="20"/>
  <c r="AC15" i="20" s="1"/>
  <c r="S15" i="20"/>
  <c r="AB15" i="20" s="1"/>
  <c r="R15" i="20"/>
  <c r="AA15" i="20" s="1"/>
  <c r="Q15" i="20"/>
  <c r="Z15" i="20" s="1"/>
  <c r="P15" i="20"/>
  <c r="Y15" i="20" s="1"/>
  <c r="O15" i="20"/>
  <c r="X15" i="20" s="1"/>
  <c r="T14" i="20"/>
  <c r="AC14" i="20" s="1"/>
  <c r="S14" i="20"/>
  <c r="AB14" i="20" s="1"/>
  <c r="R14" i="20"/>
  <c r="AA14" i="20" s="1"/>
  <c r="Q14" i="20"/>
  <c r="Z14" i="20" s="1"/>
  <c r="P14" i="20"/>
  <c r="Y14" i="20" s="1"/>
  <c r="O14" i="20"/>
  <c r="X14" i="20" s="1"/>
  <c r="AN7" i="19"/>
  <c r="AN8" i="19" s="1"/>
  <c r="AN9" i="19" s="1"/>
  <c r="AN10" i="19" s="1"/>
  <c r="AN11" i="19" s="1"/>
  <c r="AN12" i="19" s="1"/>
  <c r="AN13" i="19" s="1"/>
  <c r="AN14" i="19" s="1"/>
  <c r="AN15" i="19" s="1"/>
  <c r="AN16" i="19" s="1"/>
  <c r="AN17" i="19" s="1"/>
  <c r="AN18" i="19" s="1"/>
  <c r="AN19" i="19" s="1"/>
  <c r="AN20" i="19" s="1"/>
  <c r="AN21" i="19" s="1"/>
  <c r="AN22" i="19" s="1"/>
  <c r="AN23" i="19" s="1"/>
  <c r="AN24" i="19" s="1"/>
  <c r="AN25" i="19" s="1"/>
  <c r="AF7" i="19"/>
  <c r="AF8" i="19" s="1"/>
  <c r="AF9" i="19" s="1"/>
  <c r="AF10" i="19" s="1"/>
  <c r="AF11" i="19" s="1"/>
  <c r="AF12" i="19" s="1"/>
  <c r="AF13" i="19" s="1"/>
  <c r="AF14" i="19" s="1"/>
  <c r="AF15" i="19" s="1"/>
  <c r="AF16" i="19" s="1"/>
  <c r="AF17" i="19" s="1"/>
  <c r="AF18" i="19" s="1"/>
  <c r="AF19" i="19" s="1"/>
  <c r="AF20" i="19" s="1"/>
  <c r="AF21" i="19" s="1"/>
  <c r="AF22" i="19" s="1"/>
  <c r="AF23" i="19" s="1"/>
  <c r="AF24" i="19" s="1"/>
  <c r="AF25" i="19" s="1"/>
  <c r="AB7" i="19"/>
  <c r="AB8" i="19" s="1"/>
  <c r="AB9" i="19" s="1"/>
  <c r="AB10" i="19" s="1"/>
  <c r="AB11" i="19" s="1"/>
  <c r="AB12" i="19" s="1"/>
  <c r="AB13" i="19" s="1"/>
  <c r="AB14" i="19" s="1"/>
  <c r="AB15" i="19" s="1"/>
  <c r="AB16" i="19" s="1"/>
  <c r="AB17" i="19" s="1"/>
  <c r="AB18" i="19" s="1"/>
  <c r="AB19" i="19" s="1"/>
  <c r="V42" i="8" l="1"/>
  <c r="V40" i="8" s="1"/>
  <c r="V39" i="8" s="1"/>
  <c r="V38" i="8" s="1"/>
  <c r="Y27" i="8"/>
  <c r="Y26" i="8" s="1"/>
  <c r="Y25" i="8" s="1"/>
  <c r="Y24" i="8" s="1"/>
  <c r="Y23" i="8" s="1"/>
  <c r="A49" i="26"/>
  <c r="IG28" i="5"/>
  <c r="IF29" i="5"/>
  <c r="X58" i="20"/>
  <c r="X30" i="20" s="1"/>
  <c r="U54" i="23"/>
  <c r="U53" i="23" s="1"/>
  <c r="U52" i="23"/>
  <c r="U51" i="23" s="1"/>
  <c r="U50" i="23" s="1"/>
  <c r="U49" i="23" s="1"/>
  <c r="U48" i="23" s="1"/>
  <c r="U47" i="23" s="1"/>
  <c r="U46" i="23" s="1"/>
  <c r="U45" i="23" s="1"/>
  <c r="U44" i="23" s="1"/>
  <c r="B49" i="26"/>
  <c r="A50" i="26"/>
  <c r="B50" i="26"/>
  <c r="H8" i="26"/>
  <c r="H10" i="26"/>
  <c r="CY246" i="18"/>
  <c r="FP1" i="26"/>
  <c r="CI246" i="18"/>
  <c r="CA246" i="18"/>
  <c r="BS246" i="18" s="1"/>
  <c r="O58" i="20"/>
  <c r="O30" i="20" s="1"/>
  <c r="FR1" i="26"/>
  <c r="V48" i="21"/>
  <c r="P48" i="21" s="1"/>
  <c r="W48" i="21" s="1"/>
  <c r="V62" i="21" s="1"/>
  <c r="W62" i="21" s="1"/>
  <c r="W61" i="21" s="1"/>
  <c r="W60" i="21" s="1"/>
  <c r="W59" i="21" s="1"/>
  <c r="W58" i="21" s="1"/>
  <c r="W57" i="21" s="1"/>
  <c r="AD229" i="18"/>
  <c r="J245" i="18"/>
  <c r="AO245" i="18"/>
  <c r="FS1" i="18"/>
  <c r="DH234" i="18"/>
  <c r="DH231" i="18"/>
  <c r="DH228" i="18"/>
  <c r="DH225" i="18"/>
  <c r="CC213" i="10"/>
  <c r="BI212" i="10" s="1"/>
  <c r="AG234" i="18"/>
  <c r="H233" i="18" s="1"/>
  <c r="AT213" i="10"/>
  <c r="L229" i="18"/>
  <c r="BP225" i="18"/>
  <c r="BP234" i="18"/>
  <c r="BP183" i="18"/>
  <c r="BP192" i="18"/>
  <c r="BP147" i="18"/>
  <c r="BP108" i="18"/>
  <c r="BP66" i="18"/>
  <c r="BC28" i="21"/>
  <c r="V48" i="20"/>
  <c r="AE48" i="20" s="1"/>
  <c r="V47" i="20"/>
  <c r="AE47" i="20" s="1"/>
  <c r="V46" i="20"/>
  <c r="AE46" i="20" s="1"/>
  <c r="V45" i="20"/>
  <c r="AE45" i="20" s="1"/>
  <c r="V44" i="20"/>
  <c r="AE44" i="20" s="1"/>
  <c r="V43" i="20"/>
  <c r="AE43" i="20" s="1"/>
  <c r="AN41" i="20"/>
  <c r="V42" i="20"/>
  <c r="AD42" i="20"/>
  <c r="AD41" i="20" s="1"/>
  <c r="U41" i="20"/>
  <c r="AM41" i="20"/>
  <c r="AG40" i="20" s="1"/>
  <c r="X20" i="20"/>
  <c r="X13" i="20" s="1"/>
  <c r="O13" i="20"/>
  <c r="Y20" i="20"/>
  <c r="Y13" i="20" s="1"/>
  <c r="P13" i="20"/>
  <c r="AA20" i="20"/>
  <c r="AA13" i="20" s="1"/>
  <c r="R13" i="20"/>
  <c r="AB20" i="20"/>
  <c r="AB13" i="20" s="1"/>
  <c r="S13" i="20"/>
  <c r="AC19" i="20"/>
  <c r="AC13" i="20" s="1"/>
  <c r="T13" i="20"/>
  <c r="Z16" i="20"/>
  <c r="Z13" i="20" s="1"/>
  <c r="Q13" i="20"/>
  <c r="U14" i="20"/>
  <c r="V14" i="20"/>
  <c r="U15" i="20"/>
  <c r="AD15" i="20" s="1"/>
  <c r="V15" i="20"/>
  <c r="AE15" i="20" s="1"/>
  <c r="U16" i="20"/>
  <c r="AD16" i="20" s="1"/>
  <c r="V16" i="20"/>
  <c r="AE16" i="20" s="1"/>
  <c r="U17" i="20"/>
  <c r="AD17" i="20" s="1"/>
  <c r="V17" i="20"/>
  <c r="AE17" i="20" s="1"/>
  <c r="U18" i="20"/>
  <c r="AD18" i="20" s="1"/>
  <c r="V18" i="20"/>
  <c r="AE18" i="20" s="1"/>
  <c r="U19" i="20"/>
  <c r="AD19" i="20" s="1"/>
  <c r="V19" i="20"/>
  <c r="AE19" i="20" s="1"/>
  <c r="U20" i="20"/>
  <c r="AD20" i="20" s="1"/>
  <c r="V20" i="20"/>
  <c r="AE20" i="20" s="1"/>
  <c r="X7" i="19"/>
  <c r="X8" i="19" s="1"/>
  <c r="X9" i="19" s="1"/>
  <c r="X10" i="19" s="1"/>
  <c r="X11" i="19" s="1"/>
  <c r="X12" i="19" s="1"/>
  <c r="X13" i="19" s="1"/>
  <c r="X14" i="19" s="1"/>
  <c r="X15" i="19" s="1"/>
  <c r="X16" i="19" s="1"/>
  <c r="X17" i="19" s="1"/>
  <c r="X18" i="19" s="1"/>
  <c r="X19" i="19" s="1"/>
  <c r="X20" i="19" s="1"/>
  <c r="X21" i="19" s="1"/>
  <c r="X22" i="19" s="1"/>
  <c r="X23" i="19" s="1"/>
  <c r="X24" i="19" s="1"/>
  <c r="X25" i="19" s="1"/>
  <c r="X26" i="19" s="1"/>
  <c r="X27" i="19" s="1"/>
  <c r="X28" i="19" s="1"/>
  <c r="X29" i="19" s="1"/>
  <c r="X30" i="19" s="1"/>
  <c r="X31" i="19" s="1"/>
  <c r="X32" i="19" s="1"/>
  <c r="X33" i="19" s="1"/>
  <c r="X34" i="19" s="1"/>
  <c r="T7" i="19"/>
  <c r="T8" i="19" s="1"/>
  <c r="T9" i="19" s="1"/>
  <c r="T10" i="19" s="1"/>
  <c r="T11" i="19" s="1"/>
  <c r="T12" i="19" s="1"/>
  <c r="T13" i="19" s="1"/>
  <c r="T14" i="19" s="1"/>
  <c r="T15" i="19" s="1"/>
  <c r="T16" i="19" s="1"/>
  <c r="T17" i="19" s="1"/>
  <c r="T18" i="19" s="1"/>
  <c r="T19" i="19" s="1"/>
  <c r="T20" i="19" s="1"/>
  <c r="T21" i="19" s="1"/>
  <c r="T22" i="19" s="1"/>
  <c r="T23" i="19" s="1"/>
  <c r="T24" i="19" s="1"/>
  <c r="T25" i="19" s="1"/>
  <c r="T26" i="19" s="1"/>
  <c r="T27" i="19" s="1"/>
  <c r="T28" i="19" s="1"/>
  <c r="T29" i="19" s="1"/>
  <c r="T30" i="19" s="1"/>
  <c r="T31" i="19" s="1"/>
  <c r="T32" i="19" s="1"/>
  <c r="T33" i="19" s="1"/>
  <c r="T34" i="19" s="1"/>
  <c r="N23" i="13"/>
  <c r="CU39" i="10"/>
  <c r="V6" i="4"/>
  <c r="CC39" i="10"/>
  <c r="BL39" i="10"/>
  <c r="AB39" i="10"/>
  <c r="AS39" i="10"/>
  <c r="J193" i="11"/>
  <c r="L35" i="12"/>
  <c r="L7" i="12"/>
  <c r="I30" i="12"/>
  <c r="I29" i="12"/>
  <c r="I28" i="12"/>
  <c r="I27" i="12"/>
  <c r="I26" i="12"/>
  <c r="I25" i="12"/>
  <c r="I31" i="12"/>
  <c r="B24" i="12"/>
  <c r="AE50" i="26"/>
  <c r="J3" i="12" l="1"/>
  <c r="N35" i="6" s="1"/>
  <c r="IF30" i="5"/>
  <c r="IG29" i="5"/>
  <c r="AA1317" i="9"/>
  <c r="AA1316" i="9" s="1"/>
  <c r="AA1315" i="9" s="1"/>
  <c r="AA1314" i="9" s="1"/>
  <c r="AA1313" i="9" s="1"/>
  <c r="AA1312" i="9" s="1"/>
  <c r="AA1311" i="9" s="1"/>
  <c r="AA1310" i="9" s="1"/>
  <c r="AA1309" i="9" s="1"/>
  <c r="AA1308" i="9" s="1"/>
  <c r="AA1307" i="9" s="1"/>
  <c r="AA1306" i="9" s="1"/>
  <c r="AA1305" i="9" s="1"/>
  <c r="AA1304" i="9" s="1"/>
  <c r="AA1303" i="9" s="1"/>
  <c r="AA1302" i="9" s="1"/>
  <c r="AA1301" i="9" s="1"/>
  <c r="AA1300" i="9" s="1"/>
  <c r="AA1299" i="9" s="1"/>
  <c r="AA1298" i="9" s="1"/>
  <c r="AA1297" i="9" s="1"/>
  <c r="AA1296" i="9" s="1"/>
  <c r="AA1295" i="9" s="1"/>
  <c r="AA1294" i="9" s="1"/>
  <c r="AA1293" i="9" s="1"/>
  <c r="AA1292" i="9" s="1"/>
  <c r="AA1291" i="9" s="1"/>
  <c r="AA1290" i="9" s="1"/>
  <c r="AA1289" i="9" s="1"/>
  <c r="AA1288" i="9" s="1"/>
  <c r="AA1287" i="9" s="1"/>
  <c r="AA1286" i="9" s="1"/>
  <c r="AA1285" i="9" s="1"/>
  <c r="AA1284" i="9" s="1"/>
  <c r="AA1283" i="9" s="1"/>
  <c r="AA1282" i="9" s="1"/>
  <c r="AA1281" i="9" s="1"/>
  <c r="AA1280" i="9" s="1"/>
  <c r="AA1279" i="9" s="1"/>
  <c r="AA1278" i="9" s="1"/>
  <c r="AA1277" i="9" s="1"/>
  <c r="AA1276" i="9" s="1"/>
  <c r="AA1275" i="9" s="1"/>
  <c r="AA1274" i="9" s="1"/>
  <c r="AA1273" i="9" s="1"/>
  <c r="AA1272" i="9" s="1"/>
  <c r="AA1271" i="9" s="1"/>
  <c r="AA1270" i="9" s="1"/>
  <c r="AA1269" i="9" s="1"/>
  <c r="FQ1" i="26"/>
  <c r="V7" i="4"/>
  <c r="V8" i="4" s="1"/>
  <c r="V9" i="4" s="1"/>
  <c r="V10" i="4" s="1"/>
  <c r="V11" i="4" s="1"/>
  <c r="V12" i="4" s="1"/>
  <c r="V13" i="4" s="1"/>
  <c r="V14" i="4" s="1"/>
  <c r="V15" i="4" s="1"/>
  <c r="V16" i="4" s="1"/>
  <c r="V17" i="4" s="1"/>
  <c r="V18" i="4" s="1"/>
  <c r="V19" i="4" s="1"/>
  <c r="V20" i="4" s="1"/>
  <c r="V21" i="4" s="1"/>
  <c r="V22" i="4" s="1"/>
  <c r="V23" i="4" s="1"/>
  <c r="V24" i="4" s="1"/>
  <c r="V25" i="4" s="1"/>
  <c r="V26" i="4" s="1"/>
  <c r="CB1" i="18" s="1"/>
  <c r="U218" i="10"/>
  <c r="Q239" i="18"/>
  <c r="FL108" i="18"/>
  <c r="BX108" i="18"/>
  <c r="FL110" i="18" s="1"/>
  <c r="BT108" i="18"/>
  <c r="FL109" i="18" s="1"/>
  <c r="FL147" i="18"/>
  <c r="BX147" i="18"/>
  <c r="FL149" i="18" s="1"/>
  <c r="BT147" i="18"/>
  <c r="FL148" i="18" s="1"/>
  <c r="FL192" i="18"/>
  <c r="BX192" i="18"/>
  <c r="FL194" i="18" s="1"/>
  <c r="FM194" i="18" s="1"/>
  <c r="BT192" i="18"/>
  <c r="FL193" i="18" s="1"/>
  <c r="FL183" i="18"/>
  <c r="BX183" i="18"/>
  <c r="FL185" i="18" s="1"/>
  <c r="BT183" i="18"/>
  <c r="FL184" i="18" s="1"/>
  <c r="FL234" i="18"/>
  <c r="BX234" i="18"/>
  <c r="FL236" i="18" s="1"/>
  <c r="FM236" i="18" s="1"/>
  <c r="BT234" i="18"/>
  <c r="FL235" i="18" s="1"/>
  <c r="FL225" i="18"/>
  <c r="BX225" i="18"/>
  <c r="FL227" i="18" s="1"/>
  <c r="BT225" i="18"/>
  <c r="FL226" i="18" s="1"/>
  <c r="FL66" i="18"/>
  <c r="BX66" i="18"/>
  <c r="FL68" i="18" s="1"/>
  <c r="FM68" i="18" s="1"/>
  <c r="BT66" i="18"/>
  <c r="FL67" i="18" s="1"/>
  <c r="AE42" i="20"/>
  <c r="AE41" i="20" s="1"/>
  <c r="X40" i="20" s="1"/>
  <c r="V41" i="20"/>
  <c r="O40" i="20" s="1"/>
  <c r="AE14" i="20"/>
  <c r="AE13" i="20" s="1"/>
  <c r="V13" i="20"/>
  <c r="AD14" i="20"/>
  <c r="AD13" i="20" s="1"/>
  <c r="U13" i="20"/>
  <c r="AN13" i="20"/>
  <c r="AM13" i="20"/>
  <c r="X1317" i="9"/>
  <c r="X1316" i="9" s="1"/>
  <c r="X1315" i="9" s="1"/>
  <c r="X1314" i="9" s="1"/>
  <c r="X1313" i="9" s="1"/>
  <c r="X1312" i="9" s="1"/>
  <c r="X1311" i="9" s="1"/>
  <c r="X1310" i="9" s="1"/>
  <c r="X1309" i="9" s="1"/>
  <c r="X1308" i="9" s="1"/>
  <c r="X1307" i="9" s="1"/>
  <c r="X1306" i="9" s="1"/>
  <c r="X1305" i="9" s="1"/>
  <c r="X1304" i="9" s="1"/>
  <c r="X1303" i="9" s="1"/>
  <c r="X1302" i="9" s="1"/>
  <c r="X1301" i="9" s="1"/>
  <c r="X1300" i="9" s="1"/>
  <c r="X1299" i="9" s="1"/>
  <c r="X1298" i="9" s="1"/>
  <c r="X1297" i="9" s="1"/>
  <c r="X1296" i="9" s="1"/>
  <c r="X1295" i="9" s="1"/>
  <c r="X1294" i="9" s="1"/>
  <c r="X1293" i="9" s="1"/>
  <c r="X1292" i="9" s="1"/>
  <c r="X1291" i="9" s="1"/>
  <c r="X1290" i="9" s="1"/>
  <c r="X1289" i="9" s="1"/>
  <c r="X1288" i="9" s="1"/>
  <c r="X1287" i="9" s="1"/>
  <c r="X1286" i="9" s="1"/>
  <c r="X1285" i="9" s="1"/>
  <c r="X1284" i="9" s="1"/>
  <c r="X1283" i="9" s="1"/>
  <c r="X1282" i="9" s="1"/>
  <c r="X1281" i="9" s="1"/>
  <c r="X1280" i="9" s="1"/>
  <c r="X1279" i="9" s="1"/>
  <c r="X1278" i="9" s="1"/>
  <c r="X1277" i="9" s="1"/>
  <c r="X1276" i="9" s="1"/>
  <c r="X1275" i="9" s="1"/>
  <c r="X1274" i="9" s="1"/>
  <c r="X1273" i="9" s="1"/>
  <c r="X1272" i="9" s="1"/>
  <c r="X1271" i="9" s="1"/>
  <c r="X1270" i="9" s="1"/>
  <c r="X1269" i="9" s="1"/>
  <c r="X1268" i="9" s="1"/>
  <c r="X1267" i="9" s="1"/>
  <c r="X1266" i="9" s="1"/>
  <c r="X1265" i="9" s="1"/>
  <c r="X1264" i="9" s="1"/>
  <c r="X1263" i="9" s="1"/>
  <c r="X1262" i="9" s="1"/>
  <c r="X1261" i="9" s="1"/>
  <c r="X1260" i="9" s="1"/>
  <c r="X1259" i="9" s="1"/>
  <c r="X1258" i="9" s="1"/>
  <c r="X1257" i="9" s="1"/>
  <c r="X1256" i="9" s="1"/>
  <c r="X1255" i="9" s="1"/>
  <c r="X1254" i="9" s="1"/>
  <c r="X1253" i="9" s="1"/>
  <c r="X1252" i="9" s="1"/>
  <c r="X1251" i="9" s="1"/>
  <c r="X1250" i="9" s="1"/>
  <c r="X1249" i="9" s="1"/>
  <c r="X1248" i="9" s="1"/>
  <c r="X1247" i="9" s="1"/>
  <c r="X1246" i="9" s="1"/>
  <c r="X1245" i="9" s="1"/>
  <c r="X1244" i="9" s="1"/>
  <c r="X1243" i="9" s="1"/>
  <c r="X1242" i="9" s="1"/>
  <c r="X1241" i="9" s="1"/>
  <c r="X1240" i="9" s="1"/>
  <c r="X1239" i="9" s="1"/>
  <c r="X1238" i="9" s="1"/>
  <c r="X1237" i="9" s="1"/>
  <c r="X1236" i="9" s="1"/>
  <c r="X1235" i="9" s="1"/>
  <c r="X1234" i="9" s="1"/>
  <c r="X1233" i="9" s="1"/>
  <c r="X1232" i="9" s="1"/>
  <c r="X1231" i="9" s="1"/>
  <c r="X1230" i="9" s="1"/>
  <c r="X1229" i="9" s="1"/>
  <c r="X1228" i="9" s="1"/>
  <c r="X1227" i="9" s="1"/>
  <c r="X1226" i="9" s="1"/>
  <c r="X1225" i="9" s="1"/>
  <c r="X1224" i="9" s="1"/>
  <c r="X1223" i="9" s="1"/>
  <c r="X1222" i="9" s="1"/>
  <c r="X1221" i="9" s="1"/>
  <c r="X1220" i="9" s="1"/>
  <c r="X1219" i="9" s="1"/>
  <c r="X1218" i="9" s="1"/>
  <c r="X1217" i="9" s="1"/>
  <c r="X1216" i="9" s="1"/>
  <c r="X1215" i="9" s="1"/>
  <c r="X1214" i="9" s="1"/>
  <c r="X1213" i="9" s="1"/>
  <c r="X1212" i="9" s="1"/>
  <c r="X1211" i="9" s="1"/>
  <c r="X1210" i="9" s="1"/>
  <c r="X1209" i="9" s="1"/>
  <c r="X1208" i="9" s="1"/>
  <c r="X1207" i="9" s="1"/>
  <c r="X1206" i="9" s="1"/>
  <c r="X1205" i="9" s="1"/>
  <c r="X1204" i="9" s="1"/>
  <c r="X1203" i="9" s="1"/>
  <c r="X1202" i="9" s="1"/>
  <c r="X1201" i="9" s="1"/>
  <c r="X1200" i="9" s="1"/>
  <c r="X1199" i="9" s="1"/>
  <c r="X1198" i="9" s="1"/>
  <c r="X1197" i="9" s="1"/>
  <c r="X1196" i="9" s="1"/>
  <c r="X1195" i="9" s="1"/>
  <c r="X1194" i="9" s="1"/>
  <c r="X1193" i="9" s="1"/>
  <c r="X1192" i="9" s="1"/>
  <c r="X1191" i="9" s="1"/>
  <c r="X1190" i="9" s="1"/>
  <c r="X1189" i="9" s="1"/>
  <c r="X1188" i="9" s="1"/>
  <c r="X1187" i="9" s="1"/>
  <c r="X1186" i="9" s="1"/>
  <c r="X1185" i="9" s="1"/>
  <c r="X1184" i="9" s="1"/>
  <c r="X1183" i="9" s="1"/>
  <c r="X1182" i="9" s="1"/>
  <c r="X1181" i="9" s="1"/>
  <c r="X1180" i="9" s="1"/>
  <c r="X1179" i="9" s="1"/>
  <c r="X1178" i="9" s="1"/>
  <c r="X1177" i="9" s="1"/>
  <c r="X1176" i="9" s="1"/>
  <c r="X1175" i="9" s="1"/>
  <c r="X1174" i="9" s="1"/>
  <c r="X1173" i="9" s="1"/>
  <c r="X1172" i="9" s="1"/>
  <c r="X1171" i="9" s="1"/>
  <c r="X1170" i="9" s="1"/>
  <c r="X1169" i="9" s="1"/>
  <c r="X1168" i="9" s="1"/>
  <c r="X1167" i="9" s="1"/>
  <c r="X1166" i="9" s="1"/>
  <c r="X1165" i="9" s="1"/>
  <c r="X1164" i="9" s="1"/>
  <c r="X1163" i="9" s="1"/>
  <c r="X1162" i="9" s="1"/>
  <c r="X1161" i="9" s="1"/>
  <c r="X1160" i="9" s="1"/>
  <c r="X1159" i="9" s="1"/>
  <c r="X1158" i="9" s="1"/>
  <c r="X1157" i="9" s="1"/>
  <c r="X1156" i="9" s="1"/>
  <c r="X1155" i="9" s="1"/>
  <c r="X1154" i="9" s="1"/>
  <c r="X1153" i="9" s="1"/>
  <c r="X1152" i="9" s="1"/>
  <c r="X1151" i="9" s="1"/>
  <c r="X1150" i="9" s="1"/>
  <c r="X1149" i="9" s="1"/>
  <c r="X1148" i="9" s="1"/>
  <c r="X1147" i="9" s="1"/>
  <c r="X1146" i="9" s="1"/>
  <c r="X1145" i="9" s="1"/>
  <c r="X1144" i="9" s="1"/>
  <c r="X1143" i="9" s="1"/>
  <c r="X1142" i="9" s="1"/>
  <c r="X1141" i="9" s="1"/>
  <c r="X1140" i="9" s="1"/>
  <c r="X1139" i="9" s="1"/>
  <c r="X1138" i="9" s="1"/>
  <c r="X1137" i="9" s="1"/>
  <c r="X1136" i="9" s="1"/>
  <c r="X1135" i="9" s="1"/>
  <c r="X1134" i="9" s="1"/>
  <c r="X1133" i="9" s="1"/>
  <c r="X1132" i="9" s="1"/>
  <c r="X1131" i="9" s="1"/>
  <c r="X1130" i="9" s="1"/>
  <c r="X1129" i="9" s="1"/>
  <c r="X1128" i="9" s="1"/>
  <c r="X1127" i="9" s="1"/>
  <c r="X1126" i="9" s="1"/>
  <c r="X1125" i="9" s="1"/>
  <c r="X1124" i="9" s="1"/>
  <c r="X1123" i="9" s="1"/>
  <c r="X1122" i="9" s="1"/>
  <c r="X1121" i="9" s="1"/>
  <c r="X1120" i="9" s="1"/>
  <c r="X1119" i="9" s="1"/>
  <c r="X1118" i="9" s="1"/>
  <c r="X1117" i="9" s="1"/>
  <c r="X1116" i="9" s="1"/>
  <c r="X1115" i="9" s="1"/>
  <c r="X1114" i="9" s="1"/>
  <c r="X1113" i="9" s="1"/>
  <c r="X1112" i="9" s="1"/>
  <c r="X1111" i="9" s="1"/>
  <c r="X1110" i="9" s="1"/>
  <c r="X1109" i="9" s="1"/>
  <c r="X1108" i="9" s="1"/>
  <c r="X1107" i="9" s="1"/>
  <c r="X1106" i="9" s="1"/>
  <c r="X1105" i="9" s="1"/>
  <c r="X1104" i="9" s="1"/>
  <c r="X1103" i="9" s="1"/>
  <c r="X1102" i="9" s="1"/>
  <c r="X1101" i="9" s="1"/>
  <c r="X1100" i="9" s="1"/>
  <c r="X1099" i="9" s="1"/>
  <c r="X1098" i="9" s="1"/>
  <c r="X1097" i="9" s="1"/>
  <c r="X1096" i="9" s="1"/>
  <c r="X1095" i="9" s="1"/>
  <c r="X1094" i="9" s="1"/>
  <c r="X1093" i="9" s="1"/>
  <c r="X1092" i="9" s="1"/>
  <c r="X1091" i="9" s="1"/>
  <c r="X1090" i="9" s="1"/>
  <c r="X1089" i="9" s="1"/>
  <c r="X1088" i="9" s="1"/>
  <c r="X1087" i="9" s="1"/>
  <c r="X1086" i="9" s="1"/>
  <c r="X1085" i="9" s="1"/>
  <c r="X1084" i="9" s="1"/>
  <c r="X1083" i="9" s="1"/>
  <c r="X1082" i="9" s="1"/>
  <c r="X1081" i="9" s="1"/>
  <c r="X1080" i="9" s="1"/>
  <c r="X1079" i="9" s="1"/>
  <c r="X1078" i="9" s="1"/>
  <c r="X1077" i="9" s="1"/>
  <c r="X1076" i="9" s="1"/>
  <c r="X1075" i="9" s="1"/>
  <c r="X1074" i="9" s="1"/>
  <c r="X1073" i="9" s="1"/>
  <c r="X1072" i="9" s="1"/>
  <c r="X1071" i="9" s="1"/>
  <c r="X1070" i="9" s="1"/>
  <c r="X1069" i="9" s="1"/>
  <c r="X1068" i="9" s="1"/>
  <c r="X1067" i="9" s="1"/>
  <c r="X1066" i="9" s="1"/>
  <c r="X1065" i="9" s="1"/>
  <c r="X1064" i="9" s="1"/>
  <c r="X1063" i="9" s="1"/>
  <c r="X1062" i="9" s="1"/>
  <c r="X1061" i="9" s="1"/>
  <c r="X1060" i="9" s="1"/>
  <c r="X1059" i="9" s="1"/>
  <c r="X1058" i="9" s="1"/>
  <c r="X1057" i="9" s="1"/>
  <c r="X1056" i="9" s="1"/>
  <c r="X1055" i="9" s="1"/>
  <c r="X1054" i="9" s="1"/>
  <c r="X1053" i="9" s="1"/>
  <c r="X1052" i="9" s="1"/>
  <c r="X1051" i="9" s="1"/>
  <c r="X1050" i="9" s="1"/>
  <c r="X1049" i="9" s="1"/>
  <c r="X1048" i="9" s="1"/>
  <c r="X1047" i="9" s="1"/>
  <c r="X1046" i="9" s="1"/>
  <c r="X1045" i="9" s="1"/>
  <c r="X1044" i="9" s="1"/>
  <c r="X1043" i="9" s="1"/>
  <c r="X1042" i="9" s="1"/>
  <c r="X1041" i="9" s="1"/>
  <c r="X1040" i="9" s="1"/>
  <c r="X1039" i="9" s="1"/>
  <c r="X1038" i="9" s="1"/>
  <c r="X1037" i="9" s="1"/>
  <c r="X1036" i="9" s="1"/>
  <c r="X1035" i="9" s="1"/>
  <c r="X1034" i="9" s="1"/>
  <c r="X1033" i="9" s="1"/>
  <c r="X1032" i="9" s="1"/>
  <c r="X1031" i="9" s="1"/>
  <c r="X1030" i="9" s="1"/>
  <c r="X1029" i="9" s="1"/>
  <c r="X1028" i="9" s="1"/>
  <c r="X1027" i="9" s="1"/>
  <c r="X1026" i="9" s="1"/>
  <c r="X1025" i="9" s="1"/>
  <c r="X1024" i="9" s="1"/>
  <c r="X1023" i="9" s="1"/>
  <c r="X1022" i="9" s="1"/>
  <c r="X1021" i="9" s="1"/>
  <c r="X1020" i="9" s="1"/>
  <c r="X1019" i="9" s="1"/>
  <c r="X1018" i="9" s="1"/>
  <c r="X1017" i="9" s="1"/>
  <c r="X1016" i="9" s="1"/>
  <c r="X1015" i="9" s="1"/>
  <c r="X1014" i="9" s="1"/>
  <c r="X1013" i="9" s="1"/>
  <c r="X1012" i="9" s="1"/>
  <c r="X1011" i="9" s="1"/>
  <c r="X1010" i="9" s="1"/>
  <c r="X1009" i="9" s="1"/>
  <c r="X1008" i="9" s="1"/>
  <c r="X1007" i="9" s="1"/>
  <c r="X1006" i="9" s="1"/>
  <c r="X1005" i="9" s="1"/>
  <c r="X1004" i="9" s="1"/>
  <c r="X1003" i="9" s="1"/>
  <c r="X1002" i="9" s="1"/>
  <c r="X1001" i="9" s="1"/>
  <c r="X1000" i="9" s="1"/>
  <c r="X999" i="9" s="1"/>
  <c r="X998" i="9" s="1"/>
  <c r="X997" i="9" s="1"/>
  <c r="X996" i="9" s="1"/>
  <c r="X995" i="9" s="1"/>
  <c r="X994" i="9" s="1"/>
  <c r="X993" i="9" s="1"/>
  <c r="X992" i="9" s="1"/>
  <c r="X991" i="9" s="1"/>
  <c r="X990" i="9" s="1"/>
  <c r="X989" i="9" s="1"/>
  <c r="X988" i="9" s="1"/>
  <c r="X987" i="9" s="1"/>
  <c r="X986" i="9" s="1"/>
  <c r="X985" i="9" s="1"/>
  <c r="X984" i="9" s="1"/>
  <c r="X983" i="9" s="1"/>
  <c r="X982" i="9" s="1"/>
  <c r="X981" i="9" s="1"/>
  <c r="X980" i="9" s="1"/>
  <c r="X979" i="9" s="1"/>
  <c r="X978" i="9" s="1"/>
  <c r="X977" i="9" s="1"/>
  <c r="X976" i="9" s="1"/>
  <c r="X975" i="9" s="1"/>
  <c r="X974" i="9" s="1"/>
  <c r="X973" i="9" s="1"/>
  <c r="X972" i="9" s="1"/>
  <c r="X971" i="9" s="1"/>
  <c r="X970" i="9" s="1"/>
  <c r="X969" i="9" s="1"/>
  <c r="X968" i="9" s="1"/>
  <c r="X967" i="9" s="1"/>
  <c r="X966" i="9" s="1"/>
  <c r="X965" i="9" s="1"/>
  <c r="X964" i="9" s="1"/>
  <c r="X963" i="9" s="1"/>
  <c r="X962" i="9" s="1"/>
  <c r="X961" i="9" s="1"/>
  <c r="X960" i="9" s="1"/>
  <c r="X959" i="9" s="1"/>
  <c r="X958" i="9" s="1"/>
  <c r="X957" i="9" s="1"/>
  <c r="X956" i="9" s="1"/>
  <c r="X955" i="9" s="1"/>
  <c r="X954" i="9" s="1"/>
  <c r="X953" i="9" s="1"/>
  <c r="X952" i="9" s="1"/>
  <c r="X951" i="9" s="1"/>
  <c r="X950" i="9" s="1"/>
  <c r="X949" i="9" s="1"/>
  <c r="X948" i="9" s="1"/>
  <c r="X947" i="9" s="1"/>
  <c r="X946" i="9" s="1"/>
  <c r="X945" i="9" s="1"/>
  <c r="X944" i="9" s="1"/>
  <c r="X943" i="9" s="1"/>
  <c r="X942" i="9" s="1"/>
  <c r="X941" i="9" s="1"/>
  <c r="X940" i="9" s="1"/>
  <c r="X939" i="9" s="1"/>
  <c r="X938" i="9" s="1"/>
  <c r="X937" i="9" s="1"/>
  <c r="X936" i="9" s="1"/>
  <c r="X935" i="9" s="1"/>
  <c r="X934" i="9" s="1"/>
  <c r="X933" i="9" s="1"/>
  <c r="X932" i="9" s="1"/>
  <c r="X931" i="9" s="1"/>
  <c r="X930" i="9" s="1"/>
  <c r="X929" i="9" s="1"/>
  <c r="X928" i="9" s="1"/>
  <c r="X927" i="9" s="1"/>
  <c r="X926" i="9" s="1"/>
  <c r="X925" i="9" s="1"/>
  <c r="X924" i="9" s="1"/>
  <c r="X923" i="9" s="1"/>
  <c r="X922" i="9" s="1"/>
  <c r="X921" i="9" s="1"/>
  <c r="X920" i="9" s="1"/>
  <c r="X919" i="9" s="1"/>
  <c r="X918" i="9" s="1"/>
  <c r="X917" i="9" s="1"/>
  <c r="X916" i="9" s="1"/>
  <c r="X915" i="9" s="1"/>
  <c r="X914" i="9" s="1"/>
  <c r="X913" i="9" s="1"/>
  <c r="X912" i="9" s="1"/>
  <c r="X911" i="9" s="1"/>
  <c r="X910" i="9" s="1"/>
  <c r="X909" i="9" s="1"/>
  <c r="X908" i="9" s="1"/>
  <c r="X907" i="9" s="1"/>
  <c r="X906" i="9" s="1"/>
  <c r="X905" i="9" s="1"/>
  <c r="X904" i="9" s="1"/>
  <c r="X903" i="9" s="1"/>
  <c r="X902" i="9" s="1"/>
  <c r="X901" i="9" s="1"/>
  <c r="X900" i="9" s="1"/>
  <c r="X899" i="9" s="1"/>
  <c r="X898" i="9" s="1"/>
  <c r="X897" i="9" s="1"/>
  <c r="X896" i="9" s="1"/>
  <c r="X895" i="9" s="1"/>
  <c r="X894" i="9" s="1"/>
  <c r="X893" i="9" s="1"/>
  <c r="X892" i="9" s="1"/>
  <c r="X891" i="9" s="1"/>
  <c r="X890" i="9" s="1"/>
  <c r="L22" i="12"/>
  <c r="L3" i="12"/>
  <c r="E12" i="26"/>
  <c r="X889" i="9" l="1"/>
  <c r="X888" i="9" s="1"/>
  <c r="X887" i="9" s="1"/>
  <c r="X886" i="9" s="1"/>
  <c r="X885" i="9" s="1"/>
  <c r="X884" i="9" s="1"/>
  <c r="X883" i="9" s="1"/>
  <c r="X882" i="9" s="1"/>
  <c r="X881" i="9" s="1"/>
  <c r="X880" i="9" s="1"/>
  <c r="X879" i="9" s="1"/>
  <c r="X878" i="9" s="1"/>
  <c r="X877" i="9" s="1"/>
  <c r="X876" i="9" s="1"/>
  <c r="X875" i="9" s="1"/>
  <c r="X874" i="9" s="1"/>
  <c r="X873" i="9" s="1"/>
  <c r="X872" i="9" s="1"/>
  <c r="X871" i="9" s="1"/>
  <c r="X870" i="9" s="1"/>
  <c r="X869" i="9" s="1"/>
  <c r="X868" i="9" s="1"/>
  <c r="X867" i="9" s="1"/>
  <c r="X866" i="9" s="1"/>
  <c r="X865" i="9" s="1"/>
  <c r="X864" i="9" s="1"/>
  <c r="X863" i="9" s="1"/>
  <c r="X862" i="9" s="1"/>
  <c r="X861" i="9" s="1"/>
  <c r="X860" i="9" s="1"/>
  <c r="X859" i="9" s="1"/>
  <c r="X858" i="9" s="1"/>
  <c r="X857" i="9" s="1"/>
  <c r="X856" i="9" s="1"/>
  <c r="X855" i="9" s="1"/>
  <c r="X854" i="9" s="1"/>
  <c r="X853" i="9" s="1"/>
  <c r="X852" i="9" s="1"/>
  <c r="X851" i="9" s="1"/>
  <c r="X850" i="9" s="1"/>
  <c r="X849" i="9" s="1"/>
  <c r="X848" i="9" s="1"/>
  <c r="X847" i="9" s="1"/>
  <c r="X846" i="9" s="1"/>
  <c r="X845" i="9" s="1"/>
  <c r="X844" i="9" s="1"/>
  <c r="X843" i="9" s="1"/>
  <c r="X842" i="9" s="1"/>
  <c r="X841" i="9" s="1"/>
  <c r="X840" i="9" s="1"/>
  <c r="X839" i="9" s="1"/>
  <c r="X838" i="9" s="1"/>
  <c r="X837" i="9" s="1"/>
  <c r="X836" i="9" s="1"/>
  <c r="X835" i="9" s="1"/>
  <c r="X834" i="9" s="1"/>
  <c r="X833" i="9" s="1"/>
  <c r="X832" i="9" s="1"/>
  <c r="X831" i="9" s="1"/>
  <c r="X830" i="9" s="1"/>
  <c r="X829" i="9" s="1"/>
  <c r="X828" i="9" s="1"/>
  <c r="X827" i="9" s="1"/>
  <c r="X826" i="9" s="1"/>
  <c r="X825" i="9" s="1"/>
  <c r="X824" i="9" s="1"/>
  <c r="X823" i="9" s="1"/>
  <c r="X822" i="9" s="1"/>
  <c r="X821" i="9" s="1"/>
  <c r="X820" i="9" s="1"/>
  <c r="X819" i="9" s="1"/>
  <c r="X818" i="9" s="1"/>
  <c r="X817" i="9" s="1"/>
  <c r="X816" i="9" s="1"/>
  <c r="X815" i="9" s="1"/>
  <c r="X814" i="9" s="1"/>
  <c r="X813" i="9" s="1"/>
  <c r="X812" i="9" s="1"/>
  <c r="X811" i="9" s="1"/>
  <c r="X810" i="9" s="1"/>
  <c r="X809" i="9" s="1"/>
  <c r="X808" i="9" s="1"/>
  <c r="X807" i="9" s="1"/>
  <c r="X806" i="9" s="1"/>
  <c r="X805" i="9" s="1"/>
  <c r="X804" i="9" s="1"/>
  <c r="X803" i="9" s="1"/>
  <c r="X802" i="9" s="1"/>
  <c r="X801" i="9" s="1"/>
  <c r="X800" i="9" s="1"/>
  <c r="X799" i="9" s="1"/>
  <c r="X798" i="9" s="1"/>
  <c r="X797" i="9" s="1"/>
  <c r="X796" i="9" s="1"/>
  <c r="X795" i="9" s="1"/>
  <c r="X794" i="9" s="1"/>
  <c r="X793" i="9" s="1"/>
  <c r="X792" i="9" s="1"/>
  <c r="X791" i="9" s="1"/>
  <c r="X790" i="9" s="1"/>
  <c r="X789" i="9" s="1"/>
  <c r="X788" i="9" s="1"/>
  <c r="X787" i="9" s="1"/>
  <c r="X786" i="9" s="1"/>
  <c r="X785" i="9" s="1"/>
  <c r="X784" i="9" s="1"/>
  <c r="X783" i="9" s="1"/>
  <c r="X782" i="9" s="1"/>
  <c r="X781" i="9" s="1"/>
  <c r="X780" i="9" s="1"/>
  <c r="X779" i="9" s="1"/>
  <c r="X778" i="9" s="1"/>
  <c r="X777" i="9" s="1"/>
  <c r="X776" i="9" s="1"/>
  <c r="X775" i="9" s="1"/>
  <c r="X774" i="9" s="1"/>
  <c r="X773" i="9" s="1"/>
  <c r="X772" i="9" s="1"/>
  <c r="X771" i="9" s="1"/>
  <c r="X770" i="9" s="1"/>
  <c r="X769" i="9" s="1"/>
  <c r="X768" i="9" s="1"/>
  <c r="X767" i="9" s="1"/>
  <c r="X766" i="9" s="1"/>
  <c r="X765" i="9" s="1"/>
  <c r="X764" i="9" s="1"/>
  <c r="X763" i="9" s="1"/>
  <c r="X762" i="9" s="1"/>
  <c r="X761" i="9" s="1"/>
  <c r="X760" i="9" s="1"/>
  <c r="X759" i="9" s="1"/>
  <c r="X758" i="9" s="1"/>
  <c r="X757" i="9" s="1"/>
  <c r="X756" i="9" s="1"/>
  <c r="X755" i="9" s="1"/>
  <c r="X754" i="9" s="1"/>
  <c r="X753" i="9" s="1"/>
  <c r="X752" i="9" s="1"/>
  <c r="X751" i="9" s="1"/>
  <c r="X750" i="9" s="1"/>
  <c r="X749" i="9" s="1"/>
  <c r="X748" i="9" s="1"/>
  <c r="X747" i="9" s="1"/>
  <c r="X746" i="9" s="1"/>
  <c r="X745" i="9" s="1"/>
  <c r="X744" i="9" s="1"/>
  <c r="X743" i="9" s="1"/>
  <c r="X742" i="9" s="1"/>
  <c r="X741" i="9" s="1"/>
  <c r="X740" i="9" s="1"/>
  <c r="X739" i="9" s="1"/>
  <c r="X738" i="9" s="1"/>
  <c r="X737" i="9" s="1"/>
  <c r="X736" i="9" s="1"/>
  <c r="X735" i="9" s="1"/>
  <c r="X734" i="9" s="1"/>
  <c r="X733" i="9" s="1"/>
  <c r="X732" i="9" s="1"/>
  <c r="X731" i="9" s="1"/>
  <c r="X730" i="9" s="1"/>
  <c r="X729" i="9" s="1"/>
  <c r="X728" i="9" s="1"/>
  <c r="X727" i="9" s="1"/>
  <c r="X726" i="9" s="1"/>
  <c r="X725" i="9" s="1"/>
  <c r="X724" i="9" s="1"/>
  <c r="X723" i="9" s="1"/>
  <c r="X722" i="9" s="1"/>
  <c r="X721" i="9" s="1"/>
  <c r="X720" i="9" s="1"/>
  <c r="X719" i="9" s="1"/>
  <c r="X718" i="9" s="1"/>
  <c r="X717" i="9" s="1"/>
  <c r="X716" i="9" s="1"/>
  <c r="X715" i="9" s="1"/>
  <c r="X714" i="9" s="1"/>
  <c r="X713" i="9" s="1"/>
  <c r="X712" i="9" s="1"/>
  <c r="X711" i="9" s="1"/>
  <c r="X710" i="9" s="1"/>
  <c r="X709" i="9" s="1"/>
  <c r="X708" i="9" s="1"/>
  <c r="X707" i="9" s="1"/>
  <c r="X706" i="9" s="1"/>
  <c r="X705" i="9" s="1"/>
  <c r="X704" i="9" s="1"/>
  <c r="X703" i="9" s="1"/>
  <c r="X702" i="9" s="1"/>
  <c r="X701" i="9" s="1"/>
  <c r="X700" i="9" s="1"/>
  <c r="X699" i="9" s="1"/>
  <c r="X698" i="9" s="1"/>
  <c r="X697" i="9" s="1"/>
  <c r="X696" i="9" s="1"/>
  <c r="X695" i="9" s="1"/>
  <c r="X694" i="9" s="1"/>
  <c r="X693" i="9" s="1"/>
  <c r="X692" i="9" s="1"/>
  <c r="X691" i="9" s="1"/>
  <c r="X690" i="9" s="1"/>
  <c r="X689" i="9" s="1"/>
  <c r="X688" i="9" s="1"/>
  <c r="X687" i="9" s="1"/>
  <c r="X686" i="9" s="1"/>
  <c r="X685" i="9" s="1"/>
  <c r="X684" i="9" s="1"/>
  <c r="X683" i="9" s="1"/>
  <c r="X682" i="9" s="1"/>
  <c r="X681" i="9" s="1"/>
  <c r="X680" i="9" s="1"/>
  <c r="X679" i="9" s="1"/>
  <c r="X678" i="9" s="1"/>
  <c r="X677" i="9" s="1"/>
  <c r="X676" i="9" s="1"/>
  <c r="X675" i="9" s="1"/>
  <c r="X674" i="9" s="1"/>
  <c r="X673" i="9" s="1"/>
  <c r="X672" i="9" s="1"/>
  <c r="X671" i="9" s="1"/>
  <c r="X670" i="9" s="1"/>
  <c r="X669" i="9" s="1"/>
  <c r="X668" i="9" s="1"/>
  <c r="X667" i="9" s="1"/>
  <c r="X666" i="9" s="1"/>
  <c r="X665" i="9" s="1"/>
  <c r="X664" i="9" s="1"/>
  <c r="X663" i="9" s="1"/>
  <c r="X662" i="9" s="1"/>
  <c r="X661" i="9" s="1"/>
  <c r="X660" i="9" s="1"/>
  <c r="X659" i="9" s="1"/>
  <c r="X658" i="9" s="1"/>
  <c r="X657" i="9" s="1"/>
  <c r="X656" i="9" s="1"/>
  <c r="X655" i="9" s="1"/>
  <c r="X654" i="9" s="1"/>
  <c r="X653" i="9" s="1"/>
  <c r="X652" i="9" s="1"/>
  <c r="X651" i="9" s="1"/>
  <c r="X650" i="9" s="1"/>
  <c r="X649" i="9" s="1"/>
  <c r="X648" i="9" s="1"/>
  <c r="X647" i="9" s="1"/>
  <c r="X646" i="9" s="1"/>
  <c r="X645" i="9" s="1"/>
  <c r="X644" i="9" s="1"/>
  <c r="X643" i="9" s="1"/>
  <c r="X642" i="9" s="1"/>
  <c r="X641" i="9" s="1"/>
  <c r="X640" i="9" s="1"/>
  <c r="X639" i="9" s="1"/>
  <c r="X638" i="9" s="1"/>
  <c r="X637" i="9" s="1"/>
  <c r="X636" i="9" s="1"/>
  <c r="X635" i="9" s="1"/>
  <c r="X634" i="9" s="1"/>
  <c r="X633" i="9" s="1"/>
  <c r="X632" i="9" s="1"/>
  <c r="X631" i="9" s="1"/>
  <c r="X630" i="9" s="1"/>
  <c r="X629" i="9" s="1"/>
  <c r="X628" i="9" s="1"/>
  <c r="X627" i="9" s="1"/>
  <c r="X626" i="9" s="1"/>
  <c r="X625" i="9" s="1"/>
  <c r="X624" i="9" s="1"/>
  <c r="X623" i="9" s="1"/>
  <c r="X622" i="9" s="1"/>
  <c r="X621" i="9" s="1"/>
  <c r="X620" i="9" s="1"/>
  <c r="X619" i="9" s="1"/>
  <c r="X618" i="9" s="1"/>
  <c r="X617" i="9" s="1"/>
  <c r="X616" i="9" s="1"/>
  <c r="X615" i="9" s="1"/>
  <c r="X614" i="9" s="1"/>
  <c r="X613" i="9" s="1"/>
  <c r="X612" i="9" s="1"/>
  <c r="X611" i="9" s="1"/>
  <c r="X610" i="9" s="1"/>
  <c r="X609" i="9" s="1"/>
  <c r="X608" i="9" s="1"/>
  <c r="X607" i="9" s="1"/>
  <c r="X606" i="9" s="1"/>
  <c r="X605" i="9" s="1"/>
  <c r="X604" i="9" s="1"/>
  <c r="X603" i="9" s="1"/>
  <c r="X602" i="9" s="1"/>
  <c r="X601" i="9" s="1"/>
  <c r="X600" i="9" s="1"/>
  <c r="X599" i="9" s="1"/>
  <c r="X598" i="9" s="1"/>
  <c r="X597" i="9" s="1"/>
  <c r="X596" i="9" s="1"/>
  <c r="X595" i="9" s="1"/>
  <c r="X594" i="9" s="1"/>
  <c r="X593" i="9" s="1"/>
  <c r="X592" i="9" s="1"/>
  <c r="X591" i="9" s="1"/>
  <c r="X590" i="9" s="1"/>
  <c r="X589" i="9" s="1"/>
  <c r="X588" i="9" s="1"/>
  <c r="X587" i="9" s="1"/>
  <c r="X586" i="9" s="1"/>
  <c r="X585" i="9" s="1"/>
  <c r="X584" i="9" s="1"/>
  <c r="X583" i="9" s="1"/>
  <c r="X582" i="9" s="1"/>
  <c r="X581" i="9" s="1"/>
  <c r="X580" i="9" s="1"/>
  <c r="X579" i="9" s="1"/>
  <c r="X578" i="9" s="1"/>
  <c r="X577" i="9" s="1"/>
  <c r="X576" i="9" s="1"/>
  <c r="X575" i="9" s="1"/>
  <c r="X574" i="9" s="1"/>
  <c r="X573" i="9" s="1"/>
  <c r="X572" i="9" s="1"/>
  <c r="X571" i="9" s="1"/>
  <c r="X570" i="9" s="1"/>
  <c r="X569" i="9" s="1"/>
  <c r="X568" i="9" s="1"/>
  <c r="X567" i="9" s="1"/>
  <c r="X566" i="9" s="1"/>
  <c r="X565" i="9" s="1"/>
  <c r="X564" i="9" s="1"/>
  <c r="X563" i="9" s="1"/>
  <c r="X562" i="9" s="1"/>
  <c r="X561" i="9" s="1"/>
  <c r="X560" i="9" s="1"/>
  <c r="X559" i="9" s="1"/>
  <c r="X558" i="9" s="1"/>
  <c r="X557" i="9" s="1"/>
  <c r="X556" i="9" s="1"/>
  <c r="X555" i="9" s="1"/>
  <c r="X554" i="9" s="1"/>
  <c r="X553" i="9" s="1"/>
  <c r="X552" i="9" s="1"/>
  <c r="X551" i="9" s="1"/>
  <c r="X550" i="9" s="1"/>
  <c r="X549" i="9" s="1"/>
  <c r="X548" i="9" s="1"/>
  <c r="X547" i="9" s="1"/>
  <c r="X546" i="9" s="1"/>
  <c r="X545" i="9" s="1"/>
  <c r="X544" i="9" s="1"/>
  <c r="X543" i="9" s="1"/>
  <c r="X542" i="9" s="1"/>
  <c r="X541" i="9" s="1"/>
  <c r="X540" i="9" s="1"/>
  <c r="X539" i="9" s="1"/>
  <c r="X538" i="9" s="1"/>
  <c r="X537" i="9" s="1"/>
  <c r="X536" i="9" s="1"/>
  <c r="X535" i="9" s="1"/>
  <c r="X534" i="9" s="1"/>
  <c r="X533" i="9" s="1"/>
  <c r="X532" i="9" s="1"/>
  <c r="X531" i="9" s="1"/>
  <c r="X530" i="9" s="1"/>
  <c r="X529" i="9" s="1"/>
  <c r="X528" i="9" s="1"/>
  <c r="X527" i="9" s="1"/>
  <c r="X526" i="9" s="1"/>
  <c r="X525" i="9" s="1"/>
  <c r="X524" i="9" s="1"/>
  <c r="X523" i="9" s="1"/>
  <c r="X522" i="9" s="1"/>
  <c r="X521" i="9" s="1"/>
  <c r="X520" i="9" s="1"/>
  <c r="X519" i="9" s="1"/>
  <c r="X518" i="9" s="1"/>
  <c r="X517" i="9" s="1"/>
  <c r="X516" i="9" s="1"/>
  <c r="X515" i="9" s="1"/>
  <c r="X514" i="9" s="1"/>
  <c r="X513" i="9" s="1"/>
  <c r="X512" i="9" s="1"/>
  <c r="X511" i="9" s="1"/>
  <c r="X510" i="9" s="1"/>
  <c r="X509" i="9" s="1"/>
  <c r="X508" i="9" s="1"/>
  <c r="X507" i="9" s="1"/>
  <c r="X506" i="9" s="1"/>
  <c r="X505" i="9" s="1"/>
  <c r="X504" i="9" s="1"/>
  <c r="X503" i="9" s="1"/>
  <c r="X502" i="9" s="1"/>
  <c r="X501" i="9" s="1"/>
  <c r="X500" i="9" s="1"/>
  <c r="X499" i="9" s="1"/>
  <c r="X498" i="9" s="1"/>
  <c r="X497" i="9" s="1"/>
  <c r="X496" i="9" s="1"/>
  <c r="X495" i="9" s="1"/>
  <c r="X494" i="9" s="1"/>
  <c r="X493" i="9" s="1"/>
  <c r="X492" i="9" s="1"/>
  <c r="X491" i="9" s="1"/>
  <c r="X490" i="9" s="1"/>
  <c r="X489" i="9" s="1"/>
  <c r="X488" i="9" s="1"/>
  <c r="X487" i="9" s="1"/>
  <c r="X486" i="9" s="1"/>
  <c r="X485" i="9" s="1"/>
  <c r="X484" i="9" s="1"/>
  <c r="X483" i="9" s="1"/>
  <c r="X482" i="9" s="1"/>
  <c r="X481" i="9" s="1"/>
  <c r="X480" i="9" s="1"/>
  <c r="X479" i="9" s="1"/>
  <c r="X478" i="9" s="1"/>
  <c r="X477" i="9" s="1"/>
  <c r="X476" i="9" s="1"/>
  <c r="X475" i="9" s="1"/>
  <c r="X474" i="9" s="1"/>
  <c r="X473" i="9" s="1"/>
  <c r="X472" i="9" s="1"/>
  <c r="X471" i="9" s="1"/>
  <c r="X470" i="9" s="1"/>
  <c r="X469" i="9" s="1"/>
  <c r="X468" i="9" s="1"/>
  <c r="X467" i="9" s="1"/>
  <c r="X466" i="9" s="1"/>
  <c r="X465" i="9" s="1"/>
  <c r="X464" i="9" s="1"/>
  <c r="X463" i="9" s="1"/>
  <c r="X462" i="9" s="1"/>
  <c r="X461" i="9" s="1"/>
  <c r="X460" i="9" s="1"/>
  <c r="X459" i="9" s="1"/>
  <c r="X458" i="9" s="1"/>
  <c r="X457" i="9" s="1"/>
  <c r="X456" i="9" s="1"/>
  <c r="X455" i="9" s="1"/>
  <c r="X454" i="9" s="1"/>
  <c r="X453" i="9" s="1"/>
  <c r="X452" i="9" s="1"/>
  <c r="X451" i="9" s="1"/>
  <c r="X450" i="9" s="1"/>
  <c r="X449" i="9" s="1"/>
  <c r="X448" i="9" s="1"/>
  <c r="X447" i="9" s="1"/>
  <c r="X446" i="9" s="1"/>
  <c r="X445" i="9" s="1"/>
  <c r="X444" i="9" s="1"/>
  <c r="X443" i="9" s="1"/>
  <c r="X442" i="9" s="1"/>
  <c r="X441" i="9" s="1"/>
  <c r="X440" i="9" s="1"/>
  <c r="X439" i="9" s="1"/>
  <c r="IG30" i="5"/>
  <c r="IF31" i="5"/>
  <c r="AA1268" i="9"/>
  <c r="AA1267" i="9" s="1"/>
  <c r="AA1266" i="9" s="1"/>
  <c r="AA1265" i="9" s="1"/>
  <c r="AA1264" i="9" s="1"/>
  <c r="AA1263" i="9" s="1"/>
  <c r="AA1262" i="9" s="1"/>
  <c r="AA1261" i="9" s="1"/>
  <c r="AA1260" i="9" s="1"/>
  <c r="AA1259" i="9" s="1"/>
  <c r="AA1258" i="9" s="1"/>
  <c r="AA1257" i="9" s="1"/>
  <c r="AA1256" i="9" s="1"/>
  <c r="AA1255" i="9" s="1"/>
  <c r="AA1254" i="9" s="1"/>
  <c r="AA1253" i="9" s="1"/>
  <c r="AA1252" i="9" s="1"/>
  <c r="AA1251" i="9" s="1"/>
  <c r="AA1250" i="9" s="1"/>
  <c r="AG12" i="20"/>
  <c r="X12" i="20"/>
  <c r="O12" i="20"/>
  <c r="FM193" i="18"/>
  <c r="FM192" i="18" s="1"/>
  <c r="FM67" i="18"/>
  <c r="FM66" i="18" s="1"/>
  <c r="FM235" i="18"/>
  <c r="FM234" i="18" s="1"/>
  <c r="AF34" i="10"/>
  <c r="J3" i="4"/>
  <c r="BC12" i="15"/>
  <c r="BD12" i="15" s="1"/>
  <c r="BC11" i="15"/>
  <c r="BC10" i="15"/>
  <c r="AU53" i="15"/>
  <c r="AU52" i="15" s="1"/>
  <c r="AU51" i="15" s="1"/>
  <c r="AU50" i="15" s="1"/>
  <c r="AU49" i="15" s="1"/>
  <c r="AU48" i="15" s="1"/>
  <c r="AU47" i="15" s="1"/>
  <c r="AU46" i="15" s="1"/>
  <c r="AU45" i="15" s="1"/>
  <c r="AU44" i="15" s="1"/>
  <c r="AU43" i="15" s="1"/>
  <c r="AU42" i="15" s="1"/>
  <c r="AU41" i="15" s="1"/>
  <c r="AU40" i="15" s="1"/>
  <c r="AU39" i="15" s="1"/>
  <c r="AU38" i="15" s="1"/>
  <c r="AU37" i="15" s="1"/>
  <c r="AU36" i="15" s="1"/>
  <c r="AU35" i="15" s="1"/>
  <c r="AU34" i="15" s="1"/>
  <c r="AU33" i="15" s="1"/>
  <c r="AU32" i="15" s="1"/>
  <c r="AU31" i="15" s="1"/>
  <c r="AU30" i="15" s="1"/>
  <c r="AU29" i="15" s="1"/>
  <c r="AU28" i="15" s="1"/>
  <c r="AU27" i="15" s="1"/>
  <c r="AU26" i="15" s="1"/>
  <c r="AU25" i="15" s="1"/>
  <c r="AU24" i="15" s="1"/>
  <c r="AU23" i="15" s="1"/>
  <c r="AU22" i="15" s="1"/>
  <c r="AU21" i="15" s="1"/>
  <c r="AU20" i="15" s="1"/>
  <c r="AT19" i="15"/>
  <c r="AQ18" i="15"/>
  <c r="AQ17" i="15"/>
  <c r="AQ10" i="15"/>
  <c r="AG5" i="13"/>
  <c r="AJ5" i="13" s="1"/>
  <c r="AG4" i="13"/>
  <c r="AG3" i="13"/>
  <c r="AG2" i="13"/>
  <c r="AE362" i="7"/>
  <c r="Q69" i="17"/>
  <c r="Q68" i="17" s="1"/>
  <c r="Q67" i="17" s="1"/>
  <c r="Q66" i="17" s="1"/>
  <c r="Q65" i="17" s="1"/>
  <c r="Q64" i="17" s="1"/>
  <c r="Q63" i="17" s="1"/>
  <c r="Q62" i="17" s="1"/>
  <c r="Q61" i="17" s="1"/>
  <c r="Q60" i="17" s="1"/>
  <c r="Q59" i="17" s="1"/>
  <c r="Q58" i="17" s="1"/>
  <c r="Q57" i="17" s="1"/>
  <c r="Q56" i="17" s="1"/>
  <c r="Q55" i="17" s="1"/>
  <c r="Q54" i="17" s="1"/>
  <c r="Q53" i="17" s="1"/>
  <c r="Q52" i="17" s="1"/>
  <c r="Q51" i="17" s="1"/>
  <c r="Q50" i="17" s="1"/>
  <c r="Q49" i="17" s="1"/>
  <c r="Q48" i="17" s="1"/>
  <c r="Q47" i="17" s="1"/>
  <c r="Q46" i="17" s="1"/>
  <c r="Q45" i="17" s="1"/>
  <c r="Q44" i="17" s="1"/>
  <c r="Q43" i="17" s="1"/>
  <c r="Q42" i="17" s="1"/>
  <c r="Q41" i="17" s="1"/>
  <c r="Q40" i="17" s="1"/>
  <c r="Q39" i="17" s="1"/>
  <c r="Q38" i="17" s="1"/>
  <c r="Q37" i="17" s="1"/>
  <c r="Q36" i="17" s="1"/>
  <c r="Q35" i="17" s="1"/>
  <c r="Q34" i="17" s="1"/>
  <c r="Q33" i="17" s="1"/>
  <c r="Q32" i="17" s="1"/>
  <c r="Q31" i="17" s="1"/>
  <c r="Q30" i="17" s="1"/>
  <c r="Q29" i="17" s="1"/>
  <c r="Q28" i="17" s="1"/>
  <c r="Q27" i="17" s="1"/>
  <c r="Q26" i="17" s="1"/>
  <c r="GC17" i="11"/>
  <c r="GC21" i="11" s="1"/>
  <c r="GC25" i="11" s="1"/>
  <c r="GC29" i="11" s="1"/>
  <c r="GC33" i="11" s="1"/>
  <c r="GC37" i="11" s="1"/>
  <c r="GC41" i="11" s="1"/>
  <c r="GC45" i="11" s="1"/>
  <c r="GC49" i="11" s="1"/>
  <c r="GC53" i="11" s="1"/>
  <c r="GC57" i="11" s="1"/>
  <c r="GC61" i="11" s="1"/>
  <c r="GC65" i="11" s="1"/>
  <c r="GC69" i="11" s="1"/>
  <c r="GC73" i="11" s="1"/>
  <c r="GC77" i="11" s="1"/>
  <c r="GC81" i="11" s="1"/>
  <c r="GC85" i="11" s="1"/>
  <c r="GC89" i="11" s="1"/>
  <c r="GC93" i="11" s="1"/>
  <c r="GC97" i="11" s="1"/>
  <c r="GC101" i="11" s="1"/>
  <c r="GC105" i="11" s="1"/>
  <c r="GC109" i="11" s="1"/>
  <c r="GC113" i="11" s="1"/>
  <c r="GC117" i="11" s="1"/>
  <c r="GC121" i="11" s="1"/>
  <c r="GC125" i="11" s="1"/>
  <c r="GC129" i="11" s="1"/>
  <c r="GC133" i="11" s="1"/>
  <c r="GC137" i="11" s="1"/>
  <c r="GC141" i="11" s="1"/>
  <c r="GC145" i="11" s="1"/>
  <c r="GC149" i="11" s="1"/>
  <c r="GC153" i="11" s="1"/>
  <c r="GC157" i="11" s="1"/>
  <c r="GC161" i="11" s="1"/>
  <c r="GC165" i="11" s="1"/>
  <c r="J19" i="17"/>
  <c r="F19" i="17"/>
  <c r="E19" i="17"/>
  <c r="J18" i="17"/>
  <c r="F18" i="17"/>
  <c r="E18" i="17"/>
  <c r="J17" i="17"/>
  <c r="F17" i="17"/>
  <c r="E17" i="17"/>
  <c r="J16" i="17"/>
  <c r="F16" i="17"/>
  <c r="E16" i="17"/>
  <c r="J15" i="17"/>
  <c r="F15" i="17"/>
  <c r="E15" i="17"/>
  <c r="J12" i="17"/>
  <c r="F12" i="17"/>
  <c r="E12" i="17"/>
  <c r="J11" i="17"/>
  <c r="F11" i="17"/>
  <c r="E11" i="17"/>
  <c r="J9" i="17"/>
  <c r="F9" i="17"/>
  <c r="E9" i="17"/>
  <c r="N13" i="17"/>
  <c r="J22"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E69" i="17"/>
  <c r="E68" i="17"/>
  <c r="E67" i="17"/>
  <c r="E66" i="17"/>
  <c r="E65" i="17"/>
  <c r="E64" i="17"/>
  <c r="E63" i="17"/>
  <c r="E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E31" i="17"/>
  <c r="E30" i="17"/>
  <c r="P69" i="17"/>
  <c r="P68" i="17" s="1"/>
  <c r="P67" i="17" s="1"/>
  <c r="P66" i="17" s="1"/>
  <c r="P65" i="17" s="1"/>
  <c r="P64" i="17" s="1"/>
  <c r="P63" i="17" s="1"/>
  <c r="P62" i="17" s="1"/>
  <c r="P61" i="17" s="1"/>
  <c r="P60" i="17" s="1"/>
  <c r="P59" i="17" s="1"/>
  <c r="P58" i="17" s="1"/>
  <c r="P57" i="17" s="1"/>
  <c r="P56" i="17" s="1"/>
  <c r="P55" i="17" s="1"/>
  <c r="P54" i="17" s="1"/>
  <c r="P53" i="17" s="1"/>
  <c r="P52" i="17" s="1"/>
  <c r="P51" i="17" s="1"/>
  <c r="P50" i="17" s="1"/>
  <c r="P49" i="17" s="1"/>
  <c r="P48" i="17" s="1"/>
  <c r="P47" i="17" s="1"/>
  <c r="P46" i="17" s="1"/>
  <c r="P45" i="17" s="1"/>
  <c r="P44" i="17" s="1"/>
  <c r="P43" i="17" s="1"/>
  <c r="P42" i="17" s="1"/>
  <c r="P41" i="17" s="1"/>
  <c r="P40" i="17" s="1"/>
  <c r="P39" i="17" s="1"/>
  <c r="P38" i="17" s="1"/>
  <c r="P37" i="17" s="1"/>
  <c r="P36" i="17" s="1"/>
  <c r="P35" i="17" s="1"/>
  <c r="P34" i="17" s="1"/>
  <c r="P33" i="17" s="1"/>
  <c r="P32" i="17" s="1"/>
  <c r="P31" i="17" s="1"/>
  <c r="P30" i="17" s="1"/>
  <c r="J69" i="17"/>
  <c r="G69" i="17"/>
  <c r="J68" i="17"/>
  <c r="G68" i="17"/>
  <c r="J67" i="17"/>
  <c r="G67" i="17"/>
  <c r="J66" i="17"/>
  <c r="G66" i="17"/>
  <c r="J65" i="17"/>
  <c r="G65" i="17"/>
  <c r="J64" i="17"/>
  <c r="G64" i="17"/>
  <c r="J63" i="17"/>
  <c r="G63" i="17"/>
  <c r="J62" i="17"/>
  <c r="G62" i="17"/>
  <c r="J61" i="17"/>
  <c r="G61" i="17"/>
  <c r="J60" i="17"/>
  <c r="G60" i="17"/>
  <c r="J59" i="17"/>
  <c r="G59" i="17"/>
  <c r="J58" i="17"/>
  <c r="G58" i="17"/>
  <c r="J57" i="17"/>
  <c r="G57" i="17"/>
  <c r="J56" i="17"/>
  <c r="G56" i="17"/>
  <c r="J55" i="17"/>
  <c r="G55" i="17"/>
  <c r="J54" i="17"/>
  <c r="G54" i="17"/>
  <c r="J53" i="17"/>
  <c r="G53" i="17"/>
  <c r="J52" i="17"/>
  <c r="G52" i="17"/>
  <c r="J51" i="17"/>
  <c r="G51" i="17"/>
  <c r="J50" i="17"/>
  <c r="G50" i="17"/>
  <c r="J49" i="17"/>
  <c r="G49" i="17"/>
  <c r="J48" i="17"/>
  <c r="G48" i="17"/>
  <c r="J47" i="17"/>
  <c r="G47" i="17"/>
  <c r="J46" i="17"/>
  <c r="G46" i="17"/>
  <c r="J45" i="17"/>
  <c r="G45" i="17"/>
  <c r="J44" i="17"/>
  <c r="G44" i="17"/>
  <c r="J43" i="17"/>
  <c r="G43" i="17"/>
  <c r="J42" i="17"/>
  <c r="G42" i="17"/>
  <c r="J41" i="17"/>
  <c r="G41" i="17"/>
  <c r="J40" i="17"/>
  <c r="G40" i="17"/>
  <c r="J39" i="17"/>
  <c r="G39" i="17"/>
  <c r="J38" i="17"/>
  <c r="G38" i="17"/>
  <c r="J37" i="17"/>
  <c r="G37" i="17"/>
  <c r="J36" i="17"/>
  <c r="G36" i="17"/>
  <c r="J35" i="17"/>
  <c r="G35" i="17"/>
  <c r="J34" i="17"/>
  <c r="G34" i="17"/>
  <c r="J33" i="17"/>
  <c r="G33" i="17"/>
  <c r="J32" i="17"/>
  <c r="G32" i="17"/>
  <c r="J31" i="17"/>
  <c r="G31" i="17"/>
  <c r="J30" i="17"/>
  <c r="G30" i="17"/>
  <c r="J29" i="17"/>
  <c r="G29" i="17"/>
  <c r="J28" i="17"/>
  <c r="G28" i="17"/>
  <c r="J27" i="17"/>
  <c r="G27" i="17"/>
  <c r="J26" i="17"/>
  <c r="G26" i="17"/>
  <c r="J25" i="17"/>
  <c r="G25" i="17"/>
  <c r="J24" i="17"/>
  <c r="G24" i="17"/>
  <c r="J23" i="17"/>
  <c r="G23" i="17"/>
  <c r="G22" i="17"/>
  <c r="H33" i="13"/>
  <c r="H52" i="13"/>
  <c r="H71" i="13"/>
  <c r="B81" i="13"/>
  <c r="B62" i="13"/>
  <c r="H69" i="13"/>
  <c r="N66" i="13" s="1"/>
  <c r="BK174" i="10"/>
  <c r="BK157" i="10"/>
  <c r="BN123" i="10"/>
  <c r="P83" i="13"/>
  <c r="Q82" i="13"/>
  <c r="K82" i="13"/>
  <c r="Q80" i="13"/>
  <c r="AD80" i="13" s="1"/>
  <c r="AE80" i="13" s="1"/>
  <c r="AD79" i="13"/>
  <c r="AB79" i="13"/>
  <c r="AA79" i="13"/>
  <c r="Z79" i="13"/>
  <c r="Y79" i="13"/>
  <c r="R79" i="13"/>
  <c r="Q79" i="13"/>
  <c r="N79" i="13"/>
  <c r="D79" i="13"/>
  <c r="AD78" i="13"/>
  <c r="AB78" i="13"/>
  <c r="AA78" i="13"/>
  <c r="Z78" i="13"/>
  <c r="Y78" i="13"/>
  <c r="R78" i="13"/>
  <c r="Q78" i="13"/>
  <c r="N78" i="13"/>
  <c r="AD77" i="13"/>
  <c r="AB77" i="13"/>
  <c r="AA77" i="13"/>
  <c r="Z77" i="13"/>
  <c r="Y77" i="13"/>
  <c r="R77" i="13"/>
  <c r="Q77" i="13"/>
  <c r="N77" i="13"/>
  <c r="H77" i="13"/>
  <c r="F77" i="13" s="1"/>
  <c r="D77" i="13"/>
  <c r="AD76" i="13"/>
  <c r="AB76" i="13"/>
  <c r="AA76" i="13"/>
  <c r="Z76" i="13"/>
  <c r="Y76" i="13"/>
  <c r="R76" i="13"/>
  <c r="Q76" i="13"/>
  <c r="N76" i="13"/>
  <c r="H76" i="13"/>
  <c r="F76" i="13" s="1"/>
  <c r="C76" i="13"/>
  <c r="AC75" i="13"/>
  <c r="AA75" i="13"/>
  <c r="Z75" i="13"/>
  <c r="Y75" i="13"/>
  <c r="Q75" i="13"/>
  <c r="H75" i="13"/>
  <c r="F75" i="13" s="1"/>
  <c r="Q74" i="13"/>
  <c r="H74" i="13"/>
  <c r="F74" i="13" s="1"/>
  <c r="Q73" i="13"/>
  <c r="AC72" i="13"/>
  <c r="AB72" i="13"/>
  <c r="AA72" i="13"/>
  <c r="Z72" i="13"/>
  <c r="Y72" i="13"/>
  <c r="Q72" i="13"/>
  <c r="AC71" i="13"/>
  <c r="AB71" i="13"/>
  <c r="AA71" i="13"/>
  <c r="Z71" i="13"/>
  <c r="Y71" i="13"/>
  <c r="Q71" i="13"/>
  <c r="D78" i="13" s="1"/>
  <c r="N71" i="13"/>
  <c r="D71" i="13"/>
  <c r="Q70" i="13"/>
  <c r="N70" i="13"/>
  <c r="B70" i="13"/>
  <c r="Q69" i="13"/>
  <c r="N69" i="13"/>
  <c r="B68" i="13"/>
  <c r="D68" i="13" s="1"/>
  <c r="D67" i="13"/>
  <c r="J83" i="13" s="1"/>
  <c r="P64" i="13"/>
  <c r="Q63" i="13"/>
  <c r="K63" i="13"/>
  <c r="Q61" i="13"/>
  <c r="AD61" i="13" s="1"/>
  <c r="AE61" i="13" s="1"/>
  <c r="AD60" i="13"/>
  <c r="AB60" i="13"/>
  <c r="AA60" i="13"/>
  <c r="Z60" i="13"/>
  <c r="Y60" i="13"/>
  <c r="R60" i="13"/>
  <c r="Q60" i="13"/>
  <c r="N60" i="13"/>
  <c r="D60" i="13"/>
  <c r="AD59" i="13"/>
  <c r="AB59" i="13"/>
  <c r="AA59" i="13"/>
  <c r="Z59" i="13"/>
  <c r="Y59" i="13"/>
  <c r="R59" i="13"/>
  <c r="Q59" i="13"/>
  <c r="N59" i="13"/>
  <c r="AD58" i="13"/>
  <c r="AB58" i="13"/>
  <c r="AA58" i="13"/>
  <c r="Z58" i="13"/>
  <c r="Y58" i="13"/>
  <c r="R58" i="13"/>
  <c r="Q58" i="13"/>
  <c r="N58" i="13"/>
  <c r="H58" i="13"/>
  <c r="F58" i="13" s="1"/>
  <c r="D58" i="13"/>
  <c r="AD57" i="13"/>
  <c r="AB57" i="13"/>
  <c r="AA57" i="13"/>
  <c r="Z57" i="13"/>
  <c r="Y57" i="13"/>
  <c r="R57" i="13"/>
  <c r="Q57" i="13"/>
  <c r="N57" i="13"/>
  <c r="H57" i="13"/>
  <c r="F57" i="13" s="1"/>
  <c r="C57" i="13"/>
  <c r="AC56" i="13"/>
  <c r="AA56" i="13"/>
  <c r="Z56" i="13"/>
  <c r="Y56" i="13"/>
  <c r="Q56" i="13"/>
  <c r="Q55" i="13"/>
  <c r="H55" i="13"/>
  <c r="Q54" i="13"/>
  <c r="AC53" i="13"/>
  <c r="AB53" i="13"/>
  <c r="AA53" i="13"/>
  <c r="Z53" i="13"/>
  <c r="Y53" i="13"/>
  <c r="Q53" i="13"/>
  <c r="AC52" i="13"/>
  <c r="AB52" i="13"/>
  <c r="AA52" i="13"/>
  <c r="Z52" i="13"/>
  <c r="Y52" i="13"/>
  <c r="Q52" i="13"/>
  <c r="D59" i="13" s="1"/>
  <c r="N52" i="13"/>
  <c r="D52" i="13"/>
  <c r="Q51" i="13"/>
  <c r="N51" i="13"/>
  <c r="B51" i="13"/>
  <c r="Q50" i="13"/>
  <c r="N50" i="13"/>
  <c r="B49" i="13"/>
  <c r="D49" i="13" s="1"/>
  <c r="D48" i="13"/>
  <c r="J64" i="13" s="1"/>
  <c r="P45" i="13"/>
  <c r="K44" i="13"/>
  <c r="Q42" i="13"/>
  <c r="AD42" i="13" s="1"/>
  <c r="AE42" i="13" s="1"/>
  <c r="AD41" i="13"/>
  <c r="AB41" i="13"/>
  <c r="AA41" i="13"/>
  <c r="Z41" i="13"/>
  <c r="Y41" i="13"/>
  <c r="R41" i="13"/>
  <c r="Q41" i="13"/>
  <c r="N41" i="13"/>
  <c r="D41" i="13"/>
  <c r="AD40" i="13"/>
  <c r="AB40" i="13"/>
  <c r="AA40" i="13"/>
  <c r="Z40" i="13"/>
  <c r="Y40" i="13"/>
  <c r="R40" i="13"/>
  <c r="Q40" i="13"/>
  <c r="N40" i="13"/>
  <c r="AD39" i="13"/>
  <c r="AB39" i="13"/>
  <c r="AA39" i="13"/>
  <c r="Z39" i="13"/>
  <c r="Y39" i="13"/>
  <c r="R39" i="13"/>
  <c r="Q39" i="13"/>
  <c r="N39" i="13"/>
  <c r="D39" i="13"/>
  <c r="AD38" i="13"/>
  <c r="AB38" i="13"/>
  <c r="AA38" i="13"/>
  <c r="Z38" i="13"/>
  <c r="Y38" i="13"/>
  <c r="R38" i="13"/>
  <c r="Q44" i="13" s="1"/>
  <c r="Q38" i="13"/>
  <c r="N38" i="13"/>
  <c r="H38" i="13"/>
  <c r="F38" i="13" s="1"/>
  <c r="C38" i="13"/>
  <c r="AC37" i="13"/>
  <c r="AA37" i="13"/>
  <c r="Z37" i="13"/>
  <c r="Y37" i="13"/>
  <c r="Q37" i="13"/>
  <c r="Q36" i="13"/>
  <c r="H36" i="13"/>
  <c r="Q35" i="13"/>
  <c r="AC34" i="13"/>
  <c r="AB34" i="13"/>
  <c r="AA34" i="13"/>
  <c r="Z34" i="13"/>
  <c r="Y34" i="13"/>
  <c r="Q34" i="13"/>
  <c r="AC33" i="13"/>
  <c r="AB33" i="13"/>
  <c r="AA33" i="13"/>
  <c r="Z33" i="13"/>
  <c r="Y33" i="13"/>
  <c r="Q33" i="13"/>
  <c r="D40" i="13" s="1"/>
  <c r="N33" i="13"/>
  <c r="D33" i="13"/>
  <c r="Q32" i="13"/>
  <c r="N32" i="13"/>
  <c r="N31" i="13"/>
  <c r="B32" i="13" s="1"/>
  <c r="B30" i="13"/>
  <c r="D30" i="13" s="1"/>
  <c r="Q31" i="13" s="1"/>
  <c r="D29" i="13"/>
  <c r="J45" i="13" s="1"/>
  <c r="DB102" i="10"/>
  <c r="DB94" i="10"/>
  <c r="J32" i="8"/>
  <c r="I32" i="8"/>
  <c r="I31" i="8"/>
  <c r="I30" i="8"/>
  <c r="J31" i="8"/>
  <c r="S30" i="8"/>
  <c r="GK211" i="11"/>
  <c r="GK215" i="11" s="1"/>
  <c r="GK219" i="11" s="1"/>
  <c r="GK223" i="11" s="1"/>
  <c r="GO207" i="11" s="1"/>
  <c r="GO211" i="11" s="1"/>
  <c r="GO215" i="11" s="1"/>
  <c r="GO219" i="11" s="1"/>
  <c r="GO223" i="11" s="1"/>
  <c r="L22" i="16"/>
  <c r="L21" i="16" s="1"/>
  <c r="L20" i="16" s="1"/>
  <c r="L19" i="16" s="1"/>
  <c r="L18" i="16" s="1"/>
  <c r="L17" i="16" s="1"/>
  <c r="L16" i="16" s="1"/>
  <c r="L15" i="16" s="1"/>
  <c r="L14" i="16" s="1"/>
  <c r="K31" i="12"/>
  <c r="K30" i="12"/>
  <c r="K29" i="12"/>
  <c r="K28" i="12"/>
  <c r="K27" i="12"/>
  <c r="K26" i="12"/>
  <c r="K25" i="12"/>
  <c r="BJ93" i="11"/>
  <c r="FP94" i="11" s="1"/>
  <c r="BJ87" i="11"/>
  <c r="FP88" i="11" s="1"/>
  <c r="BJ81" i="11"/>
  <c r="FP82" i="11" s="1"/>
  <c r="BJ75" i="11"/>
  <c r="FP76" i="11" s="1"/>
  <c r="BJ69" i="11"/>
  <c r="FP70" i="11" s="1"/>
  <c r="BJ63" i="11"/>
  <c r="FP64" i="11" s="1"/>
  <c r="BJ57" i="11"/>
  <c r="FP58" i="11" s="1"/>
  <c r="DJ93" i="11"/>
  <c r="CU93" i="11"/>
  <c r="DJ87" i="11"/>
  <c r="CU87" i="11"/>
  <c r="DJ81" i="11"/>
  <c r="CU81" i="11"/>
  <c r="Q23" i="13"/>
  <c r="AD23" i="13" s="1"/>
  <c r="AE23" i="13" s="1"/>
  <c r="AD70" i="14"/>
  <c r="AD26" i="14"/>
  <c r="AD68" i="14"/>
  <c r="AD43" i="14"/>
  <c r="AD88" i="14"/>
  <c r="AD86" i="14"/>
  <c r="AD58" i="14"/>
  <c r="AD64" i="14"/>
  <c r="AD34" i="14"/>
  <c r="AD30" i="14"/>
  <c r="AD36" i="14"/>
  <c r="AD31" i="14"/>
  <c r="AD29" i="14"/>
  <c r="AD27" i="14"/>
  <c r="AD28" i="14"/>
  <c r="AD14" i="14"/>
  <c r="AD15" i="14"/>
  <c r="AD12" i="14"/>
  <c r="AD13" i="14"/>
  <c r="U31" i="8" l="1"/>
  <c r="W31" i="8"/>
  <c r="W32" i="8"/>
  <c r="U32" i="8"/>
  <c r="P29" i="17"/>
  <c r="P28" i="17" s="1"/>
  <c r="P27" i="17" s="1"/>
  <c r="P26" i="17" s="1"/>
  <c r="P25" i="17" s="1"/>
  <c r="P24" i="17" s="1"/>
  <c r="P23" i="17" s="1"/>
  <c r="P22" i="17" s="1"/>
  <c r="P19" i="17" s="1"/>
  <c r="P18" i="17" s="1"/>
  <c r="P17" i="17" s="1"/>
  <c r="P16" i="17" s="1"/>
  <c r="P15" i="17" s="1"/>
  <c r="IF32" i="5"/>
  <c r="IG31" i="5"/>
  <c r="AD32" i="14"/>
  <c r="AD62" i="14"/>
  <c r="AD84" i="14"/>
  <c r="AD44" i="14"/>
  <c r="AD78" i="14"/>
  <c r="AD18" i="14"/>
  <c r="AD85" i="14"/>
  <c r="AA1249" i="9"/>
  <c r="AA1248" i="9" s="1"/>
  <c r="AA1247" i="9" s="1"/>
  <c r="AA1246" i="9" s="1"/>
  <c r="AA1245" i="9" s="1"/>
  <c r="AA1244" i="9" s="1"/>
  <c r="AA1243" i="9" s="1"/>
  <c r="AA1242" i="9" s="1"/>
  <c r="AA1241" i="9" s="1"/>
  <c r="AA1240" i="9" s="1"/>
  <c r="AA1239" i="9" s="1"/>
  <c r="AA1238" i="9" s="1"/>
  <c r="AA1237" i="9" s="1"/>
  <c r="AA1236" i="9" s="1"/>
  <c r="AA1235" i="9" s="1"/>
  <c r="AA1232" i="9" s="1"/>
  <c r="AA1231" i="9" s="1"/>
  <c r="AA1230" i="9" s="1"/>
  <c r="AA1229" i="9" s="1"/>
  <c r="AA1228" i="9" s="1"/>
  <c r="AA1225" i="9" s="1"/>
  <c r="AA1224" i="9" s="1"/>
  <c r="AA1223" i="9" s="1"/>
  <c r="AA1222" i="9" s="1"/>
  <c r="AA1221" i="9" s="1"/>
  <c r="AA1220" i="9" s="1"/>
  <c r="AA1219" i="9" s="1"/>
  <c r="AA1218" i="9" s="1"/>
  <c r="AA1217" i="9" s="1"/>
  <c r="AA1216" i="9" s="1"/>
  <c r="AA1215" i="9" s="1"/>
  <c r="AA1214" i="9" s="1"/>
  <c r="AA1213" i="9" s="1"/>
  <c r="AA1212" i="9" s="1"/>
  <c r="AA1211" i="9" s="1"/>
  <c r="AA1210" i="9" s="1"/>
  <c r="AA1209" i="9" s="1"/>
  <c r="AA1208" i="9" s="1"/>
  <c r="AA1207" i="9" s="1"/>
  <c r="AA1206" i="9" s="1"/>
  <c r="AA1205" i="9" s="1"/>
  <c r="AA1204" i="9" s="1"/>
  <c r="AA1203" i="9" s="1"/>
  <c r="AA1202" i="9" s="1"/>
  <c r="AA1201" i="9" s="1"/>
  <c r="AA1200" i="9" s="1"/>
  <c r="AA1199" i="9" s="1"/>
  <c r="AA1198" i="9" s="1"/>
  <c r="AA1197" i="9" s="1"/>
  <c r="AA1196" i="9" s="1"/>
  <c r="AA1195" i="9" s="1"/>
  <c r="AA1194" i="9" s="1"/>
  <c r="AA1193" i="9" s="1"/>
  <c r="AA1192" i="9" s="1"/>
  <c r="AA1191" i="9" s="1"/>
  <c r="AA1190" i="9" s="1"/>
  <c r="AA1189" i="9" s="1"/>
  <c r="AA1188" i="9" s="1"/>
  <c r="AA1187" i="9" s="1"/>
  <c r="AA1186" i="9" s="1"/>
  <c r="AA1185" i="9" s="1"/>
  <c r="AA1184" i="9" s="1"/>
  <c r="AA1183" i="9" s="1"/>
  <c r="AA1182" i="9" s="1"/>
  <c r="AA1181" i="9" s="1"/>
  <c r="AA1180" i="9" s="1"/>
  <c r="AA1179" i="9" s="1"/>
  <c r="AA1178" i="9" s="1"/>
  <c r="AA1177" i="9" s="1"/>
  <c r="AA1176" i="9" s="1"/>
  <c r="AE41" i="13"/>
  <c r="AE40" i="13" s="1"/>
  <c r="AE39" i="13" s="1"/>
  <c r="AE38" i="13" s="1"/>
  <c r="H39" i="13" s="1"/>
  <c r="F39" i="13" s="1"/>
  <c r="S32" i="8"/>
  <c r="BD11" i="15"/>
  <c r="BD10" i="15" s="1"/>
  <c r="BD9" i="15" s="1"/>
  <c r="D72" i="13"/>
  <c r="AE60" i="13"/>
  <c r="AE59" i="13" s="1"/>
  <c r="AE58" i="13" s="1"/>
  <c r="AE57" i="13" s="1"/>
  <c r="AE79" i="13"/>
  <c r="AE78" i="13" s="1"/>
  <c r="AE77" i="13" s="1"/>
  <c r="AE76" i="13" s="1"/>
  <c r="AT18" i="15"/>
  <c r="AT17" i="15" s="1"/>
  <c r="AU19" i="15"/>
  <c r="D53" i="13"/>
  <c r="Y68" i="13"/>
  <c r="D34" i="13"/>
  <c r="S31" i="8"/>
  <c r="M31" i="8"/>
  <c r="L13" i="16"/>
  <c r="L12" i="16" s="1"/>
  <c r="L11" i="16" s="1"/>
  <c r="L10" i="16" s="1"/>
  <c r="L9" i="16" s="1"/>
  <c r="K22" i="16"/>
  <c r="K21" i="16" s="1"/>
  <c r="K20" i="16" s="1"/>
  <c r="K19" i="16" s="1"/>
  <c r="K18" i="16" s="1"/>
  <c r="K17" i="16" s="1"/>
  <c r="K16" i="16" s="1"/>
  <c r="K15" i="16" s="1"/>
  <c r="K14" i="16" s="1"/>
  <c r="K13" i="16" s="1"/>
  <c r="K12" i="16" s="1"/>
  <c r="K11" i="16" s="1"/>
  <c r="K10" i="16" s="1"/>
  <c r="K9" i="16" s="1"/>
  <c r="M30" i="8"/>
  <c r="AH5" i="13"/>
  <c r="AH4" i="13" s="1"/>
  <c r="AH3" i="13" s="1"/>
  <c r="AH2" i="13" s="1"/>
  <c r="AH1" i="13" s="1"/>
  <c r="AI5" i="13"/>
  <c r="AI4" i="13" s="1"/>
  <c r="AI3" i="13" s="1"/>
  <c r="AJ4" i="13"/>
  <c r="AJ3" i="13" s="1"/>
  <c r="AJ2" i="13" s="1"/>
  <c r="Q25" i="17"/>
  <c r="Q24" i="17" s="1"/>
  <c r="Q23" i="17" s="1"/>
  <c r="Q22" i="17" s="1"/>
  <c r="Q19" i="17" s="1"/>
  <c r="Q18" i="17" s="1"/>
  <c r="Q17" i="17" s="1"/>
  <c r="Q16" i="17" s="1"/>
  <c r="Q15" i="17" s="1"/>
  <c r="O69" i="17"/>
  <c r="O68" i="17" s="1"/>
  <c r="O67" i="17" s="1"/>
  <c r="O66" i="17" s="1"/>
  <c r="O65" i="17" s="1"/>
  <c r="O64" i="17" s="1"/>
  <c r="O63" i="17" s="1"/>
  <c r="O62" i="17" s="1"/>
  <c r="O61" i="17" s="1"/>
  <c r="O60" i="17" s="1"/>
  <c r="O59" i="17" s="1"/>
  <c r="O58" i="17" s="1"/>
  <c r="O57" i="17" s="1"/>
  <c r="O56" i="17" s="1"/>
  <c r="O55" i="17" s="1"/>
  <c r="O54" i="17" s="1"/>
  <c r="O53" i="17" s="1"/>
  <c r="O52" i="17" s="1"/>
  <c r="O51" i="17" s="1"/>
  <c r="O50" i="17" s="1"/>
  <c r="O49" i="17" s="1"/>
  <c r="O48" i="17" s="1"/>
  <c r="O47" i="17" s="1"/>
  <c r="O46" i="17" s="1"/>
  <c r="O45" i="17" s="1"/>
  <c r="O44" i="17" s="1"/>
  <c r="O43" i="17" s="1"/>
  <c r="O42" i="17" s="1"/>
  <c r="O41" i="17" s="1"/>
  <c r="O40" i="17" s="1"/>
  <c r="O39" i="17" s="1"/>
  <c r="O38" i="17" s="1"/>
  <c r="O37" i="17" s="1"/>
  <c r="O36" i="17" s="1"/>
  <c r="O35" i="17" s="1"/>
  <c r="O34" i="17" s="1"/>
  <c r="O33" i="17" s="1"/>
  <c r="O32" i="17" s="1"/>
  <c r="O31" i="17" s="1"/>
  <c r="O30" i="17" s="1"/>
  <c r="O29" i="17" s="1"/>
  <c r="O28" i="17" s="1"/>
  <c r="O27" i="17" s="1"/>
  <c r="O26" i="17" s="1"/>
  <c r="O25" i="17" s="1"/>
  <c r="O24" i="17" s="1"/>
  <c r="O23" i="17" s="1"/>
  <c r="O22" i="17" s="1"/>
  <c r="O19" i="17" s="1"/>
  <c r="O18" i="17" s="1"/>
  <c r="O17" i="17" s="1"/>
  <c r="O16" i="17" s="1"/>
  <c r="O15" i="17" s="1"/>
  <c r="E69" i="13"/>
  <c r="Y67" i="13"/>
  <c r="D69" i="13"/>
  <c r="D70" i="13"/>
  <c r="D73" i="13" s="1"/>
  <c r="D75" i="13"/>
  <c r="D81" i="13"/>
  <c r="P81" i="13"/>
  <c r="D82" i="13"/>
  <c r="P82" i="13"/>
  <c r="D50" i="13"/>
  <c r="D51" i="13"/>
  <c r="D54" i="13" s="1"/>
  <c r="D56" i="13"/>
  <c r="H56" i="13"/>
  <c r="D62" i="13"/>
  <c r="N47" i="13" s="1"/>
  <c r="P62" i="13"/>
  <c r="D63" i="13"/>
  <c r="P63" i="13"/>
  <c r="D31" i="13"/>
  <c r="D32" i="13"/>
  <c r="D35" i="13" s="1"/>
  <c r="D37" i="13"/>
  <c r="H37" i="13"/>
  <c r="P43" i="13"/>
  <c r="P44" i="13"/>
  <c r="D76" i="13"/>
  <c r="E81" i="13"/>
  <c r="BK191" i="10" s="1"/>
  <c r="F81" i="13"/>
  <c r="G81" i="13"/>
  <c r="I81" i="13"/>
  <c r="J81" i="13"/>
  <c r="E82" i="13"/>
  <c r="F82" i="13"/>
  <c r="G82" i="13"/>
  <c r="I82" i="13"/>
  <c r="J82" i="13"/>
  <c r="E83" i="13"/>
  <c r="F83" i="13"/>
  <c r="G83" i="13"/>
  <c r="I83" i="13"/>
  <c r="E50" i="13"/>
  <c r="D57" i="13"/>
  <c r="E62" i="13"/>
  <c r="F62" i="13"/>
  <c r="G62" i="13"/>
  <c r="I62" i="13"/>
  <c r="J62" i="13"/>
  <c r="E63" i="13"/>
  <c r="F63" i="13"/>
  <c r="G63" i="13"/>
  <c r="I63" i="13"/>
  <c r="J63" i="13"/>
  <c r="E64" i="13"/>
  <c r="F64" i="13"/>
  <c r="G64" i="13"/>
  <c r="I64" i="13"/>
  <c r="E31" i="13"/>
  <c r="D38" i="13"/>
  <c r="E43" i="13"/>
  <c r="F43" i="13"/>
  <c r="G43" i="13"/>
  <c r="I43" i="13"/>
  <c r="J43" i="13"/>
  <c r="E44" i="13"/>
  <c r="F44" i="13"/>
  <c r="G44" i="13"/>
  <c r="I44" i="13"/>
  <c r="J44" i="13"/>
  <c r="E45" i="13"/>
  <c r="F45" i="13"/>
  <c r="G45" i="13"/>
  <c r="I45" i="13"/>
  <c r="L30" i="8"/>
  <c r="T30" i="8" s="1"/>
  <c r="L31" i="8"/>
  <c r="T31" i="8" s="1"/>
  <c r="AD87" i="14"/>
  <c r="AD81" i="14"/>
  <c r="AD77" i="14"/>
  <c r="AD61" i="14"/>
  <c r="AD63" i="14"/>
  <c r="AD33" i="14"/>
  <c r="AD45" i="14"/>
  <c r="AD69" i="14"/>
  <c r="AD35" i="14"/>
  <c r="H13" i="4"/>
  <c r="N6" i="4"/>
  <c r="N7" i="4" s="1"/>
  <c r="N8" i="4" s="1"/>
  <c r="N9" i="4" s="1"/>
  <c r="N10" i="4" s="1"/>
  <c r="N11" i="4" s="1"/>
  <c r="N12" i="4" s="1"/>
  <c r="N13" i="4" s="1"/>
  <c r="N14" i="4" s="1"/>
  <c r="N15" i="4" s="1"/>
  <c r="N16" i="4" s="1"/>
  <c r="N17" i="4" s="1"/>
  <c r="N18" i="4" s="1"/>
  <c r="N19" i="4" s="1"/>
  <c r="N20" i="4" s="1"/>
  <c r="N21" i="4" s="1"/>
  <c r="N22" i="4" s="1"/>
  <c r="N23" i="4" s="1"/>
  <c r="N24" i="4" s="1"/>
  <c r="N25" i="4" s="1"/>
  <c r="N26" i="4" s="1"/>
  <c r="GK236" i="11"/>
  <c r="GK240" i="11" s="1"/>
  <c r="GK244" i="11" s="1"/>
  <c r="GK248" i="11" s="1"/>
  <c r="GK252" i="11" s="1"/>
  <c r="GK256" i="11" s="1"/>
  <c r="GK260" i="11" s="1"/>
  <c r="AP61" i="15"/>
  <c r="AP60" i="15" s="1"/>
  <c r="AP59" i="15" s="1"/>
  <c r="AP58" i="15" s="1"/>
  <c r="AP57" i="15" s="1"/>
  <c r="AP56" i="15" s="1"/>
  <c r="AP55" i="15" s="1"/>
  <c r="AP54" i="15" s="1"/>
  <c r="AP53" i="15" s="1"/>
  <c r="AP52" i="15" s="1"/>
  <c r="AP51" i="15" s="1"/>
  <c r="AP50" i="15" s="1"/>
  <c r="AP49" i="15" s="1"/>
  <c r="AP48" i="15" s="1"/>
  <c r="AP47" i="15" s="1"/>
  <c r="AP46" i="15" s="1"/>
  <c r="AP45" i="15" s="1"/>
  <c r="AP44" i="15" s="1"/>
  <c r="AP43" i="15" s="1"/>
  <c r="AP42" i="15" s="1"/>
  <c r="AP41" i="15" s="1"/>
  <c r="AP40" i="15" s="1"/>
  <c r="AP39" i="15" s="1"/>
  <c r="AP38" i="15" s="1"/>
  <c r="AP37" i="15" s="1"/>
  <c r="AP36" i="15" s="1"/>
  <c r="AP35" i="15" s="1"/>
  <c r="AP34" i="15" s="1"/>
  <c r="AP33" i="15" s="1"/>
  <c r="AP32" i="15" s="1"/>
  <c r="AP31" i="15" s="1"/>
  <c r="AP30" i="15" s="1"/>
  <c r="AP29" i="15" s="1"/>
  <c r="AP28" i="15" s="1"/>
  <c r="AP27" i="15" s="1"/>
  <c r="AP26" i="15" s="1"/>
  <c r="AP25" i="15" s="1"/>
  <c r="AP24" i="15" s="1"/>
  <c r="AP23" i="15" s="1"/>
  <c r="AP22" i="15" s="1"/>
  <c r="AP21" i="15" s="1"/>
  <c r="AP20" i="15" s="1"/>
  <c r="AP19" i="15" s="1"/>
  <c r="AP18" i="15" s="1"/>
  <c r="AP17" i="15" s="1"/>
  <c r="AP16" i="15" s="1"/>
  <c r="AP15" i="15" s="1"/>
  <c r="AP14" i="15" s="1"/>
  <c r="AP13" i="15" s="1"/>
  <c r="AP12" i="15" s="1"/>
  <c r="AP11" i="15" s="1"/>
  <c r="P74" i="15"/>
  <c r="P73" i="15"/>
  <c r="P72" i="15"/>
  <c r="P70" i="15"/>
  <c r="P69" i="15"/>
  <c r="P68" i="15"/>
  <c r="P67" i="15"/>
  <c r="P66" i="15"/>
  <c r="P65" i="15"/>
  <c r="P64" i="15"/>
  <c r="P63" i="15"/>
  <c r="P62" i="15"/>
  <c r="P61" i="15"/>
  <c r="P60" i="15"/>
  <c r="P58" i="15"/>
  <c r="P57" i="15"/>
  <c r="P56" i="15"/>
  <c r="P55" i="15"/>
  <c r="P54" i="15"/>
  <c r="P53" i="15"/>
  <c r="P50" i="15"/>
  <c r="P49" i="15"/>
  <c r="P48" i="15"/>
  <c r="P47" i="15"/>
  <c r="P46" i="15"/>
  <c r="P41" i="15"/>
  <c r="P39" i="15"/>
  <c r="P38" i="15"/>
  <c r="P36" i="15"/>
  <c r="P35" i="15"/>
  <c r="P34" i="15"/>
  <c r="P33" i="15"/>
  <c r="P32" i="15"/>
  <c r="P30" i="15"/>
  <c r="P29" i="15"/>
  <c r="P28" i="15"/>
  <c r="P26" i="15"/>
  <c r="P25" i="15"/>
  <c r="P24" i="15"/>
  <c r="P23" i="15"/>
  <c r="P21" i="15"/>
  <c r="P20" i="15"/>
  <c r="P19" i="15"/>
  <c r="P16" i="15"/>
  <c r="P80" i="15"/>
  <c r="P14" i="15"/>
  <c r="P13" i="15"/>
  <c r="P79" i="15"/>
  <c r="P11" i="15"/>
  <c r="P78" i="15"/>
  <c r="P10" i="15"/>
  <c r="P77" i="15"/>
  <c r="D359" i="7"/>
  <c r="D358" i="7"/>
  <c r="D82" i="7"/>
  <c r="AD20" i="13"/>
  <c r="AD22" i="13"/>
  <c r="AE22" i="13" s="1"/>
  <c r="AD21" i="13"/>
  <c r="AD19" i="13"/>
  <c r="N22" i="13"/>
  <c r="N21" i="13"/>
  <c r="N20" i="13"/>
  <c r="N19" i="13"/>
  <c r="N12" i="13"/>
  <c r="N13" i="13"/>
  <c r="A7" i="14"/>
  <c r="A6" i="14"/>
  <c r="A5" i="14"/>
  <c r="Q13" i="13"/>
  <c r="C9" i="14"/>
  <c r="C8" i="14"/>
  <c r="C7" i="14"/>
  <c r="C6" i="14"/>
  <c r="R22" i="13"/>
  <c r="R21" i="13"/>
  <c r="R20" i="13"/>
  <c r="R19" i="13"/>
  <c r="Q22" i="13"/>
  <c r="AA22" i="13"/>
  <c r="AA21" i="13"/>
  <c r="AB22" i="13"/>
  <c r="AB21" i="13"/>
  <c r="Z22" i="13"/>
  <c r="Z21" i="13"/>
  <c r="Y22" i="13"/>
  <c r="Y21" i="13"/>
  <c r="Q21" i="13" s="1"/>
  <c r="AB19" i="13"/>
  <c r="Z19" i="13"/>
  <c r="Z15" i="13"/>
  <c r="Z14" i="13"/>
  <c r="Y19" i="13"/>
  <c r="N14" i="13"/>
  <c r="AC18" i="13"/>
  <c r="AA18" i="13"/>
  <c r="Z18" i="13"/>
  <c r="AC15" i="13"/>
  <c r="AC14" i="13"/>
  <c r="AA15" i="13"/>
  <c r="Y15" i="13"/>
  <c r="AB15" i="13"/>
  <c r="Q15" i="13"/>
  <c r="AA14" i="13"/>
  <c r="AB14" i="13"/>
  <c r="Y14" i="13"/>
  <c r="EP2" i="5"/>
  <c r="EQ2" i="5" s="1"/>
  <c r="ER2" i="5" s="1"/>
  <c r="ES2" i="5" s="1"/>
  <c r="ET2" i="5" s="1"/>
  <c r="EU2" i="5" s="1"/>
  <c r="EV2" i="5" s="1"/>
  <c r="EW2" i="5" s="1"/>
  <c r="J15" i="12"/>
  <c r="J16" i="12"/>
  <c r="J14" i="12"/>
  <c r="J13" i="12"/>
  <c r="J12" i="12"/>
  <c r="J10" i="12"/>
  <c r="J11" i="12"/>
  <c r="J37" i="8"/>
  <c r="J36" i="8"/>
  <c r="J35" i="8"/>
  <c r="J34" i="8"/>
  <c r="J33" i="8"/>
  <c r="M32" i="8"/>
  <c r="DE2" i="5"/>
  <c r="DF2" i="5" s="1"/>
  <c r="DG2" i="5" s="1"/>
  <c r="DH2" i="5" s="1"/>
  <c r="DI2" i="5" s="1"/>
  <c r="DJ2" i="5" s="1"/>
  <c r="DK2" i="5" s="1"/>
  <c r="DL2" i="5" s="1"/>
  <c r="DM2" i="5" s="1"/>
  <c r="DN2" i="5" s="1"/>
  <c r="DO2" i="5" s="1"/>
  <c r="DP2" i="5" s="1"/>
  <c r="DQ2" i="5" s="1"/>
  <c r="DR2" i="5" s="1"/>
  <c r="DS2" i="5" s="1"/>
  <c r="DT2" i="5" s="1"/>
  <c r="DU2" i="5" s="1"/>
  <c r="DV2" i="5" s="1"/>
  <c r="X10" i="2"/>
  <c r="X11" i="2" s="1"/>
  <c r="X12" i="2" s="1"/>
  <c r="X13" i="2" s="1"/>
  <c r="X14" i="2" s="1"/>
  <c r="X16" i="2" s="1"/>
  <c r="H6" i="4"/>
  <c r="GC175" i="11"/>
  <c r="GC179" i="11" s="1"/>
  <c r="GC183" i="11" s="1"/>
  <c r="GC187" i="11" s="1"/>
  <c r="GC191" i="11" s="1"/>
  <c r="GC195" i="11" s="1"/>
  <c r="GC199" i="11" s="1"/>
  <c r="GC203" i="11" s="1"/>
  <c r="GC207" i="11" s="1"/>
  <c r="GC211" i="11" s="1"/>
  <c r="GC215" i="11" s="1"/>
  <c r="GC219" i="11" s="1"/>
  <c r="GC223" i="11" s="1"/>
  <c r="GG171" i="11" s="1"/>
  <c r="GG175" i="11" s="1"/>
  <c r="GG179" i="11" s="1"/>
  <c r="GG183" i="11" s="1"/>
  <c r="GG187" i="11" s="1"/>
  <c r="GG191" i="11" s="1"/>
  <c r="GG195" i="11" s="1"/>
  <c r="GG199" i="11" s="1"/>
  <c r="GG203" i="11" s="1"/>
  <c r="GG207" i="11" s="1"/>
  <c r="GG211" i="11" s="1"/>
  <c r="GG215" i="11" s="1"/>
  <c r="GG219" i="11" s="1"/>
  <c r="GG223" i="11" s="1"/>
  <c r="GC236" i="11"/>
  <c r="GC240" i="11" s="1"/>
  <c r="GC244" i="11" s="1"/>
  <c r="GC248" i="11" s="1"/>
  <c r="GC252" i="11" s="1"/>
  <c r="GC256" i="11" s="1"/>
  <c r="AH8" i="9"/>
  <c r="AH9" i="9" s="1"/>
  <c r="AH10" i="9" s="1"/>
  <c r="AH11" i="9" s="1"/>
  <c r="AH12" i="9" s="1"/>
  <c r="AH13" i="9" s="1"/>
  <c r="AH14" i="9" s="1"/>
  <c r="AH15" i="9" s="1"/>
  <c r="AH16" i="9" s="1"/>
  <c r="AH17" i="9" s="1"/>
  <c r="AH18" i="9" s="1"/>
  <c r="BZ2" i="5"/>
  <c r="CA2" i="5" s="1"/>
  <c r="CB2" i="5" s="1"/>
  <c r="CC2" i="5" s="1"/>
  <c r="CD2" i="5" s="1"/>
  <c r="CE2" i="5" s="1"/>
  <c r="CF2" i="5" s="1"/>
  <c r="CG2" i="5" s="1"/>
  <c r="CH2" i="5" s="1"/>
  <c r="CI2" i="5" s="1"/>
  <c r="CJ2" i="5" s="1"/>
  <c r="CK2" i="5" s="1"/>
  <c r="CL2" i="5" s="1"/>
  <c r="CM2" i="5" s="1"/>
  <c r="CN2" i="5" s="1"/>
  <c r="CO2" i="5" s="1"/>
  <c r="CP2" i="5" s="1"/>
  <c r="CQ2" i="5" s="1"/>
  <c r="CR2" i="5" s="1"/>
  <c r="CS2" i="5" s="1"/>
  <c r="CT2" i="5" s="1"/>
  <c r="CU2" i="5" s="1"/>
  <c r="CV2" i="5" s="1"/>
  <c r="T51" i="8" l="1"/>
  <c r="W36" i="8"/>
  <c r="U36" i="8"/>
  <c r="U34" i="8"/>
  <c r="W34" i="8"/>
  <c r="U35" i="8"/>
  <c r="W35" i="8"/>
  <c r="W33" i="8"/>
  <c r="U33" i="8"/>
  <c r="W37" i="8"/>
  <c r="Z37" i="8"/>
  <c r="Z36" i="8" s="1"/>
  <c r="Z35" i="8" s="1"/>
  <c r="Z34" i="8" s="1"/>
  <c r="Z33" i="8" s="1"/>
  <c r="Z32" i="8" s="1"/>
  <c r="Z31" i="8" s="1"/>
  <c r="Z30" i="8" s="1"/>
  <c r="Z29" i="8" s="1"/>
  <c r="Z28" i="8" s="1"/>
  <c r="U37" i="8"/>
  <c r="V37" i="8" s="1"/>
  <c r="FE75" i="5"/>
  <c r="AP10" i="15"/>
  <c r="AP9" i="15" s="1"/>
  <c r="AX6" i="19" s="1"/>
  <c r="B62" i="5"/>
  <c r="N22" i="2"/>
  <c r="G132" i="7" s="1"/>
  <c r="N23" i="2"/>
  <c r="P8" i="9"/>
  <c r="P9" i="9" s="1"/>
  <c r="P10" i="9" s="1"/>
  <c r="P11" i="9" s="1"/>
  <c r="P12" i="9" s="1"/>
  <c r="P13" i="9" s="1"/>
  <c r="P14" i="9" s="1"/>
  <c r="P15" i="9" s="1"/>
  <c r="P16" i="9" s="1"/>
  <c r="P17" i="9" s="1"/>
  <c r="P18" i="9" s="1"/>
  <c r="P19" i="9" s="1"/>
  <c r="P20" i="9" s="1"/>
  <c r="P21" i="9" s="1"/>
  <c r="P22" i="9" s="1"/>
  <c r="P23" i="9" s="1"/>
  <c r="P24" i="9" s="1"/>
  <c r="P25" i="9" s="1"/>
  <c r="P26" i="9" s="1"/>
  <c r="K45" i="7"/>
  <c r="K46" i="7"/>
  <c r="K44" i="7"/>
  <c r="K103" i="7"/>
  <c r="K142" i="7"/>
  <c r="K182" i="7"/>
  <c r="K270" i="7"/>
  <c r="K289" i="7"/>
  <c r="K157" i="7"/>
  <c r="K161" i="7"/>
  <c r="K140" i="7"/>
  <c r="K313" i="7"/>
  <c r="K222" i="7"/>
  <c r="AB222" i="7" s="1"/>
  <c r="K14" i="7"/>
  <c r="AB14" i="7" s="1"/>
  <c r="K39" i="7"/>
  <c r="K72" i="7"/>
  <c r="K135" i="7"/>
  <c r="K181" i="7"/>
  <c r="K265" i="7"/>
  <c r="K288" i="7"/>
  <c r="K11" i="7"/>
  <c r="K50" i="7"/>
  <c r="K132" i="7"/>
  <c r="K162" i="7"/>
  <c r="K318" i="7"/>
  <c r="K38" i="7"/>
  <c r="K67" i="7"/>
  <c r="K126" i="7"/>
  <c r="K164" i="7"/>
  <c r="K255" i="7"/>
  <c r="K287" i="7"/>
  <c r="K360" i="7"/>
  <c r="K98" i="7"/>
  <c r="K143" i="7"/>
  <c r="K144" i="7"/>
  <c r="K163" i="7"/>
  <c r="K354" i="7"/>
  <c r="K60" i="7"/>
  <c r="K113" i="7"/>
  <c r="K154" i="7"/>
  <c r="K226" i="7"/>
  <c r="K285" i="7"/>
  <c r="K300" i="7"/>
  <c r="K12" i="7"/>
  <c r="K129" i="7"/>
  <c r="K138" i="7"/>
  <c r="K156" i="7"/>
  <c r="K177" i="7"/>
  <c r="K215" i="7"/>
  <c r="IG32" i="5"/>
  <c r="IF33" i="5"/>
  <c r="D5" i="16"/>
  <c r="J5" i="16" s="1"/>
  <c r="BO5" i="19"/>
  <c r="BM5" i="33"/>
  <c r="BN6" i="33"/>
  <c r="BO6" i="33" s="1"/>
  <c r="R31" i="6"/>
  <c r="R23" i="6"/>
  <c r="R19" i="6"/>
  <c r="R15" i="6"/>
  <c r="R11" i="6"/>
  <c r="R32" i="6"/>
  <c r="R28" i="6"/>
  <c r="R24" i="6"/>
  <c r="R20" i="6"/>
  <c r="R16" i="6"/>
  <c r="R12" i="6"/>
  <c r="R33" i="6"/>
  <c r="R29" i="6"/>
  <c r="R25" i="6"/>
  <c r="R21" i="6"/>
  <c r="R17" i="6"/>
  <c r="R13" i="6"/>
  <c r="R34" i="6"/>
  <c r="R30" i="6"/>
  <c r="R22" i="6"/>
  <c r="R18" i="6"/>
  <c r="R14" i="6"/>
  <c r="R35" i="6"/>
  <c r="H83" i="23"/>
  <c r="AA1175" i="9"/>
  <c r="AA1174" i="9" s="1"/>
  <c r="AA1173" i="9" s="1"/>
  <c r="AA1172" i="9" s="1"/>
  <c r="AA1171" i="9" s="1"/>
  <c r="AA1170" i="9" s="1"/>
  <c r="AA1169" i="9" s="1"/>
  <c r="AA1168" i="9" s="1"/>
  <c r="AA1167" i="9" s="1"/>
  <c r="AA1166" i="9" s="1"/>
  <c r="AA1165" i="9" s="1"/>
  <c r="AA1164" i="9" s="1"/>
  <c r="AA1163" i="9" s="1"/>
  <c r="AA1162" i="9" s="1"/>
  <c r="AA1161" i="9" s="1"/>
  <c r="AA1160" i="9" s="1"/>
  <c r="AA1159" i="9" s="1"/>
  <c r="AA1158" i="9" s="1"/>
  <c r="AA1157" i="9" s="1"/>
  <c r="AA1156" i="9" s="1"/>
  <c r="AA1155" i="9" s="1"/>
  <c r="AA1154" i="9" s="1"/>
  <c r="AA1153" i="9" s="1"/>
  <c r="AA1152" i="9" s="1"/>
  <c r="AA1151" i="9" s="1"/>
  <c r="AA1150" i="9" s="1"/>
  <c r="AA1149" i="9" s="1"/>
  <c r="AA1148" i="9" s="1"/>
  <c r="AA1147" i="9" s="1"/>
  <c r="AA1146" i="9" s="1"/>
  <c r="AA1145" i="9" s="1"/>
  <c r="AA1144" i="9" s="1"/>
  <c r="AA1143" i="9" s="1"/>
  <c r="AA1142" i="9" s="1"/>
  <c r="AA1141" i="9" s="1"/>
  <c r="AA1140" i="9" s="1"/>
  <c r="AA1139" i="9" s="1"/>
  <c r="AA1138" i="9" s="1"/>
  <c r="AA1137" i="9" s="1"/>
  <c r="AA1136" i="9" s="1"/>
  <c r="AA1135" i="9" s="1"/>
  <c r="AA1134" i="9" s="1"/>
  <c r="AA1133" i="9" s="1"/>
  <c r="AA1132" i="9" s="1"/>
  <c r="AA1131" i="9" s="1"/>
  <c r="AA1130" i="9" s="1"/>
  <c r="AA1129" i="9" s="1"/>
  <c r="AA1128" i="9" s="1"/>
  <c r="AA1127" i="9" s="1"/>
  <c r="AA1126" i="9" s="1"/>
  <c r="AA1125" i="9" s="1"/>
  <c r="AA1124" i="9" s="1"/>
  <c r="AA1123" i="9" s="1"/>
  <c r="AA1122" i="9" s="1"/>
  <c r="AA1121" i="9" s="1"/>
  <c r="AA1120" i="9" s="1"/>
  <c r="AA1119" i="9" s="1"/>
  <c r="AA1118" i="9" s="1"/>
  <c r="AA1117" i="9" s="1"/>
  <c r="AA1116" i="9" s="1"/>
  <c r="AA1115" i="9" s="1"/>
  <c r="AA1114" i="9" s="1"/>
  <c r="AA1113" i="9" s="1"/>
  <c r="AA1112" i="9" s="1"/>
  <c r="AA1111" i="9" s="1"/>
  <c r="AA1110" i="9" s="1"/>
  <c r="AA1109" i="9" s="1"/>
  <c r="AA1108" i="9" s="1"/>
  <c r="AA1107" i="9" s="1"/>
  <c r="AA1106" i="9" s="1"/>
  <c r="AA1105" i="9" s="1"/>
  <c r="AA1104" i="9" s="1"/>
  <c r="AA1103" i="9" s="1"/>
  <c r="AA1102" i="9" s="1"/>
  <c r="AA1101" i="9" s="1"/>
  <c r="AA1100" i="9" s="1"/>
  <c r="AA1099" i="9" s="1"/>
  <c r="AA1098" i="9" s="1"/>
  <c r="AA1097" i="9" s="1"/>
  <c r="AA1096" i="9" s="1"/>
  <c r="AA1095" i="9" s="1"/>
  <c r="AA1094" i="9" s="1"/>
  <c r="AA1093" i="9" s="1"/>
  <c r="AA1092" i="9" s="1"/>
  <c r="AA1091" i="9" s="1"/>
  <c r="AA1090" i="9" s="1"/>
  <c r="AA1089" i="9" s="1"/>
  <c r="AA1088" i="9" s="1"/>
  <c r="AA1087" i="9" s="1"/>
  <c r="AA1086" i="9" s="1"/>
  <c r="AA1085" i="9" s="1"/>
  <c r="AA1084" i="9" s="1"/>
  <c r="AA1083" i="9" s="1"/>
  <c r="AD17" i="14"/>
  <c r="AD16" i="14"/>
  <c r="Y70" i="21"/>
  <c r="BC70" i="21"/>
  <c r="AO244" i="18" s="1"/>
  <c r="O70" i="21"/>
  <c r="AS70" i="21"/>
  <c r="AI70" i="21"/>
  <c r="EN73" i="5"/>
  <c r="EZ74" i="5"/>
  <c r="EZ73" i="5"/>
  <c r="EN74" i="5"/>
  <c r="EN75" i="5"/>
  <c r="EZ75" i="5"/>
  <c r="X5" i="2"/>
  <c r="G222" i="7" s="1"/>
  <c r="D24" i="8"/>
  <c r="L36" i="8"/>
  <c r="T36" i="8" s="1"/>
  <c r="L33" i="8"/>
  <c r="T33" i="8" s="1"/>
  <c r="L37" i="8"/>
  <c r="T37" i="8" s="1"/>
  <c r="M35" i="8"/>
  <c r="C25" i="8"/>
  <c r="M34" i="8"/>
  <c r="BP6" i="19"/>
  <c r="BQ6" i="19" s="1"/>
  <c r="BT6" i="19" s="1"/>
  <c r="GK264" i="11"/>
  <c r="GK268" i="11" s="1"/>
  <c r="GK272" i="11" s="1"/>
  <c r="GO232" i="11" s="1"/>
  <c r="GO236" i="11" s="1"/>
  <c r="GO240" i="11" s="1"/>
  <c r="GO244" i="11" s="1"/>
  <c r="GO248" i="11" s="1"/>
  <c r="GO252" i="11" s="1"/>
  <c r="GO256" i="11" s="1"/>
  <c r="GO260" i="11" s="1"/>
  <c r="GO264" i="11" s="1"/>
  <c r="GO268" i="11" s="1"/>
  <c r="GO272" i="11" s="1"/>
  <c r="GG232" i="11"/>
  <c r="GG236" i="11" s="1"/>
  <c r="GG240" i="11" s="1"/>
  <c r="GG244" i="11" s="1"/>
  <c r="GG248" i="11" s="1"/>
  <c r="GG252" i="11" s="1"/>
  <c r="GG256" i="11" s="1"/>
  <c r="M33" i="8"/>
  <c r="L34" i="8"/>
  <c r="T34" i="8" s="1"/>
  <c r="M37" i="8"/>
  <c r="L35" i="8"/>
  <c r="T35" i="8" s="1"/>
  <c r="M36" i="8"/>
  <c r="AT16" i="15"/>
  <c r="AU18" i="15"/>
  <c r="AU17" i="15" s="1"/>
  <c r="Q25" i="13"/>
  <c r="S34" i="8"/>
  <c r="S35" i="8"/>
  <c r="S36" i="8"/>
  <c r="S37" i="8"/>
  <c r="S33" i="8"/>
  <c r="O14" i="17"/>
  <c r="O12" i="17" s="1"/>
  <c r="O11" i="17" s="1"/>
  <c r="Q13" i="17"/>
  <c r="T12" i="17" s="1"/>
  <c r="T11" i="17" s="1"/>
  <c r="Q14" i="17"/>
  <c r="Q12" i="17" s="1"/>
  <c r="Q11" i="17" s="1"/>
  <c r="C48" i="8"/>
  <c r="D7" i="16"/>
  <c r="J7" i="16" s="1"/>
  <c r="L7" i="16" s="1"/>
  <c r="D6" i="16"/>
  <c r="J6" i="16" s="1"/>
  <c r="X11" i="8"/>
  <c r="R10" i="8"/>
  <c r="L13" i="8"/>
  <c r="H42" i="2"/>
  <c r="Q42" i="2" s="1"/>
  <c r="I6" i="4"/>
  <c r="H49" i="2"/>
  <c r="K49" i="2" s="1"/>
  <c r="H48" i="2"/>
  <c r="E13" i="4"/>
  <c r="I13" i="4"/>
  <c r="E70" i="21"/>
  <c r="DW2" i="5"/>
  <c r="DX2" i="5" s="1"/>
  <c r="DY2" i="5" s="1"/>
  <c r="DZ2" i="5" s="1"/>
  <c r="EA2" i="5" s="1"/>
  <c r="EB2" i="5" s="1"/>
  <c r="EC2" i="5" s="1"/>
  <c r="ED2" i="5" s="1"/>
  <c r="EE2" i="5" s="1"/>
  <c r="EF2" i="5" s="1"/>
  <c r="EG2" i="5" s="1"/>
  <c r="EH2" i="5" s="1"/>
  <c r="EI2" i="5" s="1"/>
  <c r="EJ2" i="5" s="1"/>
  <c r="EK2" i="5" s="1"/>
  <c r="EL2" i="5" s="1"/>
  <c r="EM2" i="5" s="1"/>
  <c r="D22" i="8"/>
  <c r="D23" i="8"/>
  <c r="B10" i="13"/>
  <c r="D61" i="21"/>
  <c r="AJ1" i="13"/>
  <c r="B67" i="13"/>
  <c r="B48" i="13"/>
  <c r="B29" i="13"/>
  <c r="H31" i="13" s="1"/>
  <c r="D74" i="13"/>
  <c r="F56" i="13"/>
  <c r="F55" i="13"/>
  <c r="D55" i="13"/>
  <c r="F37" i="13"/>
  <c r="F36" i="13"/>
  <c r="D36" i="13"/>
  <c r="H46" i="2"/>
  <c r="AA7" i="13"/>
  <c r="Q12" i="13"/>
  <c r="AE21" i="13"/>
  <c r="AE20" i="13" s="1"/>
  <c r="AE19" i="13" s="1"/>
  <c r="Q17" i="13"/>
  <c r="EX2" i="5"/>
  <c r="EY2" i="5" s="1"/>
  <c r="EZ2" i="5" s="1"/>
  <c r="FA2" i="5" s="1"/>
  <c r="FB2" i="5" s="1"/>
  <c r="FC2" i="5" s="1"/>
  <c r="FD2" i="5" s="1"/>
  <c r="FE2" i="5" s="1"/>
  <c r="FF2" i="5" s="1"/>
  <c r="FG2" i="5" s="1"/>
  <c r="FH2" i="5" s="1"/>
  <c r="FI2" i="5" s="1"/>
  <c r="FJ2" i="5" s="1"/>
  <c r="FK2" i="5" s="1"/>
  <c r="FL2" i="5" s="1"/>
  <c r="FM2" i="5" s="1"/>
  <c r="FN2" i="5" s="1"/>
  <c r="FO2" i="5" s="1"/>
  <c r="M29" i="8"/>
  <c r="L32" i="8"/>
  <c r="T32" i="8" s="1"/>
  <c r="DD224" i="10"/>
  <c r="DU224" i="10"/>
  <c r="H47" i="2"/>
  <c r="H43" i="2"/>
  <c r="H44" i="2"/>
  <c r="H45" i="2"/>
  <c r="U3" i="11"/>
  <c r="DJ159" i="11"/>
  <c r="CU159" i="11"/>
  <c r="DJ153" i="11"/>
  <c r="CU153" i="11"/>
  <c r="DJ147" i="11"/>
  <c r="CU147" i="11"/>
  <c r="DJ141" i="11"/>
  <c r="CU141" i="11"/>
  <c r="DJ135" i="11"/>
  <c r="CU135" i="11"/>
  <c r="DJ129" i="11"/>
  <c r="CU129" i="11"/>
  <c r="DJ123" i="11"/>
  <c r="CU123" i="11"/>
  <c r="DJ117" i="11"/>
  <c r="CU117" i="11"/>
  <c r="DJ111" i="11"/>
  <c r="CU111" i="11"/>
  <c r="DJ105" i="11"/>
  <c r="CU105" i="11"/>
  <c r="DJ99" i="11"/>
  <c r="CU99" i="11"/>
  <c r="DJ75" i="11"/>
  <c r="CU75" i="11"/>
  <c r="DJ69" i="11"/>
  <c r="CU69" i="11"/>
  <c r="DJ63" i="11"/>
  <c r="CU63" i="11"/>
  <c r="DJ57" i="11"/>
  <c r="CU57" i="11"/>
  <c r="DJ51" i="11"/>
  <c r="CU51" i="11"/>
  <c r="DJ45" i="11"/>
  <c r="CU45" i="11"/>
  <c r="DJ39" i="11"/>
  <c r="CU39" i="11"/>
  <c r="DJ33" i="11"/>
  <c r="CU33" i="11"/>
  <c r="DJ27" i="11"/>
  <c r="CU27" i="11"/>
  <c r="DJ21" i="11"/>
  <c r="CU21" i="11"/>
  <c r="DJ15" i="11"/>
  <c r="CU15" i="11"/>
  <c r="M1317" i="9"/>
  <c r="R1317" i="9" s="1"/>
  <c r="M1316" i="9"/>
  <c r="R1316" i="9" s="1"/>
  <c r="M1315" i="9"/>
  <c r="R1315" i="9" s="1"/>
  <c r="M1314" i="9"/>
  <c r="R1314" i="9" s="1"/>
  <c r="M1313" i="9"/>
  <c r="R1313" i="9" s="1"/>
  <c r="M1312" i="9"/>
  <c r="R1312" i="9" s="1"/>
  <c r="M1311" i="9"/>
  <c r="R1311" i="9" s="1"/>
  <c r="M1310" i="9"/>
  <c r="R1310" i="9" s="1"/>
  <c r="M1309" i="9"/>
  <c r="R1309" i="9" s="1"/>
  <c r="M1308" i="9"/>
  <c r="R1308" i="9" s="1"/>
  <c r="M1307" i="9"/>
  <c r="R1307" i="9" s="1"/>
  <c r="M1306" i="9"/>
  <c r="R1306" i="9" s="1"/>
  <c r="M1301" i="9"/>
  <c r="R1301" i="9" s="1"/>
  <c r="M1299" i="9"/>
  <c r="Q13" i="6" s="1"/>
  <c r="M1298" i="9"/>
  <c r="R1298" i="9" s="1"/>
  <c r="M1297" i="9"/>
  <c r="R1297" i="9" s="1"/>
  <c r="M1296" i="9"/>
  <c r="R1296" i="9" s="1"/>
  <c r="M1295" i="9"/>
  <c r="R1295" i="9" s="1"/>
  <c r="M1294" i="9"/>
  <c r="R1294" i="9" s="1"/>
  <c r="M1293" i="9"/>
  <c r="R1293" i="9" s="1"/>
  <c r="M1292" i="9"/>
  <c r="R1292" i="9" s="1"/>
  <c r="M1291" i="9"/>
  <c r="R1291" i="9" s="1"/>
  <c r="M1290" i="9"/>
  <c r="R1290" i="9" s="1"/>
  <c r="M1289" i="9"/>
  <c r="R1289" i="9" s="1"/>
  <c r="M1288" i="9"/>
  <c r="R1288" i="9" s="1"/>
  <c r="M1287" i="9"/>
  <c r="R1287" i="9" s="1"/>
  <c r="M1286" i="9"/>
  <c r="R1286" i="9" s="1"/>
  <c r="M1285" i="9"/>
  <c r="R1285" i="9" s="1"/>
  <c r="M1284" i="9"/>
  <c r="R1284" i="9" s="1"/>
  <c r="M1283" i="9"/>
  <c r="R1283" i="9" s="1"/>
  <c r="M1282" i="9"/>
  <c r="R1282" i="9" s="1"/>
  <c r="M1281" i="9"/>
  <c r="R1281" i="9" s="1"/>
  <c r="M1280" i="9"/>
  <c r="R1280" i="9" s="1"/>
  <c r="M1279" i="9"/>
  <c r="R1279" i="9" s="1"/>
  <c r="M1278" i="9"/>
  <c r="R1278" i="9" s="1"/>
  <c r="M1277" i="9"/>
  <c r="R1277" i="9" s="1"/>
  <c r="M1276" i="9"/>
  <c r="R1276" i="9" s="1"/>
  <c r="M1275" i="9"/>
  <c r="R1275" i="9" s="1"/>
  <c r="M1274" i="9"/>
  <c r="R1274" i="9" s="1"/>
  <c r="M1273" i="9"/>
  <c r="R1273" i="9" s="1"/>
  <c r="M1272" i="9"/>
  <c r="R1272" i="9" s="1"/>
  <c r="M1271" i="9"/>
  <c r="R1271" i="9" s="1"/>
  <c r="M1270" i="9"/>
  <c r="R1270" i="9" s="1"/>
  <c r="M1269" i="9"/>
  <c r="R1269" i="9" s="1"/>
  <c r="M1268" i="9"/>
  <c r="R1268" i="9" s="1"/>
  <c r="M1257" i="9"/>
  <c r="R1257" i="9" s="1"/>
  <c r="M1256" i="9"/>
  <c r="R1256" i="9" s="1"/>
  <c r="M1255" i="9"/>
  <c r="R1255" i="9" s="1"/>
  <c r="M1254" i="9"/>
  <c r="R1254" i="9" s="1"/>
  <c r="M1253" i="9"/>
  <c r="R1253" i="9" s="1"/>
  <c r="M1252" i="9"/>
  <c r="R1252" i="9" s="1"/>
  <c r="M1251" i="9"/>
  <c r="R1251" i="9" s="1"/>
  <c r="M1250" i="9"/>
  <c r="R1250" i="9" s="1"/>
  <c r="M1244" i="9"/>
  <c r="R1244" i="9" s="1"/>
  <c r="M1243" i="9"/>
  <c r="R1243" i="9" s="1"/>
  <c r="M1242" i="9"/>
  <c r="R1242" i="9" s="1"/>
  <c r="M1241" i="9"/>
  <c r="R1241" i="9" s="1"/>
  <c r="M1240" i="9"/>
  <c r="R1240" i="9" s="1"/>
  <c r="M1239" i="9"/>
  <c r="R1239" i="9" s="1"/>
  <c r="M1238" i="9"/>
  <c r="R1238" i="9" s="1"/>
  <c r="M1237" i="9"/>
  <c r="R1237" i="9" s="1"/>
  <c r="M1236" i="9"/>
  <c r="R1236" i="9" s="1"/>
  <c r="M1235" i="9"/>
  <c r="R1235" i="9" s="1"/>
  <c r="M1232" i="9"/>
  <c r="R1232" i="9" s="1"/>
  <c r="M1231" i="9"/>
  <c r="R1231" i="9" s="1"/>
  <c r="M1230" i="9"/>
  <c r="R1230" i="9" s="1"/>
  <c r="M1229" i="9"/>
  <c r="R1229" i="9" s="1"/>
  <c r="M1228" i="9"/>
  <c r="R1228" i="9" s="1"/>
  <c r="M1225" i="9"/>
  <c r="R1225" i="9" s="1"/>
  <c r="M1224" i="9"/>
  <c r="R1224" i="9" s="1"/>
  <c r="M1223" i="9"/>
  <c r="R1223" i="9" s="1"/>
  <c r="M1222" i="9"/>
  <c r="R1222" i="9" s="1"/>
  <c r="M1221" i="9"/>
  <c r="R1221" i="9" s="1"/>
  <c r="M1220" i="9"/>
  <c r="R1220" i="9" s="1"/>
  <c r="M1219" i="9"/>
  <c r="R1219" i="9" s="1"/>
  <c r="M1218" i="9"/>
  <c r="R1218" i="9" s="1"/>
  <c r="M1217" i="9"/>
  <c r="R1217" i="9" s="1"/>
  <c r="M1216" i="9"/>
  <c r="R1216" i="9" s="1"/>
  <c r="M1215" i="9"/>
  <c r="R1215" i="9" s="1"/>
  <c r="M1214" i="9"/>
  <c r="R1214" i="9" s="1"/>
  <c r="M1213" i="9"/>
  <c r="R1213" i="9" s="1"/>
  <c r="M1212" i="9"/>
  <c r="R1212" i="9" s="1"/>
  <c r="M1211" i="9"/>
  <c r="R1211" i="9" s="1"/>
  <c r="M1210" i="9"/>
  <c r="R1210" i="9" s="1"/>
  <c r="M1209" i="9"/>
  <c r="R1209" i="9" s="1"/>
  <c r="M1208" i="9"/>
  <c r="R1208" i="9" s="1"/>
  <c r="M1207" i="9"/>
  <c r="R1207" i="9" s="1"/>
  <c r="M1206" i="9"/>
  <c r="R1206" i="9" s="1"/>
  <c r="M1205" i="9"/>
  <c r="R1205" i="9" s="1"/>
  <c r="M1203" i="9"/>
  <c r="R1203" i="9" s="1"/>
  <c r="M1202" i="9"/>
  <c r="R1202" i="9" s="1"/>
  <c r="M1201" i="9"/>
  <c r="R1201" i="9" s="1"/>
  <c r="M1200" i="9"/>
  <c r="R1200" i="9" s="1"/>
  <c r="M1199" i="9"/>
  <c r="R1199" i="9" s="1"/>
  <c r="M1198" i="9"/>
  <c r="R1198" i="9" s="1"/>
  <c r="M1197" i="9"/>
  <c r="R1197" i="9" s="1"/>
  <c r="M1196" i="9"/>
  <c r="R1196" i="9" s="1"/>
  <c r="M1195" i="9"/>
  <c r="R1195" i="9" s="1"/>
  <c r="M1194" i="9"/>
  <c r="R1194" i="9" s="1"/>
  <c r="M1193" i="9"/>
  <c r="R1193" i="9" s="1"/>
  <c r="M1192" i="9"/>
  <c r="R1192" i="9" s="1"/>
  <c r="M1191" i="9"/>
  <c r="R1191" i="9" s="1"/>
  <c r="M1190" i="9"/>
  <c r="R1190" i="9" s="1"/>
  <c r="M1188" i="9"/>
  <c r="R1188" i="9" s="1"/>
  <c r="M1187" i="9"/>
  <c r="R1187" i="9" s="1"/>
  <c r="M1186" i="9"/>
  <c r="R1186" i="9" s="1"/>
  <c r="M1185" i="9"/>
  <c r="R1185" i="9" s="1"/>
  <c r="M1184" i="9"/>
  <c r="R1184" i="9" s="1"/>
  <c r="M1182" i="9"/>
  <c r="R1182" i="9" s="1"/>
  <c r="M1181" i="9"/>
  <c r="R1181" i="9" s="1"/>
  <c r="M1180" i="9"/>
  <c r="R1180" i="9" s="1"/>
  <c r="M1179" i="9"/>
  <c r="R1179" i="9" s="1"/>
  <c r="M1178" i="9"/>
  <c r="R1178" i="9" s="1"/>
  <c r="M1177" i="9"/>
  <c r="R1177" i="9" s="1"/>
  <c r="M1176" i="9"/>
  <c r="R1176" i="9" s="1"/>
  <c r="M1175" i="9"/>
  <c r="R1175" i="9" s="1"/>
  <c r="M1163" i="9"/>
  <c r="R1163" i="9" s="1"/>
  <c r="M1162" i="9"/>
  <c r="R1162" i="9" s="1"/>
  <c r="M1161" i="9"/>
  <c r="R1161" i="9" s="1"/>
  <c r="M1160" i="9"/>
  <c r="M1159" i="9"/>
  <c r="R1159" i="9" s="1"/>
  <c r="M1158" i="9"/>
  <c r="R1158" i="9" s="1"/>
  <c r="M1157" i="9"/>
  <c r="R1157" i="9" s="1"/>
  <c r="M1156" i="9"/>
  <c r="R1156" i="9" s="1"/>
  <c r="M1155" i="9"/>
  <c r="R1155" i="9" s="1"/>
  <c r="M1154" i="9"/>
  <c r="R1154" i="9" s="1"/>
  <c r="M1153" i="9"/>
  <c r="R1153" i="9" s="1"/>
  <c r="M1147" i="9"/>
  <c r="R1147" i="9" s="1"/>
  <c r="M1146" i="9"/>
  <c r="R1146" i="9" s="1"/>
  <c r="M1145" i="9"/>
  <c r="R1145" i="9" s="1"/>
  <c r="M1144" i="9"/>
  <c r="R1144" i="9" s="1"/>
  <c r="M1143" i="9"/>
  <c r="R1143" i="9" s="1"/>
  <c r="M1142" i="9"/>
  <c r="R1142" i="9" s="1"/>
  <c r="M1141" i="9"/>
  <c r="R1141" i="9" s="1"/>
  <c r="M1140" i="9"/>
  <c r="R1140" i="9" s="1"/>
  <c r="M1138" i="9"/>
  <c r="R1138" i="9" s="1"/>
  <c r="M1137" i="9"/>
  <c r="R1137" i="9" s="1"/>
  <c r="M1136" i="9"/>
  <c r="R1136" i="9" s="1"/>
  <c r="M1135" i="9"/>
  <c r="R1135" i="9" s="1"/>
  <c r="M1134" i="9"/>
  <c r="R1134" i="9" s="1"/>
  <c r="M1123" i="9"/>
  <c r="R1123" i="9" s="1"/>
  <c r="M1122" i="9"/>
  <c r="R1122" i="9" s="1"/>
  <c r="M1121" i="9"/>
  <c r="R1121" i="9" s="1"/>
  <c r="M1120" i="9"/>
  <c r="R1120" i="9" s="1"/>
  <c r="M1119" i="9"/>
  <c r="R1119" i="9" s="1"/>
  <c r="M1118" i="9"/>
  <c r="R1118" i="9" s="1"/>
  <c r="M1117" i="9"/>
  <c r="R1117" i="9" s="1"/>
  <c r="M1116" i="9"/>
  <c r="R1116" i="9" s="1"/>
  <c r="M1115" i="9"/>
  <c r="R1115" i="9" s="1"/>
  <c r="M1109" i="9"/>
  <c r="R1109" i="9" s="1"/>
  <c r="M1108" i="9"/>
  <c r="R1108" i="9" s="1"/>
  <c r="M1107" i="9"/>
  <c r="R1107" i="9" s="1"/>
  <c r="M1106" i="9"/>
  <c r="R1106" i="9" s="1"/>
  <c r="M1105" i="9"/>
  <c r="R1105" i="9" s="1"/>
  <c r="M1103" i="9"/>
  <c r="R1103" i="9" s="1"/>
  <c r="M1100" i="9"/>
  <c r="M1099" i="9"/>
  <c r="M1098" i="9"/>
  <c r="R1098" i="9" s="1"/>
  <c r="M1097" i="9"/>
  <c r="M1096" i="9"/>
  <c r="R1096" i="9" s="1"/>
  <c r="M1095" i="9"/>
  <c r="R1095" i="9" s="1"/>
  <c r="M1094" i="9"/>
  <c r="R1094" i="9" s="1"/>
  <c r="M1093" i="9"/>
  <c r="R1093" i="9" s="1"/>
  <c r="M1092" i="9"/>
  <c r="R1092" i="9" s="1"/>
  <c r="M1091" i="9"/>
  <c r="R1091" i="9" s="1"/>
  <c r="M1090" i="9"/>
  <c r="R1090" i="9" s="1"/>
  <c r="M1089" i="9"/>
  <c r="R1089" i="9" s="1"/>
  <c r="M1088" i="9"/>
  <c r="R1088" i="9" s="1"/>
  <c r="M1087" i="9"/>
  <c r="R1087" i="9" s="1"/>
  <c r="M1086" i="9"/>
  <c r="R1086" i="9" s="1"/>
  <c r="M1085" i="9"/>
  <c r="R1085" i="9" s="1"/>
  <c r="M1084" i="9"/>
  <c r="R1084" i="9" s="1"/>
  <c r="M1083" i="9"/>
  <c r="R1083" i="9" s="1"/>
  <c r="M1081" i="9"/>
  <c r="R1081" i="9" s="1"/>
  <c r="M1080" i="9"/>
  <c r="R1080" i="9" s="1"/>
  <c r="M1078" i="9"/>
  <c r="R1078" i="9" s="1"/>
  <c r="M1077" i="9"/>
  <c r="R1077" i="9" s="1"/>
  <c r="M1076" i="9"/>
  <c r="R1076" i="9" s="1"/>
  <c r="M1075" i="9"/>
  <c r="R1075" i="9" s="1"/>
  <c r="M1070" i="9"/>
  <c r="R1070" i="9" s="1"/>
  <c r="M1068" i="9"/>
  <c r="R1068" i="9" s="1"/>
  <c r="M1067" i="9"/>
  <c r="R1067" i="9" s="1"/>
  <c r="M1066" i="9"/>
  <c r="R1066" i="9" s="1"/>
  <c r="M1065" i="9"/>
  <c r="R1065" i="9" s="1"/>
  <c r="M1054" i="9"/>
  <c r="R1054" i="9" s="1"/>
  <c r="M1053" i="9"/>
  <c r="R1053" i="9" s="1"/>
  <c r="M1052" i="9"/>
  <c r="R1052" i="9" s="1"/>
  <c r="M1051" i="9"/>
  <c r="R1051" i="9" s="1"/>
  <c r="M1050" i="9"/>
  <c r="R1050" i="9" s="1"/>
  <c r="M1049" i="9"/>
  <c r="R1049" i="9" s="1"/>
  <c r="M1048" i="9"/>
  <c r="R1048" i="9" s="1"/>
  <c r="M1047" i="9"/>
  <c r="R1047" i="9" s="1"/>
  <c r="M1046" i="9"/>
  <c r="R1046" i="9" s="1"/>
  <c r="M1045" i="9"/>
  <c r="R1045" i="9" s="1"/>
  <c r="M1039" i="9"/>
  <c r="R1039" i="9" s="1"/>
  <c r="M1038" i="9"/>
  <c r="R1038" i="9" s="1"/>
  <c r="M1037" i="9"/>
  <c r="R1037" i="9" s="1"/>
  <c r="M1036" i="9"/>
  <c r="R1036" i="9" s="1"/>
  <c r="M1035" i="9"/>
  <c r="R1035" i="9" s="1"/>
  <c r="M1034" i="9"/>
  <c r="R1034" i="9" s="1"/>
  <c r="M1031" i="9"/>
  <c r="R1031" i="9" s="1"/>
  <c r="M1029" i="9"/>
  <c r="R1029" i="9" s="1"/>
  <c r="M1027" i="9"/>
  <c r="R1027" i="9" s="1"/>
  <c r="M1025" i="9"/>
  <c r="R1025" i="9" s="1"/>
  <c r="M1024" i="9"/>
  <c r="R1024" i="9" s="1"/>
  <c r="M1023" i="9"/>
  <c r="R1023" i="9" s="1"/>
  <c r="M1020" i="9"/>
  <c r="R1020" i="9" s="1"/>
  <c r="M1019" i="9"/>
  <c r="R1019" i="9" s="1"/>
  <c r="M1018" i="9"/>
  <c r="R1018" i="9" s="1"/>
  <c r="M1017" i="9"/>
  <c r="R1017" i="9" s="1"/>
  <c r="M1016" i="9"/>
  <c r="R1016" i="9" s="1"/>
  <c r="M1015" i="9"/>
  <c r="R1015" i="9" s="1"/>
  <c r="M1014" i="9"/>
  <c r="R1014" i="9" s="1"/>
  <c r="M1011" i="9"/>
  <c r="R1011" i="9" s="1"/>
  <c r="M1010" i="9"/>
  <c r="R1010" i="9" s="1"/>
  <c r="M1009" i="9"/>
  <c r="R1009" i="9" s="1"/>
  <c r="M1008" i="9"/>
  <c r="R1008" i="9" s="1"/>
  <c r="M1007" i="9"/>
  <c r="R1007" i="9" s="1"/>
  <c r="M1006" i="9"/>
  <c r="R1006" i="9" s="1"/>
  <c r="M1004" i="9"/>
  <c r="R1004" i="9" s="1"/>
  <c r="M1003" i="9"/>
  <c r="R1003" i="9" s="1"/>
  <c r="M991" i="9"/>
  <c r="R991" i="9" s="1"/>
  <c r="M990" i="9"/>
  <c r="R990" i="9" s="1"/>
  <c r="M989" i="9"/>
  <c r="R989" i="9" s="1"/>
  <c r="M988" i="9"/>
  <c r="R988" i="9" s="1"/>
  <c r="M987" i="9"/>
  <c r="R987" i="9" s="1"/>
  <c r="M986" i="9"/>
  <c r="R986" i="9" s="1"/>
  <c r="M985" i="9"/>
  <c r="R985" i="9" s="1"/>
  <c r="M984" i="9"/>
  <c r="R984" i="9" s="1"/>
  <c r="M983" i="9"/>
  <c r="R983" i="9" s="1"/>
  <c r="M982" i="9"/>
  <c r="R982" i="9" s="1"/>
  <c r="M981" i="9"/>
  <c r="R981" i="9" s="1"/>
  <c r="M980" i="9"/>
  <c r="R980" i="9" s="1"/>
  <c r="M976" i="9"/>
  <c r="R976" i="9" s="1"/>
  <c r="M975" i="9"/>
  <c r="Q33" i="6" s="1"/>
  <c r="M971" i="9"/>
  <c r="R971" i="9" s="1"/>
  <c r="M970" i="9"/>
  <c r="R970" i="9" s="1"/>
  <c r="M969" i="9"/>
  <c r="R969" i="9" s="1"/>
  <c r="M968" i="9"/>
  <c r="R968" i="9" s="1"/>
  <c r="M962" i="9"/>
  <c r="R962" i="9" s="1"/>
  <c r="M961" i="9"/>
  <c r="R961" i="9" s="1"/>
  <c r="M960" i="9"/>
  <c r="R960" i="9" s="1"/>
  <c r="M959" i="9"/>
  <c r="R959" i="9" s="1"/>
  <c r="M958" i="9"/>
  <c r="R958" i="9" s="1"/>
  <c r="M957" i="9"/>
  <c r="R957" i="9" s="1"/>
  <c r="M956" i="9"/>
  <c r="R956" i="9" s="1"/>
  <c r="M946" i="9"/>
  <c r="R946" i="9" s="1"/>
  <c r="M944" i="9"/>
  <c r="R944" i="9" s="1"/>
  <c r="M937" i="9"/>
  <c r="R937" i="9" s="1"/>
  <c r="M936" i="9"/>
  <c r="R936" i="9" s="1"/>
  <c r="M935" i="9"/>
  <c r="R935" i="9" s="1"/>
  <c r="M934" i="9"/>
  <c r="R934" i="9" s="1"/>
  <c r="M933" i="9"/>
  <c r="R933" i="9" s="1"/>
  <c r="M932" i="9"/>
  <c r="R932" i="9" s="1"/>
  <c r="M931" i="9"/>
  <c r="R931" i="9" s="1"/>
  <c r="M930" i="9"/>
  <c r="R930" i="9" s="1"/>
  <c r="M929" i="9"/>
  <c r="R929" i="9" s="1"/>
  <c r="M928" i="9"/>
  <c r="R928" i="9" s="1"/>
  <c r="M927" i="9"/>
  <c r="R927" i="9" s="1"/>
  <c r="M926" i="9"/>
  <c r="R926" i="9" s="1"/>
  <c r="M925" i="9"/>
  <c r="R925" i="9" s="1"/>
  <c r="M924" i="9"/>
  <c r="R924" i="9" s="1"/>
  <c r="M923" i="9"/>
  <c r="R923" i="9" s="1"/>
  <c r="M922" i="9"/>
  <c r="R922" i="9" s="1"/>
  <c r="M921" i="9"/>
  <c r="R921" i="9" s="1"/>
  <c r="M919" i="9"/>
  <c r="R919" i="9" s="1"/>
  <c r="M918" i="9"/>
  <c r="R918" i="9" s="1"/>
  <c r="M917" i="9"/>
  <c r="R917" i="9" s="1"/>
  <c r="M916" i="9"/>
  <c r="R916" i="9" s="1"/>
  <c r="M915" i="9"/>
  <c r="R915" i="9" s="1"/>
  <c r="M914" i="9"/>
  <c r="R914" i="9" s="1"/>
  <c r="M913" i="9"/>
  <c r="R913" i="9" s="1"/>
  <c r="M911" i="9"/>
  <c r="R911" i="9" s="1"/>
  <c r="M910" i="9"/>
  <c r="R910" i="9" s="1"/>
  <c r="M909" i="9"/>
  <c r="R909" i="9" s="1"/>
  <c r="M908" i="9"/>
  <c r="R908" i="9" s="1"/>
  <c r="M907" i="9"/>
  <c r="R907" i="9" s="1"/>
  <c r="M904" i="9"/>
  <c r="R904" i="9" s="1"/>
  <c r="M903" i="9"/>
  <c r="R903" i="9" s="1"/>
  <c r="M898" i="9"/>
  <c r="R898" i="9" s="1"/>
  <c r="M897" i="9"/>
  <c r="R897" i="9" s="1"/>
  <c r="M896" i="9"/>
  <c r="R896" i="9" s="1"/>
  <c r="M895" i="9"/>
  <c r="R895" i="9" s="1"/>
  <c r="M894" i="9"/>
  <c r="R894" i="9" s="1"/>
  <c r="M893" i="9"/>
  <c r="R893" i="9" s="1"/>
  <c r="M892" i="9"/>
  <c r="R892" i="9" s="1"/>
  <c r="M891" i="9"/>
  <c r="R891" i="9" s="1"/>
  <c r="M890" i="9"/>
  <c r="R890" i="9" s="1"/>
  <c r="M889" i="9"/>
  <c r="R889" i="9" s="1"/>
  <c r="M888" i="9"/>
  <c r="R888" i="9" s="1"/>
  <c r="M886" i="9"/>
  <c r="R886" i="9" s="1"/>
  <c r="M885" i="9"/>
  <c r="R885" i="9" s="1"/>
  <c r="M883" i="9"/>
  <c r="R883" i="9" s="1"/>
  <c r="M882" i="9"/>
  <c r="R882" i="9" s="1"/>
  <c r="M880" i="9"/>
  <c r="R880" i="9" s="1"/>
  <c r="M879" i="9"/>
  <c r="R879" i="9" s="1"/>
  <c r="M878" i="9"/>
  <c r="R878" i="9" s="1"/>
  <c r="M877" i="9"/>
  <c r="R877" i="9" s="1"/>
  <c r="M876" i="9"/>
  <c r="R876" i="9" s="1"/>
  <c r="M874" i="9"/>
  <c r="R874" i="9" s="1"/>
  <c r="M872" i="9"/>
  <c r="R872" i="9" s="1"/>
  <c r="M870" i="9"/>
  <c r="R870" i="9" s="1"/>
  <c r="M869" i="9"/>
  <c r="R869" i="9" s="1"/>
  <c r="M868" i="9"/>
  <c r="R868" i="9" s="1"/>
  <c r="M867" i="9"/>
  <c r="R867" i="9" s="1"/>
  <c r="M866" i="9"/>
  <c r="R866" i="9" s="1"/>
  <c r="M865" i="9"/>
  <c r="R865" i="9" s="1"/>
  <c r="M864" i="9"/>
  <c r="R864" i="9" s="1"/>
  <c r="M863" i="9"/>
  <c r="R863" i="9" s="1"/>
  <c r="M862" i="9"/>
  <c r="R862" i="9" s="1"/>
  <c r="M861" i="9"/>
  <c r="R861" i="9" s="1"/>
  <c r="M860" i="9"/>
  <c r="R860" i="9" s="1"/>
  <c r="M859" i="9"/>
  <c r="R859" i="9" s="1"/>
  <c r="M858" i="9"/>
  <c r="R858" i="9" s="1"/>
  <c r="M857" i="9"/>
  <c r="R857" i="9" s="1"/>
  <c r="M856" i="9"/>
  <c r="R856" i="9" s="1"/>
  <c r="M855" i="9"/>
  <c r="R855" i="9" s="1"/>
  <c r="M854" i="9"/>
  <c r="R854" i="9" s="1"/>
  <c r="M853" i="9"/>
  <c r="R853" i="9" s="1"/>
  <c r="M852" i="9"/>
  <c r="R852" i="9" s="1"/>
  <c r="M851" i="9"/>
  <c r="R851" i="9" s="1"/>
  <c r="M850" i="9"/>
  <c r="R850" i="9" s="1"/>
  <c r="M849" i="9"/>
  <c r="R849" i="9" s="1"/>
  <c r="M848" i="9"/>
  <c r="R848" i="9" s="1"/>
  <c r="M847" i="9"/>
  <c r="R847" i="9" s="1"/>
  <c r="M846" i="9"/>
  <c r="R846" i="9" s="1"/>
  <c r="M845" i="9"/>
  <c r="R845" i="9" s="1"/>
  <c r="M844" i="9"/>
  <c r="R844" i="9" s="1"/>
  <c r="M843" i="9"/>
  <c r="R843" i="9" s="1"/>
  <c r="M842" i="9"/>
  <c r="R842" i="9" s="1"/>
  <c r="M841" i="9"/>
  <c r="R841" i="9" s="1"/>
  <c r="M840" i="9"/>
  <c r="R840" i="9" s="1"/>
  <c r="M836" i="9"/>
  <c r="R836" i="9" s="1"/>
  <c r="M835" i="9"/>
  <c r="R835" i="9" s="1"/>
  <c r="M834" i="9"/>
  <c r="R834" i="9" s="1"/>
  <c r="M833" i="9"/>
  <c r="R833" i="9" s="1"/>
  <c r="M832" i="9"/>
  <c r="R832" i="9" s="1"/>
  <c r="M831" i="9"/>
  <c r="R831" i="9" s="1"/>
  <c r="M830" i="9"/>
  <c r="R830" i="9" s="1"/>
  <c r="M829" i="9"/>
  <c r="R829" i="9" s="1"/>
  <c r="M828" i="9"/>
  <c r="R828" i="9" s="1"/>
  <c r="M827" i="9"/>
  <c r="R827" i="9" s="1"/>
  <c r="M821" i="9"/>
  <c r="R821" i="9" s="1"/>
  <c r="M820" i="9"/>
  <c r="R820" i="9" s="1"/>
  <c r="M819" i="9"/>
  <c r="R819" i="9" s="1"/>
  <c r="M818" i="9"/>
  <c r="R818" i="9" s="1"/>
  <c r="M817" i="9"/>
  <c r="R817" i="9" s="1"/>
  <c r="M816" i="9"/>
  <c r="R816" i="9" s="1"/>
  <c r="M815" i="9"/>
  <c r="R815" i="9" s="1"/>
  <c r="M814" i="9"/>
  <c r="R814" i="9" s="1"/>
  <c r="M813" i="9"/>
  <c r="R813" i="9" s="1"/>
  <c r="M812" i="9"/>
  <c r="R812" i="9" s="1"/>
  <c r="M811" i="9"/>
  <c r="R811" i="9" s="1"/>
  <c r="M810" i="9"/>
  <c r="R810" i="9" s="1"/>
  <c r="M809" i="9"/>
  <c r="R809" i="9" s="1"/>
  <c r="M803" i="9"/>
  <c r="R803" i="9" s="1"/>
  <c r="M802" i="9"/>
  <c r="R802" i="9" s="1"/>
  <c r="M801" i="9"/>
  <c r="R801" i="9" s="1"/>
  <c r="M800" i="9"/>
  <c r="R800" i="9" s="1"/>
  <c r="M799" i="9"/>
  <c r="R799" i="9" s="1"/>
  <c r="M798" i="9"/>
  <c r="R798" i="9" s="1"/>
  <c r="M797" i="9"/>
  <c r="R797" i="9" s="1"/>
  <c r="M796" i="9"/>
  <c r="R796" i="9" s="1"/>
  <c r="M794" i="9"/>
  <c r="R794" i="9" s="1"/>
  <c r="M792" i="9"/>
  <c r="R792" i="9" s="1"/>
  <c r="M791" i="9"/>
  <c r="R791" i="9" s="1"/>
  <c r="M790" i="9"/>
  <c r="R790" i="9" s="1"/>
  <c r="M789" i="9"/>
  <c r="R789" i="9" s="1"/>
  <c r="M788" i="9"/>
  <c r="R788" i="9" s="1"/>
  <c r="D31" i="20"/>
  <c r="M782" i="9"/>
  <c r="R782" i="9" s="1"/>
  <c r="M781" i="9"/>
  <c r="R781" i="9" s="1"/>
  <c r="M780" i="9"/>
  <c r="R780" i="9" s="1"/>
  <c r="M778" i="9"/>
  <c r="R778" i="9" s="1"/>
  <c r="M777" i="9"/>
  <c r="R777" i="9" s="1"/>
  <c r="M774" i="9"/>
  <c r="R774" i="9" s="1"/>
  <c r="M773" i="9"/>
  <c r="R773" i="9" s="1"/>
  <c r="M772" i="9"/>
  <c r="R772" i="9" s="1"/>
  <c r="M771" i="9"/>
  <c r="R771" i="9" s="1"/>
  <c r="M770" i="9"/>
  <c r="R770" i="9" s="1"/>
  <c r="M768" i="9"/>
  <c r="R768" i="9" s="1"/>
  <c r="M765" i="9"/>
  <c r="R765" i="9" s="1"/>
  <c r="M763" i="9"/>
  <c r="R763" i="9" s="1"/>
  <c r="M761" i="9"/>
  <c r="R761" i="9" s="1"/>
  <c r="M757" i="9"/>
  <c r="R757" i="9" s="1"/>
  <c r="M756" i="9"/>
  <c r="R756" i="9" s="1"/>
  <c r="M753" i="9"/>
  <c r="R753" i="9" s="1"/>
  <c r="M750" i="9"/>
  <c r="R750" i="9" s="1"/>
  <c r="M749" i="9"/>
  <c r="R749" i="9" s="1"/>
  <c r="M748" i="9"/>
  <c r="R748" i="9" s="1"/>
  <c r="M744" i="9"/>
  <c r="R744" i="9" s="1"/>
  <c r="M742" i="9"/>
  <c r="R742" i="9" s="1"/>
  <c r="M739" i="9"/>
  <c r="R739" i="9" s="1"/>
  <c r="M738" i="9"/>
  <c r="R738" i="9" s="1"/>
  <c r="M735" i="9"/>
  <c r="R735" i="9" s="1"/>
  <c r="M703" i="9"/>
  <c r="R703" i="9" s="1"/>
  <c r="M702" i="9"/>
  <c r="R702" i="9" s="1"/>
  <c r="M701" i="9"/>
  <c r="R701" i="9" s="1"/>
  <c r="M700" i="9"/>
  <c r="R700" i="9" s="1"/>
  <c r="M693" i="9"/>
  <c r="R693" i="9" s="1"/>
  <c r="M692" i="9"/>
  <c r="R692" i="9" s="1"/>
  <c r="M691" i="9"/>
  <c r="R691" i="9" s="1"/>
  <c r="M690" i="9"/>
  <c r="R690" i="9" s="1"/>
  <c r="M689" i="9"/>
  <c r="R689" i="9" s="1"/>
  <c r="M688" i="9"/>
  <c r="R688" i="9" s="1"/>
  <c r="M687" i="9"/>
  <c r="R687" i="9" s="1"/>
  <c r="M686" i="9"/>
  <c r="R686" i="9" s="1"/>
  <c r="M685" i="9"/>
  <c r="R685" i="9" s="1"/>
  <c r="M684" i="9"/>
  <c r="R684" i="9" s="1"/>
  <c r="M683" i="9"/>
  <c r="R683" i="9" s="1"/>
  <c r="M682" i="9"/>
  <c r="R682" i="9" s="1"/>
  <c r="M676" i="9"/>
  <c r="R676" i="9" s="1"/>
  <c r="M675" i="9"/>
  <c r="R675" i="9" s="1"/>
  <c r="M674" i="9"/>
  <c r="R674" i="9" s="1"/>
  <c r="M673" i="9"/>
  <c r="R673" i="9" s="1"/>
  <c r="M672" i="9"/>
  <c r="R672" i="9" s="1"/>
  <c r="M671" i="9"/>
  <c r="R671" i="9" s="1"/>
  <c r="M670" i="9"/>
  <c r="R670" i="9" s="1"/>
  <c r="M669" i="9"/>
  <c r="R669" i="9" s="1"/>
  <c r="M668" i="9"/>
  <c r="R668" i="9" s="1"/>
  <c r="M667" i="9"/>
  <c r="R667" i="9" s="1"/>
  <c r="M666" i="9"/>
  <c r="R666" i="9" s="1"/>
  <c r="M665" i="9"/>
  <c r="R665" i="9" s="1"/>
  <c r="M659" i="9"/>
  <c r="R659" i="9" s="1"/>
  <c r="M658" i="9"/>
  <c r="R658" i="9" s="1"/>
  <c r="M657" i="9"/>
  <c r="R657" i="9" s="1"/>
  <c r="M656" i="9"/>
  <c r="R656" i="9" s="1"/>
  <c r="M655" i="9"/>
  <c r="R655" i="9" s="1"/>
  <c r="M654" i="9"/>
  <c r="R654" i="9" s="1"/>
  <c r="M653" i="9"/>
  <c r="R653" i="9" s="1"/>
  <c r="M652" i="9"/>
  <c r="R652" i="9" s="1"/>
  <c r="M651" i="9"/>
  <c r="R651" i="9" s="1"/>
  <c r="M650" i="9"/>
  <c r="R650" i="9" s="1"/>
  <c r="M649" i="9"/>
  <c r="R649" i="9" s="1"/>
  <c r="M648" i="9"/>
  <c r="R648" i="9" s="1"/>
  <c r="M647" i="9"/>
  <c r="R647" i="9" s="1"/>
  <c r="M646" i="9"/>
  <c r="R646" i="9" s="1"/>
  <c r="M645" i="9"/>
  <c r="R645" i="9" s="1"/>
  <c r="M644" i="9"/>
  <c r="R644" i="9" s="1"/>
  <c r="M643" i="9"/>
  <c r="R643" i="9" s="1"/>
  <c r="M642" i="9"/>
  <c r="R642" i="9" s="1"/>
  <c r="M637" i="9"/>
  <c r="R637" i="9" s="1"/>
  <c r="M636" i="9"/>
  <c r="R636" i="9" s="1"/>
  <c r="M635" i="9"/>
  <c r="R635" i="9" s="1"/>
  <c r="M634" i="9"/>
  <c r="R634" i="9" s="1"/>
  <c r="M633" i="9"/>
  <c r="R633" i="9" s="1"/>
  <c r="M627" i="9"/>
  <c r="R627" i="9" s="1"/>
  <c r="M626" i="9"/>
  <c r="R626" i="9" s="1"/>
  <c r="M625" i="9"/>
  <c r="R625" i="9" s="1"/>
  <c r="M624" i="9"/>
  <c r="R624" i="9" s="1"/>
  <c r="M618" i="9"/>
  <c r="R618" i="9" s="1"/>
  <c r="M617" i="9"/>
  <c r="R617" i="9" s="1"/>
  <c r="M615" i="9"/>
  <c r="R615" i="9" s="1"/>
  <c r="D20" i="20"/>
  <c r="D19" i="20"/>
  <c r="D18" i="20"/>
  <c r="D17" i="20"/>
  <c r="D16" i="20"/>
  <c r="D15" i="20"/>
  <c r="M603" i="9"/>
  <c r="R603" i="9" s="1"/>
  <c r="D14" i="20"/>
  <c r="M595" i="9"/>
  <c r="R595" i="9" s="1"/>
  <c r="M594" i="9"/>
  <c r="R594" i="9" s="1"/>
  <c r="M593" i="9"/>
  <c r="R593" i="9" s="1"/>
  <c r="M592" i="9"/>
  <c r="R592" i="9" s="1"/>
  <c r="M586" i="9"/>
  <c r="R586" i="9" s="1"/>
  <c r="M585" i="9"/>
  <c r="R585" i="9" s="1"/>
  <c r="M584" i="9"/>
  <c r="R584" i="9" s="1"/>
  <c r="M583" i="9"/>
  <c r="R583" i="9" s="1"/>
  <c r="M582" i="9"/>
  <c r="R582" i="9" s="1"/>
  <c r="M581" i="9"/>
  <c r="R581" i="9" s="1"/>
  <c r="M580" i="9"/>
  <c r="R580" i="9" s="1"/>
  <c r="M579" i="9"/>
  <c r="R579" i="9" s="1"/>
  <c r="M578" i="9"/>
  <c r="R578" i="9" s="1"/>
  <c r="M577" i="9"/>
  <c r="R577" i="9" s="1"/>
  <c r="M576" i="9"/>
  <c r="R576" i="9" s="1"/>
  <c r="M575" i="9"/>
  <c r="R575" i="9" s="1"/>
  <c r="M574" i="9"/>
  <c r="R574" i="9" s="1"/>
  <c r="M573" i="9"/>
  <c r="R573" i="9" s="1"/>
  <c r="M572" i="9"/>
  <c r="R572" i="9" s="1"/>
  <c r="M571" i="9"/>
  <c r="R571" i="9" s="1"/>
  <c r="M570" i="9"/>
  <c r="R570" i="9" s="1"/>
  <c r="M569" i="9"/>
  <c r="R569" i="9" s="1"/>
  <c r="M568" i="9"/>
  <c r="M567" i="9"/>
  <c r="M566" i="9"/>
  <c r="R566" i="9" s="1"/>
  <c r="M560" i="9"/>
  <c r="R560" i="9" s="1"/>
  <c r="M559" i="9"/>
  <c r="R559" i="9" s="1"/>
  <c r="M556" i="9"/>
  <c r="R556" i="9" s="1"/>
  <c r="M555" i="9"/>
  <c r="R555" i="9" s="1"/>
  <c r="M554" i="9"/>
  <c r="R554" i="9" s="1"/>
  <c r="M553" i="9"/>
  <c r="R553" i="9" s="1"/>
  <c r="M552" i="9"/>
  <c r="R552" i="9" s="1"/>
  <c r="M551" i="9"/>
  <c r="R551" i="9" s="1"/>
  <c r="M550" i="9"/>
  <c r="R550" i="9" s="1"/>
  <c r="M549" i="9"/>
  <c r="R549" i="9" s="1"/>
  <c r="M548" i="9"/>
  <c r="R548" i="9" s="1"/>
  <c r="M547" i="9"/>
  <c r="R547" i="9" s="1"/>
  <c r="M545" i="9"/>
  <c r="R545" i="9" s="1"/>
  <c r="M544" i="9"/>
  <c r="R544" i="9" s="1"/>
  <c r="M543" i="9"/>
  <c r="R543" i="9" s="1"/>
  <c r="M542" i="9"/>
  <c r="R542" i="9" s="1"/>
  <c r="M541" i="9"/>
  <c r="R541" i="9" s="1"/>
  <c r="M540" i="9"/>
  <c r="R540" i="9" s="1"/>
  <c r="M539" i="9"/>
  <c r="R539" i="9" s="1"/>
  <c r="M538" i="9"/>
  <c r="R538" i="9" s="1"/>
  <c r="M537" i="9"/>
  <c r="R537" i="9" s="1"/>
  <c r="M536" i="9"/>
  <c r="R536" i="9" s="1"/>
  <c r="M535" i="9"/>
  <c r="R535" i="9" s="1"/>
  <c r="M534" i="9"/>
  <c r="R534" i="9" s="1"/>
  <c r="M533" i="9"/>
  <c r="R533" i="9" s="1"/>
  <c r="M529" i="9"/>
  <c r="R529" i="9" s="1"/>
  <c r="M528" i="9"/>
  <c r="R528" i="9" s="1"/>
  <c r="M527" i="9"/>
  <c r="R527" i="9" s="1"/>
  <c r="M520" i="9"/>
  <c r="R520" i="9" s="1"/>
  <c r="M519" i="9"/>
  <c r="R519" i="9" s="1"/>
  <c r="M518" i="9"/>
  <c r="M517" i="9"/>
  <c r="R517" i="9" s="1"/>
  <c r="M516" i="9"/>
  <c r="R516" i="9" s="1"/>
  <c r="M515" i="9"/>
  <c r="R515" i="9" s="1"/>
  <c r="M514" i="9"/>
  <c r="R514" i="9" s="1"/>
  <c r="M513" i="9"/>
  <c r="R513" i="9" s="1"/>
  <c r="M512" i="9"/>
  <c r="R512" i="9" s="1"/>
  <c r="M511" i="9"/>
  <c r="R511" i="9" s="1"/>
  <c r="M510" i="9"/>
  <c r="R510" i="9" s="1"/>
  <c r="M504" i="9"/>
  <c r="R504" i="9" s="1"/>
  <c r="M503" i="9"/>
  <c r="R503" i="9" s="1"/>
  <c r="M502" i="9"/>
  <c r="R502" i="9" s="1"/>
  <c r="M501" i="9"/>
  <c r="R501" i="9" s="1"/>
  <c r="M500" i="9"/>
  <c r="R500" i="9" s="1"/>
  <c r="M499" i="9"/>
  <c r="R499" i="9" s="1"/>
  <c r="M498" i="9"/>
  <c r="R498" i="9" s="1"/>
  <c r="M497" i="9"/>
  <c r="R497" i="9" s="1"/>
  <c r="M496" i="9"/>
  <c r="R496" i="9" s="1"/>
  <c r="M495" i="9"/>
  <c r="R495" i="9" s="1"/>
  <c r="M494" i="9"/>
  <c r="R494" i="9" s="1"/>
  <c r="M493" i="9"/>
  <c r="R493" i="9" s="1"/>
  <c r="M492" i="9"/>
  <c r="R492" i="9" s="1"/>
  <c r="M491" i="9"/>
  <c r="R491" i="9" s="1"/>
  <c r="M490" i="9"/>
  <c r="R490" i="9" s="1"/>
  <c r="M489" i="9"/>
  <c r="R489" i="9" s="1"/>
  <c r="M488" i="9"/>
  <c r="R488" i="9" s="1"/>
  <c r="M487" i="9"/>
  <c r="R487" i="9" s="1"/>
  <c r="M486" i="9"/>
  <c r="R486" i="9" s="1"/>
  <c r="M476" i="9"/>
  <c r="R476" i="9" s="1"/>
  <c r="M474" i="9"/>
  <c r="R474" i="9" s="1"/>
  <c r="M473" i="9"/>
  <c r="R473" i="9" s="1"/>
  <c r="M472" i="9"/>
  <c r="R472" i="9" s="1"/>
  <c r="M471" i="9"/>
  <c r="R471" i="9" s="1"/>
  <c r="M470" i="9"/>
  <c r="R470" i="9" s="1"/>
  <c r="M469" i="9"/>
  <c r="R469" i="9" s="1"/>
  <c r="M468" i="9"/>
  <c r="R468" i="9" s="1"/>
  <c r="M467" i="9"/>
  <c r="R467" i="9" s="1"/>
  <c r="M466" i="9"/>
  <c r="R466" i="9" s="1"/>
  <c r="M465" i="9"/>
  <c r="R465" i="9" s="1"/>
  <c r="M464" i="9"/>
  <c r="R464" i="9" s="1"/>
  <c r="M463" i="9"/>
  <c r="R463" i="9" s="1"/>
  <c r="M462" i="9"/>
  <c r="R462" i="9" s="1"/>
  <c r="M455" i="9"/>
  <c r="R455" i="9" s="1"/>
  <c r="M454" i="9"/>
  <c r="R454" i="9" s="1"/>
  <c r="M453" i="9"/>
  <c r="R453" i="9" s="1"/>
  <c r="M452" i="9"/>
  <c r="R452" i="9" s="1"/>
  <c r="M450" i="9"/>
  <c r="R450" i="9" s="1"/>
  <c r="M447" i="9"/>
  <c r="R447" i="9" s="1"/>
  <c r="M446" i="9"/>
  <c r="R446" i="9" s="1"/>
  <c r="M445" i="9"/>
  <c r="R445" i="9" s="1"/>
  <c r="M444" i="9"/>
  <c r="R444" i="9" s="1"/>
  <c r="M443" i="9"/>
  <c r="R443" i="9" s="1"/>
  <c r="M442" i="9"/>
  <c r="R442" i="9" s="1"/>
  <c r="M441" i="9"/>
  <c r="R441" i="9" s="1"/>
  <c r="M440" i="9"/>
  <c r="R440" i="9" s="1"/>
  <c r="M439" i="9"/>
  <c r="R439" i="9" s="1"/>
  <c r="M434" i="9"/>
  <c r="R434" i="9" s="1"/>
  <c r="M433" i="9"/>
  <c r="R433" i="9" s="1"/>
  <c r="M432" i="9"/>
  <c r="R432" i="9" s="1"/>
  <c r="M431" i="9"/>
  <c r="R431" i="9" s="1"/>
  <c r="M430" i="9"/>
  <c r="R430" i="9" s="1"/>
  <c r="M429" i="9"/>
  <c r="R429" i="9" s="1"/>
  <c r="M428" i="9"/>
  <c r="R428" i="9" s="1"/>
  <c r="M426" i="9"/>
  <c r="R426" i="9" s="1"/>
  <c r="M425" i="9"/>
  <c r="R425" i="9" s="1"/>
  <c r="M424" i="9"/>
  <c r="R424" i="9" s="1"/>
  <c r="M423" i="9"/>
  <c r="R423" i="9" s="1"/>
  <c r="M422" i="9"/>
  <c r="R422" i="9" s="1"/>
  <c r="M421" i="9"/>
  <c r="R421" i="9" s="1"/>
  <c r="M420" i="9"/>
  <c r="R420" i="9" s="1"/>
  <c r="M419" i="9"/>
  <c r="R419" i="9" s="1"/>
  <c r="M418" i="9"/>
  <c r="R418" i="9" s="1"/>
  <c r="M417" i="9"/>
  <c r="R417" i="9" s="1"/>
  <c r="M416" i="9"/>
  <c r="R416" i="9" s="1"/>
  <c r="M415" i="9"/>
  <c r="R415" i="9" s="1"/>
  <c r="M414" i="9"/>
  <c r="R414" i="9" s="1"/>
  <c r="M413" i="9"/>
  <c r="R413" i="9" s="1"/>
  <c r="M412" i="9"/>
  <c r="R412" i="9" s="1"/>
  <c r="M411" i="9"/>
  <c r="R411" i="9" s="1"/>
  <c r="M410" i="9"/>
  <c r="R410" i="9" s="1"/>
  <c r="M409" i="9"/>
  <c r="R409" i="9" s="1"/>
  <c r="M408" i="9"/>
  <c r="R408" i="9" s="1"/>
  <c r="M407" i="9"/>
  <c r="R407" i="9" s="1"/>
  <c r="M406" i="9"/>
  <c r="R406" i="9" s="1"/>
  <c r="M392" i="9"/>
  <c r="R392" i="9" s="1"/>
  <c r="M391" i="9"/>
  <c r="R391" i="9" s="1"/>
  <c r="M390" i="9"/>
  <c r="Q34" i="6" s="1"/>
  <c r="M389" i="9"/>
  <c r="R389" i="9" s="1"/>
  <c r="M388" i="9"/>
  <c r="R388" i="9" s="1"/>
  <c r="M387" i="9"/>
  <c r="R387" i="9" s="1"/>
  <c r="M386" i="9"/>
  <c r="R386" i="9" s="1"/>
  <c r="M385" i="9"/>
  <c r="R385" i="9" s="1"/>
  <c r="M384" i="9"/>
  <c r="R384" i="9" s="1"/>
  <c r="M383" i="9"/>
  <c r="R383" i="9" s="1"/>
  <c r="M382" i="9"/>
  <c r="R382" i="9" s="1"/>
  <c r="M378" i="9"/>
  <c r="R378" i="9" s="1"/>
  <c r="M377" i="9"/>
  <c r="R377" i="9" s="1"/>
  <c r="M376" i="9"/>
  <c r="R376" i="9" s="1"/>
  <c r="M375" i="9"/>
  <c r="R375" i="9" s="1"/>
  <c r="M374" i="9"/>
  <c r="R374" i="9" s="1"/>
  <c r="M373" i="9"/>
  <c r="R373" i="9" s="1"/>
  <c r="M372" i="9"/>
  <c r="R372" i="9" s="1"/>
  <c r="M371" i="9"/>
  <c r="R371" i="9" s="1"/>
  <c r="M370" i="9"/>
  <c r="R370" i="9" s="1"/>
  <c r="M369" i="9"/>
  <c r="R369" i="9" s="1"/>
  <c r="M368" i="9"/>
  <c r="R368" i="9" s="1"/>
  <c r="M367" i="9"/>
  <c r="R367" i="9" s="1"/>
  <c r="M366" i="9"/>
  <c r="R366" i="9" s="1"/>
  <c r="M365" i="9"/>
  <c r="R365" i="9" s="1"/>
  <c r="M364" i="9"/>
  <c r="R364" i="9" s="1"/>
  <c r="M363" i="9"/>
  <c r="R363" i="9" s="1"/>
  <c r="M362" i="9"/>
  <c r="R362" i="9" s="1"/>
  <c r="M361" i="9"/>
  <c r="R361" i="9" s="1"/>
  <c r="M360" i="9"/>
  <c r="R360" i="9" s="1"/>
  <c r="M359" i="9"/>
  <c r="R359" i="9" s="1"/>
  <c r="M358" i="9"/>
  <c r="R358" i="9" s="1"/>
  <c r="M357" i="9"/>
  <c r="R357" i="9" s="1"/>
  <c r="M356" i="9"/>
  <c r="R356" i="9" s="1"/>
  <c r="M352" i="9"/>
  <c r="R352" i="9" s="1"/>
  <c r="M351" i="9"/>
  <c r="R351" i="9" s="1"/>
  <c r="M350" i="9"/>
  <c r="R350" i="9" s="1"/>
  <c r="M349" i="9"/>
  <c r="R349" i="9" s="1"/>
  <c r="M212" i="9"/>
  <c r="R212" i="9" s="1"/>
  <c r="M211" i="9"/>
  <c r="R211" i="9" s="1"/>
  <c r="M210" i="9"/>
  <c r="R210" i="9" s="1"/>
  <c r="M209" i="9"/>
  <c r="R209" i="9" s="1"/>
  <c r="M208" i="9"/>
  <c r="R208" i="9" s="1"/>
  <c r="M201" i="9"/>
  <c r="R201" i="9" s="1"/>
  <c r="M200" i="9"/>
  <c r="R200" i="9" s="1"/>
  <c r="M199" i="9"/>
  <c r="R199" i="9" s="1"/>
  <c r="M198" i="9"/>
  <c r="R198" i="9" s="1"/>
  <c r="M197" i="9"/>
  <c r="R197" i="9" s="1"/>
  <c r="M195" i="9"/>
  <c r="R195" i="9" s="1"/>
  <c r="M194" i="9"/>
  <c r="R194" i="9" s="1"/>
  <c r="M193" i="9"/>
  <c r="R193" i="9" s="1"/>
  <c r="M192" i="9"/>
  <c r="R192" i="9" s="1"/>
  <c r="M191" i="9"/>
  <c r="R191" i="9" s="1"/>
  <c r="M189" i="9"/>
  <c r="R189" i="9" s="1"/>
  <c r="M185" i="9"/>
  <c r="R185" i="9" s="1"/>
  <c r="M184" i="9"/>
  <c r="R184" i="9" s="1"/>
  <c r="M183" i="9"/>
  <c r="R183" i="9" s="1"/>
  <c r="M182" i="9"/>
  <c r="R182" i="9" s="1"/>
  <c r="M180" i="9"/>
  <c r="R180" i="9" s="1"/>
  <c r="M179" i="9"/>
  <c r="R179" i="9" s="1"/>
  <c r="M178" i="9"/>
  <c r="R178" i="9" s="1"/>
  <c r="M177" i="9"/>
  <c r="R177" i="9" s="1"/>
  <c r="M176" i="9"/>
  <c r="R176" i="9" s="1"/>
  <c r="M175" i="9"/>
  <c r="R175" i="9" s="1"/>
  <c r="M174" i="9"/>
  <c r="R174" i="9" s="1"/>
  <c r="M173" i="9"/>
  <c r="R173" i="9" s="1"/>
  <c r="M172" i="9"/>
  <c r="R172" i="9" s="1"/>
  <c r="M171" i="9"/>
  <c r="R171" i="9" s="1"/>
  <c r="M170" i="9"/>
  <c r="R170" i="9" s="1"/>
  <c r="M169" i="9"/>
  <c r="R169" i="9" s="1"/>
  <c r="M168" i="9"/>
  <c r="R168" i="9" s="1"/>
  <c r="M167" i="9"/>
  <c r="R167" i="9" s="1"/>
  <c r="M161" i="9"/>
  <c r="R161" i="9" s="1"/>
  <c r="M160" i="9"/>
  <c r="R160" i="9" s="1"/>
  <c r="M159" i="9"/>
  <c r="R159" i="9" s="1"/>
  <c r="M157" i="9"/>
  <c r="R157" i="9" s="1"/>
  <c r="M156" i="9"/>
  <c r="R156" i="9" s="1"/>
  <c r="M155" i="9"/>
  <c r="R155" i="9" s="1"/>
  <c r="M154" i="9"/>
  <c r="R154" i="9" s="1"/>
  <c r="M153" i="9"/>
  <c r="R153" i="9" s="1"/>
  <c r="M152" i="9"/>
  <c r="R152" i="9" s="1"/>
  <c r="M146" i="9"/>
  <c r="R146" i="9" s="1"/>
  <c r="M145" i="9"/>
  <c r="R145" i="9" s="1"/>
  <c r="M144" i="9"/>
  <c r="R144" i="9" s="1"/>
  <c r="M143" i="9"/>
  <c r="R143" i="9" s="1"/>
  <c r="M142" i="9"/>
  <c r="R142" i="9" s="1"/>
  <c r="M141" i="9"/>
  <c r="R141" i="9" s="1"/>
  <c r="M140" i="9"/>
  <c r="R140" i="9" s="1"/>
  <c r="M139" i="9"/>
  <c r="R139" i="9" s="1"/>
  <c r="M138" i="9"/>
  <c r="R138" i="9" s="1"/>
  <c r="M137" i="9"/>
  <c r="R137" i="9" s="1"/>
  <c r="M136" i="9"/>
  <c r="R136" i="9" s="1"/>
  <c r="M130" i="9"/>
  <c r="R130" i="9" s="1"/>
  <c r="M129" i="9"/>
  <c r="R129" i="9" s="1"/>
  <c r="M127" i="9"/>
  <c r="R127" i="9" s="1"/>
  <c r="M126" i="9"/>
  <c r="Q28" i="6" s="1"/>
  <c r="M125" i="9"/>
  <c r="R125" i="9" s="1"/>
  <c r="M124" i="9"/>
  <c r="R124" i="9" s="1"/>
  <c r="M122" i="9"/>
  <c r="R122" i="9" s="1"/>
  <c r="M121" i="9"/>
  <c r="R121" i="9" s="1"/>
  <c r="M120" i="9"/>
  <c r="Q26" i="6" s="1"/>
  <c r="M119" i="9"/>
  <c r="R119" i="9" s="1"/>
  <c r="M118" i="9"/>
  <c r="R118" i="9" s="1"/>
  <c r="M117" i="9"/>
  <c r="R117" i="9" s="1"/>
  <c r="M116" i="9"/>
  <c r="R116" i="9" s="1"/>
  <c r="M115" i="9"/>
  <c r="R115" i="9" s="1"/>
  <c r="M108" i="9"/>
  <c r="R108" i="9" s="1"/>
  <c r="M107" i="9"/>
  <c r="R107" i="9" s="1"/>
  <c r="M106" i="9"/>
  <c r="R106" i="9" s="1"/>
  <c r="M105" i="9"/>
  <c r="R105" i="9" s="1"/>
  <c r="M104" i="9"/>
  <c r="R104" i="9" s="1"/>
  <c r="M103" i="9"/>
  <c r="R103" i="9" s="1"/>
  <c r="M102" i="9"/>
  <c r="R102" i="9" s="1"/>
  <c r="M100" i="9"/>
  <c r="R100" i="9" s="1"/>
  <c r="M99" i="9"/>
  <c r="R99" i="9" s="1"/>
  <c r="M98" i="9"/>
  <c r="R98" i="9" s="1"/>
  <c r="M97" i="9"/>
  <c r="R97" i="9" s="1"/>
  <c r="M96" i="9"/>
  <c r="R96" i="9" s="1"/>
  <c r="M94" i="9"/>
  <c r="R94" i="9" s="1"/>
  <c r="M92" i="9"/>
  <c r="R92" i="9" s="1"/>
  <c r="M91" i="9"/>
  <c r="R91" i="9" s="1"/>
  <c r="M90" i="9"/>
  <c r="R90" i="9" s="1"/>
  <c r="M88" i="9"/>
  <c r="R88" i="9" s="1"/>
  <c r="M87" i="9"/>
  <c r="R87" i="9" s="1"/>
  <c r="M86" i="9"/>
  <c r="R86" i="9" s="1"/>
  <c r="M84" i="9"/>
  <c r="R84" i="9" s="1"/>
  <c r="M83" i="9"/>
  <c r="R83" i="9" s="1"/>
  <c r="M82" i="9"/>
  <c r="R82" i="9" s="1"/>
  <c r="M76" i="9"/>
  <c r="R76" i="9" s="1"/>
  <c r="M75" i="9"/>
  <c r="R75" i="9" s="1"/>
  <c r="M74" i="9"/>
  <c r="R74" i="9" s="1"/>
  <c r="M73" i="9"/>
  <c r="R73" i="9" s="1"/>
  <c r="M72" i="9"/>
  <c r="R72" i="9" s="1"/>
  <c r="M71" i="9"/>
  <c r="R71" i="9" s="1"/>
  <c r="M69" i="9"/>
  <c r="R69" i="9" s="1"/>
  <c r="M66" i="9"/>
  <c r="R66" i="9" s="1"/>
  <c r="M65" i="9"/>
  <c r="R65" i="9" s="1"/>
  <c r="M64" i="9"/>
  <c r="R64" i="9" s="1"/>
  <c r="M63" i="9"/>
  <c r="R63" i="9" s="1"/>
  <c r="M62" i="9"/>
  <c r="R62" i="9" s="1"/>
  <c r="M61" i="9"/>
  <c r="R61" i="9" s="1"/>
  <c r="M60" i="9"/>
  <c r="R60" i="9" s="1"/>
  <c r="M59" i="9"/>
  <c r="R59" i="9" s="1"/>
  <c r="M58" i="9"/>
  <c r="R58" i="9" s="1"/>
  <c r="M51" i="9"/>
  <c r="R51" i="9" s="1"/>
  <c r="M50" i="9"/>
  <c r="R50" i="9" s="1"/>
  <c r="M49" i="9"/>
  <c r="R49" i="9" s="1"/>
  <c r="M48" i="9"/>
  <c r="R48" i="9" s="1"/>
  <c r="M47" i="9"/>
  <c r="R47" i="9" s="1"/>
  <c r="M46" i="9"/>
  <c r="R46" i="9" s="1"/>
  <c r="M45" i="9"/>
  <c r="R45" i="9" s="1"/>
  <c r="M44" i="9"/>
  <c r="R44" i="9" s="1"/>
  <c r="M43" i="9"/>
  <c r="R43" i="9" s="1"/>
  <c r="M42" i="9"/>
  <c r="R42" i="9" s="1"/>
  <c r="M41" i="9"/>
  <c r="R41" i="9" s="1"/>
  <c r="M38" i="9"/>
  <c r="R38" i="9" s="1"/>
  <c r="M37" i="9"/>
  <c r="M36" i="9"/>
  <c r="R36" i="9" s="1"/>
  <c r="M34" i="9"/>
  <c r="R34" i="9" s="1"/>
  <c r="M33" i="9"/>
  <c r="R33" i="9" s="1"/>
  <c r="M32" i="9"/>
  <c r="R32" i="9" s="1"/>
  <c r="M29" i="9"/>
  <c r="R29" i="9" s="1"/>
  <c r="M28" i="9"/>
  <c r="R28" i="9" s="1"/>
  <c r="M27" i="9"/>
  <c r="R27" i="9" s="1"/>
  <c r="M26" i="9"/>
  <c r="R26" i="9" s="1"/>
  <c r="M25" i="9"/>
  <c r="R25" i="9" s="1"/>
  <c r="M24" i="9"/>
  <c r="R24" i="9" s="1"/>
  <c r="M23" i="9"/>
  <c r="R23" i="9" s="1"/>
  <c r="M21" i="9"/>
  <c r="R21" i="9" s="1"/>
  <c r="M19" i="9"/>
  <c r="R19" i="9" s="1"/>
  <c r="M18" i="9"/>
  <c r="R18" i="9" s="1"/>
  <c r="M17" i="9"/>
  <c r="M16" i="9"/>
  <c r="R16" i="9" s="1"/>
  <c r="M15" i="9"/>
  <c r="R15" i="9" s="1"/>
  <c r="M14" i="9"/>
  <c r="R14" i="9" s="1"/>
  <c r="M11" i="9"/>
  <c r="R11" i="9" s="1"/>
  <c r="M10" i="9"/>
  <c r="Q27" i="6" s="1"/>
  <c r="M9" i="9"/>
  <c r="R9" i="9" s="1"/>
  <c r="M8" i="9"/>
  <c r="R8" i="9" s="1"/>
  <c r="M7" i="9"/>
  <c r="R7" i="9" s="1"/>
  <c r="CT36" i="5"/>
  <c r="DA39" i="5" s="1"/>
  <c r="CT24" i="5"/>
  <c r="CX24" i="5" s="1"/>
  <c r="CT39" i="5"/>
  <c r="DA37" i="5" s="1"/>
  <c r="CT32" i="5"/>
  <c r="DA36" i="5" s="1"/>
  <c r="CT17" i="5"/>
  <c r="CT34" i="5"/>
  <c r="DA34" i="5" s="1"/>
  <c r="CT14" i="5"/>
  <c r="CT12" i="5"/>
  <c r="CT35" i="5"/>
  <c r="CT30" i="5"/>
  <c r="DA26" i="5" s="1"/>
  <c r="CT29" i="5"/>
  <c r="DA25" i="5" s="1"/>
  <c r="CT26" i="5"/>
  <c r="CT25" i="5"/>
  <c r="CT19" i="5"/>
  <c r="CT31" i="5"/>
  <c r="DA18" i="5" s="1"/>
  <c r="CT22" i="5"/>
  <c r="DA17" i="5" s="1"/>
  <c r="CT15" i="5"/>
  <c r="DA16" i="5" s="1"/>
  <c r="CT10" i="5"/>
  <c r="CU10" i="5" s="1"/>
  <c r="CT38" i="5"/>
  <c r="DA12" i="5" s="1"/>
  <c r="CT28" i="5"/>
  <c r="DA10" i="5" s="1"/>
  <c r="CT21" i="5"/>
  <c r="DA9" i="5" s="1"/>
  <c r="CT37" i="5"/>
  <c r="CX37" i="5" s="1"/>
  <c r="CT33" i="5"/>
  <c r="CT27" i="5"/>
  <c r="CU27" i="5" s="1"/>
  <c r="CT23" i="5"/>
  <c r="DA13" i="5" s="1"/>
  <c r="CT20" i="5"/>
  <c r="CU20" i="5" s="1"/>
  <c r="CT18" i="5"/>
  <c r="DA4" i="5" s="1"/>
  <c r="W22" i="8" s="1"/>
  <c r="X22" i="8" s="1"/>
  <c r="Y22" i="8" s="1"/>
  <c r="CU16" i="5"/>
  <c r="CT13" i="5"/>
  <c r="CT11" i="5"/>
  <c r="CT9" i="5"/>
  <c r="CU9" i="5" s="1"/>
  <c r="CT8" i="5"/>
  <c r="CT7" i="5"/>
  <c r="CU7" i="5" s="1"/>
  <c r="CT6" i="5"/>
  <c r="CU6" i="5" s="1"/>
  <c r="CT5" i="5"/>
  <c r="CU5" i="5" s="1"/>
  <c r="CT4" i="5"/>
  <c r="CW4" i="5" s="1"/>
  <c r="AW114" i="10"/>
  <c r="AW107" i="10"/>
  <c r="AW100" i="10"/>
  <c r="AE29" i="10"/>
  <c r="Z2" i="7"/>
  <c r="L2" i="5"/>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Y2" i="7"/>
  <c r="CU8" i="5" l="1"/>
  <c r="CV8" i="5"/>
  <c r="X2" i="7" s="1"/>
  <c r="W41" i="8"/>
  <c r="D25" i="8" s="1"/>
  <c r="V52" i="8"/>
  <c r="Z20" i="8" s="1"/>
  <c r="V36" i="8"/>
  <c r="V35" i="8" s="1"/>
  <c r="V34" i="8" s="1"/>
  <c r="V33" i="8" s="1"/>
  <c r="V32" i="8" s="1"/>
  <c r="V31" i="8" s="1"/>
  <c r="V30" i="8" s="1"/>
  <c r="V29" i="8" s="1"/>
  <c r="Q15" i="6"/>
  <c r="Q16" i="6"/>
  <c r="R26" i="6"/>
  <c r="R390" i="9"/>
  <c r="G436" i="7"/>
  <c r="L436" i="7" s="1"/>
  <c r="M436" i="7" s="1"/>
  <c r="N34" i="6" s="1"/>
  <c r="R27" i="6"/>
  <c r="R51" i="8"/>
  <c r="S28" i="8" s="1"/>
  <c r="AW5" i="33"/>
  <c r="AW5" i="19"/>
  <c r="AX6" i="33"/>
  <c r="AY6" i="33" s="1"/>
  <c r="BB6" i="33" s="1"/>
  <c r="I56" i="21"/>
  <c r="K56" i="21"/>
  <c r="AS71" i="21"/>
  <c r="AS43" i="21"/>
  <c r="AS72" i="21"/>
  <c r="AS91" i="21"/>
  <c r="AS27" i="21" s="1"/>
  <c r="AS89" i="21"/>
  <c r="AS25" i="21" s="1"/>
  <c r="AS92" i="21"/>
  <c r="AS35" i="21"/>
  <c r="AS12" i="21"/>
  <c r="AS87" i="21" s="1"/>
  <c r="AS36" i="21"/>
  <c r="AI72" i="21"/>
  <c r="AI43" i="21"/>
  <c r="AI71" i="21"/>
  <c r="AI17" i="21" s="1"/>
  <c r="Y71" i="21"/>
  <c r="Y17" i="21" s="1"/>
  <c r="Y43" i="21"/>
  <c r="Y72" i="21"/>
  <c r="R126" i="9"/>
  <c r="GC9" i="14"/>
  <c r="GD9" i="14" s="1"/>
  <c r="R1100" i="9"/>
  <c r="M77" i="31"/>
  <c r="R1160" i="9"/>
  <c r="R1299" i="9"/>
  <c r="FO32" i="14"/>
  <c r="R17" i="9"/>
  <c r="FO20" i="14"/>
  <c r="R568" i="9"/>
  <c r="R10" i="9"/>
  <c r="R37" i="9"/>
  <c r="G441" i="7"/>
  <c r="L441" i="7" s="1"/>
  <c r="M441" i="7" s="1"/>
  <c r="R120" i="9"/>
  <c r="R518" i="9"/>
  <c r="FP20" i="14"/>
  <c r="R567" i="9"/>
  <c r="G433" i="7"/>
  <c r="L433" i="7" s="1"/>
  <c r="M433" i="7" s="1"/>
  <c r="N33" i="6" s="1"/>
  <c r="R975" i="9"/>
  <c r="FQ4" i="14"/>
  <c r="R1097" i="9"/>
  <c r="GC8" i="14"/>
  <c r="GD8" i="14" s="1"/>
  <c r="R1099" i="9"/>
  <c r="S1317" i="9"/>
  <c r="S1316" i="9" s="1"/>
  <c r="S1315" i="9" s="1"/>
  <c r="S1314" i="9" s="1"/>
  <c r="S1313" i="9" s="1"/>
  <c r="S1312" i="9" s="1"/>
  <c r="S1311" i="9" s="1"/>
  <c r="S1310" i="9" s="1"/>
  <c r="S1309" i="9" s="1"/>
  <c r="S1308" i="9" s="1"/>
  <c r="S1307" i="9" s="1"/>
  <c r="S1306" i="9" s="1"/>
  <c r="S1305" i="9" s="1"/>
  <c r="S1304" i="9" s="1"/>
  <c r="S1303" i="9" s="1"/>
  <c r="S1302" i="9" s="1"/>
  <c r="S1301" i="9" s="1"/>
  <c r="S1300" i="9" s="1"/>
  <c r="T1317" i="9"/>
  <c r="T1316" i="9" s="1"/>
  <c r="T1315" i="9" s="1"/>
  <c r="T1314" i="9" s="1"/>
  <c r="T1313" i="9" s="1"/>
  <c r="T1312" i="9" s="1"/>
  <c r="T1311" i="9" s="1"/>
  <c r="T1310" i="9" s="1"/>
  <c r="T1309" i="9" s="1"/>
  <c r="T1308" i="9" s="1"/>
  <c r="T1307" i="9" s="1"/>
  <c r="T1306" i="9" s="1"/>
  <c r="T1305" i="9" s="1"/>
  <c r="T1304" i="9" s="1"/>
  <c r="T1303" i="9" s="1"/>
  <c r="T1302" i="9" s="1"/>
  <c r="T1301" i="9" s="1"/>
  <c r="T1300" i="9" s="1"/>
  <c r="D15" i="8"/>
  <c r="L7" i="8" s="1"/>
  <c r="L222" i="7"/>
  <c r="M222" i="7" s="1"/>
  <c r="AB300" i="7"/>
  <c r="AB113" i="7"/>
  <c r="AB287" i="7"/>
  <c r="AB67" i="7"/>
  <c r="AB265" i="7"/>
  <c r="AB39" i="7"/>
  <c r="AB270" i="7"/>
  <c r="AB44" i="7"/>
  <c r="AB154" i="7"/>
  <c r="AB360" i="7"/>
  <c r="AB126" i="7"/>
  <c r="AB288" i="7"/>
  <c r="AB72" i="7"/>
  <c r="AB289" i="7"/>
  <c r="AB103" i="7"/>
  <c r="AB226" i="7"/>
  <c r="AB164" i="7"/>
  <c r="AB135" i="7"/>
  <c r="AB142" i="7"/>
  <c r="AB285" i="7"/>
  <c r="AB60" i="7"/>
  <c r="AB255" i="7"/>
  <c r="AB38" i="7"/>
  <c r="AB181" i="7"/>
  <c r="AB182" i="7"/>
  <c r="G62" i="7"/>
  <c r="ER5" i="5"/>
  <c r="IF34" i="5"/>
  <c r="IG33" i="5"/>
  <c r="FQ26" i="14"/>
  <c r="FO26" i="14"/>
  <c r="GC26" i="14"/>
  <c r="K7" i="19"/>
  <c r="I7" i="19" s="1"/>
  <c r="E92" i="21"/>
  <c r="BN7" i="33"/>
  <c r="BO7" i="33" s="1"/>
  <c r="BR7" i="33" s="1"/>
  <c r="M9" i="19"/>
  <c r="M9" i="33"/>
  <c r="G332" i="7"/>
  <c r="AA1082" i="9"/>
  <c r="AA1081" i="9" s="1"/>
  <c r="AA1080" i="9" s="1"/>
  <c r="AA1079" i="9" s="1"/>
  <c r="AA1078" i="9" s="1"/>
  <c r="AA1077" i="9" s="1"/>
  <c r="AA1076" i="9" s="1"/>
  <c r="AA1075" i="9" s="1"/>
  <c r="AA1074" i="9" s="1"/>
  <c r="AA1073" i="9" s="1"/>
  <c r="AA1072" i="9" s="1"/>
  <c r="AA1071" i="9" s="1"/>
  <c r="AA1070" i="9" s="1"/>
  <c r="AA1069" i="9" s="1"/>
  <c r="AA1068" i="9" s="1"/>
  <c r="AA1067" i="9" s="1"/>
  <c r="AA1066" i="9" s="1"/>
  <c r="AA1065" i="9" s="1"/>
  <c r="AA1064" i="9" s="1"/>
  <c r="AA1063" i="9" s="1"/>
  <c r="AA1062" i="9" s="1"/>
  <c r="AA1061" i="9" s="1"/>
  <c r="AA1060" i="9" s="1"/>
  <c r="AA1059" i="9" s="1"/>
  <c r="AA1058" i="9" s="1"/>
  <c r="AA1057" i="9" s="1"/>
  <c r="AA1056" i="9" s="1"/>
  <c r="AA1055" i="9" s="1"/>
  <c r="AA1054" i="9" s="1"/>
  <c r="AA1053" i="9" s="1"/>
  <c r="AA1052" i="9" s="1"/>
  <c r="AA1051" i="9" s="1"/>
  <c r="AA1050" i="9" s="1"/>
  <c r="AA1049" i="9" s="1"/>
  <c r="AA1048" i="9" s="1"/>
  <c r="AA1047" i="9" s="1"/>
  <c r="AA1046" i="9" s="1"/>
  <c r="AA1045" i="9" s="1"/>
  <c r="AA1044" i="9" s="1"/>
  <c r="AA1043" i="9" s="1"/>
  <c r="AA1042" i="9" s="1"/>
  <c r="AA1041" i="9" s="1"/>
  <c r="AA1040" i="9" s="1"/>
  <c r="AA1039" i="9" s="1"/>
  <c r="AA1038" i="9" s="1"/>
  <c r="AA1037" i="9" s="1"/>
  <c r="AA1036" i="9" s="1"/>
  <c r="AA1035" i="9" s="1"/>
  <c r="AA1034" i="9" s="1"/>
  <c r="AA1031" i="9" s="1"/>
  <c r="AA1029" i="9" s="1"/>
  <c r="AA1027" i="9" s="1"/>
  <c r="AA1026" i="9" s="1"/>
  <c r="AA1025" i="9" s="1"/>
  <c r="AA1024" i="9" s="1"/>
  <c r="AA1023" i="9" s="1"/>
  <c r="AA1020" i="9" s="1"/>
  <c r="AA1019" i="9" s="1"/>
  <c r="AA1018" i="9" s="1"/>
  <c r="AA1017" i="9" s="1"/>
  <c r="AA1016" i="9" s="1"/>
  <c r="AA1015" i="9" s="1"/>
  <c r="AA1014" i="9" s="1"/>
  <c r="AA1013" i="9" s="1"/>
  <c r="AA1012" i="9" s="1"/>
  <c r="AA1011" i="9" s="1"/>
  <c r="AA1010" i="9" s="1"/>
  <c r="AA1009" i="9" s="1"/>
  <c r="AA1008" i="9" s="1"/>
  <c r="AA1007" i="9" s="1"/>
  <c r="AA1006" i="9" s="1"/>
  <c r="AA1005" i="9" s="1"/>
  <c r="AA1004" i="9" s="1"/>
  <c r="AA1003" i="9" s="1"/>
  <c r="AA1002" i="9" s="1"/>
  <c r="AA1001" i="9" s="1"/>
  <c r="AA1000" i="9" s="1"/>
  <c r="AA999" i="9" s="1"/>
  <c r="AA998" i="9" s="1"/>
  <c r="AA997" i="9" s="1"/>
  <c r="AA996" i="9" s="1"/>
  <c r="AA995" i="9" s="1"/>
  <c r="AA994" i="9" s="1"/>
  <c r="AA993" i="9" s="1"/>
  <c r="AA992" i="9" s="1"/>
  <c r="AA991" i="9" s="1"/>
  <c r="AA990" i="9" s="1"/>
  <c r="AA989" i="9" s="1"/>
  <c r="AA988" i="9" s="1"/>
  <c r="AA987" i="9" s="1"/>
  <c r="AA986" i="9" s="1"/>
  <c r="AA985" i="9" s="1"/>
  <c r="AA984" i="9" s="1"/>
  <c r="AA983" i="9" s="1"/>
  <c r="AA982" i="9" s="1"/>
  <c r="AA981" i="9" s="1"/>
  <c r="AA980" i="9" s="1"/>
  <c r="AA976" i="9" s="1"/>
  <c r="AA975" i="9" s="1"/>
  <c r="AA974" i="9" s="1"/>
  <c r="AA973" i="9" s="1"/>
  <c r="AA972" i="9" s="1"/>
  <c r="AA971" i="9" s="1"/>
  <c r="AA970" i="9" s="1"/>
  <c r="AA969" i="9" s="1"/>
  <c r="AA968" i="9" s="1"/>
  <c r="AA967" i="9" s="1"/>
  <c r="AA966" i="9" s="1"/>
  <c r="AA965" i="9" s="1"/>
  <c r="AA964" i="9" s="1"/>
  <c r="AA963" i="9" s="1"/>
  <c r="AA962" i="9" s="1"/>
  <c r="AA961" i="9" s="1"/>
  <c r="AA960" i="9" s="1"/>
  <c r="AA959" i="9" s="1"/>
  <c r="AA958" i="9" s="1"/>
  <c r="AA957" i="9" s="1"/>
  <c r="AA956" i="9" s="1"/>
  <c r="AA953" i="9" s="1"/>
  <c r="AA952" i="9" s="1"/>
  <c r="AA951" i="9" s="1"/>
  <c r="AA950" i="9" s="1"/>
  <c r="AA949" i="9" s="1"/>
  <c r="AA948" i="9" s="1"/>
  <c r="AA946" i="9" s="1"/>
  <c r="AA945" i="9" s="1"/>
  <c r="AA944" i="9" s="1"/>
  <c r="AA938" i="9" s="1"/>
  <c r="AA937" i="9" s="1"/>
  <c r="AA936" i="9" s="1"/>
  <c r="AA935" i="9" s="1"/>
  <c r="AA934" i="9" s="1"/>
  <c r="AA933" i="9" s="1"/>
  <c r="AA932" i="9" s="1"/>
  <c r="AA931" i="9" s="1"/>
  <c r="AA930" i="9" s="1"/>
  <c r="AA929" i="9" s="1"/>
  <c r="AA928" i="9" s="1"/>
  <c r="AA927" i="9" s="1"/>
  <c r="AA926" i="9" s="1"/>
  <c r="AA925" i="9" s="1"/>
  <c r="AA924" i="9" s="1"/>
  <c r="AA923" i="9" s="1"/>
  <c r="AA922" i="9" s="1"/>
  <c r="AA921" i="9" s="1"/>
  <c r="AA920" i="9" s="1"/>
  <c r="AA919" i="9" s="1"/>
  <c r="AA918" i="9" s="1"/>
  <c r="AA917" i="9" s="1"/>
  <c r="AA916" i="9" s="1"/>
  <c r="AA915" i="9" s="1"/>
  <c r="AA914" i="9" s="1"/>
  <c r="AA913" i="9" s="1"/>
  <c r="AA912" i="9" s="1"/>
  <c r="AA911" i="9" s="1"/>
  <c r="AA910" i="9" s="1"/>
  <c r="AA909" i="9" s="1"/>
  <c r="AA908" i="9" s="1"/>
  <c r="AA907" i="9" s="1"/>
  <c r="AA906" i="9" s="1"/>
  <c r="AA904" i="9" s="1"/>
  <c r="AA903" i="9" s="1"/>
  <c r="L17" i="33"/>
  <c r="K7" i="33"/>
  <c r="I7" i="33" s="1"/>
  <c r="BR6" i="33"/>
  <c r="N30" i="6"/>
  <c r="G6" i="23"/>
  <c r="BZ34" i="10"/>
  <c r="M24" i="31"/>
  <c r="G24" i="31" s="1"/>
  <c r="M27" i="31"/>
  <c r="M81" i="31"/>
  <c r="G81" i="31" s="1"/>
  <c r="B83" i="31"/>
  <c r="G4" i="31"/>
  <c r="G2" i="31"/>
  <c r="B90" i="31"/>
  <c r="M72" i="31"/>
  <c r="G72" i="31" s="1"/>
  <c r="G85" i="31"/>
  <c r="G7" i="31"/>
  <c r="M17" i="31"/>
  <c r="E21" i="31"/>
  <c r="D21" i="31" s="1"/>
  <c r="M67" i="31"/>
  <c r="M46" i="31"/>
  <c r="G46" i="31" s="1"/>
  <c r="G87" i="31"/>
  <c r="M45" i="31"/>
  <c r="G45" i="31" s="1"/>
  <c r="M73" i="31"/>
  <c r="G73" i="31" s="1"/>
  <c r="M54" i="31"/>
  <c r="G10" i="31"/>
  <c r="M74" i="31"/>
  <c r="G74" i="31" s="1"/>
  <c r="C19" i="31"/>
  <c r="DA3" i="5"/>
  <c r="E5" i="30"/>
  <c r="G5" i="30" s="1"/>
  <c r="E4" i="30"/>
  <c r="G4" i="30" s="1"/>
  <c r="DA6" i="5"/>
  <c r="E7" i="30"/>
  <c r="G7" i="30" s="1"/>
  <c r="DA14" i="5"/>
  <c r="E8" i="30"/>
  <c r="G8" i="30" s="1"/>
  <c r="DA5" i="5"/>
  <c r="Z4" i="2"/>
  <c r="X14" i="23"/>
  <c r="Y14" i="23" s="1"/>
  <c r="Z14" i="23" s="1"/>
  <c r="X13" i="23"/>
  <c r="Y13" i="23" s="1"/>
  <c r="G440" i="7"/>
  <c r="L440" i="7" s="1"/>
  <c r="M440" i="7" s="1"/>
  <c r="N28" i="6" s="1"/>
  <c r="AD82" i="14"/>
  <c r="AD55" i="14"/>
  <c r="O72" i="21"/>
  <c r="O43" i="21"/>
  <c r="O71" i="21"/>
  <c r="O17" i="21" s="1"/>
  <c r="O20" i="21" s="1"/>
  <c r="O89" i="21"/>
  <c r="O25" i="21" s="1"/>
  <c r="O91" i="21"/>
  <c r="O27" i="21" s="1"/>
  <c r="O36" i="21"/>
  <c r="O12" i="21"/>
  <c r="O35" i="21"/>
  <c r="O92" i="21"/>
  <c r="M8" i="17"/>
  <c r="N8" i="17" s="1"/>
  <c r="M10" i="17"/>
  <c r="N10" i="17" s="1"/>
  <c r="T10" i="17" s="1"/>
  <c r="T9" i="17" s="1"/>
  <c r="J8" i="17"/>
  <c r="E10" i="17"/>
  <c r="E8" i="17"/>
  <c r="F10" i="17"/>
  <c r="F8" i="17"/>
  <c r="J10" i="17"/>
  <c r="BC73" i="21"/>
  <c r="BC68" i="21"/>
  <c r="Y74" i="21"/>
  <c r="O68" i="21"/>
  <c r="O67" i="21" s="1"/>
  <c r="O14" i="21" s="1"/>
  <c r="E43" i="21"/>
  <c r="BC74" i="21"/>
  <c r="AS68" i="21"/>
  <c r="AS67" i="21" s="1"/>
  <c r="O74" i="21"/>
  <c r="O75" i="21" s="1"/>
  <c r="E68" i="21"/>
  <c r="E67" i="21" s="1"/>
  <c r="BC79" i="21"/>
  <c r="AS74" i="21"/>
  <c r="AI68" i="21"/>
  <c r="AI67" i="21" s="1"/>
  <c r="AI14" i="21" s="1"/>
  <c r="AI74" i="21"/>
  <c r="Y68" i="21"/>
  <c r="Y67" i="21" s="1"/>
  <c r="AI92" i="21"/>
  <c r="AI89" i="21"/>
  <c r="AI25" i="21" s="1"/>
  <c r="AI91" i="21"/>
  <c r="AI27" i="21" s="1"/>
  <c r="AI12" i="21"/>
  <c r="AI88" i="21" s="1"/>
  <c r="AI36" i="21"/>
  <c r="AI90" i="21"/>
  <c r="AI26" i="21" s="1"/>
  <c r="AI35" i="21"/>
  <c r="B13" i="13"/>
  <c r="D13" i="13" s="1"/>
  <c r="O125" i="21"/>
  <c r="O97" i="21"/>
  <c r="O33" i="21" s="1"/>
  <c r="P4" i="21" s="1"/>
  <c r="O121" i="21"/>
  <c r="O62" i="21" s="1"/>
  <c r="P74" i="21"/>
  <c r="O98" i="21"/>
  <c r="O34" i="21" s="1"/>
  <c r="BX54" i="18"/>
  <c r="BT54" i="18"/>
  <c r="H20" i="13"/>
  <c r="F20" i="13" s="1"/>
  <c r="F74" i="21"/>
  <c r="E125" i="21"/>
  <c r="E89" i="21"/>
  <c r="E25" i="21" s="1"/>
  <c r="E91" i="21"/>
  <c r="E27" i="21" s="1"/>
  <c r="E121" i="21"/>
  <c r="E98" i="21"/>
  <c r="E35" i="21"/>
  <c r="E97" i="21"/>
  <c r="E33" i="21" s="1"/>
  <c r="F4" i="21" s="1"/>
  <c r="E12" i="21"/>
  <c r="H59" i="21" s="1"/>
  <c r="F59" i="21" s="1"/>
  <c r="E72" i="21"/>
  <c r="E36" i="21"/>
  <c r="E71" i="21"/>
  <c r="BC125" i="21"/>
  <c r="BC98" i="21"/>
  <c r="AI121" i="21"/>
  <c r="AI62" i="21" s="1"/>
  <c r="AJ74" i="21"/>
  <c r="Y121" i="21"/>
  <c r="Y89" i="21"/>
  <c r="Y25" i="21" s="1"/>
  <c r="BC87" i="21"/>
  <c r="AS121" i="21"/>
  <c r="AS62" i="21" s="1"/>
  <c r="AT74" i="21"/>
  <c r="Y91" i="21"/>
  <c r="Y27" i="21" s="1"/>
  <c r="BC121" i="21"/>
  <c r="BC88" i="21"/>
  <c r="BD74" i="21"/>
  <c r="AS97" i="21"/>
  <c r="AS33" i="21" s="1"/>
  <c r="AT4" i="21" s="1"/>
  <c r="AI125" i="21"/>
  <c r="AI97" i="21"/>
  <c r="AI33" i="21" s="1"/>
  <c r="AJ4" i="21" s="1"/>
  <c r="Y125" i="21"/>
  <c r="Y97" i="21"/>
  <c r="Y33" i="21" s="1"/>
  <c r="Z4" i="21" s="1"/>
  <c r="Z74" i="21"/>
  <c r="BC97" i="21"/>
  <c r="AS125" i="21"/>
  <c r="AS98" i="21"/>
  <c r="AS34" i="21" s="1"/>
  <c r="AI98" i="21"/>
  <c r="AI34" i="21" s="1"/>
  <c r="Y98" i="21"/>
  <c r="H14" i="13"/>
  <c r="AE56" i="21"/>
  <c r="BC95" i="21"/>
  <c r="BC94" i="21" s="1"/>
  <c r="BT216" i="18"/>
  <c r="AI95" i="21"/>
  <c r="AI94" i="21" s="1"/>
  <c r="AI28" i="21" s="1"/>
  <c r="Y95" i="21"/>
  <c r="Y94" i="21" s="1"/>
  <c r="Y28" i="21" s="1"/>
  <c r="AS95" i="21"/>
  <c r="AS94" i="21" s="1"/>
  <c r="AS28" i="21" s="1"/>
  <c r="BX216" i="18"/>
  <c r="BT222" i="18"/>
  <c r="BT180" i="18"/>
  <c r="BX138" i="18"/>
  <c r="BX96" i="18"/>
  <c r="BX222" i="18"/>
  <c r="BX180" i="18"/>
  <c r="BT138" i="18"/>
  <c r="BT96" i="18"/>
  <c r="Y12" i="21"/>
  <c r="P26" i="13"/>
  <c r="B19" i="13"/>
  <c r="E20" i="13"/>
  <c r="D20" i="13" s="1"/>
  <c r="AI2" i="13" s="1"/>
  <c r="AI1" i="13" s="1"/>
  <c r="D22" i="13"/>
  <c r="D10" i="13"/>
  <c r="D18" i="13" s="1"/>
  <c r="Y35" i="21"/>
  <c r="D14" i="13"/>
  <c r="B11" i="13"/>
  <c r="D11" i="13" s="1"/>
  <c r="Y36" i="21"/>
  <c r="H17" i="13"/>
  <c r="B12" i="13"/>
  <c r="D12" i="13" s="1"/>
  <c r="H19" i="13"/>
  <c r="F19" i="13" s="1"/>
  <c r="E39" i="13"/>
  <c r="K25" i="13"/>
  <c r="C19" i="13"/>
  <c r="B69" i="13"/>
  <c r="B31" i="13"/>
  <c r="K11" i="13"/>
  <c r="E77" i="13"/>
  <c r="E58" i="13"/>
  <c r="B57" i="13"/>
  <c r="B50" i="13"/>
  <c r="H50" i="13" s="1"/>
  <c r="B75" i="13"/>
  <c r="B37" i="13"/>
  <c r="B38" i="13"/>
  <c r="B74" i="13"/>
  <c r="B36" i="13"/>
  <c r="AB20" i="13"/>
  <c r="B39" i="13"/>
  <c r="B76" i="13"/>
  <c r="B56" i="13"/>
  <c r="Y92" i="21"/>
  <c r="Z20" i="13"/>
  <c r="B58" i="13"/>
  <c r="B77" i="13"/>
  <c r="B55" i="13"/>
  <c r="BP7" i="19"/>
  <c r="BP8" i="19" s="1"/>
  <c r="L17" i="19"/>
  <c r="BC119" i="21"/>
  <c r="BC118" i="21"/>
  <c r="AB4" i="2"/>
  <c r="AA4" i="2"/>
  <c r="Y4" i="2"/>
  <c r="DA35" i="5"/>
  <c r="DA31" i="5"/>
  <c r="DA19" i="5"/>
  <c r="DA20" i="5"/>
  <c r="DA11" i="5"/>
  <c r="DA33" i="5"/>
  <c r="DA32" i="5"/>
  <c r="DA7" i="5"/>
  <c r="DA24" i="5"/>
  <c r="DA23" i="5"/>
  <c r="CY21" i="5"/>
  <c r="DA8" i="5"/>
  <c r="DA21" i="5"/>
  <c r="DA22" i="5"/>
  <c r="DA27" i="5"/>
  <c r="DA28" i="5"/>
  <c r="DA29" i="5"/>
  <c r="DA30" i="5"/>
  <c r="DA38" i="5"/>
  <c r="A62" i="5"/>
  <c r="K7" i="16"/>
  <c r="K6" i="16" s="1"/>
  <c r="K5" i="16" s="1"/>
  <c r="K4" i="16" s="1"/>
  <c r="AU16" i="15"/>
  <c r="AT15" i="15"/>
  <c r="CU4" i="5"/>
  <c r="CX27" i="5"/>
  <c r="O42" i="2"/>
  <c r="CV6" i="5"/>
  <c r="V2" i="7" s="1"/>
  <c r="CX20" i="5"/>
  <c r="L42" i="2"/>
  <c r="K48" i="2"/>
  <c r="K47" i="2" s="1"/>
  <c r="K46" i="2" s="1"/>
  <c r="K45" i="2" s="1"/>
  <c r="K44" i="2" s="1"/>
  <c r="K43" i="2" s="1"/>
  <c r="K42" i="2" s="1"/>
  <c r="K41" i="2" s="1"/>
  <c r="P42" i="2"/>
  <c r="L6" i="16"/>
  <c r="L5" i="16" s="1"/>
  <c r="L4" i="16" s="1"/>
  <c r="K10" i="19" s="1"/>
  <c r="I10" i="19" s="1"/>
  <c r="N42" i="2"/>
  <c r="M42" i="2"/>
  <c r="S61" i="21"/>
  <c r="U61" i="21" s="1"/>
  <c r="R61" i="21"/>
  <c r="T61" i="21" s="1"/>
  <c r="D13" i="8"/>
  <c r="L24" i="8"/>
  <c r="AT40" i="14"/>
  <c r="AT132" i="14"/>
  <c r="L15" i="8"/>
  <c r="Q45" i="2"/>
  <c r="P45" i="2"/>
  <c r="O45" i="2"/>
  <c r="N45" i="2"/>
  <c r="M45" i="2"/>
  <c r="L45" i="2"/>
  <c r="Q44" i="2"/>
  <c r="P44" i="2"/>
  <c r="O44" i="2"/>
  <c r="N44" i="2"/>
  <c r="M44" i="2"/>
  <c r="L44" i="2"/>
  <c r="Q43" i="2"/>
  <c r="P43" i="2"/>
  <c r="O43" i="2"/>
  <c r="N43" i="2"/>
  <c r="M43" i="2"/>
  <c r="L43" i="2"/>
  <c r="Q47" i="2"/>
  <c r="P47" i="2"/>
  <c r="O47" i="2"/>
  <c r="N47" i="2"/>
  <c r="M47" i="2"/>
  <c r="L47" i="2"/>
  <c r="Q46" i="2"/>
  <c r="P46" i="2"/>
  <c r="O46" i="2"/>
  <c r="N46" i="2"/>
  <c r="M46" i="2"/>
  <c r="L46" i="2"/>
  <c r="Q48" i="2"/>
  <c r="P48" i="2"/>
  <c r="O48" i="2"/>
  <c r="N48" i="2"/>
  <c r="M48" i="2"/>
  <c r="L48" i="2"/>
  <c r="AY6" i="19"/>
  <c r="AX7" i="19"/>
  <c r="O23" i="2"/>
  <c r="DB46" i="5"/>
  <c r="AN2" i="5"/>
  <c r="AO2" i="5" s="1"/>
  <c r="AP2" i="5" s="1"/>
  <c r="AQ2" i="5" s="1"/>
  <c r="AR2" i="5" s="1"/>
  <c r="AS2" i="5" s="1"/>
  <c r="AT2" i="5" s="1"/>
  <c r="AU2" i="5" s="1"/>
  <c r="AV2" i="5" s="1"/>
  <c r="AW2" i="5" s="1"/>
  <c r="AX2" i="5" s="1"/>
  <c r="AY2" i="5" s="1"/>
  <c r="AZ2" i="5" s="1"/>
  <c r="BA2" i="5" s="1"/>
  <c r="BB2" i="5" s="1"/>
  <c r="BC2" i="5" s="1"/>
  <c r="BD2" i="5" s="1"/>
  <c r="BE2" i="5" s="1"/>
  <c r="BF2" i="5" s="1"/>
  <c r="BG2" i="5" s="1"/>
  <c r="BH2" i="5" s="1"/>
  <c r="BI2" i="5" s="1"/>
  <c r="BJ2" i="5" s="1"/>
  <c r="BK2" i="5" s="1"/>
  <c r="BL2" i="5" s="1"/>
  <c r="BM2" i="5" s="1"/>
  <c r="BN2" i="5" s="1"/>
  <c r="CU11" i="5"/>
  <c r="CU13" i="5"/>
  <c r="CU18" i="5"/>
  <c r="CU23" i="5"/>
  <c r="CU33" i="5"/>
  <c r="CU37" i="5"/>
  <c r="CU21" i="5"/>
  <c r="CU15" i="5"/>
  <c r="CU22" i="5"/>
  <c r="CU31" i="5"/>
  <c r="CU19" i="5"/>
  <c r="CU25" i="5"/>
  <c r="CU26" i="5"/>
  <c r="CU29" i="5"/>
  <c r="CU30" i="5"/>
  <c r="CU35" i="5"/>
  <c r="CU12" i="5"/>
  <c r="CU14" i="5"/>
  <c r="CU34" i="5"/>
  <c r="CU17" i="5"/>
  <c r="CU32" i="5"/>
  <c r="CU39" i="5"/>
  <c r="CU24" i="5"/>
  <c r="CU36" i="5"/>
  <c r="FP2" i="5"/>
  <c r="FQ2" i="5" s="1"/>
  <c r="FR2" i="5" s="1"/>
  <c r="FS2" i="5" s="1"/>
  <c r="D14" i="8"/>
  <c r="CU28" i="5"/>
  <c r="CY28" i="5"/>
  <c r="CU38" i="5"/>
  <c r="CY38" i="5"/>
  <c r="P66" i="13"/>
  <c r="Y30" i="13"/>
  <c r="Y29" i="13"/>
  <c r="D7" i="8"/>
  <c r="P47" i="13"/>
  <c r="AD39" i="14"/>
  <c r="CV5" i="5"/>
  <c r="U2" i="7" s="1"/>
  <c r="CV7" i="5"/>
  <c r="W2" i="7" s="1"/>
  <c r="CW5" i="5"/>
  <c r="CW6" i="5"/>
  <c r="CW8" i="5"/>
  <c r="CW11" i="5"/>
  <c r="CW20" i="5"/>
  <c r="CW27" i="5"/>
  <c r="CW37" i="5"/>
  <c r="CW28" i="5"/>
  <c r="CW15" i="5"/>
  <c r="CW31" i="5"/>
  <c r="CW25" i="5"/>
  <c r="CW29" i="5"/>
  <c r="CW35" i="5"/>
  <c r="CW14" i="5"/>
  <c r="CW17" i="5"/>
  <c r="CW39" i="5"/>
  <c r="CW36" i="5"/>
  <c r="CW7" i="5"/>
  <c r="CW13" i="5"/>
  <c r="CW18" i="5"/>
  <c r="CW23" i="5"/>
  <c r="CW33" i="5"/>
  <c r="CW21" i="5"/>
  <c r="CW38" i="5"/>
  <c r="CW22" i="5"/>
  <c r="CW19" i="5"/>
  <c r="CW26" i="5"/>
  <c r="CW30" i="5"/>
  <c r="CW12" i="5"/>
  <c r="CW34" i="5"/>
  <c r="CW32" i="5"/>
  <c r="CW24" i="5"/>
  <c r="CV4" i="5"/>
  <c r="T2" i="7" s="1"/>
  <c r="O24" i="26"/>
  <c r="D55" i="26"/>
  <c r="AR7" i="26"/>
  <c r="D56" i="26"/>
  <c r="C51" i="26"/>
  <c r="O88" i="21" l="1"/>
  <c r="R56" i="21"/>
  <c r="P56" i="21" s="1"/>
  <c r="D6" i="7"/>
  <c r="O90" i="21"/>
  <c r="O26" i="21" s="1"/>
  <c r="CF145" i="10" s="1"/>
  <c r="BL144" i="10" s="1"/>
  <c r="O13" i="17"/>
  <c r="R12" i="17" s="1"/>
  <c r="R11" i="17" s="1"/>
  <c r="R10" i="17" s="1"/>
  <c r="R9" i="17" s="1"/>
  <c r="R8" i="17" s="1"/>
  <c r="O87" i="21"/>
  <c r="H58" i="21"/>
  <c r="F58" i="21" s="1"/>
  <c r="H57" i="21"/>
  <c r="F57" i="21" s="1"/>
  <c r="S1299" i="9"/>
  <c r="S1298" i="9" s="1"/>
  <c r="S1297" i="9" s="1"/>
  <c r="S1296" i="9" s="1"/>
  <c r="S1295" i="9" s="1"/>
  <c r="S1294" i="9" s="1"/>
  <c r="S1293" i="9" s="1"/>
  <c r="S1292" i="9" s="1"/>
  <c r="S1291" i="9" s="1"/>
  <c r="S1290" i="9" s="1"/>
  <c r="S1289" i="9" s="1"/>
  <c r="S1288" i="9" s="1"/>
  <c r="S1287" i="9" s="1"/>
  <c r="S1286" i="9" s="1"/>
  <c r="S1285" i="9" s="1"/>
  <c r="S1284" i="9" s="1"/>
  <c r="S1283" i="9" s="1"/>
  <c r="S1282" i="9" s="1"/>
  <c r="S1281" i="9" s="1"/>
  <c r="S1280" i="9" s="1"/>
  <c r="S1279" i="9" s="1"/>
  <c r="S1278" i="9" s="1"/>
  <c r="S1277" i="9" s="1"/>
  <c r="S1276" i="9" s="1"/>
  <c r="S1275" i="9" s="1"/>
  <c r="S1274" i="9" s="1"/>
  <c r="S1273" i="9" s="1"/>
  <c r="S1272" i="9" s="1"/>
  <c r="S1271" i="9" s="1"/>
  <c r="S1270" i="9" s="1"/>
  <c r="S1269" i="9" s="1"/>
  <c r="S1268" i="9" s="1"/>
  <c r="S1267" i="9" s="1"/>
  <c r="S1266" i="9" s="1"/>
  <c r="S1265" i="9" s="1"/>
  <c r="S1264" i="9" s="1"/>
  <c r="S1263" i="9" s="1"/>
  <c r="S1262" i="9" s="1"/>
  <c r="S1261" i="9" s="1"/>
  <c r="S1260" i="9" s="1"/>
  <c r="S1259" i="9" s="1"/>
  <c r="S1258" i="9" s="1"/>
  <c r="S1257" i="9" s="1"/>
  <c r="S1256" i="9" s="1"/>
  <c r="S1255" i="9" s="1"/>
  <c r="S1254" i="9" s="1"/>
  <c r="S1253" i="9" s="1"/>
  <c r="S1252" i="9" s="1"/>
  <c r="S1251" i="9" s="1"/>
  <c r="S1250" i="9" s="1"/>
  <c r="S1249" i="9" s="1"/>
  <c r="S1248" i="9" s="1"/>
  <c r="S1247" i="9" s="1"/>
  <c r="S1246" i="9" s="1"/>
  <c r="S1245" i="9" s="1"/>
  <c r="S1244" i="9" s="1"/>
  <c r="S1243" i="9" s="1"/>
  <c r="S1242" i="9" s="1"/>
  <c r="S1241" i="9" s="1"/>
  <c r="S1240" i="9" s="1"/>
  <c r="S1239" i="9" s="1"/>
  <c r="S1238" i="9" s="1"/>
  <c r="S1237" i="9" s="1"/>
  <c r="S1236" i="9" s="1"/>
  <c r="S1235" i="9" s="1"/>
  <c r="S1234" i="9" s="1"/>
  <c r="S1233" i="9" s="1"/>
  <c r="S1232" i="9" s="1"/>
  <c r="S1231" i="9" s="1"/>
  <c r="S1230" i="9" s="1"/>
  <c r="S1229" i="9" s="1"/>
  <c r="S1228" i="9" s="1"/>
  <c r="S1227" i="9" s="1"/>
  <c r="S1226" i="9" s="1"/>
  <c r="S1225" i="9" s="1"/>
  <c r="S1224" i="9" s="1"/>
  <c r="S1223" i="9" s="1"/>
  <c r="S1222" i="9" s="1"/>
  <c r="S1221" i="9" s="1"/>
  <c r="S1220" i="9" s="1"/>
  <c r="S1219" i="9" s="1"/>
  <c r="S1218" i="9" s="1"/>
  <c r="S1217" i="9" s="1"/>
  <c r="S1216" i="9" s="1"/>
  <c r="S1215" i="9" s="1"/>
  <c r="S1214" i="9" s="1"/>
  <c r="S1213" i="9" s="1"/>
  <c r="S1212" i="9" s="1"/>
  <c r="S1211" i="9" s="1"/>
  <c r="S1210" i="9" s="1"/>
  <c r="S1209" i="9" s="1"/>
  <c r="S1208" i="9" s="1"/>
  <c r="S1207" i="9" s="1"/>
  <c r="S1206" i="9" s="1"/>
  <c r="S1205" i="9" s="1"/>
  <c r="S1204" i="9" s="1"/>
  <c r="S1203" i="9" s="1"/>
  <c r="S1202" i="9" s="1"/>
  <c r="S1201" i="9" s="1"/>
  <c r="S1200" i="9" s="1"/>
  <c r="S1199" i="9" s="1"/>
  <c r="S1198" i="9" s="1"/>
  <c r="S1197" i="9" s="1"/>
  <c r="S1196" i="9" s="1"/>
  <c r="S1195" i="9" s="1"/>
  <c r="S1194" i="9" s="1"/>
  <c r="S1193" i="9" s="1"/>
  <c r="S1192" i="9" s="1"/>
  <c r="S1191" i="9" s="1"/>
  <c r="S1190" i="9" s="1"/>
  <c r="S1189" i="9" s="1"/>
  <c r="S1188" i="9" s="1"/>
  <c r="S1187" i="9" s="1"/>
  <c r="S1186" i="9" s="1"/>
  <c r="S1185" i="9" s="1"/>
  <c r="S1184" i="9" s="1"/>
  <c r="S1183" i="9" s="1"/>
  <c r="S1182" i="9" s="1"/>
  <c r="S1181" i="9" s="1"/>
  <c r="S1180" i="9" s="1"/>
  <c r="S1179" i="9" s="1"/>
  <c r="S1178" i="9" s="1"/>
  <c r="S1177" i="9" s="1"/>
  <c r="S1176" i="9" s="1"/>
  <c r="S1175" i="9" s="1"/>
  <c r="S1174" i="9" s="1"/>
  <c r="S1173" i="9" s="1"/>
  <c r="S1172" i="9" s="1"/>
  <c r="S1171" i="9" s="1"/>
  <c r="S1170" i="9" s="1"/>
  <c r="S1169" i="9" s="1"/>
  <c r="S1168" i="9" s="1"/>
  <c r="S1167" i="9" s="1"/>
  <c r="S1166" i="9" s="1"/>
  <c r="S1165" i="9" s="1"/>
  <c r="S1164" i="9" s="1"/>
  <c r="S1163" i="9" s="1"/>
  <c r="S1162" i="9" s="1"/>
  <c r="S1161" i="9" s="1"/>
  <c r="S1160" i="9" s="1"/>
  <c r="S1159" i="9" s="1"/>
  <c r="S1158" i="9" s="1"/>
  <c r="S1157" i="9" s="1"/>
  <c r="S1156" i="9" s="1"/>
  <c r="S1155" i="9" s="1"/>
  <c r="S1154" i="9" s="1"/>
  <c r="S1153" i="9" s="1"/>
  <c r="S1152" i="9" s="1"/>
  <c r="S1151" i="9" s="1"/>
  <c r="S1150" i="9" s="1"/>
  <c r="S1149" i="9" s="1"/>
  <c r="S1148" i="9" s="1"/>
  <c r="S1147" i="9" s="1"/>
  <c r="S1146" i="9" s="1"/>
  <c r="S1145" i="9" s="1"/>
  <c r="S1144" i="9" s="1"/>
  <c r="S1143" i="9" s="1"/>
  <c r="S1142" i="9" s="1"/>
  <c r="S1141" i="9" s="1"/>
  <c r="S1140" i="9" s="1"/>
  <c r="S1139" i="9" s="1"/>
  <c r="S1138" i="9" s="1"/>
  <c r="S1137" i="9" s="1"/>
  <c r="S1136" i="9" s="1"/>
  <c r="S1135" i="9" s="1"/>
  <c r="S1134" i="9" s="1"/>
  <c r="S1133" i="9" s="1"/>
  <c r="S1132" i="9" s="1"/>
  <c r="S1131" i="9" s="1"/>
  <c r="S1130" i="9" s="1"/>
  <c r="S1129" i="9" s="1"/>
  <c r="S1128" i="9" s="1"/>
  <c r="S1127" i="9" s="1"/>
  <c r="S1126" i="9" s="1"/>
  <c r="S1125" i="9" s="1"/>
  <c r="S1124" i="9" s="1"/>
  <c r="S1123" i="9" s="1"/>
  <c r="S1122" i="9" s="1"/>
  <c r="S1121" i="9" s="1"/>
  <c r="S1120" i="9" s="1"/>
  <c r="S1119" i="9" s="1"/>
  <c r="S1118" i="9" s="1"/>
  <c r="S1117" i="9" s="1"/>
  <c r="S1116" i="9" s="1"/>
  <c r="S1115" i="9" s="1"/>
  <c r="S1114" i="9" s="1"/>
  <c r="S1113" i="9" s="1"/>
  <c r="S1112" i="9" s="1"/>
  <c r="S1111" i="9" s="1"/>
  <c r="S1110" i="9" s="1"/>
  <c r="S1109" i="9" s="1"/>
  <c r="S1108" i="9" s="1"/>
  <c r="S1107" i="9" s="1"/>
  <c r="S1106" i="9" s="1"/>
  <c r="S1105" i="9" s="1"/>
  <c r="S1104" i="9" s="1"/>
  <c r="S1103" i="9" s="1"/>
  <c r="S1102" i="9" s="1"/>
  <c r="S1101" i="9" s="1"/>
  <c r="S1100" i="9" s="1"/>
  <c r="S1099" i="9" s="1"/>
  <c r="S1098" i="9" s="1"/>
  <c r="S1097" i="9" s="1"/>
  <c r="S1096" i="9" s="1"/>
  <c r="S1095" i="9" s="1"/>
  <c r="S1094" i="9" s="1"/>
  <c r="S1093" i="9" s="1"/>
  <c r="S1092" i="9" s="1"/>
  <c r="S1091" i="9" s="1"/>
  <c r="S1090" i="9" s="1"/>
  <c r="S1089" i="9" s="1"/>
  <c r="S1088" i="9" s="1"/>
  <c r="S1087" i="9" s="1"/>
  <c r="S1086" i="9" s="1"/>
  <c r="S1085" i="9" s="1"/>
  <c r="S1084" i="9" s="1"/>
  <c r="S1083" i="9" s="1"/>
  <c r="S1082" i="9" s="1"/>
  <c r="S1081" i="9" s="1"/>
  <c r="S1080" i="9" s="1"/>
  <c r="S1079" i="9" s="1"/>
  <c r="S1078" i="9" s="1"/>
  <c r="S1077" i="9" s="1"/>
  <c r="S1076" i="9" s="1"/>
  <c r="S1075" i="9" s="1"/>
  <c r="S1074" i="9" s="1"/>
  <c r="S1073" i="9" s="1"/>
  <c r="S1072" i="9" s="1"/>
  <c r="S1071" i="9" s="1"/>
  <c r="S1070" i="9" s="1"/>
  <c r="S1069" i="9" s="1"/>
  <c r="S1068" i="9" s="1"/>
  <c r="S1067" i="9" s="1"/>
  <c r="S1066" i="9" s="1"/>
  <c r="S1065" i="9" s="1"/>
  <c r="S1064" i="9" s="1"/>
  <c r="S1063" i="9" s="1"/>
  <c r="S1062" i="9" s="1"/>
  <c r="S1061" i="9" s="1"/>
  <c r="S1060" i="9" s="1"/>
  <c r="S1059" i="9" s="1"/>
  <c r="S1058" i="9" s="1"/>
  <c r="S1057" i="9" s="1"/>
  <c r="S1056" i="9" s="1"/>
  <c r="S1055" i="9" s="1"/>
  <c r="S1054" i="9" s="1"/>
  <c r="S1053" i="9" s="1"/>
  <c r="S1052" i="9" s="1"/>
  <c r="S1051" i="9" s="1"/>
  <c r="S1050" i="9" s="1"/>
  <c r="S1049" i="9" s="1"/>
  <c r="S1048" i="9" s="1"/>
  <c r="S1047" i="9" s="1"/>
  <c r="S1046" i="9" s="1"/>
  <c r="S1045" i="9" s="1"/>
  <c r="S1044" i="9" s="1"/>
  <c r="S1043" i="9" s="1"/>
  <c r="S1042" i="9" s="1"/>
  <c r="S1041" i="9" s="1"/>
  <c r="S1040" i="9" s="1"/>
  <c r="S1039" i="9" s="1"/>
  <c r="S1038" i="9" s="1"/>
  <c r="S1037" i="9" s="1"/>
  <c r="S1036" i="9" s="1"/>
  <c r="S1035" i="9" s="1"/>
  <c r="S1034" i="9" s="1"/>
  <c r="S1033" i="9" s="1"/>
  <c r="S1032" i="9" s="1"/>
  <c r="S1031" i="9" s="1"/>
  <c r="S1030" i="9" s="1"/>
  <c r="S1029" i="9" s="1"/>
  <c r="S1028" i="9" s="1"/>
  <c r="S1027" i="9" s="1"/>
  <c r="S1026" i="9" s="1"/>
  <c r="S1025" i="9" s="1"/>
  <c r="S1024" i="9" s="1"/>
  <c r="S1023" i="9" s="1"/>
  <c r="S1022" i="9" s="1"/>
  <c r="S1021" i="9" s="1"/>
  <c r="S1020" i="9" s="1"/>
  <c r="S1019" i="9" s="1"/>
  <c r="S1018" i="9" s="1"/>
  <c r="S1017" i="9" s="1"/>
  <c r="S1016" i="9" s="1"/>
  <c r="S1015" i="9" s="1"/>
  <c r="S1014" i="9" s="1"/>
  <c r="S1013" i="9" s="1"/>
  <c r="S1012" i="9" s="1"/>
  <c r="S1011" i="9" s="1"/>
  <c r="S1010" i="9" s="1"/>
  <c r="S1009" i="9" s="1"/>
  <c r="S1008" i="9" s="1"/>
  <c r="S1007" i="9" s="1"/>
  <c r="S1006" i="9" s="1"/>
  <c r="S1005" i="9" s="1"/>
  <c r="S1004" i="9" s="1"/>
  <c r="S1003" i="9" s="1"/>
  <c r="S1002" i="9" s="1"/>
  <c r="S1001" i="9" s="1"/>
  <c r="S1000" i="9" s="1"/>
  <c r="S999" i="9" s="1"/>
  <c r="S998" i="9" s="1"/>
  <c r="S997" i="9" s="1"/>
  <c r="S996" i="9" s="1"/>
  <c r="S995" i="9" s="1"/>
  <c r="S994" i="9" s="1"/>
  <c r="S993" i="9" s="1"/>
  <c r="S992" i="9" s="1"/>
  <c r="S991" i="9" s="1"/>
  <c r="S990" i="9" s="1"/>
  <c r="S989" i="9" s="1"/>
  <c r="S988" i="9" s="1"/>
  <c r="S987" i="9" s="1"/>
  <c r="S986" i="9" s="1"/>
  <c r="S985" i="9" s="1"/>
  <c r="S984" i="9" s="1"/>
  <c r="S983" i="9" s="1"/>
  <c r="S982" i="9" s="1"/>
  <c r="S981" i="9" s="1"/>
  <c r="S980" i="9" s="1"/>
  <c r="S979" i="9" s="1"/>
  <c r="S978" i="9" s="1"/>
  <c r="S977" i="9" s="1"/>
  <c r="S976" i="9" s="1"/>
  <c r="S975" i="9" s="1"/>
  <c r="S974" i="9" s="1"/>
  <c r="S973" i="9" s="1"/>
  <c r="S972" i="9" s="1"/>
  <c r="S971" i="9" s="1"/>
  <c r="S970" i="9" s="1"/>
  <c r="S969" i="9" s="1"/>
  <c r="S968" i="9" s="1"/>
  <c r="S967" i="9" s="1"/>
  <c r="S966" i="9" s="1"/>
  <c r="S965" i="9" s="1"/>
  <c r="S964" i="9" s="1"/>
  <c r="S963" i="9" s="1"/>
  <c r="S962" i="9" s="1"/>
  <c r="S961" i="9" s="1"/>
  <c r="S960" i="9" s="1"/>
  <c r="S959" i="9" s="1"/>
  <c r="S958" i="9" s="1"/>
  <c r="S957" i="9" s="1"/>
  <c r="S956" i="9" s="1"/>
  <c r="S955" i="9" s="1"/>
  <c r="S954" i="9" s="1"/>
  <c r="S953" i="9" s="1"/>
  <c r="S952" i="9" s="1"/>
  <c r="S951" i="9" s="1"/>
  <c r="S950" i="9" s="1"/>
  <c r="S949" i="9" s="1"/>
  <c r="S948" i="9" s="1"/>
  <c r="S947" i="9" s="1"/>
  <c r="S946" i="9" s="1"/>
  <c r="S945" i="9" s="1"/>
  <c r="S944" i="9" s="1"/>
  <c r="S943" i="9" s="1"/>
  <c r="S942" i="9" s="1"/>
  <c r="S941" i="9" s="1"/>
  <c r="S940" i="9" s="1"/>
  <c r="S939" i="9" s="1"/>
  <c r="S938" i="9" s="1"/>
  <c r="S937" i="9" s="1"/>
  <c r="S936" i="9" s="1"/>
  <c r="S935" i="9" s="1"/>
  <c r="S934" i="9" s="1"/>
  <c r="S933" i="9" s="1"/>
  <c r="S932" i="9" s="1"/>
  <c r="S931" i="9" s="1"/>
  <c r="S930" i="9" s="1"/>
  <c r="S929" i="9" s="1"/>
  <c r="S928" i="9" s="1"/>
  <c r="S927" i="9" s="1"/>
  <c r="S926" i="9" s="1"/>
  <c r="S925" i="9" s="1"/>
  <c r="S924" i="9" s="1"/>
  <c r="S923" i="9" s="1"/>
  <c r="S922" i="9" s="1"/>
  <c r="S921" i="9" s="1"/>
  <c r="S920" i="9" s="1"/>
  <c r="S919" i="9" s="1"/>
  <c r="S918" i="9" s="1"/>
  <c r="S917" i="9" s="1"/>
  <c r="S916" i="9" s="1"/>
  <c r="S915" i="9" s="1"/>
  <c r="S914" i="9" s="1"/>
  <c r="S913" i="9" s="1"/>
  <c r="S912" i="9" s="1"/>
  <c r="S911" i="9" s="1"/>
  <c r="S910" i="9" s="1"/>
  <c r="S909" i="9" s="1"/>
  <c r="S908" i="9" s="1"/>
  <c r="S907" i="9" s="1"/>
  <c r="S906" i="9" s="1"/>
  <c r="S905" i="9" s="1"/>
  <c r="S904" i="9" s="1"/>
  <c r="S903" i="9" s="1"/>
  <c r="S902" i="9" s="1"/>
  <c r="S901" i="9" s="1"/>
  <c r="S900" i="9" s="1"/>
  <c r="S899" i="9" s="1"/>
  <c r="S898" i="9" s="1"/>
  <c r="S897" i="9" s="1"/>
  <c r="S896" i="9" s="1"/>
  <c r="S895" i="9" s="1"/>
  <c r="S894" i="9" s="1"/>
  <c r="S893" i="9" s="1"/>
  <c r="S892" i="9" s="1"/>
  <c r="S891" i="9" s="1"/>
  <c r="S890" i="9" s="1"/>
  <c r="S889" i="9" s="1"/>
  <c r="S888" i="9" s="1"/>
  <c r="AX7" i="33"/>
  <c r="AX8" i="33" s="1"/>
  <c r="GL207" i="11"/>
  <c r="B207" i="11" s="1"/>
  <c r="E90" i="21"/>
  <c r="E26" i="21" s="1"/>
  <c r="AS88" i="21"/>
  <c r="AS24" i="21" s="1"/>
  <c r="AI87" i="21"/>
  <c r="AI24" i="21" s="1"/>
  <c r="AI85" i="21"/>
  <c r="AI23" i="21" s="1"/>
  <c r="AT179" i="10" s="1"/>
  <c r="L182" i="18"/>
  <c r="R196" i="10"/>
  <c r="BO196" i="10"/>
  <c r="N192" i="18"/>
  <c r="AS17" i="21"/>
  <c r="AS20" i="21" s="1"/>
  <c r="AS90" i="21"/>
  <c r="AS26" i="21" s="1"/>
  <c r="U201" i="10"/>
  <c r="Q197" i="18"/>
  <c r="AS69" i="21"/>
  <c r="AO202" i="18" s="1"/>
  <c r="AS14" i="21"/>
  <c r="AS15" i="21"/>
  <c r="AR129" i="21"/>
  <c r="AY53" i="21"/>
  <c r="AS80" i="21"/>
  <c r="AS79" i="21" s="1"/>
  <c r="AQ175" i="18"/>
  <c r="CQ204" i="18"/>
  <c r="CY204" i="18"/>
  <c r="CA204" i="18"/>
  <c r="BS204" i="18" s="1"/>
  <c r="CI204" i="18"/>
  <c r="AS85" i="21"/>
  <c r="AS23" i="21" s="1"/>
  <c r="AH129" i="21"/>
  <c r="T1299" i="9"/>
  <c r="T1298" i="9" s="1"/>
  <c r="T1297" i="9" s="1"/>
  <c r="T1296" i="9" s="1"/>
  <c r="T1295" i="9" s="1"/>
  <c r="T1294" i="9" s="1"/>
  <c r="T1293" i="9" s="1"/>
  <c r="T1292" i="9" s="1"/>
  <c r="T1291" i="9" s="1"/>
  <c r="T1290" i="9" s="1"/>
  <c r="T1289" i="9" s="1"/>
  <c r="T1288" i="9" s="1"/>
  <c r="T1287" i="9" s="1"/>
  <c r="T1286" i="9" s="1"/>
  <c r="T1285" i="9" s="1"/>
  <c r="T1284" i="9" s="1"/>
  <c r="T1283" i="9" s="1"/>
  <c r="T1282" i="9" s="1"/>
  <c r="T1281" i="9" s="1"/>
  <c r="T1280" i="9" s="1"/>
  <c r="T1279" i="9" s="1"/>
  <c r="T1278" i="9" s="1"/>
  <c r="T1277" i="9" s="1"/>
  <c r="T1276" i="9" s="1"/>
  <c r="T1275" i="9" s="1"/>
  <c r="T1274" i="9" s="1"/>
  <c r="T1273" i="9" s="1"/>
  <c r="T1272" i="9" s="1"/>
  <c r="T1271" i="9" s="1"/>
  <c r="T1270" i="9" s="1"/>
  <c r="T1269" i="9" s="1"/>
  <c r="T1268" i="9" s="1"/>
  <c r="T1267" i="9" s="1"/>
  <c r="T1266" i="9" s="1"/>
  <c r="T1265" i="9" s="1"/>
  <c r="T1264" i="9" s="1"/>
  <c r="T1263" i="9" s="1"/>
  <c r="T1262" i="9" s="1"/>
  <c r="T1261" i="9" s="1"/>
  <c r="T1260" i="9" s="1"/>
  <c r="T1259" i="9" s="1"/>
  <c r="T1258" i="9" s="1"/>
  <c r="T1257" i="9" s="1"/>
  <c r="T1256" i="9" s="1"/>
  <c r="T1255" i="9" s="1"/>
  <c r="T1254" i="9" s="1"/>
  <c r="T1253" i="9" s="1"/>
  <c r="T1252" i="9" s="1"/>
  <c r="T1251" i="9" s="1"/>
  <c r="T1250" i="9" s="1"/>
  <c r="T1249" i="9" s="1"/>
  <c r="T1248" i="9" s="1"/>
  <c r="T1247" i="9" s="1"/>
  <c r="T1246" i="9" s="1"/>
  <c r="T1245" i="9" s="1"/>
  <c r="T1244" i="9" s="1"/>
  <c r="T1243" i="9" s="1"/>
  <c r="T1242" i="9" s="1"/>
  <c r="T1241" i="9" s="1"/>
  <c r="T1240" i="9" s="1"/>
  <c r="T1239" i="9" s="1"/>
  <c r="T1238" i="9" s="1"/>
  <c r="T1237" i="9" s="1"/>
  <c r="T1236" i="9" s="1"/>
  <c r="T1235" i="9" s="1"/>
  <c r="T1234" i="9" s="1"/>
  <c r="T1233" i="9" s="1"/>
  <c r="T1232" i="9" s="1"/>
  <c r="T1231" i="9" s="1"/>
  <c r="T1230" i="9" s="1"/>
  <c r="T1229" i="9" s="1"/>
  <c r="T1228" i="9" s="1"/>
  <c r="T1227" i="9" s="1"/>
  <c r="T1226" i="9" s="1"/>
  <c r="T1225" i="9" s="1"/>
  <c r="T1224" i="9" s="1"/>
  <c r="T1223" i="9" s="1"/>
  <c r="T1222" i="9" s="1"/>
  <c r="T1221" i="9" s="1"/>
  <c r="T1220" i="9" s="1"/>
  <c r="T1219" i="9" s="1"/>
  <c r="T1218" i="9" s="1"/>
  <c r="T1217" i="9" s="1"/>
  <c r="T1216" i="9" s="1"/>
  <c r="T1215" i="9" s="1"/>
  <c r="T1214" i="9" s="1"/>
  <c r="T1213" i="9" s="1"/>
  <c r="T1212" i="9" s="1"/>
  <c r="T1211" i="9" s="1"/>
  <c r="T1210" i="9" s="1"/>
  <c r="T1209" i="9" s="1"/>
  <c r="T1208" i="9" s="1"/>
  <c r="T1207" i="9" s="1"/>
  <c r="T1206" i="9" s="1"/>
  <c r="T1205" i="9" s="1"/>
  <c r="T1204" i="9" s="1"/>
  <c r="T1203" i="9" s="1"/>
  <c r="T1202" i="9" s="1"/>
  <c r="T1201" i="9" s="1"/>
  <c r="T1200" i="9" s="1"/>
  <c r="T1199" i="9" s="1"/>
  <c r="T1198" i="9" s="1"/>
  <c r="T1197" i="9" s="1"/>
  <c r="T1196" i="9" s="1"/>
  <c r="T1195" i="9" s="1"/>
  <c r="T1194" i="9" s="1"/>
  <c r="T1193" i="9" s="1"/>
  <c r="T1192" i="9" s="1"/>
  <c r="T1191" i="9" s="1"/>
  <c r="T1190" i="9" s="1"/>
  <c r="T1189" i="9" s="1"/>
  <c r="T1188" i="9" s="1"/>
  <c r="T1187" i="9" s="1"/>
  <c r="T1186" i="9" s="1"/>
  <c r="T1185" i="9" s="1"/>
  <c r="T1184" i="9" s="1"/>
  <c r="T1183" i="9" s="1"/>
  <c r="T1182" i="9" s="1"/>
  <c r="T1181" i="9" s="1"/>
  <c r="T1180" i="9" s="1"/>
  <c r="T1179" i="9" s="1"/>
  <c r="T1178" i="9" s="1"/>
  <c r="T1177" i="9" s="1"/>
  <c r="T1176" i="9" s="1"/>
  <c r="T1175" i="9" s="1"/>
  <c r="T1174" i="9" s="1"/>
  <c r="T1173" i="9" s="1"/>
  <c r="T1172" i="9" s="1"/>
  <c r="T1171" i="9" s="1"/>
  <c r="T1170" i="9" s="1"/>
  <c r="T1169" i="9" s="1"/>
  <c r="T1168" i="9" s="1"/>
  <c r="T1167" i="9" s="1"/>
  <c r="T1166" i="9" s="1"/>
  <c r="T1165" i="9" s="1"/>
  <c r="T1164" i="9" s="1"/>
  <c r="T1163" i="9" s="1"/>
  <c r="T1162" i="9" s="1"/>
  <c r="T1161" i="9" s="1"/>
  <c r="T1160" i="9" s="1"/>
  <c r="T1159" i="9" s="1"/>
  <c r="T1158" i="9" s="1"/>
  <c r="T1157" i="9" s="1"/>
  <c r="T1156" i="9" s="1"/>
  <c r="T1155" i="9" s="1"/>
  <c r="T1154" i="9" s="1"/>
  <c r="T1153" i="9" s="1"/>
  <c r="T1152" i="9" s="1"/>
  <c r="T1151" i="9" s="1"/>
  <c r="T1150" i="9" s="1"/>
  <c r="T1149" i="9" s="1"/>
  <c r="T1148" i="9" s="1"/>
  <c r="T1147" i="9" s="1"/>
  <c r="T1146" i="9" s="1"/>
  <c r="T1145" i="9" s="1"/>
  <c r="T1144" i="9" s="1"/>
  <c r="T1143" i="9" s="1"/>
  <c r="T1142" i="9" s="1"/>
  <c r="T1141" i="9" s="1"/>
  <c r="T1140" i="9" s="1"/>
  <c r="T1139" i="9" s="1"/>
  <c r="T1138" i="9" s="1"/>
  <c r="T1137" i="9" s="1"/>
  <c r="T1136" i="9" s="1"/>
  <c r="T1135" i="9" s="1"/>
  <c r="T1134" i="9" s="1"/>
  <c r="T1133" i="9" s="1"/>
  <c r="T1132" i="9" s="1"/>
  <c r="T1131" i="9" s="1"/>
  <c r="T1130" i="9" s="1"/>
  <c r="T1129" i="9" s="1"/>
  <c r="T1128" i="9" s="1"/>
  <c r="T1127" i="9" s="1"/>
  <c r="T1126" i="9" s="1"/>
  <c r="T1125" i="9" s="1"/>
  <c r="T1124" i="9" s="1"/>
  <c r="T1123" i="9" s="1"/>
  <c r="T1122" i="9" s="1"/>
  <c r="T1121" i="9" s="1"/>
  <c r="T1120" i="9" s="1"/>
  <c r="T1119" i="9" s="1"/>
  <c r="T1118" i="9" s="1"/>
  <c r="T1117" i="9" s="1"/>
  <c r="T1116" i="9" s="1"/>
  <c r="T1115" i="9" s="1"/>
  <c r="T1114" i="9" s="1"/>
  <c r="T1113" i="9" s="1"/>
  <c r="T1112" i="9" s="1"/>
  <c r="T1111" i="9" s="1"/>
  <c r="T1110" i="9" s="1"/>
  <c r="T1109" i="9" s="1"/>
  <c r="T1108" i="9" s="1"/>
  <c r="T1107" i="9" s="1"/>
  <c r="T1106" i="9" s="1"/>
  <c r="T1105" i="9" s="1"/>
  <c r="T1104" i="9" s="1"/>
  <c r="T1103" i="9" s="1"/>
  <c r="T1102" i="9" s="1"/>
  <c r="T1101" i="9" s="1"/>
  <c r="T1100" i="9" s="1"/>
  <c r="T1099" i="9" s="1"/>
  <c r="T1098" i="9" s="1"/>
  <c r="T1097" i="9" s="1"/>
  <c r="T1096" i="9" s="1"/>
  <c r="T1095" i="9" s="1"/>
  <c r="T1094" i="9" s="1"/>
  <c r="T1093" i="9" s="1"/>
  <c r="T1092" i="9" s="1"/>
  <c r="T1091" i="9" s="1"/>
  <c r="T1090" i="9" s="1"/>
  <c r="T1089" i="9" s="1"/>
  <c r="T1088" i="9" s="1"/>
  <c r="T1087" i="9" s="1"/>
  <c r="T1086" i="9" s="1"/>
  <c r="T1085" i="9" s="1"/>
  <c r="T1084" i="9" s="1"/>
  <c r="T1083" i="9" s="1"/>
  <c r="T1082" i="9" s="1"/>
  <c r="T1081" i="9" s="1"/>
  <c r="T1080" i="9" s="1"/>
  <c r="T1079" i="9" s="1"/>
  <c r="T1078" i="9" s="1"/>
  <c r="T1077" i="9" s="1"/>
  <c r="T1076" i="9" s="1"/>
  <c r="T1075" i="9" s="1"/>
  <c r="T1074" i="9" s="1"/>
  <c r="T1073" i="9" s="1"/>
  <c r="T1072" i="9" s="1"/>
  <c r="T1071" i="9" s="1"/>
  <c r="T1070" i="9" s="1"/>
  <c r="T1069" i="9" s="1"/>
  <c r="T1068" i="9" s="1"/>
  <c r="T1067" i="9" s="1"/>
  <c r="T1066" i="9" s="1"/>
  <c r="T1065" i="9" s="1"/>
  <c r="T1064" i="9" s="1"/>
  <c r="T1063" i="9" s="1"/>
  <c r="T1062" i="9" s="1"/>
  <c r="T1061" i="9" s="1"/>
  <c r="T1060" i="9" s="1"/>
  <c r="T1059" i="9" s="1"/>
  <c r="T1058" i="9" s="1"/>
  <c r="T1057" i="9" s="1"/>
  <c r="T1056" i="9" s="1"/>
  <c r="T1055" i="9" s="1"/>
  <c r="T1054" i="9" s="1"/>
  <c r="T1053" i="9" s="1"/>
  <c r="T1052" i="9" s="1"/>
  <c r="T1051" i="9" s="1"/>
  <c r="T1050" i="9" s="1"/>
  <c r="T1049" i="9" s="1"/>
  <c r="T1048" i="9" s="1"/>
  <c r="T1047" i="9" s="1"/>
  <c r="T1046" i="9" s="1"/>
  <c r="T1045" i="9" s="1"/>
  <c r="T1044" i="9" s="1"/>
  <c r="T1043" i="9" s="1"/>
  <c r="T1042" i="9" s="1"/>
  <c r="T1041" i="9" s="1"/>
  <c r="T1040" i="9" s="1"/>
  <c r="T1039" i="9" s="1"/>
  <c r="T1038" i="9" s="1"/>
  <c r="T1037" i="9" s="1"/>
  <c r="T1036" i="9" s="1"/>
  <c r="T1035" i="9" s="1"/>
  <c r="T1034" i="9" s="1"/>
  <c r="T1033" i="9" s="1"/>
  <c r="T1032" i="9" s="1"/>
  <c r="T1031" i="9" s="1"/>
  <c r="T1030" i="9" s="1"/>
  <c r="T1029" i="9" s="1"/>
  <c r="T1028" i="9" s="1"/>
  <c r="T1027" i="9" s="1"/>
  <c r="T1026" i="9" s="1"/>
  <c r="T1025" i="9" s="1"/>
  <c r="T1024" i="9" s="1"/>
  <c r="T1023" i="9" s="1"/>
  <c r="T1022" i="9" s="1"/>
  <c r="T1021" i="9" s="1"/>
  <c r="T1020" i="9" s="1"/>
  <c r="T1019" i="9" s="1"/>
  <c r="T1018" i="9" s="1"/>
  <c r="T1017" i="9" s="1"/>
  <c r="T1016" i="9" s="1"/>
  <c r="T1015" i="9" s="1"/>
  <c r="T1014" i="9" s="1"/>
  <c r="T1013" i="9" s="1"/>
  <c r="T1012" i="9" s="1"/>
  <c r="T1011" i="9" s="1"/>
  <c r="T1010" i="9" s="1"/>
  <c r="T1009" i="9" s="1"/>
  <c r="T1008" i="9" s="1"/>
  <c r="T1007" i="9" s="1"/>
  <c r="T1006" i="9" s="1"/>
  <c r="T1005" i="9" s="1"/>
  <c r="T1004" i="9" s="1"/>
  <c r="T1003" i="9" s="1"/>
  <c r="T1002" i="9" s="1"/>
  <c r="T1001" i="9" s="1"/>
  <c r="T1000" i="9" s="1"/>
  <c r="T999" i="9" s="1"/>
  <c r="T998" i="9" s="1"/>
  <c r="T997" i="9" s="1"/>
  <c r="T996" i="9" s="1"/>
  <c r="T995" i="9" s="1"/>
  <c r="T994" i="9" s="1"/>
  <c r="T993" i="9" s="1"/>
  <c r="T992" i="9" s="1"/>
  <c r="T991" i="9" s="1"/>
  <c r="T990" i="9" s="1"/>
  <c r="T989" i="9" s="1"/>
  <c r="T988" i="9" s="1"/>
  <c r="T987" i="9" s="1"/>
  <c r="T986" i="9" s="1"/>
  <c r="T985" i="9" s="1"/>
  <c r="T984" i="9" s="1"/>
  <c r="T983" i="9" s="1"/>
  <c r="T982" i="9" s="1"/>
  <c r="T981" i="9" s="1"/>
  <c r="T980" i="9" s="1"/>
  <c r="T979" i="9" s="1"/>
  <c r="T978" i="9" s="1"/>
  <c r="T977" i="9" s="1"/>
  <c r="T976" i="9" s="1"/>
  <c r="T975" i="9" s="1"/>
  <c r="T974" i="9" s="1"/>
  <c r="T973" i="9" s="1"/>
  <c r="T972" i="9" s="1"/>
  <c r="T971" i="9" s="1"/>
  <c r="T970" i="9" s="1"/>
  <c r="T969" i="9" s="1"/>
  <c r="T968" i="9" s="1"/>
  <c r="T967" i="9" s="1"/>
  <c r="T966" i="9" s="1"/>
  <c r="T965" i="9" s="1"/>
  <c r="T964" i="9" s="1"/>
  <c r="T963" i="9" s="1"/>
  <c r="T962" i="9" s="1"/>
  <c r="T961" i="9" s="1"/>
  <c r="T960" i="9" s="1"/>
  <c r="T959" i="9" s="1"/>
  <c r="T958" i="9" s="1"/>
  <c r="T957" i="9" s="1"/>
  <c r="T956" i="9" s="1"/>
  <c r="T955" i="9" s="1"/>
  <c r="T954" i="9" s="1"/>
  <c r="T953" i="9" s="1"/>
  <c r="T952" i="9" s="1"/>
  <c r="T951" i="9" s="1"/>
  <c r="T950" i="9" s="1"/>
  <c r="T949" i="9" s="1"/>
  <c r="T948" i="9" s="1"/>
  <c r="T947" i="9" s="1"/>
  <c r="T946" i="9" s="1"/>
  <c r="T945" i="9" s="1"/>
  <c r="T944" i="9" s="1"/>
  <c r="T943" i="9" s="1"/>
  <c r="T942" i="9" s="1"/>
  <c r="T941" i="9" s="1"/>
  <c r="T940" i="9" s="1"/>
  <c r="T939" i="9" s="1"/>
  <c r="T938" i="9" s="1"/>
  <c r="T937" i="9" s="1"/>
  <c r="T936" i="9" s="1"/>
  <c r="T935" i="9" s="1"/>
  <c r="T934" i="9" s="1"/>
  <c r="T933" i="9" s="1"/>
  <c r="T932" i="9" s="1"/>
  <c r="T931" i="9" s="1"/>
  <c r="T930" i="9" s="1"/>
  <c r="T929" i="9" s="1"/>
  <c r="T928" i="9" s="1"/>
  <c r="T927" i="9" s="1"/>
  <c r="T926" i="9" s="1"/>
  <c r="T925" i="9" s="1"/>
  <c r="T924" i="9" s="1"/>
  <c r="T923" i="9" s="1"/>
  <c r="T922" i="9" s="1"/>
  <c r="T921" i="9" s="1"/>
  <c r="T920" i="9" s="1"/>
  <c r="T919" i="9" s="1"/>
  <c r="T918" i="9" s="1"/>
  <c r="T917" i="9" s="1"/>
  <c r="T916" i="9" s="1"/>
  <c r="T915" i="9" s="1"/>
  <c r="T914" i="9" s="1"/>
  <c r="T913" i="9" s="1"/>
  <c r="T912" i="9" s="1"/>
  <c r="T911" i="9" s="1"/>
  <c r="T910" i="9" s="1"/>
  <c r="T909" i="9" s="1"/>
  <c r="T908" i="9" s="1"/>
  <c r="T907" i="9" s="1"/>
  <c r="T906" i="9" s="1"/>
  <c r="T905" i="9" s="1"/>
  <c r="T904" i="9" s="1"/>
  <c r="T903" i="9" s="1"/>
  <c r="T902" i="9" s="1"/>
  <c r="T901" i="9" s="1"/>
  <c r="T900" i="9" s="1"/>
  <c r="T899" i="9" s="1"/>
  <c r="T898" i="9" s="1"/>
  <c r="T897" i="9" s="1"/>
  <c r="T896" i="9" s="1"/>
  <c r="T895" i="9" s="1"/>
  <c r="T894" i="9" s="1"/>
  <c r="T893" i="9" s="1"/>
  <c r="T892" i="9" s="1"/>
  <c r="T891" i="9" s="1"/>
  <c r="T890" i="9" s="1"/>
  <c r="N19" i="31"/>
  <c r="P19" i="31"/>
  <c r="N73" i="31"/>
  <c r="P73" i="31"/>
  <c r="N24" i="31"/>
  <c r="P24" i="31"/>
  <c r="N46" i="31"/>
  <c r="P46" i="31"/>
  <c r="N2" i="31"/>
  <c r="P2" i="31"/>
  <c r="N87" i="31"/>
  <c r="P87" i="31"/>
  <c r="P90" i="31"/>
  <c r="Q90" i="31" s="1"/>
  <c r="N74" i="31"/>
  <c r="P74" i="31"/>
  <c r="N45" i="31"/>
  <c r="P45" i="31"/>
  <c r="N21" i="31"/>
  <c r="P21" i="31"/>
  <c r="N72" i="31"/>
  <c r="P72" i="31"/>
  <c r="N83" i="31"/>
  <c r="P83" i="31"/>
  <c r="N85" i="31"/>
  <c r="P85" i="31"/>
  <c r="N7" i="31"/>
  <c r="P7" i="31"/>
  <c r="N10" i="31"/>
  <c r="P10" i="31"/>
  <c r="N81" i="31"/>
  <c r="P81" i="31"/>
  <c r="E80" i="21"/>
  <c r="IG34" i="5"/>
  <c r="IF35" i="5"/>
  <c r="N4" i="31"/>
  <c r="P4" i="31"/>
  <c r="GD26" i="14"/>
  <c r="GK26" i="14" s="1"/>
  <c r="N129" i="21"/>
  <c r="Y90" i="21"/>
  <c r="Y26" i="21" s="1"/>
  <c r="AG108" i="18" s="1"/>
  <c r="H107" i="18" s="1"/>
  <c r="X129" i="21"/>
  <c r="O85" i="21"/>
  <c r="O23" i="21" s="1"/>
  <c r="L61" i="18" s="1"/>
  <c r="BN8" i="33"/>
  <c r="BN9" i="33" s="1"/>
  <c r="D129" i="21"/>
  <c r="CY36" i="18"/>
  <c r="CA36" i="18"/>
  <c r="BS36" i="18" s="1"/>
  <c r="N26" i="6"/>
  <c r="AA902" i="9"/>
  <c r="AA901" i="9" s="1"/>
  <c r="AA900" i="9" s="1"/>
  <c r="AA899" i="9" s="1"/>
  <c r="AA898" i="9" s="1"/>
  <c r="AA897" i="9" s="1"/>
  <c r="AA896" i="9" s="1"/>
  <c r="AA895" i="9" s="1"/>
  <c r="AA894" i="9" s="1"/>
  <c r="AA893" i="9" s="1"/>
  <c r="AA892" i="9" s="1"/>
  <c r="AA891" i="9" s="1"/>
  <c r="AA890" i="9" s="1"/>
  <c r="AA889" i="9" s="1"/>
  <c r="N90" i="31"/>
  <c r="O90" i="31" s="1"/>
  <c r="AC6" i="33"/>
  <c r="AD6" i="33" s="1"/>
  <c r="K10" i="33"/>
  <c r="I10" i="33" s="1"/>
  <c r="G8" i="23"/>
  <c r="AB5" i="2"/>
  <c r="AB3" i="2" s="1"/>
  <c r="AB6" i="2" s="1"/>
  <c r="AA5" i="2"/>
  <c r="AA3" i="2" s="1"/>
  <c r="AA6" i="2" s="1"/>
  <c r="Z13" i="23"/>
  <c r="Z12" i="23" s="1"/>
  <c r="BC75" i="21"/>
  <c r="BD75" i="21" s="1"/>
  <c r="BD76" i="21" s="1"/>
  <c r="BD128" i="21" s="1"/>
  <c r="BC82" i="21"/>
  <c r="AS75" i="21"/>
  <c r="AT75" i="21" s="1"/>
  <c r="AT76" i="21" s="1"/>
  <c r="AI75" i="21"/>
  <c r="AI76" i="21" s="1"/>
  <c r="Y75" i="21"/>
  <c r="Y76" i="21" s="1"/>
  <c r="DI21" i="26"/>
  <c r="DI18" i="26"/>
  <c r="DI24" i="26"/>
  <c r="DI15" i="26"/>
  <c r="BQ7" i="19"/>
  <c r="BT7" i="19" s="1"/>
  <c r="Q10" i="17"/>
  <c r="Q9" i="17" s="1"/>
  <c r="Q8" i="17" s="1"/>
  <c r="Q7" i="17" s="1"/>
  <c r="GF13" i="11" s="1"/>
  <c r="GF17" i="11" s="1"/>
  <c r="I3" i="17"/>
  <c r="H18" i="13"/>
  <c r="F18" i="13" s="1"/>
  <c r="B20" i="13"/>
  <c r="Y18" i="13" s="1"/>
  <c r="Q18" i="13" s="1"/>
  <c r="AD48" i="14"/>
  <c r="AD83" i="14"/>
  <c r="AG66" i="18"/>
  <c r="H65" i="18" s="1"/>
  <c r="U53" i="21"/>
  <c r="P53" i="21" s="1"/>
  <c r="O55" i="21" s="1"/>
  <c r="AQ49" i="18"/>
  <c r="CI78" i="18"/>
  <c r="CA78" i="18"/>
  <c r="BS78" i="18" s="1"/>
  <c r="CQ78" i="18"/>
  <c r="CY78" i="18"/>
  <c r="BR145" i="10"/>
  <c r="N66" i="18"/>
  <c r="T8" i="17"/>
  <c r="T7" i="17" s="1"/>
  <c r="O10" i="17"/>
  <c r="O9" i="17" s="1"/>
  <c r="O8" i="17" s="1"/>
  <c r="P24" i="13"/>
  <c r="O76" i="21"/>
  <c r="AI80" i="21"/>
  <c r="AI79" i="21" s="1"/>
  <c r="AI69" i="21"/>
  <c r="AO160" i="18" s="1"/>
  <c r="Y69" i="21"/>
  <c r="AO118" i="18" s="1"/>
  <c r="O69" i="21"/>
  <c r="AO76" i="18" s="1"/>
  <c r="P75" i="21"/>
  <c r="P76" i="21" s="1"/>
  <c r="AG150" i="18"/>
  <c r="H149" i="18" s="1"/>
  <c r="CC179" i="10"/>
  <c r="BI178" i="10" s="1"/>
  <c r="AQ133" i="18"/>
  <c r="AO53" i="21"/>
  <c r="CY162" i="18"/>
  <c r="CA162" i="18"/>
  <c r="BS162" i="18" s="1"/>
  <c r="CI162" i="18"/>
  <c r="CQ162" i="18"/>
  <c r="N150" i="18"/>
  <c r="BO179" i="10"/>
  <c r="E85" i="21"/>
  <c r="E23" i="21" s="1"/>
  <c r="H56" i="21"/>
  <c r="E34" i="21"/>
  <c r="J56" i="21"/>
  <c r="Q155" i="18"/>
  <c r="U184" i="10"/>
  <c r="AI118" i="21"/>
  <c r="L140" i="18"/>
  <c r="R179" i="10"/>
  <c r="Y87" i="21"/>
  <c r="L56" i="18"/>
  <c r="U145" i="10"/>
  <c r="C5" i="21"/>
  <c r="Q7" i="13"/>
  <c r="P3" i="13" s="1"/>
  <c r="D15" i="13"/>
  <c r="CZ36" i="26"/>
  <c r="CQ36" i="18"/>
  <c r="CI36" i="18"/>
  <c r="CR36" i="26"/>
  <c r="CB36" i="26"/>
  <c r="BT36" i="26" s="1"/>
  <c r="Q74" i="21"/>
  <c r="CJ36" i="26"/>
  <c r="O80" i="21"/>
  <c r="Y85" i="21"/>
  <c r="Y23" i="21" s="1"/>
  <c r="L103" i="18" s="1"/>
  <c r="E87" i="21"/>
  <c r="E88" i="21"/>
  <c r="E17" i="21"/>
  <c r="E20" i="21" s="1"/>
  <c r="AU74" i="21"/>
  <c r="N24" i="18"/>
  <c r="BR128" i="10"/>
  <c r="Y88" i="21"/>
  <c r="Y80" i="21"/>
  <c r="E62" i="21"/>
  <c r="E69" i="21"/>
  <c r="E14" i="21"/>
  <c r="AQ7" i="18"/>
  <c r="DH15" i="18" s="1"/>
  <c r="K53" i="21"/>
  <c r="F53" i="21" s="1"/>
  <c r="E55" i="21" s="1"/>
  <c r="AA74" i="21"/>
  <c r="H12" i="13"/>
  <c r="Y10" i="13" s="1"/>
  <c r="P25" i="13"/>
  <c r="CG32" i="6"/>
  <c r="CB32" i="6" s="1"/>
  <c r="FU142" i="11" s="1"/>
  <c r="CH32" i="6"/>
  <c r="CC32" i="6" s="1"/>
  <c r="BE74" i="21"/>
  <c r="AB56" i="21"/>
  <c r="AE53" i="21"/>
  <c r="AQ91" i="18"/>
  <c r="CQ120" i="18"/>
  <c r="CI120" i="18"/>
  <c r="CY120" i="18"/>
  <c r="CA120" i="18"/>
  <c r="BS120" i="18" s="1"/>
  <c r="Y14" i="21"/>
  <c r="Y62" i="21"/>
  <c r="B18" i="13"/>
  <c r="J26" i="13"/>
  <c r="G26" i="13"/>
  <c r="I26" i="13"/>
  <c r="E12" i="13"/>
  <c r="Y20" i="13"/>
  <c r="J24" i="13"/>
  <c r="E25" i="13"/>
  <c r="E26" i="13"/>
  <c r="G24" i="13"/>
  <c r="E24" i="13"/>
  <c r="F24" i="13"/>
  <c r="I24" i="13"/>
  <c r="N108" i="18"/>
  <c r="BO162" i="10"/>
  <c r="AD56" i="21"/>
  <c r="Y34" i="21"/>
  <c r="Y48" i="13"/>
  <c r="Y49" i="13"/>
  <c r="Q113" i="18"/>
  <c r="U167" i="10"/>
  <c r="AK74" i="21"/>
  <c r="FD72" i="5"/>
  <c r="FD80" i="5"/>
  <c r="CW2" i="5"/>
  <c r="DP196" i="10"/>
  <c r="R9" i="8"/>
  <c r="P61" i="21"/>
  <c r="AK4" i="15"/>
  <c r="AK5" i="15"/>
  <c r="Y20" i="21"/>
  <c r="D19" i="8"/>
  <c r="DC201" i="10" s="1"/>
  <c r="DB45" i="5"/>
  <c r="DB44" i="5" s="1"/>
  <c r="AU15" i="15"/>
  <c r="AT14" i="15"/>
  <c r="AI20" i="21"/>
  <c r="CH35" i="6"/>
  <c r="CC35" i="6" s="1"/>
  <c r="CH12" i="6"/>
  <c r="CC12" i="6" s="1"/>
  <c r="CH17" i="6"/>
  <c r="CC17" i="6" s="1"/>
  <c r="CG12" i="6"/>
  <c r="CG17" i="6"/>
  <c r="CG31" i="6"/>
  <c r="CH11" i="6"/>
  <c r="CC11" i="6" s="1"/>
  <c r="CH13" i="6"/>
  <c r="CC13" i="6" s="1"/>
  <c r="CH14" i="6"/>
  <c r="CC14" i="6" s="1"/>
  <c r="CH15" i="6"/>
  <c r="CC15" i="6" s="1"/>
  <c r="CH16" i="6"/>
  <c r="CC16" i="6" s="1"/>
  <c r="CH18" i="6"/>
  <c r="CC18" i="6" s="1"/>
  <c r="CH19" i="6"/>
  <c r="CC19" i="6" s="1"/>
  <c r="CH20" i="6"/>
  <c r="CC20" i="6" s="1"/>
  <c r="CH21" i="6"/>
  <c r="CC21" i="6" s="1"/>
  <c r="CH22" i="6"/>
  <c r="CC22" i="6" s="1"/>
  <c r="CH23" i="6"/>
  <c r="CC23" i="6" s="1"/>
  <c r="CH24" i="6"/>
  <c r="CC24" i="6" s="1"/>
  <c r="CH25" i="6"/>
  <c r="CC25" i="6" s="1"/>
  <c r="CH26" i="6"/>
  <c r="CC26" i="6" s="1"/>
  <c r="CH27" i="6"/>
  <c r="CC27" i="6" s="1"/>
  <c r="CH28" i="6"/>
  <c r="CC28" i="6" s="1"/>
  <c r="CH29" i="6"/>
  <c r="CC29" i="6" s="1"/>
  <c r="CH30" i="6"/>
  <c r="CC30" i="6" s="1"/>
  <c r="CH31" i="6"/>
  <c r="CC31" i="6" s="1"/>
  <c r="CH33" i="6"/>
  <c r="CC33" i="6" s="1"/>
  <c r="CH34" i="6"/>
  <c r="CC34" i="6" s="1"/>
  <c r="CG11" i="6"/>
  <c r="CG13" i="6"/>
  <c r="CG14" i="6"/>
  <c r="CG15" i="6"/>
  <c r="CG16" i="6"/>
  <c r="CG18" i="6"/>
  <c r="CG19" i="6"/>
  <c r="CG20" i="6"/>
  <c r="CG21" i="6"/>
  <c r="CG22" i="6"/>
  <c r="CG23" i="6"/>
  <c r="CG24" i="6"/>
  <c r="CG25" i="6"/>
  <c r="CG26" i="6"/>
  <c r="CG27" i="6"/>
  <c r="CG28" i="6"/>
  <c r="CG29" i="6"/>
  <c r="CG30" i="6"/>
  <c r="CG33" i="6"/>
  <c r="CG34" i="6"/>
  <c r="CG35" i="6"/>
  <c r="AY7" i="19"/>
  <c r="AX8" i="19"/>
  <c r="BB6" i="19"/>
  <c r="BP9" i="19"/>
  <c r="BQ8" i="19"/>
  <c r="BT8" i="19" s="1"/>
  <c r="AY5" i="15"/>
  <c r="AY4" i="15"/>
  <c r="AC6" i="19"/>
  <c r="AD6" i="19" s="1"/>
  <c r="Q16" i="13"/>
  <c r="DC196" i="10"/>
  <c r="L9" i="8"/>
  <c r="EC196" i="10"/>
  <c r="AD40" i="14"/>
  <c r="AD42" i="14"/>
  <c r="Y9" i="2"/>
  <c r="H25" i="4"/>
  <c r="H24" i="4"/>
  <c r="H23" i="4"/>
  <c r="H22" i="4"/>
  <c r="H21" i="4"/>
  <c r="H20" i="4"/>
  <c r="H19" i="4"/>
  <c r="H17" i="4"/>
  <c r="H16" i="4"/>
  <c r="H15" i="4"/>
  <c r="H14" i="4"/>
  <c r="H12" i="4"/>
  <c r="H11" i="4"/>
  <c r="E11" i="4" s="1"/>
  <c r="H10" i="4"/>
  <c r="H9" i="4"/>
  <c r="H8" i="4"/>
  <c r="H7" i="4"/>
  <c r="E26" i="2"/>
  <c r="E25" i="2"/>
  <c r="E24" i="2"/>
  <c r="E23" i="2"/>
  <c r="E22" i="2"/>
  <c r="E21" i="2"/>
  <c r="D52" i="26"/>
  <c r="M19" i="26"/>
  <c r="AH24" i="26"/>
  <c r="D53" i="26"/>
  <c r="M14" i="26"/>
  <c r="AP34" i="26"/>
  <c r="C38" i="23" l="1"/>
  <c r="I38" i="23" s="1"/>
  <c r="I83" i="23"/>
  <c r="C34" i="23"/>
  <c r="I34" i="23" s="1"/>
  <c r="C37" i="23"/>
  <c r="I37" i="23" s="1"/>
  <c r="C36" i="23"/>
  <c r="I36" i="23" s="1"/>
  <c r="C35" i="23"/>
  <c r="I35" i="23" s="1"/>
  <c r="J15" i="23"/>
  <c r="J14" i="23"/>
  <c r="I23" i="23" s="1"/>
  <c r="O24" i="21"/>
  <c r="C33" i="23"/>
  <c r="I33" i="23" s="1"/>
  <c r="I27" i="23"/>
  <c r="D9" i="8" s="1"/>
  <c r="F41" i="8" s="1"/>
  <c r="I23" i="26"/>
  <c r="CF128" i="10"/>
  <c r="BL127" i="10" s="1"/>
  <c r="AA888" i="9"/>
  <c r="AA887" i="9" s="1"/>
  <c r="AA886" i="9" s="1"/>
  <c r="AA885" i="9" s="1"/>
  <c r="AA883" i="9" s="1"/>
  <c r="AA882" i="9" s="1"/>
  <c r="AA880" i="9" s="1"/>
  <c r="AA879" i="9" s="1"/>
  <c r="AA878" i="9" s="1"/>
  <c r="AA877" i="9" s="1"/>
  <c r="AA876" i="9" s="1"/>
  <c r="AA875" i="9" s="1"/>
  <c r="AA874" i="9" s="1"/>
  <c r="AA872" i="9" s="1"/>
  <c r="AA870" i="9" s="1"/>
  <c r="AA869" i="9" s="1"/>
  <c r="AA868" i="9" s="1"/>
  <c r="AA867" i="9" s="1"/>
  <c r="AA866" i="9" s="1"/>
  <c r="AA865" i="9" s="1"/>
  <c r="AA864" i="9" s="1"/>
  <c r="AA863" i="9" s="1"/>
  <c r="AA862" i="9" s="1"/>
  <c r="AA861" i="9" s="1"/>
  <c r="AA860" i="9" s="1"/>
  <c r="AA859" i="9" s="1"/>
  <c r="AA858" i="9" s="1"/>
  <c r="AA857" i="9" s="1"/>
  <c r="AA856" i="9" s="1"/>
  <c r="AA855" i="9" s="1"/>
  <c r="AA854" i="9" s="1"/>
  <c r="AA853" i="9" s="1"/>
  <c r="AA852" i="9" s="1"/>
  <c r="AA851" i="9" s="1"/>
  <c r="AA850" i="9" s="1"/>
  <c r="AA849" i="9" s="1"/>
  <c r="AA848" i="9" s="1"/>
  <c r="AA847" i="9" s="1"/>
  <c r="AA846" i="9" s="1"/>
  <c r="AA845" i="9" s="1"/>
  <c r="AA844" i="9" s="1"/>
  <c r="AA843" i="9" s="1"/>
  <c r="AA842" i="9" s="1"/>
  <c r="AA841" i="9" s="1"/>
  <c r="AA840" i="9" s="1"/>
  <c r="AA839" i="9" s="1"/>
  <c r="AA836" i="9" s="1"/>
  <c r="AA835" i="9" s="1"/>
  <c r="AA834" i="9" s="1"/>
  <c r="AA833" i="9" s="1"/>
  <c r="AA832" i="9" s="1"/>
  <c r="AA831" i="9" s="1"/>
  <c r="AA830" i="9" s="1"/>
  <c r="AA829" i="9" s="1"/>
  <c r="AA828" i="9" s="1"/>
  <c r="AA827" i="9" s="1"/>
  <c r="AA822" i="9" s="1"/>
  <c r="AA821" i="9" s="1"/>
  <c r="AA820" i="9" s="1"/>
  <c r="AA819" i="9" s="1"/>
  <c r="AA818" i="9" s="1"/>
  <c r="AA817" i="9" s="1"/>
  <c r="AA816" i="9" s="1"/>
  <c r="AA815" i="9" s="1"/>
  <c r="AA814" i="9" s="1"/>
  <c r="AA813" i="9" s="1"/>
  <c r="AA812" i="9" s="1"/>
  <c r="AA811" i="9" s="1"/>
  <c r="AA810" i="9" s="1"/>
  <c r="AA809" i="9" s="1"/>
  <c r="AA808" i="9" s="1"/>
  <c r="AA807" i="9" s="1"/>
  <c r="AA806" i="9" s="1"/>
  <c r="AA805" i="9" s="1"/>
  <c r="AA804" i="9" s="1"/>
  <c r="AA803" i="9" s="1"/>
  <c r="AA802" i="9" s="1"/>
  <c r="AA801" i="9" s="1"/>
  <c r="AA800" i="9" s="1"/>
  <c r="AA799" i="9" s="1"/>
  <c r="AA798" i="9" s="1"/>
  <c r="AA797" i="9" s="1"/>
  <c r="AA796" i="9" s="1"/>
  <c r="AA794" i="9" s="1"/>
  <c r="AA792" i="9" s="1"/>
  <c r="AA791" i="9" s="1"/>
  <c r="AA790" i="9" s="1"/>
  <c r="AA789" i="9" s="1"/>
  <c r="AA788" i="9" s="1"/>
  <c r="AA787" i="9" s="1"/>
  <c r="AA785" i="9" s="1"/>
  <c r="AA784" i="9" s="1"/>
  <c r="AA782" i="9" s="1"/>
  <c r="AA781" i="9" s="1"/>
  <c r="AA780" i="9" s="1"/>
  <c r="AA778" i="9" s="1"/>
  <c r="AA777" i="9" s="1"/>
  <c r="AA775" i="9" s="1"/>
  <c r="AA774" i="9" s="1"/>
  <c r="AA773" i="9" s="1"/>
  <c r="AA772" i="9" s="1"/>
  <c r="AA771" i="9" s="1"/>
  <c r="S887" i="9"/>
  <c r="S886" i="9" s="1"/>
  <c r="S885" i="9" s="1"/>
  <c r="S884" i="9" s="1"/>
  <c r="S883" i="9" s="1"/>
  <c r="S882" i="9" s="1"/>
  <c r="S881" i="9" s="1"/>
  <c r="S880" i="9" s="1"/>
  <c r="S879" i="9" s="1"/>
  <c r="S878" i="9" s="1"/>
  <c r="S877" i="9" s="1"/>
  <c r="S876" i="9" s="1"/>
  <c r="S875" i="9" s="1"/>
  <c r="S874" i="9" s="1"/>
  <c r="S873" i="9" s="1"/>
  <c r="S872" i="9" s="1"/>
  <c r="S871" i="9" s="1"/>
  <c r="S870" i="9" s="1"/>
  <c r="S869" i="9" s="1"/>
  <c r="S868" i="9" s="1"/>
  <c r="S867" i="9" s="1"/>
  <c r="S866" i="9" s="1"/>
  <c r="S865" i="9" s="1"/>
  <c r="S864" i="9" s="1"/>
  <c r="S863" i="9" s="1"/>
  <c r="S862" i="9" s="1"/>
  <c r="S861" i="9" s="1"/>
  <c r="S860" i="9" s="1"/>
  <c r="S859" i="9" s="1"/>
  <c r="S858" i="9" s="1"/>
  <c r="S857" i="9" s="1"/>
  <c r="S856" i="9" s="1"/>
  <c r="S855" i="9" s="1"/>
  <c r="S854" i="9" s="1"/>
  <c r="S853" i="9" s="1"/>
  <c r="S852" i="9" s="1"/>
  <c r="S851" i="9" s="1"/>
  <c r="S850" i="9" s="1"/>
  <c r="S849" i="9" s="1"/>
  <c r="S848" i="9" s="1"/>
  <c r="S847" i="9" s="1"/>
  <c r="S846" i="9" s="1"/>
  <c r="S845" i="9" s="1"/>
  <c r="S844" i="9" s="1"/>
  <c r="S843" i="9" s="1"/>
  <c r="S842" i="9" s="1"/>
  <c r="S841" i="9" s="1"/>
  <c r="S840" i="9" s="1"/>
  <c r="S839" i="9" s="1"/>
  <c r="S838" i="9" s="1"/>
  <c r="S837" i="9" s="1"/>
  <c r="S836" i="9" s="1"/>
  <c r="S835" i="9" s="1"/>
  <c r="S834" i="9" s="1"/>
  <c r="S833" i="9" s="1"/>
  <c r="S832" i="9" s="1"/>
  <c r="S831" i="9" s="1"/>
  <c r="S830" i="9" s="1"/>
  <c r="S829" i="9" s="1"/>
  <c r="S828" i="9" s="1"/>
  <c r="S827" i="9" s="1"/>
  <c r="S826" i="9" s="1"/>
  <c r="S825" i="9" s="1"/>
  <c r="S824" i="9" s="1"/>
  <c r="S823" i="9" s="1"/>
  <c r="S822" i="9" s="1"/>
  <c r="S821" i="9" s="1"/>
  <c r="S820" i="9" s="1"/>
  <c r="S819" i="9" s="1"/>
  <c r="S818" i="9" s="1"/>
  <c r="S817" i="9" s="1"/>
  <c r="S816" i="9" s="1"/>
  <c r="S815" i="9" s="1"/>
  <c r="S814" i="9" s="1"/>
  <c r="S813" i="9" s="1"/>
  <c r="S812" i="9" s="1"/>
  <c r="S811" i="9" s="1"/>
  <c r="S810" i="9" s="1"/>
  <c r="S809" i="9" s="1"/>
  <c r="S808" i="9" s="1"/>
  <c r="S807" i="9" s="1"/>
  <c r="S806" i="9" s="1"/>
  <c r="S805" i="9" s="1"/>
  <c r="S804" i="9" s="1"/>
  <c r="S803" i="9" s="1"/>
  <c r="S802" i="9" s="1"/>
  <c r="S801" i="9" s="1"/>
  <c r="S800" i="9" s="1"/>
  <c r="S799" i="9" s="1"/>
  <c r="S798" i="9" s="1"/>
  <c r="S797" i="9" s="1"/>
  <c r="S796" i="9" s="1"/>
  <c r="S795" i="9" s="1"/>
  <c r="S794" i="9" s="1"/>
  <c r="S793" i="9" s="1"/>
  <c r="S792" i="9" s="1"/>
  <c r="S791" i="9" s="1"/>
  <c r="S790" i="9" s="1"/>
  <c r="S789" i="9" s="1"/>
  <c r="S788" i="9" s="1"/>
  <c r="S787" i="9" s="1"/>
  <c r="S786" i="9" s="1"/>
  <c r="S785" i="9" s="1"/>
  <c r="S784" i="9" s="1"/>
  <c r="S783" i="9" s="1"/>
  <c r="S782" i="9" s="1"/>
  <c r="S781" i="9" s="1"/>
  <c r="S780" i="9" s="1"/>
  <c r="S779" i="9" s="1"/>
  <c r="S778" i="9" s="1"/>
  <c r="S777" i="9" s="1"/>
  <c r="S776" i="9" s="1"/>
  <c r="S775" i="9" s="1"/>
  <c r="S774" i="9" s="1"/>
  <c r="S773" i="9" s="1"/>
  <c r="S772" i="9" s="1"/>
  <c r="S771" i="9" s="1"/>
  <c r="S770" i="9" s="1"/>
  <c r="S769" i="9" s="1"/>
  <c r="S768" i="9" s="1"/>
  <c r="S767" i="9" s="1"/>
  <c r="S766" i="9" s="1"/>
  <c r="S765" i="9" s="1"/>
  <c r="S764" i="9" s="1"/>
  <c r="S763" i="9" s="1"/>
  <c r="S762" i="9" s="1"/>
  <c r="S761" i="9" s="1"/>
  <c r="S760" i="9" s="1"/>
  <c r="S759" i="9" s="1"/>
  <c r="S758" i="9" s="1"/>
  <c r="S757" i="9" s="1"/>
  <c r="S756" i="9" s="1"/>
  <c r="S755" i="9" s="1"/>
  <c r="S754" i="9" s="1"/>
  <c r="S753" i="9" s="1"/>
  <c r="S752" i="9" s="1"/>
  <c r="S751" i="9" s="1"/>
  <c r="S750" i="9" s="1"/>
  <c r="S749" i="9" s="1"/>
  <c r="S748" i="9" s="1"/>
  <c r="S747" i="9" s="1"/>
  <c r="S746" i="9" s="1"/>
  <c r="S745" i="9" s="1"/>
  <c r="S744" i="9" s="1"/>
  <c r="S743" i="9" s="1"/>
  <c r="S742" i="9" s="1"/>
  <c r="S741" i="9" s="1"/>
  <c r="S740" i="9" s="1"/>
  <c r="S739" i="9" s="1"/>
  <c r="S738" i="9" s="1"/>
  <c r="S737" i="9" s="1"/>
  <c r="S736" i="9" s="1"/>
  <c r="S735" i="9" s="1"/>
  <c r="S734" i="9" s="1"/>
  <c r="S733" i="9" s="1"/>
  <c r="S732" i="9" s="1"/>
  <c r="S731" i="9" s="1"/>
  <c r="S730" i="9" s="1"/>
  <c r="S729" i="9" s="1"/>
  <c r="S728" i="9" s="1"/>
  <c r="S727" i="9" s="1"/>
  <c r="S726" i="9" s="1"/>
  <c r="S725" i="9" s="1"/>
  <c r="S724" i="9" s="1"/>
  <c r="S723" i="9" s="1"/>
  <c r="S722" i="9" s="1"/>
  <c r="S721" i="9" s="1"/>
  <c r="S720" i="9" s="1"/>
  <c r="S719" i="9" s="1"/>
  <c r="S718" i="9" s="1"/>
  <c r="S717" i="9" s="1"/>
  <c r="S716" i="9" s="1"/>
  <c r="S715" i="9" s="1"/>
  <c r="S714" i="9" s="1"/>
  <c r="S713" i="9" s="1"/>
  <c r="S712" i="9" s="1"/>
  <c r="S711" i="9" s="1"/>
  <c r="S710" i="9" s="1"/>
  <c r="S709" i="9" s="1"/>
  <c r="S708" i="9" s="1"/>
  <c r="S707" i="9" s="1"/>
  <c r="S706" i="9" s="1"/>
  <c r="S705" i="9" s="1"/>
  <c r="S704" i="9" s="1"/>
  <c r="S703" i="9" s="1"/>
  <c r="S702" i="9" s="1"/>
  <c r="S701" i="9" s="1"/>
  <c r="S700" i="9" s="1"/>
  <c r="S699" i="9" s="1"/>
  <c r="S698" i="9" s="1"/>
  <c r="S697" i="9" s="1"/>
  <c r="S696" i="9" s="1"/>
  <c r="S695" i="9" s="1"/>
  <c r="S694" i="9" s="1"/>
  <c r="S693" i="9" s="1"/>
  <c r="S692" i="9" s="1"/>
  <c r="S691" i="9" s="1"/>
  <c r="S690" i="9" s="1"/>
  <c r="S689" i="9" s="1"/>
  <c r="S688" i="9" s="1"/>
  <c r="S687" i="9" s="1"/>
  <c r="S686" i="9" s="1"/>
  <c r="S685" i="9" s="1"/>
  <c r="S684" i="9" s="1"/>
  <c r="S683" i="9" s="1"/>
  <c r="S682" i="9" s="1"/>
  <c r="S681" i="9" s="1"/>
  <c r="S680" i="9" s="1"/>
  <c r="S679" i="9" s="1"/>
  <c r="S678" i="9" s="1"/>
  <c r="S677" i="9" s="1"/>
  <c r="S676" i="9" s="1"/>
  <c r="S675" i="9" s="1"/>
  <c r="S674" i="9" s="1"/>
  <c r="S673" i="9" s="1"/>
  <c r="S672" i="9" s="1"/>
  <c r="S671" i="9" s="1"/>
  <c r="S670" i="9" s="1"/>
  <c r="S669" i="9" s="1"/>
  <c r="S668" i="9" s="1"/>
  <c r="S667" i="9" s="1"/>
  <c r="S666" i="9" s="1"/>
  <c r="S665" i="9" s="1"/>
  <c r="S664" i="9" s="1"/>
  <c r="S663" i="9" s="1"/>
  <c r="S662" i="9" s="1"/>
  <c r="S661" i="9" s="1"/>
  <c r="S660" i="9" s="1"/>
  <c r="S659" i="9" s="1"/>
  <c r="S658" i="9" s="1"/>
  <c r="S657" i="9" s="1"/>
  <c r="S656" i="9" s="1"/>
  <c r="S655" i="9" s="1"/>
  <c r="S654" i="9" s="1"/>
  <c r="S653" i="9" s="1"/>
  <c r="S652" i="9" s="1"/>
  <c r="S651" i="9" s="1"/>
  <c r="S650" i="9" s="1"/>
  <c r="S649" i="9" s="1"/>
  <c r="S648" i="9" s="1"/>
  <c r="S647" i="9" s="1"/>
  <c r="S646" i="9" s="1"/>
  <c r="S645" i="9" s="1"/>
  <c r="S644" i="9" s="1"/>
  <c r="S643" i="9" s="1"/>
  <c r="S642" i="9" s="1"/>
  <c r="S641" i="9" s="1"/>
  <c r="S640" i="9" s="1"/>
  <c r="S639" i="9" s="1"/>
  <c r="S638" i="9" s="1"/>
  <c r="S637" i="9" s="1"/>
  <c r="S636" i="9" s="1"/>
  <c r="S635" i="9" s="1"/>
  <c r="S634" i="9" s="1"/>
  <c r="S633" i="9" s="1"/>
  <c r="S632" i="9" s="1"/>
  <c r="S631" i="9" s="1"/>
  <c r="S630" i="9" s="1"/>
  <c r="S629" i="9" s="1"/>
  <c r="S628" i="9" s="1"/>
  <c r="S627" i="9" s="1"/>
  <c r="S626" i="9" s="1"/>
  <c r="S625" i="9" s="1"/>
  <c r="S624" i="9" s="1"/>
  <c r="S623" i="9" s="1"/>
  <c r="S622" i="9" s="1"/>
  <c r="S621" i="9" s="1"/>
  <c r="S620" i="9" s="1"/>
  <c r="S619" i="9" s="1"/>
  <c r="S618" i="9" s="1"/>
  <c r="S617" i="9" s="1"/>
  <c r="S616" i="9" s="1"/>
  <c r="S615" i="9" s="1"/>
  <c r="S614" i="9" s="1"/>
  <c r="S613" i="9" s="1"/>
  <c r="S612" i="9" s="1"/>
  <c r="S611" i="9" s="1"/>
  <c r="S610" i="9" s="1"/>
  <c r="S609" i="9" s="1"/>
  <c r="S608" i="9" s="1"/>
  <c r="S607" i="9" s="1"/>
  <c r="S606" i="9" s="1"/>
  <c r="S605" i="9" s="1"/>
  <c r="S604" i="9" s="1"/>
  <c r="S603" i="9" s="1"/>
  <c r="S602" i="9" s="1"/>
  <c r="S601" i="9" s="1"/>
  <c r="S600" i="9" s="1"/>
  <c r="S599" i="9" s="1"/>
  <c r="S598" i="9" s="1"/>
  <c r="S597" i="9" s="1"/>
  <c r="S596" i="9" s="1"/>
  <c r="S595" i="9" s="1"/>
  <c r="S594" i="9" s="1"/>
  <c r="S593" i="9" s="1"/>
  <c r="S592" i="9" s="1"/>
  <c r="S591" i="9" s="1"/>
  <c r="S590" i="9" s="1"/>
  <c r="S589" i="9" s="1"/>
  <c r="S588" i="9" s="1"/>
  <c r="S587" i="9" s="1"/>
  <c r="S586" i="9" s="1"/>
  <c r="S585" i="9" s="1"/>
  <c r="S584" i="9" s="1"/>
  <c r="S583" i="9" s="1"/>
  <c r="S582" i="9" s="1"/>
  <c r="S581" i="9" s="1"/>
  <c r="S580" i="9" s="1"/>
  <c r="S579" i="9" s="1"/>
  <c r="S578" i="9" s="1"/>
  <c r="S577" i="9" s="1"/>
  <c r="S576" i="9" s="1"/>
  <c r="S575" i="9" s="1"/>
  <c r="S574" i="9" s="1"/>
  <c r="S573" i="9" s="1"/>
  <c r="S572" i="9" s="1"/>
  <c r="S571" i="9" s="1"/>
  <c r="S570" i="9" s="1"/>
  <c r="S569" i="9" s="1"/>
  <c r="S568" i="9" s="1"/>
  <c r="S567" i="9" s="1"/>
  <c r="S566" i="9" s="1"/>
  <c r="S565" i="9" s="1"/>
  <c r="S564" i="9" s="1"/>
  <c r="S563" i="9" s="1"/>
  <c r="S562" i="9" s="1"/>
  <c r="S561" i="9" s="1"/>
  <c r="S560" i="9" s="1"/>
  <c r="S559" i="9" s="1"/>
  <c r="S558" i="9" s="1"/>
  <c r="S557" i="9" s="1"/>
  <c r="S556" i="9" s="1"/>
  <c r="S555" i="9" s="1"/>
  <c r="S554" i="9" s="1"/>
  <c r="S553" i="9" s="1"/>
  <c r="S552" i="9" s="1"/>
  <c r="S551" i="9" s="1"/>
  <c r="S550" i="9" s="1"/>
  <c r="S549" i="9" s="1"/>
  <c r="S548" i="9" s="1"/>
  <c r="S547" i="9" s="1"/>
  <c r="S546" i="9" s="1"/>
  <c r="S545" i="9" s="1"/>
  <c r="S544" i="9" s="1"/>
  <c r="S543" i="9" s="1"/>
  <c r="S542" i="9" s="1"/>
  <c r="S541" i="9" s="1"/>
  <c r="S540" i="9" s="1"/>
  <c r="S539" i="9" s="1"/>
  <c r="S538" i="9" s="1"/>
  <c r="S537" i="9" s="1"/>
  <c r="S536" i="9" s="1"/>
  <c r="S535" i="9" s="1"/>
  <c r="S534" i="9" s="1"/>
  <c r="S533" i="9" s="1"/>
  <c r="S532" i="9" s="1"/>
  <c r="S531" i="9" s="1"/>
  <c r="S530" i="9" s="1"/>
  <c r="S529" i="9" s="1"/>
  <c r="S528" i="9" s="1"/>
  <c r="S527" i="9" s="1"/>
  <c r="S526" i="9" s="1"/>
  <c r="S525" i="9" s="1"/>
  <c r="S524" i="9" s="1"/>
  <c r="S523" i="9" s="1"/>
  <c r="S522" i="9" s="1"/>
  <c r="S521" i="9" s="1"/>
  <c r="S520" i="9" s="1"/>
  <c r="S519" i="9" s="1"/>
  <c r="S518" i="9" s="1"/>
  <c r="S517" i="9" s="1"/>
  <c r="S516" i="9" s="1"/>
  <c r="S515" i="9" s="1"/>
  <c r="S514" i="9" s="1"/>
  <c r="S513" i="9" s="1"/>
  <c r="S512" i="9" s="1"/>
  <c r="S511" i="9" s="1"/>
  <c r="S510" i="9" s="1"/>
  <c r="S509" i="9" s="1"/>
  <c r="S508" i="9" s="1"/>
  <c r="S507" i="9" s="1"/>
  <c r="S506" i="9" s="1"/>
  <c r="S505" i="9" s="1"/>
  <c r="S504" i="9" s="1"/>
  <c r="S503" i="9" s="1"/>
  <c r="S502" i="9" s="1"/>
  <c r="S501" i="9" s="1"/>
  <c r="S500" i="9" s="1"/>
  <c r="S499" i="9" s="1"/>
  <c r="S498" i="9" s="1"/>
  <c r="S497" i="9" s="1"/>
  <c r="S496" i="9" s="1"/>
  <c r="S495" i="9" s="1"/>
  <c r="S494" i="9" s="1"/>
  <c r="S493" i="9" s="1"/>
  <c r="S492" i="9" s="1"/>
  <c r="S491" i="9" s="1"/>
  <c r="S490" i="9" s="1"/>
  <c r="S489" i="9" s="1"/>
  <c r="S488" i="9" s="1"/>
  <c r="S487" i="9" s="1"/>
  <c r="S486" i="9" s="1"/>
  <c r="S485" i="9" s="1"/>
  <c r="S484" i="9" s="1"/>
  <c r="S483" i="9" s="1"/>
  <c r="S482" i="9" s="1"/>
  <c r="S481" i="9" s="1"/>
  <c r="S480" i="9" s="1"/>
  <c r="S479" i="9" s="1"/>
  <c r="S478" i="9" s="1"/>
  <c r="S477" i="9" s="1"/>
  <c r="S476" i="9" s="1"/>
  <c r="S475" i="9" s="1"/>
  <c r="S474" i="9" s="1"/>
  <c r="S473" i="9" s="1"/>
  <c r="S472" i="9" s="1"/>
  <c r="S471" i="9" s="1"/>
  <c r="S470" i="9" s="1"/>
  <c r="S469" i="9" s="1"/>
  <c r="S468" i="9" s="1"/>
  <c r="S467" i="9" s="1"/>
  <c r="S466" i="9" s="1"/>
  <c r="S465" i="9" s="1"/>
  <c r="S464" i="9" s="1"/>
  <c r="S463" i="9" s="1"/>
  <c r="S462" i="9" s="1"/>
  <c r="S461" i="9" s="1"/>
  <c r="S460" i="9" s="1"/>
  <c r="S459" i="9" s="1"/>
  <c r="S458" i="9" s="1"/>
  <c r="S457" i="9" s="1"/>
  <c r="S456" i="9" s="1"/>
  <c r="S455" i="9" s="1"/>
  <c r="S454" i="9" s="1"/>
  <c r="S453" i="9" s="1"/>
  <c r="S452" i="9" s="1"/>
  <c r="S451" i="9" s="1"/>
  <c r="S450" i="9" s="1"/>
  <c r="S449" i="9" s="1"/>
  <c r="S448" i="9" s="1"/>
  <c r="S447" i="9" s="1"/>
  <c r="S446" i="9" s="1"/>
  <c r="S445" i="9" s="1"/>
  <c r="S444" i="9" s="1"/>
  <c r="S443" i="9" s="1"/>
  <c r="S442" i="9" s="1"/>
  <c r="S441" i="9" s="1"/>
  <c r="S440" i="9" s="1"/>
  <c r="S439" i="9" s="1"/>
  <c r="T889" i="9"/>
  <c r="T888" i="9" s="1"/>
  <c r="T887" i="9" s="1"/>
  <c r="T886" i="9" s="1"/>
  <c r="T885" i="9" s="1"/>
  <c r="T884" i="9" s="1"/>
  <c r="T883" i="9" s="1"/>
  <c r="T882" i="9" s="1"/>
  <c r="T881" i="9" s="1"/>
  <c r="T880" i="9" s="1"/>
  <c r="T879" i="9" s="1"/>
  <c r="T878" i="9" s="1"/>
  <c r="T877" i="9" s="1"/>
  <c r="T876" i="9" s="1"/>
  <c r="T875" i="9" s="1"/>
  <c r="T874" i="9" s="1"/>
  <c r="T873" i="9" s="1"/>
  <c r="T872" i="9" s="1"/>
  <c r="T871" i="9" s="1"/>
  <c r="T870" i="9" s="1"/>
  <c r="T869" i="9" s="1"/>
  <c r="T868" i="9" s="1"/>
  <c r="T867" i="9" s="1"/>
  <c r="T866" i="9" s="1"/>
  <c r="T865" i="9" s="1"/>
  <c r="T864" i="9" s="1"/>
  <c r="T863" i="9" s="1"/>
  <c r="T862" i="9" s="1"/>
  <c r="T861" i="9" s="1"/>
  <c r="T860" i="9" s="1"/>
  <c r="T859" i="9" s="1"/>
  <c r="T858" i="9" s="1"/>
  <c r="T857" i="9" s="1"/>
  <c r="T856" i="9" s="1"/>
  <c r="T855" i="9" s="1"/>
  <c r="T854" i="9" s="1"/>
  <c r="T853" i="9" s="1"/>
  <c r="T852" i="9" s="1"/>
  <c r="T851" i="9" s="1"/>
  <c r="T850" i="9" s="1"/>
  <c r="T849" i="9" s="1"/>
  <c r="T848" i="9" s="1"/>
  <c r="T847" i="9" s="1"/>
  <c r="T846" i="9" s="1"/>
  <c r="T845" i="9" s="1"/>
  <c r="T844" i="9" s="1"/>
  <c r="T843" i="9" s="1"/>
  <c r="T842" i="9" s="1"/>
  <c r="T841" i="9" s="1"/>
  <c r="T840" i="9" s="1"/>
  <c r="T839" i="9" s="1"/>
  <c r="T838" i="9" s="1"/>
  <c r="T837" i="9" s="1"/>
  <c r="T836" i="9" s="1"/>
  <c r="T835" i="9" s="1"/>
  <c r="T834" i="9" s="1"/>
  <c r="T833" i="9" s="1"/>
  <c r="T832" i="9" s="1"/>
  <c r="T831" i="9" s="1"/>
  <c r="T830" i="9" s="1"/>
  <c r="T829" i="9" s="1"/>
  <c r="T828" i="9" s="1"/>
  <c r="T827" i="9" s="1"/>
  <c r="T826" i="9" s="1"/>
  <c r="T825" i="9" s="1"/>
  <c r="T824" i="9" s="1"/>
  <c r="T823" i="9" s="1"/>
  <c r="T822" i="9" s="1"/>
  <c r="T821" i="9" s="1"/>
  <c r="T820" i="9" s="1"/>
  <c r="T819" i="9" s="1"/>
  <c r="T818" i="9" s="1"/>
  <c r="T817" i="9" s="1"/>
  <c r="T816" i="9" s="1"/>
  <c r="T815" i="9" s="1"/>
  <c r="T814" i="9" s="1"/>
  <c r="T813" i="9" s="1"/>
  <c r="T812" i="9" s="1"/>
  <c r="T811" i="9" s="1"/>
  <c r="T810" i="9" s="1"/>
  <c r="T809" i="9" s="1"/>
  <c r="T808" i="9" s="1"/>
  <c r="T807" i="9" s="1"/>
  <c r="T806" i="9" s="1"/>
  <c r="T805" i="9" s="1"/>
  <c r="T804" i="9" s="1"/>
  <c r="T803" i="9" s="1"/>
  <c r="T802" i="9" s="1"/>
  <c r="T801" i="9" s="1"/>
  <c r="T800" i="9" s="1"/>
  <c r="T799" i="9" s="1"/>
  <c r="T798" i="9" s="1"/>
  <c r="T797" i="9" s="1"/>
  <c r="T796" i="9" s="1"/>
  <c r="T795" i="9" s="1"/>
  <c r="T794" i="9" s="1"/>
  <c r="T793" i="9" s="1"/>
  <c r="T792" i="9" s="1"/>
  <c r="T791" i="9" s="1"/>
  <c r="T790" i="9" s="1"/>
  <c r="T789" i="9" s="1"/>
  <c r="T788" i="9" s="1"/>
  <c r="T787" i="9" s="1"/>
  <c r="T786" i="9" s="1"/>
  <c r="T785" i="9" s="1"/>
  <c r="T784" i="9" s="1"/>
  <c r="T783" i="9" s="1"/>
  <c r="T782" i="9" s="1"/>
  <c r="T781" i="9" s="1"/>
  <c r="T780" i="9" s="1"/>
  <c r="T779" i="9" s="1"/>
  <c r="T778" i="9" s="1"/>
  <c r="T777" i="9" s="1"/>
  <c r="T776" i="9" s="1"/>
  <c r="T775" i="9" s="1"/>
  <c r="T774" i="9" s="1"/>
  <c r="T773" i="9" s="1"/>
  <c r="T772" i="9" s="1"/>
  <c r="T771" i="9" s="1"/>
  <c r="T770" i="9" s="1"/>
  <c r="T769" i="9" s="1"/>
  <c r="T768" i="9" s="1"/>
  <c r="T767" i="9" s="1"/>
  <c r="T766" i="9" s="1"/>
  <c r="T765" i="9" s="1"/>
  <c r="T764" i="9" s="1"/>
  <c r="T763" i="9" s="1"/>
  <c r="T762" i="9" s="1"/>
  <c r="T761" i="9" s="1"/>
  <c r="T760" i="9" s="1"/>
  <c r="T759" i="9" s="1"/>
  <c r="T758" i="9" s="1"/>
  <c r="T757" i="9" s="1"/>
  <c r="T756" i="9" s="1"/>
  <c r="T755" i="9" s="1"/>
  <c r="T754" i="9" s="1"/>
  <c r="T753" i="9" s="1"/>
  <c r="T752" i="9" s="1"/>
  <c r="T751" i="9" s="1"/>
  <c r="T750" i="9" s="1"/>
  <c r="T749" i="9" s="1"/>
  <c r="T748" i="9" s="1"/>
  <c r="T747" i="9" s="1"/>
  <c r="T746" i="9" s="1"/>
  <c r="T745" i="9" s="1"/>
  <c r="T744" i="9" s="1"/>
  <c r="T743" i="9" s="1"/>
  <c r="T742" i="9" s="1"/>
  <c r="T741" i="9" s="1"/>
  <c r="T740" i="9" s="1"/>
  <c r="T739" i="9" s="1"/>
  <c r="T738" i="9" s="1"/>
  <c r="T737" i="9" s="1"/>
  <c r="T736" i="9" s="1"/>
  <c r="T735" i="9" s="1"/>
  <c r="T734" i="9" s="1"/>
  <c r="T733" i="9" s="1"/>
  <c r="T732" i="9" s="1"/>
  <c r="T731" i="9" s="1"/>
  <c r="T730" i="9" s="1"/>
  <c r="T729" i="9" s="1"/>
  <c r="T728" i="9" s="1"/>
  <c r="T727" i="9" s="1"/>
  <c r="T726" i="9" s="1"/>
  <c r="T725" i="9" s="1"/>
  <c r="T724" i="9" s="1"/>
  <c r="T723" i="9" s="1"/>
  <c r="T722" i="9" s="1"/>
  <c r="T721" i="9" s="1"/>
  <c r="T720" i="9" s="1"/>
  <c r="T719" i="9" s="1"/>
  <c r="T718" i="9" s="1"/>
  <c r="T717" i="9" s="1"/>
  <c r="T716" i="9" s="1"/>
  <c r="T715" i="9" s="1"/>
  <c r="T714" i="9" s="1"/>
  <c r="T713" i="9" s="1"/>
  <c r="T712" i="9" s="1"/>
  <c r="T711" i="9" s="1"/>
  <c r="T710" i="9" s="1"/>
  <c r="T709" i="9" s="1"/>
  <c r="T708" i="9" s="1"/>
  <c r="T707" i="9" s="1"/>
  <c r="T706" i="9" s="1"/>
  <c r="T705" i="9" s="1"/>
  <c r="T704" i="9" s="1"/>
  <c r="T703" i="9" s="1"/>
  <c r="T702" i="9" s="1"/>
  <c r="T701" i="9" s="1"/>
  <c r="T700" i="9" s="1"/>
  <c r="T699" i="9" s="1"/>
  <c r="T698" i="9" s="1"/>
  <c r="T697" i="9" s="1"/>
  <c r="T696" i="9" s="1"/>
  <c r="T695" i="9" s="1"/>
  <c r="T694" i="9" s="1"/>
  <c r="T693" i="9" s="1"/>
  <c r="T692" i="9" s="1"/>
  <c r="T691" i="9" s="1"/>
  <c r="T690" i="9" s="1"/>
  <c r="T689" i="9" s="1"/>
  <c r="T688" i="9" s="1"/>
  <c r="T687" i="9" s="1"/>
  <c r="T686" i="9" s="1"/>
  <c r="T685" i="9" s="1"/>
  <c r="T684" i="9" s="1"/>
  <c r="T683" i="9" s="1"/>
  <c r="T682" i="9" s="1"/>
  <c r="T681" i="9" s="1"/>
  <c r="T680" i="9" s="1"/>
  <c r="T679" i="9" s="1"/>
  <c r="T678" i="9" s="1"/>
  <c r="T677" i="9" s="1"/>
  <c r="T676" i="9" s="1"/>
  <c r="T675" i="9" s="1"/>
  <c r="T674" i="9" s="1"/>
  <c r="T673" i="9" s="1"/>
  <c r="T672" i="9" s="1"/>
  <c r="T671" i="9" s="1"/>
  <c r="T670" i="9" s="1"/>
  <c r="T669" i="9" s="1"/>
  <c r="T668" i="9" s="1"/>
  <c r="T667" i="9" s="1"/>
  <c r="T666" i="9" s="1"/>
  <c r="T665" i="9" s="1"/>
  <c r="T664" i="9" s="1"/>
  <c r="T663" i="9" s="1"/>
  <c r="T662" i="9" s="1"/>
  <c r="T661" i="9" s="1"/>
  <c r="T660" i="9" s="1"/>
  <c r="T659" i="9" s="1"/>
  <c r="T658" i="9" s="1"/>
  <c r="T657" i="9" s="1"/>
  <c r="T656" i="9" s="1"/>
  <c r="T655" i="9" s="1"/>
  <c r="T654" i="9" s="1"/>
  <c r="T653" i="9" s="1"/>
  <c r="T652" i="9" s="1"/>
  <c r="T651" i="9" s="1"/>
  <c r="T650" i="9" s="1"/>
  <c r="T649" i="9" s="1"/>
  <c r="T648" i="9" s="1"/>
  <c r="T647" i="9" s="1"/>
  <c r="T646" i="9" s="1"/>
  <c r="T645" i="9" s="1"/>
  <c r="T644" i="9" s="1"/>
  <c r="T643" i="9" s="1"/>
  <c r="T642" i="9" s="1"/>
  <c r="T641" i="9" s="1"/>
  <c r="T640" i="9" s="1"/>
  <c r="T639" i="9" s="1"/>
  <c r="T638" i="9" s="1"/>
  <c r="T637" i="9" s="1"/>
  <c r="T636" i="9" s="1"/>
  <c r="T635" i="9" s="1"/>
  <c r="T634" i="9" s="1"/>
  <c r="T633" i="9" s="1"/>
  <c r="T632" i="9" s="1"/>
  <c r="T631" i="9" s="1"/>
  <c r="T630" i="9" s="1"/>
  <c r="T629" i="9" s="1"/>
  <c r="T628" i="9" s="1"/>
  <c r="T627" i="9" s="1"/>
  <c r="T626" i="9" s="1"/>
  <c r="T625" i="9" s="1"/>
  <c r="T624" i="9" s="1"/>
  <c r="T623" i="9" s="1"/>
  <c r="T622" i="9" s="1"/>
  <c r="T621" i="9" s="1"/>
  <c r="T620" i="9" s="1"/>
  <c r="T619" i="9" s="1"/>
  <c r="T618" i="9" s="1"/>
  <c r="T617" i="9" s="1"/>
  <c r="T616" i="9" s="1"/>
  <c r="T615" i="9" s="1"/>
  <c r="T614" i="9" s="1"/>
  <c r="T613" i="9" s="1"/>
  <c r="T612" i="9" s="1"/>
  <c r="T611" i="9" s="1"/>
  <c r="T610" i="9" s="1"/>
  <c r="T609" i="9" s="1"/>
  <c r="T608" i="9" s="1"/>
  <c r="T607" i="9" s="1"/>
  <c r="T606" i="9" s="1"/>
  <c r="T605" i="9" s="1"/>
  <c r="T604" i="9" s="1"/>
  <c r="T603" i="9" s="1"/>
  <c r="T602" i="9" s="1"/>
  <c r="T601" i="9" s="1"/>
  <c r="T600" i="9" s="1"/>
  <c r="T599" i="9" s="1"/>
  <c r="T598" i="9" s="1"/>
  <c r="T597" i="9" s="1"/>
  <c r="T596" i="9" s="1"/>
  <c r="T595" i="9" s="1"/>
  <c r="T594" i="9" s="1"/>
  <c r="T593" i="9" s="1"/>
  <c r="T592" i="9" s="1"/>
  <c r="T591" i="9" s="1"/>
  <c r="T590" i="9" s="1"/>
  <c r="T589" i="9" s="1"/>
  <c r="T588" i="9" s="1"/>
  <c r="T587" i="9" s="1"/>
  <c r="T586" i="9" s="1"/>
  <c r="T585" i="9" s="1"/>
  <c r="T584" i="9" s="1"/>
  <c r="T583" i="9" s="1"/>
  <c r="T582" i="9" s="1"/>
  <c r="T581" i="9" s="1"/>
  <c r="T580" i="9" s="1"/>
  <c r="T579" i="9" s="1"/>
  <c r="T578" i="9" s="1"/>
  <c r="T577" i="9" s="1"/>
  <c r="T576" i="9" s="1"/>
  <c r="T575" i="9" s="1"/>
  <c r="T574" i="9" s="1"/>
  <c r="T573" i="9" s="1"/>
  <c r="T572" i="9" s="1"/>
  <c r="T571" i="9" s="1"/>
  <c r="T570" i="9" s="1"/>
  <c r="T569" i="9" s="1"/>
  <c r="T568" i="9" s="1"/>
  <c r="T567" i="9" s="1"/>
  <c r="T566" i="9" s="1"/>
  <c r="T565" i="9" s="1"/>
  <c r="T564" i="9" s="1"/>
  <c r="T563" i="9" s="1"/>
  <c r="T562" i="9" s="1"/>
  <c r="T561" i="9" s="1"/>
  <c r="T560" i="9" s="1"/>
  <c r="T559" i="9" s="1"/>
  <c r="T558" i="9" s="1"/>
  <c r="T557" i="9" s="1"/>
  <c r="T556" i="9" s="1"/>
  <c r="T555" i="9" s="1"/>
  <c r="T554" i="9" s="1"/>
  <c r="T553" i="9" s="1"/>
  <c r="T552" i="9" s="1"/>
  <c r="T551" i="9" s="1"/>
  <c r="T550" i="9" s="1"/>
  <c r="T549" i="9" s="1"/>
  <c r="T548" i="9" s="1"/>
  <c r="T547" i="9" s="1"/>
  <c r="T546" i="9" s="1"/>
  <c r="T545" i="9" s="1"/>
  <c r="T544" i="9" s="1"/>
  <c r="T543" i="9" s="1"/>
  <c r="T542" i="9" s="1"/>
  <c r="T541" i="9" s="1"/>
  <c r="T540" i="9" s="1"/>
  <c r="T539" i="9" s="1"/>
  <c r="T538" i="9" s="1"/>
  <c r="T537" i="9" s="1"/>
  <c r="T536" i="9" s="1"/>
  <c r="T535" i="9" s="1"/>
  <c r="T534" i="9" s="1"/>
  <c r="T533" i="9" s="1"/>
  <c r="T532" i="9" s="1"/>
  <c r="T531" i="9" s="1"/>
  <c r="T530" i="9" s="1"/>
  <c r="T529" i="9" s="1"/>
  <c r="T528" i="9" s="1"/>
  <c r="T527" i="9" s="1"/>
  <c r="T526" i="9" s="1"/>
  <c r="T525" i="9" s="1"/>
  <c r="T524" i="9" s="1"/>
  <c r="T523" i="9" s="1"/>
  <c r="T522" i="9" s="1"/>
  <c r="T521" i="9" s="1"/>
  <c r="T520" i="9" s="1"/>
  <c r="T519" i="9" s="1"/>
  <c r="T518" i="9" s="1"/>
  <c r="T517" i="9" s="1"/>
  <c r="T516" i="9" s="1"/>
  <c r="T515" i="9" s="1"/>
  <c r="T514" i="9" s="1"/>
  <c r="T513" i="9" s="1"/>
  <c r="T512" i="9" s="1"/>
  <c r="T511" i="9" s="1"/>
  <c r="T510" i="9" s="1"/>
  <c r="T509" i="9" s="1"/>
  <c r="T508" i="9" s="1"/>
  <c r="T507" i="9" s="1"/>
  <c r="T506" i="9" s="1"/>
  <c r="T505" i="9" s="1"/>
  <c r="T504" i="9" s="1"/>
  <c r="T503" i="9" s="1"/>
  <c r="T502" i="9" s="1"/>
  <c r="T501" i="9" s="1"/>
  <c r="T500" i="9" s="1"/>
  <c r="T499" i="9" s="1"/>
  <c r="T498" i="9" s="1"/>
  <c r="T497" i="9" s="1"/>
  <c r="T496" i="9" s="1"/>
  <c r="T495" i="9" s="1"/>
  <c r="T494" i="9" s="1"/>
  <c r="T493" i="9" s="1"/>
  <c r="T492" i="9" s="1"/>
  <c r="T491" i="9" s="1"/>
  <c r="T490" i="9" s="1"/>
  <c r="T489" i="9" s="1"/>
  <c r="T488" i="9" s="1"/>
  <c r="T487" i="9" s="1"/>
  <c r="T486" i="9" s="1"/>
  <c r="T485" i="9" s="1"/>
  <c r="T484" i="9" s="1"/>
  <c r="T483" i="9" s="1"/>
  <c r="T482" i="9" s="1"/>
  <c r="T481" i="9" s="1"/>
  <c r="T480" i="9" s="1"/>
  <c r="T479" i="9" s="1"/>
  <c r="T478" i="9" s="1"/>
  <c r="T477" i="9" s="1"/>
  <c r="T476" i="9" s="1"/>
  <c r="T475" i="9" s="1"/>
  <c r="T474" i="9" s="1"/>
  <c r="T473" i="9" s="1"/>
  <c r="T472" i="9" s="1"/>
  <c r="T471" i="9" s="1"/>
  <c r="T470" i="9" s="1"/>
  <c r="T469" i="9" s="1"/>
  <c r="T468" i="9" s="1"/>
  <c r="T467" i="9" s="1"/>
  <c r="T466" i="9" s="1"/>
  <c r="T465" i="9" s="1"/>
  <c r="T464" i="9" s="1"/>
  <c r="T463" i="9" s="1"/>
  <c r="T462" i="9" s="1"/>
  <c r="T461" i="9" s="1"/>
  <c r="T460" i="9" s="1"/>
  <c r="T459" i="9" s="1"/>
  <c r="T458" i="9" s="1"/>
  <c r="T457" i="9" s="1"/>
  <c r="T456" i="9" s="1"/>
  <c r="T455" i="9" s="1"/>
  <c r="T454" i="9" s="1"/>
  <c r="T453" i="9" s="1"/>
  <c r="T452" i="9" s="1"/>
  <c r="T451" i="9" s="1"/>
  <c r="T450" i="9" s="1"/>
  <c r="T449" i="9" s="1"/>
  <c r="T448" i="9" s="1"/>
  <c r="T447" i="9" s="1"/>
  <c r="T446" i="9" s="1"/>
  <c r="T445" i="9" s="1"/>
  <c r="T444" i="9" s="1"/>
  <c r="T443" i="9" s="1"/>
  <c r="T442" i="9" s="1"/>
  <c r="T441" i="9" s="1"/>
  <c r="T440" i="9" s="1"/>
  <c r="T439" i="9" s="1"/>
  <c r="L23" i="8"/>
  <c r="DB113" i="10" s="1"/>
  <c r="AY7" i="33"/>
  <c r="BB7" i="33" s="1"/>
  <c r="GL211" i="11"/>
  <c r="GL215" i="11" s="1"/>
  <c r="AG24" i="18"/>
  <c r="H23" i="18" s="1"/>
  <c r="L145" i="18"/>
  <c r="L187" i="18"/>
  <c r="AT196" i="10"/>
  <c r="DH189" i="18"/>
  <c r="DH183" i="18"/>
  <c r="DH192" i="18"/>
  <c r="DH186" i="18"/>
  <c r="AS118" i="21"/>
  <c r="AG192" i="18"/>
  <c r="H191" i="18" s="1"/>
  <c r="CC196" i="10"/>
  <c r="BI195" i="10" s="1"/>
  <c r="CC162" i="10"/>
  <c r="BI161" i="10" s="1"/>
  <c r="BO8" i="33"/>
  <c r="BR8" i="33" s="1"/>
  <c r="AW145" i="10"/>
  <c r="IF36" i="5"/>
  <c r="IG35" i="5"/>
  <c r="BC6" i="19"/>
  <c r="GF21" i="11"/>
  <c r="GF25" i="11" s="1"/>
  <c r="GF29" i="11" s="1"/>
  <c r="GF33" i="11" s="1"/>
  <c r="GF37" i="11" s="1"/>
  <c r="GF41" i="11" s="1"/>
  <c r="GF45" i="11" s="1"/>
  <c r="GF49" i="11" s="1"/>
  <c r="GF53" i="11" s="1"/>
  <c r="GF57" i="11" s="1"/>
  <c r="GF61" i="11" s="1"/>
  <c r="GF65" i="11" s="1"/>
  <c r="GF69" i="11" s="1"/>
  <c r="GF73" i="11" s="1"/>
  <c r="GF77" i="11" s="1"/>
  <c r="GF81" i="11" s="1"/>
  <c r="GF85" i="11" s="1"/>
  <c r="GF89" i="11" s="1"/>
  <c r="GF93" i="11" s="1"/>
  <c r="GF97" i="11" s="1"/>
  <c r="GF101" i="11" s="1"/>
  <c r="GF105" i="11" s="1"/>
  <c r="GF109" i="11" s="1"/>
  <c r="GF113" i="11" s="1"/>
  <c r="GF117" i="11" s="1"/>
  <c r="GF121" i="11" s="1"/>
  <c r="GF125" i="11" s="1"/>
  <c r="GF129" i="11" s="1"/>
  <c r="GF133" i="11" s="1"/>
  <c r="GF137" i="11" s="1"/>
  <c r="GF141" i="11" s="1"/>
  <c r="GF145" i="11" s="1"/>
  <c r="GF149" i="11" s="1"/>
  <c r="GF153" i="11" s="1"/>
  <c r="GF157" i="11" s="1"/>
  <c r="GF161" i="11" s="1"/>
  <c r="GF165" i="11" s="1"/>
  <c r="EQ27" i="14"/>
  <c r="ER27" i="14" s="1"/>
  <c r="I116" i="23" s="1"/>
  <c r="EQ32" i="14"/>
  <c r="ER32" i="14" s="1"/>
  <c r="I121" i="23" s="1"/>
  <c r="EQ24" i="14"/>
  <c r="ER24" i="14" s="1"/>
  <c r="I113" i="23" s="1"/>
  <c r="EQ13" i="14"/>
  <c r="ER13" i="14" s="1"/>
  <c r="I101" i="23" s="1"/>
  <c r="EQ9" i="14"/>
  <c r="ER9" i="14" s="1"/>
  <c r="I97" i="23" s="1"/>
  <c r="EQ25" i="14"/>
  <c r="ER25" i="14" s="1"/>
  <c r="I114" i="23" s="1"/>
  <c r="EQ21" i="14"/>
  <c r="ER21" i="14" s="1"/>
  <c r="I110" i="23" s="1"/>
  <c r="EQ17" i="14"/>
  <c r="ER17" i="14" s="1"/>
  <c r="I106" i="23" s="1"/>
  <c r="EQ22" i="14"/>
  <c r="ER22" i="14" s="1"/>
  <c r="I111" i="23" s="1"/>
  <c r="EQ14" i="14"/>
  <c r="ER14" i="14" s="1"/>
  <c r="I103" i="23" s="1"/>
  <c r="EQ11" i="14"/>
  <c r="ER11" i="14" s="1"/>
  <c r="I99" i="23" s="1"/>
  <c r="EQ7" i="14"/>
  <c r="ER7" i="14" s="1"/>
  <c r="I95" i="23" s="1"/>
  <c r="C31" i="23"/>
  <c r="I31" i="23" s="1"/>
  <c r="C32" i="23"/>
  <c r="I32" i="23" s="1"/>
  <c r="J13" i="23"/>
  <c r="H8" i="23"/>
  <c r="AX9" i="33"/>
  <c r="AY8" i="33"/>
  <c r="BO9" i="33"/>
  <c r="BN10" i="33"/>
  <c r="AC7" i="33"/>
  <c r="BC76" i="21"/>
  <c r="BE76" i="21" s="1"/>
  <c r="BD127" i="21"/>
  <c r="AS76" i="21"/>
  <c r="AS78" i="21" s="1"/>
  <c r="AJ75" i="21"/>
  <c r="AJ76" i="21" s="1"/>
  <c r="Z75" i="21"/>
  <c r="Z76" i="21" s="1"/>
  <c r="Y13" i="21" s="1"/>
  <c r="Y41" i="21" s="1"/>
  <c r="U128" i="10"/>
  <c r="AO34" i="18"/>
  <c r="AW128" i="10"/>
  <c r="F17" i="13"/>
  <c r="AD56" i="14"/>
  <c r="AD49" i="14"/>
  <c r="AI78" i="21"/>
  <c r="P127" i="21"/>
  <c r="Y24" i="21"/>
  <c r="F56" i="21"/>
  <c r="L14" i="18"/>
  <c r="L19" i="18"/>
  <c r="AT162" i="10"/>
  <c r="DH141" i="18"/>
  <c r="DH144" i="18"/>
  <c r="DH147" i="18"/>
  <c r="DH150" i="18"/>
  <c r="P128" i="21"/>
  <c r="O13" i="21"/>
  <c r="O41" i="21" s="1"/>
  <c r="Q76" i="21"/>
  <c r="E24" i="21"/>
  <c r="AI113" i="21"/>
  <c r="Y11" i="13"/>
  <c r="CB23" i="6"/>
  <c r="FU88" i="11" s="1"/>
  <c r="CB14" i="6"/>
  <c r="CB29" i="6"/>
  <c r="FU124" i="11" s="1"/>
  <c r="CB21" i="6"/>
  <c r="FU76" i="11" s="1"/>
  <c r="CB11" i="6"/>
  <c r="CB30" i="6"/>
  <c r="FU130" i="11" s="1"/>
  <c r="CB26" i="6"/>
  <c r="FU106" i="11" s="1"/>
  <c r="CB22" i="6"/>
  <c r="FU82" i="11" s="1"/>
  <c r="CB18" i="6"/>
  <c r="FU58" i="11" s="1"/>
  <c r="CB13" i="6"/>
  <c r="CB17" i="6"/>
  <c r="FU52" i="11" s="1"/>
  <c r="CB33" i="6"/>
  <c r="FU148" i="11" s="1"/>
  <c r="CB31" i="6"/>
  <c r="FU136" i="11" s="1"/>
  <c r="CB27" i="6"/>
  <c r="FU112" i="11" s="1"/>
  <c r="CB19" i="6"/>
  <c r="FU64" i="11" s="1"/>
  <c r="CB34" i="6"/>
  <c r="FU154" i="11" s="1"/>
  <c r="CB28" i="6"/>
  <c r="FU118" i="11" s="1"/>
  <c r="CB24" i="6"/>
  <c r="FU94" i="11" s="1"/>
  <c r="CB20" i="6"/>
  <c r="FU70" i="11" s="1"/>
  <c r="CB15" i="6"/>
  <c r="FU40" i="11" s="1"/>
  <c r="CB35" i="6"/>
  <c r="FU160" i="11" s="1"/>
  <c r="CB25" i="6"/>
  <c r="FU100" i="11" s="1"/>
  <c r="CB16" i="6"/>
  <c r="FU46" i="11" s="1"/>
  <c r="CB12" i="6"/>
  <c r="J25" i="13"/>
  <c r="F25" i="13"/>
  <c r="I25" i="13"/>
  <c r="G25" i="13"/>
  <c r="L98" i="18"/>
  <c r="R162" i="10"/>
  <c r="Z56" i="21"/>
  <c r="Y4" i="6"/>
  <c r="DB43" i="5"/>
  <c r="DB42" i="5" s="1"/>
  <c r="DB41" i="5" s="1"/>
  <c r="DB40" i="5" s="1"/>
  <c r="DB39" i="5" s="1"/>
  <c r="DB38" i="5" s="1"/>
  <c r="DB37" i="5" s="1"/>
  <c r="DB36" i="5" s="1"/>
  <c r="DB35" i="5" s="1"/>
  <c r="DB34" i="5" s="1"/>
  <c r="DB33" i="5" s="1"/>
  <c r="DB32" i="5" s="1"/>
  <c r="DB31" i="5" s="1"/>
  <c r="DB30" i="5" s="1"/>
  <c r="DB29" i="5" s="1"/>
  <c r="DB28" i="5" s="1"/>
  <c r="DB27" i="5" s="1"/>
  <c r="DB26" i="5" s="1"/>
  <c r="DB25" i="5" s="1"/>
  <c r="DB24" i="5" s="1"/>
  <c r="DB23" i="5" s="1"/>
  <c r="DB22" i="5" s="1"/>
  <c r="DB21" i="5" s="1"/>
  <c r="DB20" i="5" s="1"/>
  <c r="DB19" i="5" s="1"/>
  <c r="DB18" i="5" s="1"/>
  <c r="DB17" i="5" s="1"/>
  <c r="DB16" i="5" s="1"/>
  <c r="T9" i="2"/>
  <c r="AU14" i="15"/>
  <c r="AT13" i="15"/>
  <c r="I7" i="4"/>
  <c r="I8" i="4"/>
  <c r="I9" i="4"/>
  <c r="I10" i="4"/>
  <c r="I11" i="4"/>
  <c r="I12" i="4"/>
  <c r="L11" i="8"/>
  <c r="I17" i="4"/>
  <c r="I18" i="4"/>
  <c r="I19" i="4"/>
  <c r="I20" i="4"/>
  <c r="I21" i="4"/>
  <c r="I22" i="4"/>
  <c r="I23" i="4"/>
  <c r="I24" i="4"/>
  <c r="I25" i="4"/>
  <c r="I16" i="4"/>
  <c r="I15" i="4"/>
  <c r="I14" i="4"/>
  <c r="AX9" i="19"/>
  <c r="AY8" i="19"/>
  <c r="BB7" i="19"/>
  <c r="BC7" i="19" s="1"/>
  <c r="BQ9" i="19"/>
  <c r="BT9" i="19" s="1"/>
  <c r="BP10" i="19"/>
  <c r="E21" i="4"/>
  <c r="L21" i="4"/>
  <c r="K21" i="4"/>
  <c r="J21" i="4"/>
  <c r="E22" i="4"/>
  <c r="L22" i="4"/>
  <c r="K22" i="4"/>
  <c r="J22" i="4"/>
  <c r="E23" i="4"/>
  <c r="L23" i="4"/>
  <c r="K23" i="4"/>
  <c r="J23" i="4"/>
  <c r="E24" i="4"/>
  <c r="L24" i="4"/>
  <c r="K24" i="4"/>
  <c r="J24" i="4"/>
  <c r="E25" i="4"/>
  <c r="L25" i="4"/>
  <c r="K25" i="4"/>
  <c r="J25" i="4"/>
  <c r="E20" i="4"/>
  <c r="L20" i="4"/>
  <c r="K20" i="4"/>
  <c r="J20" i="4"/>
  <c r="AC7" i="19"/>
  <c r="GL232" i="11"/>
  <c r="B232" i="11" s="1"/>
  <c r="E19" i="4"/>
  <c r="L19" i="4"/>
  <c r="K19" i="4"/>
  <c r="J19" i="4"/>
  <c r="E18" i="4"/>
  <c r="L18" i="4"/>
  <c r="K18" i="4"/>
  <c r="J18" i="4"/>
  <c r="E17" i="4"/>
  <c r="L17" i="4"/>
  <c r="K17" i="4"/>
  <c r="J17" i="4"/>
  <c r="E16" i="4"/>
  <c r="L16" i="4"/>
  <c r="K16" i="4"/>
  <c r="J16" i="4"/>
  <c r="E15" i="4"/>
  <c r="L15" i="4"/>
  <c r="K15" i="4"/>
  <c r="J15" i="4"/>
  <c r="E14" i="4"/>
  <c r="L14" i="4"/>
  <c r="K14" i="4"/>
  <c r="J14" i="4"/>
  <c r="AD41" i="14"/>
  <c r="E8" i="4"/>
  <c r="L13" i="4"/>
  <c r="K13" i="4"/>
  <c r="J13" i="4"/>
  <c r="E12" i="4"/>
  <c r="L12" i="4"/>
  <c r="K12" i="4"/>
  <c r="J12" i="4"/>
  <c r="L11" i="4"/>
  <c r="K11" i="4"/>
  <c r="J11" i="4"/>
  <c r="E10" i="4"/>
  <c r="E9" i="4"/>
  <c r="Y10" i="2"/>
  <c r="T10" i="2" s="1"/>
  <c r="E7" i="4"/>
  <c r="E6" i="4"/>
  <c r="J6" i="4"/>
  <c r="BW35" i="6"/>
  <c r="BX35" i="6" s="1"/>
  <c r="BW34" i="6"/>
  <c r="BW32" i="6"/>
  <c r="BW31" i="6"/>
  <c r="BW30" i="6"/>
  <c r="BW29" i="6"/>
  <c r="BW28" i="6"/>
  <c r="BW27" i="6"/>
  <c r="BW26" i="6"/>
  <c r="BW25" i="6"/>
  <c r="BW24" i="6"/>
  <c r="BW23" i="6"/>
  <c r="BW22" i="6"/>
  <c r="BW21" i="6"/>
  <c r="BW20" i="6"/>
  <c r="BW19" i="6"/>
  <c r="BW18" i="6"/>
  <c r="BW17" i="6"/>
  <c r="BW16" i="6"/>
  <c r="BW15" i="6"/>
  <c r="BW14" i="6"/>
  <c r="BW13" i="6"/>
  <c r="BW12" i="6"/>
  <c r="BW11" i="6"/>
  <c r="L7" i="4"/>
  <c r="K7" i="4"/>
  <c r="J7" i="4"/>
  <c r="L8" i="4"/>
  <c r="K8" i="4"/>
  <c r="J8" i="4"/>
  <c r="L10" i="4"/>
  <c r="K10" i="4"/>
  <c r="J10" i="4"/>
  <c r="Z4" i="7"/>
  <c r="Y4" i="7"/>
  <c r="X4" i="7"/>
  <c r="W4" i="7"/>
  <c r="V4" i="7"/>
  <c r="V240" i="7" s="1"/>
  <c r="U4" i="7"/>
  <c r="T4" i="7"/>
  <c r="S4" i="6"/>
  <c r="H26" i="4"/>
  <c r="X4" i="6"/>
  <c r="W4" i="6"/>
  <c r="V4" i="6"/>
  <c r="U4" i="6"/>
  <c r="AA4" i="6"/>
  <c r="T4" i="6"/>
  <c r="L6" i="4"/>
  <c r="K6" i="4"/>
  <c r="D28" i="2"/>
  <c r="L9" i="4"/>
  <c r="K9" i="4"/>
  <c r="J9" i="4"/>
  <c r="D5" i="7" l="1"/>
  <c r="H38" i="23"/>
  <c r="J38" i="23" s="1"/>
  <c r="J83" i="23"/>
  <c r="H34" i="23"/>
  <c r="J34" i="23" s="1"/>
  <c r="H37" i="23"/>
  <c r="J37" i="23" s="1"/>
  <c r="H36" i="23"/>
  <c r="J36" i="23" s="1"/>
  <c r="H35" i="23"/>
  <c r="J35" i="23" s="1"/>
  <c r="O82" i="21"/>
  <c r="T46" i="7"/>
  <c r="U240" i="7"/>
  <c r="J240" i="7" s="1"/>
  <c r="U243" i="7"/>
  <c r="H33" i="23"/>
  <c r="J33" i="23" s="1"/>
  <c r="J27" i="23"/>
  <c r="D17" i="8" s="1"/>
  <c r="N5" i="2"/>
  <c r="AA769" i="9"/>
  <c r="AA767" i="9" s="1"/>
  <c r="AA765" i="9" s="1"/>
  <c r="AA763" i="9" s="1"/>
  <c r="AA761" i="9" s="1"/>
  <c r="AA759" i="9" s="1"/>
  <c r="AA757" i="9" s="1"/>
  <c r="AA755" i="9" s="1"/>
  <c r="AA753" i="9" s="1"/>
  <c r="AA751" i="9" s="1"/>
  <c r="AA749" i="9" s="1"/>
  <c r="AA747" i="9" s="1"/>
  <c r="AA745" i="9" s="1"/>
  <c r="AA743" i="9" s="1"/>
  <c r="AA770" i="9"/>
  <c r="AA768" i="9" s="1"/>
  <c r="AA766" i="9" s="1"/>
  <c r="AA764" i="9" s="1"/>
  <c r="AA762" i="9" s="1"/>
  <c r="AA760" i="9" s="1"/>
  <c r="AA758" i="9" s="1"/>
  <c r="AA756" i="9" s="1"/>
  <c r="AA754" i="9" s="1"/>
  <c r="AA752" i="9" s="1"/>
  <c r="AA750" i="9" s="1"/>
  <c r="AA748" i="9" s="1"/>
  <c r="AA746" i="9" s="1"/>
  <c r="AA744" i="9" s="1"/>
  <c r="AA742" i="9" s="1"/>
  <c r="AA741" i="9" s="1"/>
  <c r="AA740" i="9" s="1"/>
  <c r="AA739" i="9" s="1"/>
  <c r="AA738" i="9" s="1"/>
  <c r="AA737" i="9" s="1"/>
  <c r="AA736" i="9" s="1"/>
  <c r="AA735" i="9" s="1"/>
  <c r="AA734" i="9" s="1"/>
  <c r="AA733" i="9" s="1"/>
  <c r="AA732" i="9" s="1"/>
  <c r="AA731" i="9" s="1"/>
  <c r="AA730" i="9" s="1"/>
  <c r="AA729" i="9" s="1"/>
  <c r="AA728" i="9" s="1"/>
  <c r="AA727" i="9" s="1"/>
  <c r="AA726" i="9" s="1"/>
  <c r="AA725" i="9" s="1"/>
  <c r="AA724" i="9" s="1"/>
  <c r="AA723" i="9" s="1"/>
  <c r="AA722" i="9" s="1"/>
  <c r="AA721" i="9" s="1"/>
  <c r="AA720" i="9" s="1"/>
  <c r="AA719" i="9" s="1"/>
  <c r="AA718" i="9" s="1"/>
  <c r="AA717" i="9" s="1"/>
  <c r="AA716" i="9" s="1"/>
  <c r="AA715" i="9" s="1"/>
  <c r="AA714" i="9" s="1"/>
  <c r="AA713" i="9" s="1"/>
  <c r="AA712" i="9" s="1"/>
  <c r="AA711" i="9" s="1"/>
  <c r="AA710" i="9" s="1"/>
  <c r="AA709" i="9" s="1"/>
  <c r="AA708" i="9" s="1"/>
  <c r="AA707" i="9" s="1"/>
  <c r="AA706" i="9" s="1"/>
  <c r="AA705" i="9" s="1"/>
  <c r="AA704" i="9" s="1"/>
  <c r="AA703" i="9" s="1"/>
  <c r="AA702" i="9" s="1"/>
  <c r="AA701" i="9" s="1"/>
  <c r="AA700" i="9" s="1"/>
  <c r="AA699" i="9" s="1"/>
  <c r="AA698" i="9" s="1"/>
  <c r="AA697" i="9" s="1"/>
  <c r="AA696" i="9" s="1"/>
  <c r="AA695" i="9" s="1"/>
  <c r="AA694" i="9" s="1"/>
  <c r="AA693" i="9" s="1"/>
  <c r="AA692" i="9" s="1"/>
  <c r="AA691" i="9" s="1"/>
  <c r="AA690" i="9" s="1"/>
  <c r="AA689" i="9" s="1"/>
  <c r="AA688" i="9" s="1"/>
  <c r="AA687" i="9" s="1"/>
  <c r="AA686" i="9" s="1"/>
  <c r="AA685" i="9" s="1"/>
  <c r="AA684" i="9" s="1"/>
  <c r="AA683" i="9" s="1"/>
  <c r="AA682" i="9" s="1"/>
  <c r="AA681" i="9" s="1"/>
  <c r="AA680" i="9" s="1"/>
  <c r="AA679" i="9" s="1"/>
  <c r="AA678" i="9" s="1"/>
  <c r="AA677" i="9" s="1"/>
  <c r="AA676" i="9" s="1"/>
  <c r="AA675" i="9" s="1"/>
  <c r="AA674" i="9" s="1"/>
  <c r="AA673" i="9" s="1"/>
  <c r="AA672" i="9" s="1"/>
  <c r="AA671" i="9" s="1"/>
  <c r="AA670" i="9" s="1"/>
  <c r="AA669" i="9" s="1"/>
  <c r="AA668" i="9" s="1"/>
  <c r="AA667" i="9" s="1"/>
  <c r="AA666" i="9" s="1"/>
  <c r="AA665" i="9" s="1"/>
  <c r="AA664" i="9" s="1"/>
  <c r="AA663" i="9" s="1"/>
  <c r="AA662" i="9" s="1"/>
  <c r="AA661" i="9" s="1"/>
  <c r="AA660" i="9" s="1"/>
  <c r="AA659" i="9" s="1"/>
  <c r="AA658" i="9" s="1"/>
  <c r="AA657" i="9" s="1"/>
  <c r="AA656" i="9" s="1"/>
  <c r="AA655" i="9" s="1"/>
  <c r="AA654" i="9" s="1"/>
  <c r="AA653" i="9" s="1"/>
  <c r="AA652" i="9" s="1"/>
  <c r="AA651" i="9" s="1"/>
  <c r="AA650" i="9" s="1"/>
  <c r="AA649" i="9" s="1"/>
  <c r="AA648" i="9" s="1"/>
  <c r="AA647" i="9" s="1"/>
  <c r="AA646" i="9" s="1"/>
  <c r="AA645" i="9" s="1"/>
  <c r="AA644" i="9" s="1"/>
  <c r="AA643" i="9" s="1"/>
  <c r="AA642" i="9" s="1"/>
  <c r="AA637" i="9" s="1"/>
  <c r="AA636" i="9" s="1"/>
  <c r="AA635" i="9" s="1"/>
  <c r="AA634" i="9" s="1"/>
  <c r="AA633" i="9" s="1"/>
  <c r="AA632" i="9" s="1"/>
  <c r="AA631" i="9" s="1"/>
  <c r="AA630" i="9" s="1"/>
  <c r="AA629" i="9" s="1"/>
  <c r="AA628" i="9" s="1"/>
  <c r="AA627" i="9" s="1"/>
  <c r="AA626" i="9" s="1"/>
  <c r="AA625" i="9" s="1"/>
  <c r="AA624" i="9" s="1"/>
  <c r="AA623" i="9" s="1"/>
  <c r="AA622" i="9" s="1"/>
  <c r="AA621" i="9" s="1"/>
  <c r="AA620" i="9" s="1"/>
  <c r="AA619" i="9" s="1"/>
  <c r="AA618" i="9" s="1"/>
  <c r="AA617" i="9" s="1"/>
  <c r="AA616" i="9" s="1"/>
  <c r="AA615" i="9" s="1"/>
  <c r="AA614" i="9" s="1"/>
  <c r="AA608" i="9" s="1"/>
  <c r="AA607" i="9" s="1"/>
  <c r="AA606" i="9" s="1"/>
  <c r="AA605" i="9" s="1"/>
  <c r="AA604" i="9" s="1"/>
  <c r="AA603" i="9" s="1"/>
  <c r="AA602" i="9" s="1"/>
  <c r="AA600" i="9" s="1"/>
  <c r="AA599" i="9" s="1"/>
  <c r="AA598" i="9" s="1"/>
  <c r="AA597" i="9" s="1"/>
  <c r="AA596" i="9" s="1"/>
  <c r="AA595" i="9" s="1"/>
  <c r="AA594" i="9" s="1"/>
  <c r="AA593" i="9" s="1"/>
  <c r="AA592" i="9" s="1"/>
  <c r="AA591" i="9" s="1"/>
  <c r="AA590" i="9" s="1"/>
  <c r="AA589" i="9" s="1"/>
  <c r="AA588" i="9" s="1"/>
  <c r="AA587" i="9" s="1"/>
  <c r="AA586" i="9" s="1"/>
  <c r="AA585" i="9" s="1"/>
  <c r="AA584" i="9" s="1"/>
  <c r="AA583" i="9" s="1"/>
  <c r="AA582" i="9" s="1"/>
  <c r="AA581" i="9" s="1"/>
  <c r="AA580" i="9" s="1"/>
  <c r="AA579" i="9" s="1"/>
  <c r="AA578" i="9" s="1"/>
  <c r="AA577" i="9" s="1"/>
  <c r="AA576" i="9" s="1"/>
  <c r="AA575" i="9" s="1"/>
  <c r="AA574" i="9" s="1"/>
  <c r="AA573" i="9" s="1"/>
  <c r="AA572" i="9" s="1"/>
  <c r="AA571" i="9" s="1"/>
  <c r="AA570" i="9" s="1"/>
  <c r="AA569" i="9" s="1"/>
  <c r="AA568" i="9" s="1"/>
  <c r="AA567" i="9" s="1"/>
  <c r="AA566" i="9" s="1"/>
  <c r="AA565" i="9" s="1"/>
  <c r="AA560" i="9" s="1"/>
  <c r="AA559" i="9" s="1"/>
  <c r="AA558" i="9" s="1"/>
  <c r="AA557" i="9" s="1"/>
  <c r="AA556" i="9" s="1"/>
  <c r="AA555" i="9" s="1"/>
  <c r="AA554" i="9" s="1"/>
  <c r="AA553" i="9" s="1"/>
  <c r="AA552" i="9" s="1"/>
  <c r="AA551" i="9" s="1"/>
  <c r="AA550" i="9" s="1"/>
  <c r="AA549" i="9" s="1"/>
  <c r="AA548" i="9" s="1"/>
  <c r="AA547" i="9" s="1"/>
  <c r="AA545" i="9" s="1"/>
  <c r="AA544" i="9" s="1"/>
  <c r="AA543" i="9" s="1"/>
  <c r="AA542" i="9" s="1"/>
  <c r="AA541" i="9" s="1"/>
  <c r="AA540" i="9" s="1"/>
  <c r="AA539" i="9" s="1"/>
  <c r="AA538" i="9" s="1"/>
  <c r="AA537" i="9" s="1"/>
  <c r="AA536" i="9" s="1"/>
  <c r="AA535" i="9" s="1"/>
  <c r="AA534" i="9" s="1"/>
  <c r="AA533" i="9" s="1"/>
  <c r="AA529" i="9" s="1"/>
  <c r="AA528" i="9" s="1"/>
  <c r="AA527" i="9" s="1"/>
  <c r="AA520" i="9" s="1"/>
  <c r="AA519" i="9" s="1"/>
  <c r="AA518" i="9" s="1"/>
  <c r="AA517" i="9" s="1"/>
  <c r="AA516" i="9" s="1"/>
  <c r="AA515" i="9" s="1"/>
  <c r="AA514" i="9" s="1"/>
  <c r="AA513" i="9" s="1"/>
  <c r="AA512" i="9" s="1"/>
  <c r="AA511" i="9" s="1"/>
  <c r="AA510" i="9" s="1"/>
  <c r="AA509" i="9" s="1"/>
  <c r="AA508" i="9" s="1"/>
  <c r="AA507" i="9" s="1"/>
  <c r="AA506" i="9" s="1"/>
  <c r="AA505" i="9" s="1"/>
  <c r="AA504" i="9" s="1"/>
  <c r="AA503" i="9" s="1"/>
  <c r="AA502" i="9" s="1"/>
  <c r="AA501" i="9" s="1"/>
  <c r="AA500" i="9" s="1"/>
  <c r="AA499" i="9" s="1"/>
  <c r="AA498" i="9" s="1"/>
  <c r="AA497" i="9" s="1"/>
  <c r="AA496" i="9" s="1"/>
  <c r="AA495" i="9" s="1"/>
  <c r="AA494" i="9" s="1"/>
  <c r="AA493" i="9" s="1"/>
  <c r="AA492" i="9" s="1"/>
  <c r="AA491" i="9" s="1"/>
  <c r="AA490" i="9" s="1"/>
  <c r="AA489" i="9" s="1"/>
  <c r="AA488" i="9" s="1"/>
  <c r="AA487" i="9" s="1"/>
  <c r="AA486" i="9" s="1"/>
  <c r="AA476" i="9" s="1"/>
  <c r="AA474" i="9" s="1"/>
  <c r="AA473" i="9" s="1"/>
  <c r="AA472" i="9" s="1"/>
  <c r="AA471" i="9" s="1"/>
  <c r="AA470" i="9" s="1"/>
  <c r="AA469" i="9" s="1"/>
  <c r="AA468" i="9" s="1"/>
  <c r="AA467" i="9" s="1"/>
  <c r="AA466" i="9" s="1"/>
  <c r="AA465" i="9" s="1"/>
  <c r="AA464" i="9" s="1"/>
  <c r="AA463" i="9" s="1"/>
  <c r="AA462" i="9" s="1"/>
  <c r="AA456" i="9" s="1"/>
  <c r="AA455" i="9" s="1"/>
  <c r="AA454" i="9" s="1"/>
  <c r="AA453" i="9" s="1"/>
  <c r="AA452" i="9" s="1"/>
  <c r="AA450" i="9" s="1"/>
  <c r="AA449" i="9" s="1"/>
  <c r="AA448" i="9" s="1"/>
  <c r="AA447" i="9" s="1"/>
  <c r="AA446" i="9" s="1"/>
  <c r="AA445" i="9" s="1"/>
  <c r="AA444" i="9" s="1"/>
  <c r="AA443" i="9" s="1"/>
  <c r="AA442" i="9" s="1"/>
  <c r="AA441" i="9" s="1"/>
  <c r="AA440" i="9" s="1"/>
  <c r="AA439" i="9" s="1"/>
  <c r="B211" i="11"/>
  <c r="EU64" i="11"/>
  <c r="EU40" i="11"/>
  <c r="EU118" i="11"/>
  <c r="EU136" i="11"/>
  <c r="EU124" i="11"/>
  <c r="EU70" i="11"/>
  <c r="EU46" i="11"/>
  <c r="EU22" i="11"/>
  <c r="EU142" i="11"/>
  <c r="EU76" i="11"/>
  <c r="EU52" i="11"/>
  <c r="EU28" i="11"/>
  <c r="EU148" i="11"/>
  <c r="EU112" i="11"/>
  <c r="EU82" i="11"/>
  <c r="EU58" i="11"/>
  <c r="EU34" i="11"/>
  <c r="EU154" i="11"/>
  <c r="EU100" i="11"/>
  <c r="EU88" i="11"/>
  <c r="EU94" i="11"/>
  <c r="EU160" i="11"/>
  <c r="EU130" i="11"/>
  <c r="EU106" i="11"/>
  <c r="EU16" i="11"/>
  <c r="AS18" i="21"/>
  <c r="AT128" i="21"/>
  <c r="AS13" i="21"/>
  <c r="AT127" i="21"/>
  <c r="AK76" i="21"/>
  <c r="AI13" i="21"/>
  <c r="Z128" i="21"/>
  <c r="Y82" i="21"/>
  <c r="Y42" i="21"/>
  <c r="X45" i="7"/>
  <c r="J45" i="7" s="1"/>
  <c r="X46" i="7"/>
  <c r="BV157" i="5"/>
  <c r="G72" i="7"/>
  <c r="G270" i="7"/>
  <c r="L270" i="7" s="1"/>
  <c r="M270" i="7" s="1"/>
  <c r="G287" i="7"/>
  <c r="L287" i="7" s="1"/>
  <c r="M287" i="7" s="1"/>
  <c r="G255" i="7"/>
  <c r="L255" i="7" s="1"/>
  <c r="M255" i="7" s="1"/>
  <c r="G288" i="7"/>
  <c r="L288" i="7" s="1"/>
  <c r="M288" i="7" s="1"/>
  <c r="G161" i="7"/>
  <c r="G60" i="7"/>
  <c r="L60" i="7" s="1"/>
  <c r="M60" i="7" s="1"/>
  <c r="G14" i="7"/>
  <c r="G289" i="7"/>
  <c r="L289" i="7" s="1"/>
  <c r="M289" i="7" s="1"/>
  <c r="G157" i="7"/>
  <c r="G177" i="7"/>
  <c r="G285" i="7"/>
  <c r="L285" i="7" s="1"/>
  <c r="M285" i="7" s="1"/>
  <c r="G300" i="7"/>
  <c r="L300" i="7" s="1"/>
  <c r="M300" i="7" s="1"/>
  <c r="G50" i="7"/>
  <c r="G156" i="7"/>
  <c r="G98" i="7"/>
  <c r="Z9" i="2"/>
  <c r="W177" i="7"/>
  <c r="W215" i="7"/>
  <c r="W157" i="7"/>
  <c r="W354" i="7"/>
  <c r="J354" i="7" s="1"/>
  <c r="W143" i="7"/>
  <c r="W313" i="7"/>
  <c r="W318" i="7"/>
  <c r="J318" i="7" s="1"/>
  <c r="W144" i="7"/>
  <c r="J144" i="7" s="1"/>
  <c r="V12" i="7"/>
  <c r="J12" i="7" s="1"/>
  <c r="V156" i="7"/>
  <c r="J156" i="7" s="1"/>
  <c r="V50" i="7"/>
  <c r="V11" i="7"/>
  <c r="J11" i="7" s="1"/>
  <c r="V143" i="7"/>
  <c r="U215" i="7"/>
  <c r="U50" i="7"/>
  <c r="U98" i="7"/>
  <c r="U163" i="7"/>
  <c r="J163" i="7" s="1"/>
  <c r="T161" i="7"/>
  <c r="J161" i="7" s="1"/>
  <c r="T162" i="7"/>
  <c r="J162" i="7" s="1"/>
  <c r="T98" i="7"/>
  <c r="X129" i="7"/>
  <c r="J129" i="7" s="1"/>
  <c r="X138" i="7"/>
  <c r="J138" i="7" s="1"/>
  <c r="X157" i="7"/>
  <c r="X313" i="7"/>
  <c r="X132" i="7"/>
  <c r="J132" i="7" s="1"/>
  <c r="X140" i="7"/>
  <c r="J140" i="7" s="1"/>
  <c r="X177" i="7"/>
  <c r="T291" i="7"/>
  <c r="X25" i="7"/>
  <c r="IG36" i="5"/>
  <c r="IF37" i="5"/>
  <c r="GC122" i="14"/>
  <c r="GD122" i="14" s="1"/>
  <c r="GC90" i="14"/>
  <c r="GD90" i="14" s="1"/>
  <c r="GK90" i="14" s="1"/>
  <c r="ET7" i="14"/>
  <c r="EU7" i="14" s="1"/>
  <c r="J95" i="23" s="1"/>
  <c r="ET27" i="14"/>
  <c r="EU27" i="14" s="1"/>
  <c r="J116" i="23" s="1"/>
  <c r="ET32" i="14"/>
  <c r="EU32" i="14" s="1"/>
  <c r="J121" i="23" s="1"/>
  <c r="ET24" i="14"/>
  <c r="EU24" i="14" s="1"/>
  <c r="J113" i="23" s="1"/>
  <c r="ET13" i="14"/>
  <c r="EU13" i="14" s="1"/>
  <c r="J101" i="23" s="1"/>
  <c r="ET9" i="14"/>
  <c r="EU9" i="14" s="1"/>
  <c r="J97" i="23" s="1"/>
  <c r="ET25" i="14"/>
  <c r="EU25" i="14" s="1"/>
  <c r="J114" i="23" s="1"/>
  <c r="ET21" i="14"/>
  <c r="EU21" i="14" s="1"/>
  <c r="J110" i="23" s="1"/>
  <c r="ET17" i="14"/>
  <c r="EU17" i="14" s="1"/>
  <c r="J106" i="23" s="1"/>
  <c r="ET22" i="14"/>
  <c r="EU22" i="14" s="1"/>
  <c r="J111" i="23" s="1"/>
  <c r="ET14" i="14"/>
  <c r="EU14" i="14" s="1"/>
  <c r="J103" i="23" s="1"/>
  <c r="ET11" i="14"/>
  <c r="EU11" i="14" s="1"/>
  <c r="J99" i="23" s="1"/>
  <c r="H31" i="23"/>
  <c r="J31" i="23" s="1"/>
  <c r="H32" i="23"/>
  <c r="J32" i="23" s="1"/>
  <c r="J22" i="23"/>
  <c r="AY9" i="33"/>
  <c r="AX10" i="33"/>
  <c r="BB8" i="33"/>
  <c r="BR9" i="33"/>
  <c r="BO10" i="33"/>
  <c r="BN11" i="33"/>
  <c r="AD7" i="33"/>
  <c r="AC8" i="33"/>
  <c r="G16" i="31"/>
  <c r="G89" i="31"/>
  <c r="E18" i="30"/>
  <c r="G18" i="30" s="1"/>
  <c r="E57" i="30"/>
  <c r="G57" i="30" s="1"/>
  <c r="AS113" i="21"/>
  <c r="BC78" i="21"/>
  <c r="BC113" i="21"/>
  <c r="Z127" i="21"/>
  <c r="AU76" i="21"/>
  <c r="AA76" i="21"/>
  <c r="AJ128" i="21"/>
  <c r="AJ127" i="21"/>
  <c r="G207" i="7"/>
  <c r="G193" i="7"/>
  <c r="G268" i="7"/>
  <c r="G212" i="7"/>
  <c r="G208" i="7"/>
  <c r="G204" i="7"/>
  <c r="G200" i="7"/>
  <c r="G196" i="7"/>
  <c r="G192" i="7"/>
  <c r="G188" i="7"/>
  <c r="G69" i="7"/>
  <c r="G294" i="7"/>
  <c r="L294" i="7" s="1"/>
  <c r="M294" i="7" s="1"/>
  <c r="G221" i="7"/>
  <c r="G209" i="7"/>
  <c r="G205" i="7"/>
  <c r="G201" i="7"/>
  <c r="G197" i="7"/>
  <c r="G189" i="7"/>
  <c r="G70" i="7"/>
  <c r="G225" i="7"/>
  <c r="G210" i="7"/>
  <c r="G206" i="7"/>
  <c r="G202" i="7"/>
  <c r="G198" i="7"/>
  <c r="G194" i="7"/>
  <c r="G190" i="7"/>
  <c r="G73" i="7"/>
  <c r="G111" i="7"/>
  <c r="G223" i="7"/>
  <c r="G211" i="7"/>
  <c r="G203" i="7"/>
  <c r="G199" i="7"/>
  <c r="G195" i="7"/>
  <c r="G191" i="7"/>
  <c r="G127" i="7"/>
  <c r="Y290" i="7"/>
  <c r="Y291" i="7"/>
  <c r="AD57" i="14"/>
  <c r="Y348" i="7"/>
  <c r="Y123" i="7"/>
  <c r="Y351" i="7"/>
  <c r="O42" i="21"/>
  <c r="AI18" i="21"/>
  <c r="D10" i="8"/>
  <c r="O18" i="21"/>
  <c r="E18" i="21"/>
  <c r="Y18" i="21"/>
  <c r="V340" i="7"/>
  <c r="V254" i="7"/>
  <c r="V241" i="7"/>
  <c r="V108" i="7"/>
  <c r="V248" i="7"/>
  <c r="V217" i="7"/>
  <c r="U254" i="7"/>
  <c r="U108" i="7"/>
  <c r="U248" i="7"/>
  <c r="T348" i="7"/>
  <c r="T248" i="7"/>
  <c r="T108" i="7"/>
  <c r="T66" i="7"/>
  <c r="T217" i="7"/>
  <c r="T254" i="7"/>
  <c r="T25" i="7"/>
  <c r="X108" i="7"/>
  <c r="X248" i="7"/>
  <c r="X145" i="7"/>
  <c r="J145" i="7" s="1"/>
  <c r="X340" i="7"/>
  <c r="X252" i="7"/>
  <c r="X254" i="7"/>
  <c r="X241" i="7"/>
  <c r="X66" i="7"/>
  <c r="W248" i="7"/>
  <c r="W217" i="7"/>
  <c r="W340" i="7"/>
  <c r="W252" i="7"/>
  <c r="W254" i="7"/>
  <c r="W241" i="7"/>
  <c r="W66" i="7"/>
  <c r="W108" i="7"/>
  <c r="G248" i="7"/>
  <c r="G25" i="7"/>
  <c r="G254" i="7"/>
  <c r="G340" i="7"/>
  <c r="G108" i="7"/>
  <c r="G145" i="7"/>
  <c r="G66" i="7"/>
  <c r="G116" i="7"/>
  <c r="G18" i="7"/>
  <c r="BC107" i="21"/>
  <c r="AS107" i="21"/>
  <c r="AI107" i="21"/>
  <c r="Y107" i="21"/>
  <c r="O107" i="21"/>
  <c r="G36" i="7"/>
  <c r="G96" i="7"/>
  <c r="G339" i="7"/>
  <c r="G309" i="7"/>
  <c r="G253" i="7"/>
  <c r="G128" i="7"/>
  <c r="G104" i="7"/>
  <c r="G65" i="7"/>
  <c r="G314" i="7"/>
  <c r="G266" i="7"/>
  <c r="G106" i="7"/>
  <c r="G35" i="7"/>
  <c r="G160" i="7"/>
  <c r="G337" i="7"/>
  <c r="G282" i="7"/>
  <c r="G214" i="7"/>
  <c r="G42" i="7"/>
  <c r="G61" i="7"/>
  <c r="G102" i="7"/>
  <c r="G303" i="7"/>
  <c r="G216" i="7"/>
  <c r="G92" i="7"/>
  <c r="BW33" i="6"/>
  <c r="AU13" i="15"/>
  <c r="AT12" i="15"/>
  <c r="GL236" i="11"/>
  <c r="EI76" i="11"/>
  <c r="EI160" i="11"/>
  <c r="EI136" i="11"/>
  <c r="EI112" i="11"/>
  <c r="EI46" i="11"/>
  <c r="EI22" i="11"/>
  <c r="EI82" i="11"/>
  <c r="EI58" i="11"/>
  <c r="EI142" i="11"/>
  <c r="EI118" i="11"/>
  <c r="EI52" i="11"/>
  <c r="EI28" i="11"/>
  <c r="EI88" i="11"/>
  <c r="EI64" i="11"/>
  <c r="EI148" i="11"/>
  <c r="EI124" i="11"/>
  <c r="EI100" i="11"/>
  <c r="EI34" i="11"/>
  <c r="EI94" i="11"/>
  <c r="EI70" i="11"/>
  <c r="EI154" i="11"/>
  <c r="EI130" i="11"/>
  <c r="EI106" i="11"/>
  <c r="EI40" i="11"/>
  <c r="EI16" i="11"/>
  <c r="L27" i="2"/>
  <c r="K27" i="2"/>
  <c r="J27" i="2"/>
  <c r="I27" i="2"/>
  <c r="S11" i="6"/>
  <c r="S35" i="6"/>
  <c r="AU4" i="14"/>
  <c r="H27" i="4"/>
  <c r="EX70" i="14" s="1"/>
  <c r="H27" i="2"/>
  <c r="BX34" i="6"/>
  <c r="Y350" i="7"/>
  <c r="Y349" i="7"/>
  <c r="Y347" i="7"/>
  <c r="Y346" i="7"/>
  <c r="Y22" i="7"/>
  <c r="Y21" i="7"/>
  <c r="BB8" i="19"/>
  <c r="BC8" i="19" s="1"/>
  <c r="AX10" i="19"/>
  <c r="AY9" i="19"/>
  <c r="BQ10" i="19"/>
  <c r="BT10" i="19" s="1"/>
  <c r="BP11" i="19"/>
  <c r="I26" i="4"/>
  <c r="G45" i="7" s="1"/>
  <c r="M35" i="6"/>
  <c r="M34" i="6"/>
  <c r="M33" i="6"/>
  <c r="M32" i="6"/>
  <c r="M31" i="6"/>
  <c r="M30" i="6"/>
  <c r="M29" i="6"/>
  <c r="M28" i="6"/>
  <c r="M27" i="6"/>
  <c r="M26" i="6"/>
  <c r="M25" i="6"/>
  <c r="M24" i="6"/>
  <c r="M23" i="6"/>
  <c r="M22" i="6"/>
  <c r="M21" i="6"/>
  <c r="M20" i="6"/>
  <c r="M19" i="6"/>
  <c r="M18" i="6"/>
  <c r="M17" i="6"/>
  <c r="M16" i="6"/>
  <c r="M15" i="6"/>
  <c r="M14" i="6"/>
  <c r="M13" i="6"/>
  <c r="M12" i="6"/>
  <c r="M11" i="6"/>
  <c r="V350" i="7"/>
  <c r="G175" i="7"/>
  <c r="G118" i="7"/>
  <c r="D26" i="13"/>
  <c r="C26" i="13"/>
  <c r="AD7" i="19"/>
  <c r="AC8" i="19"/>
  <c r="G228" i="7"/>
  <c r="D83" i="13"/>
  <c r="C83" i="13"/>
  <c r="D64" i="13"/>
  <c r="C64" i="13"/>
  <c r="D45" i="13"/>
  <c r="D44" i="13" s="1"/>
  <c r="C45" i="13"/>
  <c r="D43" i="13" s="1"/>
  <c r="B215" i="11"/>
  <c r="GL219" i="11"/>
  <c r="DK94" i="11"/>
  <c r="DK88" i="11"/>
  <c r="DK82" i="11"/>
  <c r="AD38" i="14"/>
  <c r="G23" i="7"/>
  <c r="G148" i="7"/>
  <c r="G158" i="7"/>
  <c r="G247" i="7"/>
  <c r="G333" i="7"/>
  <c r="G345" i="7"/>
  <c r="G344" i="7"/>
  <c r="G90" i="7"/>
  <c r="AX101" i="10"/>
  <c r="AX115" i="10"/>
  <c r="Z10" i="2"/>
  <c r="Y11" i="2"/>
  <c r="L35" i="2"/>
  <c r="N35" i="2"/>
  <c r="L38" i="2"/>
  <c r="M38" i="2" s="1"/>
  <c r="N38" i="2"/>
  <c r="O38" i="2" s="1"/>
  <c r="L36" i="2"/>
  <c r="N36" i="2"/>
  <c r="L34" i="2"/>
  <c r="N34" i="2"/>
  <c r="L37" i="2"/>
  <c r="N37" i="2"/>
  <c r="L33" i="2"/>
  <c r="N33" i="2"/>
  <c r="N26" i="2"/>
  <c r="N24" i="2"/>
  <c r="G39" i="7" s="1"/>
  <c r="N25" i="2"/>
  <c r="M15" i="2" s="1"/>
  <c r="N21" i="2"/>
  <c r="T351" i="7"/>
  <c r="T123" i="7"/>
  <c r="U171" i="7"/>
  <c r="U351" i="7"/>
  <c r="V233" i="7"/>
  <c r="V351" i="7"/>
  <c r="W282" i="7"/>
  <c r="W351" i="7"/>
  <c r="X351" i="7"/>
  <c r="X22" i="7"/>
  <c r="X21" i="7"/>
  <c r="J124" i="7"/>
  <c r="DA34" i="10"/>
  <c r="DK160" i="11"/>
  <c r="DK154" i="11"/>
  <c r="DK148" i="11"/>
  <c r="DK142" i="11"/>
  <c r="DK136" i="11"/>
  <c r="DK130" i="11"/>
  <c r="DK124" i="11"/>
  <c r="DK118" i="11"/>
  <c r="DK112" i="11"/>
  <c r="DK106" i="11"/>
  <c r="DK100" i="11"/>
  <c r="DK76" i="11"/>
  <c r="DK70" i="11"/>
  <c r="DK64" i="11"/>
  <c r="DK58" i="11"/>
  <c r="DK52" i="11"/>
  <c r="DK46" i="11"/>
  <c r="DK40" i="11"/>
  <c r="DK34" i="11"/>
  <c r="DK28" i="11"/>
  <c r="DK22" i="11"/>
  <c r="DK16" i="11"/>
  <c r="J26" i="4"/>
  <c r="L26" i="4"/>
  <c r="X8" i="8" s="1"/>
  <c r="K26" i="4"/>
  <c r="G351" i="7"/>
  <c r="G350" i="7"/>
  <c r="G349" i="7"/>
  <c r="G348" i="7"/>
  <c r="G347" i="7"/>
  <c r="G346" i="7"/>
  <c r="T13" i="7"/>
  <c r="J13" i="7" s="1"/>
  <c r="T10" i="7"/>
  <c r="T27" i="7"/>
  <c r="T40" i="7"/>
  <c r="T42" i="7"/>
  <c r="T47" i="7"/>
  <c r="T49" i="7"/>
  <c r="T56" i="7"/>
  <c r="T74" i="7"/>
  <c r="T75" i="7"/>
  <c r="T76" i="7"/>
  <c r="T77" i="7"/>
  <c r="T78" i="7"/>
  <c r="T79" i="7"/>
  <c r="T80" i="7"/>
  <c r="T81" i="7"/>
  <c r="T82" i="7"/>
  <c r="T93" i="7"/>
  <c r="T94" i="7"/>
  <c r="T95" i="7"/>
  <c r="T110" i="7"/>
  <c r="T116" i="7"/>
  <c r="T121" i="7"/>
  <c r="J121" i="7" s="1"/>
  <c r="T134" i="7"/>
  <c r="T136" i="7"/>
  <c r="T147" i="7"/>
  <c r="T150" i="7"/>
  <c r="T153" i="7"/>
  <c r="T155" i="7"/>
  <c r="T158" i="7"/>
  <c r="T170" i="7"/>
  <c r="T178" i="7"/>
  <c r="T179" i="7"/>
  <c r="T180" i="7"/>
  <c r="T184" i="7"/>
  <c r="T213" i="7"/>
  <c r="T224" i="7"/>
  <c r="T235" i="7"/>
  <c r="T237" i="7"/>
  <c r="J237" i="7" s="1"/>
  <c r="T242" i="7"/>
  <c r="T250" i="7"/>
  <c r="T266" i="7"/>
  <c r="T269" i="7"/>
  <c r="T271" i="7"/>
  <c r="T272" i="7"/>
  <c r="T273" i="7"/>
  <c r="T274" i="7"/>
  <c r="T275" i="7"/>
  <c r="T276" i="7"/>
  <c r="T277" i="7"/>
  <c r="T278" i="7"/>
  <c r="T290" i="7"/>
  <c r="T293" i="7"/>
  <c r="T303" i="7"/>
  <c r="T306" i="7"/>
  <c r="T310" i="7"/>
  <c r="J310" i="7" s="1"/>
  <c r="T311" i="7"/>
  <c r="T321" i="7"/>
  <c r="T322" i="7"/>
  <c r="T323" i="7"/>
  <c r="T324" i="7"/>
  <c r="T325" i="7"/>
  <c r="T326" i="7"/>
  <c r="T327" i="7"/>
  <c r="T328" i="7"/>
  <c r="T329" i="7"/>
  <c r="T330" i="7"/>
  <c r="T331" i="7"/>
  <c r="T335" i="7"/>
  <c r="T337" i="7"/>
  <c r="T342" i="7"/>
  <c r="T343" i="7"/>
  <c r="T344" i="7"/>
  <c r="T353" i="7"/>
  <c r="T355" i="7"/>
  <c r="T356" i="7"/>
  <c r="T357" i="7"/>
  <c r="T358" i="7"/>
  <c r="T359" i="7"/>
  <c r="U291" i="7"/>
  <c r="U290" i="7"/>
  <c r="U284" i="7"/>
  <c r="U253" i="7"/>
  <c r="J253" i="7" s="1"/>
  <c r="U251" i="7"/>
  <c r="U247" i="7"/>
  <c r="U246" i="7"/>
  <c r="U224" i="7"/>
  <c r="U184" i="7"/>
  <c r="U169" i="7"/>
  <c r="J169" i="7" s="1"/>
  <c r="U160" i="7"/>
  <c r="J160" i="7" s="1"/>
  <c r="U158" i="7"/>
  <c r="U139" i="7"/>
  <c r="U128" i="7"/>
  <c r="U116" i="7"/>
  <c r="U102" i="7"/>
  <c r="U101" i="7"/>
  <c r="U100" i="7"/>
  <c r="U61" i="7"/>
  <c r="J61" i="7" s="1"/>
  <c r="U55" i="7"/>
  <c r="U36" i="7"/>
  <c r="J36" i="7" s="1"/>
  <c r="U35" i="7"/>
  <c r="U21" i="7"/>
  <c r="U307" i="7"/>
  <c r="U309" i="7"/>
  <c r="J309" i="7" s="1"/>
  <c r="U311" i="7"/>
  <c r="U314" i="7"/>
  <c r="U337" i="7"/>
  <c r="U343" i="7"/>
  <c r="U342" i="7"/>
  <c r="U346" i="7"/>
  <c r="U350" i="7"/>
  <c r="U353" i="7"/>
  <c r="V227" i="7"/>
  <c r="V213" i="7"/>
  <c r="V184" i="7"/>
  <c r="V170" i="7"/>
  <c r="V167" i="7"/>
  <c r="J167" i="7" s="1"/>
  <c r="V158" i="7"/>
  <c r="V148" i="7"/>
  <c r="J148" i="7" s="1"/>
  <c r="V139" i="7"/>
  <c r="V131" i="7"/>
  <c r="V128" i="7"/>
  <c r="V114" i="7"/>
  <c r="V109" i="7"/>
  <c r="V104" i="7"/>
  <c r="V96" i="7"/>
  <c r="V92" i="7"/>
  <c r="V90" i="7"/>
  <c r="V74" i="7"/>
  <c r="V68" i="7"/>
  <c r="J68" i="7" s="1"/>
  <c r="V65" i="7"/>
  <c r="J65" i="7" s="1"/>
  <c r="V63" i="7"/>
  <c r="V59" i="7"/>
  <c r="V57" i="7"/>
  <c r="V55" i="7"/>
  <c r="V48" i="7"/>
  <c r="V47" i="7"/>
  <c r="V42" i="7"/>
  <c r="V35" i="7"/>
  <c r="V31" i="7"/>
  <c r="V28" i="7"/>
  <c r="V16" i="7"/>
  <c r="V15" i="7"/>
  <c r="V361" i="7"/>
  <c r="V346" i="7"/>
  <c r="V339" i="7"/>
  <c r="V338" i="7"/>
  <c r="V314" i="7"/>
  <c r="V307" i="7"/>
  <c r="V297" i="7"/>
  <c r="V291" i="7"/>
  <c r="V290" i="7"/>
  <c r="V284" i="7"/>
  <c r="V279" i="7"/>
  <c r="J279" i="7" s="1"/>
  <c r="V269" i="7"/>
  <c r="V249" i="7"/>
  <c r="V247" i="7"/>
  <c r="V246" i="7"/>
  <c r="V243" i="7"/>
  <c r="V242" i="7"/>
  <c r="V239" i="7"/>
  <c r="V234" i="7"/>
  <c r="W346" i="7"/>
  <c r="W339" i="7"/>
  <c r="W338" i="7"/>
  <c r="W303" i="7"/>
  <c r="W296" i="7"/>
  <c r="W293" i="7"/>
  <c r="W291" i="7"/>
  <c r="W290" i="7"/>
  <c r="W269" i="7"/>
  <c r="W266" i="7"/>
  <c r="W249" i="7"/>
  <c r="W246" i="7"/>
  <c r="W239" i="7"/>
  <c r="W234" i="7"/>
  <c r="W233" i="7"/>
  <c r="W213" i="7"/>
  <c r="W171" i="7"/>
  <c r="W159" i="7"/>
  <c r="W134" i="7"/>
  <c r="W131" i="7"/>
  <c r="W114" i="7"/>
  <c r="W112" i="7"/>
  <c r="W110" i="7"/>
  <c r="W109" i="7"/>
  <c r="W107" i="7"/>
  <c r="W104" i="7"/>
  <c r="W96" i="7"/>
  <c r="W92" i="7"/>
  <c r="W90" i="7"/>
  <c r="W74" i="7"/>
  <c r="W64" i="7"/>
  <c r="W63" i="7"/>
  <c r="W59" i="7"/>
  <c r="W55" i="7"/>
  <c r="W51" i="7"/>
  <c r="W43" i="7"/>
  <c r="W42" i="7"/>
  <c r="W31" i="7"/>
  <c r="W28" i="7"/>
  <c r="W22" i="7"/>
  <c r="W21" i="7"/>
  <c r="W20" i="7"/>
  <c r="W16" i="7"/>
  <c r="W15" i="7"/>
  <c r="X361" i="7"/>
  <c r="X359" i="7"/>
  <c r="X358" i="7"/>
  <c r="X357" i="7"/>
  <c r="X356" i="7"/>
  <c r="X355" i="7"/>
  <c r="X347" i="7"/>
  <c r="X346" i="7"/>
  <c r="X345" i="7"/>
  <c r="J345" i="7" s="1"/>
  <c r="X344" i="7"/>
  <c r="X342" i="7"/>
  <c r="X339" i="7"/>
  <c r="X335" i="7"/>
  <c r="X331" i="7"/>
  <c r="X330" i="7"/>
  <c r="X329" i="7"/>
  <c r="X328" i="7"/>
  <c r="X327" i="7"/>
  <c r="X326" i="7"/>
  <c r="X325" i="7"/>
  <c r="X324" i="7"/>
  <c r="X323" i="7"/>
  <c r="X322" i="7"/>
  <c r="X321" i="7"/>
  <c r="X320" i="7"/>
  <c r="J320" i="7" s="1"/>
  <c r="X319" i="7"/>
  <c r="J319" i="7" s="1"/>
  <c r="X317" i="7"/>
  <c r="J317" i="7" s="1"/>
  <c r="X315" i="7"/>
  <c r="J315" i="7" s="1"/>
  <c r="X305" i="7"/>
  <c r="J305" i="7" s="1"/>
  <c r="X303" i="7"/>
  <c r="X297" i="7"/>
  <c r="X296" i="7"/>
  <c r="X293" i="7"/>
  <c r="X291" i="7"/>
  <c r="X290" i="7"/>
  <c r="X282" i="7"/>
  <c r="X281" i="7"/>
  <c r="J281" i="7" s="1"/>
  <c r="X278" i="7"/>
  <c r="X277" i="7"/>
  <c r="X276" i="7"/>
  <c r="X275" i="7"/>
  <c r="X274" i="7"/>
  <c r="X273" i="7"/>
  <c r="X272" i="7"/>
  <c r="X271" i="7"/>
  <c r="X269" i="7"/>
  <c r="X266" i="7"/>
  <c r="X251" i="7"/>
  <c r="X250" i="7"/>
  <c r="X249" i="7"/>
  <c r="X244" i="7"/>
  <c r="J244" i="7" s="1"/>
  <c r="X242" i="7"/>
  <c r="X239" i="7"/>
  <c r="X236" i="7"/>
  <c r="J236" i="7" s="1"/>
  <c r="X235" i="7"/>
  <c r="X233" i="7"/>
  <c r="X229" i="7"/>
  <c r="J229" i="7" s="1"/>
  <c r="X227" i="7"/>
  <c r="X218" i="7"/>
  <c r="J218" i="7" s="1"/>
  <c r="X187" i="7"/>
  <c r="J187" i="7" s="1"/>
  <c r="X186" i="7"/>
  <c r="J186" i="7" s="1"/>
  <c r="X184" i="7"/>
  <c r="X180" i="7"/>
  <c r="X179" i="7"/>
  <c r="X178" i="7"/>
  <c r="X170" i="7"/>
  <c r="X159" i="7"/>
  <c r="X155" i="7"/>
  <c r="X153" i="7"/>
  <c r="X150" i="7"/>
  <c r="X149" i="7"/>
  <c r="J149" i="7" s="1"/>
  <c r="X147" i="7"/>
  <c r="X137" i="7"/>
  <c r="J137" i="7" s="1"/>
  <c r="X136" i="7"/>
  <c r="X134" i="7"/>
  <c r="X133" i="7"/>
  <c r="J133" i="7" s="1"/>
  <c r="X130" i="7"/>
  <c r="J130" i="7" s="1"/>
  <c r="X116" i="7"/>
  <c r="X115" i="7"/>
  <c r="J115" i="7" s="1"/>
  <c r="X112" i="7"/>
  <c r="X110" i="7"/>
  <c r="X109" i="7"/>
  <c r="X107" i="7"/>
  <c r="X102" i="7"/>
  <c r="X101" i="7"/>
  <c r="X100" i="7"/>
  <c r="X95" i="7"/>
  <c r="X94" i="7"/>
  <c r="X93" i="7"/>
  <c r="X90" i="7"/>
  <c r="X82" i="7"/>
  <c r="X81" i="7"/>
  <c r="X80" i="7"/>
  <c r="X79" i="7"/>
  <c r="X78" i="7"/>
  <c r="X77" i="7"/>
  <c r="X76" i="7"/>
  <c r="X75" i="7"/>
  <c r="X74" i="7"/>
  <c r="X64" i="7"/>
  <c r="X63" i="7"/>
  <c r="X58" i="7"/>
  <c r="J58" i="7" s="1"/>
  <c r="X57" i="7"/>
  <c r="X56" i="7"/>
  <c r="X54" i="7"/>
  <c r="J54" i="7" s="1"/>
  <c r="X53" i="7"/>
  <c r="J53" i="7" s="1"/>
  <c r="X51" i="7"/>
  <c r="X49" i="7"/>
  <c r="X48" i="7"/>
  <c r="X43" i="7"/>
  <c r="X42" i="7"/>
  <c r="X40" i="7"/>
  <c r="X37" i="7"/>
  <c r="J37" i="7" s="1"/>
  <c r="X33" i="7"/>
  <c r="J33" i="7" s="1"/>
  <c r="X30" i="7"/>
  <c r="J30" i="7" s="1"/>
  <c r="X29" i="7"/>
  <c r="J29" i="7" s="1"/>
  <c r="X28" i="7"/>
  <c r="X27" i="7"/>
  <c r="X26" i="7"/>
  <c r="J26" i="7" s="1"/>
  <c r="X23" i="7"/>
  <c r="J23" i="7" s="1"/>
  <c r="X20" i="7"/>
  <c r="X18" i="7"/>
  <c r="J18" i="7" s="1"/>
  <c r="X16" i="7"/>
  <c r="X10" i="7"/>
  <c r="J106" i="7"/>
  <c r="J119" i="7"/>
  <c r="J151" i="7"/>
  <c r="J152" i="7"/>
  <c r="S14" i="6"/>
  <c r="S16" i="6"/>
  <c r="S17" i="6"/>
  <c r="S18" i="6"/>
  <c r="S19" i="6"/>
  <c r="S20" i="6"/>
  <c r="S21" i="6"/>
  <c r="S22" i="6"/>
  <c r="S23" i="6"/>
  <c r="S24" i="6"/>
  <c r="S25" i="6"/>
  <c r="S26" i="6"/>
  <c r="S28" i="6"/>
  <c r="T34" i="6"/>
  <c r="T13" i="6"/>
  <c r="T15" i="6"/>
  <c r="T16" i="6"/>
  <c r="T18" i="6"/>
  <c r="T19" i="6"/>
  <c r="T20" i="6"/>
  <c r="T21" i="6"/>
  <c r="T22" i="6"/>
  <c r="T23" i="6"/>
  <c r="T24" i="6"/>
  <c r="T26" i="6"/>
  <c r="T27" i="6"/>
  <c r="T28" i="6"/>
  <c r="T29" i="6"/>
  <c r="T33" i="6"/>
  <c r="U34" i="6"/>
  <c r="U11" i="6"/>
  <c r="U13" i="6"/>
  <c r="U15" i="6"/>
  <c r="U16" i="6"/>
  <c r="U18" i="6"/>
  <c r="U19" i="6"/>
  <c r="U20" i="6"/>
  <c r="U21" i="6"/>
  <c r="U22" i="6"/>
  <c r="U23" i="6"/>
  <c r="U24" i="6"/>
  <c r="U25" i="6"/>
  <c r="U26" i="6"/>
  <c r="U27" i="6"/>
  <c r="U28" i="6"/>
  <c r="U30" i="6"/>
  <c r="V32" i="6"/>
  <c r="V12" i="6"/>
  <c r="V14" i="6"/>
  <c r="V16" i="6"/>
  <c r="V17" i="6"/>
  <c r="V18" i="6"/>
  <c r="V19" i="6"/>
  <c r="V20" i="6"/>
  <c r="V21" i="6"/>
  <c r="V22" i="6"/>
  <c r="V23" i="6"/>
  <c r="V24" i="6"/>
  <c r="V25" i="6"/>
  <c r="V26" i="6"/>
  <c r="V28" i="6"/>
  <c r="V29" i="6"/>
  <c r="V30" i="6"/>
  <c r="V31" i="6"/>
  <c r="W34" i="6"/>
  <c r="W12" i="6"/>
  <c r="W14" i="6"/>
  <c r="W16" i="6"/>
  <c r="W17" i="6"/>
  <c r="W23" i="6"/>
  <c r="W25" i="6"/>
  <c r="W26" i="6"/>
  <c r="W28" i="6"/>
  <c r="W32" i="6"/>
  <c r="W33" i="6"/>
  <c r="X34" i="6"/>
  <c r="X11" i="6"/>
  <c r="X12" i="6"/>
  <c r="X13" i="6"/>
  <c r="X14" i="6"/>
  <c r="X15" i="6"/>
  <c r="X16" i="6"/>
  <c r="X17" i="6"/>
  <c r="X18" i="6"/>
  <c r="X19" i="6"/>
  <c r="X20" i="6"/>
  <c r="X21" i="6"/>
  <c r="X22" i="6"/>
  <c r="X23" i="6"/>
  <c r="X24" i="6"/>
  <c r="X25" i="6"/>
  <c r="X26" i="6"/>
  <c r="X27" i="6"/>
  <c r="X28" i="6"/>
  <c r="X29" i="6"/>
  <c r="X30" i="6"/>
  <c r="X31" i="6"/>
  <c r="X32" i="6"/>
  <c r="X33" i="6"/>
  <c r="Y32" i="6"/>
  <c r="Y11" i="6"/>
  <c r="Y12" i="6"/>
  <c r="Y14" i="6"/>
  <c r="Y16" i="6"/>
  <c r="Y17" i="6"/>
  <c r="Y26" i="6"/>
  <c r="Y30" i="6"/>
  <c r="Y31" i="6"/>
  <c r="G342" i="7"/>
  <c r="G335" i="7"/>
  <c r="G331" i="7"/>
  <c r="G319" i="7"/>
  <c r="G317" i="7"/>
  <c r="G306" i="7"/>
  <c r="G297" i="7"/>
  <c r="G295" i="7"/>
  <c r="G291" i="7"/>
  <c r="G290" i="7"/>
  <c r="G286" i="7"/>
  <c r="G281" i="7"/>
  <c r="G279" i="7"/>
  <c r="G264" i="7"/>
  <c r="G251" i="7"/>
  <c r="G243" i="7"/>
  <c r="G236" i="7"/>
  <c r="G233" i="7"/>
  <c r="G227" i="7"/>
  <c r="G178" i="7"/>
  <c r="G169" i="7"/>
  <c r="G166" i="7"/>
  <c r="G152" i="7"/>
  <c r="G151" i="7"/>
  <c r="G134" i="7"/>
  <c r="G131" i="7"/>
  <c r="G130" i="7"/>
  <c r="G123" i="7"/>
  <c r="G121" i="7"/>
  <c r="G112" i="7"/>
  <c r="G68" i="7"/>
  <c r="G59" i="7"/>
  <c r="G55" i="7"/>
  <c r="G49" i="7"/>
  <c r="G40" i="7"/>
  <c r="G31" i="7"/>
  <c r="G19" i="7"/>
  <c r="G21" i="7"/>
  <c r="O22" i="2"/>
  <c r="G305" i="7" l="1"/>
  <c r="J46" i="7"/>
  <c r="AB46" i="7" s="1"/>
  <c r="ER196" i="10"/>
  <c r="P13" i="17"/>
  <c r="S12" i="17" s="1"/>
  <c r="S11" i="17" s="1"/>
  <c r="S10" i="17" s="1"/>
  <c r="S9" i="17" s="1"/>
  <c r="S8" i="17" s="1"/>
  <c r="S7" i="17" s="1"/>
  <c r="P14" i="17"/>
  <c r="P12" i="17" s="1"/>
  <c r="P11" i="17" s="1"/>
  <c r="P10" i="17" s="1"/>
  <c r="P9" i="17" s="1"/>
  <c r="P8" i="17" s="1"/>
  <c r="P7" i="17" s="1"/>
  <c r="J215" i="7"/>
  <c r="L215" i="7" s="1"/>
  <c r="M215" i="7" s="1"/>
  <c r="J98" i="7"/>
  <c r="AB98" i="7" s="1"/>
  <c r="J143" i="7"/>
  <c r="AB143" i="7" s="1"/>
  <c r="J50" i="7"/>
  <c r="AB50" i="7" s="1"/>
  <c r="AS82" i="21"/>
  <c r="AS42" i="21"/>
  <c r="AI82" i="21"/>
  <c r="AI42" i="21"/>
  <c r="E15" i="6"/>
  <c r="E12" i="6"/>
  <c r="E27" i="6"/>
  <c r="E34" i="6"/>
  <c r="E26" i="6"/>
  <c r="E24" i="6"/>
  <c r="E22" i="6"/>
  <c r="E20" i="6"/>
  <c r="E18" i="6"/>
  <c r="E16" i="6"/>
  <c r="E31" i="6"/>
  <c r="E30" i="6"/>
  <c r="E29" i="6"/>
  <c r="E32" i="6"/>
  <c r="E33" i="6"/>
  <c r="E13" i="6"/>
  <c r="E28" i="6"/>
  <c r="E25" i="6"/>
  <c r="E23" i="6"/>
  <c r="E21" i="6"/>
  <c r="E19" i="6"/>
  <c r="E17" i="6"/>
  <c r="E14" i="6"/>
  <c r="E11" i="6"/>
  <c r="AB45" i="7"/>
  <c r="L45" i="7"/>
  <c r="M45" i="7" s="1"/>
  <c r="J313" i="7"/>
  <c r="G113" i="7"/>
  <c r="L113" i="7" s="1"/>
  <c r="M113" i="7" s="1"/>
  <c r="G265" i="7"/>
  <c r="L265" i="7" s="1"/>
  <c r="M265" i="7" s="1"/>
  <c r="G313" i="7"/>
  <c r="G181" i="7"/>
  <c r="L181" i="7" s="1"/>
  <c r="M181" i="7" s="1"/>
  <c r="L72" i="7"/>
  <c r="M72" i="7" s="1"/>
  <c r="G67" i="7"/>
  <c r="L67" i="7" s="1"/>
  <c r="M67" i="7" s="1"/>
  <c r="L39" i="7"/>
  <c r="M39" i="7" s="1"/>
  <c r="G164" i="7"/>
  <c r="L164" i="7" s="1"/>
  <c r="M164" i="7" s="1"/>
  <c r="G103" i="7"/>
  <c r="L103" i="7" s="1"/>
  <c r="M103" i="7" s="1"/>
  <c r="G11" i="7"/>
  <c r="L11" i="7" s="1"/>
  <c r="M11" i="7" s="1"/>
  <c r="L27" i="19"/>
  <c r="G360" i="7"/>
  <c r="L132" i="7"/>
  <c r="M132" i="7" s="1"/>
  <c r="AB132" i="7"/>
  <c r="AB129" i="7"/>
  <c r="L163" i="7"/>
  <c r="M163" i="7" s="1"/>
  <c r="AB163" i="7"/>
  <c r="AB12" i="7"/>
  <c r="J177" i="7"/>
  <c r="AB162" i="7"/>
  <c r="L162" i="7"/>
  <c r="M162" i="7" s="1"/>
  <c r="AB318" i="7"/>
  <c r="L318" i="7"/>
  <c r="M318" i="7" s="1"/>
  <c r="J157" i="7"/>
  <c r="AB140" i="7"/>
  <c r="AB138" i="7"/>
  <c r="AB161" i="7"/>
  <c r="L161" i="7"/>
  <c r="M161" i="7" s="1"/>
  <c r="AB156" i="7"/>
  <c r="L156" i="7"/>
  <c r="M156" i="7" s="1"/>
  <c r="AB11" i="7"/>
  <c r="L144" i="7"/>
  <c r="M144" i="7" s="1"/>
  <c r="AB144" i="7"/>
  <c r="L354" i="7"/>
  <c r="M354" i="7" s="1"/>
  <c r="AB354" i="7"/>
  <c r="J25" i="7"/>
  <c r="IF38" i="5"/>
  <c r="IG37" i="5"/>
  <c r="N16" i="31"/>
  <c r="P16" i="31"/>
  <c r="N89" i="31"/>
  <c r="O89" i="31" s="1"/>
  <c r="O88" i="31" s="1"/>
  <c r="O87" i="31" s="1"/>
  <c r="O86" i="31" s="1"/>
  <c r="O85" i="31" s="1"/>
  <c r="O84" i="31" s="1"/>
  <c r="O83" i="31" s="1"/>
  <c r="O82" i="31" s="1"/>
  <c r="O81" i="31" s="1"/>
  <c r="P89" i="31"/>
  <c r="Q89" i="31" s="1"/>
  <c r="Q88" i="31" s="1"/>
  <c r="Q87" i="31" s="1"/>
  <c r="Q86" i="31" s="1"/>
  <c r="Q85" i="31" s="1"/>
  <c r="Q84" i="31" s="1"/>
  <c r="Q83" i="31" s="1"/>
  <c r="Q82" i="31" s="1"/>
  <c r="Q81" i="31" s="1"/>
  <c r="GK122" i="14"/>
  <c r="GK62" i="14"/>
  <c r="M27" i="19"/>
  <c r="K27" i="19"/>
  <c r="I27" i="19" s="1"/>
  <c r="G165" i="7"/>
  <c r="FA40" i="14"/>
  <c r="FA36" i="14"/>
  <c r="FA32" i="14"/>
  <c r="FA28" i="14"/>
  <c r="FA24" i="14"/>
  <c r="FA59" i="14"/>
  <c r="FA55" i="14"/>
  <c r="FA51" i="14"/>
  <c r="FA47" i="14"/>
  <c r="FA43" i="14"/>
  <c r="FA41" i="14"/>
  <c r="FA37" i="14"/>
  <c r="FA33" i="14"/>
  <c r="FA29" i="14"/>
  <c r="FA25" i="14"/>
  <c r="FA60" i="14"/>
  <c r="FA56" i="14"/>
  <c r="FA52" i="14"/>
  <c r="FA48" i="14"/>
  <c r="FA44" i="14"/>
  <c r="FA42" i="14"/>
  <c r="FA38" i="14"/>
  <c r="FA34" i="14"/>
  <c r="FA30" i="14"/>
  <c r="FA26" i="14"/>
  <c r="FA61" i="14"/>
  <c r="FA57" i="14"/>
  <c r="FA53" i="14"/>
  <c r="FA49" i="14"/>
  <c r="FA45" i="14"/>
  <c r="FA39" i="14"/>
  <c r="FA35" i="14"/>
  <c r="FA31" i="14"/>
  <c r="FA27" i="14"/>
  <c r="FA23" i="14"/>
  <c r="FA58" i="14"/>
  <c r="FA54" i="14"/>
  <c r="FA50" i="14"/>
  <c r="FA46" i="14"/>
  <c r="FA62" i="14"/>
  <c r="G4" i="33"/>
  <c r="C4" i="33" s="1"/>
  <c r="G240" i="7"/>
  <c r="G219" i="7"/>
  <c r="BB9" i="33"/>
  <c r="AY10" i="33"/>
  <c r="AX11" i="33"/>
  <c r="G245" i="7"/>
  <c r="K27" i="33"/>
  <c r="I27" i="33" s="1"/>
  <c r="AD8" i="33"/>
  <c r="AC9" i="33"/>
  <c r="BR10" i="33"/>
  <c r="G125" i="7"/>
  <c r="BO11" i="33"/>
  <c r="BN12" i="33"/>
  <c r="G299" i="7"/>
  <c r="L299" i="7" s="1"/>
  <c r="M299" i="7" s="1"/>
  <c r="G32" i="7"/>
  <c r="G120" i="7"/>
  <c r="G110" i="7"/>
  <c r="J290" i="7"/>
  <c r="AD46" i="14"/>
  <c r="AD67" i="14"/>
  <c r="J291" i="7"/>
  <c r="BC117" i="21"/>
  <c r="AS117" i="21"/>
  <c r="O117" i="21"/>
  <c r="AI117" i="21"/>
  <c r="Y117" i="21"/>
  <c r="J66" i="7"/>
  <c r="J348" i="7"/>
  <c r="J252" i="7"/>
  <c r="J340" i="7"/>
  <c r="J217" i="7"/>
  <c r="J248" i="7"/>
  <c r="J241" i="7"/>
  <c r="J254" i="7"/>
  <c r="J108" i="7"/>
  <c r="G249" i="7"/>
  <c r="G220" i="7"/>
  <c r="G83" i="7"/>
  <c r="G109" i="7"/>
  <c r="G93" i="7"/>
  <c r="G184" i="7"/>
  <c r="AF196" i="11"/>
  <c r="AT129" i="14"/>
  <c r="AT130" i="14"/>
  <c r="AT131" i="14"/>
  <c r="J21" i="7"/>
  <c r="AI196" i="11"/>
  <c r="G101" i="7"/>
  <c r="G343" i="7"/>
  <c r="G320" i="7"/>
  <c r="BX108" i="10"/>
  <c r="J347" i="7"/>
  <c r="AT11" i="15"/>
  <c r="AU12" i="15"/>
  <c r="B236" i="11"/>
  <c r="GL240" i="11"/>
  <c r="G237" i="7"/>
  <c r="G229" i="7"/>
  <c r="G27" i="7"/>
  <c r="G330" i="7"/>
  <c r="G242" i="7"/>
  <c r="G174" i="7"/>
  <c r="G329" i="7"/>
  <c r="G336" i="7"/>
  <c r="G53" i="7"/>
  <c r="G100" i="7"/>
  <c r="G137" i="7"/>
  <c r="G250" i="7"/>
  <c r="G10" i="7"/>
  <c r="G15" i="7"/>
  <c r="G28" i="7"/>
  <c r="DB86" i="10"/>
  <c r="G171" i="7"/>
  <c r="J171" i="7" s="1"/>
  <c r="J234" i="7"/>
  <c r="J314" i="7"/>
  <c r="M37" i="2"/>
  <c r="M36" i="2" s="1"/>
  <c r="M35" i="2" s="1"/>
  <c r="M34" i="2" s="1"/>
  <c r="M33" i="2" s="1"/>
  <c r="M32" i="2" s="1"/>
  <c r="J297" i="7"/>
  <c r="J96" i="7"/>
  <c r="O37" i="2"/>
  <c r="O36" i="2" s="1"/>
  <c r="O35" i="2" s="1"/>
  <c r="O34" i="2" s="1"/>
  <c r="O33" i="2" s="1"/>
  <c r="O32" i="2" s="1"/>
  <c r="J123" i="7"/>
  <c r="J243" i="7"/>
  <c r="J43" i="7"/>
  <c r="J339" i="7"/>
  <c r="J16" i="7"/>
  <c r="J57" i="7"/>
  <c r="J346" i="7"/>
  <c r="J359" i="7"/>
  <c r="J355" i="7"/>
  <c r="J342" i="7"/>
  <c r="J330" i="7"/>
  <c r="J326" i="7"/>
  <c r="J322" i="7"/>
  <c r="J306" i="7"/>
  <c r="J275" i="7"/>
  <c r="J271" i="7"/>
  <c r="J242" i="7"/>
  <c r="J213" i="7"/>
  <c r="J178" i="7"/>
  <c r="J153" i="7"/>
  <c r="J134" i="7"/>
  <c r="J95" i="7"/>
  <c r="J81" i="7"/>
  <c r="J77" i="7"/>
  <c r="J56" i="7"/>
  <c r="J42" i="7"/>
  <c r="J107" i="7"/>
  <c r="J296" i="7"/>
  <c r="J338" i="7"/>
  <c r="J15" i="7"/>
  <c r="J92" i="7"/>
  <c r="J114" i="7"/>
  <c r="J307" i="7"/>
  <c r="J55" i="7"/>
  <c r="J102" i="7"/>
  <c r="J251" i="7"/>
  <c r="J356" i="7"/>
  <c r="J343" i="7"/>
  <c r="J331" i="7"/>
  <c r="J327" i="7"/>
  <c r="J323" i="7"/>
  <c r="J276" i="7"/>
  <c r="J272" i="7"/>
  <c r="J250" i="7"/>
  <c r="J224" i="7"/>
  <c r="J179" i="7"/>
  <c r="J155" i="7"/>
  <c r="J136" i="7"/>
  <c r="J110" i="7"/>
  <c r="J82" i="7"/>
  <c r="J78" i="7"/>
  <c r="J74" i="7"/>
  <c r="J10" i="7"/>
  <c r="J282" i="7"/>
  <c r="J20" i="7"/>
  <c r="J112" i="7"/>
  <c r="J159" i="7"/>
  <c r="J249" i="7"/>
  <c r="J361" i="7"/>
  <c r="J31" i="7"/>
  <c r="J48" i="7"/>
  <c r="J63" i="7"/>
  <c r="J90" i="7"/>
  <c r="J109" i="7"/>
  <c r="J101" i="7"/>
  <c r="J139" i="7"/>
  <c r="J247" i="7"/>
  <c r="J357" i="7"/>
  <c r="J344" i="7"/>
  <c r="J335" i="7"/>
  <c r="J328" i="7"/>
  <c r="J324" i="7"/>
  <c r="J311" i="7"/>
  <c r="J293" i="7"/>
  <c r="J277" i="7"/>
  <c r="J273" i="7"/>
  <c r="J266" i="7"/>
  <c r="J235" i="7"/>
  <c r="J180" i="7"/>
  <c r="J158" i="7"/>
  <c r="J147" i="7"/>
  <c r="J116" i="7"/>
  <c r="J93" i="7"/>
  <c r="J79" i="7"/>
  <c r="J75" i="7"/>
  <c r="J47" i="7"/>
  <c r="J27" i="7"/>
  <c r="J51" i="7"/>
  <c r="J64" i="7"/>
  <c r="J239" i="7"/>
  <c r="J28" i="7"/>
  <c r="J59" i="7"/>
  <c r="J104" i="7"/>
  <c r="J131" i="7"/>
  <c r="J227" i="7"/>
  <c r="J35" i="7"/>
  <c r="J100" i="7"/>
  <c r="J128" i="7"/>
  <c r="J246" i="7"/>
  <c r="J284" i="7"/>
  <c r="J358" i="7"/>
  <c r="J353" i="7"/>
  <c r="J337" i="7"/>
  <c r="J329" i="7"/>
  <c r="J325" i="7"/>
  <c r="J321" i="7"/>
  <c r="J303" i="7"/>
  <c r="J278" i="7"/>
  <c r="J274" i="7"/>
  <c r="J269" i="7"/>
  <c r="J184" i="7"/>
  <c r="J170" i="7"/>
  <c r="J150" i="7"/>
  <c r="J94" i="7"/>
  <c r="J80" i="7"/>
  <c r="J76" i="7"/>
  <c r="J49" i="7"/>
  <c r="J40" i="7"/>
  <c r="J233" i="7"/>
  <c r="J351" i="7"/>
  <c r="AX108" i="10"/>
  <c r="BX33" i="6"/>
  <c r="AU107" i="14"/>
  <c r="G4" i="19"/>
  <c r="AT5" i="14"/>
  <c r="AT88" i="14"/>
  <c r="X7" i="8"/>
  <c r="R7" i="8"/>
  <c r="L8" i="8"/>
  <c r="BB9" i="19"/>
  <c r="AX11" i="19"/>
  <c r="AY10" i="19"/>
  <c r="BQ11" i="19"/>
  <c r="BT11" i="19" s="1"/>
  <c r="BP12" i="19"/>
  <c r="AC9" i="19"/>
  <c r="AD8" i="19"/>
  <c r="P7" i="13"/>
  <c r="G33" i="7"/>
  <c r="B219" i="11"/>
  <c r="GL223" i="11"/>
  <c r="AD37" i="14"/>
  <c r="G147" i="7"/>
  <c r="G51" i="7"/>
  <c r="G235" i="7"/>
  <c r="G186" i="7"/>
  <c r="G187" i="7"/>
  <c r="G269" i="7"/>
  <c r="G218" i="7"/>
  <c r="G234" i="7"/>
  <c r="BK115" i="10"/>
  <c r="BK101" i="10"/>
  <c r="R8" i="8"/>
  <c r="BK108" i="10"/>
  <c r="L12" i="8"/>
  <c r="Y12" i="2"/>
  <c r="T12" i="2" s="1"/>
  <c r="T11" i="2"/>
  <c r="Z11" i="2" s="1"/>
  <c r="DW130" i="11"/>
  <c r="DW124" i="11"/>
  <c r="DW118" i="11"/>
  <c r="DW46" i="11"/>
  <c r="DW16" i="11"/>
  <c r="AW59" i="10"/>
  <c r="O21" i="2"/>
  <c r="AJ52" i="10"/>
  <c r="O25" i="2"/>
  <c r="AJ80" i="10"/>
  <c r="G74" i="7"/>
  <c r="AJ59" i="10"/>
  <c r="O24" i="2"/>
  <c r="E5" i="6" s="1"/>
  <c r="AJ73" i="10"/>
  <c r="O26" i="2"/>
  <c r="BV100" i="5" s="1"/>
  <c r="AJ87" i="10"/>
  <c r="AJ66" i="10"/>
  <c r="L30" i="6"/>
  <c r="L29" i="6"/>
  <c r="L28" i="6"/>
  <c r="L16" i="6"/>
  <c r="L11" i="6"/>
  <c r="P29" i="6" l="1"/>
  <c r="O29" i="6"/>
  <c r="O28" i="6"/>
  <c r="P28" i="6"/>
  <c r="GH118" i="11" s="1"/>
  <c r="GE13" i="11"/>
  <c r="AW13" i="11" s="1"/>
  <c r="AB215" i="7"/>
  <c r="T5" i="2"/>
  <c r="T6" i="2" s="1"/>
  <c r="L50" i="7"/>
  <c r="M50" i="7" s="1"/>
  <c r="L143" i="7"/>
  <c r="M143" i="7" s="1"/>
  <c r="K17" i="19"/>
  <c r="I17" i="19" s="1"/>
  <c r="AS119" i="21"/>
  <c r="D5" i="6"/>
  <c r="L313" i="7"/>
  <c r="M313" i="7" s="1"/>
  <c r="AB313" i="7"/>
  <c r="L157" i="7"/>
  <c r="M157" i="7" s="1"/>
  <c r="AB157" i="7"/>
  <c r="L177" i="7"/>
  <c r="M177" i="7" s="1"/>
  <c r="AB177" i="7"/>
  <c r="IG38" i="5"/>
  <c r="IF39" i="5"/>
  <c r="GC32" i="14"/>
  <c r="GD32" i="14" s="1"/>
  <c r="FG78" i="14"/>
  <c r="GC48" i="14"/>
  <c r="GD48" i="14" s="1"/>
  <c r="GK48" i="14" s="1"/>
  <c r="GD31" i="14"/>
  <c r="BC9" i="19"/>
  <c r="C4" i="19"/>
  <c r="F3" i="19" s="1"/>
  <c r="BV98" i="5"/>
  <c r="GC33" i="14"/>
  <c r="R6" i="8"/>
  <c r="BX101" i="10" s="1"/>
  <c r="BB10" i="33"/>
  <c r="AY11" i="33"/>
  <c r="AX12" i="33"/>
  <c r="BR11" i="33"/>
  <c r="AD9" i="33"/>
  <c r="AC10" i="33"/>
  <c r="BO12" i="33"/>
  <c r="BN13" i="33"/>
  <c r="K17" i="33"/>
  <c r="I17" i="33" s="1"/>
  <c r="L35" i="6"/>
  <c r="E14" i="30"/>
  <c r="G14" i="30" s="1"/>
  <c r="AD19" i="14"/>
  <c r="AD47" i="14"/>
  <c r="AI119" i="21"/>
  <c r="AT10" i="15"/>
  <c r="AU11" i="15"/>
  <c r="GL244" i="11"/>
  <c r="B240" i="11"/>
  <c r="J1000" i="9"/>
  <c r="BX32" i="6"/>
  <c r="L13" i="6"/>
  <c r="L27" i="6"/>
  <c r="D13" i="6"/>
  <c r="D27" i="6"/>
  <c r="BB10" i="19"/>
  <c r="BC10" i="19" s="1"/>
  <c r="AX12" i="19"/>
  <c r="AY11" i="19"/>
  <c r="BQ12" i="19"/>
  <c r="BT12" i="19" s="1"/>
  <c r="BP13" i="19"/>
  <c r="N7" i="13"/>
  <c r="AD9" i="19"/>
  <c r="AC10" i="19"/>
  <c r="P28" i="13"/>
  <c r="B223" i="11"/>
  <c r="GP207" i="11"/>
  <c r="AE207" i="11" s="1"/>
  <c r="DW94" i="11"/>
  <c r="DW88" i="11"/>
  <c r="DW82" i="11"/>
  <c r="AD50" i="14"/>
  <c r="AD52" i="14"/>
  <c r="Y13" i="2"/>
  <c r="Z12" i="2"/>
  <c r="L14" i="6"/>
  <c r="DW34" i="11"/>
  <c r="AW66" i="10"/>
  <c r="DW160" i="11"/>
  <c r="DW112" i="11"/>
  <c r="DW40" i="11"/>
  <c r="DW28" i="11"/>
  <c r="AW87" i="10"/>
  <c r="L15" i="6"/>
  <c r="DW154" i="11"/>
  <c r="DW76" i="11"/>
  <c r="DW70" i="11"/>
  <c r="DW64" i="11"/>
  <c r="DW58" i="11"/>
  <c r="DW100" i="11"/>
  <c r="AW73" i="10"/>
  <c r="L34" i="6"/>
  <c r="L25" i="6"/>
  <c r="L24" i="6"/>
  <c r="L23" i="6"/>
  <c r="L22" i="6"/>
  <c r="L21" i="6"/>
  <c r="L20" i="6"/>
  <c r="L19" i="6"/>
  <c r="L18" i="6"/>
  <c r="DW106" i="11"/>
  <c r="DW136" i="11"/>
  <c r="DW148" i="11"/>
  <c r="AW80" i="10"/>
  <c r="L33" i="6"/>
  <c r="L31" i="6"/>
  <c r="L26" i="6"/>
  <c r="DW52" i="11"/>
  <c r="DW22" i="11"/>
  <c r="DW142" i="11"/>
  <c r="AW52" i="10"/>
  <c r="L32" i="6"/>
  <c r="L17" i="6"/>
  <c r="L12" i="6"/>
  <c r="P19" i="6" l="1"/>
  <c r="O19" i="6"/>
  <c r="CK19" i="6" s="1"/>
  <c r="P31" i="6"/>
  <c r="GH136" i="11" s="1"/>
  <c r="O31" i="6"/>
  <c r="P20" i="6"/>
  <c r="GH70" i="11" s="1"/>
  <c r="O20" i="6"/>
  <c r="O24" i="6"/>
  <c r="P24" i="6"/>
  <c r="P13" i="6"/>
  <c r="GH28" i="11" s="1"/>
  <c r="O13" i="6"/>
  <c r="P26" i="6"/>
  <c r="O26" i="6"/>
  <c r="P33" i="6"/>
  <c r="O33" i="6"/>
  <c r="P21" i="6"/>
  <c r="O21" i="6"/>
  <c r="CK21" i="6" s="1"/>
  <c r="P25" i="6"/>
  <c r="O25" i="6"/>
  <c r="P23" i="6"/>
  <c r="GH88" i="11" s="1"/>
  <c r="O23" i="6"/>
  <c r="O18" i="6"/>
  <c r="CV58" i="11" s="1"/>
  <c r="P18" i="6"/>
  <c r="P22" i="6"/>
  <c r="O22" i="6"/>
  <c r="CK22" i="6" s="1"/>
  <c r="O34" i="6"/>
  <c r="CK34" i="6" s="1"/>
  <c r="P34" i="6"/>
  <c r="GH154" i="11" s="1"/>
  <c r="P15" i="6"/>
  <c r="O15" i="6"/>
  <c r="GE17" i="11"/>
  <c r="GH124" i="11"/>
  <c r="AS123" i="21"/>
  <c r="AS21" i="21" s="1"/>
  <c r="BC123" i="21"/>
  <c r="Y123" i="21"/>
  <c r="AI123" i="21"/>
  <c r="AI21" i="21" s="1"/>
  <c r="E123" i="21"/>
  <c r="O123" i="21"/>
  <c r="ER82" i="5"/>
  <c r="ER83" i="5"/>
  <c r="ER84" i="5"/>
  <c r="ER85" i="5"/>
  <c r="ER86" i="5"/>
  <c r="IF40" i="5"/>
  <c r="IG39" i="5"/>
  <c r="GK99" i="14"/>
  <c r="GK32" i="14"/>
  <c r="GK17" i="14"/>
  <c r="GK31" i="14"/>
  <c r="GK44" i="14"/>
  <c r="GK29" i="14"/>
  <c r="GD107" i="14"/>
  <c r="GD33" i="14"/>
  <c r="GK33" i="14" s="1"/>
  <c r="AY12" i="33"/>
  <c r="AX13" i="33"/>
  <c r="BB11" i="33"/>
  <c r="AD10" i="33"/>
  <c r="AC11" i="33"/>
  <c r="BO13" i="33"/>
  <c r="BN14" i="33"/>
  <c r="BR12" i="33"/>
  <c r="AD21" i="14"/>
  <c r="AD20" i="14"/>
  <c r="CV124" i="11"/>
  <c r="CK29" i="6"/>
  <c r="CB39" i="26"/>
  <c r="AT9" i="15"/>
  <c r="AU10" i="15"/>
  <c r="GL248" i="11"/>
  <c r="B244" i="11"/>
  <c r="BX31" i="6"/>
  <c r="BB11" i="19"/>
  <c r="BC11" i="19" s="1"/>
  <c r="AX13" i="19"/>
  <c r="AY12" i="19"/>
  <c r="CA249" i="18"/>
  <c r="BQ13" i="19"/>
  <c r="BT13" i="19" s="1"/>
  <c r="BP14" i="19"/>
  <c r="AD10" i="19"/>
  <c r="AC11" i="19"/>
  <c r="GP211" i="11"/>
  <c r="AE211" i="11" s="1"/>
  <c r="AD51" i="14"/>
  <c r="Y14" i="2"/>
  <c r="T13" i="2"/>
  <c r="CV94" i="11" l="1"/>
  <c r="AW17" i="11"/>
  <c r="GE21" i="11"/>
  <c r="CK20" i="6"/>
  <c r="CK24" i="6"/>
  <c r="CK18" i="6"/>
  <c r="CK23" i="6"/>
  <c r="CV88" i="11"/>
  <c r="CV70" i="11"/>
  <c r="GH94" i="11"/>
  <c r="GH64" i="11"/>
  <c r="GH100" i="11"/>
  <c r="GH82" i="11"/>
  <c r="GH76" i="11"/>
  <c r="GH58" i="11"/>
  <c r="CV82" i="11"/>
  <c r="CV64" i="11"/>
  <c r="CV76" i="11"/>
  <c r="CK25" i="6"/>
  <c r="CV154" i="11"/>
  <c r="BU12" i="26"/>
  <c r="BX12" i="18"/>
  <c r="BY12" i="26"/>
  <c r="BT12" i="18"/>
  <c r="E74" i="21"/>
  <c r="E107" i="21"/>
  <c r="IG40" i="5"/>
  <c r="IF41" i="5"/>
  <c r="GK89" i="14"/>
  <c r="GK18" i="14"/>
  <c r="BB12" i="33"/>
  <c r="AY13" i="33"/>
  <c r="AX14" i="33"/>
  <c r="BF6" i="33"/>
  <c r="BG6" i="33" s="1"/>
  <c r="BE5" i="33"/>
  <c r="BR13" i="33"/>
  <c r="BO14" i="33"/>
  <c r="BN15" i="33"/>
  <c r="AD11" i="33"/>
  <c r="AC12" i="33"/>
  <c r="AD23" i="14"/>
  <c r="AD22" i="14"/>
  <c r="V56" i="21"/>
  <c r="W56" i="21" s="1"/>
  <c r="O95" i="21" s="1"/>
  <c r="O94" i="21" s="1"/>
  <c r="O28" i="21" s="1"/>
  <c r="Q71" i="18" s="1"/>
  <c r="L56" i="21"/>
  <c r="CV136" i="11"/>
  <c r="CK31" i="6"/>
  <c r="CV100" i="11"/>
  <c r="CZ39" i="26"/>
  <c r="CJ39" i="26"/>
  <c r="CR39" i="26"/>
  <c r="GL252" i="11"/>
  <c r="B248" i="11"/>
  <c r="CB42" i="26"/>
  <c r="BT42" i="26" s="1"/>
  <c r="BT39" i="26"/>
  <c r="GS264" i="11"/>
  <c r="BG5" i="19"/>
  <c r="BH6" i="19"/>
  <c r="BX30" i="6"/>
  <c r="BB12" i="19"/>
  <c r="AX14" i="19"/>
  <c r="AY13" i="19"/>
  <c r="CY249" i="18"/>
  <c r="CI249" i="18"/>
  <c r="CQ249" i="18"/>
  <c r="CA252" i="18"/>
  <c r="BS252" i="18" s="1"/>
  <c r="BS249" i="18"/>
  <c r="BQ14" i="19"/>
  <c r="BT14" i="19" s="1"/>
  <c r="BP15" i="19"/>
  <c r="J17" i="12"/>
  <c r="K17" i="12" s="1"/>
  <c r="K16" i="12" s="1"/>
  <c r="K15" i="12" s="1"/>
  <c r="K14" i="12" s="1"/>
  <c r="K13" i="12" s="1"/>
  <c r="K12" i="12" s="1"/>
  <c r="K11" i="12" s="1"/>
  <c r="Z13" i="2"/>
  <c r="AD11" i="19"/>
  <c r="AC12" i="19"/>
  <c r="GP215" i="11"/>
  <c r="AE215" i="11" s="1"/>
  <c r="AD54" i="14"/>
  <c r="Y16" i="2"/>
  <c r="T14" i="2"/>
  <c r="G185" i="7" s="1"/>
  <c r="GE25" i="11" l="1"/>
  <c r="AW21" i="11"/>
  <c r="G74" i="21"/>
  <c r="E75" i="21"/>
  <c r="G44" i="7"/>
  <c r="L44" i="7" s="1"/>
  <c r="M44" i="7" s="1"/>
  <c r="IF42" i="5"/>
  <c r="IG41" i="5"/>
  <c r="BC12" i="19"/>
  <c r="BB13" i="33"/>
  <c r="AY14" i="33"/>
  <c r="AX15" i="33"/>
  <c r="BO15" i="33"/>
  <c r="BN16" i="33"/>
  <c r="BJ6" i="33"/>
  <c r="AD12" i="33"/>
  <c r="AC13" i="33"/>
  <c r="BR14" i="33"/>
  <c r="BF7" i="33"/>
  <c r="AD25" i="14"/>
  <c r="AD24" i="14"/>
  <c r="H20" i="28"/>
  <c r="H21" i="28"/>
  <c r="G21" i="28"/>
  <c r="G20" i="28"/>
  <c r="I20" i="28" s="1"/>
  <c r="BJ14" i="5" s="1"/>
  <c r="X150" i="10"/>
  <c r="BI6" i="19"/>
  <c r="BL6" i="19" s="1"/>
  <c r="BH7" i="19"/>
  <c r="CB264" i="11"/>
  <c r="GS268" i="11"/>
  <c r="GL256" i="11"/>
  <c r="B252" i="11"/>
  <c r="W349" i="7"/>
  <c r="W350" i="7"/>
  <c r="BX29" i="6"/>
  <c r="V349" i="7"/>
  <c r="X349" i="7"/>
  <c r="X350" i="7"/>
  <c r="BB13" i="19"/>
  <c r="BC13" i="19" s="1"/>
  <c r="AX15" i="19"/>
  <c r="AY14" i="19"/>
  <c r="BQ15" i="19"/>
  <c r="BT15" i="19" s="1"/>
  <c r="BP16" i="19"/>
  <c r="U349" i="7"/>
  <c r="X7" i="2"/>
  <c r="Z14" i="2"/>
  <c r="AA14" i="2" s="1"/>
  <c r="AA13" i="2" s="1"/>
  <c r="AA12" i="2" s="1"/>
  <c r="AA11" i="2" s="1"/>
  <c r="AA10" i="2" s="1"/>
  <c r="AA9" i="2" s="1"/>
  <c r="AD12" i="19"/>
  <c r="AC13" i="19"/>
  <c r="GP219" i="11"/>
  <c r="AE219" i="11" s="1"/>
  <c r="AD53" i="14"/>
  <c r="G238" i="7"/>
  <c r="G52" i="7"/>
  <c r="G141" i="7"/>
  <c r="G146" i="7"/>
  <c r="G84" i="7"/>
  <c r="G105" i="7"/>
  <c r="AW25" i="11" l="1"/>
  <c r="GE29" i="11"/>
  <c r="F75" i="21"/>
  <c r="F76" i="21" s="1"/>
  <c r="E76" i="21"/>
  <c r="IG42" i="5"/>
  <c r="IF43" i="5"/>
  <c r="BB14" i="33"/>
  <c r="AY15" i="33"/>
  <c r="AX16" i="33"/>
  <c r="BR15" i="33"/>
  <c r="BG7" i="33"/>
  <c r="BF8" i="33"/>
  <c r="BO16" i="33"/>
  <c r="BN17" i="33"/>
  <c r="AD13" i="33"/>
  <c r="AC14" i="33"/>
  <c r="I21" i="28"/>
  <c r="BM14" i="5" s="1"/>
  <c r="GL260" i="11"/>
  <c r="B256" i="11"/>
  <c r="BH8" i="19"/>
  <c r="BI7" i="19"/>
  <c r="BL7" i="19" s="1"/>
  <c r="CB268" i="11"/>
  <c r="GS272" i="11"/>
  <c r="J349" i="7"/>
  <c r="J350" i="7"/>
  <c r="BX28" i="6"/>
  <c r="BB14" i="19"/>
  <c r="BC14" i="19" s="1"/>
  <c r="AX16" i="19"/>
  <c r="AY15" i="19"/>
  <c r="BP17" i="19"/>
  <c r="BQ16" i="19"/>
  <c r="BT16" i="19" s="1"/>
  <c r="AD13" i="19"/>
  <c r="AC14" i="19"/>
  <c r="GP223" i="11"/>
  <c r="AE223" i="11" s="1"/>
  <c r="AD60" i="14"/>
  <c r="AW29" i="11" l="1"/>
  <c r="GE33" i="11"/>
  <c r="F128" i="21"/>
  <c r="G76" i="21"/>
  <c r="E13" i="21"/>
  <c r="E41" i="21" s="1"/>
  <c r="F127" i="21"/>
  <c r="E117" i="21"/>
  <c r="IF44" i="5"/>
  <c r="IG43" i="5"/>
  <c r="AY16" i="33"/>
  <c r="AX17" i="33"/>
  <c r="BB15" i="33"/>
  <c r="BJ7" i="33"/>
  <c r="BG8" i="33"/>
  <c r="BF9" i="33"/>
  <c r="AD14" i="33"/>
  <c r="AC15" i="33"/>
  <c r="BR16" i="33"/>
  <c r="BO17" i="33"/>
  <c r="BN18" i="33"/>
  <c r="GL264" i="11"/>
  <c r="B260" i="11"/>
  <c r="GV264" i="11"/>
  <c r="CB272" i="11"/>
  <c r="BI8" i="19"/>
  <c r="BL8" i="19" s="1"/>
  <c r="BH9" i="19"/>
  <c r="BX27" i="6"/>
  <c r="BB15" i="19"/>
  <c r="AX17" i="19"/>
  <c r="AY16" i="19"/>
  <c r="BP18" i="19"/>
  <c r="BQ17" i="19"/>
  <c r="AD14" i="19"/>
  <c r="AC15" i="19"/>
  <c r="AD59" i="14"/>
  <c r="AW33" i="11" l="1"/>
  <c r="GE37" i="11"/>
  <c r="E82" i="21"/>
  <c r="E42" i="21"/>
  <c r="IG44" i="5"/>
  <c r="IF45" i="5"/>
  <c r="BC15" i="19"/>
  <c r="BB16" i="33"/>
  <c r="AY17" i="33"/>
  <c r="AX18" i="33"/>
  <c r="BO18" i="33"/>
  <c r="BN19" i="33"/>
  <c r="BG9" i="33"/>
  <c r="BF10" i="33"/>
  <c r="BR17" i="33"/>
  <c r="AD15" i="33"/>
  <c r="AC16" i="33"/>
  <c r="BJ8" i="33"/>
  <c r="GL268" i="11"/>
  <c r="B264" i="11"/>
  <c r="BI9" i="19"/>
  <c r="BL9" i="19" s="1"/>
  <c r="BH10" i="19"/>
  <c r="DK264" i="11"/>
  <c r="GV268" i="11"/>
  <c r="BX26" i="6"/>
  <c r="BB16" i="19"/>
  <c r="BC16" i="19" s="1"/>
  <c r="AX18" i="19"/>
  <c r="AY17" i="19"/>
  <c r="BT17" i="19"/>
  <c r="BP19" i="19"/>
  <c r="BQ18" i="19"/>
  <c r="AC16" i="19"/>
  <c r="AD15" i="19"/>
  <c r="AD66" i="14"/>
  <c r="AW37" i="11" l="1"/>
  <c r="GE41" i="11"/>
  <c r="IF46" i="5"/>
  <c r="IG45" i="5"/>
  <c r="BB17" i="33"/>
  <c r="AY18" i="33"/>
  <c r="AX19" i="33"/>
  <c r="BJ9" i="33"/>
  <c r="AD16" i="33"/>
  <c r="AC17" i="33"/>
  <c r="BG10" i="33"/>
  <c r="BF11" i="33"/>
  <c r="BR18" i="33"/>
  <c r="BO19" i="33"/>
  <c r="BN20" i="33"/>
  <c r="GL272" i="11"/>
  <c r="B268" i="11"/>
  <c r="DK268" i="11"/>
  <c r="GV272" i="11"/>
  <c r="BI10" i="19"/>
  <c r="BL10" i="19" s="1"/>
  <c r="BH11" i="19"/>
  <c r="BX25" i="6"/>
  <c r="BB17" i="19"/>
  <c r="BC17" i="19" s="1"/>
  <c r="AX19" i="19"/>
  <c r="AY18" i="19"/>
  <c r="BT18" i="19"/>
  <c r="BP20" i="19"/>
  <c r="BQ19" i="19"/>
  <c r="BC38" i="21"/>
  <c r="BC22" i="21"/>
  <c r="AC17" i="19"/>
  <c r="AD16" i="19"/>
  <c r="AD65" i="14"/>
  <c r="AW41" i="11" l="1"/>
  <c r="GE45" i="11"/>
  <c r="IG46" i="5"/>
  <c r="IF47" i="5"/>
  <c r="BB18" i="33"/>
  <c r="AY19" i="33"/>
  <c r="AX20" i="33"/>
  <c r="BO20" i="33"/>
  <c r="BN21" i="33"/>
  <c r="BG11" i="33"/>
  <c r="BF12" i="33"/>
  <c r="AD17" i="33"/>
  <c r="AC18" i="33"/>
  <c r="BR19" i="33"/>
  <c r="BJ10" i="33"/>
  <c r="GP232" i="11"/>
  <c r="B272" i="11"/>
  <c r="BI11" i="19"/>
  <c r="BL11" i="19" s="1"/>
  <c r="BH12" i="19"/>
  <c r="DK272" i="11"/>
  <c r="GY264" i="11"/>
  <c r="BX24" i="6"/>
  <c r="BB18" i="19"/>
  <c r="AX20" i="19"/>
  <c r="AY19" i="19"/>
  <c r="BT19" i="19"/>
  <c r="BP21" i="19"/>
  <c r="BQ20" i="19"/>
  <c r="BC39" i="21"/>
  <c r="AC18" i="19"/>
  <c r="AD17" i="19"/>
  <c r="AD72" i="14"/>
  <c r="AW45" i="11" l="1"/>
  <c r="GE49" i="11"/>
  <c r="IF48" i="5"/>
  <c r="IG47" i="5"/>
  <c r="BC18" i="19"/>
  <c r="BB19" i="33"/>
  <c r="AY20" i="33"/>
  <c r="AX21" i="33"/>
  <c r="BO21" i="33"/>
  <c r="BN22" i="33"/>
  <c r="AD18" i="33"/>
  <c r="AC19" i="33"/>
  <c r="AD19" i="33" s="1"/>
  <c r="AE19" i="33" s="1"/>
  <c r="BJ11" i="33"/>
  <c r="BG12" i="33"/>
  <c r="BF13" i="33"/>
  <c r="BR20" i="33"/>
  <c r="BI12" i="19"/>
  <c r="BL12" i="19" s="1"/>
  <c r="BH13" i="19"/>
  <c r="AM232" i="11"/>
  <c r="GP236" i="11"/>
  <c r="ET264" i="11"/>
  <c r="GY268" i="11"/>
  <c r="BX23" i="6"/>
  <c r="CO105" i="18"/>
  <c r="BB19" i="19"/>
  <c r="BC19" i="19" s="1"/>
  <c r="AX21" i="19"/>
  <c r="AY20" i="19"/>
  <c r="BT20" i="19"/>
  <c r="BP22" i="19"/>
  <c r="BQ21" i="19"/>
  <c r="AC19" i="19"/>
  <c r="AD19" i="19" s="1"/>
  <c r="AE19" i="19" s="1"/>
  <c r="AD18" i="19"/>
  <c r="GE53" i="11" l="1"/>
  <c r="AW49" i="11"/>
  <c r="IG48" i="5"/>
  <c r="IF49" i="5"/>
  <c r="AY21" i="33"/>
  <c r="AX22" i="33"/>
  <c r="BB20" i="33"/>
  <c r="AE18" i="33"/>
  <c r="AE17" i="33" s="1"/>
  <c r="AE16" i="33" s="1"/>
  <c r="AE15" i="33" s="1"/>
  <c r="AE14" i="33" s="1"/>
  <c r="AE13" i="33" s="1"/>
  <c r="AE12" i="33" s="1"/>
  <c r="AE11" i="33" s="1"/>
  <c r="AE10" i="33" s="1"/>
  <c r="AE9" i="33" s="1"/>
  <c r="AE8" i="33" s="1"/>
  <c r="AE7" i="33" s="1"/>
  <c r="AE6" i="33" s="1"/>
  <c r="AE5" i="33" s="1"/>
  <c r="BJ12" i="33"/>
  <c r="BR21" i="33"/>
  <c r="BG13" i="33"/>
  <c r="BF14" i="33"/>
  <c r="BO22" i="33"/>
  <c r="BN23" i="33"/>
  <c r="GY272" i="11"/>
  <c r="ET272" i="11" s="1"/>
  <c r="ET268" i="11"/>
  <c r="BH14" i="19"/>
  <c r="BI13" i="19"/>
  <c r="BL13" i="19" s="1"/>
  <c r="AM236" i="11"/>
  <c r="GP240" i="11"/>
  <c r="AE18" i="19"/>
  <c r="AE17" i="19" s="1"/>
  <c r="AE16" i="19" s="1"/>
  <c r="AE15" i="19" s="1"/>
  <c r="AE14" i="19" s="1"/>
  <c r="AE13" i="19" s="1"/>
  <c r="AE12" i="19" s="1"/>
  <c r="AE11" i="19" s="1"/>
  <c r="AE10" i="19" s="1"/>
  <c r="AE9" i="19" s="1"/>
  <c r="AE8" i="19" s="1"/>
  <c r="AE7" i="19" s="1"/>
  <c r="AE6" i="19" s="1"/>
  <c r="AE5" i="19" s="1"/>
  <c r="BX22" i="6"/>
  <c r="BB20" i="19"/>
  <c r="BC20" i="19" s="1"/>
  <c r="AX22" i="19"/>
  <c r="AY21" i="19"/>
  <c r="CO219" i="18"/>
  <c r="BT208" i="10"/>
  <c r="BT21" i="19"/>
  <c r="BP23" i="19"/>
  <c r="BQ22" i="19"/>
  <c r="AD74" i="14"/>
  <c r="AW53" i="11" l="1"/>
  <c r="GE57" i="11"/>
  <c r="IF50" i="5"/>
  <c r="IG49" i="5"/>
  <c r="BB21" i="33"/>
  <c r="AY22" i="33"/>
  <c r="AX23" i="33"/>
  <c r="BG14" i="33"/>
  <c r="BF15" i="33"/>
  <c r="BR22" i="33"/>
  <c r="BO23" i="33"/>
  <c r="BN24" i="33"/>
  <c r="BJ13" i="33"/>
  <c r="O9" i="33"/>
  <c r="O9" i="19"/>
  <c r="BI14" i="19"/>
  <c r="BL14" i="19" s="1"/>
  <c r="BH15" i="19"/>
  <c r="GP244" i="11"/>
  <c r="AM240" i="11"/>
  <c r="BX21" i="6"/>
  <c r="BB21" i="19"/>
  <c r="AX23" i="19"/>
  <c r="AY22" i="19"/>
  <c r="BT22" i="19"/>
  <c r="BP24" i="19"/>
  <c r="BQ23" i="19"/>
  <c r="AD73" i="14"/>
  <c r="AW57" i="11" l="1"/>
  <c r="GE61" i="11"/>
  <c r="IG50" i="5"/>
  <c r="IF51" i="5"/>
  <c r="BC21" i="19"/>
  <c r="BC23" i="19"/>
  <c r="P50" i="21"/>
  <c r="AY23" i="33"/>
  <c r="AX24" i="33"/>
  <c r="BB22" i="33"/>
  <c r="BR23" i="33"/>
  <c r="BO24" i="33"/>
  <c r="BN25" i="33"/>
  <c r="BO25" i="33" s="1"/>
  <c r="BJ14" i="33"/>
  <c r="BG15" i="33"/>
  <c r="BF16" i="33"/>
  <c r="AM244" i="11"/>
  <c r="GP248" i="11"/>
  <c r="BI15" i="19"/>
  <c r="BL15" i="19" s="1"/>
  <c r="BH16" i="19"/>
  <c r="BX20" i="6"/>
  <c r="F50" i="21"/>
  <c r="F51" i="21"/>
  <c r="BB22" i="19"/>
  <c r="BC22" i="19" s="1"/>
  <c r="AX24" i="19"/>
  <c r="AY23" i="19"/>
  <c r="BT23" i="19"/>
  <c r="BP25" i="19"/>
  <c r="BQ25" i="19" s="1"/>
  <c r="BQ24" i="19"/>
  <c r="AD76" i="14"/>
  <c r="AW61" i="11" l="1"/>
  <c r="GE65" i="11"/>
  <c r="IF52" i="5"/>
  <c r="IG51" i="5"/>
  <c r="BQ18" i="33"/>
  <c r="BQ20" i="33"/>
  <c r="BQ22" i="33"/>
  <c r="BQ21" i="33"/>
  <c r="BB23" i="33"/>
  <c r="AY24" i="33"/>
  <c r="AX25" i="33"/>
  <c r="AY25" i="33" s="1"/>
  <c r="BJ15" i="33"/>
  <c r="BG16" i="33"/>
  <c r="BF17" i="33"/>
  <c r="BQ24" i="33"/>
  <c r="BR24" i="33"/>
  <c r="BQ19" i="33"/>
  <c r="BQ23" i="33"/>
  <c r="BQ25" i="33"/>
  <c r="BR25" i="33"/>
  <c r="BQ7" i="33"/>
  <c r="BQ6" i="33"/>
  <c r="BQ8" i="33"/>
  <c r="BQ13" i="33"/>
  <c r="BQ9" i="33"/>
  <c r="BQ11" i="33"/>
  <c r="BQ10" i="33"/>
  <c r="BQ12" i="33"/>
  <c r="BQ14" i="33"/>
  <c r="BQ16" i="33"/>
  <c r="BQ15" i="33"/>
  <c r="BQ17" i="33"/>
  <c r="BS19" i="19"/>
  <c r="BS22" i="19"/>
  <c r="BI16" i="19"/>
  <c r="BL16" i="19" s="1"/>
  <c r="BH17" i="19"/>
  <c r="AM248" i="11"/>
  <c r="GP252" i="11"/>
  <c r="BX19" i="6"/>
  <c r="BB23" i="19"/>
  <c r="AX25" i="19"/>
  <c r="AY25" i="19" s="1"/>
  <c r="AY24" i="19"/>
  <c r="BT24" i="19"/>
  <c r="BS24" i="19"/>
  <c r="BS18" i="19"/>
  <c r="BS21" i="19"/>
  <c r="BT25" i="19"/>
  <c r="BS25" i="19"/>
  <c r="BS20" i="19"/>
  <c r="BS17" i="19"/>
  <c r="BS16" i="19"/>
  <c r="BS15" i="19"/>
  <c r="BS14" i="19"/>
  <c r="BS13" i="19"/>
  <c r="BS12" i="19"/>
  <c r="BS11" i="19"/>
  <c r="BS10" i="19"/>
  <c r="BS9" i="19"/>
  <c r="BS8" i="19"/>
  <c r="BS7" i="19"/>
  <c r="BS6" i="19"/>
  <c r="BS23" i="19"/>
  <c r="AD75" i="14"/>
  <c r="AW65" i="11" l="1"/>
  <c r="GE69" i="11"/>
  <c r="IG52" i="5"/>
  <c r="IF53" i="5"/>
  <c r="BA21" i="33"/>
  <c r="BA25" i="33"/>
  <c r="BB25" i="33"/>
  <c r="BA6" i="33"/>
  <c r="BA7" i="33"/>
  <c r="BA8" i="33"/>
  <c r="BA12" i="33"/>
  <c r="BA10" i="33"/>
  <c r="BA9" i="33"/>
  <c r="BA11" i="33"/>
  <c r="BA15" i="33"/>
  <c r="BA13" i="33"/>
  <c r="BA17" i="33"/>
  <c r="BA14" i="33"/>
  <c r="BA16" i="33"/>
  <c r="BA18" i="33"/>
  <c r="BA23" i="33"/>
  <c r="BA20" i="33"/>
  <c r="BB24" i="33"/>
  <c r="BA24" i="33"/>
  <c r="BA22" i="33"/>
  <c r="BA19" i="33"/>
  <c r="BJ16" i="33"/>
  <c r="BG17" i="33"/>
  <c r="BF18" i="33"/>
  <c r="BS22" i="33"/>
  <c r="BS18" i="33"/>
  <c r="BS15" i="33"/>
  <c r="BS11" i="33"/>
  <c r="BS10" i="33"/>
  <c r="BS23" i="33"/>
  <c r="BS19" i="33"/>
  <c r="BS16" i="33"/>
  <c r="BS13" i="33"/>
  <c r="BS20" i="33"/>
  <c r="BS12" i="33"/>
  <c r="BS21" i="33"/>
  <c r="BS9" i="33"/>
  <c r="BS24" i="33"/>
  <c r="BS6" i="33"/>
  <c r="BS25" i="33"/>
  <c r="BT25" i="33" s="1"/>
  <c r="BS17" i="33"/>
  <c r="BS14" i="33"/>
  <c r="BS8" i="33"/>
  <c r="BS7" i="33"/>
  <c r="BA19" i="19"/>
  <c r="BA22" i="19"/>
  <c r="GP256" i="11"/>
  <c r="AM252" i="11"/>
  <c r="BH18" i="19"/>
  <c r="BI17" i="19"/>
  <c r="BL17" i="19" s="1"/>
  <c r="BX18" i="6"/>
  <c r="BA24" i="19"/>
  <c r="BB24" i="19"/>
  <c r="BA18" i="19"/>
  <c r="BA21" i="19"/>
  <c r="BA25" i="19"/>
  <c r="BA6" i="19"/>
  <c r="BA7" i="19"/>
  <c r="BA8" i="19"/>
  <c r="BB25" i="19"/>
  <c r="BC25" i="19" s="1"/>
  <c r="BA9" i="19"/>
  <c r="BA10" i="19"/>
  <c r="BA11" i="19"/>
  <c r="BA12" i="19"/>
  <c r="BA13" i="19"/>
  <c r="BA14" i="19"/>
  <c r="BA15" i="19"/>
  <c r="BA16" i="19"/>
  <c r="BA20" i="19"/>
  <c r="BA17" i="19"/>
  <c r="BA23" i="19"/>
  <c r="BU25" i="19"/>
  <c r="BV25" i="19" s="1"/>
  <c r="BU24" i="19"/>
  <c r="BU23" i="19"/>
  <c r="BU22" i="19"/>
  <c r="BU21" i="19"/>
  <c r="BU20" i="19"/>
  <c r="BU19" i="19"/>
  <c r="BU18" i="19"/>
  <c r="BU17" i="19"/>
  <c r="BU16" i="19"/>
  <c r="BU15" i="19"/>
  <c r="BU14" i="19"/>
  <c r="BU13" i="19"/>
  <c r="BU12" i="19"/>
  <c r="BU11" i="19"/>
  <c r="BU10" i="19"/>
  <c r="BU9" i="19"/>
  <c r="BU8" i="19"/>
  <c r="BU7" i="19"/>
  <c r="BU6" i="19"/>
  <c r="AD79" i="14"/>
  <c r="AD80" i="14"/>
  <c r="GE73" i="11" l="1"/>
  <c r="AW69" i="11"/>
  <c r="IF54" i="5"/>
  <c r="IG53" i="5"/>
  <c r="BC26" i="19"/>
  <c r="BD26" i="19" s="1"/>
  <c r="BD25" i="19" s="1"/>
  <c r="BC24" i="19"/>
  <c r="BC8" i="33"/>
  <c r="BC14" i="33"/>
  <c r="BC13" i="33"/>
  <c r="BC18" i="33"/>
  <c r="BC9" i="33"/>
  <c r="BC12" i="33"/>
  <c r="BC17" i="33"/>
  <c r="BC16" i="33"/>
  <c r="BC22" i="33"/>
  <c r="BC23" i="33"/>
  <c r="BC20" i="33"/>
  <c r="BC21" i="33"/>
  <c r="BC19" i="33"/>
  <c r="BC7" i="33"/>
  <c r="BC6" i="33"/>
  <c r="BC24" i="33"/>
  <c r="BC25" i="33"/>
  <c r="BD25" i="33" s="1"/>
  <c r="BC10" i="33"/>
  <c r="BC11" i="33"/>
  <c r="BC15" i="33"/>
  <c r="BJ17" i="33"/>
  <c r="BG18" i="33"/>
  <c r="BF19" i="33"/>
  <c r="BT24" i="33"/>
  <c r="BT23" i="33" s="1"/>
  <c r="BT22" i="33" s="1"/>
  <c r="BT21" i="33" s="1"/>
  <c r="BT20" i="33" s="1"/>
  <c r="BT19" i="33" s="1"/>
  <c r="BT18" i="33" s="1"/>
  <c r="BT17" i="33" s="1"/>
  <c r="BT16" i="33" s="1"/>
  <c r="BT15" i="33" s="1"/>
  <c r="BT14" i="33" s="1"/>
  <c r="BT13" i="33" s="1"/>
  <c r="BT12" i="33" s="1"/>
  <c r="BT11" i="33" s="1"/>
  <c r="BT10" i="33" s="1"/>
  <c r="BT9" i="33" s="1"/>
  <c r="BT8" i="33" s="1"/>
  <c r="BT7" i="33" s="1"/>
  <c r="BT6" i="33" s="1"/>
  <c r="BT5" i="33" s="1"/>
  <c r="BV24" i="19"/>
  <c r="BV23" i="19" s="1"/>
  <c r="BV22" i="19" s="1"/>
  <c r="BV21" i="19" s="1"/>
  <c r="BV20" i="19" s="1"/>
  <c r="BV19" i="19" s="1"/>
  <c r="BV18" i="19" s="1"/>
  <c r="BV17" i="19" s="1"/>
  <c r="BV16" i="19" s="1"/>
  <c r="BV15" i="19" s="1"/>
  <c r="BV14" i="19" s="1"/>
  <c r="BV13" i="19" s="1"/>
  <c r="BV12" i="19" s="1"/>
  <c r="BV11" i="19" s="1"/>
  <c r="BV10" i="19" s="1"/>
  <c r="BV9" i="19" s="1"/>
  <c r="BV8" i="19" s="1"/>
  <c r="BV7" i="19" s="1"/>
  <c r="BV6" i="19" s="1"/>
  <c r="BV5" i="19" s="1"/>
  <c r="DZ5" i="14" s="1"/>
  <c r="BI18" i="19"/>
  <c r="BL18" i="19" s="1"/>
  <c r="BH19" i="19"/>
  <c r="GP260" i="11"/>
  <c r="AM256" i="11"/>
  <c r="BX17" i="6"/>
  <c r="BE25" i="19"/>
  <c r="BF25" i="19" s="1"/>
  <c r="BE24" i="19"/>
  <c r="BE23" i="19"/>
  <c r="BE22" i="19"/>
  <c r="BE21" i="19"/>
  <c r="BE20" i="19"/>
  <c r="BE19" i="19"/>
  <c r="BE18" i="19"/>
  <c r="BE17" i="19"/>
  <c r="BE16" i="19"/>
  <c r="BE15" i="19"/>
  <c r="BE14" i="19"/>
  <c r="BE13" i="19"/>
  <c r="BE12" i="19"/>
  <c r="BE11" i="19"/>
  <c r="BE10" i="19"/>
  <c r="BE9" i="19"/>
  <c r="BE8" i="19"/>
  <c r="BE7" i="19"/>
  <c r="BE6" i="19"/>
  <c r="GE77" i="11" l="1"/>
  <c r="AW73" i="11"/>
  <c r="IG54" i="5"/>
  <c r="IF55" i="5"/>
  <c r="BD24" i="19"/>
  <c r="BD23" i="19" s="1"/>
  <c r="BD22" i="19" s="1"/>
  <c r="BD21" i="19" s="1"/>
  <c r="BD20" i="19" s="1"/>
  <c r="BD19" i="19" s="1"/>
  <c r="BD18" i="19" s="1"/>
  <c r="BD17" i="19" s="1"/>
  <c r="BD16" i="19" s="1"/>
  <c r="BD15" i="19" s="1"/>
  <c r="BD14" i="19" s="1"/>
  <c r="BD13" i="19" s="1"/>
  <c r="BD12" i="19" s="1"/>
  <c r="BD11" i="19" s="1"/>
  <c r="BD10" i="19" s="1"/>
  <c r="BD9" i="19" s="1"/>
  <c r="BD8" i="19" s="1"/>
  <c r="BD7" i="19" s="1"/>
  <c r="BD6" i="19" s="1"/>
  <c r="BD5" i="19" s="1"/>
  <c r="BD24" i="33"/>
  <c r="BD23" i="33" s="1"/>
  <c r="BD22" i="33" s="1"/>
  <c r="BD21" i="33" s="1"/>
  <c r="BD20" i="33" s="1"/>
  <c r="BD19" i="33" s="1"/>
  <c r="BD18" i="33" s="1"/>
  <c r="BD17" i="33" s="1"/>
  <c r="BD16" i="33" s="1"/>
  <c r="BD15" i="33" s="1"/>
  <c r="BD14" i="33" s="1"/>
  <c r="BD13" i="33" s="1"/>
  <c r="BD12" i="33" s="1"/>
  <c r="BD11" i="33" s="1"/>
  <c r="BD10" i="33" s="1"/>
  <c r="BD9" i="33" s="1"/>
  <c r="BD8" i="33" s="1"/>
  <c r="BD7" i="33" s="1"/>
  <c r="BD6" i="33" s="1"/>
  <c r="BD5" i="33" s="1"/>
  <c r="BJ18" i="33"/>
  <c r="BG19" i="33"/>
  <c r="BF20" i="33"/>
  <c r="H22" i="30"/>
  <c r="H20" i="30"/>
  <c r="H18" i="30"/>
  <c r="H16" i="30"/>
  <c r="H14" i="30"/>
  <c r="H12" i="30"/>
  <c r="H10" i="30"/>
  <c r="H23" i="30"/>
  <c r="H21" i="30"/>
  <c r="H19" i="30"/>
  <c r="H17" i="30"/>
  <c r="H15" i="30"/>
  <c r="H13" i="30"/>
  <c r="H11" i="30"/>
  <c r="H9" i="30"/>
  <c r="BF24" i="19"/>
  <c r="BF23" i="19" s="1"/>
  <c r="BF22" i="19" s="1"/>
  <c r="BF21" i="19" s="1"/>
  <c r="BF20" i="19" s="1"/>
  <c r="BF19" i="19" s="1"/>
  <c r="BF18" i="19" s="1"/>
  <c r="BF17" i="19" s="1"/>
  <c r="BF16" i="19" s="1"/>
  <c r="BF15" i="19" s="1"/>
  <c r="BF14" i="19" s="1"/>
  <c r="BF13" i="19" s="1"/>
  <c r="BF12" i="19" s="1"/>
  <c r="BF11" i="19" s="1"/>
  <c r="BF10" i="19" s="1"/>
  <c r="BF9" i="19" s="1"/>
  <c r="BF8" i="19" s="1"/>
  <c r="BF7" i="19" s="1"/>
  <c r="BF6" i="19" s="1"/>
  <c r="BF5" i="19" s="1"/>
  <c r="BI19" i="19"/>
  <c r="BL19" i="19" s="1"/>
  <c r="BH20" i="19"/>
  <c r="AM260" i="11"/>
  <c r="GP264" i="11"/>
  <c r="AU89" i="14"/>
  <c r="BX16" i="6"/>
  <c r="AW77" i="11" l="1"/>
  <c r="GE81" i="11"/>
  <c r="IF56" i="5"/>
  <c r="IG55" i="5"/>
  <c r="BJ19" i="33"/>
  <c r="BG20" i="33"/>
  <c r="BF21" i="33"/>
  <c r="DZ4" i="14"/>
  <c r="BI20" i="19"/>
  <c r="BL20" i="19" s="1"/>
  <c r="BH21" i="19"/>
  <c r="AM264" i="11"/>
  <c r="GP268" i="11"/>
  <c r="AS89" i="14"/>
  <c r="AV89" i="14"/>
  <c r="AU90" i="14"/>
  <c r="BX15" i="6"/>
  <c r="GE85" i="11" l="1"/>
  <c r="AW81" i="11"/>
  <c r="IG56" i="5"/>
  <c r="IF57" i="5"/>
  <c r="BJ20" i="33"/>
  <c r="BG21" i="33"/>
  <c r="BF22" i="33"/>
  <c r="AM268" i="11"/>
  <c r="GP272" i="11"/>
  <c r="AM272" i="11" s="1"/>
  <c r="BI21" i="19"/>
  <c r="BH22" i="19"/>
  <c r="AS90" i="14"/>
  <c r="AV90" i="14"/>
  <c r="AU91" i="14"/>
  <c r="BX14" i="6"/>
  <c r="AW85" i="11" l="1"/>
  <c r="GE89" i="11"/>
  <c r="FU34" i="11"/>
  <c r="IF58" i="5"/>
  <c r="IG57" i="5"/>
  <c r="BJ21" i="33"/>
  <c r="BG22" i="33"/>
  <c r="BF23" i="33"/>
  <c r="BI22" i="19"/>
  <c r="BH23" i="19"/>
  <c r="BL21" i="19"/>
  <c r="AS91" i="14"/>
  <c r="AV91" i="14"/>
  <c r="AU92" i="14"/>
  <c r="BX13" i="6"/>
  <c r="AW89" i="11" l="1"/>
  <c r="GE93" i="11"/>
  <c r="FU28" i="11"/>
  <c r="IG58" i="5"/>
  <c r="IF59" i="5"/>
  <c r="BJ22" i="33"/>
  <c r="BG23" i="33"/>
  <c r="BF24" i="33"/>
  <c r="BL22" i="19"/>
  <c r="BH24" i="19"/>
  <c r="BI23" i="19"/>
  <c r="AS92" i="14"/>
  <c r="AV92" i="14"/>
  <c r="AU93" i="14"/>
  <c r="BX12" i="6"/>
  <c r="GE97" i="11" l="1"/>
  <c r="AW93" i="11"/>
  <c r="FU22" i="11"/>
  <c r="IF60" i="5"/>
  <c r="IG59" i="5"/>
  <c r="BG24" i="33"/>
  <c r="BF25" i="33"/>
  <c r="BG25" i="33" s="1"/>
  <c r="BJ23" i="33"/>
  <c r="BH25" i="19"/>
  <c r="BI25" i="19" s="1"/>
  <c r="BI24" i="19"/>
  <c r="BL23" i="19"/>
  <c r="AS93" i="14"/>
  <c r="AV93" i="14"/>
  <c r="AU94" i="14"/>
  <c r="BX11" i="6"/>
  <c r="AW97" i="11" l="1"/>
  <c r="GE101" i="11"/>
  <c r="BI23" i="33"/>
  <c r="FU16" i="11"/>
  <c r="IG60" i="5"/>
  <c r="IF61" i="5"/>
  <c r="BI20" i="33"/>
  <c r="BI21" i="33"/>
  <c r="BI19" i="33"/>
  <c r="BI18" i="33"/>
  <c r="BI24" i="33"/>
  <c r="BJ24" i="33"/>
  <c r="BI22" i="33"/>
  <c r="BI25" i="33"/>
  <c r="BJ25" i="33"/>
  <c r="BI6" i="33"/>
  <c r="BI7" i="33"/>
  <c r="BI9" i="33"/>
  <c r="BI8" i="33"/>
  <c r="BI11" i="33"/>
  <c r="BI10" i="33"/>
  <c r="BI14" i="33"/>
  <c r="BI12" i="33"/>
  <c r="BI13" i="33"/>
  <c r="BI15" i="33"/>
  <c r="BI16" i="33"/>
  <c r="BI17" i="33"/>
  <c r="BK18" i="19"/>
  <c r="BK10" i="19"/>
  <c r="BK19" i="19"/>
  <c r="BK20" i="19"/>
  <c r="BK14" i="19"/>
  <c r="BK23" i="19"/>
  <c r="BK9" i="19"/>
  <c r="BK17" i="19"/>
  <c r="BK21" i="19"/>
  <c r="BK6" i="19"/>
  <c r="BK8" i="19"/>
  <c r="BK13" i="19"/>
  <c r="BK15" i="19"/>
  <c r="BK7" i="19"/>
  <c r="BL24" i="19"/>
  <c r="BK24" i="19"/>
  <c r="BK16" i="19"/>
  <c r="BK22" i="19"/>
  <c r="BK11" i="19"/>
  <c r="BL25" i="19"/>
  <c r="BK25" i="19"/>
  <c r="BK12" i="19"/>
  <c r="AS94" i="14"/>
  <c r="AV94" i="14"/>
  <c r="AU95" i="14"/>
  <c r="BX10" i="6"/>
  <c r="GE105" i="11" l="1"/>
  <c r="AW101" i="11"/>
  <c r="IF62" i="5"/>
  <c r="IG61" i="5"/>
  <c r="BK25" i="33"/>
  <c r="BL25" i="33" s="1"/>
  <c r="BK21" i="33"/>
  <c r="BK17" i="33"/>
  <c r="BK14" i="33"/>
  <c r="BK9" i="33"/>
  <c r="BK22" i="33"/>
  <c r="BK18" i="33"/>
  <c r="BK15" i="33"/>
  <c r="BK11" i="33"/>
  <c r="BK10" i="33"/>
  <c r="BK19" i="33"/>
  <c r="BK16" i="33"/>
  <c r="BK13" i="33"/>
  <c r="BK7" i="33"/>
  <c r="BK6" i="33"/>
  <c r="BK20" i="33"/>
  <c r="BK12" i="33"/>
  <c r="BK23" i="33"/>
  <c r="BK8" i="33"/>
  <c r="BK24" i="33"/>
  <c r="BM13" i="19"/>
  <c r="BM20" i="19"/>
  <c r="BM19" i="19"/>
  <c r="BM14" i="19"/>
  <c r="BM9" i="19"/>
  <c r="BM25" i="19"/>
  <c r="BN25" i="19" s="1"/>
  <c r="BM16" i="19"/>
  <c r="BM15" i="19"/>
  <c r="BM10" i="19"/>
  <c r="BM7" i="19"/>
  <c r="BM21" i="19"/>
  <c r="BM12" i="19"/>
  <c r="BM11" i="19"/>
  <c r="BM6" i="19"/>
  <c r="BM22" i="19"/>
  <c r="BM17" i="19"/>
  <c r="BM8" i="19"/>
  <c r="BM24" i="19"/>
  <c r="BM23" i="19"/>
  <c r="BM18" i="19"/>
  <c r="AS95" i="14"/>
  <c r="AV95" i="14"/>
  <c r="AU96" i="14"/>
  <c r="AW105" i="11" l="1"/>
  <c r="GE109" i="11"/>
  <c r="IG62" i="5"/>
  <c r="IF63" i="5"/>
  <c r="BL24" i="33"/>
  <c r="BL23" i="33" s="1"/>
  <c r="BL22" i="33" s="1"/>
  <c r="BL21" i="33" s="1"/>
  <c r="BL20" i="33" s="1"/>
  <c r="BL19" i="33" s="1"/>
  <c r="BL18" i="33" s="1"/>
  <c r="BL17" i="33" s="1"/>
  <c r="BL16" i="33" s="1"/>
  <c r="BL15" i="33" s="1"/>
  <c r="BL14" i="33" s="1"/>
  <c r="BL13" i="33" s="1"/>
  <c r="BL12" i="33" s="1"/>
  <c r="BL11" i="33" s="1"/>
  <c r="BL10" i="33" s="1"/>
  <c r="BL9" i="33" s="1"/>
  <c r="BL8" i="33" s="1"/>
  <c r="BL7" i="33" s="1"/>
  <c r="BL6" i="33" s="1"/>
  <c r="BL5" i="33" s="1"/>
  <c r="BN24" i="19"/>
  <c r="BN23" i="19" s="1"/>
  <c r="BN22" i="19" s="1"/>
  <c r="BN21" i="19" s="1"/>
  <c r="BN20" i="19" s="1"/>
  <c r="BN19" i="19" s="1"/>
  <c r="BN18" i="19" s="1"/>
  <c r="BN17" i="19" s="1"/>
  <c r="BN16" i="19" s="1"/>
  <c r="BN15" i="19" s="1"/>
  <c r="BN14" i="19" s="1"/>
  <c r="BN13" i="19" s="1"/>
  <c r="BN12" i="19" s="1"/>
  <c r="BN11" i="19" s="1"/>
  <c r="BN10" i="19" s="1"/>
  <c r="BN9" i="19" s="1"/>
  <c r="BN8" i="19" s="1"/>
  <c r="BN7" i="19" s="1"/>
  <c r="BN6" i="19" s="1"/>
  <c r="BN5" i="19" s="1"/>
  <c r="DZ7" i="14" s="1"/>
  <c r="GI97" i="14" s="1"/>
  <c r="AT68" i="14"/>
  <c r="AS96" i="14"/>
  <c r="AV96" i="14"/>
  <c r="AU97" i="14"/>
  <c r="AW109" i="11" l="1"/>
  <c r="GE113" i="11"/>
  <c r="IF64" i="5"/>
  <c r="IG63" i="5"/>
  <c r="GI82" i="14"/>
  <c r="GI78" i="14"/>
  <c r="GI74" i="14"/>
  <c r="GI70" i="14"/>
  <c r="GI50" i="14"/>
  <c r="GI46" i="14"/>
  <c r="GI42" i="14"/>
  <c r="GI34" i="14"/>
  <c r="GI87" i="14"/>
  <c r="GI79" i="14"/>
  <c r="GI75" i="14"/>
  <c r="GI71" i="14"/>
  <c r="GI59" i="14"/>
  <c r="GI51" i="14"/>
  <c r="GI43" i="14"/>
  <c r="GI39" i="14"/>
  <c r="GI84" i="14"/>
  <c r="GI80" i="14"/>
  <c r="GI76" i="14"/>
  <c r="GI72" i="14"/>
  <c r="GI68" i="14"/>
  <c r="GI60" i="14"/>
  <c r="GI52" i="14"/>
  <c r="GI48" i="14"/>
  <c r="GI44" i="14"/>
  <c r="GI36" i="14"/>
  <c r="GI81" i="14"/>
  <c r="GI77" i="14"/>
  <c r="GI73" i="14"/>
  <c r="GI69" i="14"/>
  <c r="GI65" i="14"/>
  <c r="GI53" i="14"/>
  <c r="GI49" i="14"/>
  <c r="GI45" i="14"/>
  <c r="H62" i="30"/>
  <c r="H60" i="30"/>
  <c r="H58" i="30"/>
  <c r="H56" i="30"/>
  <c r="H54" i="30"/>
  <c r="H52" i="30"/>
  <c r="H50" i="30"/>
  <c r="H48" i="30"/>
  <c r="H46" i="30"/>
  <c r="H44" i="30"/>
  <c r="H42" i="30"/>
  <c r="H40" i="30"/>
  <c r="H38" i="30"/>
  <c r="H36" i="30"/>
  <c r="H34" i="30"/>
  <c r="H32" i="30"/>
  <c r="H30" i="30"/>
  <c r="H28" i="30"/>
  <c r="H26" i="30"/>
  <c r="H78" i="30"/>
  <c r="H76" i="30"/>
  <c r="H74" i="30"/>
  <c r="H71" i="30"/>
  <c r="H69" i="30"/>
  <c r="H67" i="30"/>
  <c r="H65" i="30"/>
  <c r="H81" i="30"/>
  <c r="I81" i="30" s="1"/>
  <c r="H63" i="30"/>
  <c r="H61" i="30"/>
  <c r="H59" i="30"/>
  <c r="H57" i="30"/>
  <c r="H55" i="30"/>
  <c r="H53" i="30"/>
  <c r="H51" i="30"/>
  <c r="H49" i="30"/>
  <c r="H47" i="30"/>
  <c r="H45" i="30"/>
  <c r="H43" i="30"/>
  <c r="H41" i="30"/>
  <c r="H39" i="30"/>
  <c r="H37" i="30"/>
  <c r="H35" i="30"/>
  <c r="H33" i="30"/>
  <c r="H31" i="30"/>
  <c r="H29" i="30"/>
  <c r="H27" i="30"/>
  <c r="H25" i="30"/>
  <c r="H79" i="30"/>
  <c r="H77" i="30"/>
  <c r="H75" i="30"/>
  <c r="H73" i="30"/>
  <c r="H70" i="30"/>
  <c r="H68" i="30"/>
  <c r="H66" i="30"/>
  <c r="H64" i="30"/>
  <c r="H80" i="30"/>
  <c r="H24" i="30"/>
  <c r="AS97" i="14"/>
  <c r="AV97" i="14"/>
  <c r="AU98" i="14"/>
  <c r="AT69" i="14"/>
  <c r="AS68" i="14"/>
  <c r="AU68" i="14"/>
  <c r="AV68" i="14" s="1"/>
  <c r="AW113" i="11" l="1"/>
  <c r="GE117" i="11"/>
  <c r="IG64" i="5"/>
  <c r="IF65" i="5"/>
  <c r="I80" i="30"/>
  <c r="I79" i="30" s="1"/>
  <c r="I78" i="30" s="1"/>
  <c r="I77" i="30" s="1"/>
  <c r="I76" i="30" s="1"/>
  <c r="I75" i="30" s="1"/>
  <c r="I74" i="30" s="1"/>
  <c r="I73" i="30" s="1"/>
  <c r="CO141" i="18"/>
  <c r="CP18" i="26"/>
  <c r="AS69" i="14"/>
  <c r="AU69" i="14"/>
  <c r="AV69" i="14" s="1"/>
  <c r="AT70" i="14"/>
  <c r="AS98" i="14"/>
  <c r="AV98" i="14"/>
  <c r="GE121" i="11" l="1"/>
  <c r="AW117" i="11"/>
  <c r="IF66" i="5"/>
  <c r="IG65" i="5"/>
  <c r="AS70" i="14"/>
  <c r="AU70" i="14"/>
  <c r="AV70" i="14" s="1"/>
  <c r="AT71" i="14"/>
  <c r="AW121" i="11" l="1"/>
  <c r="GE125" i="11"/>
  <c r="IG66" i="5"/>
  <c r="IF67" i="5"/>
  <c r="AS71" i="14"/>
  <c r="AU71" i="14"/>
  <c r="AV71" i="14" s="1"/>
  <c r="AT72" i="14"/>
  <c r="AW125" i="11" l="1"/>
  <c r="GE129" i="11"/>
  <c r="IF68" i="5"/>
  <c r="IG67" i="5"/>
  <c r="AS72" i="14"/>
  <c r="AU72" i="14"/>
  <c r="AV72" i="14" s="1"/>
  <c r="AT73" i="14"/>
  <c r="GE133" i="11" l="1"/>
  <c r="AW129" i="11"/>
  <c r="IG68" i="5"/>
  <c r="IF69" i="5"/>
  <c r="AS73" i="14"/>
  <c r="AU73" i="14"/>
  <c r="AV73" i="14" s="1"/>
  <c r="AT74" i="14"/>
  <c r="B43" i="13"/>
  <c r="N28" i="13" s="1"/>
  <c r="AW133" i="11" l="1"/>
  <c r="GE137" i="11"/>
  <c r="IF70" i="5"/>
  <c r="IG69" i="5"/>
  <c r="AS74" i="14"/>
  <c r="AU74" i="14"/>
  <c r="AV74" i="14" s="1"/>
  <c r="AT75" i="14"/>
  <c r="GE141" i="11" l="1"/>
  <c r="AW137" i="11"/>
  <c r="IG70" i="5"/>
  <c r="IF71" i="5"/>
  <c r="AS75" i="14"/>
  <c r="AU75" i="14"/>
  <c r="AV75" i="14" s="1"/>
  <c r="AT76" i="14"/>
  <c r="BC8" i="21"/>
  <c r="GE145" i="11" l="1"/>
  <c r="AW141" i="11"/>
  <c r="IF72" i="5"/>
  <c r="IG71" i="5"/>
  <c r="AS76" i="14"/>
  <c r="AU76" i="14"/>
  <c r="AV76" i="14" s="1"/>
  <c r="AT77" i="14"/>
  <c r="AT78" i="14" s="1"/>
  <c r="AW208" i="10"/>
  <c r="BP219" i="18"/>
  <c r="AW145" i="11" l="1"/>
  <c r="GE149" i="11"/>
  <c r="IG72" i="5"/>
  <c r="IF73" i="5"/>
  <c r="AS78" i="14"/>
  <c r="AU78" i="14"/>
  <c r="AV78" i="14" s="1"/>
  <c r="AS77" i="14"/>
  <c r="AU77" i="14"/>
  <c r="AV77" i="14" s="1"/>
  <c r="AT79" i="14"/>
  <c r="AT80" i="14" s="1"/>
  <c r="BX219" i="18"/>
  <c r="FL221" i="18" s="1"/>
  <c r="BT219" i="18"/>
  <c r="FL220" i="18" s="1"/>
  <c r="BP228" i="18"/>
  <c r="BP231" i="18"/>
  <c r="BP144" i="18"/>
  <c r="BP150" i="18"/>
  <c r="BP186" i="18"/>
  <c r="BP189" i="18"/>
  <c r="BP24" i="18"/>
  <c r="GE153" i="11" l="1"/>
  <c r="AW149" i="11"/>
  <c r="IF74" i="5"/>
  <c r="IG73" i="5"/>
  <c r="AS80" i="14"/>
  <c r="AU80" i="14"/>
  <c r="AV80" i="14" s="1"/>
  <c r="AT81" i="14"/>
  <c r="AS79" i="14"/>
  <c r="AU79" i="14"/>
  <c r="AV79" i="14" s="1"/>
  <c r="FL189" i="18"/>
  <c r="BX189" i="18"/>
  <c r="FL191" i="18" s="1"/>
  <c r="FM191" i="18" s="1"/>
  <c r="BT189" i="18"/>
  <c r="FL190" i="18" s="1"/>
  <c r="FL186" i="18"/>
  <c r="BX186" i="18"/>
  <c r="FL188" i="18" s="1"/>
  <c r="BT186" i="18"/>
  <c r="FL187" i="18" s="1"/>
  <c r="FL150" i="18"/>
  <c r="FL126" i="18" s="1"/>
  <c r="BX150" i="18"/>
  <c r="FL152" i="18" s="1"/>
  <c r="FM152" i="18" s="1"/>
  <c r="BT150" i="18"/>
  <c r="FL151" i="18" s="1"/>
  <c r="FL144" i="18"/>
  <c r="BX144" i="18"/>
  <c r="FL146" i="18" s="1"/>
  <c r="BT144" i="18"/>
  <c r="FL145" i="18" s="1"/>
  <c r="FL231" i="18"/>
  <c r="BX231" i="18"/>
  <c r="FL233" i="18" s="1"/>
  <c r="FM233" i="18" s="1"/>
  <c r="BT231" i="18"/>
  <c r="FL232" i="18" s="1"/>
  <c r="FL228" i="18"/>
  <c r="BX228" i="18"/>
  <c r="FL230" i="18" s="1"/>
  <c r="BT228" i="18"/>
  <c r="FL229" i="18" s="1"/>
  <c r="BX24" i="18"/>
  <c r="FL26" i="18" s="1"/>
  <c r="BT24" i="18"/>
  <c r="FL25" i="18" s="1"/>
  <c r="AW153" i="11" l="1"/>
  <c r="GE157" i="11"/>
  <c r="IG74" i="5"/>
  <c r="IF75" i="5"/>
  <c r="CK32" i="6"/>
  <c r="FM151" i="18"/>
  <c r="FM150" i="18" s="1"/>
  <c r="FM149" i="18" s="1"/>
  <c r="FM148" i="18" s="1"/>
  <c r="FM147" i="18" s="1"/>
  <c r="FM146" i="18" s="1"/>
  <c r="FM145" i="18" s="1"/>
  <c r="FM144" i="18" s="1"/>
  <c r="AS81" i="14"/>
  <c r="AU81" i="14"/>
  <c r="AV81" i="14" s="1"/>
  <c r="AT82" i="14"/>
  <c r="BP105" i="18"/>
  <c r="FL121" i="18"/>
  <c r="FL122" i="18"/>
  <c r="FL120" i="18"/>
  <c r="FM232" i="18"/>
  <c r="FM231" i="18" s="1"/>
  <c r="FM230" i="18" s="1"/>
  <c r="FM229" i="18" s="1"/>
  <c r="FM228" i="18" s="1"/>
  <c r="FM227" i="18" s="1"/>
  <c r="FM226" i="18" s="1"/>
  <c r="FM225" i="18" s="1"/>
  <c r="FM224" i="18" s="1"/>
  <c r="FM223" i="18" s="1"/>
  <c r="FM222" i="18" s="1"/>
  <c r="FM221" i="18" s="1"/>
  <c r="FM220" i="18" s="1"/>
  <c r="FM190" i="18"/>
  <c r="FM189" i="18" s="1"/>
  <c r="FM188" i="18" s="1"/>
  <c r="FM187" i="18" s="1"/>
  <c r="FM186" i="18" s="1"/>
  <c r="FM185" i="18" s="1"/>
  <c r="FM184" i="18" s="1"/>
  <c r="FM183" i="18" s="1"/>
  <c r="FM182" i="18" s="1"/>
  <c r="FM181" i="18" s="1"/>
  <c r="FM180" i="18" s="1"/>
  <c r="AW157" i="11" l="1"/>
  <c r="GE161" i="11"/>
  <c r="IF76" i="5"/>
  <c r="IG75" i="5"/>
  <c r="GI141" i="14"/>
  <c r="GI122" i="14"/>
  <c r="GI118" i="14"/>
  <c r="GI127" i="14"/>
  <c r="GI123" i="14"/>
  <c r="GI119" i="14"/>
  <c r="GI132" i="14"/>
  <c r="GI124" i="14"/>
  <c r="GI116" i="14"/>
  <c r="GI112" i="14"/>
  <c r="GI113" i="14"/>
  <c r="GI111" i="14"/>
  <c r="GI109" i="14"/>
  <c r="GI110" i="14"/>
  <c r="GI103" i="14"/>
  <c r="GI104" i="14"/>
  <c r="GI94" i="14"/>
  <c r="GI107" i="14"/>
  <c r="GI99" i="14"/>
  <c r="GI108" i="14"/>
  <c r="GI100" i="14"/>
  <c r="GI101" i="14"/>
  <c r="GI106" i="14"/>
  <c r="GI102" i="14"/>
  <c r="GI92" i="14"/>
  <c r="GI90" i="14"/>
  <c r="GI91" i="14"/>
  <c r="GI89" i="14"/>
  <c r="AS82" i="14"/>
  <c r="AU82" i="14"/>
  <c r="AV82" i="14" s="1"/>
  <c r="AT83" i="14"/>
  <c r="FL105" i="18"/>
  <c r="FL123" i="18" s="1"/>
  <c r="BX105" i="18"/>
  <c r="FL107" i="18" s="1"/>
  <c r="FL125" i="18" s="1"/>
  <c r="FM125" i="18" s="1"/>
  <c r="BT105" i="18"/>
  <c r="FL106" i="18" s="1"/>
  <c r="FL124" i="18" s="1"/>
  <c r="FL111" i="18"/>
  <c r="FL112" i="18"/>
  <c r="FL113" i="18"/>
  <c r="AW161" i="11" l="1"/>
  <c r="GE165" i="11"/>
  <c r="AW165" i="11" s="1"/>
  <c r="IF77" i="5"/>
  <c r="IG76" i="5"/>
  <c r="FM124" i="18"/>
  <c r="FM123" i="18" s="1"/>
  <c r="FM122" i="18" s="1"/>
  <c r="FM121" i="18" s="1"/>
  <c r="FM120" i="18" s="1"/>
  <c r="AS83" i="14"/>
  <c r="AU83" i="14"/>
  <c r="AV83" i="14" s="1"/>
  <c r="AT84" i="14"/>
  <c r="AI193" i="11" l="1"/>
  <c r="W21" i="8" s="1"/>
  <c r="IF78" i="5"/>
  <c r="IG77" i="5"/>
  <c r="AS84" i="14"/>
  <c r="AU84" i="14"/>
  <c r="AV84" i="14" s="1"/>
  <c r="AT85" i="14"/>
  <c r="IG78" i="5" l="1"/>
  <c r="IF79" i="5"/>
  <c r="AS85" i="14"/>
  <c r="AU85" i="14"/>
  <c r="AV85" i="14" s="1"/>
  <c r="AT86" i="14"/>
  <c r="IF80" i="5" l="1"/>
  <c r="IG79" i="5"/>
  <c r="AT87" i="14"/>
  <c r="AS86" i="14"/>
  <c r="AU86" i="14"/>
  <c r="IG80" i="5" l="1"/>
  <c r="IF81" i="5"/>
  <c r="AV86" i="14"/>
  <c r="AU87" i="14"/>
  <c r="IF82" i="5" l="1"/>
  <c r="IG81" i="5"/>
  <c r="AU99" i="14"/>
  <c r="AS87" i="14"/>
  <c r="AV87" i="14"/>
  <c r="IG82" i="5" l="1"/>
  <c r="IF83" i="5"/>
  <c r="AS99" i="14"/>
  <c r="AV99" i="14"/>
  <c r="AU100" i="14"/>
  <c r="IF84" i="5" l="1"/>
  <c r="IG83" i="5"/>
  <c r="AS100" i="14"/>
  <c r="AV100" i="14"/>
  <c r="AU101" i="14"/>
  <c r="IG84" i="5" l="1"/>
  <c r="IF85" i="5"/>
  <c r="AS101" i="14"/>
  <c r="AV101" i="14"/>
  <c r="AU102" i="14"/>
  <c r="IF86" i="5" l="1"/>
  <c r="IG85" i="5"/>
  <c r="AS102" i="14"/>
  <c r="AV102" i="14"/>
  <c r="AU103" i="14"/>
  <c r="IG86" i="5" l="1"/>
  <c r="IF87" i="5"/>
  <c r="AS103" i="14"/>
  <c r="AV103" i="14"/>
  <c r="AU104" i="14"/>
  <c r="IG87" i="5" l="1"/>
  <c r="IF88" i="5"/>
  <c r="AS104" i="14"/>
  <c r="AV104" i="14"/>
  <c r="AU105" i="14"/>
  <c r="IG88" i="5" l="1"/>
  <c r="IF89" i="5"/>
  <c r="AS105" i="14"/>
  <c r="AV105" i="14"/>
  <c r="AU106" i="14"/>
  <c r="IF90" i="5" l="1"/>
  <c r="IG89" i="5"/>
  <c r="AS106" i="14"/>
  <c r="AV106" i="14"/>
  <c r="IG90" i="5" l="1"/>
  <c r="IF91" i="5"/>
  <c r="IF92" i="5" l="1"/>
  <c r="IG91" i="5"/>
  <c r="BP102" i="18"/>
  <c r="BP99" i="18"/>
  <c r="BQ18" i="26"/>
  <c r="IG92" i="5" l="1"/>
  <c r="IF93" i="5"/>
  <c r="BT102" i="18"/>
  <c r="FL103" i="18" s="1"/>
  <c r="BX102" i="18"/>
  <c r="FL104" i="18" s="1"/>
  <c r="BX99" i="18"/>
  <c r="FL101" i="18" s="1"/>
  <c r="BT99" i="18"/>
  <c r="FL100" i="18" s="1"/>
  <c r="BY18" i="26"/>
  <c r="FM20" i="26" s="1"/>
  <c r="BU18" i="26"/>
  <c r="FM19" i="26" s="1"/>
  <c r="FM37" i="26" s="1"/>
  <c r="FM18" i="26"/>
  <c r="FM36" i="26" s="1"/>
  <c r="BU15" i="26"/>
  <c r="FM16" i="26" s="1"/>
  <c r="FM34" i="26" s="1"/>
  <c r="BY15" i="26"/>
  <c r="FM17" i="26" s="1"/>
  <c r="FM35" i="26" s="1"/>
  <c r="FM15" i="26"/>
  <c r="FM33" i="26" s="1"/>
  <c r="IF94" i="5" l="1"/>
  <c r="IG93" i="5"/>
  <c r="FL119" i="18"/>
  <c r="FM119" i="18" s="1"/>
  <c r="FM38" i="26"/>
  <c r="FN38" i="26" s="1"/>
  <c r="FN37" i="26" s="1"/>
  <c r="FN36" i="26" s="1"/>
  <c r="FN35" i="26" s="1"/>
  <c r="FN34" i="26" s="1"/>
  <c r="FN33" i="26" s="1"/>
  <c r="FN32" i="26" s="1"/>
  <c r="FN31" i="26" s="1"/>
  <c r="FN30" i="26" s="1"/>
  <c r="FR2" i="26"/>
  <c r="IG94" i="5" l="1"/>
  <c r="IF95" i="5"/>
  <c r="FQ2" i="26"/>
  <c r="FP2" i="26" s="1"/>
  <c r="FO2" i="26" s="1"/>
  <c r="FN2" i="26" s="1"/>
  <c r="IF96" i="5" l="1"/>
  <c r="IG95" i="5"/>
  <c r="IG96" i="5" l="1"/>
  <c r="IF97" i="5"/>
  <c r="IF98" i="5" l="1"/>
  <c r="IG97" i="5"/>
  <c r="IG98" i="5" l="1"/>
  <c r="IF99" i="5"/>
  <c r="IF100" i="5" l="1"/>
  <c r="IG99" i="5"/>
  <c r="IG100" i="5" l="1"/>
  <c r="IF101" i="5"/>
  <c r="IF102" i="5" l="1"/>
  <c r="IG101" i="5"/>
  <c r="Q14" i="13"/>
  <c r="D21" i="13" s="1"/>
  <c r="IG102" i="5" l="1"/>
  <c r="IF103" i="5"/>
  <c r="AA19" i="13"/>
  <c r="Q19" i="13" s="1"/>
  <c r="AA20" i="13"/>
  <c r="Q20" i="13" s="1"/>
  <c r="B17" i="13"/>
  <c r="D16" i="13"/>
  <c r="D19" i="13"/>
  <c r="IF104" i="5" l="1"/>
  <c r="IG103" i="5"/>
  <c r="D17" i="13"/>
  <c r="IG104" i="5" l="1"/>
  <c r="IF105" i="5"/>
  <c r="IF106" i="5" l="1"/>
  <c r="IG105" i="5"/>
  <c r="IG106" i="5" l="1"/>
  <c r="IF107" i="5"/>
  <c r="IF108" i="5" l="1"/>
  <c r="IG107" i="5"/>
  <c r="IG108" i="5" l="1"/>
  <c r="IF109" i="5"/>
  <c r="IF110" i="5" l="1"/>
  <c r="IG109" i="5"/>
  <c r="IG110" i="5" l="1"/>
  <c r="IF111" i="5"/>
  <c r="IF112" i="5" l="1"/>
  <c r="IG111" i="5"/>
  <c r="IG112" i="5" l="1"/>
  <c r="IF113" i="5"/>
  <c r="IF114" i="5" l="1"/>
  <c r="IG113" i="5"/>
  <c r="IG114" i="5" l="1"/>
  <c r="IF115" i="5"/>
  <c r="IF116" i="5" l="1"/>
  <c r="IG115" i="5"/>
  <c r="IG116" i="5" l="1"/>
  <c r="IF117" i="5"/>
  <c r="IF118" i="5" l="1"/>
  <c r="IG117" i="5"/>
  <c r="IG118" i="5" l="1"/>
  <c r="IF119" i="5"/>
  <c r="IF120" i="5" l="1"/>
  <c r="IG119" i="5"/>
  <c r="IG120" i="5" l="1"/>
  <c r="IF121" i="5"/>
  <c r="IF122" i="5" l="1"/>
  <c r="IG121" i="5"/>
  <c r="IG122" i="5" l="1"/>
  <c r="IF123" i="5"/>
  <c r="IF124" i="5" l="1"/>
  <c r="IG123" i="5"/>
  <c r="IG124" i="5" l="1"/>
  <c r="IF125" i="5"/>
  <c r="IF126" i="5" l="1"/>
  <c r="IG125" i="5"/>
  <c r="IG126" i="5" l="1"/>
  <c r="IF127" i="5"/>
  <c r="IF128" i="5" l="1"/>
  <c r="IG127" i="5"/>
  <c r="IG128" i="5" l="1"/>
  <c r="IF129" i="5"/>
  <c r="IF130" i="5" l="1"/>
  <c r="IG129" i="5"/>
  <c r="IG130" i="5" l="1"/>
  <c r="IF131" i="5"/>
  <c r="IG131" i="5" s="1"/>
  <c r="T32" i="23" l="1"/>
  <c r="U32" i="23" s="1"/>
  <c r="T31" i="23"/>
  <c r="U31" i="23" s="1"/>
  <c r="W31" i="23" l="1"/>
  <c r="X31" i="23" s="1"/>
  <c r="W32" i="23"/>
  <c r="X32" i="23" s="1"/>
  <c r="W33" i="23"/>
  <c r="X33" i="23" s="1"/>
  <c r="W34" i="23"/>
  <c r="X34" i="23" s="1"/>
  <c r="W35" i="23"/>
  <c r="X35" i="23" s="1"/>
  <c r="W36" i="23"/>
  <c r="X36" i="23" s="1"/>
  <c r="W37" i="23"/>
  <c r="X37" i="23" s="1"/>
  <c r="W38" i="23"/>
  <c r="X38" i="23" s="1"/>
  <c r="W39" i="23"/>
  <c r="X39" i="23" s="1"/>
  <c r="W40" i="23"/>
  <c r="X40" i="23" s="1"/>
  <c r="Z40" i="23" s="1"/>
  <c r="Z39" i="23" l="1"/>
  <c r="Z38" i="23" s="1"/>
  <c r="Z37" i="23" s="1"/>
  <c r="Z36" i="23" s="1"/>
  <c r="Z35" i="23" s="1"/>
  <c r="Z34" i="23" s="1"/>
  <c r="Z33" i="23" s="1"/>
  <c r="Z32" i="23" s="1"/>
  <c r="Z31" i="23" s="1"/>
  <c r="Z30" i="23" s="1"/>
  <c r="S7" i="23" s="1"/>
  <c r="N9" i="19" l="1"/>
  <c r="K32" i="19"/>
  <c r="I32" i="19" s="1"/>
  <c r="K32" i="33"/>
  <c r="I32" i="33" s="1"/>
  <c r="N9" i="33"/>
  <c r="G10" i="23" l="1"/>
  <c r="G9" i="23"/>
  <c r="DH24" i="18"/>
  <c r="DH21" i="18"/>
  <c r="DH18" i="18"/>
  <c r="F48" i="21"/>
  <c r="M48" i="21" s="1"/>
  <c r="L62" i="21" s="1"/>
  <c r="M62" i="21" s="1"/>
  <c r="M61" i="21" s="1"/>
  <c r="M60" i="21" s="1"/>
  <c r="M59" i="21" s="1"/>
  <c r="M58" i="21" s="1"/>
  <c r="M57" i="21" s="1"/>
  <c r="M56" i="21" s="1"/>
  <c r="E95" i="21" s="1"/>
  <c r="E94" i="21" s="1"/>
  <c r="E28" i="21" s="1"/>
  <c r="R29" i="26"/>
  <c r="CO24" i="18" l="1"/>
  <c r="FL24" i="18" s="1"/>
  <c r="Q29" i="18"/>
  <c r="X133" i="10"/>
  <c r="AS30" i="14" l="1"/>
  <c r="AS32" i="14"/>
  <c r="AS33" i="14"/>
  <c r="AS34" i="14"/>
  <c r="AS35" i="14"/>
  <c r="AS36" i="14"/>
  <c r="AS37" i="14"/>
  <c r="AS38" i="14"/>
  <c r="AS20" i="14"/>
  <c r="AS21" i="14"/>
  <c r="AS22" i="14"/>
  <c r="AS23" i="14"/>
  <c r="AS24" i="14"/>
  <c r="AS25" i="14"/>
  <c r="AS26" i="14"/>
  <c r="AS27" i="14"/>
  <c r="AS28" i="14"/>
  <c r="AS29" i="14"/>
  <c r="AS31" i="14"/>
  <c r="AU37" i="14"/>
  <c r="AV37" i="14" s="1"/>
  <c r="AU36" i="14"/>
  <c r="AV36" i="14" s="1"/>
  <c r="AU35" i="14"/>
  <c r="AV35" i="14" s="1"/>
  <c r="AU34" i="14"/>
  <c r="AV34" i="14" s="1"/>
  <c r="AU33" i="14"/>
  <c r="AV33" i="14" s="1"/>
  <c r="AU31" i="14"/>
  <c r="AV31" i="14" s="1"/>
  <c r="AU32" i="14"/>
  <c r="AV32" i="14" s="1"/>
  <c r="AU29" i="14"/>
  <c r="AV29" i="14" s="1"/>
  <c r="AU30" i="14"/>
  <c r="AV30" i="14" s="1"/>
  <c r="AU28" i="14"/>
  <c r="AV28" i="14" s="1"/>
  <c r="AU27" i="14"/>
  <c r="AV27" i="14" s="1"/>
  <c r="AU26" i="14"/>
  <c r="AV26" i="14" s="1"/>
  <c r="AU25" i="14"/>
  <c r="AV25" i="14" s="1"/>
  <c r="AU24" i="14"/>
  <c r="AV24" i="14" s="1"/>
  <c r="AU23" i="14"/>
  <c r="AV23" i="14" s="1"/>
  <c r="AU22" i="14"/>
  <c r="AV22" i="14" s="1"/>
  <c r="AU21" i="14"/>
  <c r="AV21" i="14" s="1"/>
  <c r="AU20" i="14"/>
  <c r="AV20" i="14" s="1"/>
  <c r="AU38" i="14"/>
  <c r="AV38" i="14" s="1"/>
  <c r="AT47" i="14"/>
  <c r="AS47" i="14" s="1"/>
  <c r="AT110" i="14"/>
  <c r="AT111" i="14" s="1"/>
  <c r="DH66" i="18"/>
  <c r="DH63" i="18"/>
  <c r="DH60" i="18"/>
  <c r="DH57" i="18"/>
  <c r="AT89" i="14"/>
  <c r="AT90" i="14" s="1"/>
  <c r="AT91" i="14" s="1"/>
  <c r="AT92" i="14" s="1"/>
  <c r="AT93" i="14" s="1"/>
  <c r="AT94" i="14" s="1"/>
  <c r="AT95" i="14" s="1"/>
  <c r="AT96" i="14" s="1"/>
  <c r="AT97" i="14" s="1"/>
  <c r="AT98" i="14" s="1"/>
  <c r="AT99" i="14" s="1"/>
  <c r="AT100" i="14" s="1"/>
  <c r="AT101" i="14" s="1"/>
  <c r="AT102" i="14" s="1"/>
  <c r="AT103" i="14" s="1"/>
  <c r="AT104" i="14" s="1"/>
  <c r="AT105" i="14" s="1"/>
  <c r="AT106" i="14" s="1"/>
  <c r="AU110" i="14" l="1"/>
  <c r="AV110" i="14" s="1"/>
  <c r="AU47" i="14"/>
  <c r="AV47" i="14" s="1"/>
  <c r="BE52" i="26"/>
  <c r="AT48" i="14"/>
  <c r="AS48" i="14" s="1"/>
  <c r="AS111" i="14"/>
  <c r="AU111" i="14"/>
  <c r="AV111" i="14" s="1"/>
  <c r="AT112" i="14"/>
  <c r="AS110" i="14"/>
  <c r="AT49" i="14" l="1"/>
  <c r="AU48" i="14"/>
  <c r="AV48" i="14" s="1"/>
  <c r="AU112" i="14"/>
  <c r="AV112" i="14" s="1"/>
  <c r="AT113" i="14"/>
  <c r="AS112" i="14"/>
  <c r="AU49" i="14" l="1"/>
  <c r="AV49" i="14" s="1"/>
  <c r="AS49" i="14"/>
  <c r="AT50" i="14"/>
  <c r="AS113" i="14"/>
  <c r="AU113" i="14"/>
  <c r="AV113" i="14" s="1"/>
  <c r="AT114" i="14"/>
  <c r="AS50" i="14" l="1"/>
  <c r="AT51" i="14"/>
  <c r="AU50" i="14"/>
  <c r="AV50" i="14" s="1"/>
  <c r="AU114" i="14"/>
  <c r="AV114" i="14" s="1"/>
  <c r="AT115" i="14"/>
  <c r="AS114" i="14"/>
  <c r="AT52" i="14" l="1"/>
  <c r="AS51" i="14"/>
  <c r="AU51" i="14"/>
  <c r="AV51" i="14" s="1"/>
  <c r="AS115" i="14"/>
  <c r="AU115" i="14"/>
  <c r="AV115" i="14" s="1"/>
  <c r="AT116" i="14"/>
  <c r="AU52" i="14" l="1"/>
  <c r="AV52" i="14" s="1"/>
  <c r="AT53" i="14"/>
  <c r="AS52" i="14"/>
  <c r="AU116" i="14"/>
  <c r="AV116" i="14" s="1"/>
  <c r="AT117" i="14"/>
  <c r="AS116" i="14"/>
  <c r="AU53" i="14" l="1"/>
  <c r="AV53" i="14" s="1"/>
  <c r="AS53" i="14"/>
  <c r="AT54" i="14"/>
  <c r="AS117" i="14"/>
  <c r="AU117" i="14"/>
  <c r="AV117" i="14" s="1"/>
  <c r="AT118" i="14"/>
  <c r="AS54" i="14" l="1"/>
  <c r="AU54" i="14"/>
  <c r="AV54" i="14" s="1"/>
  <c r="AT55" i="14"/>
  <c r="AU118" i="14"/>
  <c r="AV118" i="14" s="1"/>
  <c r="AT119" i="14"/>
  <c r="AS118" i="14"/>
  <c r="AU55" i="14" l="1"/>
  <c r="AV55" i="14" s="1"/>
  <c r="AS55" i="14"/>
  <c r="AT56" i="14"/>
  <c r="AS119" i="14"/>
  <c r="AU119" i="14"/>
  <c r="AV119" i="14" s="1"/>
  <c r="AT120" i="14"/>
  <c r="AT57" i="14" l="1"/>
  <c r="AU56" i="14"/>
  <c r="AV56" i="14" s="1"/>
  <c r="AS56" i="14"/>
  <c r="AT121" i="14"/>
  <c r="AU120" i="14"/>
  <c r="AV120" i="14" s="1"/>
  <c r="AS120" i="14"/>
  <c r="AU57" i="14" l="1"/>
  <c r="AV57" i="14" s="1"/>
  <c r="AS57" i="14"/>
  <c r="AT58" i="14"/>
  <c r="AS121" i="14"/>
  <c r="AU121" i="14"/>
  <c r="AV121" i="14" s="1"/>
  <c r="AT122" i="14"/>
  <c r="AU58" i="14" l="1"/>
  <c r="AV58" i="14" s="1"/>
  <c r="AS58" i="14"/>
  <c r="AT59" i="14"/>
  <c r="AU122" i="14"/>
  <c r="AV122" i="14" s="1"/>
  <c r="AT123" i="14"/>
  <c r="AS122" i="14"/>
  <c r="AS59" i="14" l="1"/>
  <c r="AT60" i="14"/>
  <c r="AU59" i="14"/>
  <c r="AV59" i="14" s="1"/>
  <c r="AS123" i="14"/>
  <c r="AU123" i="14"/>
  <c r="AV123" i="14" s="1"/>
  <c r="AT124" i="14"/>
  <c r="AT61" i="14" l="1"/>
  <c r="AU60" i="14"/>
  <c r="AV60" i="14" s="1"/>
  <c r="AS60" i="14"/>
  <c r="AU124" i="14"/>
  <c r="AV124" i="14" s="1"/>
  <c r="AT125" i="14"/>
  <c r="AS124" i="14"/>
  <c r="AS61" i="14" l="1"/>
  <c r="AT62" i="14"/>
  <c r="AU61" i="14"/>
  <c r="AV61" i="14" s="1"/>
  <c r="AS125" i="14"/>
  <c r="AU125" i="14"/>
  <c r="AV125" i="14" s="1"/>
  <c r="AT126" i="14"/>
  <c r="AT63" i="14" l="1"/>
  <c r="AU62" i="14"/>
  <c r="AV62" i="14" s="1"/>
  <c r="AS62" i="14"/>
  <c r="AU126" i="14"/>
  <c r="AV126" i="14" s="1"/>
  <c r="AT127" i="14"/>
  <c r="AS126" i="14"/>
  <c r="AS63" i="14" l="1"/>
  <c r="AT64" i="14"/>
  <c r="AU63" i="14"/>
  <c r="AV63" i="14" s="1"/>
  <c r="AS127" i="14"/>
  <c r="AU127" i="14"/>
  <c r="AV127" i="14" s="1"/>
  <c r="AT128" i="14"/>
  <c r="AT65" i="14" l="1"/>
  <c r="AU64" i="14"/>
  <c r="AV64" i="14" s="1"/>
  <c r="AS64" i="14"/>
  <c r="AU128" i="14"/>
  <c r="AV128" i="14" s="1"/>
  <c r="AS128" i="14"/>
  <c r="I42" i="8"/>
  <c r="D12" i="8"/>
  <c r="M42" i="8"/>
  <c r="Q28" i="8" s="1"/>
  <c r="BB52" i="26" l="1"/>
  <c r="DH105" i="18"/>
  <c r="DH108" i="18"/>
  <c r="AS65" i="14"/>
  <c r="BD52" i="26" s="1"/>
  <c r="AU65" i="14"/>
  <c r="AV65" i="14" s="1"/>
  <c r="F3" i="8"/>
  <c r="EP224" i="10" s="1"/>
  <c r="BA52" i="26" l="1"/>
  <c r="DH102" i="18"/>
  <c r="CO102" i="18" s="1"/>
  <c r="FL102" i="18" s="1"/>
  <c r="DH99" i="18"/>
  <c r="CO99" i="18" s="1"/>
  <c r="FL99" i="18" s="1"/>
  <c r="BC52" i="26"/>
  <c r="FS2" i="18" l="1"/>
  <c r="BG89" i="5"/>
  <c r="GD142" i="14" l="1"/>
  <c r="GK142" i="14" s="1"/>
  <c r="GD102" i="14" l="1"/>
  <c r="GK102" i="14" s="1"/>
  <c r="K10" i="12"/>
  <c r="X10" i="8"/>
  <c r="GK86" i="14" l="1"/>
  <c r="GK74" i="14"/>
  <c r="GK96" i="14"/>
  <c r="CO57" i="18" l="1"/>
  <c r="CO63" i="18"/>
  <c r="CO60" i="18"/>
  <c r="CO21" i="18" l="1"/>
  <c r="BP60" i="18" l="1"/>
  <c r="BP57" i="18"/>
  <c r="BP63" i="18"/>
  <c r="BT60" i="18" l="1"/>
  <c r="FL61" i="18" s="1"/>
  <c r="BX60" i="18"/>
  <c r="FL62" i="18" s="1"/>
  <c r="FL60" i="18"/>
  <c r="BT57" i="18"/>
  <c r="FL58" i="18" s="1"/>
  <c r="BX57" i="18"/>
  <c r="FL59" i="18" s="1"/>
  <c r="FL57" i="18"/>
  <c r="BX63" i="18"/>
  <c r="FL65" i="18" s="1"/>
  <c r="BT63" i="18"/>
  <c r="FL64" i="18" s="1"/>
  <c r="FL63" i="18"/>
  <c r="FM65" i="18" l="1"/>
  <c r="FM64" i="18" s="1"/>
  <c r="FM63" i="18" s="1"/>
  <c r="FM62" i="18" s="1"/>
  <c r="FM61" i="18" s="1"/>
  <c r="FM60" i="18" s="1"/>
  <c r="FM59" i="18" s="1"/>
  <c r="FM58" i="18" s="1"/>
  <c r="FM57" i="18" s="1"/>
  <c r="FM56" i="18" s="1"/>
  <c r="FM55" i="18" s="1"/>
  <c r="FM54" i="18" s="1"/>
  <c r="BP21" i="18" l="1"/>
  <c r="BT21" i="18" s="1"/>
  <c r="FL22" i="18" s="1"/>
  <c r="FL40" i="18" s="1"/>
  <c r="FL21" i="18" l="1"/>
  <c r="FL39" i="18" s="1"/>
  <c r="BX21" i="18"/>
  <c r="FL23" i="18" s="1"/>
  <c r="FL41" i="18" s="1"/>
  <c r="FM41" i="18" s="1"/>
  <c r="FM40" i="18" s="1"/>
  <c r="FM39" i="18" l="1"/>
  <c r="M11" i="19" l="1"/>
  <c r="K82" i="7"/>
  <c r="AB82" i="7" s="1"/>
  <c r="K159" i="7"/>
  <c r="AB159" i="7" s="1"/>
  <c r="K308" i="7"/>
  <c r="AB308" i="7" s="1"/>
  <c r="K16" i="7"/>
  <c r="AB16" i="7" s="1"/>
  <c r="K191" i="7"/>
  <c r="AB191" i="7" s="1"/>
  <c r="K64" i="7"/>
  <c r="AB64" i="7" s="1"/>
  <c r="K292" i="7"/>
  <c r="L292" i="7" s="1"/>
  <c r="M292" i="7" s="1"/>
  <c r="K168" i="7"/>
  <c r="AB168" i="7" s="1"/>
  <c r="K167" i="7"/>
  <c r="AB167" i="7" s="1"/>
  <c r="K26" i="7"/>
  <c r="AB26" i="7" s="1"/>
  <c r="K359" i="7"/>
  <c r="AB359" i="7" s="1"/>
  <c r="K194" i="7"/>
  <c r="L194" i="7" s="1"/>
  <c r="M194" i="7" s="1"/>
  <c r="K78" i="7"/>
  <c r="AB78" i="7" s="1"/>
  <c r="K69" i="7"/>
  <c r="AB69" i="7" s="1"/>
  <c r="K149" i="7"/>
  <c r="AB149" i="7" s="1"/>
  <c r="K73" i="7"/>
  <c r="L73" i="7" s="1"/>
  <c r="M73" i="7" s="1"/>
  <c r="K203" i="7"/>
  <c r="AB203" i="7" s="1"/>
  <c r="K155" i="7"/>
  <c r="AB155" i="7" s="1"/>
  <c r="K124" i="7"/>
  <c r="AB124" i="7" s="1"/>
  <c r="K197" i="7"/>
  <c r="L197" i="7" s="1"/>
  <c r="M197" i="7" s="1"/>
  <c r="K237" i="7"/>
  <c r="L237" i="7" s="1"/>
  <c r="M237" i="7" s="1"/>
  <c r="K297" i="7"/>
  <c r="L297" i="7" s="1"/>
  <c r="M297" i="7" s="1"/>
  <c r="K223" i="7"/>
  <c r="AB223" i="7" s="1"/>
  <c r="K193" i="7"/>
  <c r="AB193" i="7" s="1"/>
  <c r="K244" i="7"/>
  <c r="AB244" i="7" s="1"/>
  <c r="K139" i="7"/>
  <c r="AB139" i="7" s="1"/>
  <c r="K22" i="7"/>
  <c r="K345" i="7"/>
  <c r="L345" i="7" s="1"/>
  <c r="M345" i="7" s="1"/>
  <c r="K326" i="7"/>
  <c r="AB326" i="7" s="1"/>
  <c r="K315" i="7"/>
  <c r="AB315" i="7" s="1"/>
  <c r="K278" i="7"/>
  <c r="AB278" i="7" s="1"/>
  <c r="K183" i="7"/>
  <c r="AB183" i="7" s="1"/>
  <c r="K337" i="7"/>
  <c r="AB337" i="7" s="1"/>
  <c r="K118" i="7"/>
  <c r="AB118" i="7" s="1"/>
  <c r="K227" i="7"/>
  <c r="AB227" i="7" s="1"/>
  <c r="K316" i="7"/>
  <c r="AB316" i="7" s="1"/>
  <c r="K110" i="7"/>
  <c r="L110" i="7" s="1"/>
  <c r="M110" i="7" s="1"/>
  <c r="K254" i="7"/>
  <c r="L254" i="7" s="1"/>
  <c r="M254" i="7" s="1"/>
  <c r="K225" i="7"/>
  <c r="L225" i="7" s="1"/>
  <c r="M225" i="7" s="1"/>
  <c r="K335" i="7"/>
  <c r="AB335" i="7" s="1"/>
  <c r="K47" i="7"/>
  <c r="L47" i="7" s="1"/>
  <c r="M47" i="7" s="1"/>
  <c r="K32" i="7"/>
  <c r="AB32" i="7" s="1"/>
  <c r="K221" i="7"/>
  <c r="AB221" i="7" s="1"/>
  <c r="K122" i="7"/>
  <c r="K303" i="7"/>
  <c r="AB303" i="7" s="1"/>
  <c r="K276" i="7"/>
  <c r="AB276" i="7" s="1"/>
  <c r="K17" i="7"/>
  <c r="AB17" i="7" s="1"/>
  <c r="K119" i="7"/>
  <c r="AB119" i="7" s="1"/>
  <c r="K147" i="7"/>
  <c r="L147" i="7" s="1"/>
  <c r="M147" i="7" s="1"/>
  <c r="K114" i="7"/>
  <c r="AB114" i="7" s="1"/>
  <c r="K279" i="7"/>
  <c r="AB279" i="7" s="1"/>
  <c r="K311" i="7"/>
  <c r="AB311" i="7" s="1"/>
  <c r="K206" i="7"/>
  <c r="AB206" i="7" s="1"/>
  <c r="K97" i="7"/>
  <c r="AB97" i="7" s="1"/>
  <c r="K79" i="7"/>
  <c r="AB79" i="7" s="1"/>
  <c r="K99" i="7"/>
  <c r="AB99" i="7" s="1"/>
  <c r="K190" i="7"/>
  <c r="AB190" i="7" s="1"/>
  <c r="K31" i="7"/>
  <c r="AB31" i="7" s="1"/>
  <c r="K271" i="7"/>
  <c r="AB271" i="7" s="1"/>
  <c r="K231" i="7"/>
  <c r="AB231" i="7" s="1"/>
  <c r="K66" i="7"/>
  <c r="L66" i="7" s="1"/>
  <c r="M66" i="7" s="1"/>
  <c r="K173" i="7"/>
  <c r="AB173" i="7" s="1"/>
  <c r="K170" i="7"/>
  <c r="AB170" i="7" s="1"/>
  <c r="K331" i="7"/>
  <c r="AB331" i="7" s="1"/>
  <c r="K232" i="7"/>
  <c r="AB232" i="7" s="1"/>
  <c r="K30" i="7"/>
  <c r="AB30" i="7" s="1"/>
  <c r="K268" i="7"/>
  <c r="AB268" i="7" s="1"/>
  <c r="K264" i="7"/>
  <c r="L264" i="7" s="1"/>
  <c r="M264" i="7" s="1"/>
  <c r="K195" i="7"/>
  <c r="AB195" i="7" s="1"/>
  <c r="K200" i="7"/>
  <c r="AB200" i="7" s="1"/>
  <c r="K136" i="7"/>
  <c r="AB136" i="7" s="1"/>
  <c r="K241" i="7"/>
  <c r="AB241" i="7" s="1"/>
  <c r="K251" i="7"/>
  <c r="AB251" i="7" s="1"/>
  <c r="K94" i="7"/>
  <c r="AB94" i="7" s="1"/>
  <c r="K89" i="7"/>
  <c r="AB89" i="7" s="1"/>
  <c r="K256" i="7"/>
  <c r="AB256" i="7" s="1"/>
  <c r="K175" i="7"/>
  <c r="AB175" i="7" s="1"/>
  <c r="K130" i="7"/>
  <c r="AB130" i="7" s="1"/>
  <c r="K24" i="7"/>
  <c r="AB24" i="7" s="1"/>
  <c r="K19" i="7"/>
  <c r="AB19" i="7" s="1"/>
  <c r="K342" i="7"/>
  <c r="AB342" i="7" s="1"/>
  <c r="K338" i="7"/>
  <c r="AB338" i="7" s="1"/>
  <c r="K328" i="7"/>
  <c r="AB328" i="7" s="1"/>
  <c r="K117" i="7"/>
  <c r="AB117" i="7" s="1"/>
  <c r="K312" i="7"/>
  <c r="AB312" i="7" s="1"/>
  <c r="K95" i="7"/>
  <c r="AB95" i="7" s="1"/>
  <c r="K204" i="7"/>
  <c r="AB204" i="7" s="1"/>
  <c r="K63" i="7"/>
  <c r="AB63" i="7" s="1"/>
  <c r="K196" i="7"/>
  <c r="AB196" i="7" s="1"/>
  <c r="K76" i="7"/>
  <c r="AB76" i="7" s="1"/>
  <c r="K209" i="7"/>
  <c r="AB209" i="7" s="1"/>
  <c r="K258" i="7"/>
  <c r="AB258" i="7" s="1"/>
  <c r="K246" i="7"/>
  <c r="AB246" i="7" s="1"/>
  <c r="K275" i="7"/>
  <c r="AB275" i="7" s="1"/>
  <c r="K56" i="7"/>
  <c r="AB56" i="7" s="1"/>
  <c r="K321" i="7"/>
  <c r="AB321" i="7" s="1"/>
  <c r="K214" i="7"/>
  <c r="AB214" i="7" s="1"/>
  <c r="K322" i="7"/>
  <c r="AB322" i="7" s="1"/>
  <c r="K121" i="7"/>
  <c r="AB121" i="7" s="1"/>
  <c r="K172" i="7"/>
  <c r="AB172" i="7" s="1"/>
  <c r="K80" i="7"/>
  <c r="AB80" i="7" s="1"/>
  <c r="K107" i="7"/>
  <c r="AB107" i="7" s="1"/>
  <c r="K199" i="7"/>
  <c r="K87" i="7"/>
  <c r="K358" i="7"/>
  <c r="AB358" i="7" s="1"/>
  <c r="K131" i="7"/>
  <c r="AB131" i="7" s="1"/>
  <c r="K29" i="7"/>
  <c r="AB29" i="7" s="1"/>
  <c r="K224" i="7"/>
  <c r="AB224" i="7" s="1"/>
  <c r="K153" i="7"/>
  <c r="AB153" i="7" s="1"/>
  <c r="K341" i="7"/>
  <c r="AB341" i="7" s="1"/>
  <c r="K336" i="7"/>
  <c r="K28" i="7"/>
  <c r="K58" i="7"/>
  <c r="AB58" i="7" s="1"/>
  <c r="K324" i="7"/>
  <c r="AB324" i="7" s="1"/>
  <c r="K248" i="7"/>
  <c r="K252" i="7"/>
  <c r="AB252" i="7" s="1"/>
  <c r="K104" i="7"/>
  <c r="K55" i="7"/>
  <c r="AB55" i="7" s="1"/>
  <c r="K133" i="7"/>
  <c r="AB133" i="7" s="1"/>
  <c r="K247" i="7"/>
  <c r="K243" i="7"/>
  <c r="AB243" i="7" s="1"/>
  <c r="K81" i="7"/>
  <c r="AB81" i="7" s="1"/>
  <c r="K325" i="7"/>
  <c r="AB325" i="7" s="1"/>
  <c r="K281" i="7"/>
  <c r="K219" i="7"/>
  <c r="AB219" i="7" s="1"/>
  <c r="K327" i="7"/>
  <c r="AB327" i="7" s="1"/>
  <c r="K355" i="7"/>
  <c r="AB355" i="7" s="1"/>
  <c r="K309" i="7"/>
  <c r="AB309" i="7" s="1"/>
  <c r="K61" i="7"/>
  <c r="L61" i="7" s="1"/>
  <c r="M61" i="7" s="1"/>
  <c r="K260" i="7"/>
  <c r="AB260" i="7" s="1"/>
  <c r="K13" i="7"/>
  <c r="AB13" i="7" s="1"/>
  <c r="K290" i="7"/>
  <c r="AB290" i="7" s="1"/>
  <c r="K41" i="7"/>
  <c r="AB41" i="7" s="1"/>
  <c r="K43" i="7"/>
  <c r="AB43" i="7" s="1"/>
  <c r="K334" i="7"/>
  <c r="AB334" i="7" s="1"/>
  <c r="K75" i="7"/>
  <c r="AB75" i="7" s="1"/>
  <c r="K323" i="7"/>
  <c r="AB323" i="7" s="1"/>
  <c r="K42" i="7"/>
  <c r="AB42" i="7" s="1"/>
  <c r="K34" i="7"/>
  <c r="AB34" i="7" s="1"/>
  <c r="K77" i="7"/>
  <c r="AB77" i="7" s="1"/>
  <c r="K20" i="7"/>
  <c r="AB20" i="7" s="1"/>
  <c r="K48" i="7"/>
  <c r="AB48" i="7" s="1"/>
  <c r="K141" i="7"/>
  <c r="AB141" i="7" s="1"/>
  <c r="K283" i="7"/>
  <c r="AB283" i="7" s="1"/>
  <c r="K40" i="7"/>
  <c r="AB40" i="7" s="1"/>
  <c r="K192" i="7"/>
  <c r="L192" i="7" s="1"/>
  <c r="M192" i="7" s="1"/>
  <c r="K307" i="7"/>
  <c r="AB307" i="7" s="1"/>
  <c r="K262" i="7"/>
  <c r="AB262" i="7" s="1"/>
  <c r="K91" i="7"/>
  <c r="AB91" i="7" s="1"/>
  <c r="K127" i="7"/>
  <c r="AB127" i="7" s="1"/>
  <c r="K25" i="7"/>
  <c r="AB25" i="7" s="1"/>
  <c r="K284" i="7"/>
  <c r="AB284" i="7" s="1"/>
  <c r="K37" i="7"/>
  <c r="AB37" i="7" s="1"/>
  <c r="K116" i="7"/>
  <c r="AB116" i="7" s="1"/>
  <c r="K272" i="7"/>
  <c r="AB272" i="7" s="1"/>
  <c r="K266" i="7"/>
  <c r="AB266" i="7" s="1"/>
  <c r="K88" i="7"/>
  <c r="AB88" i="7" s="1"/>
  <c r="K165" i="7"/>
  <c r="AB165" i="7" s="1"/>
  <c r="K259" i="7"/>
  <c r="AB259" i="7" s="1"/>
  <c r="K277" i="7"/>
  <c r="AB277" i="7" s="1"/>
  <c r="K125" i="7"/>
  <c r="AB125" i="7" s="1"/>
  <c r="K171" i="7"/>
  <c r="K166" i="7"/>
  <c r="AB166" i="7" s="1"/>
  <c r="K236" i="7"/>
  <c r="AB236" i="7" s="1"/>
  <c r="K109" i="7"/>
  <c r="AB109" i="7" s="1"/>
  <c r="K145" i="7"/>
  <c r="L145" i="7" s="1"/>
  <c r="M145" i="7" s="1"/>
  <c r="K286" i="7"/>
  <c r="AB286" i="7" s="1"/>
  <c r="K353" i="7"/>
  <c r="AB353" i="7" s="1"/>
  <c r="K263" i="7"/>
  <c r="AB263" i="7" s="1"/>
  <c r="K329" i="7"/>
  <c r="AB329" i="7" s="1"/>
  <c r="K343" i="7"/>
  <c r="AB343" i="7" s="1"/>
  <c r="K234" i="7"/>
  <c r="AB234" i="7" s="1"/>
  <c r="K198" i="7"/>
  <c r="L198" i="7" s="1"/>
  <c r="M198" i="7" s="1"/>
  <c r="K15" i="7"/>
  <c r="AB15" i="7" s="1"/>
  <c r="K84" i="7"/>
  <c r="AB84" i="7" s="1"/>
  <c r="K210" i="7"/>
  <c r="AB210" i="7" s="1"/>
  <c r="K134" i="7"/>
  <c r="AB134" i="7" s="1"/>
  <c r="K102" i="7"/>
  <c r="AB102" i="7" s="1"/>
  <c r="K176" i="7"/>
  <c r="AB176" i="7" s="1"/>
  <c r="K62" i="7"/>
  <c r="AB62" i="7" s="1"/>
  <c r="K18" i="7"/>
  <c r="AB18" i="7" s="1"/>
  <c r="K10" i="7"/>
  <c r="AB10" i="7" s="1"/>
  <c r="K160" i="7"/>
  <c r="AB160" i="7" s="1"/>
  <c r="K179" i="7"/>
  <c r="AB179" i="7" s="1"/>
  <c r="K361" i="7"/>
  <c r="AB361" i="7" s="1"/>
  <c r="K273" i="7"/>
  <c r="AB273" i="7" s="1"/>
  <c r="K302" i="7"/>
  <c r="K269" i="7"/>
  <c r="AB269" i="7" s="1"/>
  <c r="K201" i="7"/>
  <c r="AB201" i="7" s="1"/>
  <c r="K106" i="7"/>
  <c r="K306" i="7"/>
  <c r="AB306" i="7" s="1"/>
  <c r="K296" i="7"/>
  <c r="AB296" i="7" s="1"/>
  <c r="K189" i="7"/>
  <c r="AB189" i="7" s="1"/>
  <c r="K253" i="7"/>
  <c r="AB253" i="7" s="1"/>
  <c r="K261" i="7"/>
  <c r="AB261" i="7" s="1"/>
  <c r="K220" i="7"/>
  <c r="AB220" i="7" s="1"/>
  <c r="K71" i="7"/>
  <c r="AB71" i="7" s="1"/>
  <c r="K293" i="7"/>
  <c r="AB293" i="7" s="1"/>
  <c r="K207" i="7"/>
  <c r="AB207" i="7" s="1"/>
  <c r="K92" i="7"/>
  <c r="L92" i="7" s="1"/>
  <c r="M92" i="7" s="1"/>
  <c r="K218" i="7"/>
  <c r="AB218" i="7" s="1"/>
  <c r="K49" i="7"/>
  <c r="AB49" i="7" s="1"/>
  <c r="K274" i="7"/>
  <c r="AB274" i="7" s="1"/>
  <c r="K356" i="7"/>
  <c r="AB356" i="7" s="1"/>
  <c r="K332" i="7"/>
  <c r="AB332" i="7" s="1"/>
  <c r="K150" i="7"/>
  <c r="AB150" i="7" s="1"/>
  <c r="K213" i="7"/>
  <c r="AB213" i="7" s="1"/>
  <c r="K257" i="7"/>
  <c r="AB257" i="7" s="1"/>
  <c r="K205" i="7"/>
  <c r="AB205" i="7" s="1"/>
  <c r="K330" i="7"/>
  <c r="AB330" i="7" s="1"/>
  <c r="K35" i="7"/>
  <c r="AB35" i="7" s="1"/>
  <c r="K242" i="7"/>
  <c r="AB242" i="7" s="1"/>
  <c r="K111" i="7"/>
  <c r="AB111" i="7" s="1"/>
  <c r="K202" i="7"/>
  <c r="AB202" i="7" s="1"/>
  <c r="K148" i="7"/>
  <c r="AB148" i="7" s="1"/>
  <c r="K280" i="7"/>
  <c r="AB280" i="7" s="1"/>
  <c r="K228" i="7"/>
  <c r="AB228" i="7" s="1"/>
  <c r="K180" i="7"/>
  <c r="AB180" i="7" s="1"/>
  <c r="K282" i="7"/>
  <c r="AB282" i="7" s="1"/>
  <c r="K68" i="7"/>
  <c r="AB68" i="7" s="1"/>
  <c r="K344" i="7"/>
  <c r="AB344" i="7" s="1"/>
  <c r="K291" i="7"/>
  <c r="L291" i="7" s="1"/>
  <c r="M291" i="7" s="1"/>
  <c r="K357" i="7"/>
  <c r="AB357" i="7" s="1"/>
  <c r="K96" i="7"/>
  <c r="AB96" i="7" s="1"/>
  <c r="K174" i="7"/>
  <c r="AB174" i="7" s="1"/>
  <c r="K245" i="7"/>
  <c r="AB245" i="7" s="1"/>
  <c r="K169" i="7"/>
  <c r="AB169" i="7" s="1"/>
  <c r="K108" i="7"/>
  <c r="AB108" i="7" s="1"/>
  <c r="K105" i="7"/>
  <c r="AB105" i="7" s="1"/>
  <c r="K90" i="7"/>
  <c r="AB90" i="7" s="1"/>
  <c r="K52" i="7"/>
  <c r="AB52" i="7" s="1"/>
  <c r="K229" i="7"/>
  <c r="AB229" i="7" s="1"/>
  <c r="K74" i="7"/>
  <c r="K86" i="7"/>
  <c r="AB86" i="7" s="1"/>
  <c r="K211" i="7"/>
  <c r="AB211" i="7" s="1"/>
  <c r="K184" i="7"/>
  <c r="AB184" i="7" s="1"/>
  <c r="K217" i="7"/>
  <c r="AB217" i="7" s="1"/>
  <c r="K128" i="7"/>
  <c r="AB128" i="7" s="1"/>
  <c r="K57" i="7"/>
  <c r="AB57" i="7" s="1"/>
  <c r="K27" i="7"/>
  <c r="AB27" i="7" s="1"/>
  <c r="K208" i="7"/>
  <c r="AB208" i="7" s="1"/>
  <c r="K320" i="7"/>
  <c r="AB320" i="7" s="1"/>
  <c r="K146" i="7"/>
  <c r="AB146" i="7" s="1"/>
  <c r="K33" i="7"/>
  <c r="AB33" i="7" s="1"/>
  <c r="K319" i="7"/>
  <c r="L319" i="7" s="1"/>
  <c r="M319" i="7" s="1"/>
  <c r="K298" i="7"/>
  <c r="AB298" i="7" s="1"/>
  <c r="K305" i="7"/>
  <c r="AB305" i="7" s="1"/>
  <c r="K100" i="7"/>
  <c r="AB100" i="7" s="1"/>
  <c r="K216" i="7"/>
  <c r="AB216" i="7" s="1"/>
  <c r="K54" i="7"/>
  <c r="AB54" i="7" s="1"/>
  <c r="K230" i="7"/>
  <c r="AB230" i="7" s="1"/>
  <c r="K212" i="7"/>
  <c r="AB212" i="7" s="1"/>
  <c r="K151" i="7"/>
  <c r="AB151" i="7" s="1"/>
  <c r="K83" i="7"/>
  <c r="AB83" i="7" s="1"/>
  <c r="K152" i="7"/>
  <c r="AB152" i="7" s="1"/>
  <c r="K70" i="7"/>
  <c r="AB70" i="7" s="1"/>
  <c r="K59" i="7"/>
  <c r="AB59" i="7" s="1"/>
  <c r="K240" i="7"/>
  <c r="AB240" i="7" s="1"/>
  <c r="K112" i="7"/>
  <c r="AB112" i="7" s="1"/>
  <c r="K339" i="7"/>
  <c r="L339" i="7" s="1"/>
  <c r="M339" i="7" s="1"/>
  <c r="K115" i="7"/>
  <c r="AB115" i="7" s="1"/>
  <c r="K188" i="7"/>
  <c r="AB188" i="7" s="1"/>
  <c r="K310" i="7"/>
  <c r="AB310" i="7" s="1"/>
  <c r="K158" i="7"/>
  <c r="AB158" i="7" s="1"/>
  <c r="K314" i="7"/>
  <c r="L314" i="7" s="1"/>
  <c r="M314" i="7" s="1"/>
  <c r="G284" i="7" s="1"/>
  <c r="K185" i="7"/>
  <c r="L185" i="7" s="1"/>
  <c r="M185" i="7" s="1"/>
  <c r="K340" i="7"/>
  <c r="AB340" i="7" s="1"/>
  <c r="K51" i="7"/>
  <c r="AB51" i="7" s="1"/>
  <c r="K21" i="7"/>
  <c r="AB21" i="7" s="1"/>
  <c r="K352" i="7"/>
  <c r="AB352" i="7" s="1"/>
  <c r="K101" i="7"/>
  <c r="AB101" i="7" s="1"/>
  <c r="K120" i="7"/>
  <c r="AB120" i="7" s="1"/>
  <c r="K351" i="7"/>
  <c r="AB351" i="7" s="1"/>
  <c r="K267" i="7"/>
  <c r="AB267" i="7" s="1"/>
  <c r="K301" i="7"/>
  <c r="AB301" i="7" s="1"/>
  <c r="K295" i="7"/>
  <c r="L295" i="7" s="1"/>
  <c r="M295" i="7" s="1"/>
  <c r="K350" i="7"/>
  <c r="AB350" i="7" s="1"/>
  <c r="K187" i="7"/>
  <c r="AB187" i="7" s="1"/>
  <c r="K317" i="7"/>
  <c r="AB317" i="7" s="1"/>
  <c r="K249" i="7"/>
  <c r="AB249" i="7" s="1"/>
  <c r="K36" i="7"/>
  <c r="AB36" i="7" s="1"/>
  <c r="K137" i="7"/>
  <c r="AB137" i="7" s="1"/>
  <c r="K178" i="7"/>
  <c r="AB178" i="7" s="1"/>
  <c r="K53" i="7"/>
  <c r="AB53" i="7" s="1"/>
  <c r="K65" i="7"/>
  <c r="AB65" i="7" s="1"/>
  <c r="K250" i="7"/>
  <c r="AB250" i="7" s="1"/>
  <c r="K348" i="7"/>
  <c r="AB348" i="7" s="1"/>
  <c r="K346" i="7"/>
  <c r="AB346" i="7" s="1"/>
  <c r="K186" i="7"/>
  <c r="AB186" i="7" s="1"/>
  <c r="K93" i="7"/>
  <c r="AB93" i="7" s="1"/>
  <c r="K85" i="7"/>
  <c r="AB85" i="7" s="1"/>
  <c r="K238" i="7"/>
  <c r="AB238" i="7" s="1"/>
  <c r="K349" i="7"/>
  <c r="AB349" i="7" s="1"/>
  <c r="K123" i="7"/>
  <c r="AB123" i="7" s="1"/>
  <c r="K235" i="7"/>
  <c r="AB235" i="7" s="1"/>
  <c r="K233" i="7"/>
  <c r="K333" i="7"/>
  <c r="AB333" i="7" s="1"/>
  <c r="K23" i="7"/>
  <c r="AB23" i="7" s="1"/>
  <c r="K9" i="7"/>
  <c r="AB9" i="7" s="1"/>
  <c r="K347" i="7"/>
  <c r="AB347" i="7" s="1"/>
  <c r="AB233" i="7" l="1"/>
  <c r="L14" i="7"/>
  <c r="M14" i="7" s="1"/>
  <c r="GK113" i="14"/>
  <c r="AB145" i="7"/>
  <c r="L123" i="7"/>
  <c r="L253" i="7"/>
  <c r="M253" i="7" s="1"/>
  <c r="L131" i="7"/>
  <c r="M131" i="7" s="1"/>
  <c r="L268" i="7"/>
  <c r="M268" i="7" s="1"/>
  <c r="L13" i="7"/>
  <c r="M13" i="7" s="1"/>
  <c r="AB61" i="7"/>
  <c r="L31" i="7"/>
  <c r="M31" i="7" s="1"/>
  <c r="L93" i="7"/>
  <c r="M93" i="7" s="1"/>
  <c r="G94" i="7" s="1"/>
  <c r="L94" i="7" s="1"/>
  <c r="M94" i="7" s="1"/>
  <c r="G95" i="7" s="1"/>
  <c r="L95" i="7" s="1"/>
  <c r="M95" i="7" s="1"/>
  <c r="L70" i="7"/>
  <c r="M70" i="7" s="1"/>
  <c r="FE148" i="5" s="1"/>
  <c r="L219" i="7"/>
  <c r="M219" i="7" s="1"/>
  <c r="L250" i="7"/>
  <c r="M250" i="7" s="1"/>
  <c r="L178" i="7"/>
  <c r="M178" i="7" s="1"/>
  <c r="G183" i="7" s="1"/>
  <c r="L59" i="7"/>
  <c r="M59" i="7" s="1"/>
  <c r="AB194" i="7"/>
  <c r="L317" i="7"/>
  <c r="M317" i="7" s="1"/>
  <c r="F13" i="4" s="1"/>
  <c r="L340" i="7"/>
  <c r="M340" i="7" s="1"/>
  <c r="L108" i="7"/>
  <c r="M108" i="7" s="1"/>
  <c r="L174" i="7"/>
  <c r="M174" i="7" s="1"/>
  <c r="L35" i="7"/>
  <c r="M35" i="7" s="1"/>
  <c r="L106" i="7"/>
  <c r="M106" i="7" s="1"/>
  <c r="AB106" i="7" s="1"/>
  <c r="L243" i="7"/>
  <c r="M243" i="7" s="1"/>
  <c r="L218" i="7"/>
  <c r="M218" i="7" s="1"/>
  <c r="L15" i="7"/>
  <c r="M15" i="7" s="1"/>
  <c r="L290" i="7"/>
  <c r="M290" i="7" s="1"/>
  <c r="E7" i="6" s="1"/>
  <c r="L196" i="7"/>
  <c r="M196" i="7" s="1"/>
  <c r="AB225" i="7"/>
  <c r="L101" i="7"/>
  <c r="M101" i="7" s="1"/>
  <c r="L105" i="7"/>
  <c r="M105" i="7" s="1"/>
  <c r="L102" i="7"/>
  <c r="M102" i="7" s="1"/>
  <c r="L141" i="7"/>
  <c r="M141" i="7" s="1"/>
  <c r="L55" i="7"/>
  <c r="M55" i="7" s="1"/>
  <c r="L221" i="7"/>
  <c r="M221" i="7" s="1"/>
  <c r="L333" i="7"/>
  <c r="M333" i="7" s="1"/>
  <c r="M41" i="31" s="1"/>
  <c r="L238" i="7"/>
  <c r="M238" i="7" s="1"/>
  <c r="L36" i="7"/>
  <c r="M36" i="7" s="1"/>
  <c r="AB295" i="7"/>
  <c r="L151" i="7"/>
  <c r="M151" i="7" s="1"/>
  <c r="L52" i="7"/>
  <c r="M52" i="7" s="1"/>
  <c r="L90" i="7"/>
  <c r="M90" i="7" s="1"/>
  <c r="L245" i="7"/>
  <c r="M245" i="7" s="1"/>
  <c r="L280" i="7"/>
  <c r="M280" i="7" s="1"/>
  <c r="L111" i="7"/>
  <c r="M111" i="7" s="1"/>
  <c r="CK71" i="10" s="1"/>
  <c r="L269" i="7"/>
  <c r="M269" i="7" s="1"/>
  <c r="L160" i="7"/>
  <c r="M160" i="7" s="1"/>
  <c r="L286" i="7"/>
  <c r="M286" i="7" s="1"/>
  <c r="L109" i="7"/>
  <c r="M109" i="7" s="1"/>
  <c r="L166" i="7"/>
  <c r="M166" i="7" s="1"/>
  <c r="L165" i="7"/>
  <c r="M165" i="7" s="1"/>
  <c r="L40" i="7"/>
  <c r="M40" i="7" s="1"/>
  <c r="L235" i="7"/>
  <c r="M235" i="7" s="1"/>
  <c r="G46" i="7" s="1"/>
  <c r="L46" i="7" s="1"/>
  <c r="M46" i="7" s="1"/>
  <c r="L171" i="7"/>
  <c r="M171" i="7" s="1"/>
  <c r="E3" i="16" s="1"/>
  <c r="L309" i="7"/>
  <c r="M309" i="7" s="1"/>
  <c r="L204" i="7"/>
  <c r="M204" i="7" s="1"/>
  <c r="L200" i="7"/>
  <c r="M200" i="7" s="1"/>
  <c r="L173" i="7"/>
  <c r="M173" i="7" s="1"/>
  <c r="AB66" i="7"/>
  <c r="AB147" i="7"/>
  <c r="AB47" i="7"/>
  <c r="L316" i="7"/>
  <c r="M316" i="7" s="1"/>
  <c r="L227" i="7"/>
  <c r="M227" i="7" s="1"/>
  <c r="AB345" i="7"/>
  <c r="AB237" i="7"/>
  <c r="L16" i="7"/>
  <c r="M16" i="7" s="1"/>
  <c r="L23" i="7"/>
  <c r="M23" i="7" s="1"/>
  <c r="L346" i="7"/>
  <c r="M346" i="7" s="1"/>
  <c r="L350" i="7"/>
  <c r="M350" i="7" s="1"/>
  <c r="L188" i="7"/>
  <c r="M188" i="7" s="1"/>
  <c r="L112" i="7"/>
  <c r="M112" i="7" s="1"/>
  <c r="L83" i="7"/>
  <c r="M83" i="7" s="1"/>
  <c r="L33" i="7"/>
  <c r="M33" i="7" s="1"/>
  <c r="G149" i="7" s="1"/>
  <c r="L149" i="7" s="1"/>
  <c r="M149" i="7" s="1"/>
  <c r="L208" i="7"/>
  <c r="M208" i="7" s="1"/>
  <c r="L211" i="7"/>
  <c r="M211" i="7" s="1"/>
  <c r="L229" i="7"/>
  <c r="M229" i="7" s="1"/>
  <c r="L205" i="7"/>
  <c r="M205" i="7" s="1"/>
  <c r="L207" i="7"/>
  <c r="M207" i="7" s="1"/>
  <c r="L306" i="7"/>
  <c r="M306" i="7" s="1"/>
  <c r="L210" i="7"/>
  <c r="M210" i="7" s="1"/>
  <c r="L329" i="7"/>
  <c r="M329" i="7" s="1"/>
  <c r="L236" i="7"/>
  <c r="M236" i="7" s="1"/>
  <c r="L88" i="7"/>
  <c r="M88" i="7" s="1"/>
  <c r="L283" i="7"/>
  <c r="M283" i="7" s="1"/>
  <c r="L121" i="7"/>
  <c r="M121" i="7" s="1"/>
  <c r="L175" i="7"/>
  <c r="M175" i="7" s="1"/>
  <c r="AH361" i="7"/>
  <c r="AF361" i="7"/>
  <c r="AC361" i="7"/>
  <c r="AE361" i="7"/>
  <c r="AD361" i="7"/>
  <c r="AG361" i="7"/>
  <c r="G139" i="7"/>
  <c r="L139" i="7" s="1"/>
  <c r="M139" i="7" s="1"/>
  <c r="G301" i="7"/>
  <c r="L301" i="7" s="1"/>
  <c r="M301" i="7" s="1"/>
  <c r="G307" i="7"/>
  <c r="L307" i="7" s="1"/>
  <c r="M307" i="7" s="1"/>
  <c r="AB104" i="7"/>
  <c r="L104" i="7"/>
  <c r="M104" i="7" s="1"/>
  <c r="AB87" i="7"/>
  <c r="L87" i="7"/>
  <c r="M87" i="7" s="1"/>
  <c r="AB185" i="7"/>
  <c r="L62" i="7"/>
  <c r="M62" i="7" s="1"/>
  <c r="AB339" i="7"/>
  <c r="L234" i="7"/>
  <c r="M234" i="7" s="1"/>
  <c r="AB291" i="7"/>
  <c r="AB314" i="7"/>
  <c r="AB319" i="7"/>
  <c r="L42" i="7"/>
  <c r="M42" i="7" s="1"/>
  <c r="AB281" i="7"/>
  <c r="L281" i="7"/>
  <c r="M281" i="7" s="1"/>
  <c r="L347" i="7"/>
  <c r="M347" i="7" s="1"/>
  <c r="L349" i="7"/>
  <c r="M349" i="7" s="1"/>
  <c r="L348" i="7"/>
  <c r="M348" i="7" s="1"/>
  <c r="L53" i="7"/>
  <c r="M53" i="7" s="1"/>
  <c r="L137" i="7"/>
  <c r="M137" i="7" s="1"/>
  <c r="L249" i="7"/>
  <c r="M249" i="7" s="1"/>
  <c r="L187" i="7"/>
  <c r="M187" i="7" s="1"/>
  <c r="L240" i="7"/>
  <c r="M240" i="7" s="1"/>
  <c r="L216" i="7"/>
  <c r="M216" i="7" s="1"/>
  <c r="L146" i="7"/>
  <c r="M146" i="7" s="1"/>
  <c r="L320" i="7"/>
  <c r="M320" i="7" s="1"/>
  <c r="L27" i="7"/>
  <c r="M27" i="7" s="1"/>
  <c r="L96" i="7"/>
  <c r="M96" i="7" s="1"/>
  <c r="L68" i="7"/>
  <c r="M68" i="7" s="1"/>
  <c r="L282" i="7"/>
  <c r="M282" i="7" s="1"/>
  <c r="L148" i="7"/>
  <c r="M148" i="7" s="1"/>
  <c r="L202" i="7"/>
  <c r="M202" i="7" s="1"/>
  <c r="L242" i="7"/>
  <c r="M242" i="7" s="1"/>
  <c r="L71" i="7"/>
  <c r="M71" i="7" s="1"/>
  <c r="L220" i="7"/>
  <c r="M220" i="7" s="1"/>
  <c r="L189" i="7"/>
  <c r="M189" i="7" s="1"/>
  <c r="L201" i="7"/>
  <c r="M201" i="7" s="1"/>
  <c r="L84" i="7"/>
  <c r="M84" i="7" s="1"/>
  <c r="L266" i="7"/>
  <c r="M266" i="7" s="1"/>
  <c r="L127" i="7"/>
  <c r="M127" i="7" s="1"/>
  <c r="AB192" i="7"/>
  <c r="AB198" i="7"/>
  <c r="AB74" i="7"/>
  <c r="AB248" i="7"/>
  <c r="L248" i="7"/>
  <c r="M248" i="7" s="1"/>
  <c r="AB199" i="7"/>
  <c r="L199" i="7"/>
  <c r="M199" i="7" s="1"/>
  <c r="AB92" i="7"/>
  <c r="L247" i="7"/>
  <c r="M247" i="7" s="1"/>
  <c r="AB247" i="7"/>
  <c r="AB28" i="7"/>
  <c r="L28" i="7"/>
  <c r="M28" i="7" s="1"/>
  <c r="AB336" i="7"/>
  <c r="L336" i="7"/>
  <c r="M336" i="7" s="1"/>
  <c r="L233" i="7"/>
  <c r="M233" i="7" s="1"/>
  <c r="L85" i="7"/>
  <c r="M85" i="7" s="1"/>
  <c r="L186" i="7"/>
  <c r="M186" i="7" s="1"/>
  <c r="L65" i="7"/>
  <c r="M65" i="7" s="1"/>
  <c r="L351" i="7"/>
  <c r="M351" i="7" s="1"/>
  <c r="L120" i="7"/>
  <c r="M120" i="7" s="1"/>
  <c r="L21" i="7"/>
  <c r="G22" i="7" s="1"/>
  <c r="L51" i="7"/>
  <c r="M51" i="7" s="1"/>
  <c r="L158" i="7"/>
  <c r="M158" i="7" s="1"/>
  <c r="L152" i="7"/>
  <c r="M152" i="7" s="1"/>
  <c r="L212" i="7"/>
  <c r="M212" i="7" s="1"/>
  <c r="L100" i="7"/>
  <c r="M100" i="7" s="1"/>
  <c r="L128" i="7"/>
  <c r="M128" i="7" s="1"/>
  <c r="AS73" i="21" s="1"/>
  <c r="AS19" i="21" s="1"/>
  <c r="L184" i="7"/>
  <c r="M184" i="7" s="1"/>
  <c r="L86" i="7"/>
  <c r="M86" i="7" s="1"/>
  <c r="L74" i="7"/>
  <c r="M74" i="7" s="1"/>
  <c r="G9" i="7" s="1"/>
  <c r="L9" i="7" s="1"/>
  <c r="M9" i="7" s="1"/>
  <c r="L169" i="7"/>
  <c r="M169" i="7" s="1"/>
  <c r="L344" i="7"/>
  <c r="M344" i="7" s="1"/>
  <c r="L228" i="7"/>
  <c r="M228" i="7" s="1"/>
  <c r="L330" i="7"/>
  <c r="M330" i="7" s="1"/>
  <c r="L332" i="7"/>
  <c r="M332" i="7" s="1"/>
  <c r="L49" i="7"/>
  <c r="M49" i="7" s="1"/>
  <c r="L10" i="7"/>
  <c r="M10" i="7" s="1"/>
  <c r="L18" i="7"/>
  <c r="M18" i="7" s="1"/>
  <c r="L134" i="7"/>
  <c r="M134" i="7" s="1"/>
  <c r="L343" i="7"/>
  <c r="M343" i="7" s="1"/>
  <c r="Y15" i="21" s="1"/>
  <c r="L125" i="7"/>
  <c r="M125" i="7" s="1"/>
  <c r="L116" i="7"/>
  <c r="M116" i="7" s="1"/>
  <c r="L284" i="7"/>
  <c r="M284" i="7" s="1"/>
  <c r="L25" i="7"/>
  <c r="M25" i="7" s="1"/>
  <c r="L91" i="7"/>
  <c r="M91" i="7" s="1"/>
  <c r="L172" i="7"/>
  <c r="M172" i="7" s="1"/>
  <c r="L214" i="7"/>
  <c r="M214" i="7" s="1"/>
  <c r="L209" i="7"/>
  <c r="M209" i="7" s="1"/>
  <c r="L342" i="7"/>
  <c r="M342" i="7" s="1"/>
  <c r="L19" i="7"/>
  <c r="M19" i="7" s="1"/>
  <c r="L130" i="7"/>
  <c r="M130" i="7" s="1"/>
  <c r="L89" i="7"/>
  <c r="M89" i="7" s="1"/>
  <c r="L331" i="7"/>
  <c r="M331" i="7" s="1"/>
  <c r="L303" i="7"/>
  <c r="M303" i="7" s="1"/>
  <c r="L32" i="7"/>
  <c r="M32" i="7" s="1"/>
  <c r="L335" i="7"/>
  <c r="M335" i="7" s="1"/>
  <c r="AB254" i="7"/>
  <c r="AB110" i="7"/>
  <c r="L118" i="7"/>
  <c r="M118" i="7" s="1"/>
  <c r="L337" i="7"/>
  <c r="M337" i="7" s="1"/>
  <c r="G302" i="7" s="1"/>
  <c r="L302" i="7" s="1"/>
  <c r="M302" i="7" s="1"/>
  <c r="AB302" i="7" s="1"/>
  <c r="L193" i="7"/>
  <c r="M193" i="7" s="1"/>
  <c r="L223" i="7"/>
  <c r="M223" i="7" s="1"/>
  <c r="AB297" i="7"/>
  <c r="AB197" i="7"/>
  <c r="AB73" i="7"/>
  <c r="AB264" i="7"/>
  <c r="L69" i="7"/>
  <c r="M69" i="7" s="1"/>
  <c r="AB292" i="7"/>
  <c r="L251" i="7"/>
  <c r="M251" i="7" s="1"/>
  <c r="L195" i="7"/>
  <c r="M195" i="7" s="1"/>
  <c r="L190" i="7"/>
  <c r="M190" i="7" s="1"/>
  <c r="L206" i="7"/>
  <c r="M206" i="7" s="1"/>
  <c r="L279" i="7"/>
  <c r="M279" i="7" s="1"/>
  <c r="L203" i="7"/>
  <c r="M203" i="7" s="1"/>
  <c r="L191" i="7"/>
  <c r="M191" i="7" s="1"/>
  <c r="AS4" i="21" l="1"/>
  <c r="K624" i="9"/>
  <c r="K628" i="9"/>
  <c r="K632" i="9"/>
  <c r="K636" i="9"/>
  <c r="K640" i="9"/>
  <c r="K644" i="9"/>
  <c r="K648" i="9"/>
  <c r="K656" i="9"/>
  <c r="K660" i="9"/>
  <c r="K664" i="9"/>
  <c r="K668" i="9"/>
  <c r="K672" i="9"/>
  <c r="K676" i="9"/>
  <c r="K680" i="9"/>
  <c r="K688" i="9"/>
  <c r="K692" i="9"/>
  <c r="K696" i="9"/>
  <c r="K700" i="9"/>
  <c r="K704" i="9"/>
  <c r="K712" i="9"/>
  <c r="K716" i="9"/>
  <c r="K720" i="9"/>
  <c r="K724" i="9"/>
  <c r="K732" i="9"/>
  <c r="K622" i="9"/>
  <c r="K634" i="9"/>
  <c r="K650" i="9"/>
  <c r="K617" i="9"/>
  <c r="K621" i="9"/>
  <c r="K625" i="9"/>
  <c r="K633" i="9"/>
  <c r="K637" i="9"/>
  <c r="K641" i="9"/>
  <c r="K649" i="9"/>
  <c r="K657" i="9"/>
  <c r="K661" i="9"/>
  <c r="K665" i="9"/>
  <c r="K669" i="9"/>
  <c r="K673" i="9"/>
  <c r="K677" i="9"/>
  <c r="K689" i="9"/>
  <c r="K693" i="9"/>
  <c r="K697" i="9"/>
  <c r="K701" i="9"/>
  <c r="K709" i="9"/>
  <c r="K713" i="9"/>
  <c r="K721" i="9"/>
  <c r="K725" i="9"/>
  <c r="K733" i="9"/>
  <c r="K618" i="9"/>
  <c r="K630" i="9"/>
  <c r="K642" i="9"/>
  <c r="K626" i="9"/>
  <c r="K638" i="9"/>
  <c r="K646" i="9"/>
  <c r="K658" i="9"/>
  <c r="K619" i="9"/>
  <c r="K635" i="9"/>
  <c r="K651" i="9"/>
  <c r="K663" i="9"/>
  <c r="K687" i="9"/>
  <c r="K695" i="9"/>
  <c r="K703" i="9"/>
  <c r="K711" i="9"/>
  <c r="K719" i="9"/>
  <c r="K727" i="9"/>
  <c r="K615" i="9"/>
  <c r="K662" i="9"/>
  <c r="K686" i="9"/>
  <c r="K710" i="9"/>
  <c r="K734" i="9"/>
  <c r="K623" i="9"/>
  <c r="K639" i="9"/>
  <c r="K655" i="9"/>
  <c r="K674" i="9"/>
  <c r="K682" i="9"/>
  <c r="K690" i="9"/>
  <c r="K698" i="9"/>
  <c r="K714" i="9"/>
  <c r="K722" i="9"/>
  <c r="K730" i="9"/>
  <c r="K627" i="9"/>
  <c r="K659" i="9"/>
  <c r="K667" i="9"/>
  <c r="K675" i="9"/>
  <c r="K715" i="9"/>
  <c r="K731" i="9"/>
  <c r="K670" i="9"/>
  <c r="K702" i="9"/>
  <c r="K726" i="9"/>
  <c r="K631" i="9"/>
  <c r="K694" i="9"/>
  <c r="E15" i="21"/>
  <c r="O15" i="21"/>
  <c r="O113" i="21" s="1"/>
  <c r="CA207" i="18"/>
  <c r="CA210" i="18" s="1"/>
  <c r="CA81" i="18"/>
  <c r="Y73" i="21"/>
  <c r="Y19" i="21" s="1"/>
  <c r="AI73" i="21"/>
  <c r="AI19" i="21" s="1"/>
  <c r="CA123" i="18"/>
  <c r="CA126" i="18" s="1"/>
  <c r="CA165" i="18"/>
  <c r="Y4" i="21"/>
  <c r="AI4" i="21"/>
  <c r="E73" i="21"/>
  <c r="E19" i="21" s="1"/>
  <c r="O73" i="21"/>
  <c r="O19" i="21" s="1"/>
  <c r="G424" i="7"/>
  <c r="G425" i="7"/>
  <c r="L425" i="7" s="1"/>
  <c r="M425" i="7" s="1"/>
  <c r="G423" i="7"/>
  <c r="G422" i="7"/>
  <c r="G420" i="7"/>
  <c r="G421" i="7"/>
  <c r="L421" i="7" s="1"/>
  <c r="M421" i="7" s="1"/>
  <c r="G418" i="7"/>
  <c r="L418" i="7" s="1"/>
  <c r="M418" i="7" s="1"/>
  <c r="G419" i="7"/>
  <c r="G29" i="7"/>
  <c r="G30" i="7"/>
  <c r="F6" i="4"/>
  <c r="G79" i="7"/>
  <c r="L79" i="7" s="1"/>
  <c r="M79" i="7" s="1"/>
  <c r="G58" i="7"/>
  <c r="L58" i="7" s="1"/>
  <c r="M58" i="7" s="1"/>
  <c r="G38" i="7" s="1"/>
  <c r="L38" i="7" s="1"/>
  <c r="M38" i="7" s="1"/>
  <c r="G355" i="7"/>
  <c r="L355" i="7" s="1"/>
  <c r="M355" i="7" s="1"/>
  <c r="G129" i="7"/>
  <c r="L129" i="7" s="1"/>
  <c r="M129" i="7" s="1"/>
  <c r="BY80" i="10" s="1"/>
  <c r="G117" i="7"/>
  <c r="L117" i="7" s="1"/>
  <c r="M117" i="7" s="1"/>
  <c r="G168" i="7"/>
  <c r="L168" i="7" s="1"/>
  <c r="M168" i="7" s="1"/>
  <c r="G176" i="7"/>
  <c r="L176" i="7" s="1"/>
  <c r="M176" i="7" s="1"/>
  <c r="G252" i="7"/>
  <c r="L252" i="7" s="1"/>
  <c r="M252" i="7" s="1"/>
  <c r="E6" i="6" s="1"/>
  <c r="D6" i="6" s="1"/>
  <c r="G82" i="7"/>
  <c r="L82" i="7" s="1"/>
  <c r="M82" i="7" s="1"/>
  <c r="G159" i="7"/>
  <c r="L159" i="7" s="1"/>
  <c r="M159" i="7" s="1"/>
  <c r="D7" i="6"/>
  <c r="G334" i="7"/>
  <c r="L334" i="7" s="1"/>
  <c r="M334" i="7" s="1"/>
  <c r="EW18" i="14"/>
  <c r="FG18" i="14" s="1"/>
  <c r="G142" i="7"/>
  <c r="L142" i="7" s="1"/>
  <c r="M142" i="7" s="1"/>
  <c r="K239" i="7"/>
  <c r="G135" i="7"/>
  <c r="L135" i="7" s="1"/>
  <c r="M135" i="7" s="1"/>
  <c r="G315" i="7"/>
  <c r="L315" i="7" s="1"/>
  <c r="M315" i="7" s="1"/>
  <c r="G338" i="7" s="1"/>
  <c r="L338" i="7" s="1"/>
  <c r="M338" i="7" s="1"/>
  <c r="AE360" i="7"/>
  <c r="AD360" i="7"/>
  <c r="AH360" i="7"/>
  <c r="AG360" i="7"/>
  <c r="AF360" i="7"/>
  <c r="AC360" i="7"/>
  <c r="G179" i="7"/>
  <c r="L179" i="7" s="1"/>
  <c r="M179" i="7" s="1"/>
  <c r="AB171" i="7"/>
  <c r="G312" i="7"/>
  <c r="L312" i="7" s="1"/>
  <c r="M312" i="7" s="1"/>
  <c r="G359" i="7"/>
  <c r="L359" i="7" s="1"/>
  <c r="M359" i="7" s="1"/>
  <c r="L8" i="19"/>
  <c r="I8" i="19" s="1"/>
  <c r="L8" i="33"/>
  <c r="I8" i="33" s="1"/>
  <c r="G386" i="7"/>
  <c r="L386" i="7" s="1"/>
  <c r="M386" i="7" s="1"/>
  <c r="G97" i="7"/>
  <c r="L97" i="7" s="1"/>
  <c r="M97" i="7" s="1"/>
  <c r="G57" i="7"/>
  <c r="L57" i="7" s="1"/>
  <c r="M57" i="7" s="1"/>
  <c r="K22" i="33"/>
  <c r="I22" i="33" s="1"/>
  <c r="AA24" i="24"/>
  <c r="AD24" i="24" s="1"/>
  <c r="G124" i="7"/>
  <c r="L124" i="7" s="1"/>
  <c r="M124" i="7" s="1"/>
  <c r="G126" i="7" s="1"/>
  <c r="L126" i="7" s="1"/>
  <c r="M126" i="7" s="1"/>
  <c r="O4" i="21"/>
  <c r="AA18" i="24"/>
  <c r="AD18" i="24" s="1"/>
  <c r="AA11" i="24"/>
  <c r="AD11" i="24" s="1"/>
  <c r="M12" i="31"/>
  <c r="FJ194" i="5"/>
  <c r="AA10" i="24"/>
  <c r="AD10" i="24" s="1"/>
  <c r="AA17" i="24"/>
  <c r="AD17" i="24" s="1"/>
  <c r="M38" i="31"/>
  <c r="G38" i="31" s="1"/>
  <c r="P38" i="31" s="1"/>
  <c r="K21" i="33"/>
  <c r="I21" i="33" s="1"/>
  <c r="E4" i="21"/>
  <c r="M123" i="7"/>
  <c r="BC103" i="21" s="1"/>
  <c r="G122" i="7"/>
  <c r="L122" i="7" s="1"/>
  <c r="M122" i="7" s="1"/>
  <c r="G75" i="7"/>
  <c r="L75" i="7" s="1"/>
  <c r="M75" i="7" s="1"/>
  <c r="AA28" i="24"/>
  <c r="AD28" i="24" s="1"/>
  <c r="AA33" i="24"/>
  <c r="AD33" i="24" s="1"/>
  <c r="AE33" i="24" s="1"/>
  <c r="AA9" i="24"/>
  <c r="AD9" i="24" s="1"/>
  <c r="AA30" i="24"/>
  <c r="AD30" i="24" s="1"/>
  <c r="AA16" i="24"/>
  <c r="AD16" i="24" s="1"/>
  <c r="AA7" i="24"/>
  <c r="AD7" i="24" s="1"/>
  <c r="M29" i="31"/>
  <c r="M31" i="31"/>
  <c r="FC215" i="5"/>
  <c r="K22" i="19"/>
  <c r="I22" i="19" s="1"/>
  <c r="AA29" i="24"/>
  <c r="AD29" i="24" s="1"/>
  <c r="AA12" i="24"/>
  <c r="AD12" i="24" s="1"/>
  <c r="M5" i="31"/>
  <c r="G5" i="31" s="1"/>
  <c r="P5" i="31" s="1"/>
  <c r="AA26" i="24"/>
  <c r="AD26" i="24" s="1"/>
  <c r="K60" i="31"/>
  <c r="M60" i="31" s="1"/>
  <c r="AA32" i="24"/>
  <c r="AD32" i="24" s="1"/>
  <c r="M33" i="31"/>
  <c r="K21" i="19"/>
  <c r="I21" i="19" s="1"/>
  <c r="AA27" i="24"/>
  <c r="AD27" i="24" s="1"/>
  <c r="M15" i="31"/>
  <c r="G15" i="31" s="1"/>
  <c r="P15" i="31" s="1"/>
  <c r="AA15" i="24"/>
  <c r="AD15" i="24" s="1"/>
  <c r="AA31" i="24"/>
  <c r="AD31" i="24" s="1"/>
  <c r="AA13" i="24"/>
  <c r="AD13" i="24" s="1"/>
  <c r="AA25" i="24"/>
  <c r="AD25" i="24" s="1"/>
  <c r="G114" i="7"/>
  <c r="L114" i="7" s="1"/>
  <c r="M114" i="7" s="1"/>
  <c r="B11" i="8" s="1"/>
  <c r="D11" i="8" s="1"/>
  <c r="G155" i="7"/>
  <c r="L155" i="7" s="1"/>
  <c r="M155" i="7" s="1"/>
  <c r="G26" i="7"/>
  <c r="L26" i="7" s="1"/>
  <c r="M26" i="7" s="1"/>
  <c r="L16" i="8"/>
  <c r="R16" i="8"/>
  <c r="G293" i="7"/>
  <c r="L293" i="7" s="1"/>
  <c r="M293" i="7" s="1"/>
  <c r="G81" i="7"/>
  <c r="L81" i="7" s="1"/>
  <c r="M81" i="7" s="1"/>
  <c r="G358" i="7"/>
  <c r="L358" i="7" s="1"/>
  <c r="M358" i="7" s="1"/>
  <c r="G361" i="7"/>
  <c r="L361" i="7" s="1"/>
  <c r="M361" i="7" s="1"/>
  <c r="F26" i="13"/>
  <c r="CA39" i="18"/>
  <c r="G107" i="7"/>
  <c r="L107" i="7" s="1"/>
  <c r="M107" i="7" s="1"/>
  <c r="G43" i="7"/>
  <c r="L43" i="7" s="1"/>
  <c r="M43" i="7" s="1"/>
  <c r="G226" i="7" s="1"/>
  <c r="G239" i="7"/>
  <c r="G241" i="7"/>
  <c r="L241" i="7" s="1"/>
  <c r="M241" i="7" s="1"/>
  <c r="G310" i="7"/>
  <c r="L310" i="7" s="1"/>
  <c r="M310" i="7" s="1"/>
  <c r="G54" i="7"/>
  <c r="L54" i="7" s="1"/>
  <c r="M54" i="7" s="1"/>
  <c r="G37" i="7"/>
  <c r="L37" i="7" s="1"/>
  <c r="M37" i="7" s="1"/>
  <c r="G56" i="7"/>
  <c r="L56" i="7" s="1"/>
  <c r="M56" i="7" s="1"/>
  <c r="V6" i="8"/>
  <c r="X6" i="8"/>
  <c r="G357" i="7"/>
  <c r="L357" i="7" s="1"/>
  <c r="M357" i="7" s="1"/>
  <c r="G80" i="7"/>
  <c r="L80" i="7" s="1"/>
  <c r="M80" i="7" s="1"/>
  <c r="G170" i="7"/>
  <c r="L170" i="7" s="1"/>
  <c r="M170" i="7" s="1"/>
  <c r="J119" i="18" s="1"/>
  <c r="G115" i="7"/>
  <c r="L115" i="7" s="1"/>
  <c r="M115" i="7" s="1"/>
  <c r="G341" i="7" s="1"/>
  <c r="L341" i="7" s="1"/>
  <c r="M341" i="7" s="1"/>
  <c r="G78" i="7"/>
  <c r="L78" i="7" s="1"/>
  <c r="M78" i="7" s="1"/>
  <c r="G136" i="7"/>
  <c r="L136" i="7" s="1"/>
  <c r="M136" i="7" s="1"/>
  <c r="AA8" i="24"/>
  <c r="AD8" i="24" s="1"/>
  <c r="G153" i="7"/>
  <c r="L153" i="7" s="1"/>
  <c r="M153" i="7" s="1"/>
  <c r="L6" i="8"/>
  <c r="J6" i="8"/>
  <c r="G48" i="7"/>
  <c r="L48" i="7" s="1"/>
  <c r="M48" i="7" s="1"/>
  <c r="G311" i="7"/>
  <c r="L311" i="7" s="1"/>
  <c r="M311" i="7" s="1"/>
  <c r="G224" i="7"/>
  <c r="L224" i="7" s="1"/>
  <c r="M224" i="7" s="1"/>
  <c r="M21" i="7"/>
  <c r="G77" i="7"/>
  <c r="L77" i="7" s="1"/>
  <c r="M77" i="7" s="1"/>
  <c r="G76" i="7"/>
  <c r="L76" i="7" s="1"/>
  <c r="M76" i="7" s="1"/>
  <c r="G41" i="7"/>
  <c r="L41" i="7" s="1"/>
  <c r="M41" i="7" s="1"/>
  <c r="D51" i="26"/>
  <c r="AR9" i="26"/>
  <c r="D57" i="26"/>
  <c r="K35" i="26"/>
  <c r="AF50" i="26" l="1"/>
  <c r="E113" i="21"/>
  <c r="G263" i="7"/>
  <c r="L263" i="7" s="1"/>
  <c r="M263" i="7" s="1"/>
  <c r="G328" i="7"/>
  <c r="EV64" i="14"/>
  <c r="C171" i="21" s="1"/>
  <c r="BD171" i="21" s="1"/>
  <c r="G325" i="7"/>
  <c r="G273" i="7"/>
  <c r="L273" i="7" s="1"/>
  <c r="M273" i="7" s="1"/>
  <c r="G323" i="7"/>
  <c r="L323" i="7" s="1"/>
  <c r="M323" i="7" s="1"/>
  <c r="L360" i="7" s="1"/>
  <c r="M360" i="7" s="1"/>
  <c r="G257" i="7"/>
  <c r="L257" i="7" s="1"/>
  <c r="M257" i="7" s="1"/>
  <c r="G322" i="7"/>
  <c r="L322" i="7" s="1"/>
  <c r="M322" i="7" s="1"/>
  <c r="G259" i="7"/>
  <c r="L259" i="7" s="1"/>
  <c r="M259" i="7" s="1"/>
  <c r="G324" i="7"/>
  <c r="L324" i="7" s="1"/>
  <c r="M324" i="7" s="1"/>
  <c r="G276" i="7"/>
  <c r="L276" i="7" s="1"/>
  <c r="M276" i="7" s="1"/>
  <c r="G326" i="7"/>
  <c r="G277" i="7"/>
  <c r="L277" i="7" s="1"/>
  <c r="M277" i="7" s="1"/>
  <c r="G327" i="7"/>
  <c r="G256" i="7"/>
  <c r="L256" i="7" s="1"/>
  <c r="M256" i="7" s="1"/>
  <c r="G321" i="7"/>
  <c r="L321" i="7" s="1"/>
  <c r="M321" i="7" s="1"/>
  <c r="K23" i="19"/>
  <c r="I23" i="19" s="1"/>
  <c r="AB122" i="7"/>
  <c r="CA84" i="18"/>
  <c r="BS84" i="18" s="1"/>
  <c r="BS81" i="18"/>
  <c r="CY207" i="18"/>
  <c r="CY81" i="18"/>
  <c r="CI81" i="18"/>
  <c r="CQ81" i="18"/>
  <c r="Y118" i="21"/>
  <c r="Y113" i="21"/>
  <c r="Y119" i="21"/>
  <c r="O118" i="21"/>
  <c r="O119" i="21"/>
  <c r="E118" i="21"/>
  <c r="E119" i="21"/>
  <c r="E111" i="21"/>
  <c r="BS123" i="18"/>
  <c r="BS210" i="18"/>
  <c r="BS126" i="18"/>
  <c r="CQ207" i="18"/>
  <c r="CI207" i="18"/>
  <c r="J203" i="18"/>
  <c r="BS207" i="18"/>
  <c r="CY165" i="18"/>
  <c r="CQ165" i="18"/>
  <c r="CI165" i="18"/>
  <c r="CA168" i="18"/>
  <c r="BS168" i="18" s="1"/>
  <c r="BS165" i="18"/>
  <c r="J161" i="18"/>
  <c r="CY39" i="18"/>
  <c r="CI123" i="18"/>
  <c r="CQ123" i="18"/>
  <c r="CY123" i="18"/>
  <c r="L424" i="7"/>
  <c r="M424" i="7" s="1"/>
  <c r="G275" i="7"/>
  <c r="L275" i="7" s="1"/>
  <c r="M275" i="7" s="1"/>
  <c r="G260" i="7"/>
  <c r="L260" i="7" s="1"/>
  <c r="M260" i="7" s="1"/>
  <c r="Q2" i="24" s="1"/>
  <c r="G278" i="7"/>
  <c r="L278" i="7" s="1"/>
  <c r="M278" i="7" s="1"/>
  <c r="G230" i="7"/>
  <c r="L230" i="7" s="1"/>
  <c r="M230" i="7" s="1"/>
  <c r="FG72" i="14" s="1"/>
  <c r="L29" i="7"/>
  <c r="M29" i="7" s="1"/>
  <c r="G308" i="7"/>
  <c r="L308" i="7" s="1"/>
  <c r="M308" i="7" s="1"/>
  <c r="AB239" i="7"/>
  <c r="G17" i="7"/>
  <c r="G244" i="7"/>
  <c r="L244" i="7" s="1"/>
  <c r="M244" i="7" s="1"/>
  <c r="GH40" i="11"/>
  <c r="G138" i="7"/>
  <c r="L138" i="7" s="1"/>
  <c r="M138" i="7" s="1"/>
  <c r="L305" i="7"/>
  <c r="M305" i="7" s="1"/>
  <c r="L419" i="7"/>
  <c r="M419" i="7" s="1"/>
  <c r="Q3" i="24"/>
  <c r="G99" i="7"/>
  <c r="L99" i="7" s="1"/>
  <c r="M99" i="7" s="1"/>
  <c r="L239" i="7"/>
  <c r="M239" i="7" s="1"/>
  <c r="G296" i="7" s="1"/>
  <c r="L296" i="7" s="1"/>
  <c r="M296" i="7" s="1"/>
  <c r="G64" i="7" s="1"/>
  <c r="L64" i="7" s="1"/>
  <c r="M64" i="7" s="1"/>
  <c r="AF359" i="7"/>
  <c r="AH359" i="7"/>
  <c r="AE359" i="7"/>
  <c r="AC359" i="7"/>
  <c r="AG359" i="7"/>
  <c r="AD359" i="7"/>
  <c r="L183" i="7"/>
  <c r="M183" i="7" s="1"/>
  <c r="G180" i="7"/>
  <c r="L180" i="7" s="1"/>
  <c r="M180" i="7" s="1"/>
  <c r="N5" i="31"/>
  <c r="N15" i="31"/>
  <c r="N38" i="31"/>
  <c r="G271" i="7"/>
  <c r="L271" i="7" s="1"/>
  <c r="M271" i="7" s="1"/>
  <c r="G2" i="24"/>
  <c r="G3" i="24"/>
  <c r="AE32" i="24"/>
  <c r="AE31" i="24" s="1"/>
  <c r="AE30" i="24" s="1"/>
  <c r="AE29" i="24" s="1"/>
  <c r="AE28" i="24" s="1"/>
  <c r="AE27" i="24" s="1"/>
  <c r="AE26" i="24" s="1"/>
  <c r="AE25" i="24" s="1"/>
  <c r="AE24" i="24" s="1"/>
  <c r="J4" i="15"/>
  <c r="J5" i="15" s="1"/>
  <c r="E103" i="21"/>
  <c r="Y103" i="21"/>
  <c r="W35" i="6"/>
  <c r="C4" i="21"/>
  <c r="O7" i="17" s="1"/>
  <c r="GD13" i="11" s="1"/>
  <c r="C13" i="11" s="1"/>
  <c r="G119" i="7"/>
  <c r="L119" i="7" s="1"/>
  <c r="M119" i="7" s="1"/>
  <c r="X35" i="6"/>
  <c r="AS103" i="21"/>
  <c r="U35" i="6"/>
  <c r="T35" i="6"/>
  <c r="O103" i="21"/>
  <c r="V35" i="6"/>
  <c r="Y35" i="6"/>
  <c r="DA15" i="5"/>
  <c r="DB15" i="5" s="1"/>
  <c r="DB14" i="5" s="1"/>
  <c r="DB13" i="5" s="1"/>
  <c r="DB12" i="5" s="1"/>
  <c r="DB11" i="5" s="1"/>
  <c r="DB10" i="5" s="1"/>
  <c r="DB9" i="5" s="1"/>
  <c r="DB8" i="5" s="1"/>
  <c r="DB7" i="5" s="1"/>
  <c r="DB6" i="5" s="1"/>
  <c r="DB5" i="5" s="1"/>
  <c r="DB4" i="5" s="1"/>
  <c r="DB3" i="5" s="1"/>
  <c r="DB2" i="5" s="1"/>
  <c r="K28" i="19" s="1"/>
  <c r="I28" i="19" s="1"/>
  <c r="AI103" i="21"/>
  <c r="G272" i="7"/>
  <c r="L272" i="7" s="1"/>
  <c r="M272" i="7" s="1"/>
  <c r="K23" i="33"/>
  <c r="I23" i="33" s="1"/>
  <c r="G262" i="7"/>
  <c r="L262" i="7" s="1"/>
  <c r="M262" i="7" s="1"/>
  <c r="G274" i="7"/>
  <c r="L274" i="7" s="1"/>
  <c r="M274" i="7" s="1"/>
  <c r="G24" i="7"/>
  <c r="L24" i="7" s="1"/>
  <c r="M24" i="7" s="1"/>
  <c r="G261" i="7"/>
  <c r="L261" i="7" s="1"/>
  <c r="M261" i="7" s="1"/>
  <c r="G167" i="7"/>
  <c r="L167" i="7" s="1"/>
  <c r="M167" i="7" s="1"/>
  <c r="G258" i="7"/>
  <c r="L258" i="7" s="1"/>
  <c r="M258" i="7" s="1"/>
  <c r="G298" i="7" s="1"/>
  <c r="L298" i="7" s="1"/>
  <c r="M298" i="7" s="1"/>
  <c r="J77" i="18"/>
  <c r="BS39" i="18"/>
  <c r="CA42" i="18"/>
  <c r="BS42" i="18" s="1"/>
  <c r="J35" i="18"/>
  <c r="BX115" i="10"/>
  <c r="CI39" i="18"/>
  <c r="CQ39" i="18"/>
  <c r="G304" i="7"/>
  <c r="L304" i="7" s="1"/>
  <c r="M304" i="7" s="1"/>
  <c r="CK101" i="10"/>
  <c r="R18" i="8"/>
  <c r="R17" i="8"/>
  <c r="R3" i="8" s="1"/>
  <c r="AD101" i="10" s="1"/>
  <c r="C180" i="21" l="1"/>
  <c r="BD180" i="21" s="1"/>
  <c r="EW64" i="14"/>
  <c r="C187" i="21"/>
  <c r="BD187" i="21" s="1"/>
  <c r="C170" i="21"/>
  <c r="BD170" i="21" s="1"/>
  <c r="EX64" i="14"/>
  <c r="C192" i="21"/>
  <c r="BD192" i="21" s="1"/>
  <c r="C138" i="21"/>
  <c r="BD138" i="21" s="1"/>
  <c r="C158" i="21"/>
  <c r="AT158" i="21" s="1"/>
  <c r="C140" i="21"/>
  <c r="AT140" i="21" s="1"/>
  <c r="C191" i="21"/>
  <c r="BD191" i="21" s="1"/>
  <c r="C178" i="21"/>
  <c r="AT178" i="21" s="1"/>
  <c r="C202" i="21"/>
  <c r="BD202" i="21" s="1"/>
  <c r="C185" i="21"/>
  <c r="BD185" i="21" s="1"/>
  <c r="C134" i="21"/>
  <c r="BD134" i="21" s="1"/>
  <c r="C152" i="21"/>
  <c r="BD152" i="21" s="1"/>
  <c r="C196" i="21"/>
  <c r="BD196" i="21" s="1"/>
  <c r="C136" i="21"/>
  <c r="BD136" i="21" s="1"/>
  <c r="C161" i="21"/>
  <c r="AT161" i="21" s="1"/>
  <c r="C149" i="21"/>
  <c r="AT149" i="21" s="1"/>
  <c r="C197" i="21"/>
  <c r="AT197" i="21" s="1"/>
  <c r="C148" i="21"/>
  <c r="AJ148" i="21" s="1"/>
  <c r="C195" i="21"/>
  <c r="BD195" i="21" s="1"/>
  <c r="C159" i="21"/>
  <c r="BD159" i="21" s="1"/>
  <c r="C169" i="21"/>
  <c r="BD169" i="21" s="1"/>
  <c r="C175" i="21"/>
  <c r="BD175" i="21" s="1"/>
  <c r="C184" i="21"/>
  <c r="BD184" i="21" s="1"/>
  <c r="C142" i="21"/>
  <c r="BD142" i="21" s="1"/>
  <c r="C160" i="21"/>
  <c r="AT160" i="21" s="1"/>
  <c r="C162" i="21"/>
  <c r="BD162" i="21" s="1"/>
  <c r="C179" i="21"/>
  <c r="AJ179" i="21" s="1"/>
  <c r="C181" i="21"/>
  <c r="Z181" i="21" s="1"/>
  <c r="C146" i="21"/>
  <c r="P146" i="21" s="1"/>
  <c r="C155" i="21"/>
  <c r="BD155" i="21" s="1"/>
  <c r="C176" i="21"/>
  <c r="BD176" i="21" s="1"/>
  <c r="C131" i="21"/>
  <c r="AT131" i="21" s="1"/>
  <c r="C182" i="21"/>
  <c r="BD182" i="21" s="1"/>
  <c r="C164" i="21"/>
  <c r="AT164" i="21" s="1"/>
  <c r="C150" i="21"/>
  <c r="BD150" i="21" s="1"/>
  <c r="C194" i="21"/>
  <c r="BD194" i="21" s="1"/>
  <c r="C166" i="21"/>
  <c r="BD166" i="21" s="1"/>
  <c r="C188" i="21"/>
  <c r="AT188" i="21" s="1"/>
  <c r="C201" i="21"/>
  <c r="BD201" i="21" s="1"/>
  <c r="C200" i="21"/>
  <c r="BD200" i="21" s="1"/>
  <c r="C132" i="21"/>
  <c r="AT132" i="21" s="1"/>
  <c r="C186" i="21"/>
  <c r="BD186" i="21" s="1"/>
  <c r="C154" i="21"/>
  <c r="BD154" i="21" s="1"/>
  <c r="C157" i="21"/>
  <c r="AT157" i="21" s="1"/>
  <c r="C168" i="21"/>
  <c r="AT168" i="21" s="1"/>
  <c r="C141" i="21"/>
  <c r="BD141" i="21" s="1"/>
  <c r="C163" i="21"/>
  <c r="BD163" i="21" s="1"/>
  <c r="C193" i="21"/>
  <c r="BD193" i="21" s="1"/>
  <c r="C183" i="21"/>
  <c r="AT183" i="21" s="1"/>
  <c r="C174" i="21"/>
  <c r="AT174" i="21" s="1"/>
  <c r="C199" i="21"/>
  <c r="BD199" i="21" s="1"/>
  <c r="C190" i="21"/>
  <c r="BD190" i="21" s="1"/>
  <c r="C133" i="21"/>
  <c r="BD133" i="21" s="1"/>
  <c r="C177" i="21"/>
  <c r="BD177" i="21" s="1"/>
  <c r="C153" i="21"/>
  <c r="BD153" i="21" s="1"/>
  <c r="C172" i="21"/>
  <c r="BD172" i="21" s="1"/>
  <c r="C151" i="21"/>
  <c r="AT151" i="21" s="1"/>
  <c r="C189" i="21"/>
  <c r="BD189" i="21" s="1"/>
  <c r="C156" i="21"/>
  <c r="BD156" i="21" s="1"/>
  <c r="C137" i="21"/>
  <c r="BD137" i="21" s="1"/>
  <c r="C144" i="21"/>
  <c r="BD144" i="21" s="1"/>
  <c r="C147" i="21"/>
  <c r="BD147" i="21" s="1"/>
  <c r="C145" i="21"/>
  <c r="BD145" i="21" s="1"/>
  <c r="C203" i="21"/>
  <c r="Z203" i="21" s="1"/>
  <c r="C167" i="21"/>
  <c r="AT167" i="21" s="1"/>
  <c r="C143" i="21"/>
  <c r="AJ143" i="21" s="1"/>
  <c r="C165" i="21"/>
  <c r="AT165" i="21" s="1"/>
  <c r="C135" i="21"/>
  <c r="BD135" i="21" s="1"/>
  <c r="C198" i="21"/>
  <c r="Z198" i="21" s="1"/>
  <c r="C173" i="21"/>
  <c r="F173" i="21" s="1"/>
  <c r="C139" i="21"/>
  <c r="BD139" i="21" s="1"/>
  <c r="E62" i="5"/>
  <c r="C62" i="5" s="1"/>
  <c r="E35" i="6"/>
  <c r="CK15" i="6"/>
  <c r="BY72" i="10"/>
  <c r="BY88" i="10" s="1"/>
  <c r="AJ171" i="21"/>
  <c r="AT171" i="21"/>
  <c r="F171" i="21"/>
  <c r="G63" i="7"/>
  <c r="L63" i="7" s="1"/>
  <c r="M63" i="7" s="1"/>
  <c r="P171" i="21"/>
  <c r="Z171" i="21"/>
  <c r="Y111" i="21"/>
  <c r="O111" i="21"/>
  <c r="AS111" i="21"/>
  <c r="AI111" i="21"/>
  <c r="BC111" i="21"/>
  <c r="FG6" i="14"/>
  <c r="G213" i="7"/>
  <c r="L213" i="7" s="1"/>
  <c r="M213" i="7" s="1"/>
  <c r="G217" i="7"/>
  <c r="L217" i="7" s="1"/>
  <c r="M217" i="7" s="1"/>
  <c r="G232" i="7"/>
  <c r="L232" i="7" s="1"/>
  <c r="M232" i="7" s="1"/>
  <c r="G356" i="7"/>
  <c r="L356" i="7" s="1"/>
  <c r="M356" i="7" s="1"/>
  <c r="L30" i="7"/>
  <c r="M30" i="7" s="1"/>
  <c r="AA6" i="24" s="1"/>
  <c r="AD6" i="24" s="1"/>
  <c r="G34" i="7"/>
  <c r="L34" i="7" s="1"/>
  <c r="M34" i="7" s="1"/>
  <c r="G133" i="7" s="1"/>
  <c r="L133" i="7" s="1"/>
  <c r="M133" i="7" s="1"/>
  <c r="X9" i="8" s="1"/>
  <c r="F23" i="4"/>
  <c r="F22" i="4"/>
  <c r="F18" i="4"/>
  <c r="F12" i="4"/>
  <c r="F8" i="4"/>
  <c r="F21" i="4"/>
  <c r="F17" i="4"/>
  <c r="F16" i="4"/>
  <c r="F11" i="4"/>
  <c r="F24" i="4"/>
  <c r="F20" i="4"/>
  <c r="F9" i="4"/>
  <c r="F10" i="4"/>
  <c r="F14" i="4"/>
  <c r="F25" i="4"/>
  <c r="F19" i="4"/>
  <c r="F15" i="4"/>
  <c r="F7" i="4"/>
  <c r="AA19" i="24"/>
  <c r="AD19" i="24" s="1"/>
  <c r="G267" i="7"/>
  <c r="L267" i="7" s="1"/>
  <c r="M267" i="7" s="1"/>
  <c r="R7" i="17"/>
  <c r="BV6" i="33" s="1"/>
  <c r="BW6" i="33" s="1"/>
  <c r="L17" i="7"/>
  <c r="M17" i="7" s="1"/>
  <c r="G231" i="7" s="1"/>
  <c r="L231" i="7" s="1"/>
  <c r="M231" i="7" s="1"/>
  <c r="G182" i="7"/>
  <c r="L182" i="7" s="1"/>
  <c r="M182" i="7" s="1"/>
  <c r="AG358" i="7"/>
  <c r="AE358" i="7"/>
  <c r="AF358" i="7"/>
  <c r="AD358" i="7"/>
  <c r="AC358" i="7"/>
  <c r="AH358" i="7"/>
  <c r="K28" i="33"/>
  <c r="I28" i="33" s="1"/>
  <c r="M13" i="19"/>
  <c r="L13" i="19" s="1"/>
  <c r="K13" i="19" s="1"/>
  <c r="I13" i="19" s="1"/>
  <c r="M13" i="33"/>
  <c r="L13" i="33" s="1"/>
  <c r="K13" i="33" s="1"/>
  <c r="I13" i="33" s="1"/>
  <c r="DZ2" i="14"/>
  <c r="CX154" i="10"/>
  <c r="GD17" i="11"/>
  <c r="AJ180" i="21" l="1"/>
  <c r="P35" i="6"/>
  <c r="P27" i="6" s="1"/>
  <c r="O35" i="6"/>
  <c r="AT180" i="21"/>
  <c r="F180" i="21"/>
  <c r="Z180" i="21"/>
  <c r="P180" i="21"/>
  <c r="F178" i="21"/>
  <c r="AJ191" i="21"/>
  <c r="AT138" i="21"/>
  <c r="Z187" i="21"/>
  <c r="P191" i="21"/>
  <c r="AJ195" i="21"/>
  <c r="BD149" i="21"/>
  <c r="AT187" i="21"/>
  <c r="Z159" i="21"/>
  <c r="P149" i="21"/>
  <c r="P178" i="21"/>
  <c r="AJ187" i="21"/>
  <c r="AJ149" i="21"/>
  <c r="AT152" i="21"/>
  <c r="AJ178" i="21"/>
  <c r="AJ138" i="21"/>
  <c r="F138" i="21"/>
  <c r="F159" i="21"/>
  <c r="Z178" i="21"/>
  <c r="P187" i="21"/>
  <c r="F187" i="21"/>
  <c r="BD178" i="21"/>
  <c r="Z138" i="21"/>
  <c r="Z149" i="21"/>
  <c r="F149" i="21"/>
  <c r="P138" i="21"/>
  <c r="AJ202" i="21"/>
  <c r="P158" i="21"/>
  <c r="AT191" i="21"/>
  <c r="AT192" i="21"/>
  <c r="F192" i="21"/>
  <c r="Z192" i="21"/>
  <c r="F191" i="21"/>
  <c r="P192" i="21"/>
  <c r="AJ192" i="21"/>
  <c r="Z191" i="21"/>
  <c r="BD197" i="21"/>
  <c r="Z197" i="21"/>
  <c r="Z158" i="21"/>
  <c r="F170" i="21"/>
  <c r="F158" i="21"/>
  <c r="Z196" i="21"/>
  <c r="P170" i="21"/>
  <c r="Z202" i="21"/>
  <c r="AJ197" i="21"/>
  <c r="AT202" i="21"/>
  <c r="P202" i="21"/>
  <c r="AJ158" i="21"/>
  <c r="BD158" i="21"/>
  <c r="Z170" i="21"/>
  <c r="AT170" i="21"/>
  <c r="F202" i="21"/>
  <c r="AJ170" i="21"/>
  <c r="Z182" i="21"/>
  <c r="F167" i="21"/>
  <c r="AT166" i="21"/>
  <c r="F166" i="21"/>
  <c r="BD160" i="21"/>
  <c r="F197" i="21"/>
  <c r="P197" i="21"/>
  <c r="P196" i="21"/>
  <c r="AJ131" i="21"/>
  <c r="Z131" i="21"/>
  <c r="BD146" i="21"/>
  <c r="AJ151" i="21"/>
  <c r="AJ184" i="21"/>
  <c r="BD161" i="21"/>
  <c r="AJ150" i="21"/>
  <c r="AT142" i="21"/>
  <c r="P190" i="21"/>
  <c r="AT159" i="21"/>
  <c r="AJ142" i="21"/>
  <c r="Z142" i="21"/>
  <c r="AJ159" i="21"/>
  <c r="P131" i="21"/>
  <c r="F131" i="21"/>
  <c r="P159" i="21"/>
  <c r="F152" i="21"/>
  <c r="BD131" i="21"/>
  <c r="AT181" i="21"/>
  <c r="AJ152" i="21"/>
  <c r="P194" i="21"/>
  <c r="F200" i="21"/>
  <c r="P142" i="21"/>
  <c r="P181" i="21"/>
  <c r="P152" i="21"/>
  <c r="AJ181" i="21"/>
  <c r="AT176" i="21"/>
  <c r="P195" i="21"/>
  <c r="AT134" i="21"/>
  <c r="Z201" i="21"/>
  <c r="Z134" i="21"/>
  <c r="F134" i="21"/>
  <c r="BD179" i="21"/>
  <c r="F161" i="21"/>
  <c r="Z161" i="21"/>
  <c r="AT201" i="21"/>
  <c r="AT195" i="21"/>
  <c r="P199" i="21"/>
  <c r="Z195" i="21"/>
  <c r="F195" i="21"/>
  <c r="AJ134" i="21"/>
  <c r="F150" i="21"/>
  <c r="P179" i="21"/>
  <c r="P161" i="21"/>
  <c r="Z166" i="21"/>
  <c r="AJ168" i="21"/>
  <c r="Z146" i="21"/>
  <c r="AJ169" i="21"/>
  <c r="BD132" i="21"/>
  <c r="F169" i="21"/>
  <c r="BD157" i="21"/>
  <c r="F194" i="21"/>
  <c r="AJ157" i="21"/>
  <c r="Z193" i="21"/>
  <c r="AT194" i="21"/>
  <c r="AJ194" i="21"/>
  <c r="P157" i="21"/>
  <c r="P160" i="21"/>
  <c r="AT182" i="21"/>
  <c r="AJ132" i="21"/>
  <c r="Z132" i="21"/>
  <c r="AJ146" i="21"/>
  <c r="F160" i="21"/>
  <c r="AJ160" i="21"/>
  <c r="AJ166" i="21"/>
  <c r="AT169" i="21"/>
  <c r="P182" i="21"/>
  <c r="F182" i="21"/>
  <c r="P166" i="21"/>
  <c r="P169" i="21"/>
  <c r="Z199" i="21"/>
  <c r="AT153" i="21"/>
  <c r="AJ201" i="21"/>
  <c r="F201" i="21"/>
  <c r="AJ136" i="21"/>
  <c r="BD151" i="21"/>
  <c r="AJ182" i="21"/>
  <c r="Z160" i="21"/>
  <c r="F132" i="21"/>
  <c r="AT196" i="21"/>
  <c r="AJ196" i="21"/>
  <c r="AT146" i="21"/>
  <c r="Z169" i="21"/>
  <c r="F196" i="21"/>
  <c r="AT148" i="21"/>
  <c r="P185" i="21"/>
  <c r="AJ185" i="21"/>
  <c r="F148" i="21"/>
  <c r="Z164" i="21"/>
  <c r="AT189" i="21"/>
  <c r="AT141" i="21"/>
  <c r="AT162" i="21"/>
  <c r="AJ141" i="21"/>
  <c r="Z186" i="21"/>
  <c r="AJ140" i="21"/>
  <c r="Z185" i="21"/>
  <c r="AJ188" i="21"/>
  <c r="F185" i="21"/>
  <c r="AT185" i="21"/>
  <c r="BD164" i="21"/>
  <c r="AJ155" i="21"/>
  <c r="P188" i="21"/>
  <c r="Z148" i="21"/>
  <c r="P148" i="21"/>
  <c r="BD148" i="21"/>
  <c r="Z133" i="21"/>
  <c r="AT133" i="21"/>
  <c r="AJ133" i="21"/>
  <c r="BD168" i="21"/>
  <c r="F133" i="21"/>
  <c r="P133" i="21"/>
  <c r="AT186" i="21"/>
  <c r="Z151" i="21"/>
  <c r="AJ183" i="21"/>
  <c r="Z183" i="21"/>
  <c r="P183" i="21"/>
  <c r="P168" i="21"/>
  <c r="Z168" i="21"/>
  <c r="F183" i="21"/>
  <c r="P151" i="21"/>
  <c r="F168" i="21"/>
  <c r="F176" i="21"/>
  <c r="AT154" i="21"/>
  <c r="AJ153" i="21"/>
  <c r="Z154" i="21"/>
  <c r="BD181" i="21"/>
  <c r="Z152" i="21"/>
  <c r="F142" i="21"/>
  <c r="Z136" i="21"/>
  <c r="F186" i="21"/>
  <c r="P184" i="21"/>
  <c r="Z153" i="21"/>
  <c r="AT150" i="21"/>
  <c r="AJ199" i="21"/>
  <c r="Z150" i="21"/>
  <c r="P150" i="21"/>
  <c r="Z163" i="21"/>
  <c r="P163" i="21"/>
  <c r="AJ163" i="21"/>
  <c r="AT184" i="21"/>
  <c r="F179" i="21"/>
  <c r="AT199" i="21"/>
  <c r="AJ176" i="21"/>
  <c r="AJ154" i="21"/>
  <c r="AT179" i="21"/>
  <c r="F199" i="21"/>
  <c r="AT163" i="21"/>
  <c r="P201" i="21"/>
  <c r="P154" i="21"/>
  <c r="F163" i="21"/>
  <c r="F154" i="21"/>
  <c r="AJ137" i="21"/>
  <c r="F181" i="21"/>
  <c r="Z162" i="21"/>
  <c r="Z144" i="21"/>
  <c r="AJ144" i="21"/>
  <c r="F203" i="21"/>
  <c r="P140" i="21"/>
  <c r="P132" i="21"/>
  <c r="F146" i="21"/>
  <c r="AJ165" i="21"/>
  <c r="BD165" i="21"/>
  <c r="F165" i="21"/>
  <c r="Z165" i="21"/>
  <c r="Z177" i="21"/>
  <c r="AJ164" i="21"/>
  <c r="P164" i="21"/>
  <c r="BD188" i="21"/>
  <c r="AJ186" i="21"/>
  <c r="F164" i="21"/>
  <c r="F155" i="21"/>
  <c r="P136" i="21"/>
  <c r="F140" i="21"/>
  <c r="AT177" i="21"/>
  <c r="P189" i="21"/>
  <c r="Z188" i="21"/>
  <c r="F188" i="21"/>
  <c r="AT155" i="21"/>
  <c r="BD140" i="21"/>
  <c r="F141" i="21"/>
  <c r="Z155" i="21"/>
  <c r="F177" i="21"/>
  <c r="AJ162" i="21"/>
  <c r="F162" i="21"/>
  <c r="Z140" i="21"/>
  <c r="P155" i="21"/>
  <c r="AT136" i="21"/>
  <c r="AJ175" i="21"/>
  <c r="Z175" i="21"/>
  <c r="P162" i="21"/>
  <c r="Z137" i="21"/>
  <c r="AJ177" i="21"/>
  <c r="P186" i="21"/>
  <c r="P175" i="21"/>
  <c r="AT175" i="21"/>
  <c r="AJ174" i="21"/>
  <c r="P193" i="21"/>
  <c r="F136" i="21"/>
  <c r="AJ156" i="21"/>
  <c r="AJ139" i="21"/>
  <c r="P145" i="21"/>
  <c r="AT173" i="21"/>
  <c r="P177" i="21"/>
  <c r="Z141" i="21"/>
  <c r="F198" i="21"/>
  <c r="P144" i="21"/>
  <c r="F151" i="21"/>
  <c r="BD183" i="21"/>
  <c r="P174" i="21"/>
  <c r="F144" i="21"/>
  <c r="AT144" i="21"/>
  <c r="P198" i="21"/>
  <c r="P165" i="21"/>
  <c r="Z184" i="21"/>
  <c r="F184" i="21"/>
  <c r="AJ161" i="21"/>
  <c r="P134" i="21"/>
  <c r="Z179" i="21"/>
  <c r="P153" i="21"/>
  <c r="P156" i="21"/>
  <c r="P137" i="21"/>
  <c r="F135" i="21"/>
  <c r="F145" i="21"/>
  <c r="AT145" i="21"/>
  <c r="Z176" i="21"/>
  <c r="F153" i="21"/>
  <c r="P176" i="21"/>
  <c r="Z156" i="21"/>
  <c r="F156" i="21"/>
  <c r="AT156" i="21"/>
  <c r="AJ145" i="21"/>
  <c r="Z145" i="21"/>
  <c r="BD167" i="21"/>
  <c r="AT198" i="21"/>
  <c r="AJ167" i="21"/>
  <c r="P141" i="21"/>
  <c r="F175" i="21"/>
  <c r="F189" i="21"/>
  <c r="BD143" i="21"/>
  <c r="P143" i="21"/>
  <c r="AT147" i="21"/>
  <c r="BD174" i="21"/>
  <c r="F143" i="21"/>
  <c r="Z189" i="21"/>
  <c r="F174" i="21"/>
  <c r="Z147" i="21"/>
  <c r="AJ189" i="21"/>
  <c r="Z174" i="21"/>
  <c r="AT143" i="21"/>
  <c r="Z173" i="21"/>
  <c r="AJ173" i="21"/>
  <c r="P167" i="21"/>
  <c r="AJ203" i="21"/>
  <c r="P173" i="21"/>
  <c r="BD173" i="21"/>
  <c r="Z167" i="21"/>
  <c r="AT172" i="21"/>
  <c r="AT200" i="21"/>
  <c r="Z190" i="21"/>
  <c r="P172" i="21"/>
  <c r="Z194" i="21"/>
  <c r="P200" i="21"/>
  <c r="F147" i="21"/>
  <c r="Z135" i="21"/>
  <c r="AT203" i="21"/>
  <c r="P135" i="21"/>
  <c r="AJ135" i="21"/>
  <c r="AT190" i="21"/>
  <c r="F190" i="21"/>
  <c r="AJ193" i="21"/>
  <c r="F157" i="21"/>
  <c r="AT137" i="21"/>
  <c r="F137" i="21"/>
  <c r="BD203" i="21"/>
  <c r="Z157" i="21"/>
  <c r="F193" i="21"/>
  <c r="AT193" i="21"/>
  <c r="Z172" i="21"/>
  <c r="AJ190" i="21"/>
  <c r="AJ172" i="21"/>
  <c r="Z200" i="21"/>
  <c r="AJ200" i="21"/>
  <c r="F172" i="21"/>
  <c r="AJ147" i="21"/>
  <c r="P147" i="21"/>
  <c r="AT135" i="21"/>
  <c r="Z143" i="21"/>
  <c r="P203" i="21"/>
  <c r="AT139" i="21"/>
  <c r="AJ198" i="21"/>
  <c r="BD198" i="21"/>
  <c r="Z139" i="21"/>
  <c r="F139" i="21"/>
  <c r="P139" i="21"/>
  <c r="CV118" i="11"/>
  <c r="K24" i="33"/>
  <c r="I24" i="33" s="1"/>
  <c r="K24" i="19"/>
  <c r="I24" i="19" s="1"/>
  <c r="BG130" i="5"/>
  <c r="FE73" i="5" s="1"/>
  <c r="BJ130" i="5"/>
  <c r="FE74" i="5" s="1"/>
  <c r="BG124" i="5"/>
  <c r="BG128" i="5"/>
  <c r="BG106" i="5"/>
  <c r="BG114" i="5"/>
  <c r="BG84" i="5"/>
  <c r="BG99" i="5"/>
  <c r="BG55" i="5"/>
  <c r="BG68" i="5"/>
  <c r="BJ12" i="5"/>
  <c r="BM12" i="5"/>
  <c r="BG19" i="5"/>
  <c r="BG12" i="5"/>
  <c r="BV7" i="33"/>
  <c r="BV8" i="33" s="1"/>
  <c r="BX6" i="19"/>
  <c r="BY6" i="19" s="1"/>
  <c r="BU5" i="33"/>
  <c r="BW5" i="19"/>
  <c r="L422" i="7"/>
  <c r="M422" i="7" s="1"/>
  <c r="EX5" i="14"/>
  <c r="EW5" i="14"/>
  <c r="G12" i="7"/>
  <c r="L12" i="7" s="1"/>
  <c r="M12" i="7" s="1"/>
  <c r="G150" i="7"/>
  <c r="L150" i="7" s="1"/>
  <c r="M150" i="7" s="1"/>
  <c r="X16" i="8"/>
  <c r="CK115" i="10" s="1"/>
  <c r="L98" i="7"/>
  <c r="M98" i="7" s="1"/>
  <c r="G353" i="7"/>
  <c r="L353" i="7" s="1"/>
  <c r="M353" i="7" s="1"/>
  <c r="F26" i="4"/>
  <c r="K12" i="19" s="1"/>
  <c r="AC357" i="7"/>
  <c r="AF357" i="7"/>
  <c r="AG357" i="7"/>
  <c r="AH357" i="7"/>
  <c r="AD357" i="7"/>
  <c r="AE357" i="7"/>
  <c r="GI41" i="14"/>
  <c r="GI31" i="14"/>
  <c r="GI54" i="14"/>
  <c r="GI131" i="14"/>
  <c r="GI142" i="14"/>
  <c r="GI133" i="14"/>
  <c r="GK95" i="14"/>
  <c r="GI95" i="14"/>
  <c r="GI96" i="14"/>
  <c r="GI93" i="14"/>
  <c r="GI86" i="14"/>
  <c r="GI20" i="14"/>
  <c r="GI23" i="14"/>
  <c r="N11" i="19"/>
  <c r="H4" i="30"/>
  <c r="GI83" i="14"/>
  <c r="H2" i="30"/>
  <c r="H7" i="30"/>
  <c r="H8" i="30"/>
  <c r="GI88" i="14"/>
  <c r="H5" i="30"/>
  <c r="H6" i="30"/>
  <c r="GI85" i="14"/>
  <c r="C17" i="11"/>
  <c r="GD21" i="11"/>
  <c r="GC56" i="14" l="1"/>
  <c r="GD56" i="14" s="1"/>
  <c r="O27" i="6"/>
  <c r="N20" i="19"/>
  <c r="GD10" i="14" s="1"/>
  <c r="GK98" i="14" s="1"/>
  <c r="K20" i="33"/>
  <c r="I20" i="33" s="1"/>
  <c r="K20" i="19"/>
  <c r="I20" i="19" s="1"/>
  <c r="GH106" i="11"/>
  <c r="GH148" i="11"/>
  <c r="GC97" i="14"/>
  <c r="GD97" i="14" s="1"/>
  <c r="GK97" i="14" s="1"/>
  <c r="CK35" i="6"/>
  <c r="CL35" i="6" s="1"/>
  <c r="CL34" i="6" s="1"/>
  <c r="G82" i="31"/>
  <c r="P82" i="31" s="1"/>
  <c r="G86" i="31"/>
  <c r="P86" i="31" s="1"/>
  <c r="CV106" i="11"/>
  <c r="DB78" i="10" s="1"/>
  <c r="G79" i="31"/>
  <c r="P79" i="31" s="1"/>
  <c r="G78" i="31"/>
  <c r="P78" i="31" s="1"/>
  <c r="G49" i="31"/>
  <c r="P49" i="31" s="1"/>
  <c r="G65" i="31"/>
  <c r="P65" i="31" s="1"/>
  <c r="G69" i="31"/>
  <c r="P69" i="31" s="1"/>
  <c r="GC24" i="14"/>
  <c r="GD24" i="14" s="1"/>
  <c r="GK24" i="14" s="1"/>
  <c r="G43" i="31"/>
  <c r="P43" i="31" s="1"/>
  <c r="G34" i="31"/>
  <c r="P34" i="31" s="1"/>
  <c r="G40" i="31"/>
  <c r="P40" i="31" s="1"/>
  <c r="GC37" i="14"/>
  <c r="GD37" i="14" s="1"/>
  <c r="GK37" i="14" s="1"/>
  <c r="GH160" i="11"/>
  <c r="GH112" i="11"/>
  <c r="G77" i="31"/>
  <c r="P77" i="31" s="1"/>
  <c r="CK27" i="6"/>
  <c r="GC105" i="14"/>
  <c r="GD105" i="14" s="1"/>
  <c r="G41" i="31"/>
  <c r="P41" i="31" s="1"/>
  <c r="G17" i="31"/>
  <c r="P17" i="31" s="1"/>
  <c r="G31" i="31"/>
  <c r="P31" i="31" s="1"/>
  <c r="G54" i="31"/>
  <c r="P54" i="31" s="1"/>
  <c r="G30" i="31"/>
  <c r="P30" i="31" s="1"/>
  <c r="G6" i="31"/>
  <c r="P6" i="31" s="1"/>
  <c r="G29" i="31"/>
  <c r="P29" i="31" s="1"/>
  <c r="G37" i="31"/>
  <c r="P37" i="31" s="1"/>
  <c r="G58" i="31"/>
  <c r="P58" i="31" s="1"/>
  <c r="G27" i="31"/>
  <c r="P27" i="31" s="1"/>
  <c r="G55" i="31"/>
  <c r="P55" i="31" s="1"/>
  <c r="G60" i="31"/>
  <c r="P60" i="31" s="1"/>
  <c r="CV160" i="11"/>
  <c r="G33" i="31"/>
  <c r="P33" i="31" s="1"/>
  <c r="G26" i="31"/>
  <c r="P26" i="31" s="1"/>
  <c r="G68" i="31"/>
  <c r="P68" i="31" s="1"/>
  <c r="G75" i="31"/>
  <c r="P75" i="31" s="1"/>
  <c r="G70" i="31"/>
  <c r="P70" i="31" s="1"/>
  <c r="E72" i="30"/>
  <c r="G72" i="30" s="1"/>
  <c r="H72" i="30" s="1"/>
  <c r="I72" i="30" s="1"/>
  <c r="I71" i="30" s="1"/>
  <c r="I70" i="30" s="1"/>
  <c r="I69" i="30" s="1"/>
  <c r="I68" i="30" s="1"/>
  <c r="I67" i="30" s="1"/>
  <c r="I66" i="30" s="1"/>
  <c r="I65" i="30" s="1"/>
  <c r="I64" i="30" s="1"/>
  <c r="I63" i="30" s="1"/>
  <c r="I62" i="30" s="1"/>
  <c r="I61" i="30" s="1"/>
  <c r="I60" i="30" s="1"/>
  <c r="I59" i="30" s="1"/>
  <c r="I58" i="30" s="1"/>
  <c r="I57" i="30" s="1"/>
  <c r="I56" i="30" s="1"/>
  <c r="I55" i="30" s="1"/>
  <c r="I54" i="30" s="1"/>
  <c r="I53" i="30" s="1"/>
  <c r="I52" i="30" s="1"/>
  <c r="I51" i="30" s="1"/>
  <c r="I50" i="30" s="1"/>
  <c r="I49" i="30" s="1"/>
  <c r="I48" i="30" s="1"/>
  <c r="I47" i="30" s="1"/>
  <c r="I46" i="30" s="1"/>
  <c r="I45" i="30" s="1"/>
  <c r="I44" i="30" s="1"/>
  <c r="I43" i="30" s="1"/>
  <c r="I42" i="30" s="1"/>
  <c r="I41" i="30" s="1"/>
  <c r="I40" i="30" s="1"/>
  <c r="I39" i="30" s="1"/>
  <c r="I38" i="30" s="1"/>
  <c r="I37" i="30" s="1"/>
  <c r="I36" i="30" s="1"/>
  <c r="I35" i="30" s="1"/>
  <c r="I34" i="30" s="1"/>
  <c r="I33" i="30" s="1"/>
  <c r="I32" i="30" s="1"/>
  <c r="I31" i="30" s="1"/>
  <c r="I30" i="30" s="1"/>
  <c r="I29" i="30" s="1"/>
  <c r="I28" i="30" s="1"/>
  <c r="I27" i="30" s="1"/>
  <c r="I26" i="30" s="1"/>
  <c r="I25" i="30" s="1"/>
  <c r="I24" i="30" s="1"/>
  <c r="I23" i="30" s="1"/>
  <c r="I22" i="30" s="1"/>
  <c r="I21" i="30" s="1"/>
  <c r="I20" i="30" s="1"/>
  <c r="I19" i="30" s="1"/>
  <c r="I18" i="30" s="1"/>
  <c r="I17" i="30" s="1"/>
  <c r="I16" i="30" s="1"/>
  <c r="I15" i="30" s="1"/>
  <c r="I14" i="30" s="1"/>
  <c r="I13" i="30" s="1"/>
  <c r="I12" i="30" s="1"/>
  <c r="I11" i="30" s="1"/>
  <c r="I10" i="30" s="1"/>
  <c r="I9" i="30" s="1"/>
  <c r="I8" i="30" s="1"/>
  <c r="I7" i="30" s="1"/>
  <c r="I6" i="30" s="1"/>
  <c r="I5" i="30" s="1"/>
  <c r="I4" i="30" s="1"/>
  <c r="GC145" i="14"/>
  <c r="GD145" i="14" s="1"/>
  <c r="GK145" i="14" s="1"/>
  <c r="GC63" i="14"/>
  <c r="GD63" i="14" s="1"/>
  <c r="GK63" i="14" s="1"/>
  <c r="GC14" i="14"/>
  <c r="GD14" i="14" s="1"/>
  <c r="GK14" i="14" s="1"/>
  <c r="G25" i="31"/>
  <c r="P25" i="31" s="1"/>
  <c r="E73" i="30"/>
  <c r="G73" i="30" s="1"/>
  <c r="G56" i="31"/>
  <c r="P56" i="31" s="1"/>
  <c r="G12" i="31"/>
  <c r="P12" i="31" s="1"/>
  <c r="G91" i="31"/>
  <c r="P91" i="31" s="1"/>
  <c r="G53" i="31"/>
  <c r="P53" i="31" s="1"/>
  <c r="G84" i="31"/>
  <c r="P84" i="31" s="1"/>
  <c r="G61" i="31"/>
  <c r="P61" i="31" s="1"/>
  <c r="G59" i="31"/>
  <c r="P59" i="31" s="1"/>
  <c r="G67" i="31"/>
  <c r="P67" i="31" s="1"/>
  <c r="E64" i="30"/>
  <c r="G64" i="30" s="1"/>
  <c r="G9" i="31"/>
  <c r="P9" i="31" s="1"/>
  <c r="G62" i="31"/>
  <c r="P62" i="31" s="1"/>
  <c r="GC143" i="14"/>
  <c r="GD143" i="14" s="1"/>
  <c r="GK143" i="14" s="1"/>
  <c r="GC13" i="14"/>
  <c r="GD13" i="14" s="1"/>
  <c r="GK124" i="14" s="1"/>
  <c r="GC66" i="14"/>
  <c r="GD66" i="14" s="1"/>
  <c r="GK66" i="14" s="1"/>
  <c r="GC106" i="14"/>
  <c r="GD106" i="14" s="1"/>
  <c r="GK106" i="14" s="1"/>
  <c r="G57" i="31"/>
  <c r="P57" i="31" s="1"/>
  <c r="G51" i="31"/>
  <c r="P51" i="31" s="1"/>
  <c r="G3" i="31"/>
  <c r="P3" i="31" s="1"/>
  <c r="GC144" i="14"/>
  <c r="GD144" i="14" s="1"/>
  <c r="GK144" i="14" s="1"/>
  <c r="GC12" i="14"/>
  <c r="GD12" i="14" s="1"/>
  <c r="GK12" i="14" s="1"/>
  <c r="CK26" i="6"/>
  <c r="CV40" i="11"/>
  <c r="L328" i="7"/>
  <c r="M328" i="7" s="1"/>
  <c r="O79" i="21"/>
  <c r="FD74" i="5"/>
  <c r="Y79" i="21"/>
  <c r="FD75" i="5"/>
  <c r="Y78" i="21" s="1"/>
  <c r="CK28" i="6"/>
  <c r="CV28" i="11"/>
  <c r="CK13" i="6"/>
  <c r="BW7" i="33"/>
  <c r="BX7" i="19"/>
  <c r="BX8" i="19" s="1"/>
  <c r="X17" i="8"/>
  <c r="X3" i="8" s="1"/>
  <c r="AD115" i="10" s="1"/>
  <c r="G352" i="7"/>
  <c r="L352" i="7" s="1"/>
  <c r="M352" i="7" s="1"/>
  <c r="L14" i="8"/>
  <c r="L420" i="7"/>
  <c r="M420" i="7" s="1"/>
  <c r="X18" i="8"/>
  <c r="AA20" i="24"/>
  <c r="AD20" i="24" s="1"/>
  <c r="L326" i="7"/>
  <c r="M326" i="7" s="1"/>
  <c r="G246" i="7"/>
  <c r="L246" i="7" s="1"/>
  <c r="M246" i="7" s="1"/>
  <c r="GC20" i="14"/>
  <c r="GD20" i="14" s="1"/>
  <c r="GK20" i="14" s="1"/>
  <c r="I12" i="19"/>
  <c r="CD56" i="10"/>
  <c r="DS30" i="10" s="1"/>
  <c r="K12" i="33"/>
  <c r="I12" i="33" s="1"/>
  <c r="AD356" i="7"/>
  <c r="AG356" i="7"/>
  <c r="AC356" i="7"/>
  <c r="AE356" i="7"/>
  <c r="AH356" i="7"/>
  <c r="AF356" i="7"/>
  <c r="GK8" i="14"/>
  <c r="GK115" i="14"/>
  <c r="GK9" i="14"/>
  <c r="GK111" i="14"/>
  <c r="GK129" i="14"/>
  <c r="GK108" i="14"/>
  <c r="GK141" i="14"/>
  <c r="GK56" i="14"/>
  <c r="GK107" i="14"/>
  <c r="GK116" i="14"/>
  <c r="GK46" i="14"/>
  <c r="GD80" i="14"/>
  <c r="GD79" i="14"/>
  <c r="GD71" i="14"/>
  <c r="GK7" i="14"/>
  <c r="GK59" i="14"/>
  <c r="GK68" i="14"/>
  <c r="GK67" i="14"/>
  <c r="BW8" i="33"/>
  <c r="BV9" i="33"/>
  <c r="C21" i="11"/>
  <c r="GD25" i="11"/>
  <c r="N82" i="31" l="1"/>
  <c r="CK33" i="6"/>
  <c r="CL33" i="6" s="1"/>
  <c r="CL32" i="6" s="1"/>
  <c r="CL31" i="6" s="1"/>
  <c r="CV148" i="11"/>
  <c r="N40" i="31"/>
  <c r="N86" i="31"/>
  <c r="Q9" i="19"/>
  <c r="GC22" i="14"/>
  <c r="GD22" i="14" s="1"/>
  <c r="GK22" i="14" s="1"/>
  <c r="GC151" i="14"/>
  <c r="GD151" i="14" s="1"/>
  <c r="GK151" i="14" s="1"/>
  <c r="N79" i="31"/>
  <c r="N69" i="31"/>
  <c r="N49" i="31"/>
  <c r="N61" i="31"/>
  <c r="N78" i="31"/>
  <c r="N68" i="31"/>
  <c r="N43" i="31"/>
  <c r="N65" i="31"/>
  <c r="N34" i="31"/>
  <c r="N77" i="31"/>
  <c r="CV112" i="11"/>
  <c r="GC139" i="14"/>
  <c r="GD139" i="14" s="1"/>
  <c r="GK139" i="14" s="1"/>
  <c r="E3" i="30"/>
  <c r="G3" i="30" s="1"/>
  <c r="H3" i="30" s="1"/>
  <c r="I3" i="30" s="1"/>
  <c r="I2" i="30" s="1"/>
  <c r="N53" i="31"/>
  <c r="N54" i="31"/>
  <c r="N75" i="31"/>
  <c r="N84" i="31"/>
  <c r="N51" i="31"/>
  <c r="N58" i="31"/>
  <c r="N30" i="31"/>
  <c r="GK13" i="14"/>
  <c r="N41" i="31"/>
  <c r="N56" i="31"/>
  <c r="N37" i="31"/>
  <c r="N67" i="31"/>
  <c r="N60" i="31"/>
  <c r="N29" i="31"/>
  <c r="N55" i="31"/>
  <c r="N57" i="31"/>
  <c r="N31" i="31"/>
  <c r="N33" i="31"/>
  <c r="N6" i="31"/>
  <c r="N70" i="31"/>
  <c r="N3" i="31"/>
  <c r="N12" i="31"/>
  <c r="N17" i="31"/>
  <c r="N27" i="31"/>
  <c r="N9" i="31"/>
  <c r="N26" i="31"/>
  <c r="N62" i="31"/>
  <c r="N91" i="31"/>
  <c r="N59" i="31"/>
  <c r="N25" i="31"/>
  <c r="GI139" i="14"/>
  <c r="GK105" i="14"/>
  <c r="GI105" i="14"/>
  <c r="CK108" i="10"/>
  <c r="L17" i="8"/>
  <c r="L3" i="8" s="1"/>
  <c r="Y21" i="21"/>
  <c r="G19" i="28"/>
  <c r="H19" i="28"/>
  <c r="BY7" i="19"/>
  <c r="L18" i="8"/>
  <c r="L327" i="7"/>
  <c r="M327" i="7" s="1"/>
  <c r="L325" i="7"/>
  <c r="M325" i="7" s="1"/>
  <c r="D62" i="5"/>
  <c r="AH355" i="7"/>
  <c r="AH354" i="7" s="1"/>
  <c r="AH353" i="7" s="1"/>
  <c r="AH352" i="7" s="1"/>
  <c r="AH351" i="7" s="1"/>
  <c r="AH350" i="7" s="1"/>
  <c r="AH349" i="7" s="1"/>
  <c r="AH348" i="7" s="1"/>
  <c r="AH347" i="7" s="1"/>
  <c r="AH346" i="7" s="1"/>
  <c r="AH345" i="7" s="1"/>
  <c r="AH344" i="7" s="1"/>
  <c r="AH343" i="7" s="1"/>
  <c r="AH342" i="7" s="1"/>
  <c r="AH341" i="7" s="1"/>
  <c r="AH340" i="7" s="1"/>
  <c r="AH339" i="7" s="1"/>
  <c r="AH338" i="7" s="1"/>
  <c r="AH337" i="7" s="1"/>
  <c r="AH336" i="7" s="1"/>
  <c r="AH335" i="7" s="1"/>
  <c r="AH334" i="7" s="1"/>
  <c r="AH333" i="7" s="1"/>
  <c r="AH332" i="7" s="1"/>
  <c r="AH331" i="7" s="1"/>
  <c r="AH330" i="7" s="1"/>
  <c r="AH329" i="7" s="1"/>
  <c r="AH328" i="7" s="1"/>
  <c r="AH327" i="7" s="1"/>
  <c r="AH326" i="7" s="1"/>
  <c r="AH325" i="7" s="1"/>
  <c r="AH324" i="7" s="1"/>
  <c r="AH323" i="7" s="1"/>
  <c r="AH322" i="7" s="1"/>
  <c r="AH321" i="7" s="1"/>
  <c r="AH320" i="7" s="1"/>
  <c r="AH319" i="7" s="1"/>
  <c r="AH318" i="7" s="1"/>
  <c r="AH317" i="7" s="1"/>
  <c r="AH316" i="7" s="1"/>
  <c r="AH315" i="7" s="1"/>
  <c r="AH314" i="7" s="1"/>
  <c r="AH313" i="7" s="1"/>
  <c r="AH312" i="7" s="1"/>
  <c r="AH311" i="7" s="1"/>
  <c r="AH310" i="7" s="1"/>
  <c r="AH309" i="7" s="1"/>
  <c r="AH308" i="7" s="1"/>
  <c r="AH307" i="7" s="1"/>
  <c r="AH306" i="7" s="1"/>
  <c r="AC355" i="7"/>
  <c r="AC354" i="7" s="1"/>
  <c r="AC353" i="7" s="1"/>
  <c r="AC352" i="7" s="1"/>
  <c r="AC351" i="7" s="1"/>
  <c r="AC350" i="7" s="1"/>
  <c r="AC349" i="7" s="1"/>
  <c r="AC348" i="7" s="1"/>
  <c r="AC347" i="7" s="1"/>
  <c r="AC346" i="7" s="1"/>
  <c r="AC345" i="7" s="1"/>
  <c r="AC344" i="7" s="1"/>
  <c r="AC343" i="7" s="1"/>
  <c r="AC342" i="7" s="1"/>
  <c r="AC341" i="7" s="1"/>
  <c r="AC340" i="7" s="1"/>
  <c r="AC339" i="7" s="1"/>
  <c r="AC338" i="7" s="1"/>
  <c r="AC337" i="7" s="1"/>
  <c r="AC336" i="7" s="1"/>
  <c r="AC335" i="7" s="1"/>
  <c r="AC334" i="7" s="1"/>
  <c r="AC333" i="7" s="1"/>
  <c r="AC332" i="7" s="1"/>
  <c r="AC331" i="7" s="1"/>
  <c r="AC330" i="7" s="1"/>
  <c r="AC329" i="7" s="1"/>
  <c r="AC328" i="7" s="1"/>
  <c r="AC327" i="7" s="1"/>
  <c r="AC326" i="7" s="1"/>
  <c r="AC325" i="7" s="1"/>
  <c r="AC324" i="7" s="1"/>
  <c r="AC323" i="7" s="1"/>
  <c r="AC322" i="7" s="1"/>
  <c r="AC321" i="7" s="1"/>
  <c r="AC320" i="7" s="1"/>
  <c r="AC319" i="7" s="1"/>
  <c r="AC318" i="7" s="1"/>
  <c r="AC317" i="7" s="1"/>
  <c r="AC316" i="7" s="1"/>
  <c r="AC315" i="7" s="1"/>
  <c r="AC314" i="7" s="1"/>
  <c r="AC313" i="7" s="1"/>
  <c r="AC312" i="7" s="1"/>
  <c r="AC311" i="7" s="1"/>
  <c r="AC310" i="7" s="1"/>
  <c r="AC309" i="7" s="1"/>
  <c r="AC308" i="7" s="1"/>
  <c r="AC307" i="7" s="1"/>
  <c r="AC306" i="7" s="1"/>
  <c r="AD355" i="7"/>
  <c r="AD354" i="7" s="1"/>
  <c r="AD353" i="7" s="1"/>
  <c r="AD352" i="7" s="1"/>
  <c r="AD351" i="7" s="1"/>
  <c r="AD350" i="7" s="1"/>
  <c r="AD349" i="7" s="1"/>
  <c r="AD348" i="7" s="1"/>
  <c r="AD347" i="7" s="1"/>
  <c r="AD346" i="7" s="1"/>
  <c r="AD345" i="7" s="1"/>
  <c r="AD344" i="7" s="1"/>
  <c r="AD343" i="7" s="1"/>
  <c r="AD342" i="7" s="1"/>
  <c r="AD341" i="7" s="1"/>
  <c r="AD340" i="7" s="1"/>
  <c r="AD339" i="7" s="1"/>
  <c r="AD338" i="7" s="1"/>
  <c r="AD337" i="7" s="1"/>
  <c r="AD336" i="7" s="1"/>
  <c r="AD335" i="7" s="1"/>
  <c r="AD334" i="7" s="1"/>
  <c r="AD333" i="7" s="1"/>
  <c r="AD332" i="7" s="1"/>
  <c r="AD331" i="7" s="1"/>
  <c r="AD330" i="7" s="1"/>
  <c r="AD329" i="7" s="1"/>
  <c r="AD328" i="7" s="1"/>
  <c r="AD327" i="7" s="1"/>
  <c r="AD326" i="7" s="1"/>
  <c r="AD325" i="7" s="1"/>
  <c r="AD324" i="7" s="1"/>
  <c r="AD323" i="7" s="1"/>
  <c r="AD322" i="7" s="1"/>
  <c r="AD321" i="7" s="1"/>
  <c r="AD320" i="7" s="1"/>
  <c r="AD319" i="7" s="1"/>
  <c r="AD318" i="7" s="1"/>
  <c r="AD317" i="7" s="1"/>
  <c r="AD316" i="7" s="1"/>
  <c r="AD315" i="7" s="1"/>
  <c r="AD314" i="7" s="1"/>
  <c r="AD313" i="7" s="1"/>
  <c r="AD312" i="7" s="1"/>
  <c r="AD311" i="7" s="1"/>
  <c r="AD310" i="7" s="1"/>
  <c r="AD309" i="7" s="1"/>
  <c r="AD308" i="7" s="1"/>
  <c r="AD307" i="7" s="1"/>
  <c r="AD306" i="7" s="1"/>
  <c r="AF355" i="7"/>
  <c r="AF354" i="7" s="1"/>
  <c r="AF353" i="7" s="1"/>
  <c r="AF352" i="7" s="1"/>
  <c r="AF351" i="7" s="1"/>
  <c r="AF350" i="7" s="1"/>
  <c r="AF349" i="7" s="1"/>
  <c r="AF348" i="7" s="1"/>
  <c r="AF347" i="7" s="1"/>
  <c r="AF346" i="7" s="1"/>
  <c r="AF345" i="7" s="1"/>
  <c r="AF344" i="7" s="1"/>
  <c r="AF343" i="7" s="1"/>
  <c r="AF342" i="7" s="1"/>
  <c r="AF341" i="7" s="1"/>
  <c r="AF340" i="7" s="1"/>
  <c r="AF339" i="7" s="1"/>
  <c r="AF338" i="7" s="1"/>
  <c r="AF337" i="7" s="1"/>
  <c r="AF336" i="7" s="1"/>
  <c r="AF335" i="7" s="1"/>
  <c r="AF334" i="7" s="1"/>
  <c r="AF333" i="7" s="1"/>
  <c r="AF332" i="7" s="1"/>
  <c r="AF331" i="7" s="1"/>
  <c r="AF330" i="7" s="1"/>
  <c r="AF329" i="7" s="1"/>
  <c r="AF328" i="7" s="1"/>
  <c r="AF327" i="7" s="1"/>
  <c r="AF326" i="7" s="1"/>
  <c r="AF325" i="7" s="1"/>
  <c r="AF324" i="7" s="1"/>
  <c r="AF323" i="7" s="1"/>
  <c r="AF322" i="7" s="1"/>
  <c r="AF321" i="7" s="1"/>
  <c r="AF320" i="7" s="1"/>
  <c r="AF319" i="7" s="1"/>
  <c r="AF318" i="7" s="1"/>
  <c r="AF317" i="7" s="1"/>
  <c r="AF316" i="7" s="1"/>
  <c r="AF315" i="7" s="1"/>
  <c r="AF314" i="7" s="1"/>
  <c r="AF313" i="7" s="1"/>
  <c r="AF312" i="7" s="1"/>
  <c r="AF311" i="7" s="1"/>
  <c r="AF310" i="7" s="1"/>
  <c r="AF309" i="7" s="1"/>
  <c r="AF308" i="7" s="1"/>
  <c r="AF307" i="7" s="1"/>
  <c r="AF306" i="7" s="1"/>
  <c r="AE355" i="7"/>
  <c r="AE354" i="7" s="1"/>
  <c r="AE353" i="7" s="1"/>
  <c r="AE352" i="7" s="1"/>
  <c r="AE351" i="7" s="1"/>
  <c r="AE350" i="7" s="1"/>
  <c r="AE349" i="7" s="1"/>
  <c r="AE348" i="7" s="1"/>
  <c r="AE347" i="7" s="1"/>
  <c r="AE346" i="7" s="1"/>
  <c r="AE345" i="7" s="1"/>
  <c r="AE344" i="7" s="1"/>
  <c r="AE343" i="7" s="1"/>
  <c r="AE342" i="7" s="1"/>
  <c r="AE341" i="7" s="1"/>
  <c r="AE340" i="7" s="1"/>
  <c r="AE339" i="7" s="1"/>
  <c r="AE338" i="7" s="1"/>
  <c r="AE337" i="7" s="1"/>
  <c r="AE336" i="7" s="1"/>
  <c r="AE335" i="7" s="1"/>
  <c r="AE334" i="7" s="1"/>
  <c r="AE333" i="7" s="1"/>
  <c r="AE332" i="7" s="1"/>
  <c r="AE331" i="7" s="1"/>
  <c r="AE330" i="7" s="1"/>
  <c r="AE329" i="7" s="1"/>
  <c r="AE328" i="7" s="1"/>
  <c r="AE327" i="7" s="1"/>
  <c r="AE326" i="7" s="1"/>
  <c r="AE325" i="7" s="1"/>
  <c r="AE324" i="7" s="1"/>
  <c r="AE323" i="7" s="1"/>
  <c r="AE322" i="7" s="1"/>
  <c r="AE321" i="7" s="1"/>
  <c r="AE320" i="7" s="1"/>
  <c r="AE319" i="7" s="1"/>
  <c r="AE318" i="7" s="1"/>
  <c r="AE317" i="7" s="1"/>
  <c r="AE316" i="7" s="1"/>
  <c r="AE315" i="7" s="1"/>
  <c r="AE314" i="7" s="1"/>
  <c r="AE313" i="7" s="1"/>
  <c r="AE312" i="7" s="1"/>
  <c r="AE311" i="7" s="1"/>
  <c r="AE310" i="7" s="1"/>
  <c r="AE309" i="7" s="1"/>
  <c r="AE308" i="7" s="1"/>
  <c r="AE307" i="7" s="1"/>
  <c r="AE306" i="7" s="1"/>
  <c r="AG355" i="7"/>
  <c r="AG354" i="7" s="1"/>
  <c r="AG353" i="7" s="1"/>
  <c r="AG352" i="7" s="1"/>
  <c r="AG351" i="7" s="1"/>
  <c r="AG350" i="7" s="1"/>
  <c r="AG349" i="7" s="1"/>
  <c r="AG348" i="7" s="1"/>
  <c r="AG347" i="7" s="1"/>
  <c r="AG346" i="7" s="1"/>
  <c r="AG345" i="7" s="1"/>
  <c r="AG344" i="7" s="1"/>
  <c r="AG343" i="7" s="1"/>
  <c r="AG342" i="7" s="1"/>
  <c r="AG341" i="7" s="1"/>
  <c r="AG340" i="7" s="1"/>
  <c r="AG339" i="7" s="1"/>
  <c r="AG338" i="7" s="1"/>
  <c r="AG337" i="7" s="1"/>
  <c r="AG336" i="7" s="1"/>
  <c r="AG335" i="7" s="1"/>
  <c r="AG334" i="7" s="1"/>
  <c r="AG333" i="7" s="1"/>
  <c r="AG332" i="7" s="1"/>
  <c r="AG331" i="7" s="1"/>
  <c r="AG330" i="7" s="1"/>
  <c r="AG329" i="7" s="1"/>
  <c r="AG328" i="7" s="1"/>
  <c r="AG327" i="7" s="1"/>
  <c r="AG326" i="7" s="1"/>
  <c r="AG325" i="7" s="1"/>
  <c r="AG324" i="7" s="1"/>
  <c r="AG323" i="7" s="1"/>
  <c r="AG322" i="7" s="1"/>
  <c r="AG321" i="7" s="1"/>
  <c r="AG320" i="7" s="1"/>
  <c r="AG319" i="7" s="1"/>
  <c r="AG318" i="7" s="1"/>
  <c r="AG317" i="7" s="1"/>
  <c r="AG316" i="7" s="1"/>
  <c r="AG315" i="7" s="1"/>
  <c r="AG314" i="7" s="1"/>
  <c r="AG313" i="7" s="1"/>
  <c r="AG312" i="7" s="1"/>
  <c r="AG311" i="7" s="1"/>
  <c r="AG310" i="7" s="1"/>
  <c r="AG309" i="7" s="1"/>
  <c r="AG308" i="7" s="1"/>
  <c r="AG307" i="7" s="1"/>
  <c r="AG306" i="7" s="1"/>
  <c r="GK51" i="14"/>
  <c r="GK79" i="14"/>
  <c r="GK43" i="14"/>
  <c r="GK71" i="14"/>
  <c r="GK52" i="14"/>
  <c r="GK80" i="14"/>
  <c r="GK11" i="14"/>
  <c r="GK77" i="14"/>
  <c r="GK28" i="14"/>
  <c r="GK69" i="14"/>
  <c r="GK10" i="14"/>
  <c r="GK78" i="14"/>
  <c r="BX9" i="19"/>
  <c r="BY8" i="19"/>
  <c r="C25" i="11"/>
  <c r="GD29" i="11"/>
  <c r="BW9" i="33"/>
  <c r="BV10" i="33"/>
  <c r="L11" i="33" l="1"/>
  <c r="L11" i="19"/>
  <c r="I19" i="28"/>
  <c r="BG14" i="5" s="1"/>
  <c r="FD73" i="5"/>
  <c r="FE72" i="5"/>
  <c r="FE65" i="5"/>
  <c r="G29" i="23"/>
  <c r="S29" i="23" s="1"/>
  <c r="FE22" i="5"/>
  <c r="FE80" i="5"/>
  <c r="GC164" i="14"/>
  <c r="GD164" i="14" s="1"/>
  <c r="GK164" i="14" s="1"/>
  <c r="GC161" i="14"/>
  <c r="GD161" i="14" s="1"/>
  <c r="GK161" i="14" s="1"/>
  <c r="GC160" i="14"/>
  <c r="GD160" i="14" s="1"/>
  <c r="GK160" i="14" s="1"/>
  <c r="GC162" i="14"/>
  <c r="GD162" i="14" s="1"/>
  <c r="GK162" i="14" s="1"/>
  <c r="AD108" i="10"/>
  <c r="GC163" i="14"/>
  <c r="GD163" i="14" s="1"/>
  <c r="GK163" i="14" s="1"/>
  <c r="GC159" i="14"/>
  <c r="GD159" i="14" s="1"/>
  <c r="GK159" i="14" s="1"/>
  <c r="AE305" i="7"/>
  <c r="AE304" i="7" s="1"/>
  <c r="AE303" i="7" s="1"/>
  <c r="AE302" i="7" s="1"/>
  <c r="AE301" i="7" s="1"/>
  <c r="AE300" i="7" s="1"/>
  <c r="AE299" i="7" s="1"/>
  <c r="AE298" i="7" s="1"/>
  <c r="AE297" i="7" s="1"/>
  <c r="AE296" i="7" s="1"/>
  <c r="AE295" i="7" s="1"/>
  <c r="AE294" i="7" s="1"/>
  <c r="AE293" i="7" s="1"/>
  <c r="AE292" i="7" s="1"/>
  <c r="AE291" i="7" s="1"/>
  <c r="AE290" i="7" s="1"/>
  <c r="AE289" i="7" s="1"/>
  <c r="AE288" i="7" s="1"/>
  <c r="AE287" i="7" s="1"/>
  <c r="AE286" i="7" s="1"/>
  <c r="AE285" i="7" s="1"/>
  <c r="AE284" i="7" s="1"/>
  <c r="AE283" i="7" s="1"/>
  <c r="AE282" i="7" s="1"/>
  <c r="AE281" i="7" s="1"/>
  <c r="AE280" i="7" s="1"/>
  <c r="AE279" i="7" s="1"/>
  <c r="AE278" i="7" s="1"/>
  <c r="AE277" i="7" s="1"/>
  <c r="AE276" i="7" s="1"/>
  <c r="AE275" i="7" s="1"/>
  <c r="AE274" i="7" s="1"/>
  <c r="AE273" i="7" s="1"/>
  <c r="AE272" i="7" s="1"/>
  <c r="AE271" i="7" s="1"/>
  <c r="AE270" i="7" s="1"/>
  <c r="AE269" i="7" s="1"/>
  <c r="AE268" i="7" s="1"/>
  <c r="AE267" i="7" s="1"/>
  <c r="AE266" i="7" s="1"/>
  <c r="AE265" i="7" s="1"/>
  <c r="AE264" i="7" s="1"/>
  <c r="AE263" i="7" s="1"/>
  <c r="AE262" i="7" s="1"/>
  <c r="AE261" i="7" s="1"/>
  <c r="AE260" i="7" s="1"/>
  <c r="AE259" i="7" s="1"/>
  <c r="AE258" i="7" s="1"/>
  <c r="AE257" i="7" s="1"/>
  <c r="AE256" i="7" s="1"/>
  <c r="AE255" i="7" s="1"/>
  <c r="AE254" i="7" s="1"/>
  <c r="AE253" i="7" s="1"/>
  <c r="AE252" i="7" s="1"/>
  <c r="AE251" i="7" s="1"/>
  <c r="AE250" i="7" s="1"/>
  <c r="AE249" i="7" s="1"/>
  <c r="AE248" i="7" s="1"/>
  <c r="AE247" i="7" s="1"/>
  <c r="AE246" i="7" s="1"/>
  <c r="AE245" i="7" s="1"/>
  <c r="AE244" i="7" s="1"/>
  <c r="AE243" i="7" s="1"/>
  <c r="AE242" i="7" s="1"/>
  <c r="AE241" i="7" s="1"/>
  <c r="AE240" i="7" s="1"/>
  <c r="AE239" i="7" s="1"/>
  <c r="AE238" i="7" s="1"/>
  <c r="AE237" i="7" s="1"/>
  <c r="AE236" i="7" s="1"/>
  <c r="AE235" i="7" s="1"/>
  <c r="AE234" i="7" s="1"/>
  <c r="AE233" i="7" s="1"/>
  <c r="AE232" i="7" s="1"/>
  <c r="AE231" i="7" s="1"/>
  <c r="AE230" i="7" s="1"/>
  <c r="AE229" i="7" s="1"/>
  <c r="AE228" i="7" s="1"/>
  <c r="AE227" i="7" s="1"/>
  <c r="AE226" i="7" s="1"/>
  <c r="AE225" i="7" s="1"/>
  <c r="AE224" i="7" s="1"/>
  <c r="AE223" i="7" s="1"/>
  <c r="AE222" i="7" s="1"/>
  <c r="AE221" i="7" s="1"/>
  <c r="AE220" i="7" s="1"/>
  <c r="AE219" i="7" s="1"/>
  <c r="AE218" i="7" s="1"/>
  <c r="AE217" i="7" s="1"/>
  <c r="AE216" i="7" s="1"/>
  <c r="AE215" i="7" s="1"/>
  <c r="AE214" i="7" s="1"/>
  <c r="AE213" i="7" s="1"/>
  <c r="AE212" i="7" s="1"/>
  <c r="AE211" i="7" s="1"/>
  <c r="AE210" i="7" s="1"/>
  <c r="AE209" i="7" s="1"/>
  <c r="AE208" i="7" s="1"/>
  <c r="AE207" i="7" s="1"/>
  <c r="AE206" i="7" s="1"/>
  <c r="AE205" i="7" s="1"/>
  <c r="AE204" i="7" s="1"/>
  <c r="AE203" i="7" s="1"/>
  <c r="AE202" i="7" s="1"/>
  <c r="AE201" i="7" s="1"/>
  <c r="AE200" i="7" s="1"/>
  <c r="AE199" i="7" s="1"/>
  <c r="AE198" i="7" s="1"/>
  <c r="AE197" i="7" s="1"/>
  <c r="AE196" i="7" s="1"/>
  <c r="AE195" i="7" s="1"/>
  <c r="AE194" i="7" s="1"/>
  <c r="AE193" i="7" s="1"/>
  <c r="AE192" i="7" s="1"/>
  <c r="AE191" i="7" s="1"/>
  <c r="AE190" i="7" s="1"/>
  <c r="AE189" i="7" s="1"/>
  <c r="AE188" i="7" s="1"/>
  <c r="AE187" i="7" s="1"/>
  <c r="AE186" i="7" s="1"/>
  <c r="AE185" i="7" s="1"/>
  <c r="AE184" i="7" s="1"/>
  <c r="AE183" i="7" s="1"/>
  <c r="AE182" i="7" s="1"/>
  <c r="AE181" i="7" s="1"/>
  <c r="AE180" i="7" s="1"/>
  <c r="AE179" i="7" s="1"/>
  <c r="AE178" i="7" s="1"/>
  <c r="AE177" i="7" s="1"/>
  <c r="AE176" i="7" s="1"/>
  <c r="AE175" i="7" s="1"/>
  <c r="AE174" i="7" s="1"/>
  <c r="AE173" i="7" s="1"/>
  <c r="AE172" i="7" s="1"/>
  <c r="AE171" i="7" s="1"/>
  <c r="AE170" i="7" s="1"/>
  <c r="AE169" i="7" s="1"/>
  <c r="AE168" i="7" s="1"/>
  <c r="AE167" i="7" s="1"/>
  <c r="AE166" i="7" s="1"/>
  <c r="AE165" i="7" s="1"/>
  <c r="AE164" i="7" s="1"/>
  <c r="AE163" i="7" s="1"/>
  <c r="AE162" i="7" s="1"/>
  <c r="AE161" i="7" s="1"/>
  <c r="AE160" i="7" s="1"/>
  <c r="AE159" i="7" s="1"/>
  <c r="AE158" i="7" s="1"/>
  <c r="AE157" i="7" s="1"/>
  <c r="AE156" i="7" s="1"/>
  <c r="AE155" i="7" s="1"/>
  <c r="AE154" i="7" s="1"/>
  <c r="AE153" i="7" s="1"/>
  <c r="AE152" i="7" s="1"/>
  <c r="AE151" i="7" s="1"/>
  <c r="AE150" i="7" s="1"/>
  <c r="AE149" i="7" s="1"/>
  <c r="AE148" i="7" s="1"/>
  <c r="AE147" i="7" s="1"/>
  <c r="AE146" i="7" s="1"/>
  <c r="AE145" i="7" s="1"/>
  <c r="AE144" i="7" s="1"/>
  <c r="AE143" i="7" s="1"/>
  <c r="AE142" i="7" s="1"/>
  <c r="AE141" i="7" s="1"/>
  <c r="AE140" i="7" s="1"/>
  <c r="AE139" i="7" s="1"/>
  <c r="AE138" i="7" s="1"/>
  <c r="AE137" i="7" s="1"/>
  <c r="AE136" i="7" s="1"/>
  <c r="AE135" i="7" s="1"/>
  <c r="AE134" i="7" s="1"/>
  <c r="AE133" i="7" s="1"/>
  <c r="AE132" i="7" s="1"/>
  <c r="AE131" i="7" s="1"/>
  <c r="AE130" i="7" s="1"/>
  <c r="AE129" i="7" s="1"/>
  <c r="AE128" i="7" s="1"/>
  <c r="AE127" i="7" s="1"/>
  <c r="AE126" i="7" s="1"/>
  <c r="AE125" i="7" s="1"/>
  <c r="AE124" i="7" s="1"/>
  <c r="AE123" i="7" s="1"/>
  <c r="AE122" i="7" s="1"/>
  <c r="AE121" i="7" s="1"/>
  <c r="AE120" i="7" s="1"/>
  <c r="AE119" i="7" s="1"/>
  <c r="AE118" i="7" s="1"/>
  <c r="AE117" i="7" s="1"/>
  <c r="AE116" i="7" s="1"/>
  <c r="AE115" i="7" s="1"/>
  <c r="AE114" i="7" s="1"/>
  <c r="AE113" i="7" s="1"/>
  <c r="AE112" i="7" s="1"/>
  <c r="AE111" i="7" s="1"/>
  <c r="AE110" i="7" s="1"/>
  <c r="AE109" i="7" s="1"/>
  <c r="AE108" i="7" s="1"/>
  <c r="AE107" i="7" s="1"/>
  <c r="AE106" i="7" s="1"/>
  <c r="AE105" i="7" s="1"/>
  <c r="AE104" i="7" s="1"/>
  <c r="AE103" i="7" s="1"/>
  <c r="AE102" i="7" s="1"/>
  <c r="AE101" i="7" s="1"/>
  <c r="AE100" i="7" s="1"/>
  <c r="AE99" i="7" s="1"/>
  <c r="AE98" i="7" s="1"/>
  <c r="AE97" i="7" s="1"/>
  <c r="AE96" i="7" s="1"/>
  <c r="AE95" i="7" s="1"/>
  <c r="AE94" i="7" s="1"/>
  <c r="AE93" i="7" s="1"/>
  <c r="AE92" i="7" s="1"/>
  <c r="AE91" i="7" s="1"/>
  <c r="AE90" i="7" s="1"/>
  <c r="AE89" i="7" s="1"/>
  <c r="AE88" i="7" s="1"/>
  <c r="AE87" i="7" s="1"/>
  <c r="AE86" i="7" s="1"/>
  <c r="AE85" i="7" s="1"/>
  <c r="AE84" i="7" s="1"/>
  <c r="AE83" i="7" s="1"/>
  <c r="AE82" i="7" s="1"/>
  <c r="AE81" i="7" s="1"/>
  <c r="AE80" i="7" s="1"/>
  <c r="AE79" i="7" s="1"/>
  <c r="AE78" i="7" s="1"/>
  <c r="AE77" i="7" s="1"/>
  <c r="AE76" i="7" s="1"/>
  <c r="AE75" i="7" s="1"/>
  <c r="AE74" i="7" s="1"/>
  <c r="AE73" i="7" s="1"/>
  <c r="AE72" i="7" s="1"/>
  <c r="AE71" i="7" s="1"/>
  <c r="AE70" i="7" s="1"/>
  <c r="AE69" i="7" s="1"/>
  <c r="AE68" i="7" s="1"/>
  <c r="AE67" i="7" s="1"/>
  <c r="AE66" i="7" s="1"/>
  <c r="AE65" i="7" s="1"/>
  <c r="AE64" i="7" s="1"/>
  <c r="AE63" i="7" s="1"/>
  <c r="AE62" i="7" s="1"/>
  <c r="AE61" i="7" s="1"/>
  <c r="AE60" i="7" s="1"/>
  <c r="AE59" i="7" s="1"/>
  <c r="AE58" i="7" s="1"/>
  <c r="AE57" i="7" s="1"/>
  <c r="AE56" i="7" s="1"/>
  <c r="AE55" i="7" s="1"/>
  <c r="AE54" i="7" s="1"/>
  <c r="AE53" i="7" s="1"/>
  <c r="AE52" i="7" s="1"/>
  <c r="AE51" i="7" s="1"/>
  <c r="AE50" i="7" s="1"/>
  <c r="AE49" i="7" s="1"/>
  <c r="AE48" i="7" s="1"/>
  <c r="AE47" i="7" s="1"/>
  <c r="AE46" i="7" s="1"/>
  <c r="AE45" i="7" s="1"/>
  <c r="AE44" i="7" s="1"/>
  <c r="AE43" i="7" s="1"/>
  <c r="AE42" i="7" s="1"/>
  <c r="AE41" i="7" s="1"/>
  <c r="AE40" i="7" s="1"/>
  <c r="AE39" i="7" s="1"/>
  <c r="AE38" i="7" s="1"/>
  <c r="AE37" i="7" s="1"/>
  <c r="AE36" i="7" s="1"/>
  <c r="AE35" i="7" s="1"/>
  <c r="AE34" i="7" s="1"/>
  <c r="AE33" i="7" s="1"/>
  <c r="AE32" i="7" s="1"/>
  <c r="AE31" i="7" s="1"/>
  <c r="AE30" i="7" s="1"/>
  <c r="AE29" i="7" s="1"/>
  <c r="AE28" i="7" s="1"/>
  <c r="AE27" i="7" s="1"/>
  <c r="AE26" i="7" s="1"/>
  <c r="AE25" i="7" s="1"/>
  <c r="AE24" i="7" s="1"/>
  <c r="AE23" i="7" s="1"/>
  <c r="AE22" i="7" s="1"/>
  <c r="AE21" i="7" s="1"/>
  <c r="AE20" i="7" s="1"/>
  <c r="AH305" i="7"/>
  <c r="AH304" i="7" s="1"/>
  <c r="AH303" i="7" s="1"/>
  <c r="AH302" i="7" s="1"/>
  <c r="AH301" i="7" s="1"/>
  <c r="AH300" i="7" s="1"/>
  <c r="AH299" i="7" s="1"/>
  <c r="AH298" i="7" s="1"/>
  <c r="AH297" i="7" s="1"/>
  <c r="AH296" i="7" s="1"/>
  <c r="AH295" i="7" s="1"/>
  <c r="AH294" i="7" s="1"/>
  <c r="AH293" i="7" s="1"/>
  <c r="AH292" i="7" s="1"/>
  <c r="AH291" i="7" s="1"/>
  <c r="AH290" i="7" s="1"/>
  <c r="AH289" i="7" s="1"/>
  <c r="AH288" i="7" s="1"/>
  <c r="AH287" i="7" s="1"/>
  <c r="AH286" i="7" s="1"/>
  <c r="AH285" i="7" s="1"/>
  <c r="AH284" i="7" s="1"/>
  <c r="AH283" i="7" s="1"/>
  <c r="AH282" i="7" s="1"/>
  <c r="AH281" i="7" s="1"/>
  <c r="AH280" i="7" s="1"/>
  <c r="AH279" i="7" s="1"/>
  <c r="AH278" i="7" s="1"/>
  <c r="AH277" i="7" s="1"/>
  <c r="AH276" i="7" s="1"/>
  <c r="AH275" i="7" s="1"/>
  <c r="AH274" i="7" s="1"/>
  <c r="AH273" i="7" s="1"/>
  <c r="AH272" i="7" s="1"/>
  <c r="AH271" i="7" s="1"/>
  <c r="AH270" i="7" s="1"/>
  <c r="AH269" i="7" s="1"/>
  <c r="AH268" i="7" s="1"/>
  <c r="AH267" i="7" s="1"/>
  <c r="AH266" i="7" s="1"/>
  <c r="AH265" i="7" s="1"/>
  <c r="AH264" i="7" s="1"/>
  <c r="AH263" i="7" s="1"/>
  <c r="AH262" i="7" s="1"/>
  <c r="AH261" i="7" s="1"/>
  <c r="AH260" i="7" s="1"/>
  <c r="AH259" i="7" s="1"/>
  <c r="AH258" i="7" s="1"/>
  <c r="AH257" i="7" s="1"/>
  <c r="AH256" i="7" s="1"/>
  <c r="AH255" i="7" s="1"/>
  <c r="AH254" i="7" s="1"/>
  <c r="AH253" i="7" s="1"/>
  <c r="AH252" i="7" s="1"/>
  <c r="AH251" i="7" s="1"/>
  <c r="AH250" i="7" s="1"/>
  <c r="AH249" i="7" s="1"/>
  <c r="AH248" i="7" s="1"/>
  <c r="AH247" i="7" s="1"/>
  <c r="AH246" i="7" s="1"/>
  <c r="AH245" i="7" s="1"/>
  <c r="AH244" i="7" s="1"/>
  <c r="AH243" i="7" s="1"/>
  <c r="AH242" i="7" s="1"/>
  <c r="AH241" i="7" s="1"/>
  <c r="AH240" i="7" s="1"/>
  <c r="AH239" i="7" s="1"/>
  <c r="AH238" i="7" s="1"/>
  <c r="AH237" i="7" s="1"/>
  <c r="AH236" i="7" s="1"/>
  <c r="AH235" i="7" s="1"/>
  <c r="AH234" i="7" s="1"/>
  <c r="AH233" i="7" s="1"/>
  <c r="AH232" i="7" s="1"/>
  <c r="AH231" i="7" s="1"/>
  <c r="AH230" i="7" s="1"/>
  <c r="AH229" i="7" s="1"/>
  <c r="AH228" i="7" s="1"/>
  <c r="AH227" i="7" s="1"/>
  <c r="AH226" i="7" s="1"/>
  <c r="AH225" i="7" s="1"/>
  <c r="AH224" i="7" s="1"/>
  <c r="AH223" i="7" s="1"/>
  <c r="AH222" i="7" s="1"/>
  <c r="AH221" i="7" s="1"/>
  <c r="AH220" i="7" s="1"/>
  <c r="AH219" i="7" s="1"/>
  <c r="AH218" i="7" s="1"/>
  <c r="AH217" i="7" s="1"/>
  <c r="AH216" i="7" s="1"/>
  <c r="AH215" i="7" s="1"/>
  <c r="AH214" i="7" s="1"/>
  <c r="AH213" i="7" s="1"/>
  <c r="AH212" i="7" s="1"/>
  <c r="AH211" i="7" s="1"/>
  <c r="AH210" i="7" s="1"/>
  <c r="AH209" i="7" s="1"/>
  <c r="AH208" i="7" s="1"/>
  <c r="AH207" i="7" s="1"/>
  <c r="AH206" i="7" s="1"/>
  <c r="AH205" i="7" s="1"/>
  <c r="AH204" i="7" s="1"/>
  <c r="AH203" i="7" s="1"/>
  <c r="AH202" i="7" s="1"/>
  <c r="AH201" i="7" s="1"/>
  <c r="AH200" i="7" s="1"/>
  <c r="AH199" i="7" s="1"/>
  <c r="AH198" i="7" s="1"/>
  <c r="AH197" i="7" s="1"/>
  <c r="AH196" i="7" s="1"/>
  <c r="AH195" i="7" s="1"/>
  <c r="AH194" i="7" s="1"/>
  <c r="AH193" i="7" s="1"/>
  <c r="AH192" i="7" s="1"/>
  <c r="AH191" i="7" s="1"/>
  <c r="AH190" i="7" s="1"/>
  <c r="AH189" i="7" s="1"/>
  <c r="AH188" i="7" s="1"/>
  <c r="AH187" i="7" s="1"/>
  <c r="AH186" i="7" s="1"/>
  <c r="AH185" i="7" s="1"/>
  <c r="AH184" i="7" s="1"/>
  <c r="AH183" i="7" s="1"/>
  <c r="AH182" i="7" s="1"/>
  <c r="AH181" i="7" s="1"/>
  <c r="AH180" i="7" s="1"/>
  <c r="AH179" i="7" s="1"/>
  <c r="AH178" i="7" s="1"/>
  <c r="AH177" i="7" s="1"/>
  <c r="AH176" i="7" s="1"/>
  <c r="AH175" i="7" s="1"/>
  <c r="AH174" i="7" s="1"/>
  <c r="AH173" i="7" s="1"/>
  <c r="AH172" i="7" s="1"/>
  <c r="AH171" i="7" s="1"/>
  <c r="AH170" i="7" s="1"/>
  <c r="AH169" i="7" s="1"/>
  <c r="AH168" i="7" s="1"/>
  <c r="AH167" i="7" s="1"/>
  <c r="AH166" i="7" s="1"/>
  <c r="AH165" i="7" s="1"/>
  <c r="AH164" i="7" s="1"/>
  <c r="AH163" i="7" s="1"/>
  <c r="AH162" i="7" s="1"/>
  <c r="AH161" i="7" s="1"/>
  <c r="AH160" i="7" s="1"/>
  <c r="AH159" i="7" s="1"/>
  <c r="AH158" i="7" s="1"/>
  <c r="AH157" i="7" s="1"/>
  <c r="AH156" i="7" s="1"/>
  <c r="AH155" i="7" s="1"/>
  <c r="AH154" i="7" s="1"/>
  <c r="AH153" i="7" s="1"/>
  <c r="AH152" i="7" s="1"/>
  <c r="AH150" i="7" s="1"/>
  <c r="AH149" i="7" s="1"/>
  <c r="AH148" i="7" s="1"/>
  <c r="AH147" i="7" s="1"/>
  <c r="AH146" i="7" s="1"/>
  <c r="AH145" i="7" s="1"/>
  <c r="AH144" i="7" s="1"/>
  <c r="AH143" i="7" s="1"/>
  <c r="AH142" i="7" s="1"/>
  <c r="AH141" i="7" s="1"/>
  <c r="AH140" i="7" s="1"/>
  <c r="AH139" i="7" s="1"/>
  <c r="AH138" i="7" s="1"/>
  <c r="AH137" i="7" s="1"/>
  <c r="AH136" i="7" s="1"/>
  <c r="AH135" i="7" s="1"/>
  <c r="AH134" i="7" s="1"/>
  <c r="AH133" i="7" s="1"/>
  <c r="AH132" i="7" s="1"/>
  <c r="AH131" i="7" s="1"/>
  <c r="AH130" i="7" s="1"/>
  <c r="AH129" i="7" s="1"/>
  <c r="AH128" i="7" s="1"/>
  <c r="AH127" i="7" s="1"/>
  <c r="AH126" i="7" s="1"/>
  <c r="AH125" i="7" s="1"/>
  <c r="AH124" i="7" s="1"/>
  <c r="AH123" i="7" s="1"/>
  <c r="AH122" i="7" s="1"/>
  <c r="AH121" i="7" s="1"/>
  <c r="AH120" i="7" s="1"/>
  <c r="AH119" i="7" s="1"/>
  <c r="AH118" i="7" s="1"/>
  <c r="AH117" i="7" s="1"/>
  <c r="AH116" i="7" s="1"/>
  <c r="AH115" i="7" s="1"/>
  <c r="AH114" i="7" s="1"/>
  <c r="AH113" i="7" s="1"/>
  <c r="AH112" i="7" s="1"/>
  <c r="AH111" i="7" s="1"/>
  <c r="AH110" i="7" s="1"/>
  <c r="AH109" i="7" s="1"/>
  <c r="AH108" i="7" s="1"/>
  <c r="AH107" i="7" s="1"/>
  <c r="AH106" i="7" s="1"/>
  <c r="AH105" i="7" s="1"/>
  <c r="AH104" i="7" s="1"/>
  <c r="AH103" i="7" s="1"/>
  <c r="AH102" i="7" s="1"/>
  <c r="AH101" i="7" s="1"/>
  <c r="AH100" i="7" s="1"/>
  <c r="AH99" i="7" s="1"/>
  <c r="AH98" i="7" s="1"/>
  <c r="AH97" i="7" s="1"/>
  <c r="AH96" i="7" s="1"/>
  <c r="AH95" i="7" s="1"/>
  <c r="AH94" i="7" s="1"/>
  <c r="AH93" i="7" s="1"/>
  <c r="AH92" i="7" s="1"/>
  <c r="AH91" i="7" s="1"/>
  <c r="AH90" i="7" s="1"/>
  <c r="AH89" i="7" s="1"/>
  <c r="AH88" i="7" s="1"/>
  <c r="AH87" i="7" s="1"/>
  <c r="AH86" i="7" s="1"/>
  <c r="AH85" i="7" s="1"/>
  <c r="AH84" i="7" s="1"/>
  <c r="AH83" i="7" s="1"/>
  <c r="AH82" i="7" s="1"/>
  <c r="AH81" i="7" s="1"/>
  <c r="AH80" i="7" s="1"/>
  <c r="AH79" i="7" s="1"/>
  <c r="AH78" i="7" s="1"/>
  <c r="AH77" i="7" s="1"/>
  <c r="AH76" i="7" s="1"/>
  <c r="AH75" i="7" s="1"/>
  <c r="AH74" i="7" s="1"/>
  <c r="AH73" i="7" s="1"/>
  <c r="AH72" i="7" s="1"/>
  <c r="AH71" i="7" s="1"/>
  <c r="AH70" i="7" s="1"/>
  <c r="AH69" i="7" s="1"/>
  <c r="AH68" i="7" s="1"/>
  <c r="AH67" i="7" s="1"/>
  <c r="AH66" i="7" s="1"/>
  <c r="AH65" i="7" s="1"/>
  <c r="AH64" i="7" s="1"/>
  <c r="AH63" i="7" s="1"/>
  <c r="AH62" i="7" s="1"/>
  <c r="AH61" i="7" s="1"/>
  <c r="AH60" i="7" s="1"/>
  <c r="AH59" i="7" s="1"/>
  <c r="AH58" i="7" s="1"/>
  <c r="AH57" i="7" s="1"/>
  <c r="AH56" i="7" s="1"/>
  <c r="AH55" i="7" s="1"/>
  <c r="AH54" i="7" s="1"/>
  <c r="AH53" i="7" s="1"/>
  <c r="AH52" i="7" s="1"/>
  <c r="AH51" i="7" s="1"/>
  <c r="AH50" i="7" s="1"/>
  <c r="AH49" i="7" s="1"/>
  <c r="AH48" i="7" s="1"/>
  <c r="AH47" i="7" s="1"/>
  <c r="AH46" i="7" s="1"/>
  <c r="AH45" i="7" s="1"/>
  <c r="AH44" i="7" s="1"/>
  <c r="AH43" i="7" s="1"/>
  <c r="AH42" i="7" s="1"/>
  <c r="AH41" i="7" s="1"/>
  <c r="AH40" i="7" s="1"/>
  <c r="AH39" i="7" s="1"/>
  <c r="AH38" i="7" s="1"/>
  <c r="AH37" i="7" s="1"/>
  <c r="AH36" i="7" s="1"/>
  <c r="AH35" i="7" s="1"/>
  <c r="AH34" i="7" s="1"/>
  <c r="AH33" i="7" s="1"/>
  <c r="AH32" i="7" s="1"/>
  <c r="AH31" i="7" s="1"/>
  <c r="AH30" i="7" s="1"/>
  <c r="AH29" i="7" s="1"/>
  <c r="AH28" i="7" s="1"/>
  <c r="AH27" i="7" s="1"/>
  <c r="AH26" i="7" s="1"/>
  <c r="AH25" i="7" s="1"/>
  <c r="AH24" i="7" s="1"/>
  <c r="AH23" i="7" s="1"/>
  <c r="AH22" i="7" s="1"/>
  <c r="AH21" i="7" s="1"/>
  <c r="AH20" i="7" s="1"/>
  <c r="AG305" i="7"/>
  <c r="AG304" i="7" s="1"/>
  <c r="AG303" i="7" s="1"/>
  <c r="AG302" i="7" s="1"/>
  <c r="AG301" i="7" s="1"/>
  <c r="AG300" i="7" s="1"/>
  <c r="AG299" i="7" s="1"/>
  <c r="AG298" i="7" s="1"/>
  <c r="AG297" i="7" s="1"/>
  <c r="AG296" i="7" s="1"/>
  <c r="AG295" i="7" s="1"/>
  <c r="AG294" i="7" s="1"/>
  <c r="AG293" i="7" s="1"/>
  <c r="AG292" i="7" s="1"/>
  <c r="AG291" i="7" s="1"/>
  <c r="AG290" i="7" s="1"/>
  <c r="AG289" i="7" s="1"/>
  <c r="AG288" i="7" s="1"/>
  <c r="AG287" i="7" s="1"/>
  <c r="AG286" i="7" s="1"/>
  <c r="AG285" i="7" s="1"/>
  <c r="AG284" i="7" s="1"/>
  <c r="AG283" i="7" s="1"/>
  <c r="AG282" i="7" s="1"/>
  <c r="AG281" i="7" s="1"/>
  <c r="AG280" i="7" s="1"/>
  <c r="AG279" i="7" s="1"/>
  <c r="AG278" i="7" s="1"/>
  <c r="AG277" i="7" s="1"/>
  <c r="AG276" i="7" s="1"/>
  <c r="AG275" i="7" s="1"/>
  <c r="AG274" i="7" s="1"/>
  <c r="AG273" i="7" s="1"/>
  <c r="AG272" i="7" s="1"/>
  <c r="AG271" i="7" s="1"/>
  <c r="AG270" i="7" s="1"/>
  <c r="AG269" i="7" s="1"/>
  <c r="AG268" i="7" s="1"/>
  <c r="AG267" i="7" s="1"/>
  <c r="AG266" i="7" s="1"/>
  <c r="AG265" i="7" s="1"/>
  <c r="AG264" i="7" s="1"/>
  <c r="AG263" i="7" s="1"/>
  <c r="AG262" i="7" s="1"/>
  <c r="AG261" i="7" s="1"/>
  <c r="AG260" i="7" s="1"/>
  <c r="AG259" i="7" s="1"/>
  <c r="AG258" i="7" s="1"/>
  <c r="AG257" i="7" s="1"/>
  <c r="AG256" i="7" s="1"/>
  <c r="AG255" i="7" s="1"/>
  <c r="AG254" i="7" s="1"/>
  <c r="AG253" i="7" s="1"/>
  <c r="AG252" i="7" s="1"/>
  <c r="AG251" i="7" s="1"/>
  <c r="AG250" i="7" s="1"/>
  <c r="AG249" i="7" s="1"/>
  <c r="AG248" i="7" s="1"/>
  <c r="AG247" i="7" s="1"/>
  <c r="AG246" i="7" s="1"/>
  <c r="AG245" i="7" s="1"/>
  <c r="AG244" i="7" s="1"/>
  <c r="AG243" i="7" s="1"/>
  <c r="AG242" i="7" s="1"/>
  <c r="AG241" i="7" s="1"/>
  <c r="AG240" i="7" s="1"/>
  <c r="AG239" i="7" s="1"/>
  <c r="AG238" i="7" s="1"/>
  <c r="AG237" i="7" s="1"/>
  <c r="AG236" i="7" s="1"/>
  <c r="AG235" i="7" s="1"/>
  <c r="AG234" i="7" s="1"/>
  <c r="AG233" i="7" s="1"/>
  <c r="AG232" i="7" s="1"/>
  <c r="AG231" i="7" s="1"/>
  <c r="AG230" i="7" s="1"/>
  <c r="AG229" i="7" s="1"/>
  <c r="AG228" i="7" s="1"/>
  <c r="AG227" i="7" s="1"/>
  <c r="AG226" i="7" s="1"/>
  <c r="AG225" i="7" s="1"/>
  <c r="AG224" i="7" s="1"/>
  <c r="AG223" i="7" s="1"/>
  <c r="AG222" i="7" s="1"/>
  <c r="AG221" i="7" s="1"/>
  <c r="AG220" i="7" s="1"/>
  <c r="AG219" i="7" s="1"/>
  <c r="AG218" i="7" s="1"/>
  <c r="AG217" i="7" s="1"/>
  <c r="AG216" i="7" s="1"/>
  <c r="AG215" i="7" s="1"/>
  <c r="AG214" i="7" s="1"/>
  <c r="AG213" i="7" s="1"/>
  <c r="AG212" i="7" s="1"/>
  <c r="AG211" i="7" s="1"/>
  <c r="AG210" i="7" s="1"/>
  <c r="AG209" i="7" s="1"/>
  <c r="AG208" i="7" s="1"/>
  <c r="AG207" i="7" s="1"/>
  <c r="AG206" i="7" s="1"/>
  <c r="AG205" i="7" s="1"/>
  <c r="AG204" i="7" s="1"/>
  <c r="AG203" i="7" s="1"/>
  <c r="AG202" i="7" s="1"/>
  <c r="AG201" i="7" s="1"/>
  <c r="AG200" i="7" s="1"/>
  <c r="AG199" i="7" s="1"/>
  <c r="AG198" i="7" s="1"/>
  <c r="AG197" i="7" s="1"/>
  <c r="AG196" i="7" s="1"/>
  <c r="AG195" i="7" s="1"/>
  <c r="AG194" i="7" s="1"/>
  <c r="AG193" i="7" s="1"/>
  <c r="AG192" i="7" s="1"/>
  <c r="AG191" i="7" s="1"/>
  <c r="AG190" i="7" s="1"/>
  <c r="AG189" i="7" s="1"/>
  <c r="AG188" i="7" s="1"/>
  <c r="AG187" i="7" s="1"/>
  <c r="AG186" i="7" s="1"/>
  <c r="AG185" i="7" s="1"/>
  <c r="AG184" i="7" s="1"/>
  <c r="AG183" i="7" s="1"/>
  <c r="AG182" i="7" s="1"/>
  <c r="AG181" i="7" s="1"/>
  <c r="AG180" i="7" s="1"/>
  <c r="AG179" i="7" s="1"/>
  <c r="AG178" i="7" s="1"/>
  <c r="AG177" i="7" s="1"/>
  <c r="AG176" i="7" s="1"/>
  <c r="AG175" i="7" s="1"/>
  <c r="AG174" i="7" s="1"/>
  <c r="AG173" i="7" s="1"/>
  <c r="AG172" i="7" s="1"/>
  <c r="AG171" i="7" s="1"/>
  <c r="AG170" i="7" s="1"/>
  <c r="AG169" i="7" s="1"/>
  <c r="AG168" i="7" s="1"/>
  <c r="AG167" i="7" s="1"/>
  <c r="AG166" i="7" s="1"/>
  <c r="AG165" i="7" s="1"/>
  <c r="AG164" i="7" s="1"/>
  <c r="AG163" i="7" s="1"/>
  <c r="AG162" i="7" s="1"/>
  <c r="AG161" i="7" s="1"/>
  <c r="AG160" i="7" s="1"/>
  <c r="AG159" i="7" s="1"/>
  <c r="AG158" i="7" s="1"/>
  <c r="AG157" i="7" s="1"/>
  <c r="AG156" i="7" s="1"/>
  <c r="AG155" i="7" s="1"/>
  <c r="AG154" i="7" s="1"/>
  <c r="AG153" i="7" s="1"/>
  <c r="AG152" i="7" s="1"/>
  <c r="AG151" i="7" s="1"/>
  <c r="AG150" i="7" s="1"/>
  <c r="AG149" i="7" s="1"/>
  <c r="AG148" i="7" s="1"/>
  <c r="AG147" i="7" s="1"/>
  <c r="AG146" i="7" s="1"/>
  <c r="AG145" i="7" s="1"/>
  <c r="AG144" i="7" s="1"/>
  <c r="AG143" i="7" s="1"/>
  <c r="AG142" i="7" s="1"/>
  <c r="AG141" i="7" s="1"/>
  <c r="AG140" i="7" s="1"/>
  <c r="AG139" i="7" s="1"/>
  <c r="AG138" i="7" s="1"/>
  <c r="AG137" i="7" s="1"/>
  <c r="AG136" i="7" s="1"/>
  <c r="AG135" i="7" s="1"/>
  <c r="AG134" i="7" s="1"/>
  <c r="AG133" i="7" s="1"/>
  <c r="AG132" i="7" s="1"/>
  <c r="AG131" i="7" s="1"/>
  <c r="AG130" i="7" s="1"/>
  <c r="AG129" i="7" s="1"/>
  <c r="AG128" i="7" s="1"/>
  <c r="AG127" i="7" s="1"/>
  <c r="AG126" i="7" s="1"/>
  <c r="AG125" i="7" s="1"/>
  <c r="AG124" i="7" s="1"/>
  <c r="AG123" i="7" s="1"/>
  <c r="AG122" i="7" s="1"/>
  <c r="AG121" i="7" s="1"/>
  <c r="AG120" i="7" s="1"/>
  <c r="AG119" i="7" s="1"/>
  <c r="AG118" i="7" s="1"/>
  <c r="AG117" i="7" s="1"/>
  <c r="AG116" i="7" s="1"/>
  <c r="AG115" i="7" s="1"/>
  <c r="AG114" i="7" s="1"/>
  <c r="AG113" i="7" s="1"/>
  <c r="AG112" i="7" s="1"/>
  <c r="AG111" i="7" s="1"/>
  <c r="AG110" i="7" s="1"/>
  <c r="AG109" i="7" s="1"/>
  <c r="AG108" i="7" s="1"/>
  <c r="AG107" i="7" s="1"/>
  <c r="AG106" i="7" s="1"/>
  <c r="AG105" i="7" s="1"/>
  <c r="AG104" i="7" s="1"/>
  <c r="AG103" i="7" s="1"/>
  <c r="AG102" i="7" s="1"/>
  <c r="AG101" i="7" s="1"/>
  <c r="AG100" i="7" s="1"/>
  <c r="AG99" i="7" s="1"/>
  <c r="AG98" i="7" s="1"/>
  <c r="AG97" i="7" s="1"/>
  <c r="AG96" i="7" s="1"/>
  <c r="AG95" i="7" s="1"/>
  <c r="AG94" i="7" s="1"/>
  <c r="AG93" i="7" s="1"/>
  <c r="AG92" i="7" s="1"/>
  <c r="AG91" i="7" s="1"/>
  <c r="AG90" i="7" s="1"/>
  <c r="AG89" i="7" s="1"/>
  <c r="AG88" i="7" s="1"/>
  <c r="AG87" i="7" s="1"/>
  <c r="AG86" i="7" s="1"/>
  <c r="AG85" i="7" s="1"/>
  <c r="AG84" i="7" s="1"/>
  <c r="AG83" i="7" s="1"/>
  <c r="AG82" i="7" s="1"/>
  <c r="AG81" i="7" s="1"/>
  <c r="AG80" i="7" s="1"/>
  <c r="AG79" i="7" s="1"/>
  <c r="AG78" i="7" s="1"/>
  <c r="AG77" i="7" s="1"/>
  <c r="AG76" i="7" s="1"/>
  <c r="AG75" i="7" s="1"/>
  <c r="AG74" i="7" s="1"/>
  <c r="AG73" i="7" s="1"/>
  <c r="AG72" i="7" s="1"/>
  <c r="AG71" i="7" s="1"/>
  <c r="AG70" i="7" s="1"/>
  <c r="AG69" i="7" s="1"/>
  <c r="AG68" i="7" s="1"/>
  <c r="AG67" i="7" s="1"/>
  <c r="AG66" i="7" s="1"/>
  <c r="AG65" i="7" s="1"/>
  <c r="AG64" i="7" s="1"/>
  <c r="AG63" i="7" s="1"/>
  <c r="AG62" i="7" s="1"/>
  <c r="AG61" i="7" s="1"/>
  <c r="AG60" i="7" s="1"/>
  <c r="AG59" i="7" s="1"/>
  <c r="AG58" i="7" s="1"/>
  <c r="AG57" i="7" s="1"/>
  <c r="AG56" i="7" s="1"/>
  <c r="AG55" i="7" s="1"/>
  <c r="AG54" i="7" s="1"/>
  <c r="AG53" i="7" s="1"/>
  <c r="AG52" i="7" s="1"/>
  <c r="AG51" i="7" s="1"/>
  <c r="AG50" i="7" s="1"/>
  <c r="AG49" i="7" s="1"/>
  <c r="AG48" i="7" s="1"/>
  <c r="AG47" i="7" s="1"/>
  <c r="AG46" i="7" s="1"/>
  <c r="AG45" i="7" s="1"/>
  <c r="AG44" i="7" s="1"/>
  <c r="AG43" i="7" s="1"/>
  <c r="AG42" i="7" s="1"/>
  <c r="AG41" i="7" s="1"/>
  <c r="AG40" i="7" s="1"/>
  <c r="AG39" i="7" s="1"/>
  <c r="AG38" i="7" s="1"/>
  <c r="AG37" i="7" s="1"/>
  <c r="AG36" i="7" s="1"/>
  <c r="AG35" i="7" s="1"/>
  <c r="AG34" i="7" s="1"/>
  <c r="AG33" i="7" s="1"/>
  <c r="AG32" i="7" s="1"/>
  <c r="AG31" i="7" s="1"/>
  <c r="AG30" i="7" s="1"/>
  <c r="AG29" i="7" s="1"/>
  <c r="AG28" i="7" s="1"/>
  <c r="AG27" i="7" s="1"/>
  <c r="AG26" i="7" s="1"/>
  <c r="AG25" i="7" s="1"/>
  <c r="AG24" i="7" s="1"/>
  <c r="AG23" i="7" s="1"/>
  <c r="AG22" i="7" s="1"/>
  <c r="AG21" i="7" s="1"/>
  <c r="AG20" i="7" s="1"/>
  <c r="AF305" i="7"/>
  <c r="AF304" i="7" s="1"/>
  <c r="AF303" i="7" s="1"/>
  <c r="AF302" i="7" s="1"/>
  <c r="AF301" i="7" s="1"/>
  <c r="AF300" i="7" s="1"/>
  <c r="AF299" i="7" s="1"/>
  <c r="AF298" i="7" s="1"/>
  <c r="AF297" i="7" s="1"/>
  <c r="AF296" i="7" s="1"/>
  <c r="AF295" i="7" s="1"/>
  <c r="AF294" i="7" s="1"/>
  <c r="AF293" i="7" s="1"/>
  <c r="AF292" i="7" s="1"/>
  <c r="AF291" i="7" s="1"/>
  <c r="AF290" i="7" s="1"/>
  <c r="AF289" i="7" s="1"/>
  <c r="AF288" i="7" s="1"/>
  <c r="AF287" i="7" s="1"/>
  <c r="AF286" i="7" s="1"/>
  <c r="AF285" i="7" s="1"/>
  <c r="AF284" i="7" s="1"/>
  <c r="AF283" i="7" s="1"/>
  <c r="AF282" i="7" s="1"/>
  <c r="AF281" i="7" s="1"/>
  <c r="AF280" i="7" s="1"/>
  <c r="AF279" i="7" s="1"/>
  <c r="AF278" i="7" s="1"/>
  <c r="AF277" i="7" s="1"/>
  <c r="AF276" i="7" s="1"/>
  <c r="AF275" i="7" s="1"/>
  <c r="AF274" i="7" s="1"/>
  <c r="AF273" i="7" s="1"/>
  <c r="AF272" i="7" s="1"/>
  <c r="AF271" i="7" s="1"/>
  <c r="AF270" i="7" s="1"/>
  <c r="AF269" i="7" s="1"/>
  <c r="AF268" i="7" s="1"/>
  <c r="AF267" i="7" s="1"/>
  <c r="AF266" i="7" s="1"/>
  <c r="AF265" i="7" s="1"/>
  <c r="AF264" i="7" s="1"/>
  <c r="AF263" i="7" s="1"/>
  <c r="AF262" i="7" s="1"/>
  <c r="AF261" i="7" s="1"/>
  <c r="AF260" i="7" s="1"/>
  <c r="AF259" i="7" s="1"/>
  <c r="AF258" i="7" s="1"/>
  <c r="AF257" i="7" s="1"/>
  <c r="AF256" i="7" s="1"/>
  <c r="AF255" i="7" s="1"/>
  <c r="AF254" i="7" s="1"/>
  <c r="AF253" i="7" s="1"/>
  <c r="AF252" i="7" s="1"/>
  <c r="AF251" i="7" s="1"/>
  <c r="AF250" i="7" s="1"/>
  <c r="AF249" i="7" s="1"/>
  <c r="AF248" i="7" s="1"/>
  <c r="AF247" i="7" s="1"/>
  <c r="AF246" i="7" s="1"/>
  <c r="AF245" i="7" s="1"/>
  <c r="AF244" i="7" s="1"/>
  <c r="AF243" i="7" s="1"/>
  <c r="AF242" i="7" s="1"/>
  <c r="AF241" i="7" s="1"/>
  <c r="AF240" i="7" s="1"/>
  <c r="AF239" i="7" s="1"/>
  <c r="AF238" i="7" s="1"/>
  <c r="AF237" i="7" s="1"/>
  <c r="AF236" i="7" s="1"/>
  <c r="AF235" i="7" s="1"/>
  <c r="AF234" i="7" s="1"/>
  <c r="AF233" i="7" s="1"/>
  <c r="AF232" i="7" s="1"/>
  <c r="AF231" i="7" s="1"/>
  <c r="AF230" i="7" s="1"/>
  <c r="AF229" i="7" s="1"/>
  <c r="AF228" i="7" s="1"/>
  <c r="AF227" i="7" s="1"/>
  <c r="AF226" i="7" s="1"/>
  <c r="AF225" i="7" s="1"/>
  <c r="AF224" i="7" s="1"/>
  <c r="AF223" i="7" s="1"/>
  <c r="AF222" i="7" s="1"/>
  <c r="AF221" i="7" s="1"/>
  <c r="AF220" i="7" s="1"/>
  <c r="AF219" i="7" s="1"/>
  <c r="AF218" i="7" s="1"/>
  <c r="AF217" i="7" s="1"/>
  <c r="AF216" i="7" s="1"/>
  <c r="AF215" i="7" s="1"/>
  <c r="AF214" i="7" s="1"/>
  <c r="AF213" i="7" s="1"/>
  <c r="AF212" i="7" s="1"/>
  <c r="AF211" i="7" s="1"/>
  <c r="AF210" i="7" s="1"/>
  <c r="AF209" i="7" s="1"/>
  <c r="AF208" i="7" s="1"/>
  <c r="AF207" i="7" s="1"/>
  <c r="AF206" i="7" s="1"/>
  <c r="AF205" i="7" s="1"/>
  <c r="AF204" i="7" s="1"/>
  <c r="AF203" i="7" s="1"/>
  <c r="AF202" i="7" s="1"/>
  <c r="AF201" i="7" s="1"/>
  <c r="AF200" i="7" s="1"/>
  <c r="AF199" i="7" s="1"/>
  <c r="AF198" i="7" s="1"/>
  <c r="AF197" i="7" s="1"/>
  <c r="AF196" i="7" s="1"/>
  <c r="AF195" i="7" s="1"/>
  <c r="AF194" i="7" s="1"/>
  <c r="AF193" i="7" s="1"/>
  <c r="AF192" i="7" s="1"/>
  <c r="AF191" i="7" s="1"/>
  <c r="AF190" i="7" s="1"/>
  <c r="AF189" i="7" s="1"/>
  <c r="AF188" i="7" s="1"/>
  <c r="AF187" i="7" s="1"/>
  <c r="AF186" i="7" s="1"/>
  <c r="AF185" i="7" s="1"/>
  <c r="AF184" i="7" s="1"/>
  <c r="AF183" i="7" s="1"/>
  <c r="AF182" i="7" s="1"/>
  <c r="AF181" i="7" s="1"/>
  <c r="AF180" i="7" s="1"/>
  <c r="AF179" i="7" s="1"/>
  <c r="AF178" i="7" s="1"/>
  <c r="AF177" i="7" s="1"/>
  <c r="AF176" i="7" s="1"/>
  <c r="AF175" i="7" s="1"/>
  <c r="AF174" i="7" s="1"/>
  <c r="AF173" i="7" s="1"/>
  <c r="AF172" i="7" s="1"/>
  <c r="AF171" i="7" s="1"/>
  <c r="AF170" i="7" s="1"/>
  <c r="AF169" i="7" s="1"/>
  <c r="AF168" i="7" s="1"/>
  <c r="AF167" i="7" s="1"/>
  <c r="AF166" i="7" s="1"/>
  <c r="AF165" i="7" s="1"/>
  <c r="AF164" i="7" s="1"/>
  <c r="AF163" i="7" s="1"/>
  <c r="AF162" i="7" s="1"/>
  <c r="AF161" i="7" s="1"/>
  <c r="AF160" i="7" s="1"/>
  <c r="AF159" i="7" s="1"/>
  <c r="AF158" i="7" s="1"/>
  <c r="AF157" i="7" s="1"/>
  <c r="AF156" i="7" s="1"/>
  <c r="AF155" i="7" s="1"/>
  <c r="AF154" i="7" s="1"/>
  <c r="AF153" i="7" s="1"/>
  <c r="AF152" i="7" s="1"/>
  <c r="AF151" i="7" s="1"/>
  <c r="AF150" i="7" s="1"/>
  <c r="AF149" i="7" s="1"/>
  <c r="AF148" i="7" s="1"/>
  <c r="AF147" i="7" s="1"/>
  <c r="AF146" i="7" s="1"/>
  <c r="AF145" i="7" s="1"/>
  <c r="AF144" i="7" s="1"/>
  <c r="AF143" i="7" s="1"/>
  <c r="AF142" i="7" s="1"/>
  <c r="AF141" i="7" s="1"/>
  <c r="AF140" i="7" s="1"/>
  <c r="AF139" i="7" s="1"/>
  <c r="AF138" i="7" s="1"/>
  <c r="AF137" i="7" s="1"/>
  <c r="AF136" i="7" s="1"/>
  <c r="AF135" i="7" s="1"/>
  <c r="AF134" i="7" s="1"/>
  <c r="AF133" i="7" s="1"/>
  <c r="AF132" i="7" s="1"/>
  <c r="AF131" i="7" s="1"/>
  <c r="AF130" i="7" s="1"/>
  <c r="AF129" i="7" s="1"/>
  <c r="AF128" i="7" s="1"/>
  <c r="AF127" i="7" s="1"/>
  <c r="AF126" i="7" s="1"/>
  <c r="AF125" i="7" s="1"/>
  <c r="AF124" i="7" s="1"/>
  <c r="AF123" i="7" s="1"/>
  <c r="AF122" i="7" s="1"/>
  <c r="AF121" i="7" s="1"/>
  <c r="AF120" i="7" s="1"/>
  <c r="AF119" i="7" s="1"/>
  <c r="AF118" i="7" s="1"/>
  <c r="AF117" i="7" s="1"/>
  <c r="AF116" i="7" s="1"/>
  <c r="AF115" i="7" s="1"/>
  <c r="AF114" i="7" s="1"/>
  <c r="AF113" i="7" s="1"/>
  <c r="AF112" i="7" s="1"/>
  <c r="AF111" i="7" s="1"/>
  <c r="AF110" i="7" s="1"/>
  <c r="AF109" i="7" s="1"/>
  <c r="AF108" i="7" s="1"/>
  <c r="AF107" i="7" s="1"/>
  <c r="AF106" i="7" s="1"/>
  <c r="AF105" i="7" s="1"/>
  <c r="AF104" i="7" s="1"/>
  <c r="AF103" i="7" s="1"/>
  <c r="AF102" i="7" s="1"/>
  <c r="AF101" i="7" s="1"/>
  <c r="AF100" i="7" s="1"/>
  <c r="AF99" i="7" s="1"/>
  <c r="AF98" i="7" s="1"/>
  <c r="AF97" i="7" s="1"/>
  <c r="AF96" i="7" s="1"/>
  <c r="AF95" i="7" s="1"/>
  <c r="AF94" i="7" s="1"/>
  <c r="AF93" i="7" s="1"/>
  <c r="AF92" i="7" s="1"/>
  <c r="AF91" i="7" s="1"/>
  <c r="AF90" i="7" s="1"/>
  <c r="AF89" i="7" s="1"/>
  <c r="AF88" i="7" s="1"/>
  <c r="AF87" i="7" s="1"/>
  <c r="AF86" i="7" s="1"/>
  <c r="AF85" i="7" s="1"/>
  <c r="AF84" i="7" s="1"/>
  <c r="AF83" i="7" s="1"/>
  <c r="AF82" i="7" s="1"/>
  <c r="AF81" i="7" s="1"/>
  <c r="AF80" i="7" s="1"/>
  <c r="AF79" i="7" s="1"/>
  <c r="AF78" i="7" s="1"/>
  <c r="AF77" i="7" s="1"/>
  <c r="AF76" i="7" s="1"/>
  <c r="AF75" i="7" s="1"/>
  <c r="AF74" i="7" s="1"/>
  <c r="AF73" i="7" s="1"/>
  <c r="AF72" i="7" s="1"/>
  <c r="AF71" i="7" s="1"/>
  <c r="AF70" i="7" s="1"/>
  <c r="AF69" i="7" s="1"/>
  <c r="AF68" i="7" s="1"/>
  <c r="AF67" i="7" s="1"/>
  <c r="AF66" i="7" s="1"/>
  <c r="AF65" i="7" s="1"/>
  <c r="AF64" i="7" s="1"/>
  <c r="AF63" i="7" s="1"/>
  <c r="AF62" i="7" s="1"/>
  <c r="AF61" i="7" s="1"/>
  <c r="AF60" i="7" s="1"/>
  <c r="AF59" i="7" s="1"/>
  <c r="AF58" i="7" s="1"/>
  <c r="AF57" i="7" s="1"/>
  <c r="AF56" i="7" s="1"/>
  <c r="AF55" i="7" s="1"/>
  <c r="AF54" i="7" s="1"/>
  <c r="AF53" i="7" s="1"/>
  <c r="AF52" i="7" s="1"/>
  <c r="AF51" i="7" s="1"/>
  <c r="AF50" i="7" s="1"/>
  <c r="AF49" i="7" s="1"/>
  <c r="AF48" i="7" s="1"/>
  <c r="AF47" i="7" s="1"/>
  <c r="AF46" i="7" s="1"/>
  <c r="AF45" i="7" s="1"/>
  <c r="AF44" i="7" s="1"/>
  <c r="AF43" i="7" s="1"/>
  <c r="AF42" i="7" s="1"/>
  <c r="AF41" i="7" s="1"/>
  <c r="AF40" i="7" s="1"/>
  <c r="AF39" i="7" s="1"/>
  <c r="AF38" i="7" s="1"/>
  <c r="AF37" i="7" s="1"/>
  <c r="AF36" i="7" s="1"/>
  <c r="AF35" i="7" s="1"/>
  <c r="AF34" i="7" s="1"/>
  <c r="AF33" i="7" s="1"/>
  <c r="AF32" i="7" s="1"/>
  <c r="AF31" i="7" s="1"/>
  <c r="AF30" i="7" s="1"/>
  <c r="AF29" i="7" s="1"/>
  <c r="AF28" i="7" s="1"/>
  <c r="AF27" i="7" s="1"/>
  <c r="AF26" i="7" s="1"/>
  <c r="AF25" i="7" s="1"/>
  <c r="AF24" i="7" s="1"/>
  <c r="AF23" i="7" s="1"/>
  <c r="AF22" i="7" s="1"/>
  <c r="AF21" i="7" s="1"/>
  <c r="AF20" i="7" s="1"/>
  <c r="AC305" i="7"/>
  <c r="AC304" i="7" s="1"/>
  <c r="AC303" i="7" s="1"/>
  <c r="AC302" i="7" s="1"/>
  <c r="AC301" i="7" s="1"/>
  <c r="AC300" i="7" s="1"/>
  <c r="AC299" i="7" s="1"/>
  <c r="AC298" i="7" s="1"/>
  <c r="AC297" i="7" s="1"/>
  <c r="AC296" i="7" s="1"/>
  <c r="AC295" i="7" s="1"/>
  <c r="AC294" i="7" s="1"/>
  <c r="AC293" i="7" s="1"/>
  <c r="AC292" i="7" s="1"/>
  <c r="AC291" i="7" s="1"/>
  <c r="AC290" i="7" s="1"/>
  <c r="AC289" i="7" s="1"/>
  <c r="AC288" i="7" s="1"/>
  <c r="AC287" i="7" s="1"/>
  <c r="AC286" i="7" s="1"/>
  <c r="AC285" i="7" s="1"/>
  <c r="AC284" i="7" s="1"/>
  <c r="AC283" i="7" s="1"/>
  <c r="AC282" i="7" s="1"/>
  <c r="AC281" i="7" s="1"/>
  <c r="AC280" i="7" s="1"/>
  <c r="AC279" i="7" s="1"/>
  <c r="AC278" i="7" s="1"/>
  <c r="AC277" i="7" s="1"/>
  <c r="AC276" i="7" s="1"/>
  <c r="AC275" i="7" s="1"/>
  <c r="AC274" i="7" s="1"/>
  <c r="AC273" i="7" s="1"/>
  <c r="AC272" i="7" s="1"/>
  <c r="AC271" i="7" s="1"/>
  <c r="AC270" i="7" s="1"/>
  <c r="AC269" i="7" s="1"/>
  <c r="AC268" i="7" s="1"/>
  <c r="AC267" i="7" s="1"/>
  <c r="AC266" i="7" s="1"/>
  <c r="AC265" i="7" s="1"/>
  <c r="AC264" i="7" s="1"/>
  <c r="AC263" i="7" s="1"/>
  <c r="AC262" i="7" s="1"/>
  <c r="AC261" i="7" s="1"/>
  <c r="AC260" i="7" s="1"/>
  <c r="AC259" i="7" s="1"/>
  <c r="AC258" i="7" s="1"/>
  <c r="AC257" i="7" s="1"/>
  <c r="AC256" i="7" s="1"/>
  <c r="AC255" i="7" s="1"/>
  <c r="AC254" i="7" s="1"/>
  <c r="AC253" i="7" s="1"/>
  <c r="AC252" i="7" s="1"/>
  <c r="AC251" i="7" s="1"/>
  <c r="AC250" i="7" s="1"/>
  <c r="AC249" i="7" s="1"/>
  <c r="AC248" i="7" s="1"/>
  <c r="AC247" i="7" s="1"/>
  <c r="AC246" i="7" s="1"/>
  <c r="AC245" i="7" s="1"/>
  <c r="AC244" i="7" s="1"/>
  <c r="AC243" i="7" s="1"/>
  <c r="AC242" i="7" s="1"/>
  <c r="AC241" i="7" s="1"/>
  <c r="AC240" i="7" s="1"/>
  <c r="AC239" i="7" s="1"/>
  <c r="AC238" i="7" s="1"/>
  <c r="AC237" i="7" s="1"/>
  <c r="AC236" i="7" s="1"/>
  <c r="AC235" i="7" s="1"/>
  <c r="AC234" i="7" s="1"/>
  <c r="AC233" i="7" s="1"/>
  <c r="AC232" i="7" s="1"/>
  <c r="AC231" i="7" s="1"/>
  <c r="AC230" i="7" s="1"/>
  <c r="AC229" i="7" s="1"/>
  <c r="AC228" i="7" s="1"/>
  <c r="AC227" i="7" s="1"/>
  <c r="AC226" i="7" s="1"/>
  <c r="AC225" i="7" s="1"/>
  <c r="AC224" i="7" s="1"/>
  <c r="AC223" i="7" s="1"/>
  <c r="AC222" i="7" s="1"/>
  <c r="AC221" i="7" s="1"/>
  <c r="AC220" i="7" s="1"/>
  <c r="AC219" i="7" s="1"/>
  <c r="AC218" i="7" s="1"/>
  <c r="AC217" i="7" s="1"/>
  <c r="AC216" i="7" s="1"/>
  <c r="AC215" i="7" s="1"/>
  <c r="AC214" i="7" s="1"/>
  <c r="AC213" i="7" s="1"/>
  <c r="AC212" i="7" s="1"/>
  <c r="AC211" i="7" s="1"/>
  <c r="AC210" i="7" s="1"/>
  <c r="AC209" i="7" s="1"/>
  <c r="AC208" i="7" s="1"/>
  <c r="AC207" i="7" s="1"/>
  <c r="AC206" i="7" s="1"/>
  <c r="AC205" i="7" s="1"/>
  <c r="AC204" i="7" s="1"/>
  <c r="AC203" i="7" s="1"/>
  <c r="AC202" i="7" s="1"/>
  <c r="AC201" i="7" s="1"/>
  <c r="AC200" i="7" s="1"/>
  <c r="AC199" i="7" s="1"/>
  <c r="AC198" i="7" s="1"/>
  <c r="AC197" i="7" s="1"/>
  <c r="AC196" i="7" s="1"/>
  <c r="AC195" i="7" s="1"/>
  <c r="AC194" i="7" s="1"/>
  <c r="AC193" i="7" s="1"/>
  <c r="AC192" i="7" s="1"/>
  <c r="AC191" i="7" s="1"/>
  <c r="AC190" i="7" s="1"/>
  <c r="AC189" i="7" s="1"/>
  <c r="AC188" i="7" s="1"/>
  <c r="AC187" i="7" s="1"/>
  <c r="AC186" i="7" s="1"/>
  <c r="AC185" i="7" s="1"/>
  <c r="AC184" i="7" s="1"/>
  <c r="AC183" i="7" s="1"/>
  <c r="AC182" i="7" s="1"/>
  <c r="AC181" i="7" s="1"/>
  <c r="AC180" i="7" s="1"/>
  <c r="AC179" i="7" s="1"/>
  <c r="AC178" i="7" s="1"/>
  <c r="AC177" i="7" s="1"/>
  <c r="AC176" i="7" s="1"/>
  <c r="AC175" i="7" s="1"/>
  <c r="AC174" i="7" s="1"/>
  <c r="AC173" i="7" s="1"/>
  <c r="AC172" i="7" s="1"/>
  <c r="AC171" i="7" s="1"/>
  <c r="AC170" i="7" s="1"/>
  <c r="AC169" i="7" s="1"/>
  <c r="AC168" i="7" s="1"/>
  <c r="AC167" i="7" s="1"/>
  <c r="AC166" i="7" s="1"/>
  <c r="AC165" i="7" s="1"/>
  <c r="AC164" i="7" s="1"/>
  <c r="AC163" i="7" s="1"/>
  <c r="AC162" i="7" s="1"/>
  <c r="AC161" i="7" s="1"/>
  <c r="AC160" i="7" s="1"/>
  <c r="AC159" i="7" s="1"/>
  <c r="AC158" i="7" s="1"/>
  <c r="AC157" i="7" s="1"/>
  <c r="AC156" i="7" s="1"/>
  <c r="AC155" i="7" s="1"/>
  <c r="AC154" i="7" s="1"/>
  <c r="AC153" i="7" s="1"/>
  <c r="AC152" i="7" s="1"/>
  <c r="AC151" i="7" s="1"/>
  <c r="AC150" i="7" s="1"/>
  <c r="AC149" i="7" s="1"/>
  <c r="AC148" i="7" s="1"/>
  <c r="AC147" i="7" s="1"/>
  <c r="AC146" i="7" s="1"/>
  <c r="AC145" i="7" s="1"/>
  <c r="AC144" i="7" s="1"/>
  <c r="AC143" i="7" s="1"/>
  <c r="AC142" i="7" s="1"/>
  <c r="AC141" i="7" s="1"/>
  <c r="AC140" i="7" s="1"/>
  <c r="AC139" i="7" s="1"/>
  <c r="AC138" i="7" s="1"/>
  <c r="AC137" i="7" s="1"/>
  <c r="AC136" i="7" s="1"/>
  <c r="AC135" i="7" s="1"/>
  <c r="AC134" i="7" s="1"/>
  <c r="AC133" i="7" s="1"/>
  <c r="AC132" i="7" s="1"/>
  <c r="AC131" i="7" s="1"/>
  <c r="AC130" i="7" s="1"/>
  <c r="AC129" i="7" s="1"/>
  <c r="AC128" i="7" s="1"/>
  <c r="AC127" i="7" s="1"/>
  <c r="AC126" i="7" s="1"/>
  <c r="AC125" i="7" s="1"/>
  <c r="AC124" i="7" s="1"/>
  <c r="AC123" i="7" s="1"/>
  <c r="AC122" i="7" s="1"/>
  <c r="AC121" i="7" s="1"/>
  <c r="AC120" i="7" s="1"/>
  <c r="AC119" i="7" s="1"/>
  <c r="AC118" i="7" s="1"/>
  <c r="AC117" i="7" s="1"/>
  <c r="AC116" i="7" s="1"/>
  <c r="AC115" i="7" s="1"/>
  <c r="AC114" i="7" s="1"/>
  <c r="AC113" i="7" s="1"/>
  <c r="AC112" i="7" s="1"/>
  <c r="AC111" i="7" s="1"/>
  <c r="AC110" i="7" s="1"/>
  <c r="AC109" i="7" s="1"/>
  <c r="AC108" i="7" s="1"/>
  <c r="AC107" i="7" s="1"/>
  <c r="AC106" i="7" s="1"/>
  <c r="AC105" i="7" s="1"/>
  <c r="AC104" i="7" s="1"/>
  <c r="AC103" i="7" s="1"/>
  <c r="AC102" i="7" s="1"/>
  <c r="AC101" i="7" s="1"/>
  <c r="AC100" i="7" s="1"/>
  <c r="AC99" i="7" s="1"/>
  <c r="AC98" i="7" s="1"/>
  <c r="AC97" i="7" s="1"/>
  <c r="AC96" i="7" s="1"/>
  <c r="AC95" i="7" s="1"/>
  <c r="AC94" i="7" s="1"/>
  <c r="AC93" i="7" s="1"/>
  <c r="AC92" i="7" s="1"/>
  <c r="AC91" i="7" s="1"/>
  <c r="AC90" i="7" s="1"/>
  <c r="AC89" i="7" s="1"/>
  <c r="AC88" i="7" s="1"/>
  <c r="AC87" i="7" s="1"/>
  <c r="AC86" i="7" s="1"/>
  <c r="AC85" i="7" s="1"/>
  <c r="AC84" i="7" s="1"/>
  <c r="AC83" i="7" s="1"/>
  <c r="AC82" i="7" s="1"/>
  <c r="AC81" i="7" s="1"/>
  <c r="AC80" i="7" s="1"/>
  <c r="AC79" i="7" s="1"/>
  <c r="AC78" i="7" s="1"/>
  <c r="AC77" i="7" s="1"/>
  <c r="AC76" i="7" s="1"/>
  <c r="AC75" i="7" s="1"/>
  <c r="AC74" i="7" s="1"/>
  <c r="AC73" i="7" s="1"/>
  <c r="AC72" i="7" s="1"/>
  <c r="AC71" i="7" s="1"/>
  <c r="AC70" i="7" s="1"/>
  <c r="AC69" i="7" s="1"/>
  <c r="AC68" i="7" s="1"/>
  <c r="AC67" i="7" s="1"/>
  <c r="AC66" i="7" s="1"/>
  <c r="AC65" i="7" s="1"/>
  <c r="AC64" i="7" s="1"/>
  <c r="AC63" i="7" s="1"/>
  <c r="AC62" i="7" s="1"/>
  <c r="AC61" i="7" s="1"/>
  <c r="AC60" i="7" s="1"/>
  <c r="AC59" i="7" s="1"/>
  <c r="AC58" i="7" s="1"/>
  <c r="AC57" i="7" s="1"/>
  <c r="AC56" i="7" s="1"/>
  <c r="AC55" i="7" s="1"/>
  <c r="AC54" i="7" s="1"/>
  <c r="AC53" i="7" s="1"/>
  <c r="AC52" i="7" s="1"/>
  <c r="AC51" i="7" s="1"/>
  <c r="AC50" i="7" s="1"/>
  <c r="AC49" i="7" s="1"/>
  <c r="AC48" i="7" s="1"/>
  <c r="AC47" i="7" s="1"/>
  <c r="AC46" i="7" s="1"/>
  <c r="AC45" i="7" s="1"/>
  <c r="AC44" i="7" s="1"/>
  <c r="AC43" i="7" s="1"/>
  <c r="AC42" i="7" s="1"/>
  <c r="AC41" i="7" s="1"/>
  <c r="AC40" i="7" s="1"/>
  <c r="AC39" i="7" s="1"/>
  <c r="AC38" i="7" s="1"/>
  <c r="AC37" i="7" s="1"/>
  <c r="AC36" i="7" s="1"/>
  <c r="AC35" i="7" s="1"/>
  <c r="AC34" i="7" s="1"/>
  <c r="AC33" i="7" s="1"/>
  <c r="AC32" i="7" s="1"/>
  <c r="AC31" i="7" s="1"/>
  <c r="AC30" i="7" s="1"/>
  <c r="AC29" i="7" s="1"/>
  <c r="AC28" i="7" s="1"/>
  <c r="AC27" i="7" s="1"/>
  <c r="AC26" i="7" s="1"/>
  <c r="AC25" i="7" s="1"/>
  <c r="AC24" i="7" s="1"/>
  <c r="AC23" i="7" s="1"/>
  <c r="AC22" i="7" s="1"/>
  <c r="AC21" i="7" s="1"/>
  <c r="AC20" i="7" s="1"/>
  <c r="AD305" i="7"/>
  <c r="AD304" i="7" s="1"/>
  <c r="AD303" i="7" s="1"/>
  <c r="AD302" i="7" s="1"/>
  <c r="AD301" i="7" s="1"/>
  <c r="AD300" i="7" s="1"/>
  <c r="AD299" i="7" s="1"/>
  <c r="AD298" i="7" s="1"/>
  <c r="AD297" i="7" s="1"/>
  <c r="AD296" i="7" s="1"/>
  <c r="AD295" i="7" s="1"/>
  <c r="AD294" i="7" s="1"/>
  <c r="AD293" i="7" s="1"/>
  <c r="AD292" i="7" s="1"/>
  <c r="AD291" i="7" s="1"/>
  <c r="AD290" i="7" s="1"/>
  <c r="AD289" i="7" s="1"/>
  <c r="AD288" i="7" s="1"/>
  <c r="AD287" i="7" s="1"/>
  <c r="AD286" i="7" s="1"/>
  <c r="AD285" i="7" s="1"/>
  <c r="AD284" i="7" s="1"/>
  <c r="AD283" i="7" s="1"/>
  <c r="AD282" i="7" s="1"/>
  <c r="AD281" i="7" s="1"/>
  <c r="AD280" i="7" s="1"/>
  <c r="AD279" i="7" s="1"/>
  <c r="AD278" i="7" s="1"/>
  <c r="AD277" i="7" s="1"/>
  <c r="AD276" i="7" s="1"/>
  <c r="AD275" i="7" s="1"/>
  <c r="AD274" i="7" s="1"/>
  <c r="AD273" i="7" s="1"/>
  <c r="AD272" i="7" s="1"/>
  <c r="AD271" i="7" s="1"/>
  <c r="AD270" i="7" s="1"/>
  <c r="AD269" i="7" s="1"/>
  <c r="AD268" i="7" s="1"/>
  <c r="AD267" i="7" s="1"/>
  <c r="AD266" i="7" s="1"/>
  <c r="AD265" i="7" s="1"/>
  <c r="AD264" i="7" s="1"/>
  <c r="AD263" i="7" s="1"/>
  <c r="AD262" i="7" s="1"/>
  <c r="AD261" i="7" s="1"/>
  <c r="AD260" i="7" s="1"/>
  <c r="AD259" i="7" s="1"/>
  <c r="AD258" i="7" s="1"/>
  <c r="AD257" i="7" s="1"/>
  <c r="AD256" i="7" s="1"/>
  <c r="AD255" i="7" s="1"/>
  <c r="AD254" i="7" s="1"/>
  <c r="AD253" i="7" s="1"/>
  <c r="AD252" i="7" s="1"/>
  <c r="AD251" i="7" s="1"/>
  <c r="AD250" i="7" s="1"/>
  <c r="AD249" i="7" s="1"/>
  <c r="AD248" i="7" s="1"/>
  <c r="AD247" i="7" s="1"/>
  <c r="AD246" i="7" s="1"/>
  <c r="AD245" i="7" s="1"/>
  <c r="AD244" i="7" s="1"/>
  <c r="AD243" i="7" s="1"/>
  <c r="AD242" i="7" s="1"/>
  <c r="AD241" i="7" s="1"/>
  <c r="AD240" i="7" s="1"/>
  <c r="AD239" i="7" s="1"/>
  <c r="AD238" i="7" s="1"/>
  <c r="AD237" i="7" s="1"/>
  <c r="AD236" i="7" s="1"/>
  <c r="AD235" i="7" s="1"/>
  <c r="AD234" i="7" s="1"/>
  <c r="AD233" i="7" s="1"/>
  <c r="AD232" i="7" s="1"/>
  <c r="AD231" i="7" s="1"/>
  <c r="AD230" i="7" s="1"/>
  <c r="AD229" i="7" s="1"/>
  <c r="AD228" i="7" s="1"/>
  <c r="AD227" i="7" s="1"/>
  <c r="AD226" i="7" s="1"/>
  <c r="AD225" i="7" s="1"/>
  <c r="AD224" i="7" s="1"/>
  <c r="AD223" i="7" s="1"/>
  <c r="AD222" i="7" s="1"/>
  <c r="AD221" i="7" s="1"/>
  <c r="AD220" i="7" s="1"/>
  <c r="AD219" i="7" s="1"/>
  <c r="AD218" i="7" s="1"/>
  <c r="AD217" i="7" s="1"/>
  <c r="AD216" i="7" s="1"/>
  <c r="AD215" i="7" s="1"/>
  <c r="AD214" i="7" s="1"/>
  <c r="AD213" i="7" s="1"/>
  <c r="AD212" i="7" s="1"/>
  <c r="AD211" i="7" s="1"/>
  <c r="AD210" i="7" s="1"/>
  <c r="AD209" i="7" s="1"/>
  <c r="AD208" i="7" s="1"/>
  <c r="AD207" i="7" s="1"/>
  <c r="AD206" i="7" s="1"/>
  <c r="AD205" i="7" s="1"/>
  <c r="AD204" i="7" s="1"/>
  <c r="AD203" i="7" s="1"/>
  <c r="AD202" i="7" s="1"/>
  <c r="AD201" i="7" s="1"/>
  <c r="AD200" i="7" s="1"/>
  <c r="AD199" i="7" s="1"/>
  <c r="AD198" i="7" s="1"/>
  <c r="AD197" i="7" s="1"/>
  <c r="AD196" i="7" s="1"/>
  <c r="AD195" i="7" s="1"/>
  <c r="AD194" i="7" s="1"/>
  <c r="AD193" i="7" s="1"/>
  <c r="AD192" i="7" s="1"/>
  <c r="AD191" i="7" s="1"/>
  <c r="AD190" i="7" s="1"/>
  <c r="AD189" i="7" s="1"/>
  <c r="AD188" i="7" s="1"/>
  <c r="AD187" i="7" s="1"/>
  <c r="AD186" i="7" s="1"/>
  <c r="AD185" i="7" s="1"/>
  <c r="AD184" i="7" s="1"/>
  <c r="AD183" i="7" s="1"/>
  <c r="AD182" i="7" s="1"/>
  <c r="AD181" i="7" s="1"/>
  <c r="AD180" i="7" s="1"/>
  <c r="AD179" i="7" s="1"/>
  <c r="AD178" i="7" s="1"/>
  <c r="AD177" i="7" s="1"/>
  <c r="AD176" i="7" s="1"/>
  <c r="AD175" i="7" s="1"/>
  <c r="AD174" i="7" s="1"/>
  <c r="AD173" i="7" s="1"/>
  <c r="AD172" i="7" s="1"/>
  <c r="AD171" i="7" s="1"/>
  <c r="AD170" i="7" s="1"/>
  <c r="AD169" i="7" s="1"/>
  <c r="AD168" i="7" s="1"/>
  <c r="AD167" i="7" s="1"/>
  <c r="AD166" i="7" s="1"/>
  <c r="AD165" i="7" s="1"/>
  <c r="AD164" i="7" s="1"/>
  <c r="AD163" i="7" s="1"/>
  <c r="AD162" i="7" s="1"/>
  <c r="AD161" i="7" s="1"/>
  <c r="AD160" i="7" s="1"/>
  <c r="AD159" i="7" s="1"/>
  <c r="AD158" i="7" s="1"/>
  <c r="AD157" i="7" s="1"/>
  <c r="AD156" i="7" s="1"/>
  <c r="AD155" i="7" s="1"/>
  <c r="AD154" i="7" s="1"/>
  <c r="AD153" i="7" s="1"/>
  <c r="AD152" i="7" s="1"/>
  <c r="AD151" i="7" s="1"/>
  <c r="AD150" i="7" s="1"/>
  <c r="AD149" i="7" s="1"/>
  <c r="AD148" i="7" s="1"/>
  <c r="AD147" i="7" s="1"/>
  <c r="AD146" i="7" s="1"/>
  <c r="AD145" i="7" s="1"/>
  <c r="AD144" i="7" s="1"/>
  <c r="AD143" i="7" s="1"/>
  <c r="AD142" i="7" s="1"/>
  <c r="AD141" i="7" s="1"/>
  <c r="AD140" i="7" s="1"/>
  <c r="AD139" i="7" s="1"/>
  <c r="AD138" i="7" s="1"/>
  <c r="AD137" i="7" s="1"/>
  <c r="AD136" i="7" s="1"/>
  <c r="AD135" i="7" s="1"/>
  <c r="AD134" i="7" s="1"/>
  <c r="AD133" i="7" s="1"/>
  <c r="AD132" i="7" s="1"/>
  <c r="AD131" i="7" s="1"/>
  <c r="AD130" i="7" s="1"/>
  <c r="AD129" i="7" s="1"/>
  <c r="AD128" i="7" s="1"/>
  <c r="AD127" i="7" s="1"/>
  <c r="AD126" i="7" s="1"/>
  <c r="AD125" i="7" s="1"/>
  <c r="AD124" i="7" s="1"/>
  <c r="AD123" i="7" s="1"/>
  <c r="AD122" i="7" s="1"/>
  <c r="AD121" i="7" s="1"/>
  <c r="AD120" i="7" s="1"/>
  <c r="AD119" i="7" s="1"/>
  <c r="AD118" i="7" s="1"/>
  <c r="AD117" i="7" s="1"/>
  <c r="AD116" i="7" s="1"/>
  <c r="AD115" i="7" s="1"/>
  <c r="AD114" i="7" s="1"/>
  <c r="AD113" i="7" s="1"/>
  <c r="AD112" i="7" s="1"/>
  <c r="AD111" i="7" s="1"/>
  <c r="AD110" i="7" s="1"/>
  <c r="AD109" i="7" s="1"/>
  <c r="AD108" i="7" s="1"/>
  <c r="AD107" i="7" s="1"/>
  <c r="AD106" i="7" s="1"/>
  <c r="AD105" i="7" s="1"/>
  <c r="AD104" i="7" s="1"/>
  <c r="AD103" i="7" s="1"/>
  <c r="AD102" i="7" s="1"/>
  <c r="AD101" i="7" s="1"/>
  <c r="AD100" i="7" s="1"/>
  <c r="AD99" i="7" s="1"/>
  <c r="AD98" i="7" s="1"/>
  <c r="AD97" i="7" s="1"/>
  <c r="AD96" i="7" s="1"/>
  <c r="AD95" i="7" s="1"/>
  <c r="AD94" i="7" s="1"/>
  <c r="AD93" i="7" s="1"/>
  <c r="AD92" i="7" s="1"/>
  <c r="AD91" i="7" s="1"/>
  <c r="AD90" i="7" s="1"/>
  <c r="AD89" i="7" s="1"/>
  <c r="AD88" i="7" s="1"/>
  <c r="AD87" i="7" s="1"/>
  <c r="AD86" i="7" s="1"/>
  <c r="AD85" i="7" s="1"/>
  <c r="AD84" i="7" s="1"/>
  <c r="AD83" i="7" s="1"/>
  <c r="AD82" i="7" s="1"/>
  <c r="AD81" i="7" s="1"/>
  <c r="AD80" i="7" s="1"/>
  <c r="AD79" i="7" s="1"/>
  <c r="AD78" i="7" s="1"/>
  <c r="AD77" i="7" s="1"/>
  <c r="AD76" i="7" s="1"/>
  <c r="AD75" i="7" s="1"/>
  <c r="AD74" i="7" s="1"/>
  <c r="AD73" i="7" s="1"/>
  <c r="AD72" i="7" s="1"/>
  <c r="AD71" i="7" s="1"/>
  <c r="AD70" i="7" s="1"/>
  <c r="AD69" i="7" s="1"/>
  <c r="AD68" i="7" s="1"/>
  <c r="AD67" i="7" s="1"/>
  <c r="AD66" i="7" s="1"/>
  <c r="AD65" i="7" s="1"/>
  <c r="AD64" i="7" s="1"/>
  <c r="AD63" i="7" s="1"/>
  <c r="AD62" i="7" s="1"/>
  <c r="AD61" i="7" s="1"/>
  <c r="AD60" i="7" s="1"/>
  <c r="AD59" i="7" s="1"/>
  <c r="AD58" i="7" s="1"/>
  <c r="AD57" i="7" s="1"/>
  <c r="AD56" i="7" s="1"/>
  <c r="AD55" i="7" s="1"/>
  <c r="AD54" i="7" s="1"/>
  <c r="AD53" i="7" s="1"/>
  <c r="AD52" i="7" s="1"/>
  <c r="AD51" i="7" s="1"/>
  <c r="AD50" i="7" s="1"/>
  <c r="AD49" i="7" s="1"/>
  <c r="AD48" i="7" s="1"/>
  <c r="AD47" i="7" s="1"/>
  <c r="AD46" i="7" s="1"/>
  <c r="AD45" i="7" s="1"/>
  <c r="AD44" i="7" s="1"/>
  <c r="AD43" i="7" s="1"/>
  <c r="AD42" i="7" s="1"/>
  <c r="AD41" i="7" s="1"/>
  <c r="AD40" i="7" s="1"/>
  <c r="AD39" i="7" s="1"/>
  <c r="AD38" i="7" s="1"/>
  <c r="AD37" i="7" s="1"/>
  <c r="AD36" i="7" s="1"/>
  <c r="AD35" i="7" s="1"/>
  <c r="AD34" i="7" s="1"/>
  <c r="AD33" i="7" s="1"/>
  <c r="AD32" i="7" s="1"/>
  <c r="AD31" i="7" s="1"/>
  <c r="AD30" i="7" s="1"/>
  <c r="AD29" i="7" s="1"/>
  <c r="AD28" i="7" s="1"/>
  <c r="AD27" i="7" s="1"/>
  <c r="AD26" i="7" s="1"/>
  <c r="AD25" i="7" s="1"/>
  <c r="AD24" i="7" s="1"/>
  <c r="AD23" i="7" s="1"/>
  <c r="AD22" i="7" s="1"/>
  <c r="AD21" i="7" s="1"/>
  <c r="AD20" i="7" s="1"/>
  <c r="BY9" i="19"/>
  <c r="BX10" i="19"/>
  <c r="BW10" i="33"/>
  <c r="BV11" i="33"/>
  <c r="C29" i="11"/>
  <c r="GD33" i="11"/>
  <c r="E78" i="21" l="1"/>
  <c r="O78" i="21"/>
  <c r="O21" i="21" s="1"/>
  <c r="E79" i="21"/>
  <c r="BX11" i="19"/>
  <c r="BY10" i="19"/>
  <c r="C33" i="11"/>
  <c r="GD37" i="11"/>
  <c r="BW11" i="33"/>
  <c r="BV12" i="33"/>
  <c r="E21" i="21" l="1"/>
  <c r="BY11" i="19"/>
  <c r="BX12" i="19"/>
  <c r="C37" i="11"/>
  <c r="GD41" i="11"/>
  <c r="BW12" i="33"/>
  <c r="BV13" i="33"/>
  <c r="BX13" i="19" l="1"/>
  <c r="BY12" i="19"/>
  <c r="C41" i="11"/>
  <c r="GD45" i="11"/>
  <c r="BW13" i="33"/>
  <c r="BV14" i="33"/>
  <c r="BY13" i="19" l="1"/>
  <c r="BX14" i="19"/>
  <c r="BW14" i="33"/>
  <c r="BV15" i="33"/>
  <c r="C45" i="11"/>
  <c r="GD49" i="11"/>
  <c r="BY14" i="19" l="1"/>
  <c r="BX15" i="19"/>
  <c r="BW15" i="33"/>
  <c r="BV16" i="33"/>
  <c r="C49" i="11"/>
  <c r="GD53" i="11"/>
  <c r="BY15" i="19" l="1"/>
  <c r="BX16" i="19"/>
  <c r="BW16" i="33"/>
  <c r="BV17" i="33"/>
  <c r="C53" i="11"/>
  <c r="GD57" i="11"/>
  <c r="BX17" i="19" l="1"/>
  <c r="BY16" i="19"/>
  <c r="BW17" i="33"/>
  <c r="BV18" i="33"/>
  <c r="C57" i="11"/>
  <c r="GD61" i="11"/>
  <c r="BX18" i="19" l="1"/>
  <c r="BY17" i="19"/>
  <c r="BW18" i="33"/>
  <c r="BV19" i="33"/>
  <c r="C61" i="11"/>
  <c r="GD65" i="11"/>
  <c r="BY18" i="19" l="1"/>
  <c r="BX19" i="19"/>
  <c r="C65" i="11"/>
  <c r="GD69" i="11"/>
  <c r="BW19" i="33"/>
  <c r="BV20" i="33"/>
  <c r="BX20" i="19" l="1"/>
  <c r="BY19" i="19"/>
  <c r="C69" i="11"/>
  <c r="GD73" i="11"/>
  <c r="BW20" i="33"/>
  <c r="BV21" i="33"/>
  <c r="BX21" i="19" l="1"/>
  <c r="BY20" i="19"/>
  <c r="C73" i="11"/>
  <c r="GD77" i="11"/>
  <c r="BW21" i="33"/>
  <c r="BV22" i="33"/>
  <c r="BX22" i="19" l="1"/>
  <c r="BY21" i="19"/>
  <c r="BW22" i="33"/>
  <c r="BV23" i="33"/>
  <c r="C77" i="11"/>
  <c r="GD81" i="11"/>
  <c r="BX23" i="19" l="1"/>
  <c r="BY22" i="19"/>
  <c r="C81" i="11"/>
  <c r="GD85" i="11"/>
  <c r="BW23" i="33"/>
  <c r="BV24" i="33"/>
  <c r="BX24" i="19" l="1"/>
  <c r="BY23" i="19"/>
  <c r="C85" i="11"/>
  <c r="GD89" i="11"/>
  <c r="BW24" i="33"/>
  <c r="BV25" i="33"/>
  <c r="BW25" i="33" s="1"/>
  <c r="BX25" i="33" s="1"/>
  <c r="BX25" i="19" l="1"/>
  <c r="BY25" i="19" s="1"/>
  <c r="BZ25" i="19" s="1"/>
  <c r="BY24" i="19"/>
  <c r="BX24" i="33"/>
  <c r="BX23" i="33" s="1"/>
  <c r="BX22" i="33" s="1"/>
  <c r="BX21" i="33" s="1"/>
  <c r="BX20" i="33" s="1"/>
  <c r="BX19" i="33" s="1"/>
  <c r="BX18" i="33" s="1"/>
  <c r="BX17" i="33" s="1"/>
  <c r="BX16" i="33" s="1"/>
  <c r="BX15" i="33" s="1"/>
  <c r="BX14" i="33" s="1"/>
  <c r="BX13" i="33" s="1"/>
  <c r="BX12" i="33" s="1"/>
  <c r="BX11" i="33" s="1"/>
  <c r="BX10" i="33" s="1"/>
  <c r="BX9" i="33" s="1"/>
  <c r="BX8" i="33" s="1"/>
  <c r="BX7" i="33" s="1"/>
  <c r="BX6" i="33" s="1"/>
  <c r="BX5" i="33" s="1"/>
  <c r="K33" i="33" s="1"/>
  <c r="I33" i="33" s="1"/>
  <c r="C89" i="11"/>
  <c r="GD93" i="11"/>
  <c r="BZ24" i="19" l="1"/>
  <c r="BZ23" i="19" s="1"/>
  <c r="BZ22" i="19" s="1"/>
  <c r="BZ21" i="19" s="1"/>
  <c r="BZ20" i="19" s="1"/>
  <c r="BZ19" i="19" s="1"/>
  <c r="BZ18" i="19" s="1"/>
  <c r="BZ17" i="19" s="1"/>
  <c r="BZ16" i="19" s="1"/>
  <c r="BZ15" i="19" s="1"/>
  <c r="BZ14" i="19" s="1"/>
  <c r="BZ13" i="19" s="1"/>
  <c r="BZ12" i="19" s="1"/>
  <c r="BZ11" i="19" s="1"/>
  <c r="BZ10" i="19" s="1"/>
  <c r="BZ9" i="19" s="1"/>
  <c r="BZ8" i="19" s="1"/>
  <c r="BZ7" i="19" s="1"/>
  <c r="BZ6" i="19" s="1"/>
  <c r="BZ5" i="19" s="1"/>
  <c r="K33" i="19" s="1"/>
  <c r="I33" i="19" s="1"/>
  <c r="C93" i="11"/>
  <c r="GD97" i="11"/>
  <c r="AF4" i="2" l="1"/>
  <c r="AF5" i="2" s="1"/>
  <c r="AF3" i="2" s="1"/>
  <c r="AF6" i="2" s="1"/>
  <c r="C97" i="11"/>
  <c r="GD101" i="11"/>
  <c r="AF1" i="2" l="1"/>
  <c r="AE1" i="2" s="1"/>
  <c r="AD1" i="2" s="1"/>
  <c r="AC1" i="2" s="1"/>
  <c r="AB1" i="2" s="1"/>
  <c r="AA1" i="2" s="1"/>
  <c r="Z1" i="2" s="1"/>
  <c r="C101" i="11"/>
  <c r="GD105" i="11"/>
  <c r="C105" i="11" l="1"/>
  <c r="GD109" i="11"/>
  <c r="C109" i="11" l="1"/>
  <c r="GD113" i="11"/>
  <c r="C113" i="11" l="1"/>
  <c r="GD117" i="11"/>
  <c r="C117" i="11" l="1"/>
  <c r="GD121" i="11"/>
  <c r="FM29" i="26" l="1"/>
  <c r="FN29" i="26" s="1"/>
  <c r="C121" i="11"/>
  <c r="GD125" i="11"/>
  <c r="C125" i="11" l="1"/>
  <c r="GD129" i="11"/>
  <c r="GI98" i="14" l="1"/>
  <c r="C129" i="11"/>
  <c r="GD133" i="11"/>
  <c r="C133" i="11" l="1"/>
  <c r="GD137" i="11"/>
  <c r="C137" i="11" l="1"/>
  <c r="GD141" i="11"/>
  <c r="C141" i="11" l="1"/>
  <c r="GD145" i="11"/>
  <c r="C145" i="11" l="1"/>
  <c r="GD149" i="11"/>
  <c r="C149" i="11" l="1"/>
  <c r="GD153" i="11"/>
  <c r="C153" i="11" l="1"/>
  <c r="GD157" i="11"/>
  <c r="C157" i="11" l="1"/>
  <c r="GD161" i="11"/>
  <c r="C161" i="11" l="1"/>
  <c r="GD165" i="11"/>
  <c r="C165" i="11" s="1"/>
  <c r="GK131" i="14" l="1"/>
  <c r="L226" i="7"/>
  <c r="M226" i="7" s="1"/>
  <c r="G154" i="7" s="1"/>
  <c r="L154" i="7" s="1"/>
  <c r="M154" i="7" s="1"/>
  <c r="AA14" i="24" l="1"/>
  <c r="AD14" i="24" s="1"/>
  <c r="L423" i="7"/>
  <c r="M423" i="7" s="1"/>
  <c r="AO161" i="18" l="1"/>
  <c r="AS112" i="21" l="1"/>
  <c r="AI112" i="21"/>
  <c r="AA212" i="9" l="1"/>
  <c r="AA211" i="9" s="1"/>
  <c r="AA210" i="9" s="1"/>
  <c r="AA209" i="9" s="1"/>
  <c r="AA208" i="9" s="1"/>
  <c r="AA201" i="9" s="1"/>
  <c r="AA200" i="9" s="1"/>
  <c r="AA199" i="9" s="1"/>
  <c r="AA198" i="9" s="1"/>
  <c r="AA197" i="9" s="1"/>
  <c r="AA196" i="9" s="1"/>
  <c r="AA195" i="9" s="1"/>
  <c r="AA194" i="9" s="1"/>
  <c r="AA193" i="9" s="1"/>
  <c r="AA192" i="9" s="1"/>
  <c r="AA191" i="9" s="1"/>
  <c r="AA190" i="9" s="1"/>
  <c r="AA189" i="9" s="1"/>
  <c r="AA188" i="9" s="1"/>
  <c r="AA187" i="9" s="1"/>
  <c r="AA186" i="9" s="1"/>
  <c r="AA185" i="9" s="1"/>
  <c r="AA184" i="9" s="1"/>
  <c r="AA183" i="9" s="1"/>
  <c r="AA182" i="9" s="1"/>
  <c r="AA180" i="9" s="1"/>
  <c r="AA179" i="9" s="1"/>
  <c r="AA178" i="9" s="1"/>
  <c r="AA177" i="9" s="1"/>
  <c r="AA176" i="9" s="1"/>
  <c r="AA175" i="9" s="1"/>
  <c r="AA174" i="9" s="1"/>
  <c r="AA173" i="9" s="1"/>
  <c r="AA172" i="9" s="1"/>
  <c r="AA171" i="9" s="1"/>
  <c r="AA170" i="9" s="1"/>
  <c r="AA169" i="9" s="1"/>
  <c r="AA168" i="9" s="1"/>
  <c r="AA167" i="9" s="1"/>
  <c r="AA166" i="9" s="1"/>
  <c r="AA165" i="9" s="1"/>
  <c r="AA164" i="9" s="1"/>
  <c r="AA163" i="9" s="1"/>
  <c r="AA162" i="9" s="1"/>
  <c r="AA161" i="9" s="1"/>
  <c r="AA160" i="9" s="1"/>
  <c r="AA159" i="9" s="1"/>
  <c r="AA158" i="9" s="1"/>
  <c r="AA157" i="9" s="1"/>
  <c r="AA156" i="9" s="1"/>
  <c r="AA155" i="9" s="1"/>
  <c r="AA154" i="9" s="1"/>
  <c r="AA153" i="9" s="1"/>
  <c r="AA152" i="9" s="1"/>
  <c r="AA146" i="9" s="1"/>
  <c r="AA145" i="9" s="1"/>
  <c r="AA144" i="9" s="1"/>
  <c r="AA143" i="9" s="1"/>
  <c r="AA142" i="9" s="1"/>
  <c r="AA141" i="9" s="1"/>
  <c r="AA140" i="9" s="1"/>
  <c r="AA139" i="9" s="1"/>
  <c r="AA138" i="9" s="1"/>
  <c r="AA137" i="9" s="1"/>
  <c r="AA136" i="9" s="1"/>
  <c r="AA135" i="9" s="1"/>
  <c r="AA134" i="9" s="1"/>
  <c r="AA133" i="9" s="1"/>
  <c r="AA132" i="9" s="1"/>
  <c r="AA131" i="9" s="1"/>
  <c r="AA130" i="9" s="1"/>
  <c r="AA129" i="9" s="1"/>
  <c r="AA128" i="9" s="1"/>
  <c r="AA127" i="9" s="1"/>
  <c r="AA126" i="9" s="1"/>
  <c r="AA125" i="9" s="1"/>
  <c r="AA124" i="9" s="1"/>
  <c r="AA123" i="9" s="1"/>
  <c r="AA122" i="9" s="1"/>
  <c r="AA121" i="9" s="1"/>
  <c r="AA120" i="9" s="1"/>
  <c r="AA119" i="9" s="1"/>
  <c r="AA118" i="9" s="1"/>
  <c r="AA117" i="9" s="1"/>
  <c r="AA116" i="9" s="1"/>
  <c r="AA115" i="9" s="1"/>
  <c r="AA114" i="9" s="1"/>
  <c r="AA113" i="9" s="1"/>
  <c r="AA112" i="9" s="1"/>
  <c r="AA111" i="9" s="1"/>
  <c r="AA110" i="9" s="1"/>
  <c r="AA109" i="9" s="1"/>
  <c r="AA108" i="9" s="1"/>
  <c r="AA107" i="9" s="1"/>
  <c r="AA106" i="9" s="1"/>
  <c r="AA105" i="9" s="1"/>
  <c r="AA104" i="9" s="1"/>
  <c r="AA103" i="9" s="1"/>
  <c r="AA102" i="9" s="1"/>
  <c r="AA101" i="9" s="1"/>
  <c r="AA100" i="9" s="1"/>
  <c r="AA99" i="9" s="1"/>
  <c r="AA98" i="9" s="1"/>
  <c r="AA97" i="9" s="1"/>
  <c r="AA96" i="9" s="1"/>
  <c r="AA95" i="9" s="1"/>
  <c r="AA94" i="9" s="1"/>
  <c r="AA93" i="9" s="1"/>
  <c r="AA92" i="9" s="1"/>
  <c r="AA91" i="9" s="1"/>
  <c r="AA90" i="9" s="1"/>
  <c r="AA89" i="9" s="1"/>
  <c r="AA88" i="9" s="1"/>
  <c r="AA87" i="9" s="1"/>
  <c r="AA86" i="9" s="1"/>
  <c r="AA85" i="9" s="1"/>
  <c r="AA84" i="9" s="1"/>
  <c r="AA83" i="9" s="1"/>
  <c r="AA82" i="9" s="1"/>
  <c r="AA81" i="9" s="1"/>
  <c r="AA80" i="9" s="1"/>
  <c r="AA79" i="9" s="1"/>
  <c r="AA78" i="9" s="1"/>
  <c r="AA77" i="9" s="1"/>
  <c r="AA76" i="9" s="1"/>
  <c r="AA75" i="9" s="1"/>
  <c r="AA74" i="9" s="1"/>
  <c r="AA73" i="9" s="1"/>
  <c r="AA72" i="9" s="1"/>
  <c r="F4" i="9"/>
  <c r="AD19" i="9"/>
  <c r="AD44" i="9"/>
  <c r="AD17" i="9"/>
  <c r="AD41" i="9"/>
  <c r="AD25" i="9"/>
  <c r="AD24" i="9"/>
  <c r="AD23" i="9"/>
  <c r="AD22" i="9"/>
  <c r="AD21" i="9"/>
  <c r="AD20" i="9"/>
  <c r="AD18" i="9"/>
  <c r="AD16" i="9"/>
  <c r="AD15" i="9"/>
  <c r="AD14" i="9"/>
  <c r="AD13" i="9"/>
  <c r="AD42" i="9"/>
  <c r="AD40" i="9"/>
  <c r="AD39" i="9"/>
  <c r="AD38" i="9"/>
  <c r="AD37" i="9"/>
  <c r="AD36" i="9"/>
  <c r="AD35" i="9"/>
  <c r="AD34" i="9"/>
  <c r="AD33" i="9"/>
  <c r="AD32" i="9"/>
  <c r="AD31" i="9"/>
  <c r="AD30" i="9"/>
  <c r="AD29" i="9"/>
  <c r="AD28" i="9"/>
  <c r="AD27" i="9"/>
  <c r="AD26" i="9"/>
  <c r="AD43" i="9"/>
  <c r="M438" i="9"/>
  <c r="R438" i="9" s="1"/>
  <c r="T438" i="9" s="1"/>
  <c r="T437" i="9" s="1"/>
  <c r="T436" i="9" s="1"/>
  <c r="T435" i="9" s="1"/>
  <c r="T434" i="9" s="1"/>
  <c r="T433" i="9" s="1"/>
  <c r="T432" i="9" s="1"/>
  <c r="T431" i="9" s="1"/>
  <c r="T430" i="9" s="1"/>
  <c r="T429" i="9" s="1"/>
  <c r="T428" i="9" s="1"/>
  <c r="T427" i="9" s="1"/>
  <c r="T426" i="9" s="1"/>
  <c r="T425" i="9" s="1"/>
  <c r="T424" i="9" s="1"/>
  <c r="T423" i="9" s="1"/>
  <c r="T422" i="9" s="1"/>
  <c r="T421" i="9" s="1"/>
  <c r="T420" i="9" s="1"/>
  <c r="T419" i="9" s="1"/>
  <c r="T418" i="9" s="1"/>
  <c r="T417" i="9" s="1"/>
  <c r="T416" i="9" s="1"/>
  <c r="T415" i="9" s="1"/>
  <c r="T414" i="9" s="1"/>
  <c r="T413" i="9" s="1"/>
  <c r="T412" i="9" s="1"/>
  <c r="T411" i="9" s="1"/>
  <c r="T410" i="9" s="1"/>
  <c r="T409" i="9" s="1"/>
  <c r="T408" i="9" s="1"/>
  <c r="T407" i="9" s="1"/>
  <c r="T406" i="9" s="1"/>
  <c r="T405" i="9" s="1"/>
  <c r="T404" i="9" s="1"/>
  <c r="T403" i="9" s="1"/>
  <c r="T402" i="9" s="1"/>
  <c r="T401" i="9" s="1"/>
  <c r="T400" i="9" s="1"/>
  <c r="T399" i="9" s="1"/>
  <c r="T398" i="9" s="1"/>
  <c r="T397" i="9" s="1"/>
  <c r="T396" i="9" s="1"/>
  <c r="T395" i="9" s="1"/>
  <c r="T394" i="9" s="1"/>
  <c r="T393" i="9" s="1"/>
  <c r="T392" i="9" s="1"/>
  <c r="T391" i="9" s="1"/>
  <c r="T390" i="9" s="1"/>
  <c r="T389" i="9" s="1"/>
  <c r="T388" i="9" s="1"/>
  <c r="T387" i="9" s="1"/>
  <c r="T386" i="9" s="1"/>
  <c r="T385" i="9" s="1"/>
  <c r="T384" i="9" s="1"/>
  <c r="T383" i="9" s="1"/>
  <c r="T382" i="9" s="1"/>
  <c r="T381" i="9" s="1"/>
  <c r="T380" i="9" s="1"/>
  <c r="T379" i="9" s="1"/>
  <c r="T378" i="9" s="1"/>
  <c r="T377" i="9" s="1"/>
  <c r="T376" i="9" s="1"/>
  <c r="T375" i="9" s="1"/>
  <c r="T374" i="9" s="1"/>
  <c r="T373" i="9" s="1"/>
  <c r="T372" i="9" s="1"/>
  <c r="T371" i="9" s="1"/>
  <c r="T370" i="9" s="1"/>
  <c r="T369" i="9" s="1"/>
  <c r="T368" i="9" s="1"/>
  <c r="T367" i="9" s="1"/>
  <c r="T366" i="9" s="1"/>
  <c r="T365" i="9" s="1"/>
  <c r="T364" i="9" s="1"/>
  <c r="T363" i="9" s="1"/>
  <c r="T362" i="9" s="1"/>
  <c r="T361" i="9" s="1"/>
  <c r="T360" i="9" s="1"/>
  <c r="T359" i="9" s="1"/>
  <c r="T358" i="9" s="1"/>
  <c r="T357" i="9" s="1"/>
  <c r="T356" i="9" s="1"/>
  <c r="T355" i="9" s="1"/>
  <c r="T354" i="9" s="1"/>
  <c r="T353" i="9" s="1"/>
  <c r="T352" i="9" s="1"/>
  <c r="T351" i="9" s="1"/>
  <c r="T350" i="9" s="1"/>
  <c r="T349" i="9" s="1"/>
  <c r="T348" i="9" s="1"/>
  <c r="T347" i="9" s="1"/>
  <c r="T346" i="9" s="1"/>
  <c r="T345" i="9" s="1"/>
  <c r="T344" i="9" s="1"/>
  <c r="T343" i="9" s="1"/>
  <c r="T342" i="9" s="1"/>
  <c r="T341" i="9" s="1"/>
  <c r="T340" i="9" s="1"/>
  <c r="T339" i="9" s="1"/>
  <c r="T338" i="9" s="1"/>
  <c r="T337" i="9" s="1"/>
  <c r="T336" i="9" s="1"/>
  <c r="T335" i="9" s="1"/>
  <c r="T334" i="9" s="1"/>
  <c r="T333" i="9" s="1"/>
  <c r="T332" i="9" s="1"/>
  <c r="T331" i="9" s="1"/>
  <c r="T330" i="9" s="1"/>
  <c r="T329" i="9" s="1"/>
  <c r="T328" i="9" s="1"/>
  <c r="T327" i="9" s="1"/>
  <c r="T326" i="9" s="1"/>
  <c r="T325" i="9" s="1"/>
  <c r="T324" i="9" s="1"/>
  <c r="T323" i="9" s="1"/>
  <c r="T322" i="9" s="1"/>
  <c r="T321" i="9" s="1"/>
  <c r="T320" i="9" s="1"/>
  <c r="T319" i="9" s="1"/>
  <c r="T318" i="9" s="1"/>
  <c r="T317" i="9" s="1"/>
  <c r="T316" i="9" s="1"/>
  <c r="T315" i="9" s="1"/>
  <c r="T314" i="9" s="1"/>
  <c r="T313" i="9" s="1"/>
  <c r="T312" i="9" s="1"/>
  <c r="T311" i="9" s="1"/>
  <c r="T310" i="9" s="1"/>
  <c r="T309" i="9" s="1"/>
  <c r="T308" i="9" s="1"/>
  <c r="T307" i="9" s="1"/>
  <c r="T306" i="9" s="1"/>
  <c r="T305" i="9" s="1"/>
  <c r="T304" i="9" s="1"/>
  <c r="T303" i="9" s="1"/>
  <c r="T302" i="9" s="1"/>
  <c r="T301" i="9" s="1"/>
  <c r="T300" i="9" s="1"/>
  <c r="T299" i="9" s="1"/>
  <c r="T298" i="9" s="1"/>
  <c r="T297" i="9" s="1"/>
  <c r="T296" i="9" s="1"/>
  <c r="T295" i="9" s="1"/>
  <c r="T294" i="9" s="1"/>
  <c r="T293" i="9" s="1"/>
  <c r="T292" i="9" s="1"/>
  <c r="T291" i="9" s="1"/>
  <c r="T290" i="9" s="1"/>
  <c r="T289" i="9" s="1"/>
  <c r="T288" i="9" s="1"/>
  <c r="T287" i="9" s="1"/>
  <c r="T286" i="9" s="1"/>
  <c r="T285" i="9" s="1"/>
  <c r="T284" i="9" s="1"/>
  <c r="T283" i="9" s="1"/>
  <c r="T282" i="9" s="1"/>
  <c r="T281" i="9" s="1"/>
  <c r="T280" i="9" s="1"/>
  <c r="T279" i="9" s="1"/>
  <c r="T278" i="9" s="1"/>
  <c r="T277" i="9" s="1"/>
  <c r="T276" i="9" s="1"/>
  <c r="T275" i="9" s="1"/>
  <c r="T274" i="9" s="1"/>
  <c r="T273" i="9" s="1"/>
  <c r="T272" i="9" s="1"/>
  <c r="T271" i="9" s="1"/>
  <c r="T270" i="9" s="1"/>
  <c r="T269" i="9" s="1"/>
  <c r="T268" i="9" s="1"/>
  <c r="T267" i="9" s="1"/>
  <c r="T266" i="9" s="1"/>
  <c r="T265" i="9" s="1"/>
  <c r="T264" i="9" s="1"/>
  <c r="T263" i="9" s="1"/>
  <c r="T262" i="9" s="1"/>
  <c r="T261" i="9" s="1"/>
  <c r="T260" i="9" s="1"/>
  <c r="T259" i="9" s="1"/>
  <c r="T258" i="9" s="1"/>
  <c r="T257" i="9" s="1"/>
  <c r="T256" i="9" s="1"/>
  <c r="T255" i="9" s="1"/>
  <c r="T254" i="9" s="1"/>
  <c r="T253" i="9" s="1"/>
  <c r="T252" i="9" s="1"/>
  <c r="T251" i="9" s="1"/>
  <c r="T250" i="9" s="1"/>
  <c r="T249" i="9" s="1"/>
  <c r="T248" i="9" s="1"/>
  <c r="T247" i="9" s="1"/>
  <c r="T246" i="9" s="1"/>
  <c r="T245" i="9" s="1"/>
  <c r="T244" i="9" s="1"/>
  <c r="T243" i="9" s="1"/>
  <c r="T242" i="9" s="1"/>
  <c r="T241" i="9" s="1"/>
  <c r="T240" i="9" s="1"/>
  <c r="T239" i="9" s="1"/>
  <c r="T238" i="9" s="1"/>
  <c r="T237" i="9" s="1"/>
  <c r="T236" i="9" s="1"/>
  <c r="T235" i="9" s="1"/>
  <c r="T234" i="9" s="1"/>
  <c r="T233" i="9" s="1"/>
  <c r="T232" i="9" s="1"/>
  <c r="T231" i="9" s="1"/>
  <c r="T230" i="9" s="1"/>
  <c r="T229" i="9" s="1"/>
  <c r="T228" i="9" s="1"/>
  <c r="T227" i="9" s="1"/>
  <c r="T226" i="9" s="1"/>
  <c r="T225" i="9" s="1"/>
  <c r="T224" i="9" s="1"/>
  <c r="T223" i="9" s="1"/>
  <c r="T222" i="9" s="1"/>
  <c r="T221" i="9" s="1"/>
  <c r="T220" i="9" s="1"/>
  <c r="T219" i="9" s="1"/>
  <c r="T218" i="9" s="1"/>
  <c r="T217" i="9" s="1"/>
  <c r="T216" i="9" s="1"/>
  <c r="T215" i="9" s="1"/>
  <c r="T214" i="9" s="1"/>
  <c r="T213" i="9" s="1"/>
  <c r="T212" i="9" s="1"/>
  <c r="T211" i="9" s="1"/>
  <c r="T210" i="9" s="1"/>
  <c r="T209" i="9" s="1"/>
  <c r="T208" i="9" s="1"/>
  <c r="T207" i="9" s="1"/>
  <c r="T205" i="9" s="1"/>
  <c r="T204" i="9" s="1"/>
  <c r="T203" i="9" s="1"/>
  <c r="AD46" i="9"/>
  <c r="AD7" i="9"/>
  <c r="AD12" i="9"/>
  <c r="AD10" i="9"/>
  <c r="AD8" i="9"/>
  <c r="AD11" i="9"/>
  <c r="AD9" i="9"/>
  <c r="AD45" i="9"/>
  <c r="U438" i="9"/>
  <c r="AA438" i="9" s="1"/>
  <c r="AA437" i="9" s="1"/>
  <c r="AA436" i="9" s="1"/>
  <c r="AA435" i="9" s="1"/>
  <c r="AA434" i="9" s="1"/>
  <c r="AA433" i="9" s="1"/>
  <c r="AA432" i="9" s="1"/>
  <c r="AA431" i="9" s="1"/>
  <c r="AA430" i="9" s="1"/>
  <c r="AA429" i="9" s="1"/>
  <c r="AA428" i="9" s="1"/>
  <c r="AA426" i="9" s="1"/>
  <c r="AA425" i="9" s="1"/>
  <c r="AA424" i="9" s="1"/>
  <c r="AA423" i="9" s="1"/>
  <c r="AA422" i="9" s="1"/>
  <c r="AA421" i="9" s="1"/>
  <c r="AA420" i="9" s="1"/>
  <c r="AA419" i="9" s="1"/>
  <c r="AA418" i="9" s="1"/>
  <c r="AA417" i="9" s="1"/>
  <c r="AA416" i="9" s="1"/>
  <c r="AA415" i="9" s="1"/>
  <c r="AA414" i="9" s="1"/>
  <c r="AA413" i="9" s="1"/>
  <c r="AA412" i="9" s="1"/>
  <c r="AA411" i="9" s="1"/>
  <c r="AA410" i="9" s="1"/>
  <c r="AA409" i="9" s="1"/>
  <c r="AA408" i="9" s="1"/>
  <c r="AA407" i="9" s="1"/>
  <c r="AA406" i="9" s="1"/>
  <c r="AA401" i="9" s="1"/>
  <c r="AA400" i="9" s="1"/>
  <c r="AA399" i="9" s="1"/>
  <c r="AA398" i="9" s="1"/>
  <c r="AA397" i="9" s="1"/>
  <c r="AA392" i="9" s="1"/>
  <c r="AA391" i="9" s="1"/>
  <c r="AA390" i="9" s="1"/>
  <c r="AA389" i="9" s="1"/>
  <c r="AA388" i="9" s="1"/>
  <c r="AA387" i="9" s="1"/>
  <c r="AA386" i="9" s="1"/>
  <c r="AA385" i="9" s="1"/>
  <c r="AA384" i="9" s="1"/>
  <c r="AA383" i="9" s="1"/>
  <c r="AA382" i="9" s="1"/>
  <c r="AA381" i="9" s="1"/>
  <c r="AA380" i="9" s="1"/>
  <c r="AA379" i="9" s="1"/>
  <c r="AA378" i="9" s="1"/>
  <c r="AA377" i="9" s="1"/>
  <c r="AA376" i="9" s="1"/>
  <c r="AA375" i="9" s="1"/>
  <c r="AA374" i="9" s="1"/>
  <c r="AA373" i="9" s="1"/>
  <c r="AA372" i="9" s="1"/>
  <c r="AA371" i="9" s="1"/>
  <c r="AA370" i="9" s="1"/>
  <c r="AA369" i="9" s="1"/>
  <c r="AA368" i="9" s="1"/>
  <c r="AA367" i="9" s="1"/>
  <c r="AA366" i="9" s="1"/>
  <c r="AA365" i="9" s="1"/>
  <c r="AA364" i="9" s="1"/>
  <c r="AA363" i="9" s="1"/>
  <c r="AA362" i="9" s="1"/>
  <c r="AA361" i="9" s="1"/>
  <c r="AA360" i="9" s="1"/>
  <c r="AA359" i="9" s="1"/>
  <c r="AA358" i="9" s="1"/>
  <c r="AA357" i="9" s="1"/>
  <c r="AA356" i="9" s="1"/>
  <c r="AA355" i="9" s="1"/>
  <c r="AA354" i="9" s="1"/>
  <c r="AA353" i="9" s="1"/>
  <c r="AA352" i="9" s="1"/>
  <c r="AA351" i="9" s="1"/>
  <c r="AA350" i="9" s="1"/>
  <c r="AA349" i="9" s="1"/>
  <c r="Q208" i="9" l="1"/>
  <c r="Q1002" i="9"/>
  <c r="Q1003" i="9" s="1"/>
  <c r="Q1004" i="9" s="1"/>
  <c r="Q1005" i="9" s="1"/>
  <c r="Q1006" i="9" s="1"/>
  <c r="Q1007" i="9" s="1"/>
  <c r="Q1008" i="9" s="1"/>
  <c r="Q1009" i="9" s="1"/>
  <c r="Q1083" i="9"/>
  <c r="Q1084" i="9" s="1"/>
  <c r="Q1085" i="9" s="1"/>
  <c r="Q1086" i="9" s="1"/>
  <c r="Q1087" i="9" s="1"/>
  <c r="Q1088" i="9" s="1"/>
  <c r="Q1089" i="9" s="1"/>
  <c r="Q1090" i="9" s="1"/>
  <c r="Q1091" i="9" s="1"/>
  <c r="Q1092" i="9" s="1"/>
  <c r="Q1093" i="9" s="1"/>
  <c r="Q809" i="9"/>
  <c r="Q810" i="9" s="1"/>
  <c r="Q811" i="9" s="1"/>
  <c r="Q812" i="9" s="1"/>
  <c r="Q813" i="9" s="1"/>
  <c r="Q814" i="9" s="1"/>
  <c r="Q815" i="9" s="1"/>
  <c r="Q816" i="9" s="1"/>
  <c r="Q817" i="9" s="1"/>
  <c r="Q818" i="9" s="1"/>
  <c r="Q819" i="9" s="1"/>
  <c r="Q820" i="9" s="1"/>
  <c r="Q1208" i="9"/>
  <c r="Q1209" i="9" s="1"/>
  <c r="Q1210" i="9" s="1"/>
  <c r="Q1211" i="9" s="1"/>
  <c r="Q1212" i="9" s="1"/>
  <c r="Q1213" i="9" s="1"/>
  <c r="Q1214" i="9" s="1"/>
  <c r="Q1215" i="9" s="1"/>
  <c r="Q1216" i="9" s="1"/>
  <c r="Q1217" i="9" s="1"/>
  <c r="Q822" i="9"/>
  <c r="Q826" i="9" s="1"/>
  <c r="Q827" i="9" s="1"/>
  <c r="Q828" i="9" s="1"/>
  <c r="Q829" i="9" s="1"/>
  <c r="Q830" i="9" s="1"/>
  <c r="Q831" i="9" s="1"/>
  <c r="Q832" i="9" s="1"/>
  <c r="Q833" i="9" s="1"/>
  <c r="Q834" i="9" s="1"/>
  <c r="Q835" i="9" s="1"/>
  <c r="Q836" i="9" s="1"/>
  <c r="Q1218" i="9"/>
  <c r="Q1219" i="9" s="1"/>
  <c r="Q1220" i="9" s="1"/>
  <c r="Q1221" i="9" s="1"/>
  <c r="Q1222" i="9" s="1"/>
  <c r="Q1223" i="9" s="1"/>
  <c r="Q1224" i="9" s="1"/>
  <c r="Q1225" i="9" s="1"/>
  <c r="Q1258" i="9"/>
  <c r="Q1259" i="9" s="1"/>
  <c r="Q1260" i="9" s="1"/>
  <c r="Q1261" i="9" s="1"/>
  <c r="Q1262" i="9" s="1"/>
  <c r="Q1263" i="9" s="1"/>
  <c r="Q1264" i="9" s="1"/>
  <c r="Q1265" i="9" s="1"/>
  <c r="Q1266" i="9" s="1"/>
  <c r="Q1267" i="9" s="1"/>
  <c r="Q1199" i="9"/>
  <c r="Q1200" i="9" s="1"/>
  <c r="Q1201" i="9" s="1"/>
  <c r="Q1202" i="9" s="1"/>
  <c r="Q1203" i="9" s="1"/>
  <c r="Q1204" i="9" s="1"/>
  <c r="Q1205" i="9" s="1"/>
  <c r="Q1206" i="9" s="1"/>
  <c r="Q1207" i="9" s="1"/>
  <c r="Q1175" i="9"/>
  <c r="Q1176" i="9" s="1"/>
  <c r="Q1177" i="9" s="1"/>
  <c r="Q1178" i="9" s="1"/>
  <c r="Q1179" i="9" s="1"/>
  <c r="Q1180" i="9" s="1"/>
  <c r="Q1181" i="9" s="1"/>
  <c r="Q1182" i="9" s="1"/>
  <c r="Q1183" i="9" s="1"/>
  <c r="Q1184" i="9" s="1"/>
  <c r="Q1185" i="9" s="1"/>
  <c r="Q1186" i="9" s="1"/>
  <c r="Q1187" i="9" s="1"/>
  <c r="Q1188" i="9" s="1"/>
  <c r="Q1189" i="9" s="1"/>
  <c r="Q1190" i="9" s="1"/>
  <c r="Q851" i="9"/>
  <c r="Q852" i="9" s="1"/>
  <c r="Q853" i="9" s="1"/>
  <c r="Q854" i="9" s="1"/>
  <c r="Q855" i="9" s="1"/>
  <c r="Q856" i="9" s="1"/>
  <c r="Q1310" i="9"/>
  <c r="Q1311" i="9" s="1"/>
  <c r="Q1312" i="9" s="1"/>
  <c r="Q1313" i="9" s="1"/>
  <c r="Q1314" i="9" s="1"/>
  <c r="Q1315" i="9" s="1"/>
  <c r="Q1316" i="9" s="1"/>
  <c r="Q1317" i="9" s="1"/>
  <c r="Q864" i="9"/>
  <c r="Q865" i="9" s="1"/>
  <c r="Q866" i="9" s="1"/>
  <c r="Q867" i="9" s="1"/>
  <c r="Q868" i="9" s="1"/>
  <c r="Q869" i="9" s="1"/>
  <c r="Q870" i="9" s="1"/>
  <c r="Q1290" i="9"/>
  <c r="Q1291" i="9" s="1"/>
  <c r="Q1292" i="9" s="1"/>
  <c r="Q1293" i="9" s="1"/>
  <c r="Q1294" i="9" s="1"/>
  <c r="Q1295" i="9" s="1"/>
  <c r="Q1296" i="9" s="1"/>
  <c r="Q1297" i="9" s="1"/>
  <c r="Q1298" i="9" s="1"/>
  <c r="Q1299" i="9" s="1"/>
  <c r="Q1300" i="9" s="1"/>
  <c r="Q1301" i="9" s="1"/>
  <c r="Q1302" i="9" s="1"/>
  <c r="Q1303" i="9" s="1"/>
  <c r="Q1304" i="9" s="1"/>
  <c r="Q1305" i="9" s="1"/>
  <c r="Q1306" i="9" s="1"/>
  <c r="Q1307" i="9" s="1"/>
  <c r="Q1308" i="9" s="1"/>
  <c r="Q1309" i="9" s="1"/>
  <c r="Q956" i="9"/>
  <c r="Q957" i="9" s="1"/>
  <c r="Q958" i="9" s="1"/>
  <c r="Q959" i="9" s="1"/>
  <c r="Q960" i="9" s="1"/>
  <c r="Q961" i="9" s="1"/>
  <c r="Q962" i="9" s="1"/>
  <c r="Q1280" i="9"/>
  <c r="Q1281" i="9" s="1"/>
  <c r="Q1282" i="9" s="1"/>
  <c r="Q1283" i="9" s="1"/>
  <c r="Q1284" i="9" s="1"/>
  <c r="Q1285" i="9" s="1"/>
  <c r="Q1286" i="9" s="1"/>
  <c r="Q1287" i="9" s="1"/>
  <c r="Q1288" i="9" s="1"/>
  <c r="Q1289" i="9" s="1"/>
  <c r="Q903" i="9"/>
  <c r="Q904" i="9" s="1"/>
  <c r="Q1055" i="9"/>
  <c r="Q1056" i="9" s="1"/>
  <c r="Q1057" i="9" s="1"/>
  <c r="Q1058" i="9" s="1"/>
  <c r="Q1059" i="9" s="1"/>
  <c r="Q1060" i="9" s="1"/>
  <c r="Q1061" i="9" s="1"/>
  <c r="Q1062" i="9" s="1"/>
  <c r="Q1063" i="9" s="1"/>
  <c r="Q1064" i="9" s="1"/>
  <c r="Q1191" i="9"/>
  <c r="Q1192" i="9" s="1"/>
  <c r="Q1193" i="9" s="1"/>
  <c r="Q1194" i="9" s="1"/>
  <c r="Q1195" i="9" s="1"/>
  <c r="Q1196" i="9" s="1"/>
  <c r="Q1197" i="9" s="1"/>
  <c r="Q1198" i="9" s="1"/>
  <c r="Q1250" i="9"/>
  <c r="Q1251" i="9" s="1"/>
  <c r="Q1252" i="9" s="1"/>
  <c r="Q1253" i="9" s="1"/>
  <c r="Q1254" i="9" s="1"/>
  <c r="Q1255" i="9" s="1"/>
  <c r="Q1256" i="9" s="1"/>
  <c r="Q1257" i="9" s="1"/>
  <c r="Q857" i="9"/>
  <c r="Q858" i="9" s="1"/>
  <c r="Q859" i="9" s="1"/>
  <c r="Q860" i="9" s="1"/>
  <c r="Q861" i="9" s="1"/>
  <c r="Q862" i="9" s="1"/>
  <c r="Q863" i="9" s="1"/>
  <c r="Q1065" i="9"/>
  <c r="Q1066" i="9" s="1"/>
  <c r="Q1067" i="9" s="1"/>
  <c r="Q1068" i="9" s="1"/>
  <c r="Q1069" i="9" s="1"/>
  <c r="Q1070" i="9" s="1"/>
  <c r="Q1071" i="9" s="1"/>
  <c r="Q1072" i="9" s="1"/>
  <c r="Q1073" i="9" s="1"/>
  <c r="Q1074" i="9" s="1"/>
  <c r="Q1075" i="9" s="1"/>
  <c r="Q1076" i="9" s="1"/>
  <c r="Q1077" i="9" s="1"/>
  <c r="Q1078" i="9" s="1"/>
  <c r="Q1079" i="9" s="1"/>
  <c r="Q1080" i="9" s="1"/>
  <c r="Q1081" i="9" s="1"/>
  <c r="Q1082" i="9" s="1"/>
  <c r="Q1268" i="9"/>
  <c r="Q1269" i="9" s="1"/>
  <c r="Q1270" i="9" s="1"/>
  <c r="Q1271" i="9" s="1"/>
  <c r="Q1272" i="9" s="1"/>
  <c r="Q1273" i="9" s="1"/>
  <c r="Q1274" i="9" s="1"/>
  <c r="Q1275" i="9" s="1"/>
  <c r="Q1276" i="9" s="1"/>
  <c r="Q1277" i="9" s="1"/>
  <c r="Q1278" i="9" s="1"/>
  <c r="Q1279" i="9" s="1"/>
  <c r="Q891" i="9"/>
  <c r="Q892" i="9" s="1"/>
  <c r="Q893" i="9" s="1"/>
  <c r="Q894" i="9" s="1"/>
  <c r="Q895" i="9" s="1"/>
  <c r="Q896" i="9" s="1"/>
  <c r="Q897" i="9" s="1"/>
  <c r="Q898" i="9" s="1"/>
  <c r="Q899" i="9" s="1"/>
  <c r="Q900" i="9" s="1"/>
  <c r="Q901" i="9" s="1"/>
  <c r="Q902" i="9" s="1"/>
  <c r="Q770" i="9"/>
  <c r="Q771" i="9" s="1"/>
  <c r="Q772" i="9" s="1"/>
  <c r="Q773" i="9" s="1"/>
  <c r="Q774" i="9" s="1"/>
  <c r="Q775" i="9" s="1"/>
  <c r="Q1010" i="9"/>
  <c r="Q1011" i="9" s="1"/>
  <c r="Q1012" i="9" s="1"/>
  <c r="Q1013" i="9" s="1"/>
  <c r="Q1014" i="9" s="1"/>
  <c r="Q1015" i="9" s="1"/>
  <c r="Q1016" i="9" s="1"/>
  <c r="Q1017" i="9" s="1"/>
  <c r="Q1018" i="9" s="1"/>
  <c r="Q1019" i="9" s="1"/>
  <c r="Q1020" i="9" s="1"/>
  <c r="Q735" i="9"/>
  <c r="Q736" i="9" s="1"/>
  <c r="Q737" i="9" s="1"/>
  <c r="Q738" i="9" s="1"/>
  <c r="Q739" i="9" s="1"/>
  <c r="Q740" i="9" s="1"/>
  <c r="Q741" i="9" s="1"/>
  <c r="Q742" i="9" s="1"/>
  <c r="Q743" i="9" s="1"/>
  <c r="Q744" i="9" s="1"/>
  <c r="Q745" i="9" s="1"/>
  <c r="Q746" i="9" s="1"/>
  <c r="Q747" i="9" s="1"/>
  <c r="Q748" i="9" s="1"/>
  <c r="Q749" i="9" s="1"/>
  <c r="Q750" i="9" s="1"/>
  <c r="Q751" i="9" s="1"/>
  <c r="Q752" i="9" s="1"/>
  <c r="Q753" i="9" s="1"/>
  <c r="Q754" i="9" s="1"/>
  <c r="Q755" i="9" s="1"/>
  <c r="Q756" i="9" s="1"/>
  <c r="Q757" i="9" s="1"/>
  <c r="Q758" i="9" s="1"/>
  <c r="Q759" i="9" s="1"/>
  <c r="Q760" i="9" s="1"/>
  <c r="Q761" i="9" s="1"/>
  <c r="Q762" i="9" s="1"/>
  <c r="Q763" i="9" s="1"/>
  <c r="Q764" i="9" s="1"/>
  <c r="Q765" i="9" s="1"/>
  <c r="Q766" i="9" s="1"/>
  <c r="Q767" i="9" s="1"/>
  <c r="Q768" i="9" s="1"/>
  <c r="Q769" i="9" s="1"/>
  <c r="Q615" i="9"/>
  <c r="Q616" i="9" s="1"/>
  <c r="Q617" i="9" s="1"/>
  <c r="Q618" i="9" s="1"/>
  <c r="Q619" i="9" s="1"/>
  <c r="Q620" i="9" s="1"/>
  <c r="Q621" i="9" s="1"/>
  <c r="Q622" i="9" s="1"/>
  <c r="Q623" i="9" s="1"/>
  <c r="Q624" i="9" s="1"/>
  <c r="Q625" i="9" s="1"/>
  <c r="Q626" i="9" s="1"/>
  <c r="Q627" i="9" s="1"/>
  <c r="Q628" i="9" s="1"/>
  <c r="Q629" i="9" s="1"/>
  <c r="Q630" i="9" s="1"/>
  <c r="Q631" i="9" s="1"/>
  <c r="Q632" i="9" s="1"/>
  <c r="Q633" i="9" s="1"/>
  <c r="Q634" i="9" s="1"/>
  <c r="Q635" i="9" s="1"/>
  <c r="Q636" i="9" s="1"/>
  <c r="Q637" i="9" s="1"/>
  <c r="Q233" i="9"/>
  <c r="Q209" i="9"/>
  <c r="Q340" i="9"/>
  <c r="AF46" i="9"/>
  <c r="AF45" i="9" s="1"/>
  <c r="AF44" i="9" s="1"/>
  <c r="AF43" i="9" s="1"/>
  <c r="AF42" i="9" s="1"/>
  <c r="AF41" i="9" s="1"/>
  <c r="AF40" i="9" s="1"/>
  <c r="AF39" i="9" s="1"/>
  <c r="AF38" i="9" s="1"/>
  <c r="AF37" i="9" s="1"/>
  <c r="AF36" i="9" s="1"/>
  <c r="AF35" i="9" s="1"/>
  <c r="AF34" i="9" s="1"/>
  <c r="AF33" i="9" s="1"/>
  <c r="AF32" i="9" s="1"/>
  <c r="AF31" i="9" s="1"/>
  <c r="AF30" i="9" s="1"/>
  <c r="AF29" i="9" s="1"/>
  <c r="AF28" i="9" s="1"/>
  <c r="AF27" i="9" s="1"/>
  <c r="AF26" i="9" s="1"/>
  <c r="AF25" i="9" s="1"/>
  <c r="AF24" i="9" s="1"/>
  <c r="AF23" i="9" s="1"/>
  <c r="AF22" i="9" s="1"/>
  <c r="AF21" i="9" s="1"/>
  <c r="AF20" i="9" s="1"/>
  <c r="AF19" i="9" s="1"/>
  <c r="AF18" i="9" s="1"/>
  <c r="AF17" i="9" s="1"/>
  <c r="AF16" i="9" s="1"/>
  <c r="AF15" i="9" s="1"/>
  <c r="AF14" i="9" s="1"/>
  <c r="AF13" i="9" s="1"/>
  <c r="AF12" i="9" s="1"/>
  <c r="AF11" i="9" s="1"/>
  <c r="AF10" i="9" s="1"/>
  <c r="AF9" i="9" s="1"/>
  <c r="AF8" i="9" s="1"/>
  <c r="AF7" i="9" s="1"/>
  <c r="AF6" i="9" s="1"/>
  <c r="Q915" i="9"/>
  <c r="Q916" i="9" s="1"/>
  <c r="Q917" i="9" s="1"/>
  <c r="Q918" i="9" s="1"/>
  <c r="Q919" i="9" s="1"/>
  <c r="Q1165" i="9"/>
  <c r="Q1166" i="9" s="1"/>
  <c r="Q1167" i="9" s="1"/>
  <c r="Q1168" i="9" s="1"/>
  <c r="Q1169" i="9" s="1"/>
  <c r="Q1170" i="9" s="1"/>
  <c r="Q1171" i="9" s="1"/>
  <c r="Q1172" i="9" s="1"/>
  <c r="Q1173" i="9" s="1"/>
  <c r="Q1174" i="9" s="1"/>
  <c r="Q839" i="9"/>
  <c r="Q840" i="9" s="1"/>
  <c r="Q841" i="9" s="1"/>
  <c r="Q842" i="9" s="1"/>
  <c r="Q843" i="9" s="1"/>
  <c r="Q844" i="9" s="1"/>
  <c r="Q845" i="9" s="1"/>
  <c r="Q846" i="9" s="1"/>
  <c r="Q847" i="9" s="1"/>
  <c r="Q848" i="9" s="1"/>
  <c r="Q849" i="9" s="1"/>
  <c r="Q850" i="9" s="1"/>
  <c r="Q837" i="9"/>
  <c r="Q838" i="9" s="1"/>
  <c r="Q1226" i="9"/>
  <c r="Q1227" i="9" s="1"/>
  <c r="Q1228" i="9"/>
  <c r="Q1229" i="9" s="1"/>
  <c r="Q1230" i="9" s="1"/>
  <c r="Q1231" i="9" s="1"/>
  <c r="Q1232" i="9" s="1"/>
  <c r="Q515" i="9"/>
  <c r="Q516" i="9" s="1"/>
  <c r="Q517" i="9" s="1"/>
  <c r="Q518" i="9" s="1"/>
  <c r="Q519" i="9" s="1"/>
  <c r="Q520" i="9" s="1"/>
  <c r="Q521" i="9" s="1"/>
  <c r="Q522" i="9" s="1"/>
  <c r="Q523" i="9" s="1"/>
  <c r="Q524" i="9" s="1"/>
  <c r="Q525" i="9" s="1"/>
  <c r="Q526" i="9" s="1"/>
  <c r="Q582" i="9"/>
  <c r="Q583" i="9" s="1"/>
  <c r="Q584" i="9" s="1"/>
  <c r="Q585" i="9" s="1"/>
  <c r="Q586" i="9" s="1"/>
  <c r="Q587" i="9" s="1"/>
  <c r="Q588" i="9" s="1"/>
  <c r="Q589" i="9" s="1"/>
  <c r="Q590" i="9" s="1"/>
  <c r="Q591" i="9" s="1"/>
  <c r="Q596" i="9"/>
  <c r="Q597" i="9" s="1"/>
  <c r="Q598" i="9" s="1"/>
  <c r="Q599" i="9" s="1"/>
  <c r="Q600" i="9" s="1"/>
  <c r="Q527" i="9"/>
  <c r="Q528" i="9" s="1"/>
  <c r="Q529" i="9" s="1"/>
  <c r="Q569" i="9"/>
  <c r="Q570" i="9" s="1"/>
  <c r="Q571" i="9" s="1"/>
  <c r="Q572" i="9" s="1"/>
  <c r="Q573" i="9" s="1"/>
  <c r="Q574" i="9" s="1"/>
  <c r="Q575" i="9" s="1"/>
  <c r="Q576" i="9" s="1"/>
  <c r="Q577" i="9" s="1"/>
  <c r="Q592" i="9"/>
  <c r="Q593" i="9" s="1"/>
  <c r="Q594" i="9" s="1"/>
  <c r="Q595" i="9" s="1"/>
  <c r="Q601" i="9"/>
  <c r="Q602" i="9" s="1"/>
  <c r="Q603" i="9" s="1"/>
  <c r="Q604" i="9" s="1"/>
  <c r="Q605" i="9" s="1"/>
  <c r="Q606" i="9" s="1"/>
  <c r="Q607" i="9" s="1"/>
  <c r="Q608" i="9" s="1"/>
  <c r="Q549" i="9"/>
  <c r="Q550" i="9" s="1"/>
  <c r="Q551" i="9" s="1"/>
  <c r="Q552" i="9" s="1"/>
  <c r="Q553" i="9" s="1"/>
  <c r="Q554" i="9" s="1"/>
  <c r="Q578" i="9"/>
  <c r="Q579" i="9" s="1"/>
  <c r="Q580" i="9" s="1"/>
  <c r="Q581" i="9" s="1"/>
  <c r="Q555" i="9"/>
  <c r="Q556" i="9" s="1"/>
  <c r="Q872" i="9"/>
  <c r="Q871" i="9"/>
  <c r="Q1094" i="9"/>
  <c r="Q1095" i="9" s="1"/>
  <c r="Q1096" i="9" s="1"/>
  <c r="Q1097" i="9" s="1"/>
  <c r="Q1098" i="9" s="1"/>
  <c r="Q1099" i="9" s="1"/>
  <c r="Q1100" i="9" s="1"/>
  <c r="Q1101" i="9" s="1"/>
  <c r="Q1102" i="9" s="1"/>
  <c r="Q1103" i="9" s="1"/>
  <c r="Q1104" i="9" s="1"/>
  <c r="Q1105" i="9"/>
  <c r="Q1106" i="9" s="1"/>
  <c r="Q1107" i="9" s="1"/>
  <c r="Q1108" i="9" s="1"/>
  <c r="Q1109" i="9" s="1"/>
  <c r="Q1110" i="9" s="1"/>
  <c r="Q1111" i="9" s="1"/>
  <c r="Q1112" i="9" s="1"/>
  <c r="Q1113" i="9" s="1"/>
  <c r="Q1114" i="9" s="1"/>
  <c r="Q1115" i="9" s="1"/>
  <c r="Q1116" i="9" s="1"/>
  <c r="Q1117" i="9" s="1"/>
  <c r="Q1118" i="9" s="1"/>
  <c r="Q1119" i="9" s="1"/>
  <c r="Q1120" i="9" s="1"/>
  <c r="Q1121" i="9" s="1"/>
  <c r="Q1122" i="9" s="1"/>
  <c r="Q1123" i="9" s="1"/>
  <c r="Q1124" i="9" s="1"/>
  <c r="Q1125" i="9" s="1"/>
  <c r="Q1126" i="9" s="1"/>
  <c r="Q1127" i="9" s="1"/>
  <c r="Q1128" i="9" s="1"/>
  <c r="Q1129" i="9" s="1"/>
  <c r="Q1130" i="9" s="1"/>
  <c r="Q1131" i="9" s="1"/>
  <c r="Q1132" i="9" s="1"/>
  <c r="Q1133" i="9" s="1"/>
  <c r="Q1134" i="9" s="1"/>
  <c r="Q1135" i="9" s="1"/>
  <c r="Q1136" i="9" s="1"/>
  <c r="Q1137" i="9" s="1"/>
  <c r="Q1138" i="9" s="1"/>
  <c r="Q1139" i="9" s="1"/>
  <c r="Q1140" i="9" s="1"/>
  <c r="Q1141" i="9" s="1"/>
  <c r="Q1142" i="9" s="1"/>
  <c r="Q1143" i="9" s="1"/>
  <c r="Q1144" i="9" s="1"/>
  <c r="Q1145" i="9" s="1"/>
  <c r="Q1146" i="9" s="1"/>
  <c r="Q1147" i="9" s="1"/>
  <c r="Q1148" i="9" s="1"/>
  <c r="Q1149" i="9" s="1"/>
  <c r="Q1150" i="9" s="1"/>
  <c r="Q1151" i="9" s="1"/>
  <c r="Q1152" i="9" s="1"/>
  <c r="Q1153" i="9" s="1"/>
  <c r="Q1154" i="9" s="1"/>
  <c r="Q1155" i="9" s="1"/>
  <c r="Q1156" i="9" s="1"/>
  <c r="Q1157" i="9" s="1"/>
  <c r="Q1158" i="9" s="1"/>
  <c r="Q1159" i="9" s="1"/>
  <c r="Q1160" i="9" s="1"/>
  <c r="Q1161" i="9" s="1"/>
  <c r="Q1162" i="9" s="1"/>
  <c r="Q1163" i="9" s="1"/>
  <c r="Q1164" i="9" s="1"/>
  <c r="Q439" i="9"/>
  <c r="Q440" i="9" s="1"/>
  <c r="Q441" i="9" s="1"/>
  <c r="Q442" i="9" s="1"/>
  <c r="Q443" i="9" s="1"/>
  <c r="Q444" i="9" s="1"/>
  <c r="Q445" i="9" s="1"/>
  <c r="Q446" i="9" s="1"/>
  <c r="Q471" i="9"/>
  <c r="Q472" i="9" s="1"/>
  <c r="Q473" i="9" s="1"/>
  <c r="Q474" i="9" s="1"/>
  <c r="Q505" i="9"/>
  <c r="Q506" i="9" s="1"/>
  <c r="Q507" i="9" s="1"/>
  <c r="Q508" i="9" s="1"/>
  <c r="Q509" i="9" s="1"/>
  <c r="Q447" i="9"/>
  <c r="Q448" i="9" s="1"/>
  <c r="Q449" i="9" s="1"/>
  <c r="Q450" i="9" s="1"/>
  <c r="Q486" i="9"/>
  <c r="Q487" i="9" s="1"/>
  <c r="Q488" i="9" s="1"/>
  <c r="Q489" i="9" s="1"/>
  <c r="Q510" i="9"/>
  <c r="Q511" i="9" s="1"/>
  <c r="Q512" i="9" s="1"/>
  <c r="Q513" i="9" s="1"/>
  <c r="Q514" i="9" s="1"/>
  <c r="Q435" i="9"/>
  <c r="Q436" i="9" s="1"/>
  <c r="Q437" i="9" s="1"/>
  <c r="Q438" i="9" s="1"/>
  <c r="Q462" i="9"/>
  <c r="Q463" i="9" s="1"/>
  <c r="Q464" i="9" s="1"/>
  <c r="Q465" i="9" s="1"/>
  <c r="Q466" i="9" s="1"/>
  <c r="Q467" i="9" s="1"/>
  <c r="Q468" i="9" s="1"/>
  <c r="Q469" i="9" s="1"/>
  <c r="Q470" i="9" s="1"/>
  <c r="Q490" i="9"/>
  <c r="Q491" i="9" s="1"/>
  <c r="Q492" i="9" s="1"/>
  <c r="Q493" i="9" s="1"/>
  <c r="Q494" i="9" s="1"/>
  <c r="Q495" i="9" s="1"/>
  <c r="Q501" i="9"/>
  <c r="Q502" i="9" s="1"/>
  <c r="Q503" i="9" s="1"/>
  <c r="Q504" i="9" s="1"/>
  <c r="Q496" i="9"/>
  <c r="Q497" i="9" s="1"/>
  <c r="Q498" i="9" s="1"/>
  <c r="Q499" i="9" s="1"/>
  <c r="Q500" i="9" s="1"/>
  <c r="Q345" i="9"/>
  <c r="Q346" i="9" s="1"/>
  <c r="Q347" i="9" s="1"/>
  <c r="Q348" i="9" s="1"/>
  <c r="Q362" i="9"/>
  <c r="Q363" i="9" s="1"/>
  <c r="Q364" i="9" s="1"/>
  <c r="Q365" i="9" s="1"/>
  <c r="Q366" i="9" s="1"/>
  <c r="Q370" i="9"/>
  <c r="Q374" i="9"/>
  <c r="Q378" i="9"/>
  <c r="Q382" i="9"/>
  <c r="Q389" i="9"/>
  <c r="Q390" i="9" s="1"/>
  <c r="Q391" i="9" s="1"/>
  <c r="Q392" i="9" s="1"/>
  <c r="Q393" i="9" s="1"/>
  <c r="Q394" i="9" s="1"/>
  <c r="Q395" i="9" s="1"/>
  <c r="Q396" i="9" s="1"/>
  <c r="Q423" i="9"/>
  <c r="Q424" i="9" s="1"/>
  <c r="Q425" i="9" s="1"/>
  <c r="Q426" i="9" s="1"/>
  <c r="Q349" i="9"/>
  <c r="Q350" i="9" s="1"/>
  <c r="Q351" i="9" s="1"/>
  <c r="Q352" i="9" s="1"/>
  <c r="Q353" i="9" s="1"/>
  <c r="Q354" i="9" s="1"/>
  <c r="Q355" i="9" s="1"/>
  <c r="Q356" i="9" s="1"/>
  <c r="Q357" i="9" s="1"/>
  <c r="Q358" i="9" s="1"/>
  <c r="Q359" i="9" s="1"/>
  <c r="Q360" i="9" s="1"/>
  <c r="Q361" i="9" s="1"/>
  <c r="Q368" i="9"/>
  <c r="Q372" i="9"/>
  <c r="Q376" i="9"/>
  <c r="Q380" i="9"/>
  <c r="Q384" i="9"/>
  <c r="Q385" i="9" s="1"/>
  <c r="Q386" i="9" s="1"/>
  <c r="Q387" i="9" s="1"/>
  <c r="Q388" i="9" s="1"/>
  <c r="Q397" i="9"/>
  <c r="Q398" i="9" s="1"/>
  <c r="Q399" i="9" s="1"/>
  <c r="Q400" i="9" s="1"/>
  <c r="Q401" i="9" s="1"/>
  <c r="Q402" i="9" s="1"/>
  <c r="Q403" i="9" s="1"/>
  <c r="Q404" i="9" s="1"/>
  <c r="Q405" i="9" s="1"/>
  <c r="Q430" i="9"/>
  <c r="Q431" i="9" s="1"/>
  <c r="Q432" i="9" s="1"/>
  <c r="Q433" i="9" s="1"/>
  <c r="Q434" i="9" s="1"/>
  <c r="Q369" i="9"/>
  <c r="Q373" i="9"/>
  <c r="Q377" i="9"/>
  <c r="Q381" i="9"/>
  <c r="K381" i="9" s="1"/>
  <c r="Q411" i="9"/>
  <c r="Q412" i="9" s="1"/>
  <c r="Q413" i="9" s="1"/>
  <c r="Q414" i="9" s="1"/>
  <c r="Q415" i="9" s="1"/>
  <c r="Q416" i="9" s="1"/>
  <c r="Q417" i="9" s="1"/>
  <c r="Q379" i="9"/>
  <c r="Q418" i="9"/>
  <c r="Q419" i="9" s="1"/>
  <c r="Q420" i="9" s="1"/>
  <c r="Q421" i="9" s="1"/>
  <c r="Q422" i="9" s="1"/>
  <c r="Q367" i="9"/>
  <c r="K367" i="9" s="1"/>
  <c r="Q383" i="9"/>
  <c r="K383" i="9" s="1"/>
  <c r="Q375" i="9"/>
  <c r="K375" i="9" s="1"/>
  <c r="Q406" i="9"/>
  <c r="Q407" i="9" s="1"/>
  <c r="Q408" i="9" s="1"/>
  <c r="Q409" i="9" s="1"/>
  <c r="Q410" i="9" s="1"/>
  <c r="Q371" i="9"/>
  <c r="K372" i="9" s="1"/>
  <c r="Q906" i="9"/>
  <c r="Q907" i="9" s="1"/>
  <c r="Q908" i="9" s="1"/>
  <c r="Q909" i="9" s="1"/>
  <c r="Q910" i="9" s="1"/>
  <c r="Q911" i="9" s="1"/>
  <c r="Q912" i="9" s="1"/>
  <c r="Q913" i="9" s="1"/>
  <c r="Q914" i="9" s="1"/>
  <c r="Q920" i="9" s="1"/>
  <c r="Q921" i="9" s="1"/>
  <c r="Q922" i="9" s="1"/>
  <c r="Q923" i="9" s="1"/>
  <c r="Q924" i="9" s="1"/>
  <c r="Q925" i="9" s="1"/>
  <c r="Q926" i="9" s="1"/>
  <c r="Q927" i="9" s="1"/>
  <c r="Q928" i="9" s="1"/>
  <c r="Q929" i="9" s="1"/>
  <c r="Q930" i="9" s="1"/>
  <c r="Q931" i="9" s="1"/>
  <c r="Q932" i="9" s="1"/>
  <c r="Q933" i="9" s="1"/>
  <c r="Q934" i="9" s="1"/>
  <c r="Q935" i="9" s="1"/>
  <c r="Q936" i="9" s="1"/>
  <c r="Q937" i="9" s="1"/>
  <c r="Q938" i="9" s="1"/>
  <c r="Q939" i="9" s="1"/>
  <c r="Q940" i="9" s="1"/>
  <c r="Q941" i="9" s="1"/>
  <c r="Q942" i="9" s="1"/>
  <c r="Q943" i="9" s="1"/>
  <c r="Q944" i="9" s="1"/>
  <c r="Q945" i="9" s="1"/>
  <c r="Q946" i="9" s="1"/>
  <c r="Q905" i="9"/>
  <c r="Q1045" i="9"/>
  <c r="Q1046" i="9" s="1"/>
  <c r="Q1047" i="9" s="1"/>
  <c r="Q1048" i="9" s="1"/>
  <c r="Q1049" i="9" s="1"/>
  <c r="Q1050" i="9"/>
  <c r="Q1051" i="9" s="1"/>
  <c r="Q1052" i="9" s="1"/>
  <c r="Q1053" i="9" s="1"/>
  <c r="Q1054" i="9" s="1"/>
  <c r="Q776" i="9"/>
  <c r="Q777" i="9"/>
  <c r="Q778" i="9" s="1"/>
  <c r="Q1023" i="9"/>
  <c r="Q1024" i="9" s="1"/>
  <c r="Q1025" i="9" s="1"/>
  <c r="Q1026" i="9" s="1"/>
  <c r="Q1027" i="9" s="1"/>
  <c r="Q1021" i="9"/>
  <c r="Q1022" i="9" s="1"/>
  <c r="Q963" i="9"/>
  <c r="Q964" i="9" s="1"/>
  <c r="Q965" i="9" s="1"/>
  <c r="Q966" i="9" s="1"/>
  <c r="Q967" i="9" s="1"/>
  <c r="Q968" i="9" s="1"/>
  <c r="Q969" i="9" s="1"/>
  <c r="Q970" i="9" s="1"/>
  <c r="Q971" i="9" s="1"/>
  <c r="Q972" i="9" s="1"/>
  <c r="Q973" i="9" s="1"/>
  <c r="Q974" i="9" s="1"/>
  <c r="Q975" i="9" s="1"/>
  <c r="Q976" i="9" s="1"/>
  <c r="T202" i="9"/>
  <c r="T201" i="9" s="1"/>
  <c r="T200" i="9" s="1"/>
  <c r="T199" i="9" s="1"/>
  <c r="T198" i="9" s="1"/>
  <c r="T197" i="9" s="1"/>
  <c r="T196" i="9" s="1"/>
  <c r="T195" i="9" s="1"/>
  <c r="T194" i="9" s="1"/>
  <c r="T193" i="9" s="1"/>
  <c r="T192" i="9" s="1"/>
  <c r="T191" i="9" s="1"/>
  <c r="T190" i="9" s="1"/>
  <c r="T189" i="9" s="1"/>
  <c r="T188" i="9" s="1"/>
  <c r="T187" i="9" s="1"/>
  <c r="T186" i="9" s="1"/>
  <c r="T185" i="9" s="1"/>
  <c r="T184" i="9" s="1"/>
  <c r="T183" i="9" s="1"/>
  <c r="T182" i="9" s="1"/>
  <c r="T181" i="9" s="1"/>
  <c r="T180" i="9" s="1"/>
  <c r="T179" i="9" s="1"/>
  <c r="T178" i="9" s="1"/>
  <c r="T177" i="9" s="1"/>
  <c r="T176" i="9" s="1"/>
  <c r="T175" i="9" s="1"/>
  <c r="T174" i="9" s="1"/>
  <c r="T173" i="9" s="1"/>
  <c r="T172" i="9" s="1"/>
  <c r="T171" i="9" s="1"/>
  <c r="T170" i="9" s="1"/>
  <c r="T169" i="9" s="1"/>
  <c r="T168" i="9" s="1"/>
  <c r="T167" i="9" s="1"/>
  <c r="T166" i="9" s="1"/>
  <c r="T165" i="9" s="1"/>
  <c r="T164" i="9" s="1"/>
  <c r="T163" i="9" s="1"/>
  <c r="T162" i="9" s="1"/>
  <c r="T161" i="9" s="1"/>
  <c r="T160" i="9" s="1"/>
  <c r="T159" i="9" s="1"/>
  <c r="T158" i="9" s="1"/>
  <c r="T157" i="9" s="1"/>
  <c r="T156" i="9" s="1"/>
  <c r="T155" i="9" s="1"/>
  <c r="T154" i="9" s="1"/>
  <c r="T153" i="9" s="1"/>
  <c r="T152" i="9" s="1"/>
  <c r="T151" i="9" s="1"/>
  <c r="T150" i="9" s="1"/>
  <c r="T149" i="9" s="1"/>
  <c r="T148" i="9" s="1"/>
  <c r="T147" i="9" s="1"/>
  <c r="T146" i="9" s="1"/>
  <c r="T145" i="9" s="1"/>
  <c r="T144" i="9" s="1"/>
  <c r="T143" i="9" s="1"/>
  <c r="T142" i="9" s="1"/>
  <c r="T141" i="9" s="1"/>
  <c r="T140" i="9" s="1"/>
  <c r="T139" i="9" s="1"/>
  <c r="T138" i="9" s="1"/>
  <c r="T137" i="9" s="1"/>
  <c r="T136" i="9" s="1"/>
  <c r="T135" i="9" s="1"/>
  <c r="T134" i="9" s="1"/>
  <c r="T133" i="9" s="1"/>
  <c r="T132" i="9" s="1"/>
  <c r="T131" i="9" s="1"/>
  <c r="T130" i="9" s="1"/>
  <c r="T129" i="9" s="1"/>
  <c r="T128" i="9" s="1"/>
  <c r="T127" i="9" s="1"/>
  <c r="T126" i="9" s="1"/>
  <c r="T125" i="9" s="1"/>
  <c r="T124" i="9" s="1"/>
  <c r="T123" i="9" s="1"/>
  <c r="T122" i="9" s="1"/>
  <c r="T121" i="9" s="1"/>
  <c r="T120" i="9" s="1"/>
  <c r="T119" i="9" s="1"/>
  <c r="T118" i="9" s="1"/>
  <c r="T117" i="9" s="1"/>
  <c r="T116" i="9" s="1"/>
  <c r="T115" i="9" s="1"/>
  <c r="T114" i="9" s="1"/>
  <c r="T113" i="9" s="1"/>
  <c r="T112" i="9" s="1"/>
  <c r="T111" i="9" s="1"/>
  <c r="T110" i="9" s="1"/>
  <c r="T109" i="9" s="1"/>
  <c r="T108" i="9" s="1"/>
  <c r="T107" i="9" s="1"/>
  <c r="T106" i="9" s="1"/>
  <c r="T105" i="9" s="1"/>
  <c r="T104" i="9" s="1"/>
  <c r="T103" i="9" s="1"/>
  <c r="T102" i="9" s="1"/>
  <c r="T101" i="9" s="1"/>
  <c r="T100" i="9" s="1"/>
  <c r="T99" i="9" s="1"/>
  <c r="T98" i="9" s="1"/>
  <c r="T97" i="9" s="1"/>
  <c r="T96" i="9" s="1"/>
  <c r="T95" i="9" s="1"/>
  <c r="T94" i="9" s="1"/>
  <c r="T93" i="9" s="1"/>
  <c r="T92" i="9" s="1"/>
  <c r="T91" i="9" s="1"/>
  <c r="T90" i="9" s="1"/>
  <c r="T89" i="9" s="1"/>
  <c r="T88" i="9" s="1"/>
  <c r="T87" i="9" s="1"/>
  <c r="T86" i="9" s="1"/>
  <c r="T85" i="9" s="1"/>
  <c r="T84" i="9" s="1"/>
  <c r="T83" i="9" s="1"/>
  <c r="T82" i="9" s="1"/>
  <c r="T81" i="9" s="1"/>
  <c r="T80" i="9" s="1"/>
  <c r="T79" i="9" s="1"/>
  <c r="T78" i="9" s="1"/>
  <c r="T77" i="9" s="1"/>
  <c r="T76" i="9" s="1"/>
  <c r="T75" i="9" s="1"/>
  <c r="T74" i="9" s="1"/>
  <c r="T73" i="9" s="1"/>
  <c r="T72" i="9" s="1"/>
  <c r="T71" i="9" s="1"/>
  <c r="T70" i="9" s="1"/>
  <c r="T69" i="9" s="1"/>
  <c r="T68" i="9" s="1"/>
  <c r="T67" i="9" s="1"/>
  <c r="T66" i="9" s="1"/>
  <c r="T65" i="9" s="1"/>
  <c r="T64" i="9" s="1"/>
  <c r="T63" i="9" s="1"/>
  <c r="T62" i="9" s="1"/>
  <c r="T61" i="9" s="1"/>
  <c r="T60" i="9" s="1"/>
  <c r="T59" i="9" s="1"/>
  <c r="T58" i="9" s="1"/>
  <c r="T57" i="9" s="1"/>
  <c r="T56" i="9" s="1"/>
  <c r="T55" i="9" s="1"/>
  <c r="T54" i="9" s="1"/>
  <c r="T53" i="9" s="1"/>
  <c r="T52" i="9" s="1"/>
  <c r="T51" i="9" s="1"/>
  <c r="T50" i="9" s="1"/>
  <c r="T49" i="9" s="1"/>
  <c r="T48" i="9" s="1"/>
  <c r="T47" i="9" s="1"/>
  <c r="T46" i="9" s="1"/>
  <c r="T45" i="9" s="1"/>
  <c r="T44" i="9" s="1"/>
  <c r="T43" i="9" s="1"/>
  <c r="T42" i="9" s="1"/>
  <c r="T41" i="9" s="1"/>
  <c r="T40" i="9" s="1"/>
  <c r="T39" i="9" s="1"/>
  <c r="T38" i="9" s="1"/>
  <c r="T37" i="9" s="1"/>
  <c r="T36" i="9" s="1"/>
  <c r="T35" i="9" s="1"/>
  <c r="T34" i="9" s="1"/>
  <c r="T33" i="9" s="1"/>
  <c r="T32" i="9" s="1"/>
  <c r="T31" i="9" s="1"/>
  <c r="T30" i="9" s="1"/>
  <c r="T29" i="9" s="1"/>
  <c r="T28" i="9" s="1"/>
  <c r="T27" i="9" s="1"/>
  <c r="T26" i="9" s="1"/>
  <c r="T25" i="9" s="1"/>
  <c r="T24" i="9" s="1"/>
  <c r="T23" i="9" s="1"/>
  <c r="T22" i="9" s="1"/>
  <c r="T21" i="9" s="1"/>
  <c r="T20" i="9" s="1"/>
  <c r="T19" i="9" s="1"/>
  <c r="T18" i="9" s="1"/>
  <c r="T17" i="9" s="1"/>
  <c r="T16" i="9" s="1"/>
  <c r="T15" i="9" s="1"/>
  <c r="T14" i="9" s="1"/>
  <c r="T13" i="9" s="1"/>
  <c r="T12" i="9" s="1"/>
  <c r="T11" i="9" s="1"/>
  <c r="T10" i="9" s="1"/>
  <c r="T9" i="9" s="1"/>
  <c r="T8" i="9" s="1"/>
  <c r="T7" i="9" s="1"/>
  <c r="T6" i="9" s="1"/>
  <c r="GE232" i="11" s="1"/>
  <c r="Q141" i="9"/>
  <c r="K376" i="9"/>
  <c r="K380" i="9"/>
  <c r="K379" i="9"/>
  <c r="K382" i="9"/>
  <c r="Q152" i="9"/>
  <c r="K152" i="9" s="1"/>
  <c r="F5" i="9"/>
  <c r="AA71" i="9"/>
  <c r="AA69" i="9" s="1"/>
  <c r="AA68" i="9" s="1"/>
  <c r="AA66" i="9" s="1"/>
  <c r="AA65" i="9" s="1"/>
  <c r="AA64" i="9" s="1"/>
  <c r="AA63" i="9" s="1"/>
  <c r="AA62" i="9" s="1"/>
  <c r="AA61" i="9" s="1"/>
  <c r="AA60" i="9" s="1"/>
  <c r="AA59" i="9" s="1"/>
  <c r="AA58" i="9" s="1"/>
  <c r="AA57" i="9" s="1"/>
  <c r="AA55" i="9" s="1"/>
  <c r="AA54" i="9" s="1"/>
  <c r="AA53" i="9" s="1"/>
  <c r="AA52" i="9" s="1"/>
  <c r="AA51" i="9" s="1"/>
  <c r="AA50" i="9" s="1"/>
  <c r="AA49" i="9" s="1"/>
  <c r="AA48" i="9" s="1"/>
  <c r="AA47" i="9" s="1"/>
  <c r="AA46" i="9" s="1"/>
  <c r="AA45" i="9" s="1"/>
  <c r="AA44" i="9" s="1"/>
  <c r="AA43" i="9" s="1"/>
  <c r="AA70" i="9"/>
  <c r="Q198" i="9"/>
  <c r="Q157" i="9"/>
  <c r="K157" i="9" s="1"/>
  <c r="K1218" i="9"/>
  <c r="S438" i="9"/>
  <c r="S437" i="9" s="1"/>
  <c r="S436" i="9" s="1"/>
  <c r="S435" i="9" s="1"/>
  <c r="S434" i="9" s="1"/>
  <c r="S433" i="9" s="1"/>
  <c r="S432" i="9" s="1"/>
  <c r="S431" i="9" s="1"/>
  <c r="S430" i="9" s="1"/>
  <c r="S429" i="9" s="1"/>
  <c r="S428" i="9" s="1"/>
  <c r="S427" i="9" s="1"/>
  <c r="S426" i="9" s="1"/>
  <c r="S425" i="9" s="1"/>
  <c r="S424" i="9" s="1"/>
  <c r="S423" i="9" s="1"/>
  <c r="S422" i="9" s="1"/>
  <c r="S421" i="9" s="1"/>
  <c r="S420" i="9" s="1"/>
  <c r="S419" i="9" s="1"/>
  <c r="S418" i="9" s="1"/>
  <c r="S417" i="9" s="1"/>
  <c r="S416" i="9" s="1"/>
  <c r="S415" i="9" s="1"/>
  <c r="S414" i="9" s="1"/>
  <c r="S413" i="9" s="1"/>
  <c r="S412" i="9" s="1"/>
  <c r="S411" i="9" s="1"/>
  <c r="S410" i="9" s="1"/>
  <c r="S409" i="9" s="1"/>
  <c r="S408" i="9" s="1"/>
  <c r="S407" i="9" s="1"/>
  <c r="S406" i="9" s="1"/>
  <c r="S405" i="9" s="1"/>
  <c r="S404" i="9" s="1"/>
  <c r="S403" i="9" s="1"/>
  <c r="S402" i="9" s="1"/>
  <c r="S401" i="9" s="1"/>
  <c r="S400" i="9" s="1"/>
  <c r="S399" i="9" s="1"/>
  <c r="S398" i="9" s="1"/>
  <c r="S397" i="9" s="1"/>
  <c r="S396" i="9" s="1"/>
  <c r="S395" i="9" s="1"/>
  <c r="S394" i="9" s="1"/>
  <c r="S393" i="9" s="1"/>
  <c r="S392" i="9" s="1"/>
  <c r="S391" i="9" s="1"/>
  <c r="S390" i="9" s="1"/>
  <c r="S389" i="9" s="1"/>
  <c r="S388" i="9" s="1"/>
  <c r="S387" i="9" s="1"/>
  <c r="S386" i="9" s="1"/>
  <c r="S385" i="9" s="1"/>
  <c r="S384" i="9" s="1"/>
  <c r="S383" i="9" s="1"/>
  <c r="S382" i="9" s="1"/>
  <c r="S381" i="9" s="1"/>
  <c r="S380" i="9" s="1"/>
  <c r="S379" i="9" s="1"/>
  <c r="S378" i="9" s="1"/>
  <c r="S377" i="9" s="1"/>
  <c r="S376" i="9" s="1"/>
  <c r="S375" i="9" s="1"/>
  <c r="S374" i="9" s="1"/>
  <c r="S373" i="9" s="1"/>
  <c r="S372" i="9" s="1"/>
  <c r="S371" i="9" s="1"/>
  <c r="S370" i="9" s="1"/>
  <c r="S369" i="9" s="1"/>
  <c r="S368" i="9" s="1"/>
  <c r="S367" i="9" s="1"/>
  <c r="S366" i="9" s="1"/>
  <c r="S365" i="9" s="1"/>
  <c r="S364" i="9" s="1"/>
  <c r="S363" i="9" s="1"/>
  <c r="S362" i="9" s="1"/>
  <c r="S361" i="9" s="1"/>
  <c r="S360" i="9" s="1"/>
  <c r="S359" i="9" s="1"/>
  <c r="S358" i="9" s="1"/>
  <c r="S357" i="9" s="1"/>
  <c r="S356" i="9" s="1"/>
  <c r="S355" i="9" s="1"/>
  <c r="S354" i="9" s="1"/>
  <c r="S353" i="9" s="1"/>
  <c r="S352" i="9" s="1"/>
  <c r="S351" i="9" s="1"/>
  <c r="S350" i="9" s="1"/>
  <c r="S349" i="9" s="1"/>
  <c r="S348" i="9" s="1"/>
  <c r="S347" i="9" s="1"/>
  <c r="S346" i="9" s="1"/>
  <c r="S345" i="9" s="1"/>
  <c r="S344" i="9" s="1"/>
  <c r="S343" i="9" s="1"/>
  <c r="S342" i="9" s="1"/>
  <c r="S341" i="9" s="1"/>
  <c r="S340" i="9" s="1"/>
  <c r="S339" i="9" s="1"/>
  <c r="S338" i="9" s="1"/>
  <c r="S337" i="9" s="1"/>
  <c r="S336" i="9" s="1"/>
  <c r="S335" i="9" s="1"/>
  <c r="S334" i="9" s="1"/>
  <c r="S333" i="9" s="1"/>
  <c r="S332" i="9" s="1"/>
  <c r="S331" i="9" s="1"/>
  <c r="S330" i="9" s="1"/>
  <c r="S329" i="9" s="1"/>
  <c r="S328" i="9" s="1"/>
  <c r="S327" i="9" s="1"/>
  <c r="S326" i="9" s="1"/>
  <c r="S325" i="9" s="1"/>
  <c r="S324" i="9" s="1"/>
  <c r="S323" i="9" s="1"/>
  <c r="S322" i="9" s="1"/>
  <c r="S321" i="9" s="1"/>
  <c r="S320" i="9" s="1"/>
  <c r="S319" i="9" s="1"/>
  <c r="S318" i="9" s="1"/>
  <c r="S317" i="9" s="1"/>
  <c r="S316" i="9" s="1"/>
  <c r="S315" i="9" s="1"/>
  <c r="S314" i="9" s="1"/>
  <c r="S313" i="9" s="1"/>
  <c r="S312" i="9" s="1"/>
  <c r="S311" i="9" s="1"/>
  <c r="S310" i="9" s="1"/>
  <c r="S309" i="9" s="1"/>
  <c r="S308" i="9" s="1"/>
  <c r="S307" i="9" s="1"/>
  <c r="S306" i="9" s="1"/>
  <c r="S305" i="9" s="1"/>
  <c r="S304" i="9" s="1"/>
  <c r="S303" i="9" s="1"/>
  <c r="S302" i="9" s="1"/>
  <c r="S301" i="9" s="1"/>
  <c r="S300" i="9" s="1"/>
  <c r="S299" i="9" s="1"/>
  <c r="S298" i="9" s="1"/>
  <c r="S297" i="9" s="1"/>
  <c r="S296" i="9" s="1"/>
  <c r="S295" i="9" s="1"/>
  <c r="S294" i="9" s="1"/>
  <c r="S293" i="9" s="1"/>
  <c r="S292" i="9" s="1"/>
  <c r="S291" i="9" s="1"/>
  <c r="S290" i="9" s="1"/>
  <c r="S289" i="9" s="1"/>
  <c r="S288" i="9" s="1"/>
  <c r="S287" i="9" s="1"/>
  <c r="S286" i="9" s="1"/>
  <c r="S285" i="9" s="1"/>
  <c r="S284" i="9" s="1"/>
  <c r="S283" i="9" s="1"/>
  <c r="S282" i="9" s="1"/>
  <c r="S281" i="9" s="1"/>
  <c r="S280" i="9" s="1"/>
  <c r="S279" i="9" s="1"/>
  <c r="S278" i="9" s="1"/>
  <c r="S277" i="9" s="1"/>
  <c r="S276" i="9" s="1"/>
  <c r="S275" i="9" s="1"/>
  <c r="S274" i="9" s="1"/>
  <c r="S273" i="9" s="1"/>
  <c r="S272" i="9" s="1"/>
  <c r="S271" i="9" s="1"/>
  <c r="S270" i="9" s="1"/>
  <c r="S269" i="9" s="1"/>
  <c r="S268" i="9" s="1"/>
  <c r="S267" i="9" s="1"/>
  <c r="S266" i="9" s="1"/>
  <c r="S265" i="9" s="1"/>
  <c r="S264" i="9" s="1"/>
  <c r="S263" i="9" s="1"/>
  <c r="S262" i="9" s="1"/>
  <c r="S261" i="9" s="1"/>
  <c r="S260" i="9" s="1"/>
  <c r="S259" i="9" s="1"/>
  <c r="S258" i="9" s="1"/>
  <c r="S257" i="9" s="1"/>
  <c r="S256" i="9" s="1"/>
  <c r="S255" i="9" s="1"/>
  <c r="S254" i="9" s="1"/>
  <c r="S253" i="9" s="1"/>
  <c r="S252" i="9" s="1"/>
  <c r="S251" i="9" s="1"/>
  <c r="S250" i="9" s="1"/>
  <c r="S249" i="9" s="1"/>
  <c r="S248" i="9" s="1"/>
  <c r="S247" i="9" s="1"/>
  <c r="S246" i="9" s="1"/>
  <c r="S245" i="9" s="1"/>
  <c r="S244" i="9" s="1"/>
  <c r="S243" i="9" s="1"/>
  <c r="S242" i="9" s="1"/>
  <c r="S241" i="9" s="1"/>
  <c r="S240" i="9" s="1"/>
  <c r="S239" i="9" s="1"/>
  <c r="S238" i="9" s="1"/>
  <c r="S237" i="9" s="1"/>
  <c r="S236" i="9" s="1"/>
  <c r="S235" i="9" s="1"/>
  <c r="S234" i="9" s="1"/>
  <c r="S233" i="9" s="1"/>
  <c r="S232" i="9" s="1"/>
  <c r="S231" i="9" s="1"/>
  <c r="S230" i="9" s="1"/>
  <c r="S229" i="9" s="1"/>
  <c r="S228" i="9" s="1"/>
  <c r="S227" i="9" s="1"/>
  <c r="S226" i="9" s="1"/>
  <c r="S225" i="9" s="1"/>
  <c r="S224" i="9" s="1"/>
  <c r="S223" i="9" s="1"/>
  <c r="S222" i="9" s="1"/>
  <c r="S221" i="9" s="1"/>
  <c r="S220" i="9" s="1"/>
  <c r="S219" i="9" s="1"/>
  <c r="S218" i="9" s="1"/>
  <c r="S217" i="9" s="1"/>
  <c r="S216" i="9" s="1"/>
  <c r="S215" i="9" s="1"/>
  <c r="S214" i="9" s="1"/>
  <c r="S213" i="9" s="1"/>
  <c r="S212" i="9" s="1"/>
  <c r="S211" i="9" s="1"/>
  <c r="S210" i="9" s="1"/>
  <c r="S209" i="9" s="1"/>
  <c r="S208" i="9" s="1"/>
  <c r="S207" i="9" s="1"/>
  <c r="S205" i="9" s="1"/>
  <c r="S204" i="9" s="1"/>
  <c r="S203" i="9" s="1"/>
  <c r="Q27" i="9"/>
  <c r="K27" i="9" s="1"/>
  <c r="K505" i="9"/>
  <c r="Q7" i="9"/>
  <c r="K8" i="9" s="1"/>
  <c r="K1199" i="9"/>
  <c r="Q43" i="9"/>
  <c r="K44" i="9" s="1"/>
  <c r="Q180" i="9"/>
  <c r="K180" i="9" s="1"/>
  <c r="Q62" i="9"/>
  <c r="K63" i="9" s="1"/>
  <c r="K1165" i="9"/>
  <c r="Q131" i="9"/>
  <c r="K137" i="9" s="1"/>
  <c r="Y438" i="9"/>
  <c r="Y437" i="9" s="1"/>
  <c r="Y436" i="9" s="1"/>
  <c r="Y435" i="9" s="1"/>
  <c r="Y434" i="9" s="1"/>
  <c r="Y433" i="9" s="1"/>
  <c r="Y432" i="9" s="1"/>
  <c r="Y431" i="9" s="1"/>
  <c r="Y430" i="9" s="1"/>
  <c r="Y429" i="9" s="1"/>
  <c r="Y428" i="9" s="1"/>
  <c r="Y427" i="9" s="1"/>
  <c r="Y426" i="9" s="1"/>
  <c r="Y425" i="9" s="1"/>
  <c r="Y424" i="9" s="1"/>
  <c r="Y423" i="9" s="1"/>
  <c r="Y422" i="9" s="1"/>
  <c r="Y421" i="9" s="1"/>
  <c r="Y420" i="9" s="1"/>
  <c r="Y419" i="9" s="1"/>
  <c r="Y418" i="9" s="1"/>
  <c r="Y417" i="9" s="1"/>
  <c r="Y416" i="9" s="1"/>
  <c r="Y415" i="9" s="1"/>
  <c r="Y414" i="9" s="1"/>
  <c r="Y413" i="9" s="1"/>
  <c r="Y412" i="9" s="1"/>
  <c r="Y411" i="9" s="1"/>
  <c r="Y410" i="9" s="1"/>
  <c r="Y409" i="9" s="1"/>
  <c r="Y408" i="9" s="1"/>
  <c r="Y407" i="9" s="1"/>
  <c r="Y406" i="9" s="1"/>
  <c r="Y405" i="9" s="1"/>
  <c r="Y404" i="9" s="1"/>
  <c r="Y403" i="9" s="1"/>
  <c r="Y402" i="9" s="1"/>
  <c r="Y401" i="9" s="1"/>
  <c r="Y400" i="9" s="1"/>
  <c r="Y399" i="9" s="1"/>
  <c r="Y398" i="9" s="1"/>
  <c r="Y397" i="9" s="1"/>
  <c r="Y396" i="9" s="1"/>
  <c r="Y395" i="9" s="1"/>
  <c r="Y394" i="9" s="1"/>
  <c r="Y393" i="9" s="1"/>
  <c r="Y392" i="9" s="1"/>
  <c r="Y391" i="9" s="1"/>
  <c r="Y390" i="9" s="1"/>
  <c r="Y389" i="9" s="1"/>
  <c r="Y388" i="9" s="1"/>
  <c r="Y387" i="9" s="1"/>
  <c r="Y386" i="9" s="1"/>
  <c r="Y385" i="9" s="1"/>
  <c r="Y384" i="9" s="1"/>
  <c r="Y383" i="9" s="1"/>
  <c r="Y382" i="9" s="1"/>
  <c r="Y381" i="9" s="1"/>
  <c r="Y380" i="9" s="1"/>
  <c r="Y379" i="9" s="1"/>
  <c r="Y378" i="9" s="1"/>
  <c r="Y377" i="9" s="1"/>
  <c r="Y376" i="9" s="1"/>
  <c r="Y375" i="9" s="1"/>
  <c r="Y374" i="9" s="1"/>
  <c r="Y373" i="9" s="1"/>
  <c r="Y372" i="9" s="1"/>
  <c r="Y371" i="9" s="1"/>
  <c r="Y370" i="9" s="1"/>
  <c r="Y369" i="9" s="1"/>
  <c r="Y368" i="9" s="1"/>
  <c r="Y367" i="9" s="1"/>
  <c r="Y366" i="9" s="1"/>
  <c r="Y365" i="9" s="1"/>
  <c r="Y364" i="9" s="1"/>
  <c r="Y363" i="9" s="1"/>
  <c r="Y362" i="9" s="1"/>
  <c r="Y361" i="9" s="1"/>
  <c r="Y360" i="9" s="1"/>
  <c r="Y359" i="9" s="1"/>
  <c r="Y358" i="9" s="1"/>
  <c r="Y357" i="9" s="1"/>
  <c r="Y356" i="9" s="1"/>
  <c r="Y355" i="9" s="1"/>
  <c r="Y354" i="9" s="1"/>
  <c r="Y353" i="9" s="1"/>
  <c r="Y352" i="9" s="1"/>
  <c r="Y351" i="9" s="1"/>
  <c r="Y350" i="9" s="1"/>
  <c r="Y349" i="9" s="1"/>
  <c r="Y348" i="9" s="1"/>
  <c r="Y347" i="9" s="1"/>
  <c r="Y346" i="9" s="1"/>
  <c r="Y345" i="9" s="1"/>
  <c r="Y344" i="9" s="1"/>
  <c r="Y343" i="9" s="1"/>
  <c r="Y342" i="9" s="1"/>
  <c r="Y341" i="9" s="1"/>
  <c r="Y340" i="9" s="1"/>
  <c r="Y339" i="9" s="1"/>
  <c r="Y338" i="9" s="1"/>
  <c r="Y337" i="9" s="1"/>
  <c r="Y336" i="9" s="1"/>
  <c r="Y335" i="9" s="1"/>
  <c r="Y334" i="9" s="1"/>
  <c r="Y333" i="9" s="1"/>
  <c r="Y332" i="9" s="1"/>
  <c r="Y331" i="9" s="1"/>
  <c r="Y330" i="9" s="1"/>
  <c r="Y329" i="9" s="1"/>
  <c r="Y328" i="9" s="1"/>
  <c r="Y327" i="9" s="1"/>
  <c r="Y326" i="9" s="1"/>
  <c r="Y325" i="9" s="1"/>
  <c r="Y324" i="9" s="1"/>
  <c r="Y323" i="9" s="1"/>
  <c r="Y322" i="9" s="1"/>
  <c r="Y321" i="9" s="1"/>
  <c r="Y320" i="9" s="1"/>
  <c r="Y319" i="9" s="1"/>
  <c r="Y318" i="9" s="1"/>
  <c r="Y317" i="9" s="1"/>
  <c r="Y316" i="9" s="1"/>
  <c r="Y315" i="9" s="1"/>
  <c r="Y314" i="9" s="1"/>
  <c r="Y313" i="9" s="1"/>
  <c r="Y312" i="9" s="1"/>
  <c r="Y311" i="9" s="1"/>
  <c r="Y310" i="9" s="1"/>
  <c r="Y309" i="9" s="1"/>
  <c r="Y308" i="9" s="1"/>
  <c r="Y307" i="9" s="1"/>
  <c r="Y306" i="9" s="1"/>
  <c r="Y305" i="9" s="1"/>
  <c r="Y304" i="9" s="1"/>
  <c r="Y303" i="9" s="1"/>
  <c r="Y302" i="9" s="1"/>
  <c r="Y301" i="9" s="1"/>
  <c r="Y300" i="9" s="1"/>
  <c r="Y299" i="9" s="1"/>
  <c r="Y298" i="9" s="1"/>
  <c r="Y297" i="9" s="1"/>
  <c r="Y296" i="9" s="1"/>
  <c r="Y295" i="9" s="1"/>
  <c r="Y294" i="9" s="1"/>
  <c r="Y293" i="9" s="1"/>
  <c r="Y292" i="9" s="1"/>
  <c r="Y291" i="9" s="1"/>
  <c r="Y290" i="9" s="1"/>
  <c r="Y289" i="9" s="1"/>
  <c r="Y288" i="9" s="1"/>
  <c r="Y287" i="9" s="1"/>
  <c r="Y286" i="9" s="1"/>
  <c r="Y285" i="9" s="1"/>
  <c r="Y284" i="9" s="1"/>
  <c r="Y283" i="9" s="1"/>
  <c r="Y282" i="9" s="1"/>
  <c r="Y281" i="9" s="1"/>
  <c r="Y280" i="9" s="1"/>
  <c r="Y279" i="9" s="1"/>
  <c r="Y278" i="9" s="1"/>
  <c r="Y277" i="9" s="1"/>
  <c r="Y276" i="9" s="1"/>
  <c r="Y275" i="9" s="1"/>
  <c r="Y274" i="9" s="1"/>
  <c r="Y273" i="9" s="1"/>
  <c r="Y272" i="9" s="1"/>
  <c r="Y271" i="9" s="1"/>
  <c r="Y270" i="9" s="1"/>
  <c r="Y269" i="9" s="1"/>
  <c r="Y268" i="9" s="1"/>
  <c r="Y267" i="9" s="1"/>
  <c r="Y266" i="9" s="1"/>
  <c r="Y265" i="9" s="1"/>
  <c r="Y264" i="9" s="1"/>
  <c r="Y263" i="9" s="1"/>
  <c r="Y262" i="9" s="1"/>
  <c r="Y261" i="9" s="1"/>
  <c r="Y260" i="9" s="1"/>
  <c r="Y259" i="9" s="1"/>
  <c r="Y258" i="9" s="1"/>
  <c r="Y257" i="9" s="1"/>
  <c r="Y256" i="9" s="1"/>
  <c r="Y255" i="9" s="1"/>
  <c r="Y254" i="9" s="1"/>
  <c r="Y253" i="9" s="1"/>
  <c r="Y252" i="9" s="1"/>
  <c r="Y251" i="9" s="1"/>
  <c r="Y250" i="9" s="1"/>
  <c r="Y249" i="9" s="1"/>
  <c r="Y248" i="9" s="1"/>
  <c r="Y247" i="9" s="1"/>
  <c r="Y246" i="9" s="1"/>
  <c r="Y245" i="9" s="1"/>
  <c r="Y244" i="9" s="1"/>
  <c r="Y243" i="9" s="1"/>
  <c r="Y242" i="9" s="1"/>
  <c r="Y241" i="9" s="1"/>
  <c r="Y240" i="9" s="1"/>
  <c r="Y239" i="9" s="1"/>
  <c r="Y238" i="9" s="1"/>
  <c r="Y237" i="9" s="1"/>
  <c r="Y236" i="9" s="1"/>
  <c r="Y235" i="9" s="1"/>
  <c r="Y234" i="9" s="1"/>
  <c r="Y233" i="9" s="1"/>
  <c r="Y232" i="9" s="1"/>
  <c r="Y231" i="9" s="1"/>
  <c r="Y230" i="9" s="1"/>
  <c r="Y229" i="9" s="1"/>
  <c r="Y228" i="9" s="1"/>
  <c r="Y227" i="9" s="1"/>
  <c r="Y226" i="9" s="1"/>
  <c r="Y225" i="9" s="1"/>
  <c r="Y224" i="9" s="1"/>
  <c r="Y223" i="9" s="1"/>
  <c r="Y222" i="9" s="1"/>
  <c r="Y221" i="9" s="1"/>
  <c r="Y220" i="9" s="1"/>
  <c r="Y219" i="9" s="1"/>
  <c r="Y218" i="9" s="1"/>
  <c r="Y217" i="9" s="1"/>
  <c r="Y216" i="9" s="1"/>
  <c r="Y215" i="9" s="1"/>
  <c r="Y214" i="9" s="1"/>
  <c r="Y213" i="9" s="1"/>
  <c r="Y212" i="9" s="1"/>
  <c r="Y211" i="9" s="1"/>
  <c r="Y210" i="9" s="1"/>
  <c r="Y209" i="9" s="1"/>
  <c r="Y208" i="9" s="1"/>
  <c r="Y207" i="9" s="1"/>
  <c r="Y205" i="9" s="1"/>
  <c r="Y204" i="9" s="1"/>
  <c r="Y203" i="9" s="1"/>
  <c r="X438" i="9"/>
  <c r="X437" i="9" s="1"/>
  <c r="X436" i="9" s="1"/>
  <c r="X435" i="9" s="1"/>
  <c r="X434" i="9" s="1"/>
  <c r="X433" i="9" s="1"/>
  <c r="X432" i="9" s="1"/>
  <c r="X431" i="9" s="1"/>
  <c r="X430" i="9" s="1"/>
  <c r="X429" i="9" s="1"/>
  <c r="X428" i="9" s="1"/>
  <c r="X427" i="9" s="1"/>
  <c r="X426" i="9" s="1"/>
  <c r="X425" i="9" s="1"/>
  <c r="X424" i="9" s="1"/>
  <c r="X423" i="9" s="1"/>
  <c r="X422" i="9" s="1"/>
  <c r="X421" i="9" s="1"/>
  <c r="X420" i="9" s="1"/>
  <c r="X419" i="9" s="1"/>
  <c r="X418" i="9" s="1"/>
  <c r="X417" i="9" s="1"/>
  <c r="X416" i="9" s="1"/>
  <c r="X415" i="9" s="1"/>
  <c r="X414" i="9" s="1"/>
  <c r="X413" i="9" s="1"/>
  <c r="X412" i="9" s="1"/>
  <c r="X411" i="9" s="1"/>
  <c r="X410" i="9" s="1"/>
  <c r="X409" i="9" s="1"/>
  <c r="X408" i="9" s="1"/>
  <c r="X407" i="9" s="1"/>
  <c r="X406" i="9" s="1"/>
  <c r="X405" i="9" s="1"/>
  <c r="X404" i="9" s="1"/>
  <c r="X403" i="9" s="1"/>
  <c r="X402" i="9" s="1"/>
  <c r="X401" i="9" s="1"/>
  <c r="X400" i="9" s="1"/>
  <c r="X399" i="9" s="1"/>
  <c r="X398" i="9" s="1"/>
  <c r="X397" i="9" s="1"/>
  <c r="X396" i="9" s="1"/>
  <c r="X395" i="9" s="1"/>
  <c r="X394" i="9" s="1"/>
  <c r="X393" i="9" s="1"/>
  <c r="X392" i="9" s="1"/>
  <c r="X391" i="9" s="1"/>
  <c r="X390" i="9" s="1"/>
  <c r="X389" i="9" s="1"/>
  <c r="X388" i="9" s="1"/>
  <c r="X387" i="9" s="1"/>
  <c r="X386" i="9" s="1"/>
  <c r="X385" i="9" s="1"/>
  <c r="X384" i="9" s="1"/>
  <c r="X383" i="9" s="1"/>
  <c r="X382" i="9" s="1"/>
  <c r="X381" i="9" s="1"/>
  <c r="X380" i="9" s="1"/>
  <c r="X379" i="9" s="1"/>
  <c r="X378" i="9" s="1"/>
  <c r="X377" i="9" s="1"/>
  <c r="X376" i="9" s="1"/>
  <c r="X375" i="9" s="1"/>
  <c r="X374" i="9" s="1"/>
  <c r="X373" i="9" s="1"/>
  <c r="X372" i="9" s="1"/>
  <c r="X371" i="9" s="1"/>
  <c r="X370" i="9" s="1"/>
  <c r="X369" i="9" s="1"/>
  <c r="X368" i="9" s="1"/>
  <c r="X367" i="9" s="1"/>
  <c r="X366" i="9" s="1"/>
  <c r="X365" i="9" s="1"/>
  <c r="X364" i="9" s="1"/>
  <c r="X363" i="9" s="1"/>
  <c r="X362" i="9" s="1"/>
  <c r="X361" i="9" s="1"/>
  <c r="X360" i="9" s="1"/>
  <c r="X359" i="9" s="1"/>
  <c r="X358" i="9" s="1"/>
  <c r="X357" i="9" s="1"/>
  <c r="X356" i="9" s="1"/>
  <c r="X355" i="9" s="1"/>
  <c r="X354" i="9" s="1"/>
  <c r="X353" i="9" s="1"/>
  <c r="X352" i="9" s="1"/>
  <c r="X351" i="9" s="1"/>
  <c r="X350" i="9" s="1"/>
  <c r="X349" i="9" s="1"/>
  <c r="X348" i="9" s="1"/>
  <c r="X347" i="9" s="1"/>
  <c r="X346" i="9" s="1"/>
  <c r="X345" i="9" s="1"/>
  <c r="X344" i="9" s="1"/>
  <c r="X343" i="9" s="1"/>
  <c r="X342" i="9" s="1"/>
  <c r="X341" i="9" s="1"/>
  <c r="X340" i="9" s="1"/>
  <c r="X339" i="9" s="1"/>
  <c r="X338" i="9" s="1"/>
  <c r="X337" i="9" s="1"/>
  <c r="X336" i="9" s="1"/>
  <c r="X335" i="9" s="1"/>
  <c r="X334" i="9" s="1"/>
  <c r="X333" i="9" s="1"/>
  <c r="X332" i="9" s="1"/>
  <c r="X331" i="9" s="1"/>
  <c r="X330" i="9" s="1"/>
  <c r="X329" i="9" s="1"/>
  <c r="X328" i="9" s="1"/>
  <c r="X327" i="9" s="1"/>
  <c r="X326" i="9" s="1"/>
  <c r="X325" i="9" s="1"/>
  <c r="X324" i="9" s="1"/>
  <c r="X323" i="9" s="1"/>
  <c r="X322" i="9" s="1"/>
  <c r="X321" i="9" s="1"/>
  <c r="X320" i="9" s="1"/>
  <c r="X319" i="9" s="1"/>
  <c r="X318" i="9" s="1"/>
  <c r="X317" i="9" s="1"/>
  <c r="X316" i="9" s="1"/>
  <c r="X315" i="9" s="1"/>
  <c r="X314" i="9" s="1"/>
  <c r="X313" i="9" s="1"/>
  <c r="X312" i="9" s="1"/>
  <c r="X311" i="9" s="1"/>
  <c r="X310" i="9" s="1"/>
  <c r="X309" i="9" s="1"/>
  <c r="X308" i="9" s="1"/>
  <c r="X307" i="9" s="1"/>
  <c r="X306" i="9" s="1"/>
  <c r="X305" i="9" s="1"/>
  <c r="X304" i="9" s="1"/>
  <c r="X303" i="9" s="1"/>
  <c r="X302" i="9" s="1"/>
  <c r="X301" i="9" s="1"/>
  <c r="X300" i="9" s="1"/>
  <c r="X299" i="9" s="1"/>
  <c r="X298" i="9" s="1"/>
  <c r="X297" i="9" s="1"/>
  <c r="X296" i="9" s="1"/>
  <c r="X295" i="9" s="1"/>
  <c r="X294" i="9" s="1"/>
  <c r="X293" i="9" s="1"/>
  <c r="X292" i="9" s="1"/>
  <c r="X291" i="9" s="1"/>
  <c r="X290" i="9" s="1"/>
  <c r="X289" i="9" s="1"/>
  <c r="X288" i="9" s="1"/>
  <c r="X287" i="9" s="1"/>
  <c r="X286" i="9" s="1"/>
  <c r="X285" i="9" s="1"/>
  <c r="X284" i="9" s="1"/>
  <c r="X283" i="9" s="1"/>
  <c r="X282" i="9" s="1"/>
  <c r="X281" i="9" s="1"/>
  <c r="X280" i="9" s="1"/>
  <c r="X279" i="9" s="1"/>
  <c r="X278" i="9" s="1"/>
  <c r="X277" i="9" s="1"/>
  <c r="X276" i="9" s="1"/>
  <c r="X275" i="9" s="1"/>
  <c r="X274" i="9" s="1"/>
  <c r="X273" i="9" s="1"/>
  <c r="X272" i="9" s="1"/>
  <c r="X271" i="9" s="1"/>
  <c r="X270" i="9" s="1"/>
  <c r="X269" i="9" s="1"/>
  <c r="X268" i="9" s="1"/>
  <c r="X267" i="9" s="1"/>
  <c r="X266" i="9" s="1"/>
  <c r="X265" i="9" s="1"/>
  <c r="X264" i="9" s="1"/>
  <c r="X263" i="9" s="1"/>
  <c r="X262" i="9" s="1"/>
  <c r="X261" i="9" s="1"/>
  <c r="X260" i="9" s="1"/>
  <c r="X259" i="9" s="1"/>
  <c r="X258" i="9" s="1"/>
  <c r="X257" i="9" s="1"/>
  <c r="X256" i="9" s="1"/>
  <c r="X255" i="9" s="1"/>
  <c r="X254" i="9" s="1"/>
  <c r="X253" i="9" s="1"/>
  <c r="X252" i="9" s="1"/>
  <c r="X251" i="9" s="1"/>
  <c r="X250" i="9" s="1"/>
  <c r="X249" i="9" s="1"/>
  <c r="X248" i="9" s="1"/>
  <c r="X247" i="9" s="1"/>
  <c r="X246" i="9" s="1"/>
  <c r="X245" i="9" s="1"/>
  <c r="X244" i="9" s="1"/>
  <c r="X243" i="9" s="1"/>
  <c r="X242" i="9" s="1"/>
  <c r="X241" i="9" s="1"/>
  <c r="X240" i="9" s="1"/>
  <c r="X239" i="9" s="1"/>
  <c r="X238" i="9" s="1"/>
  <c r="X237" i="9" s="1"/>
  <c r="X236" i="9" s="1"/>
  <c r="X235" i="9" s="1"/>
  <c r="X234" i="9" s="1"/>
  <c r="X233" i="9" s="1"/>
  <c r="X232" i="9" s="1"/>
  <c r="X231" i="9" s="1"/>
  <c r="X230" i="9" s="1"/>
  <c r="X229" i="9" s="1"/>
  <c r="X228" i="9" s="1"/>
  <c r="X227" i="9" s="1"/>
  <c r="X226" i="9" s="1"/>
  <c r="X225" i="9" s="1"/>
  <c r="X224" i="9" s="1"/>
  <c r="X223" i="9" s="1"/>
  <c r="X222" i="9" s="1"/>
  <c r="X221" i="9" s="1"/>
  <c r="X220" i="9" s="1"/>
  <c r="X219" i="9" s="1"/>
  <c r="X218" i="9" s="1"/>
  <c r="X217" i="9" s="1"/>
  <c r="X216" i="9" s="1"/>
  <c r="X215" i="9" s="1"/>
  <c r="X214" i="9" s="1"/>
  <c r="X213" i="9" s="1"/>
  <c r="X212" i="9" s="1"/>
  <c r="X211" i="9" s="1"/>
  <c r="X210" i="9" s="1"/>
  <c r="X209" i="9" s="1"/>
  <c r="X208" i="9" s="1"/>
  <c r="X207" i="9" s="1"/>
  <c r="X205" i="9" s="1"/>
  <c r="X204" i="9" s="1"/>
  <c r="X203" i="9" s="1"/>
  <c r="K1191" i="9"/>
  <c r="K1083" i="9"/>
  <c r="K430" i="9"/>
  <c r="K1065" i="9"/>
  <c r="Q162" i="9"/>
  <c r="K857" i="9"/>
  <c r="K956" i="9"/>
  <c r="K601" i="9"/>
  <c r="K1208" i="9"/>
  <c r="GC58" i="14"/>
  <c r="GD58" i="14" s="1"/>
  <c r="GK58" i="14" s="1"/>
  <c r="Q73" i="9"/>
  <c r="V438" i="9"/>
  <c r="V437" i="9" s="1"/>
  <c r="V436" i="9" s="1"/>
  <c r="V435" i="9" s="1"/>
  <c r="V434" i="9" s="1"/>
  <c r="V433" i="9" s="1"/>
  <c r="V432" i="9" s="1"/>
  <c r="V431" i="9" s="1"/>
  <c r="V430" i="9" s="1"/>
  <c r="V429" i="9" s="1"/>
  <c r="V428" i="9" s="1"/>
  <c r="V427" i="9" s="1"/>
  <c r="V426" i="9" s="1"/>
  <c r="V425" i="9" s="1"/>
  <c r="V424" i="9" s="1"/>
  <c r="V423" i="9" s="1"/>
  <c r="V422" i="9" s="1"/>
  <c r="V421" i="9" s="1"/>
  <c r="V420" i="9" s="1"/>
  <c r="V419" i="9" s="1"/>
  <c r="V418" i="9" s="1"/>
  <c r="V417" i="9" s="1"/>
  <c r="V416" i="9" s="1"/>
  <c r="V415" i="9" s="1"/>
  <c r="V414" i="9" s="1"/>
  <c r="V413" i="9" s="1"/>
  <c r="V412" i="9" s="1"/>
  <c r="V411" i="9" s="1"/>
  <c r="V410" i="9" s="1"/>
  <c r="V409" i="9" s="1"/>
  <c r="V408" i="9" s="1"/>
  <c r="V407" i="9" s="1"/>
  <c r="V406" i="9" s="1"/>
  <c r="V405" i="9" s="1"/>
  <c r="V404" i="9" s="1"/>
  <c r="V403" i="9" s="1"/>
  <c r="V402" i="9" s="1"/>
  <c r="V401" i="9" s="1"/>
  <c r="V400" i="9" s="1"/>
  <c r="V399" i="9" s="1"/>
  <c r="V398" i="9" s="1"/>
  <c r="V397" i="9" s="1"/>
  <c r="V396" i="9" s="1"/>
  <c r="V395" i="9" s="1"/>
  <c r="V394" i="9" s="1"/>
  <c r="V393" i="9" s="1"/>
  <c r="V392" i="9" s="1"/>
  <c r="V391" i="9" s="1"/>
  <c r="V390" i="9" s="1"/>
  <c r="V389" i="9" s="1"/>
  <c r="V388" i="9" s="1"/>
  <c r="V387" i="9" s="1"/>
  <c r="V386" i="9" s="1"/>
  <c r="V385" i="9" s="1"/>
  <c r="V384" i="9" s="1"/>
  <c r="V383" i="9" s="1"/>
  <c r="V382" i="9" s="1"/>
  <c r="V381" i="9" s="1"/>
  <c r="V380" i="9" s="1"/>
  <c r="V379" i="9" s="1"/>
  <c r="V378" i="9" s="1"/>
  <c r="V377" i="9" s="1"/>
  <c r="V376" i="9" s="1"/>
  <c r="V375" i="9" s="1"/>
  <c r="V374" i="9" s="1"/>
  <c r="V373" i="9" s="1"/>
  <c r="V372" i="9" s="1"/>
  <c r="V371" i="9" s="1"/>
  <c r="V370" i="9" s="1"/>
  <c r="V369" i="9" s="1"/>
  <c r="V368" i="9" s="1"/>
  <c r="V367" i="9" s="1"/>
  <c r="V366" i="9" s="1"/>
  <c r="V365" i="9" s="1"/>
  <c r="V364" i="9" s="1"/>
  <c r="V363" i="9" s="1"/>
  <c r="V362" i="9" s="1"/>
  <c r="V361" i="9" s="1"/>
  <c r="V360" i="9" s="1"/>
  <c r="V359" i="9" s="1"/>
  <c r="V358" i="9" s="1"/>
  <c r="V357" i="9" s="1"/>
  <c r="V356" i="9" s="1"/>
  <c r="V355" i="9" s="1"/>
  <c r="V354" i="9" s="1"/>
  <c r="V353" i="9" s="1"/>
  <c r="V352" i="9" s="1"/>
  <c r="V351" i="9" s="1"/>
  <c r="V350" i="9" s="1"/>
  <c r="V349" i="9" s="1"/>
  <c r="V348" i="9" s="1"/>
  <c r="V347" i="9" s="1"/>
  <c r="V346" i="9" s="1"/>
  <c r="V345" i="9" s="1"/>
  <c r="V344" i="9" s="1"/>
  <c r="V343" i="9" s="1"/>
  <c r="V342" i="9" s="1"/>
  <c r="V341" i="9" s="1"/>
  <c r="V340" i="9" s="1"/>
  <c r="V339" i="9" s="1"/>
  <c r="V338" i="9" s="1"/>
  <c r="V337" i="9" s="1"/>
  <c r="V336" i="9" s="1"/>
  <c r="V335" i="9" s="1"/>
  <c r="V334" i="9" s="1"/>
  <c r="V333" i="9" s="1"/>
  <c r="V332" i="9" s="1"/>
  <c r="V331" i="9" s="1"/>
  <c r="V330" i="9" s="1"/>
  <c r="V329" i="9" s="1"/>
  <c r="V328" i="9" s="1"/>
  <c r="V327" i="9" s="1"/>
  <c r="V326" i="9" s="1"/>
  <c r="V325" i="9" s="1"/>
  <c r="V324" i="9" s="1"/>
  <c r="V323" i="9" s="1"/>
  <c r="V322" i="9" s="1"/>
  <c r="V321" i="9" s="1"/>
  <c r="V320" i="9" s="1"/>
  <c r="V319" i="9" s="1"/>
  <c r="V318" i="9" s="1"/>
  <c r="V317" i="9" s="1"/>
  <c r="V316" i="9" s="1"/>
  <c r="V315" i="9" s="1"/>
  <c r="V314" i="9" s="1"/>
  <c r="V313" i="9" s="1"/>
  <c r="V312" i="9" s="1"/>
  <c r="V311" i="9" s="1"/>
  <c r="V310" i="9" s="1"/>
  <c r="V309" i="9" s="1"/>
  <c r="V308" i="9" s="1"/>
  <c r="V307" i="9" s="1"/>
  <c r="V306" i="9" s="1"/>
  <c r="V305" i="9" s="1"/>
  <c r="V304" i="9" s="1"/>
  <c r="V303" i="9" s="1"/>
  <c r="V302" i="9" s="1"/>
  <c r="V301" i="9" s="1"/>
  <c r="V300" i="9" s="1"/>
  <c r="V299" i="9" s="1"/>
  <c r="V298" i="9" s="1"/>
  <c r="V297" i="9" s="1"/>
  <c r="V296" i="9" s="1"/>
  <c r="V295" i="9" s="1"/>
  <c r="V294" i="9" s="1"/>
  <c r="V293" i="9" s="1"/>
  <c r="V292" i="9" s="1"/>
  <c r="V291" i="9" s="1"/>
  <c r="V290" i="9" s="1"/>
  <c r="V289" i="9" s="1"/>
  <c r="V288" i="9" s="1"/>
  <c r="V287" i="9" s="1"/>
  <c r="V286" i="9" s="1"/>
  <c r="V285" i="9" s="1"/>
  <c r="V284" i="9" s="1"/>
  <c r="V283" i="9" s="1"/>
  <c r="V282" i="9" s="1"/>
  <c r="V281" i="9" s="1"/>
  <c r="V280" i="9" s="1"/>
  <c r="V279" i="9" s="1"/>
  <c r="V278" i="9" s="1"/>
  <c r="V277" i="9" s="1"/>
  <c r="V276" i="9" s="1"/>
  <c r="V275" i="9" s="1"/>
  <c r="V274" i="9" s="1"/>
  <c r="V273" i="9" s="1"/>
  <c r="V272" i="9" s="1"/>
  <c r="V271" i="9" s="1"/>
  <c r="V270" i="9" s="1"/>
  <c r="V269" i="9" s="1"/>
  <c r="V268" i="9" s="1"/>
  <c r="V267" i="9" s="1"/>
  <c r="V266" i="9" s="1"/>
  <c r="V265" i="9" s="1"/>
  <c r="V264" i="9" s="1"/>
  <c r="V263" i="9" s="1"/>
  <c r="V262" i="9" s="1"/>
  <c r="V261" i="9" s="1"/>
  <c r="V260" i="9" s="1"/>
  <c r="V259" i="9" s="1"/>
  <c r="V258" i="9" s="1"/>
  <c r="V257" i="9" s="1"/>
  <c r="V256" i="9" s="1"/>
  <c r="V255" i="9" s="1"/>
  <c r="V254" i="9" s="1"/>
  <c r="V253" i="9" s="1"/>
  <c r="V252" i="9" s="1"/>
  <c r="V251" i="9" s="1"/>
  <c r="V250" i="9" s="1"/>
  <c r="V249" i="9" s="1"/>
  <c r="V248" i="9" s="1"/>
  <c r="V247" i="9" s="1"/>
  <c r="V246" i="9" s="1"/>
  <c r="V245" i="9" s="1"/>
  <c r="V244" i="9" s="1"/>
  <c r="V243" i="9" s="1"/>
  <c r="V242" i="9" s="1"/>
  <c r="V241" i="9" s="1"/>
  <c r="V240" i="9" s="1"/>
  <c r="V239" i="9" s="1"/>
  <c r="V238" i="9" s="1"/>
  <c r="V237" i="9" s="1"/>
  <c r="V236" i="9" s="1"/>
  <c r="V235" i="9" s="1"/>
  <c r="V234" i="9" s="1"/>
  <c r="V233" i="9" s="1"/>
  <c r="V232" i="9" s="1"/>
  <c r="V231" i="9" s="1"/>
  <c r="V230" i="9" s="1"/>
  <c r="V229" i="9" s="1"/>
  <c r="V228" i="9" s="1"/>
  <c r="V227" i="9" s="1"/>
  <c r="V226" i="9" s="1"/>
  <c r="V225" i="9" s="1"/>
  <c r="V224" i="9" s="1"/>
  <c r="V223" i="9" s="1"/>
  <c r="V222" i="9" s="1"/>
  <c r="V221" i="9" s="1"/>
  <c r="V220" i="9" s="1"/>
  <c r="V219" i="9" s="1"/>
  <c r="V218" i="9" s="1"/>
  <c r="V217" i="9" s="1"/>
  <c r="V216" i="9" s="1"/>
  <c r="V215" i="9" s="1"/>
  <c r="V214" i="9" s="1"/>
  <c r="V213" i="9" s="1"/>
  <c r="V212" i="9" s="1"/>
  <c r="V211" i="9" s="1"/>
  <c r="V210" i="9" s="1"/>
  <c r="V209" i="9" s="1"/>
  <c r="V208" i="9" s="1"/>
  <c r="V207" i="9" s="1"/>
  <c r="V205" i="9" s="1"/>
  <c r="V204" i="9" s="1"/>
  <c r="V203" i="9" s="1"/>
  <c r="Q191" i="9"/>
  <c r="Q324" i="9" s="1"/>
  <c r="K486" i="9"/>
  <c r="K501" i="9"/>
  <c r="K864" i="9"/>
  <c r="K903" i="9"/>
  <c r="K1268" i="9"/>
  <c r="K596" i="9"/>
  <c r="Q173" i="9"/>
  <c r="K471" i="9"/>
  <c r="K735" i="9"/>
  <c r="K423" i="9"/>
  <c r="K1010" i="9"/>
  <c r="K1258" i="9" l="1"/>
  <c r="K345" i="9"/>
  <c r="K411" i="9"/>
  <c r="K1250" i="9"/>
  <c r="Q823" i="9"/>
  <c r="K891" i="9"/>
  <c r="K549" i="9"/>
  <c r="K1280" i="9"/>
  <c r="K616" i="9"/>
  <c r="K462" i="9"/>
  <c r="K447" i="9"/>
  <c r="K1105" i="9"/>
  <c r="K1094" i="9"/>
  <c r="K963" i="9"/>
  <c r="Q948" i="9"/>
  <c r="Q949" i="9" s="1"/>
  <c r="Q950" i="9" s="1"/>
  <c r="Q951" i="9" s="1"/>
  <c r="Q952" i="9" s="1"/>
  <c r="Q953" i="9" s="1"/>
  <c r="Q947" i="9"/>
  <c r="Q452" i="9"/>
  <c r="Q453" i="9" s="1"/>
  <c r="Q454" i="9" s="1"/>
  <c r="Q455" i="9" s="1"/>
  <c r="Q456" i="9" s="1"/>
  <c r="Q457" i="9" s="1"/>
  <c r="Q458" i="9" s="1"/>
  <c r="Q459" i="9" s="1"/>
  <c r="Q460" i="9" s="1"/>
  <c r="Q461" i="9" s="1"/>
  <c r="Q451" i="9"/>
  <c r="Q557" i="9"/>
  <c r="Q558" i="9"/>
  <c r="Q559" i="9" s="1"/>
  <c r="Q560" i="9" s="1"/>
  <c r="Q210" i="9"/>
  <c r="Q341" i="9"/>
  <c r="Q234" i="9"/>
  <c r="Q977" i="9"/>
  <c r="Q978" i="9" s="1"/>
  <c r="Q979" i="9" s="1"/>
  <c r="Q980" i="9"/>
  <c r="Q981" i="9" s="1"/>
  <c r="Q982" i="9" s="1"/>
  <c r="Q983" i="9" s="1"/>
  <c r="Q984" i="9" s="1"/>
  <c r="Q985" i="9" s="1"/>
  <c r="Q986" i="9" s="1"/>
  <c r="Q987" i="9" s="1"/>
  <c r="Q988" i="9" s="1"/>
  <c r="Q989" i="9" s="1"/>
  <c r="Q990" i="9" s="1"/>
  <c r="Q991" i="9" s="1"/>
  <c r="Q992" i="9" s="1"/>
  <c r="Q993" i="9" s="1"/>
  <c r="Q994" i="9" s="1"/>
  <c r="Q427" i="9"/>
  <c r="Q428" i="9"/>
  <c r="Q429" i="9" s="1"/>
  <c r="Q1029" i="9"/>
  <c r="Q1028" i="9"/>
  <c r="Q475" i="9"/>
  <c r="Q477" i="9" s="1"/>
  <c r="Q479" i="9" s="1"/>
  <c r="Q481" i="9" s="1"/>
  <c r="Q483" i="9" s="1"/>
  <c r="Q485" i="9" s="1"/>
  <c r="Q476" i="9"/>
  <c r="Q478" i="9" s="1"/>
  <c r="Q480" i="9" s="1"/>
  <c r="Q482" i="9" s="1"/>
  <c r="Q484" i="9" s="1"/>
  <c r="Q530" i="9"/>
  <c r="Q531" i="9" s="1"/>
  <c r="Q532" i="9" s="1"/>
  <c r="Q533" i="9"/>
  <c r="Q534" i="9" s="1"/>
  <c r="Q535" i="9" s="1"/>
  <c r="Q536" i="9" s="1"/>
  <c r="Q537" i="9" s="1"/>
  <c r="Q538" i="9" s="1"/>
  <c r="Q539" i="9" s="1"/>
  <c r="Q540" i="9" s="1"/>
  <c r="Q541" i="9" s="1"/>
  <c r="Q542" i="9" s="1"/>
  <c r="Q543" i="9" s="1"/>
  <c r="Q544" i="9" s="1"/>
  <c r="Q545" i="9" s="1"/>
  <c r="Q1233" i="9"/>
  <c r="Q1234" i="9" s="1"/>
  <c r="Q1235" i="9"/>
  <c r="Q1236" i="9" s="1"/>
  <c r="Q1237" i="9" s="1"/>
  <c r="Q1238" i="9" s="1"/>
  <c r="Q1239" i="9" s="1"/>
  <c r="Q1240" i="9" s="1"/>
  <c r="Q1241" i="9" s="1"/>
  <c r="Q1242" i="9" s="1"/>
  <c r="Q1243" i="9" s="1"/>
  <c r="Q1244" i="9" s="1"/>
  <c r="Q1245" i="9" s="1"/>
  <c r="Q1246" i="9" s="1"/>
  <c r="Q1247" i="9" s="1"/>
  <c r="Q1248" i="9" s="1"/>
  <c r="Q1249" i="9" s="1"/>
  <c r="Q642" i="9"/>
  <c r="Q643" i="9" s="1"/>
  <c r="Q644" i="9" s="1"/>
  <c r="Q645" i="9" s="1"/>
  <c r="Q646" i="9" s="1"/>
  <c r="Q647" i="9" s="1"/>
  <c r="Q648" i="9" s="1"/>
  <c r="Q649" i="9" s="1"/>
  <c r="Q650" i="9" s="1"/>
  <c r="Q651" i="9" s="1"/>
  <c r="Q652" i="9" s="1"/>
  <c r="Q653" i="9" s="1"/>
  <c r="Q654" i="9" s="1"/>
  <c r="Q655" i="9" s="1"/>
  <c r="Q656" i="9" s="1"/>
  <c r="Q657" i="9" s="1"/>
  <c r="Q658" i="9" s="1"/>
  <c r="Q659" i="9" s="1"/>
  <c r="Q660" i="9" s="1"/>
  <c r="Q661" i="9" s="1"/>
  <c r="Q662" i="9" s="1"/>
  <c r="Q663" i="9" s="1"/>
  <c r="Q664" i="9" s="1"/>
  <c r="Q665" i="9" s="1"/>
  <c r="Q666" i="9" s="1"/>
  <c r="Q667" i="9" s="1"/>
  <c r="Q668" i="9" s="1"/>
  <c r="Q669" i="9" s="1"/>
  <c r="Q670" i="9" s="1"/>
  <c r="Q671" i="9" s="1"/>
  <c r="Q638" i="9"/>
  <c r="Q639" i="9" s="1"/>
  <c r="Q640" i="9" s="1"/>
  <c r="Q641" i="9" s="1"/>
  <c r="K198" i="9"/>
  <c r="Q224" i="9"/>
  <c r="K224" i="9" s="1"/>
  <c r="Q331" i="9"/>
  <c r="K331" i="9" s="1"/>
  <c r="Q779" i="9"/>
  <c r="Q780" i="9"/>
  <c r="Q781" i="9" s="1"/>
  <c r="Q782" i="9" s="1"/>
  <c r="Q874" i="9"/>
  <c r="Q875" i="9" s="1"/>
  <c r="Q876" i="9" s="1"/>
  <c r="Q877" i="9" s="1"/>
  <c r="Q878" i="9" s="1"/>
  <c r="Q879" i="9" s="1"/>
  <c r="Q880" i="9" s="1"/>
  <c r="Q873" i="9"/>
  <c r="Q609" i="9"/>
  <c r="Q610" i="9" s="1"/>
  <c r="Q611" i="9" s="1"/>
  <c r="Q612" i="9" s="1"/>
  <c r="Q613" i="9" s="1"/>
  <c r="Q614" i="9"/>
  <c r="Q821" i="9"/>
  <c r="Q825" i="9" s="1"/>
  <c r="Q824" i="9"/>
  <c r="K556" i="9"/>
  <c r="K555" i="9"/>
  <c r="K579" i="9"/>
  <c r="K578" i="9"/>
  <c r="K419" i="9"/>
  <c r="K418" i="9"/>
  <c r="K822" i="9"/>
  <c r="K823" i="9"/>
  <c r="K1175" i="9"/>
  <c r="K1176" i="9"/>
  <c r="K809" i="9"/>
  <c r="K810" i="9"/>
  <c r="K582" i="9"/>
  <c r="K583" i="9"/>
  <c r="K407" i="9"/>
  <c r="K406" i="9"/>
  <c r="K1311" i="9"/>
  <c r="K1310" i="9"/>
  <c r="K389" i="9"/>
  <c r="K384" i="9"/>
  <c r="K385" i="9"/>
  <c r="K368" i="9"/>
  <c r="K369" i="9"/>
  <c r="K1055" i="9"/>
  <c r="K1056" i="9"/>
  <c r="K1002" i="9"/>
  <c r="K1003" i="9"/>
  <c r="K515" i="9"/>
  <c r="K516" i="9"/>
  <c r="K397" i="9"/>
  <c r="K398" i="9"/>
  <c r="K527" i="9"/>
  <c r="K528" i="9"/>
  <c r="K592" i="9"/>
  <c r="K593" i="9"/>
  <c r="K852" i="9"/>
  <c r="K851" i="9"/>
  <c r="K363" i="9"/>
  <c r="K362" i="9"/>
  <c r="K208" i="9"/>
  <c r="K209" i="9"/>
  <c r="K511" i="9"/>
  <c r="K510" i="9"/>
  <c r="K496" i="9"/>
  <c r="K497" i="9"/>
  <c r="K377" i="9"/>
  <c r="K378" i="9"/>
  <c r="K915" i="9"/>
  <c r="K916" i="9"/>
  <c r="K491" i="9"/>
  <c r="K490" i="9"/>
  <c r="K441" i="9"/>
  <c r="K439" i="9"/>
  <c r="K440" i="9"/>
  <c r="K1290" i="9"/>
  <c r="K1291" i="9"/>
  <c r="K569" i="9"/>
  <c r="K570" i="9"/>
  <c r="K771" i="9"/>
  <c r="K770" i="9"/>
  <c r="K371" i="9"/>
  <c r="K370" i="9"/>
  <c r="K373" i="9"/>
  <c r="K374" i="9"/>
  <c r="K349" i="9"/>
  <c r="K350" i="9"/>
  <c r="K1045" i="9"/>
  <c r="K1046" i="9"/>
  <c r="K1050" i="9"/>
  <c r="K1051" i="9"/>
  <c r="X202" i="9"/>
  <c r="X201" i="9" s="1"/>
  <c r="X200" i="9" s="1"/>
  <c r="X199" i="9" s="1"/>
  <c r="X198" i="9" s="1"/>
  <c r="X197" i="9" s="1"/>
  <c r="X196" i="9" s="1"/>
  <c r="X195" i="9" s="1"/>
  <c r="X194" i="9" s="1"/>
  <c r="X193" i="9" s="1"/>
  <c r="X192" i="9" s="1"/>
  <c r="X191" i="9" s="1"/>
  <c r="X190" i="9" s="1"/>
  <c r="X189" i="9" s="1"/>
  <c r="X188" i="9" s="1"/>
  <c r="X187" i="9" s="1"/>
  <c r="X186" i="9" s="1"/>
  <c r="X185" i="9" s="1"/>
  <c r="X184" i="9" s="1"/>
  <c r="X183" i="9" s="1"/>
  <c r="X182" i="9" s="1"/>
  <c r="X181" i="9" s="1"/>
  <c r="X180" i="9" s="1"/>
  <c r="X179" i="9" s="1"/>
  <c r="X178" i="9" s="1"/>
  <c r="X177" i="9" s="1"/>
  <c r="X176" i="9" s="1"/>
  <c r="X175" i="9" s="1"/>
  <c r="X174" i="9" s="1"/>
  <c r="X173" i="9" s="1"/>
  <c r="X172" i="9" s="1"/>
  <c r="X171" i="9" s="1"/>
  <c r="X170" i="9" s="1"/>
  <c r="X169" i="9" s="1"/>
  <c r="X168" i="9" s="1"/>
  <c r="X167" i="9" s="1"/>
  <c r="X166" i="9" s="1"/>
  <c r="X165" i="9" s="1"/>
  <c r="X164" i="9" s="1"/>
  <c r="X163" i="9" s="1"/>
  <c r="X162" i="9" s="1"/>
  <c r="X161" i="9" s="1"/>
  <c r="X160" i="9" s="1"/>
  <c r="X159" i="9" s="1"/>
  <c r="X158" i="9" s="1"/>
  <c r="X157" i="9" s="1"/>
  <c r="X156" i="9" s="1"/>
  <c r="X155" i="9" s="1"/>
  <c r="X154" i="9" s="1"/>
  <c r="X153" i="9" s="1"/>
  <c r="X152" i="9" s="1"/>
  <c r="X151" i="9" s="1"/>
  <c r="X150" i="9" s="1"/>
  <c r="X149" i="9" s="1"/>
  <c r="X148" i="9" s="1"/>
  <c r="X147" i="9" s="1"/>
  <c r="X146" i="9" s="1"/>
  <c r="X145" i="9" s="1"/>
  <c r="X144" i="9" s="1"/>
  <c r="X143" i="9" s="1"/>
  <c r="X142" i="9" s="1"/>
  <c r="X141" i="9" s="1"/>
  <c r="X140" i="9" s="1"/>
  <c r="X139" i="9" s="1"/>
  <c r="X138" i="9" s="1"/>
  <c r="X137" i="9" s="1"/>
  <c r="X136" i="9" s="1"/>
  <c r="X135" i="9" s="1"/>
  <c r="X134" i="9" s="1"/>
  <c r="X133" i="9" s="1"/>
  <c r="X132" i="9" s="1"/>
  <c r="X131" i="9" s="1"/>
  <c r="X130" i="9" s="1"/>
  <c r="X129" i="9" s="1"/>
  <c r="X128" i="9" s="1"/>
  <c r="X127" i="9" s="1"/>
  <c r="X126" i="9" s="1"/>
  <c r="X125" i="9" s="1"/>
  <c r="X124" i="9" s="1"/>
  <c r="X123" i="9" s="1"/>
  <c r="X122" i="9" s="1"/>
  <c r="X121" i="9" s="1"/>
  <c r="X120" i="9" s="1"/>
  <c r="X119" i="9" s="1"/>
  <c r="X118" i="9" s="1"/>
  <c r="X117" i="9" s="1"/>
  <c r="X116" i="9" s="1"/>
  <c r="X115" i="9" s="1"/>
  <c r="X114" i="9" s="1"/>
  <c r="X113" i="9" s="1"/>
  <c r="X112" i="9" s="1"/>
  <c r="X111" i="9" s="1"/>
  <c r="X110" i="9" s="1"/>
  <c r="X109" i="9" s="1"/>
  <c r="X108" i="9" s="1"/>
  <c r="X107" i="9" s="1"/>
  <c r="X106" i="9" s="1"/>
  <c r="X105" i="9" s="1"/>
  <c r="X104" i="9" s="1"/>
  <c r="X103" i="9" s="1"/>
  <c r="X102" i="9" s="1"/>
  <c r="X101" i="9" s="1"/>
  <c r="X100" i="9" s="1"/>
  <c r="X99" i="9" s="1"/>
  <c r="X98" i="9" s="1"/>
  <c r="X97" i="9" s="1"/>
  <c r="X96" i="9" s="1"/>
  <c r="X95" i="9" s="1"/>
  <c r="X94" i="9" s="1"/>
  <c r="X93" i="9" s="1"/>
  <c r="X92" i="9" s="1"/>
  <c r="X91" i="9" s="1"/>
  <c r="X90" i="9" s="1"/>
  <c r="X89" i="9" s="1"/>
  <c r="X88" i="9" s="1"/>
  <c r="X87" i="9" s="1"/>
  <c r="X86" i="9" s="1"/>
  <c r="X85" i="9" s="1"/>
  <c r="X84" i="9" s="1"/>
  <c r="X83" i="9" s="1"/>
  <c r="X82" i="9" s="1"/>
  <c r="X81" i="9" s="1"/>
  <c r="X80" i="9" s="1"/>
  <c r="X79" i="9" s="1"/>
  <c r="X78" i="9" s="1"/>
  <c r="X77" i="9" s="1"/>
  <c r="X76" i="9" s="1"/>
  <c r="X75" i="9" s="1"/>
  <c r="X74" i="9" s="1"/>
  <c r="X73" i="9" s="1"/>
  <c r="X72" i="9" s="1"/>
  <c r="X71" i="9" s="1"/>
  <c r="X70" i="9" s="1"/>
  <c r="X69" i="9" s="1"/>
  <c r="X68" i="9" s="1"/>
  <c r="X67" i="9" s="1"/>
  <c r="X66" i="9" s="1"/>
  <c r="X65" i="9" s="1"/>
  <c r="X64" i="9" s="1"/>
  <c r="X63" i="9" s="1"/>
  <c r="X62" i="9" s="1"/>
  <c r="X61" i="9" s="1"/>
  <c r="X60" i="9" s="1"/>
  <c r="X59" i="9" s="1"/>
  <c r="X58" i="9" s="1"/>
  <c r="X57" i="9" s="1"/>
  <c r="X56" i="9" s="1"/>
  <c r="X55" i="9" s="1"/>
  <c r="X54" i="9" s="1"/>
  <c r="X53" i="9" s="1"/>
  <c r="X52" i="9" s="1"/>
  <c r="X51" i="9" s="1"/>
  <c r="X50" i="9" s="1"/>
  <c r="X49" i="9" s="1"/>
  <c r="X48" i="9" s="1"/>
  <c r="X47" i="9" s="1"/>
  <c r="X46" i="9" s="1"/>
  <c r="X45" i="9" s="1"/>
  <c r="X44" i="9" s="1"/>
  <c r="X43" i="9" s="1"/>
  <c r="X42" i="9" s="1"/>
  <c r="X41" i="9" s="1"/>
  <c r="X40" i="9" s="1"/>
  <c r="X39" i="9" s="1"/>
  <c r="X38" i="9" s="1"/>
  <c r="X37" i="9" s="1"/>
  <c r="X36" i="9" s="1"/>
  <c r="X35" i="9" s="1"/>
  <c r="X34" i="9" s="1"/>
  <c r="X33" i="9" s="1"/>
  <c r="X32" i="9" s="1"/>
  <c r="X31" i="9" s="1"/>
  <c r="X30" i="9" s="1"/>
  <c r="X29" i="9" s="1"/>
  <c r="X28" i="9" s="1"/>
  <c r="X27" i="9" s="1"/>
  <c r="X26" i="9" s="1"/>
  <c r="X25" i="9" s="1"/>
  <c r="X24" i="9" s="1"/>
  <c r="X23" i="9" s="1"/>
  <c r="X22" i="9" s="1"/>
  <c r="X21" i="9" s="1"/>
  <c r="X20" i="9" s="1"/>
  <c r="X19" i="9" s="1"/>
  <c r="X18" i="9" s="1"/>
  <c r="X17" i="9" s="1"/>
  <c r="X16" i="9" s="1"/>
  <c r="X15" i="9" s="1"/>
  <c r="X14" i="9" s="1"/>
  <c r="X13" i="9" s="1"/>
  <c r="X12" i="9" s="1"/>
  <c r="X11" i="9" s="1"/>
  <c r="X10" i="9" s="1"/>
  <c r="X9" i="9" s="1"/>
  <c r="X8" i="9" s="1"/>
  <c r="X7" i="9" s="1"/>
  <c r="X6" i="9" s="1"/>
  <c r="Y202" i="9"/>
  <c r="Y201" i="9" s="1"/>
  <c r="Y200" i="9" s="1"/>
  <c r="Y199" i="9" s="1"/>
  <c r="Y198" i="9" s="1"/>
  <c r="Y197" i="9" s="1"/>
  <c r="Y196" i="9" s="1"/>
  <c r="Y195" i="9" s="1"/>
  <c r="Y194" i="9" s="1"/>
  <c r="Y193" i="9" s="1"/>
  <c r="Y192" i="9" s="1"/>
  <c r="Y191" i="9" s="1"/>
  <c r="Y190" i="9" s="1"/>
  <c r="Y189" i="9" s="1"/>
  <c r="Y188" i="9" s="1"/>
  <c r="Y187" i="9" s="1"/>
  <c r="Y186" i="9" s="1"/>
  <c r="Y185" i="9" s="1"/>
  <c r="Y184" i="9" s="1"/>
  <c r="Y183" i="9" s="1"/>
  <c r="Y182" i="9" s="1"/>
  <c r="Y181" i="9" s="1"/>
  <c r="Y180" i="9" s="1"/>
  <c r="Y179" i="9" s="1"/>
  <c r="Y178" i="9" s="1"/>
  <c r="Y177" i="9" s="1"/>
  <c r="Y176" i="9" s="1"/>
  <c r="Y175" i="9" s="1"/>
  <c r="Y174" i="9" s="1"/>
  <c r="Y173" i="9" s="1"/>
  <c r="Y172" i="9" s="1"/>
  <c r="Y171" i="9" s="1"/>
  <c r="Y170" i="9" s="1"/>
  <c r="Y169" i="9" s="1"/>
  <c r="Y168" i="9" s="1"/>
  <c r="Y167" i="9" s="1"/>
  <c r="Y166" i="9" s="1"/>
  <c r="Y165" i="9" s="1"/>
  <c r="Y164" i="9" s="1"/>
  <c r="Y163" i="9" s="1"/>
  <c r="Y162" i="9" s="1"/>
  <c r="Y161" i="9" s="1"/>
  <c r="Y160" i="9" s="1"/>
  <c r="Y159" i="9" s="1"/>
  <c r="Y158" i="9" s="1"/>
  <c r="Y157" i="9" s="1"/>
  <c r="Y156" i="9" s="1"/>
  <c r="Y155" i="9" s="1"/>
  <c r="Y154" i="9" s="1"/>
  <c r="Y153" i="9" s="1"/>
  <c r="Y152" i="9" s="1"/>
  <c r="Y151" i="9" s="1"/>
  <c r="Y150" i="9" s="1"/>
  <c r="Y149" i="9" s="1"/>
  <c r="Y148" i="9" s="1"/>
  <c r="Y147" i="9" s="1"/>
  <c r="Y146" i="9" s="1"/>
  <c r="Y145" i="9" s="1"/>
  <c r="Y144" i="9" s="1"/>
  <c r="Y143" i="9" s="1"/>
  <c r="Y142" i="9" s="1"/>
  <c r="Y141" i="9" s="1"/>
  <c r="Y140" i="9" s="1"/>
  <c r="Y139" i="9" s="1"/>
  <c r="Y138" i="9" s="1"/>
  <c r="Y137" i="9" s="1"/>
  <c r="Y136" i="9" s="1"/>
  <c r="Y135" i="9" s="1"/>
  <c r="Y134" i="9" s="1"/>
  <c r="Y133" i="9" s="1"/>
  <c r="Y132" i="9" s="1"/>
  <c r="Y131" i="9" s="1"/>
  <c r="Y130" i="9" s="1"/>
  <c r="Y129" i="9" s="1"/>
  <c r="Y128" i="9" s="1"/>
  <c r="Y127" i="9" s="1"/>
  <c r="Y126" i="9" s="1"/>
  <c r="Y125" i="9" s="1"/>
  <c r="Y124" i="9" s="1"/>
  <c r="Y123" i="9" s="1"/>
  <c r="Y122" i="9" s="1"/>
  <c r="Y121" i="9" s="1"/>
  <c r="Y120" i="9" s="1"/>
  <c r="Y119" i="9" s="1"/>
  <c r="Y118" i="9" s="1"/>
  <c r="Y117" i="9" s="1"/>
  <c r="Y116" i="9" s="1"/>
  <c r="Y115" i="9" s="1"/>
  <c r="Y114" i="9" s="1"/>
  <c r="Y113" i="9" s="1"/>
  <c r="Y112" i="9" s="1"/>
  <c r="Y111" i="9" s="1"/>
  <c r="Y110" i="9" s="1"/>
  <c r="Y109" i="9" s="1"/>
  <c r="Y108" i="9" s="1"/>
  <c r="Y107" i="9" s="1"/>
  <c r="Y106" i="9" s="1"/>
  <c r="Y105" i="9" s="1"/>
  <c r="Y104" i="9" s="1"/>
  <c r="Y103" i="9" s="1"/>
  <c r="Y102" i="9" s="1"/>
  <c r="Y101" i="9" s="1"/>
  <c r="Y100" i="9" s="1"/>
  <c r="Y99" i="9" s="1"/>
  <c r="Y98" i="9" s="1"/>
  <c r="Y97" i="9" s="1"/>
  <c r="Y96" i="9" s="1"/>
  <c r="Y95" i="9" s="1"/>
  <c r="Y94" i="9" s="1"/>
  <c r="Y93" i="9" s="1"/>
  <c r="Y92" i="9" s="1"/>
  <c r="Y91" i="9" s="1"/>
  <c r="Y90" i="9" s="1"/>
  <c r="Y89" i="9" s="1"/>
  <c r="Y88" i="9" s="1"/>
  <c r="Y87" i="9" s="1"/>
  <c r="Y86" i="9" s="1"/>
  <c r="Y85" i="9" s="1"/>
  <c r="Y84" i="9" s="1"/>
  <c r="Y83" i="9" s="1"/>
  <c r="Y82" i="9" s="1"/>
  <c r="Y81" i="9" s="1"/>
  <c r="Y80" i="9" s="1"/>
  <c r="Y79" i="9" s="1"/>
  <c r="Y78" i="9" s="1"/>
  <c r="Y77" i="9" s="1"/>
  <c r="Y76" i="9" s="1"/>
  <c r="Y75" i="9" s="1"/>
  <c r="Y74" i="9" s="1"/>
  <c r="Y73" i="9" s="1"/>
  <c r="Y72" i="9" s="1"/>
  <c r="Y71" i="9" s="1"/>
  <c r="Y70" i="9" s="1"/>
  <c r="Y69" i="9" s="1"/>
  <c r="Y68" i="9" s="1"/>
  <c r="Y67" i="9" s="1"/>
  <c r="Y66" i="9" s="1"/>
  <c r="Y65" i="9" s="1"/>
  <c r="Y64" i="9" s="1"/>
  <c r="Y63" i="9" s="1"/>
  <c r="Y62" i="9" s="1"/>
  <c r="Y61" i="9" s="1"/>
  <c r="Y60" i="9" s="1"/>
  <c r="Y59" i="9" s="1"/>
  <c r="Y58" i="9" s="1"/>
  <c r="Y57" i="9" s="1"/>
  <c r="Y56" i="9" s="1"/>
  <c r="Y55" i="9" s="1"/>
  <c r="Y54" i="9" s="1"/>
  <c r="Y53" i="9" s="1"/>
  <c r="Y52" i="9" s="1"/>
  <c r="Y51" i="9" s="1"/>
  <c r="Y50" i="9" s="1"/>
  <c r="Y49" i="9" s="1"/>
  <c r="Y48" i="9" s="1"/>
  <c r="Y47" i="9" s="1"/>
  <c r="Y46" i="9" s="1"/>
  <c r="Y45" i="9" s="1"/>
  <c r="Y44" i="9" s="1"/>
  <c r="Y43" i="9" s="1"/>
  <c r="Y42" i="9" s="1"/>
  <c r="Y41" i="9" s="1"/>
  <c r="Y40" i="9" s="1"/>
  <c r="Y39" i="9" s="1"/>
  <c r="Y38" i="9" s="1"/>
  <c r="Y37" i="9" s="1"/>
  <c r="Y36" i="9" s="1"/>
  <c r="Y35" i="9" s="1"/>
  <c r="Y34" i="9" s="1"/>
  <c r="Y33" i="9" s="1"/>
  <c r="Y32" i="9" s="1"/>
  <c r="Y31" i="9" s="1"/>
  <c r="Y30" i="9" s="1"/>
  <c r="Y29" i="9" s="1"/>
  <c r="Y28" i="9" s="1"/>
  <c r="Y27" i="9" s="1"/>
  <c r="Y26" i="9" s="1"/>
  <c r="Y25" i="9" s="1"/>
  <c r="Y24" i="9" s="1"/>
  <c r="Y23" i="9" s="1"/>
  <c r="Y22" i="9" s="1"/>
  <c r="Y21" i="9" s="1"/>
  <c r="Y20" i="9" s="1"/>
  <c r="Y19" i="9" s="1"/>
  <c r="Y18" i="9" s="1"/>
  <c r="Y17" i="9" s="1"/>
  <c r="Y16" i="9" s="1"/>
  <c r="Y15" i="9" s="1"/>
  <c r="Y14" i="9" s="1"/>
  <c r="Y13" i="9" s="1"/>
  <c r="Y12" i="9" s="1"/>
  <c r="Y11" i="9" s="1"/>
  <c r="Y10" i="9" s="1"/>
  <c r="Y9" i="9" s="1"/>
  <c r="Y8" i="9" s="1"/>
  <c r="Y7" i="9" s="1"/>
  <c r="Y6" i="9" s="1"/>
  <c r="V202" i="9"/>
  <c r="V201" i="9" s="1"/>
  <c r="V200" i="9" s="1"/>
  <c r="V199" i="9" s="1"/>
  <c r="V198" i="9" s="1"/>
  <c r="V197" i="9" s="1"/>
  <c r="V196" i="9" s="1"/>
  <c r="V195" i="9" s="1"/>
  <c r="V194" i="9" s="1"/>
  <c r="V193" i="9" s="1"/>
  <c r="V192" i="9" s="1"/>
  <c r="V191" i="9" s="1"/>
  <c r="V190" i="9" s="1"/>
  <c r="V189" i="9" s="1"/>
  <c r="V188" i="9" s="1"/>
  <c r="V187" i="9" s="1"/>
  <c r="V186" i="9" s="1"/>
  <c r="V185" i="9" s="1"/>
  <c r="V184" i="9" s="1"/>
  <c r="V183" i="9" s="1"/>
  <c r="V182" i="9" s="1"/>
  <c r="V181" i="9" s="1"/>
  <c r="V180" i="9" s="1"/>
  <c r="V179" i="9" s="1"/>
  <c r="V178" i="9" s="1"/>
  <c r="V177" i="9" s="1"/>
  <c r="V176" i="9" s="1"/>
  <c r="V175" i="9" s="1"/>
  <c r="V174" i="9" s="1"/>
  <c r="V173" i="9" s="1"/>
  <c r="V172" i="9" s="1"/>
  <c r="V171" i="9" s="1"/>
  <c r="V170" i="9" s="1"/>
  <c r="V169" i="9" s="1"/>
  <c r="V168" i="9" s="1"/>
  <c r="V167" i="9" s="1"/>
  <c r="V166" i="9" s="1"/>
  <c r="V165" i="9" s="1"/>
  <c r="V164" i="9" s="1"/>
  <c r="V163" i="9" s="1"/>
  <c r="V162" i="9" s="1"/>
  <c r="V161" i="9" s="1"/>
  <c r="V160" i="9" s="1"/>
  <c r="V159" i="9" s="1"/>
  <c r="V158" i="9" s="1"/>
  <c r="V157" i="9" s="1"/>
  <c r="V156" i="9" s="1"/>
  <c r="V155" i="9" s="1"/>
  <c r="V154" i="9" s="1"/>
  <c r="V153" i="9" s="1"/>
  <c r="V152" i="9" s="1"/>
  <c r="V151" i="9" s="1"/>
  <c r="V150" i="9" s="1"/>
  <c r="V149" i="9" s="1"/>
  <c r="V148" i="9" s="1"/>
  <c r="V147" i="9" s="1"/>
  <c r="V146" i="9" s="1"/>
  <c r="V145" i="9" s="1"/>
  <c r="V144" i="9" s="1"/>
  <c r="V143" i="9" s="1"/>
  <c r="V142" i="9" s="1"/>
  <c r="V141" i="9" s="1"/>
  <c r="V140" i="9" s="1"/>
  <c r="V139" i="9" s="1"/>
  <c r="V138" i="9" s="1"/>
  <c r="V137" i="9" s="1"/>
  <c r="V136" i="9" s="1"/>
  <c r="V135" i="9" s="1"/>
  <c r="V134" i="9" s="1"/>
  <c r="V133" i="9" s="1"/>
  <c r="V132" i="9" s="1"/>
  <c r="V131" i="9" s="1"/>
  <c r="V130" i="9" s="1"/>
  <c r="V129" i="9" s="1"/>
  <c r="V128" i="9" s="1"/>
  <c r="V127" i="9" s="1"/>
  <c r="V126" i="9" s="1"/>
  <c r="V125" i="9" s="1"/>
  <c r="V124" i="9" s="1"/>
  <c r="V123" i="9" s="1"/>
  <c r="V122" i="9" s="1"/>
  <c r="V121" i="9" s="1"/>
  <c r="V120" i="9" s="1"/>
  <c r="V119" i="9" s="1"/>
  <c r="V118" i="9" s="1"/>
  <c r="V117" i="9" s="1"/>
  <c r="V116" i="9" s="1"/>
  <c r="V115" i="9" s="1"/>
  <c r="V114" i="9" s="1"/>
  <c r="V113" i="9" s="1"/>
  <c r="V112" i="9" s="1"/>
  <c r="V111" i="9" s="1"/>
  <c r="V110" i="9" s="1"/>
  <c r="V109" i="9" s="1"/>
  <c r="V108" i="9" s="1"/>
  <c r="V107" i="9" s="1"/>
  <c r="V106" i="9" s="1"/>
  <c r="V105" i="9" s="1"/>
  <c r="V104" i="9" s="1"/>
  <c r="V103" i="9" s="1"/>
  <c r="V102" i="9" s="1"/>
  <c r="V101" i="9" s="1"/>
  <c r="V100" i="9" s="1"/>
  <c r="V99" i="9" s="1"/>
  <c r="V98" i="9" s="1"/>
  <c r="V97" i="9" s="1"/>
  <c r="V96" i="9" s="1"/>
  <c r="V95" i="9" s="1"/>
  <c r="V94" i="9" s="1"/>
  <c r="V93" i="9" s="1"/>
  <c r="V92" i="9" s="1"/>
  <c r="V91" i="9" s="1"/>
  <c r="V90" i="9" s="1"/>
  <c r="V89" i="9" s="1"/>
  <c r="V88" i="9" s="1"/>
  <c r="V87" i="9" s="1"/>
  <c r="V86" i="9" s="1"/>
  <c r="V85" i="9" s="1"/>
  <c r="V84" i="9" s="1"/>
  <c r="V83" i="9" s="1"/>
  <c r="V82" i="9" s="1"/>
  <c r="V81" i="9" s="1"/>
  <c r="V80" i="9" s="1"/>
  <c r="V79" i="9" s="1"/>
  <c r="V78" i="9" s="1"/>
  <c r="V77" i="9" s="1"/>
  <c r="V76" i="9" s="1"/>
  <c r="V75" i="9" s="1"/>
  <c r="V74" i="9" s="1"/>
  <c r="V73" i="9" s="1"/>
  <c r="V72" i="9" s="1"/>
  <c r="V71" i="9" s="1"/>
  <c r="V70" i="9" s="1"/>
  <c r="V69" i="9" s="1"/>
  <c r="V68" i="9" s="1"/>
  <c r="V67" i="9" s="1"/>
  <c r="V66" i="9" s="1"/>
  <c r="V65" i="9" s="1"/>
  <c r="V64" i="9" s="1"/>
  <c r="V63" i="9" s="1"/>
  <c r="V62" i="9" s="1"/>
  <c r="V61" i="9" s="1"/>
  <c r="V60" i="9" s="1"/>
  <c r="V59" i="9" s="1"/>
  <c r="V58" i="9" s="1"/>
  <c r="V57" i="9" s="1"/>
  <c r="V56" i="9" s="1"/>
  <c r="V55" i="9" s="1"/>
  <c r="V54" i="9" s="1"/>
  <c r="V53" i="9" s="1"/>
  <c r="V52" i="9" s="1"/>
  <c r="V51" i="9" s="1"/>
  <c r="V50" i="9" s="1"/>
  <c r="V49" i="9" s="1"/>
  <c r="V48" i="9" s="1"/>
  <c r="V47" i="9" s="1"/>
  <c r="V46" i="9" s="1"/>
  <c r="V45" i="9" s="1"/>
  <c r="V44" i="9" s="1"/>
  <c r="V43" i="9" s="1"/>
  <c r="V42" i="9" s="1"/>
  <c r="V41" i="9" s="1"/>
  <c r="V40" i="9" s="1"/>
  <c r="V39" i="9" s="1"/>
  <c r="V38" i="9" s="1"/>
  <c r="V37" i="9" s="1"/>
  <c r="V36" i="9" s="1"/>
  <c r="V35" i="9" s="1"/>
  <c r="V34" i="9" s="1"/>
  <c r="V33" i="9" s="1"/>
  <c r="V32" i="9" s="1"/>
  <c r="V31" i="9" s="1"/>
  <c r="V30" i="9" s="1"/>
  <c r="V29" i="9" s="1"/>
  <c r="V28" i="9" s="1"/>
  <c r="V27" i="9" s="1"/>
  <c r="V26" i="9" s="1"/>
  <c r="V25" i="9" s="1"/>
  <c r="V24" i="9" s="1"/>
  <c r="V23" i="9" s="1"/>
  <c r="V22" i="9" s="1"/>
  <c r="V21" i="9" s="1"/>
  <c r="V20" i="9" s="1"/>
  <c r="V19" i="9" s="1"/>
  <c r="V18" i="9" s="1"/>
  <c r="V17" i="9" s="1"/>
  <c r="V16" i="9" s="1"/>
  <c r="V15" i="9" s="1"/>
  <c r="V14" i="9" s="1"/>
  <c r="V13" i="9" s="1"/>
  <c r="V12" i="9" s="1"/>
  <c r="V11" i="9" s="1"/>
  <c r="V10" i="9" s="1"/>
  <c r="V9" i="9" s="1"/>
  <c r="V8" i="9" s="1"/>
  <c r="V7" i="9" s="1"/>
  <c r="V6" i="9" s="1"/>
  <c r="S202" i="9"/>
  <c r="S201" i="9" s="1"/>
  <c r="S200" i="9" s="1"/>
  <c r="S199" i="9" s="1"/>
  <c r="S198" i="9" s="1"/>
  <c r="S197" i="9" s="1"/>
  <c r="S196" i="9" s="1"/>
  <c r="S195" i="9" s="1"/>
  <c r="S194" i="9" s="1"/>
  <c r="S193" i="9" s="1"/>
  <c r="S192" i="9" s="1"/>
  <c r="S191" i="9" s="1"/>
  <c r="S190" i="9" s="1"/>
  <c r="S189" i="9" s="1"/>
  <c r="S188" i="9" s="1"/>
  <c r="S187" i="9" s="1"/>
  <c r="S186" i="9" s="1"/>
  <c r="S185" i="9" s="1"/>
  <c r="S184" i="9" s="1"/>
  <c r="S183" i="9" s="1"/>
  <c r="S182" i="9" s="1"/>
  <c r="S181" i="9" s="1"/>
  <c r="S180" i="9" s="1"/>
  <c r="S179" i="9" s="1"/>
  <c r="S178" i="9" s="1"/>
  <c r="S177" i="9" s="1"/>
  <c r="S176" i="9" s="1"/>
  <c r="S175" i="9" s="1"/>
  <c r="S174" i="9" s="1"/>
  <c r="S173" i="9" s="1"/>
  <c r="S172" i="9" s="1"/>
  <c r="S171" i="9" s="1"/>
  <c r="S170" i="9" s="1"/>
  <c r="S169" i="9" s="1"/>
  <c r="S168" i="9" s="1"/>
  <c r="S167" i="9" s="1"/>
  <c r="S166" i="9" s="1"/>
  <c r="S165" i="9" s="1"/>
  <c r="S164" i="9" s="1"/>
  <c r="S163" i="9" s="1"/>
  <c r="S162" i="9" s="1"/>
  <c r="S161" i="9" s="1"/>
  <c r="S160" i="9" s="1"/>
  <c r="S159" i="9" s="1"/>
  <c r="S158" i="9" s="1"/>
  <c r="S157" i="9" s="1"/>
  <c r="S156" i="9" s="1"/>
  <c r="S155" i="9" s="1"/>
  <c r="S154" i="9" s="1"/>
  <c r="S153" i="9" s="1"/>
  <c r="S152" i="9" s="1"/>
  <c r="S151" i="9" s="1"/>
  <c r="S150" i="9" s="1"/>
  <c r="S149" i="9" s="1"/>
  <c r="S148" i="9" s="1"/>
  <c r="S147" i="9" s="1"/>
  <c r="S146" i="9" s="1"/>
  <c r="S145" i="9" s="1"/>
  <c r="S144" i="9" s="1"/>
  <c r="S143" i="9" s="1"/>
  <c r="S142" i="9" s="1"/>
  <c r="S141" i="9" s="1"/>
  <c r="S140" i="9" s="1"/>
  <c r="S139" i="9" s="1"/>
  <c r="S138" i="9" s="1"/>
  <c r="S137" i="9" s="1"/>
  <c r="S136" i="9" s="1"/>
  <c r="S135" i="9" s="1"/>
  <c r="S134" i="9" s="1"/>
  <c r="S133" i="9" s="1"/>
  <c r="S132" i="9" s="1"/>
  <c r="S131" i="9" s="1"/>
  <c r="S130" i="9" s="1"/>
  <c r="S129" i="9" s="1"/>
  <c r="S128" i="9" s="1"/>
  <c r="S127" i="9" s="1"/>
  <c r="S126" i="9" s="1"/>
  <c r="S125" i="9" s="1"/>
  <c r="S124" i="9" s="1"/>
  <c r="S123" i="9" s="1"/>
  <c r="S122" i="9" s="1"/>
  <c r="S121" i="9" s="1"/>
  <c r="S120" i="9" s="1"/>
  <c r="S119" i="9" s="1"/>
  <c r="S118" i="9" s="1"/>
  <c r="S117" i="9" s="1"/>
  <c r="S116" i="9" s="1"/>
  <c r="S115" i="9" s="1"/>
  <c r="S114" i="9" s="1"/>
  <c r="S113" i="9" s="1"/>
  <c r="S112" i="9" s="1"/>
  <c r="S111" i="9" s="1"/>
  <c r="S110" i="9" s="1"/>
  <c r="S109" i="9" s="1"/>
  <c r="S108" i="9" s="1"/>
  <c r="S107" i="9" s="1"/>
  <c r="S106" i="9" s="1"/>
  <c r="S105" i="9" s="1"/>
  <c r="S104" i="9" s="1"/>
  <c r="S103" i="9" s="1"/>
  <c r="S102" i="9" s="1"/>
  <c r="S101" i="9" s="1"/>
  <c r="S100" i="9" s="1"/>
  <c r="S99" i="9" s="1"/>
  <c r="S98" i="9" s="1"/>
  <c r="S97" i="9" s="1"/>
  <c r="S96" i="9" s="1"/>
  <c r="S95" i="9" s="1"/>
  <c r="S94" i="9" s="1"/>
  <c r="S93" i="9" s="1"/>
  <c r="S92" i="9" s="1"/>
  <c r="S91" i="9" s="1"/>
  <c r="S90" i="9" s="1"/>
  <c r="S89" i="9" s="1"/>
  <c r="S88" i="9" s="1"/>
  <c r="S87" i="9" s="1"/>
  <c r="S86" i="9" s="1"/>
  <c r="S85" i="9" s="1"/>
  <c r="S84" i="9" s="1"/>
  <c r="S83" i="9" s="1"/>
  <c r="S82" i="9" s="1"/>
  <c r="S81" i="9" s="1"/>
  <c r="S80" i="9" s="1"/>
  <c r="S79" i="9" s="1"/>
  <c r="S78" i="9" s="1"/>
  <c r="S77" i="9" s="1"/>
  <c r="S76" i="9" s="1"/>
  <c r="S75" i="9" s="1"/>
  <c r="S74" i="9" s="1"/>
  <c r="S73" i="9" s="1"/>
  <c r="S72" i="9" s="1"/>
  <c r="S71" i="9" s="1"/>
  <c r="S70" i="9" s="1"/>
  <c r="S69" i="9" s="1"/>
  <c r="S68" i="9" s="1"/>
  <c r="S67" i="9" s="1"/>
  <c r="S66" i="9" s="1"/>
  <c r="S65" i="9" s="1"/>
  <c r="S64" i="9" s="1"/>
  <c r="S63" i="9" s="1"/>
  <c r="S62" i="9" s="1"/>
  <c r="S61" i="9" s="1"/>
  <c r="S60" i="9" s="1"/>
  <c r="S59" i="9" s="1"/>
  <c r="S58" i="9" s="1"/>
  <c r="S57" i="9" s="1"/>
  <c r="S56" i="9" s="1"/>
  <c r="S55" i="9" s="1"/>
  <c r="S54" i="9" s="1"/>
  <c r="S53" i="9" s="1"/>
  <c r="S52" i="9" s="1"/>
  <c r="S51" i="9" s="1"/>
  <c r="S50" i="9" s="1"/>
  <c r="S49" i="9" s="1"/>
  <c r="S48" i="9" s="1"/>
  <c r="S47" i="9" s="1"/>
  <c r="S46" i="9" s="1"/>
  <c r="S45" i="9" s="1"/>
  <c r="S44" i="9" s="1"/>
  <c r="S43" i="9" s="1"/>
  <c r="S42" i="9" s="1"/>
  <c r="S41" i="9" s="1"/>
  <c r="S40" i="9" s="1"/>
  <c r="S39" i="9" s="1"/>
  <c r="S38" i="9" s="1"/>
  <c r="S37" i="9" s="1"/>
  <c r="S36" i="9" s="1"/>
  <c r="S35" i="9" s="1"/>
  <c r="S34" i="9" s="1"/>
  <c r="S33" i="9" s="1"/>
  <c r="S32" i="9" s="1"/>
  <c r="S31" i="9" s="1"/>
  <c r="S30" i="9" s="1"/>
  <c r="S29" i="9" s="1"/>
  <c r="S28" i="9" s="1"/>
  <c r="S27" i="9" s="1"/>
  <c r="S26" i="9" s="1"/>
  <c r="S25" i="9" s="1"/>
  <c r="S24" i="9" s="1"/>
  <c r="S23" i="9" s="1"/>
  <c r="S22" i="9" s="1"/>
  <c r="S21" i="9" s="1"/>
  <c r="S20" i="9" s="1"/>
  <c r="S19" i="9" s="1"/>
  <c r="S18" i="9" s="1"/>
  <c r="S17" i="9" s="1"/>
  <c r="S16" i="9" s="1"/>
  <c r="S15" i="9" s="1"/>
  <c r="S14" i="9" s="1"/>
  <c r="S13" i="9" s="1"/>
  <c r="S12" i="9" s="1"/>
  <c r="S11" i="9" s="1"/>
  <c r="S10" i="9" s="1"/>
  <c r="S9" i="9" s="1"/>
  <c r="S8" i="9" s="1"/>
  <c r="S7" i="9" s="1"/>
  <c r="K7" i="9"/>
  <c r="Q158" i="9"/>
  <c r="K158" i="9" s="1"/>
  <c r="Q28" i="9"/>
  <c r="K28" i="9" s="1"/>
  <c r="Q182" i="9"/>
  <c r="K182" i="9" s="1"/>
  <c r="K1219" i="9"/>
  <c r="AA42" i="9"/>
  <c r="AA39" i="9" s="1"/>
  <c r="AA37" i="9" s="1"/>
  <c r="AA35" i="9" s="1"/>
  <c r="AA41" i="9"/>
  <c r="AA38" i="9" s="1"/>
  <c r="AA36" i="9" s="1"/>
  <c r="AA34" i="9" s="1"/>
  <c r="AA33" i="9" s="1"/>
  <c r="AA32" i="9" s="1"/>
  <c r="AA31" i="9" s="1"/>
  <c r="AA30" i="9" s="1"/>
  <c r="AA29" i="9" s="1"/>
  <c r="AA28" i="9" s="1"/>
  <c r="AA27" i="9" s="1"/>
  <c r="AA26" i="9" s="1"/>
  <c r="AA25" i="9" s="1"/>
  <c r="Q8" i="9"/>
  <c r="Q9" i="9" s="1"/>
  <c r="Q199" i="9"/>
  <c r="K1200" i="9"/>
  <c r="Q63" i="9"/>
  <c r="Q64" i="9" s="1"/>
  <c r="Q65" i="9" s="1"/>
  <c r="GE236" i="11"/>
  <c r="DS232" i="11"/>
  <c r="K62" i="9"/>
  <c r="K1294" i="9"/>
  <c r="K1166" i="9"/>
  <c r="K43" i="9"/>
  <c r="K136" i="9"/>
  <c r="K131" i="9"/>
  <c r="Q132" i="9"/>
  <c r="Q133" i="9" s="1"/>
  <c r="K133" i="9" s="1"/>
  <c r="K463" i="9"/>
  <c r="Q44" i="9"/>
  <c r="Q45" i="9" s="1"/>
  <c r="K964" i="9"/>
  <c r="AI7" i="9"/>
  <c r="K408" i="9"/>
  <c r="K736" i="9"/>
  <c r="K472" i="9"/>
  <c r="K1057" i="9"/>
  <c r="Q153" i="9"/>
  <c r="K1269" i="9"/>
  <c r="K865" i="9"/>
  <c r="K502" i="9"/>
  <c r="K517" i="9"/>
  <c r="K346" i="9"/>
  <c r="K399" i="9"/>
  <c r="K498" i="9"/>
  <c r="K529" i="9"/>
  <c r="K957" i="9"/>
  <c r="K594" i="9"/>
  <c r="K1066" i="9"/>
  <c r="K853" i="9"/>
  <c r="K1192" i="9"/>
  <c r="K1106" i="9"/>
  <c r="K1011" i="9"/>
  <c r="K436" i="9"/>
  <c r="K580" i="9"/>
  <c r="K173" i="9"/>
  <c r="Q174" i="9"/>
  <c r="K174" i="9" s="1"/>
  <c r="K597" i="9"/>
  <c r="K1177" i="9"/>
  <c r="K904" i="9"/>
  <c r="K811" i="9"/>
  <c r="K420" i="9"/>
  <c r="K584" i="9"/>
  <c r="K141" i="9"/>
  <c r="Q142" i="9"/>
  <c r="K512" i="9"/>
  <c r="K1259" i="9"/>
  <c r="K340" i="9"/>
  <c r="K210" i="9"/>
  <c r="K233" i="9"/>
  <c r="K191" i="9"/>
  <c r="K192" i="9"/>
  <c r="Q192" i="9"/>
  <c r="Q325" i="9" s="1"/>
  <c r="K324" i="9"/>
  <c r="K550" i="9"/>
  <c r="K442" i="9"/>
  <c r="K73" i="9"/>
  <c r="Q74" i="9"/>
  <c r="K1209" i="9"/>
  <c r="K602" i="9"/>
  <c r="K858" i="9"/>
  <c r="Q163" i="9"/>
  <c r="Q164" i="9" s="1"/>
  <c r="K162" i="9"/>
  <c r="K163" i="9"/>
  <c r="K1312" i="9"/>
  <c r="K1281" i="9"/>
  <c r="K1084" i="9"/>
  <c r="Q784" i="9" l="1"/>
  <c r="Q785" i="9" s="1"/>
  <c r="Q783" i="9"/>
  <c r="Q547" i="9"/>
  <c r="Q548" i="9" s="1"/>
  <c r="Q546" i="9"/>
  <c r="Q995" i="9"/>
  <c r="Q997" i="9" s="1"/>
  <c r="Q996" i="9"/>
  <c r="Q998" i="9" s="1"/>
  <c r="Q999" i="9" s="1"/>
  <c r="Q1000" i="9" s="1"/>
  <c r="Q1001" i="9" s="1"/>
  <c r="Q211" i="9"/>
  <c r="Q235" i="9"/>
  <c r="Q342" i="9"/>
  <c r="K199" i="9"/>
  <c r="Q332" i="9"/>
  <c r="K332" i="9" s="1"/>
  <c r="Q225" i="9"/>
  <c r="K225" i="9" s="1"/>
  <c r="Q672" i="9"/>
  <c r="Q677" i="9"/>
  <c r="Q1030" i="9"/>
  <c r="Q1031" i="9"/>
  <c r="Q565" i="9"/>
  <c r="Q566" i="9" s="1"/>
  <c r="Q567" i="9" s="1"/>
  <c r="Q568" i="9" s="1"/>
  <c r="Q561" i="9"/>
  <c r="Q562" i="9" s="1"/>
  <c r="Q563" i="9" s="1"/>
  <c r="Q564" i="9" s="1"/>
  <c r="Q882" i="9"/>
  <c r="Q883" i="9" s="1"/>
  <c r="Q881" i="9"/>
  <c r="Q954" i="9"/>
  <c r="Q955" i="9"/>
  <c r="K1252" i="9"/>
  <c r="K1251" i="9"/>
  <c r="K424" i="9"/>
  <c r="K425" i="9"/>
  <c r="K412" i="9"/>
  <c r="K413" i="9"/>
  <c r="K365" i="9"/>
  <c r="K364" i="9"/>
  <c r="K572" i="9"/>
  <c r="K571" i="9"/>
  <c r="K1005" i="9"/>
  <c r="K1004" i="9"/>
  <c r="K487" i="9"/>
  <c r="K488" i="9"/>
  <c r="K827" i="9"/>
  <c r="K826" i="9"/>
  <c r="K893" i="9"/>
  <c r="K892" i="9"/>
  <c r="K492" i="9"/>
  <c r="K493" i="9"/>
  <c r="K390" i="9"/>
  <c r="K449" i="9"/>
  <c r="K448" i="9"/>
  <c r="K507" i="9"/>
  <c r="K506" i="9"/>
  <c r="K431" i="9"/>
  <c r="K432" i="9"/>
  <c r="K352" i="9"/>
  <c r="K351" i="9"/>
  <c r="K772" i="9"/>
  <c r="K1293" i="9"/>
  <c r="K1292" i="9"/>
  <c r="K388" i="9"/>
  <c r="K387" i="9"/>
  <c r="K386" i="9"/>
  <c r="K1096" i="9"/>
  <c r="K1095" i="9"/>
  <c r="K965" i="9"/>
  <c r="K1047" i="9"/>
  <c r="K1052" i="9"/>
  <c r="Y6" i="33"/>
  <c r="Z6" i="33" s="1"/>
  <c r="AA23" i="24"/>
  <c r="AD23" i="24" s="1"/>
  <c r="AE23" i="24" s="1"/>
  <c r="AE22" i="24" s="1"/>
  <c r="AE21" i="24" s="1"/>
  <c r="AE20" i="24" s="1"/>
  <c r="AE19" i="24" s="1"/>
  <c r="AE18" i="24" s="1"/>
  <c r="AE17" i="24" s="1"/>
  <c r="AE16" i="24" s="1"/>
  <c r="AE15" i="24" s="1"/>
  <c r="AE14" i="24" s="1"/>
  <c r="AE13" i="24" s="1"/>
  <c r="AE12" i="24" s="1"/>
  <c r="AE11" i="24" s="1"/>
  <c r="AE10" i="24" s="1"/>
  <c r="AE9" i="24" s="1"/>
  <c r="AE8" i="24" s="1"/>
  <c r="AE7" i="24" s="1"/>
  <c r="AE6" i="24" s="1"/>
  <c r="AD5" i="24" s="1"/>
  <c r="K25" i="19" s="1"/>
  <c r="I25" i="19" s="1"/>
  <c r="Y6" i="19"/>
  <c r="Z6" i="19" s="1"/>
  <c r="B26" i="13"/>
  <c r="D25" i="13" s="1"/>
  <c r="B25" i="13" s="1"/>
  <c r="P9" i="13" s="1"/>
  <c r="Q154" i="9"/>
  <c r="K153" i="9"/>
  <c r="Q183" i="9"/>
  <c r="Q184" i="9" s="1"/>
  <c r="Q185" i="9" s="1"/>
  <c r="K185" i="9" s="1"/>
  <c r="Y7" i="33"/>
  <c r="Z7" i="33" s="1"/>
  <c r="S6" i="9"/>
  <c r="CF4" i="14" s="1"/>
  <c r="AI106" i="21"/>
  <c r="AI39" i="21" s="1"/>
  <c r="AI116" i="21" s="1"/>
  <c r="AI9" i="21" s="1"/>
  <c r="BT174" i="10" s="1"/>
  <c r="AI102" i="21"/>
  <c r="AI38" i="21" s="1"/>
  <c r="AI110" i="21" s="1"/>
  <c r="AI8" i="21" s="1"/>
  <c r="AD187" i="18"/>
  <c r="AS22" i="21"/>
  <c r="AS102" i="21"/>
  <c r="AS38" i="21" s="1"/>
  <c r="AS110" i="21" s="1"/>
  <c r="AI22" i="21"/>
  <c r="AD145" i="18"/>
  <c r="K183" i="9"/>
  <c r="Q159" i="9"/>
  <c r="K29" i="9"/>
  <c r="Q29" i="9"/>
  <c r="Q30" i="9" s="1"/>
  <c r="Q31" i="9" s="1"/>
  <c r="K45" i="9"/>
  <c r="K132" i="9"/>
  <c r="K64" i="9"/>
  <c r="K9" i="9"/>
  <c r="Q200" i="9"/>
  <c r="K1295" i="9"/>
  <c r="AA23" i="9"/>
  <c r="AA21" i="9" s="1"/>
  <c r="AA19" i="9" s="1"/>
  <c r="AA18" i="9" s="1"/>
  <c r="AA17" i="9" s="1"/>
  <c r="AA16" i="9" s="1"/>
  <c r="AA15" i="9" s="1"/>
  <c r="AA14" i="9" s="1"/>
  <c r="AA13" i="9" s="1"/>
  <c r="AA12" i="9" s="1"/>
  <c r="AA11" i="9" s="1"/>
  <c r="AA10" i="9" s="1"/>
  <c r="AA9" i="9" s="1"/>
  <c r="AA8" i="9" s="1"/>
  <c r="AA7" i="9" s="1"/>
  <c r="AA6" i="9" s="1"/>
  <c r="AA24" i="9"/>
  <c r="AA22" i="9" s="1"/>
  <c r="AA20" i="9" s="1"/>
  <c r="GE240" i="11"/>
  <c r="DS236" i="11"/>
  <c r="AI8" i="9"/>
  <c r="AG7" i="9"/>
  <c r="K165" i="9"/>
  <c r="Q165" i="9"/>
  <c r="K164" i="9"/>
  <c r="K1210" i="9"/>
  <c r="K443" i="9"/>
  <c r="K366" i="9"/>
  <c r="K142" i="9"/>
  <c r="Q143" i="9"/>
  <c r="K144" i="9" s="1"/>
  <c r="K143" i="9"/>
  <c r="K585" i="9"/>
  <c r="K489" i="9"/>
  <c r="K581" i="9"/>
  <c r="K1012" i="9"/>
  <c r="K1107" i="9"/>
  <c r="K1193" i="9"/>
  <c r="K433" i="9"/>
  <c r="K958" i="9"/>
  <c r="K1253" i="9"/>
  <c r="K400" i="9"/>
  <c r="K347" i="9"/>
  <c r="K518" i="9"/>
  <c r="K1270" i="9"/>
  <c r="K154" i="9"/>
  <c r="Q155" i="9"/>
  <c r="K155" i="9" s="1"/>
  <c r="K1058" i="9"/>
  <c r="K473" i="9"/>
  <c r="K894" i="9"/>
  <c r="K737" i="9"/>
  <c r="K557" i="9"/>
  <c r="K558" i="9"/>
  <c r="Y7" i="19"/>
  <c r="K353" i="9"/>
  <c r="K775" i="9"/>
  <c r="K1085" i="9"/>
  <c r="K1282" i="9"/>
  <c r="K603" i="9"/>
  <c r="K74" i="9"/>
  <c r="Q75" i="9"/>
  <c r="K46" i="9"/>
  <c r="Q46" i="9"/>
  <c r="Q47" i="9" s="1"/>
  <c r="K551" i="9"/>
  <c r="K325" i="9"/>
  <c r="Q193" i="9"/>
  <c r="K341" i="9"/>
  <c r="K234" i="9"/>
  <c r="K1260" i="9"/>
  <c r="K513" i="9"/>
  <c r="Q134" i="9"/>
  <c r="K421" i="9"/>
  <c r="K905" i="9"/>
  <c r="K906" i="9"/>
  <c r="K1178" i="9"/>
  <c r="K175" i="9"/>
  <c r="Q175" i="9"/>
  <c r="Q176" i="9" s="1"/>
  <c r="K828" i="9"/>
  <c r="K1067" i="9"/>
  <c r="K595" i="9"/>
  <c r="K530" i="9"/>
  <c r="Q66" i="9"/>
  <c r="K65" i="9"/>
  <c r="K66" i="9"/>
  <c r="K10" i="9"/>
  <c r="Q10" i="9"/>
  <c r="K503" i="9"/>
  <c r="K866" i="9"/>
  <c r="K1006" i="9"/>
  <c r="K426" i="9"/>
  <c r="K1053" i="9"/>
  <c r="Q1032" i="9" l="1"/>
  <c r="Q1033" i="9" s="1"/>
  <c r="Q1034" i="9"/>
  <c r="Q1035" i="9" s="1"/>
  <c r="Q1036" i="9" s="1"/>
  <c r="Q1037" i="9" s="1"/>
  <c r="Q1038" i="9" s="1"/>
  <c r="Q1039" i="9" s="1"/>
  <c r="Q1040" i="9" s="1"/>
  <c r="Q1041" i="9" s="1"/>
  <c r="Q1042" i="9" s="1"/>
  <c r="Q1043" i="9" s="1"/>
  <c r="Q1044" i="9" s="1"/>
  <c r="Q226" i="9"/>
  <c r="Q333" i="9"/>
  <c r="Q326" i="9"/>
  <c r="Q219" i="9"/>
  <c r="Q887" i="9"/>
  <c r="Q884" i="9"/>
  <c r="Q885" i="9"/>
  <c r="Q886" i="9" s="1"/>
  <c r="Q888" i="9" s="1"/>
  <c r="Q889" i="9" s="1"/>
  <c r="Q890" i="9" s="1"/>
  <c r="Q236" i="9"/>
  <c r="Q343" i="9"/>
  <c r="Q212" i="9"/>
  <c r="Q673" i="9"/>
  <c r="Q678" i="9"/>
  <c r="Q786" i="9"/>
  <c r="Q787" i="9"/>
  <c r="Q788" i="9" s="1"/>
  <c r="Q789" i="9" s="1"/>
  <c r="Q790" i="9" s="1"/>
  <c r="Q791" i="9" s="1"/>
  <c r="Q792" i="9" s="1"/>
  <c r="K860" i="9"/>
  <c r="K859" i="9"/>
  <c r="K533" i="9"/>
  <c r="K534" i="9"/>
  <c r="K452" i="9"/>
  <c r="K450" i="9"/>
  <c r="K415" i="9"/>
  <c r="K414" i="9"/>
  <c r="K854" i="9"/>
  <c r="K855" i="9"/>
  <c r="K812" i="9"/>
  <c r="K813" i="9"/>
  <c r="K495" i="9"/>
  <c r="K494" i="9"/>
  <c r="K573" i="9"/>
  <c r="K574" i="9"/>
  <c r="K1201" i="9"/>
  <c r="K1202" i="9"/>
  <c r="K773" i="9"/>
  <c r="K774" i="9"/>
  <c r="K435" i="9"/>
  <c r="K437" i="9"/>
  <c r="K438" i="9"/>
  <c r="K1221" i="9"/>
  <c r="K1220" i="9"/>
  <c r="K1168" i="9"/>
  <c r="K1167" i="9"/>
  <c r="K508" i="9"/>
  <c r="K509" i="9"/>
  <c r="K499" i="9"/>
  <c r="K500" i="9"/>
  <c r="K598" i="9"/>
  <c r="K599" i="9"/>
  <c r="K1313" i="9"/>
  <c r="K1314" i="9"/>
  <c r="K409" i="9"/>
  <c r="K410" i="9"/>
  <c r="K464" i="9"/>
  <c r="K465" i="9"/>
  <c r="K392" i="9"/>
  <c r="K391" i="9"/>
  <c r="K966" i="9"/>
  <c r="K25" i="33"/>
  <c r="I25" i="33" s="1"/>
  <c r="K226" i="9"/>
  <c r="K200" i="9"/>
  <c r="Q144" i="9"/>
  <c r="K145" i="9" s="1"/>
  <c r="K184" i="9"/>
  <c r="CE13" i="14"/>
  <c r="FM27" i="26"/>
  <c r="BT131" i="18"/>
  <c r="BX132" i="18" s="1"/>
  <c r="Y8" i="33"/>
  <c r="Z8" i="33" s="1"/>
  <c r="GD232" i="11"/>
  <c r="CB232" i="11" s="1"/>
  <c r="CF7" i="14"/>
  <c r="BT173" i="18"/>
  <c r="BT174" i="18" s="1"/>
  <c r="BT47" i="18"/>
  <c r="BX48" i="18" s="1"/>
  <c r="BU5" i="26"/>
  <c r="BY6" i="26" s="1"/>
  <c r="CF5" i="14"/>
  <c r="CF6" i="14"/>
  <c r="BT215" i="18"/>
  <c r="BT5" i="18"/>
  <c r="BX6" i="18" s="1"/>
  <c r="BT89" i="18"/>
  <c r="BX90" i="18" s="1"/>
  <c r="CF3" i="14"/>
  <c r="CF8" i="14"/>
  <c r="CO18" i="18"/>
  <c r="K159" i="9"/>
  <c r="CO135" i="18"/>
  <c r="K30" i="9"/>
  <c r="Q160" i="9"/>
  <c r="BX174" i="18"/>
  <c r="AS8" i="21"/>
  <c r="BT132" i="18"/>
  <c r="AW174" i="10"/>
  <c r="BP135" i="18"/>
  <c r="K466" i="9"/>
  <c r="Q201" i="9"/>
  <c r="K333" i="9"/>
  <c r="GE244" i="11"/>
  <c r="DS240" i="11"/>
  <c r="AI9" i="9"/>
  <c r="AG8" i="9"/>
  <c r="K504" i="9"/>
  <c r="K1169" i="9"/>
  <c r="K67" i="9"/>
  <c r="Q67" i="9"/>
  <c r="Q68" i="9"/>
  <c r="K535" i="9"/>
  <c r="K1068" i="9"/>
  <c r="K829" i="9"/>
  <c r="K600" i="9"/>
  <c r="K1179" i="9"/>
  <c r="K907" i="9"/>
  <c r="K211" i="9"/>
  <c r="K342" i="9"/>
  <c r="K235" i="9"/>
  <c r="K1315" i="9"/>
  <c r="Z7" i="19"/>
  <c r="Y8" i="19"/>
  <c r="K967" i="9"/>
  <c r="K959" i="9"/>
  <c r="K434" i="9"/>
  <c r="K1194" i="9"/>
  <c r="K814" i="9"/>
  <c r="Q166" i="9"/>
  <c r="K166" i="9"/>
  <c r="K867" i="9"/>
  <c r="K11" i="9"/>
  <c r="Q11" i="9"/>
  <c r="Q12" i="9" s="1"/>
  <c r="K1054" i="9"/>
  <c r="K531" i="9"/>
  <c r="K177" i="9"/>
  <c r="K176" i="9"/>
  <c r="Q177" i="9"/>
  <c r="Q178" i="9" s="1"/>
  <c r="K422" i="9"/>
  <c r="Q135" i="9"/>
  <c r="K135" i="9" s="1"/>
  <c r="K134" i="9"/>
  <c r="K514" i="9"/>
  <c r="K1261" i="9"/>
  <c r="K193" i="9"/>
  <c r="K219" i="9"/>
  <c r="Q194" i="9"/>
  <c r="K326" i="9"/>
  <c r="K552" i="9"/>
  <c r="K47" i="9"/>
  <c r="Q48" i="9"/>
  <c r="Q76" i="9"/>
  <c r="K75" i="9"/>
  <c r="K604" i="9"/>
  <c r="K861" i="9"/>
  <c r="K1283" i="9"/>
  <c r="K1086" i="9"/>
  <c r="K776" i="9"/>
  <c r="K777" i="9"/>
  <c r="K416" i="9"/>
  <c r="K559" i="9"/>
  <c r="K895" i="9"/>
  <c r="K474" i="9"/>
  <c r="K1059" i="9"/>
  <c r="Q156" i="9"/>
  <c r="K156" i="9" s="1"/>
  <c r="K519" i="9"/>
  <c r="K348" i="9"/>
  <c r="K401" i="9"/>
  <c r="Q186" i="9"/>
  <c r="K31" i="9"/>
  <c r="Q32" i="9"/>
  <c r="K856" i="9"/>
  <c r="K1108" i="9"/>
  <c r="K1013" i="9"/>
  <c r="K451" i="9"/>
  <c r="K453" i="9"/>
  <c r="K586" i="9"/>
  <c r="K444" i="9"/>
  <c r="K1211" i="9"/>
  <c r="K195" i="9" l="1"/>
  <c r="Q220" i="9"/>
  <c r="Q327" i="9"/>
  <c r="K327" i="9" s="1"/>
  <c r="Q793" i="9"/>
  <c r="Q794" i="9"/>
  <c r="Q237" i="9"/>
  <c r="Q344" i="9"/>
  <c r="Q213" i="9"/>
  <c r="Q202" i="9"/>
  <c r="Q334" i="9"/>
  <c r="Q227" i="9"/>
  <c r="K227" i="9" s="1"/>
  <c r="Q674" i="9"/>
  <c r="Q679" i="9"/>
  <c r="K1223" i="9"/>
  <c r="K1222" i="9"/>
  <c r="K355" i="9"/>
  <c r="K354" i="9"/>
  <c r="K1297" i="9"/>
  <c r="K1296" i="9"/>
  <c r="K575" i="9"/>
  <c r="K1271" i="9"/>
  <c r="K1272" i="9"/>
  <c r="K1204" i="9"/>
  <c r="K1203" i="9"/>
  <c r="K1254" i="9"/>
  <c r="K1255" i="9"/>
  <c r="K1007" i="9"/>
  <c r="K1008" i="9"/>
  <c r="K739" i="9"/>
  <c r="K738" i="9"/>
  <c r="K1097" i="9"/>
  <c r="K1098" i="9"/>
  <c r="K1048" i="9"/>
  <c r="K1049" i="9"/>
  <c r="K1099" i="9"/>
  <c r="K620" i="9"/>
  <c r="K201" i="9"/>
  <c r="Q161" i="9"/>
  <c r="K161" i="9" s="1"/>
  <c r="K160" i="9"/>
  <c r="Q145" i="9"/>
  <c r="Q146" i="9" s="1"/>
  <c r="K146" i="9" s="1"/>
  <c r="BT48" i="18"/>
  <c r="BT90" i="18"/>
  <c r="BT6" i="18"/>
  <c r="BU6" i="26"/>
  <c r="GD236" i="11"/>
  <c r="CB236" i="11" s="1"/>
  <c r="Y9" i="33"/>
  <c r="Z9" i="33" s="1"/>
  <c r="Q167" i="9"/>
  <c r="BP177" i="18"/>
  <c r="AW191" i="10"/>
  <c r="BP141" i="18"/>
  <c r="BT135" i="18"/>
  <c r="FL136" i="18" s="1"/>
  <c r="BX135" i="18"/>
  <c r="FL137" i="18" s="1"/>
  <c r="K334" i="9"/>
  <c r="K467" i="9"/>
  <c r="GE248" i="11"/>
  <c r="DS244" i="11"/>
  <c r="AI10" i="9"/>
  <c r="AG9" i="9"/>
  <c r="K445" i="9"/>
  <c r="K454" i="9"/>
  <c r="K1256" i="9"/>
  <c r="Q33" i="9"/>
  <c r="K32" i="9"/>
  <c r="K402" i="9"/>
  <c r="K1273" i="9"/>
  <c r="K1060" i="9"/>
  <c r="K475" i="9"/>
  <c r="K476" i="9"/>
  <c r="K560" i="9"/>
  <c r="K417" i="9"/>
  <c r="K356" i="9"/>
  <c r="K1087" i="9"/>
  <c r="K1284" i="9"/>
  <c r="K862" i="9"/>
  <c r="K76" i="9"/>
  <c r="Q77" i="9"/>
  <c r="K48" i="9"/>
  <c r="K49" i="9"/>
  <c r="Q49" i="9"/>
  <c r="K553" i="9"/>
  <c r="K1262" i="9"/>
  <c r="K178" i="9"/>
  <c r="Q179" i="9"/>
  <c r="K1195" i="9"/>
  <c r="K960" i="9"/>
  <c r="K740" i="9"/>
  <c r="K1100" i="9"/>
  <c r="K968" i="9"/>
  <c r="K393" i="9"/>
  <c r="Z8" i="19"/>
  <c r="Y9" i="19"/>
  <c r="K908" i="9"/>
  <c r="K1180" i="9"/>
  <c r="Q69" i="9"/>
  <c r="K68" i="9"/>
  <c r="K1170" i="9"/>
  <c r="K587" i="9"/>
  <c r="K1014" i="9"/>
  <c r="K1109" i="9"/>
  <c r="K186" i="9"/>
  <c r="Q187" i="9"/>
  <c r="K520" i="9"/>
  <c r="K1205" i="9"/>
  <c r="K194" i="9"/>
  <c r="Q195" i="9"/>
  <c r="K220" i="9"/>
  <c r="Q136" i="9"/>
  <c r="Q137" i="9" s="1"/>
  <c r="Q138" i="9" s="1"/>
  <c r="K532" i="9"/>
  <c r="K1009" i="9"/>
  <c r="K12" i="9"/>
  <c r="Q13" i="9"/>
  <c r="K868" i="9"/>
  <c r="K427" i="9"/>
  <c r="K343" i="9"/>
  <c r="K236" i="9"/>
  <c r="K830" i="9"/>
  <c r="K1069" i="9"/>
  <c r="Q680" i="9" l="1"/>
  <c r="Q675" i="9"/>
  <c r="Q214" i="9"/>
  <c r="Q238" i="9"/>
  <c r="K187" i="9"/>
  <c r="Q320" i="9"/>
  <c r="Q328" i="9"/>
  <c r="Q221" i="9"/>
  <c r="K221" i="9" s="1"/>
  <c r="K202" i="9"/>
  <c r="Q228" i="9"/>
  <c r="Q335" i="9"/>
  <c r="Q796" i="9"/>
  <c r="Q797" i="9" s="1"/>
  <c r="Q798" i="9" s="1"/>
  <c r="Q799" i="9" s="1"/>
  <c r="Q800" i="9" s="1"/>
  <c r="Q801" i="9" s="1"/>
  <c r="Q802" i="9" s="1"/>
  <c r="Q803" i="9" s="1"/>
  <c r="Q804" i="9" s="1"/>
  <c r="Q805" i="9" s="1"/>
  <c r="Q806" i="9" s="1"/>
  <c r="Q807" i="9" s="1"/>
  <c r="Q808" i="9" s="1"/>
  <c r="Q795" i="9"/>
  <c r="K536" i="9"/>
  <c r="K537" i="9"/>
  <c r="K428" i="9"/>
  <c r="K429" i="9"/>
  <c r="K779" i="9"/>
  <c r="K778" i="9"/>
  <c r="K897" i="9"/>
  <c r="K896" i="9"/>
  <c r="K1299" i="9"/>
  <c r="K1298" i="9"/>
  <c r="K1213" i="9"/>
  <c r="K1212" i="9"/>
  <c r="K576" i="9"/>
  <c r="K577" i="9"/>
  <c r="K816" i="9"/>
  <c r="K815" i="9"/>
  <c r="K212" i="9"/>
  <c r="K213" i="9"/>
  <c r="K605" i="9"/>
  <c r="K606" i="9"/>
  <c r="K1317" i="9"/>
  <c r="K1316" i="9"/>
  <c r="K1225" i="9"/>
  <c r="K1224" i="9"/>
  <c r="Q147" i="9"/>
  <c r="K147" i="9" s="1"/>
  <c r="K167" i="9"/>
  <c r="GD240" i="11"/>
  <c r="CB240" i="11" s="1"/>
  <c r="Y10" i="33"/>
  <c r="Y11" i="33" s="1"/>
  <c r="Z11" i="33" s="1"/>
  <c r="BP18" i="18"/>
  <c r="K168" i="9"/>
  <c r="Q168" i="9"/>
  <c r="Q169" i="9" s="1"/>
  <c r="K169" i="9" s="1"/>
  <c r="BT177" i="18"/>
  <c r="FL178" i="18" s="1"/>
  <c r="BX177" i="18"/>
  <c r="FL179" i="18" s="1"/>
  <c r="FM179" i="18" s="1"/>
  <c r="BT141" i="18"/>
  <c r="FL142" i="18" s="1"/>
  <c r="FL118" i="18" s="1"/>
  <c r="FM118" i="18" s="1"/>
  <c r="FL141" i="18"/>
  <c r="FL117" i="18" s="1"/>
  <c r="BX141" i="18"/>
  <c r="FL143" i="18" s="1"/>
  <c r="FM143" i="18" s="1"/>
  <c r="Q203" i="9"/>
  <c r="K335" i="9"/>
  <c r="K228" i="9"/>
  <c r="K468" i="9"/>
  <c r="GE252" i="11"/>
  <c r="DS248" i="11"/>
  <c r="AI11" i="9"/>
  <c r="AG10" i="9"/>
  <c r="K817" i="9"/>
  <c r="K869" i="9"/>
  <c r="K13" i="9"/>
  <c r="Q14" i="9"/>
  <c r="Q196" i="9"/>
  <c r="K328" i="9"/>
  <c r="K607" i="9"/>
  <c r="K780" i="9"/>
  <c r="Q188" i="9"/>
  <c r="Q321" i="9" s="1"/>
  <c r="K320" i="9"/>
  <c r="K1110" i="9"/>
  <c r="K1015" i="9"/>
  <c r="Q70" i="9"/>
  <c r="K69" i="9"/>
  <c r="K961" i="9"/>
  <c r="K77" i="9"/>
  <c r="Q79" i="9"/>
  <c r="Q78" i="9"/>
  <c r="Q82" i="9"/>
  <c r="K863" i="9"/>
  <c r="K1285" i="9"/>
  <c r="K403" i="9"/>
  <c r="K1257" i="9"/>
  <c r="K455" i="9"/>
  <c r="K446" i="9"/>
  <c r="K538" i="9"/>
  <c r="K1070" i="9"/>
  <c r="K831" i="9"/>
  <c r="K344" i="9"/>
  <c r="K237" i="9"/>
  <c r="K1300" i="9"/>
  <c r="K139" i="9"/>
  <c r="K138" i="9"/>
  <c r="Q139" i="9"/>
  <c r="Q140" i="9" s="1"/>
  <c r="K140" i="9" s="1"/>
  <c r="K588" i="9"/>
  <c r="K1214" i="9"/>
  <c r="K1171" i="9"/>
  <c r="K1181" i="9"/>
  <c r="Z9" i="19"/>
  <c r="Y10" i="19"/>
  <c r="K394" i="9"/>
  <c r="K969" i="9"/>
  <c r="K1101" i="9"/>
  <c r="K741" i="9"/>
  <c r="K179" i="9"/>
  <c r="Q181" i="9"/>
  <c r="K181" i="9" s="1"/>
  <c r="K1263" i="9"/>
  <c r="K554" i="9"/>
  <c r="K50" i="9"/>
  <c r="Q50" i="9"/>
  <c r="K357" i="9"/>
  <c r="K565" i="9"/>
  <c r="K561" i="9"/>
  <c r="K898" i="9"/>
  <c r="K478" i="9"/>
  <c r="K1061" i="9"/>
  <c r="K33" i="9"/>
  <c r="Q34" i="9"/>
  <c r="Q239" i="9" l="1"/>
  <c r="Q215" i="9"/>
  <c r="Q222" i="9"/>
  <c r="Q329" i="9"/>
  <c r="K329" i="9" s="1"/>
  <c r="K203" i="9"/>
  <c r="Q336" i="9"/>
  <c r="Q229" i="9"/>
  <c r="Q676" i="9"/>
  <c r="Q682" i="9" s="1"/>
  <c r="Q683" i="9" s="1"/>
  <c r="Q684" i="9" s="1"/>
  <c r="Q685" i="9" s="1"/>
  <c r="Q686" i="9" s="1"/>
  <c r="Q687" i="9" s="1"/>
  <c r="Q688" i="9" s="1"/>
  <c r="Q689" i="9" s="1"/>
  <c r="Q690" i="9" s="1"/>
  <c r="Q691" i="9" s="1"/>
  <c r="Q692" i="9" s="1"/>
  <c r="Q693" i="9" s="1"/>
  <c r="Q694" i="9" s="1"/>
  <c r="Q695" i="9" s="1"/>
  <c r="Q696" i="9" s="1"/>
  <c r="Q697" i="9" s="1"/>
  <c r="Q698" i="9" s="1"/>
  <c r="Q699" i="9" s="1"/>
  <c r="Q700" i="9" s="1"/>
  <c r="Q701" i="9" s="1"/>
  <c r="Q702" i="9" s="1"/>
  <c r="Q703" i="9" s="1"/>
  <c r="Q704" i="9" s="1"/>
  <c r="Q705" i="9" s="1"/>
  <c r="Q706" i="9" s="1"/>
  <c r="Q707" i="9" s="1"/>
  <c r="Q708" i="9" s="1"/>
  <c r="Q709" i="9" s="1"/>
  <c r="Q710" i="9" s="1"/>
  <c r="Q711" i="9" s="1"/>
  <c r="Q712" i="9" s="1"/>
  <c r="Q713" i="9" s="1"/>
  <c r="Q714" i="9" s="1"/>
  <c r="Q715" i="9" s="1"/>
  <c r="Q716" i="9" s="1"/>
  <c r="Q717" i="9" s="1"/>
  <c r="Q718" i="9" s="1"/>
  <c r="Q719" i="9" s="1"/>
  <c r="Q720" i="9" s="1"/>
  <c r="Q721" i="9" s="1"/>
  <c r="Q722" i="9" s="1"/>
  <c r="Q723" i="9" s="1"/>
  <c r="Q724" i="9" s="1"/>
  <c r="Q725" i="9" s="1"/>
  <c r="Q726" i="9" s="1"/>
  <c r="Q727" i="9" s="1"/>
  <c r="Q728" i="9" s="1"/>
  <c r="Q729" i="9" s="1"/>
  <c r="Q730" i="9" s="1"/>
  <c r="Q731" i="9" s="1"/>
  <c r="Q732" i="9" s="1"/>
  <c r="Q733" i="9" s="1"/>
  <c r="Q734" i="9" s="1"/>
  <c r="Q681" i="9"/>
  <c r="K521" i="9"/>
  <c r="K522" i="9"/>
  <c r="K1206" i="9"/>
  <c r="K1207" i="9"/>
  <c r="K1089" i="9"/>
  <c r="K1088" i="9"/>
  <c r="K479" i="9"/>
  <c r="K477" i="9"/>
  <c r="K1274" i="9"/>
  <c r="K1275" i="9"/>
  <c r="K1197" i="9"/>
  <c r="K1196" i="9"/>
  <c r="K909" i="9"/>
  <c r="K910" i="9"/>
  <c r="K1226" i="9"/>
  <c r="K1227" i="9"/>
  <c r="K189" i="9"/>
  <c r="K188" i="9"/>
  <c r="Q148" i="9"/>
  <c r="K148" i="9" s="1"/>
  <c r="GD244" i="11"/>
  <c r="GD248" i="11" s="1"/>
  <c r="CB248" i="11" s="1"/>
  <c r="Y12" i="33"/>
  <c r="Y13" i="33" s="1"/>
  <c r="Z10" i="33"/>
  <c r="BX18" i="18"/>
  <c r="FL20" i="18" s="1"/>
  <c r="FL38" i="18" s="1"/>
  <c r="FM38" i="18" s="1"/>
  <c r="BT18" i="18"/>
  <c r="FL19" i="18" s="1"/>
  <c r="FL37" i="18" s="1"/>
  <c r="FL18" i="18"/>
  <c r="FL36" i="18" s="1"/>
  <c r="Q170" i="9"/>
  <c r="K170" i="9" s="1"/>
  <c r="K336" i="9"/>
  <c r="FM142" i="18"/>
  <c r="FM141" i="18" s="1"/>
  <c r="FM140" i="18" s="1"/>
  <c r="FM139" i="18" s="1"/>
  <c r="FM138" i="18" s="1"/>
  <c r="FM137" i="18" s="1"/>
  <c r="FM136" i="18" s="1"/>
  <c r="FM178" i="18"/>
  <c r="FM117" i="18"/>
  <c r="FM116" i="18" s="1"/>
  <c r="FM115" i="18" s="1"/>
  <c r="FM114" i="18" s="1"/>
  <c r="FM113" i="18" s="1"/>
  <c r="FM112" i="18" s="1"/>
  <c r="FM111" i="18" s="1"/>
  <c r="FM110" i="18" s="1"/>
  <c r="FM109" i="18" s="1"/>
  <c r="FM108" i="18" s="1"/>
  <c r="FM107" i="18" s="1"/>
  <c r="FM106" i="18" s="1"/>
  <c r="FM105" i="18" s="1"/>
  <c r="FM104" i="18" s="1"/>
  <c r="FM103" i="18" s="1"/>
  <c r="FM102" i="18" s="1"/>
  <c r="FM101" i="18" s="1"/>
  <c r="FM100" i="18" s="1"/>
  <c r="FM99" i="18" s="1"/>
  <c r="FM98" i="18" s="1"/>
  <c r="FM97" i="18" s="1"/>
  <c r="FM96" i="18" s="1"/>
  <c r="K229" i="9"/>
  <c r="Q204" i="9"/>
  <c r="GE256" i="11"/>
  <c r="DS252" i="11"/>
  <c r="AI12" i="9"/>
  <c r="AG11" i="9"/>
  <c r="K562" i="9"/>
  <c r="K566" i="9"/>
  <c r="K1264" i="9"/>
  <c r="K34" i="9"/>
  <c r="Q35" i="9"/>
  <c r="K1276" i="9"/>
  <c r="K480" i="9"/>
  <c r="K899" i="9"/>
  <c r="K358" i="9"/>
  <c r="K51" i="9"/>
  <c r="Q51" i="9"/>
  <c r="Q52" i="9" s="1"/>
  <c r="K1102" i="9"/>
  <c r="K970" i="9"/>
  <c r="K395" i="9"/>
  <c r="Z10" i="19"/>
  <c r="Y11" i="19"/>
  <c r="K1215" i="9"/>
  <c r="K1301" i="9"/>
  <c r="K238" i="9"/>
  <c r="K214" i="9"/>
  <c r="K456" i="9"/>
  <c r="K404" i="9"/>
  <c r="K481" i="9"/>
  <c r="K1090" i="9"/>
  <c r="K82" i="9"/>
  <c r="Q83" i="9"/>
  <c r="K79" i="9"/>
  <c r="Q80" i="9"/>
  <c r="K80" i="9" s="1"/>
  <c r="K962" i="9"/>
  <c r="K781" i="9"/>
  <c r="K608" i="9"/>
  <c r="K14" i="9"/>
  <c r="Q15" i="9"/>
  <c r="K818" i="9"/>
  <c r="K1198" i="9"/>
  <c r="K742" i="9"/>
  <c r="K911" i="9"/>
  <c r="K1182" i="9"/>
  <c r="K1172" i="9"/>
  <c r="K589" i="9"/>
  <c r="K523" i="9"/>
  <c r="K832" i="9"/>
  <c r="K1071" i="9"/>
  <c r="K539" i="9"/>
  <c r="K78" i="9"/>
  <c r="Q81" i="9"/>
  <c r="K81" i="9" s="1"/>
  <c r="K70" i="9"/>
  <c r="Q71" i="9"/>
  <c r="K1016" i="9"/>
  <c r="K1111" i="9"/>
  <c r="Q189" i="9"/>
  <c r="Q322" i="9" s="1"/>
  <c r="K321" i="9"/>
  <c r="K196" i="9"/>
  <c r="Q197" i="9"/>
  <c r="K222" i="9"/>
  <c r="Q216" i="9" l="1"/>
  <c r="Q240" i="9"/>
  <c r="Q330" i="9"/>
  <c r="K330" i="9" s="1"/>
  <c r="Q223" i="9"/>
  <c r="K223" i="9" s="1"/>
  <c r="Q230" i="9"/>
  <c r="Q337" i="9"/>
  <c r="K337" i="9" s="1"/>
  <c r="K1287" i="9"/>
  <c r="K1286" i="9"/>
  <c r="K1062" i="9"/>
  <c r="K1063" i="9"/>
  <c r="K870" i="9"/>
  <c r="K872" i="9"/>
  <c r="K469" i="9"/>
  <c r="K470" i="9"/>
  <c r="K1229" i="9"/>
  <c r="K1228" i="9"/>
  <c r="Q149" i="9"/>
  <c r="K149" i="9" s="1"/>
  <c r="FR2" i="18"/>
  <c r="FR1" i="18"/>
  <c r="FQ1" i="18" s="1"/>
  <c r="GD252" i="11"/>
  <c r="CB252" i="11" s="1"/>
  <c r="CB244" i="11"/>
  <c r="Z12" i="33"/>
  <c r="FM37" i="18"/>
  <c r="FM36" i="18" s="1"/>
  <c r="Q171" i="9"/>
  <c r="K171" i="9" s="1"/>
  <c r="FQ2" i="18"/>
  <c r="K204" i="9"/>
  <c r="K1230" i="9"/>
  <c r="Q205" i="9"/>
  <c r="K230" i="9"/>
  <c r="GI232" i="11"/>
  <c r="DS256" i="11"/>
  <c r="AI13" i="9"/>
  <c r="AG14" i="9"/>
  <c r="K1112" i="9"/>
  <c r="K1017" i="9"/>
  <c r="K197" i="9"/>
  <c r="K322" i="9"/>
  <c r="Q190" i="9"/>
  <c r="Q323" i="9" s="1"/>
  <c r="Q72" i="9"/>
  <c r="K72" i="9" s="1"/>
  <c r="K540" i="9"/>
  <c r="K1072" i="9"/>
  <c r="K524" i="9"/>
  <c r="K743" i="9"/>
  <c r="K83" i="9"/>
  <c r="Q84" i="9"/>
  <c r="K1091" i="9"/>
  <c r="K405" i="9"/>
  <c r="K1216" i="9"/>
  <c r="Z11" i="19"/>
  <c r="Y12" i="19"/>
  <c r="K396" i="9"/>
  <c r="K971" i="9"/>
  <c r="K1103" i="9"/>
  <c r="Z13" i="33"/>
  <c r="Y14" i="33"/>
  <c r="K52" i="9"/>
  <c r="Q53" i="9"/>
  <c r="K359" i="9"/>
  <c r="K900" i="9"/>
  <c r="K1277" i="9"/>
  <c r="K590" i="9"/>
  <c r="K1173" i="9"/>
  <c r="K1183" i="9"/>
  <c r="K912" i="9"/>
  <c r="K871" i="9"/>
  <c r="K874" i="9"/>
  <c r="K15" i="9"/>
  <c r="Q16" i="9"/>
  <c r="K609" i="9"/>
  <c r="K782" i="9"/>
  <c r="K1288" i="9"/>
  <c r="K483" i="9"/>
  <c r="K457" i="9"/>
  <c r="K215" i="9"/>
  <c r="K239" i="9"/>
  <c r="K1302" i="9"/>
  <c r="K482" i="9"/>
  <c r="K35" i="9"/>
  <c r="Q36" i="9"/>
  <c r="K1265" i="9"/>
  <c r="K563" i="9"/>
  <c r="K1064" i="9"/>
  <c r="Q338" i="9" l="1"/>
  <c r="K338" i="9" s="1"/>
  <c r="Q231" i="9"/>
  <c r="Q206" i="9"/>
  <c r="Q217" i="9"/>
  <c r="Q241" i="9"/>
  <c r="K820" i="9"/>
  <c r="K819" i="9"/>
  <c r="K568" i="9"/>
  <c r="K567" i="9"/>
  <c r="Q150" i="9"/>
  <c r="K150" i="9" s="1"/>
  <c r="K833" i="9"/>
  <c r="K834" i="9"/>
  <c r="K172" i="9"/>
  <c r="GD256" i="11"/>
  <c r="CB256" i="11" s="1"/>
  <c r="Q172" i="9"/>
  <c r="K1231" i="9"/>
  <c r="K231" i="9"/>
  <c r="K205" i="9"/>
  <c r="GI236" i="11"/>
  <c r="FS232" i="11"/>
  <c r="AI14" i="9"/>
  <c r="AG15" i="9"/>
  <c r="K564" i="9"/>
  <c r="Q37" i="9"/>
  <c r="K36" i="9"/>
  <c r="K484" i="9"/>
  <c r="K1303" i="9"/>
  <c r="K1266" i="9"/>
  <c r="K240" i="9"/>
  <c r="K216" i="9"/>
  <c r="K458" i="9"/>
  <c r="K485" i="9"/>
  <c r="K1289" i="9"/>
  <c r="K835" i="9"/>
  <c r="K1278" i="9"/>
  <c r="K360" i="9"/>
  <c r="K53" i="9"/>
  <c r="Q54" i="9"/>
  <c r="Z14" i="33"/>
  <c r="Y15" i="33"/>
  <c r="K1104" i="9"/>
  <c r="K972" i="9"/>
  <c r="Z12" i="19"/>
  <c r="Y13" i="19"/>
  <c r="K1217" i="9"/>
  <c r="K1092" i="9"/>
  <c r="K84" i="9"/>
  <c r="K85" i="9"/>
  <c r="Q85" i="9"/>
  <c r="Q86" i="9" s="1"/>
  <c r="K744" i="9"/>
  <c r="K525" i="9"/>
  <c r="K1073" i="9"/>
  <c r="K190" i="9"/>
  <c r="K323" i="9"/>
  <c r="K784" i="9"/>
  <c r="K783" i="9"/>
  <c r="K614" i="9"/>
  <c r="K610" i="9"/>
  <c r="K16" i="9"/>
  <c r="Q17" i="9"/>
  <c r="K873" i="9"/>
  <c r="K1174" i="9"/>
  <c r="K591" i="9"/>
  <c r="K901" i="9"/>
  <c r="Q151" i="9"/>
  <c r="K151" i="9" s="1"/>
  <c r="K1018" i="9"/>
  <c r="K1113" i="9"/>
  <c r="Q207" i="9" l="1"/>
  <c r="K206" i="9"/>
  <c r="Q218" i="9"/>
  <c r="Q243" i="9" s="1"/>
  <c r="Q244" i="9" s="1"/>
  <c r="Q242" i="9"/>
  <c r="K876" i="9"/>
  <c r="K875" i="9"/>
  <c r="K1185" i="9"/>
  <c r="K1184" i="9"/>
  <c r="K541" i="9"/>
  <c r="K542" i="9"/>
  <c r="K913" i="9"/>
  <c r="K914" i="9"/>
  <c r="GH232" i="11"/>
  <c r="GH236" i="11" s="1"/>
  <c r="K207" i="9"/>
  <c r="GI240" i="11"/>
  <c r="FS236" i="11"/>
  <c r="AI15" i="9"/>
  <c r="AG16" i="9"/>
  <c r="K1114" i="9"/>
  <c r="K1019" i="9"/>
  <c r="K1186" i="9"/>
  <c r="K902" i="9"/>
  <c r="K17" i="9"/>
  <c r="Q18" i="9"/>
  <c r="K611" i="9"/>
  <c r="K785" i="9"/>
  <c r="K526" i="9"/>
  <c r="Z13" i="19"/>
  <c r="Y14" i="19"/>
  <c r="K973" i="9"/>
  <c r="Z15" i="33"/>
  <c r="Y16" i="33"/>
  <c r="K54" i="9"/>
  <c r="Q55" i="9"/>
  <c r="K1279" i="9"/>
  <c r="K459" i="9"/>
  <c r="K217" i="9"/>
  <c r="K241" i="9"/>
  <c r="K37" i="9"/>
  <c r="Q38" i="9"/>
  <c r="K920" i="9"/>
  <c r="K877" i="9"/>
  <c r="K543" i="9"/>
  <c r="K1074" i="9"/>
  <c r="K745" i="9"/>
  <c r="K824" i="9"/>
  <c r="K821" i="9"/>
  <c r="K86" i="9"/>
  <c r="K87" i="9"/>
  <c r="Q87" i="9"/>
  <c r="K1093" i="9"/>
  <c r="K361" i="9"/>
  <c r="K1267" i="9"/>
  <c r="K1304" i="9"/>
  <c r="Q245" i="9" l="1"/>
  <c r="Q269" i="9"/>
  <c r="Q294" i="9" s="1"/>
  <c r="Q319" i="9" s="1"/>
  <c r="Q232" i="9"/>
  <c r="K232" i="9" s="1"/>
  <c r="Q339" i="9"/>
  <c r="K339" i="9" s="1"/>
  <c r="K836" i="9"/>
  <c r="K837" i="9"/>
  <c r="K1232" i="9"/>
  <c r="EB232" i="11"/>
  <c r="GH240" i="11"/>
  <c r="EB236" i="11"/>
  <c r="GI244" i="11"/>
  <c r="FS240" i="11"/>
  <c r="AI16" i="9"/>
  <c r="AG17" i="9"/>
  <c r="K838" i="9"/>
  <c r="K839" i="9"/>
  <c r="Q89" i="9"/>
  <c r="K89" i="9" s="1"/>
  <c r="Q88" i="9"/>
  <c r="K1075" i="9"/>
  <c r="K38" i="9"/>
  <c r="Q39" i="9"/>
  <c r="K218" i="9"/>
  <c r="K242" i="9"/>
  <c r="K612" i="9"/>
  <c r="K1305" i="9"/>
  <c r="K825" i="9"/>
  <c r="K746" i="9"/>
  <c r="K544" i="9"/>
  <c r="K917" i="9"/>
  <c r="K460" i="9"/>
  <c r="K55" i="9"/>
  <c r="Q57" i="9"/>
  <c r="Q56" i="9"/>
  <c r="K56" i="9" s="1"/>
  <c r="Z16" i="33"/>
  <c r="Y17" i="33"/>
  <c r="K974" i="9"/>
  <c r="Z14" i="19"/>
  <c r="Y15" i="19"/>
  <c r="K786" i="9"/>
  <c r="K787" i="9"/>
  <c r="K18" i="9"/>
  <c r="Q19" i="9"/>
  <c r="K1187" i="9"/>
  <c r="K1237" i="9"/>
  <c r="Q246" i="9" l="1"/>
  <c r="Q270" i="9"/>
  <c r="Q295" i="9" s="1"/>
  <c r="K1234" i="9"/>
  <c r="K1233" i="9"/>
  <c r="K1236" i="9"/>
  <c r="K1235" i="9"/>
  <c r="K1020" i="9"/>
  <c r="K1021" i="9"/>
  <c r="K878" i="9"/>
  <c r="K879" i="9"/>
  <c r="K1116" i="9"/>
  <c r="K1115" i="9"/>
  <c r="GI248" i="11"/>
  <c r="FS244" i="11"/>
  <c r="GH244" i="11"/>
  <c r="EB240" i="11"/>
  <c r="AI17" i="9"/>
  <c r="AG18" i="9"/>
  <c r="K1117" i="9"/>
  <c r="K1022" i="9"/>
  <c r="K1023" i="9"/>
  <c r="K1238" i="9"/>
  <c r="Z15" i="19"/>
  <c r="Y16" i="19"/>
  <c r="K545" i="9"/>
  <c r="K747" i="9"/>
  <c r="K975" i="9"/>
  <c r="Z17" i="33"/>
  <c r="Y18" i="33"/>
  <c r="K1188" i="9"/>
  <c r="K19" i="9"/>
  <c r="Q20" i="9"/>
  <c r="K57" i="9"/>
  <c r="Q58" i="9"/>
  <c r="Q59" i="9" s="1"/>
  <c r="K58" i="9"/>
  <c r="K461" i="9"/>
  <c r="K918" i="9"/>
  <c r="K613" i="9"/>
  <c r="K243" i="9"/>
  <c r="K39" i="9"/>
  <c r="Q40" i="9"/>
  <c r="K880" i="9"/>
  <c r="K1076" i="9"/>
  <c r="K88" i="9"/>
  <c r="Q90" i="9"/>
  <c r="K840" i="9"/>
  <c r="Q247" i="9" l="1"/>
  <c r="Q271" i="9"/>
  <c r="Q296" i="9" s="1"/>
  <c r="K788" i="9"/>
  <c r="K789" i="9"/>
  <c r="K1306" i="9"/>
  <c r="K1307" i="9"/>
  <c r="GH248" i="11"/>
  <c r="EB244" i="11"/>
  <c r="GI252" i="11"/>
  <c r="FS248" i="11"/>
  <c r="AI18" i="9"/>
  <c r="AG21" i="9" s="1"/>
  <c r="AG19" i="9"/>
  <c r="K841" i="9"/>
  <c r="K90" i="9"/>
  <c r="Q91" i="9"/>
  <c r="K1077" i="9"/>
  <c r="Q41" i="9"/>
  <c r="K40" i="9"/>
  <c r="K244" i="9"/>
  <c r="K919" i="9"/>
  <c r="K748" i="9"/>
  <c r="Z16" i="19"/>
  <c r="Y17" i="19"/>
  <c r="K1239" i="9"/>
  <c r="K1024" i="9"/>
  <c r="K59" i="9"/>
  <c r="Q60" i="9"/>
  <c r="K790" i="9"/>
  <c r="Q21" i="9"/>
  <c r="K21" i="9" s="1"/>
  <c r="K20" i="9"/>
  <c r="K1189" i="9"/>
  <c r="Z18" i="33"/>
  <c r="Y19" i="33"/>
  <c r="K976" i="9"/>
  <c r="Q248" i="9" l="1"/>
  <c r="Q272" i="9"/>
  <c r="Q297" i="9" s="1"/>
  <c r="K1309" i="9"/>
  <c r="K1308" i="9"/>
  <c r="K1118" i="9"/>
  <c r="K629" i="9"/>
  <c r="GI256" i="11"/>
  <c r="FS256" i="11" s="1"/>
  <c r="FS252" i="11"/>
  <c r="GH252" i="11"/>
  <c r="EB248" i="11"/>
  <c r="K980" i="9"/>
  <c r="K977" i="9"/>
  <c r="Z19" i="33"/>
  <c r="Y20" i="33"/>
  <c r="K1190" i="9"/>
  <c r="K269" i="9"/>
  <c r="K245" i="9"/>
  <c r="Q22" i="9"/>
  <c r="Q61" i="9"/>
  <c r="K61" i="9" s="1"/>
  <c r="K60" i="9"/>
  <c r="K1025" i="9"/>
  <c r="K1240" i="9"/>
  <c r="Z17" i="19"/>
  <c r="Y18" i="19"/>
  <c r="K547" i="9"/>
  <c r="K546" i="9"/>
  <c r="K749" i="9"/>
  <c r="K41" i="9"/>
  <c r="Q42" i="9"/>
  <c r="K42" i="9" s="1"/>
  <c r="K881" i="9"/>
  <c r="K1078" i="9"/>
  <c r="K92" i="9"/>
  <c r="K91" i="9"/>
  <c r="Q92" i="9"/>
  <c r="Q93" i="9" s="1"/>
  <c r="K842" i="9"/>
  <c r="Q249" i="9" l="1"/>
  <c r="Q273" i="9"/>
  <c r="Q298" i="9" s="1"/>
  <c r="K1119" i="9"/>
  <c r="K882" i="9"/>
  <c r="K883" i="9"/>
  <c r="K792" i="9"/>
  <c r="K791" i="9"/>
  <c r="GH256" i="11"/>
  <c r="EB256" i="11" s="1"/>
  <c r="EB252" i="11"/>
  <c r="K843" i="9"/>
  <c r="K1079" i="9"/>
  <c r="K548" i="9"/>
  <c r="K22" i="9"/>
  <c r="Q23" i="9"/>
  <c r="K1120" i="9"/>
  <c r="K794" i="9"/>
  <c r="Z20" i="33"/>
  <c r="Y21" i="33"/>
  <c r="K978" i="9"/>
  <c r="K93" i="9"/>
  <c r="Q94" i="9"/>
  <c r="K921" i="9"/>
  <c r="K750" i="9"/>
  <c r="Z18" i="19"/>
  <c r="Y19" i="19"/>
  <c r="K270" i="9"/>
  <c r="K246" i="9"/>
  <c r="K294" i="9"/>
  <c r="Q250" i="9" l="1"/>
  <c r="Q274" i="9"/>
  <c r="Q299" i="9" s="1"/>
  <c r="K885" i="9"/>
  <c r="K886" i="9"/>
  <c r="K884" i="9"/>
  <c r="K887" i="9"/>
  <c r="K1026" i="9"/>
  <c r="K1027" i="9"/>
  <c r="K1241" i="9"/>
  <c r="K1242" i="9"/>
  <c r="K981" i="9"/>
  <c r="K982" i="9"/>
  <c r="K983" i="9"/>
  <c r="K319" i="9"/>
  <c r="K295" i="9"/>
  <c r="K94" i="9"/>
  <c r="Q95" i="9"/>
  <c r="K95" i="9" s="1"/>
  <c r="Q96" i="9"/>
  <c r="K979" i="9"/>
  <c r="Z21" i="33"/>
  <c r="Y22" i="33"/>
  <c r="K793" i="9"/>
  <c r="K844" i="9"/>
  <c r="K271" i="9"/>
  <c r="K247" i="9"/>
  <c r="K1243" i="9"/>
  <c r="Z19" i="19"/>
  <c r="Y20" i="19"/>
  <c r="K751" i="9"/>
  <c r="K922" i="9"/>
  <c r="K23" i="9"/>
  <c r="Q24" i="9"/>
  <c r="K24" i="9" s="1"/>
  <c r="K1080" i="9"/>
  <c r="Q251" i="9" l="1"/>
  <c r="Q275" i="9"/>
  <c r="Q300" i="9" s="1"/>
  <c r="K796" i="9"/>
  <c r="K795" i="9"/>
  <c r="K1121" i="9"/>
  <c r="K1122" i="9"/>
  <c r="K25" i="9"/>
  <c r="Q25" i="9"/>
  <c r="K752" i="9"/>
  <c r="K1028" i="9"/>
  <c r="K296" i="9"/>
  <c r="K845" i="9"/>
  <c r="K797" i="9"/>
  <c r="K1081" i="9"/>
  <c r="K888" i="9"/>
  <c r="K923" i="9"/>
  <c r="Z20" i="19"/>
  <c r="Y21" i="19"/>
  <c r="K1244" i="9"/>
  <c r="K248" i="9"/>
  <c r="K272" i="9"/>
  <c r="Z22" i="33"/>
  <c r="Y23" i="33"/>
  <c r="K96" i="9"/>
  <c r="Q97" i="9"/>
  <c r="Q252" i="9" l="1"/>
  <c r="Q276" i="9"/>
  <c r="Q301" i="9" s="1"/>
  <c r="K1029" i="9"/>
  <c r="K1030" i="9"/>
  <c r="K1123" i="9"/>
  <c r="K986" i="9"/>
  <c r="K273" i="9"/>
  <c r="K249" i="9"/>
  <c r="Z21" i="19"/>
  <c r="Y22" i="19"/>
  <c r="K924" i="9"/>
  <c r="K889" i="9"/>
  <c r="K1031" i="9"/>
  <c r="K26" i="9"/>
  <c r="Q26" i="9"/>
  <c r="K97" i="9"/>
  <c r="Q98" i="9"/>
  <c r="Z23" i="33"/>
  <c r="Y24" i="33"/>
  <c r="K297" i="9"/>
  <c r="K1082" i="9"/>
  <c r="K798" i="9"/>
  <c r="K753" i="9"/>
  <c r="Q253" i="9" l="1"/>
  <c r="Q277" i="9"/>
  <c r="Q302" i="9" s="1"/>
  <c r="K1245" i="9"/>
  <c r="K1246" i="9"/>
  <c r="K846" i="9"/>
  <c r="K847" i="9"/>
  <c r="K1124" i="9"/>
  <c r="K984" i="9"/>
  <c r="K985" i="9"/>
  <c r="K754" i="9"/>
  <c r="K799" i="9"/>
  <c r="K987" i="9"/>
  <c r="Z24" i="33"/>
  <c r="Y25" i="33"/>
  <c r="K98" i="9"/>
  <c r="Q99" i="9"/>
  <c r="K1034" i="9"/>
  <c r="K1032" i="9"/>
  <c r="K298" i="9"/>
  <c r="K848" i="9"/>
  <c r="K890" i="9"/>
  <c r="Z22" i="19"/>
  <c r="Y23" i="19"/>
  <c r="K274" i="9"/>
  <c r="K250" i="9"/>
  <c r="K1247" i="9"/>
  <c r="Q254" i="9" l="1"/>
  <c r="Q278" i="9"/>
  <c r="Q303" i="9" s="1"/>
  <c r="K1125" i="9"/>
  <c r="K926" i="9"/>
  <c r="K925" i="9"/>
  <c r="K1248" i="9"/>
  <c r="K275" i="9"/>
  <c r="K251" i="9"/>
  <c r="K299" i="9"/>
  <c r="K99" i="9"/>
  <c r="Q101" i="9"/>
  <c r="K101" i="9" s="1"/>
  <c r="Q100" i="9"/>
  <c r="Z25" i="33"/>
  <c r="Y26" i="33"/>
  <c r="Z23" i="19"/>
  <c r="Y24" i="19"/>
  <c r="K927" i="9"/>
  <c r="K1126" i="9"/>
  <c r="K849" i="9"/>
  <c r="K1033" i="9"/>
  <c r="K1035" i="9"/>
  <c r="K800" i="9"/>
  <c r="K755" i="9"/>
  <c r="Q255" i="9" l="1"/>
  <c r="Q279" i="9"/>
  <c r="Q304" i="9" s="1"/>
  <c r="K756" i="9"/>
  <c r="K801" i="9"/>
  <c r="K1127" i="9"/>
  <c r="Z24" i="19"/>
  <c r="Y25" i="19"/>
  <c r="Z26" i="33"/>
  <c r="Y27" i="33"/>
  <c r="Q102" i="9"/>
  <c r="K100" i="9"/>
  <c r="K300" i="9"/>
  <c r="K1249" i="9"/>
  <c r="K990" i="9"/>
  <c r="K1036" i="9"/>
  <c r="K850" i="9"/>
  <c r="K928" i="9"/>
  <c r="K276" i="9"/>
  <c r="K252" i="9"/>
  <c r="Q256" i="9" l="1"/>
  <c r="Q280" i="9"/>
  <c r="Q305" i="9" s="1"/>
  <c r="K988" i="9"/>
  <c r="K989" i="9"/>
  <c r="K277" i="9"/>
  <c r="K253" i="9"/>
  <c r="K301" i="9"/>
  <c r="K929" i="9"/>
  <c r="Z27" i="33"/>
  <c r="Y28" i="33"/>
  <c r="Z25" i="19"/>
  <c r="Y26" i="19"/>
  <c r="K1128" i="9"/>
  <c r="K757" i="9"/>
  <c r="K1037" i="9"/>
  <c r="K102" i="9"/>
  <c r="Q103" i="9"/>
  <c r="Q281" i="9" l="1"/>
  <c r="Q306" i="9" s="1"/>
  <c r="Q257" i="9"/>
  <c r="K803" i="9"/>
  <c r="K802" i="9"/>
  <c r="K991" i="9"/>
  <c r="K804" i="9"/>
  <c r="K1129" i="9"/>
  <c r="Z26" i="19"/>
  <c r="Y27" i="19"/>
  <c r="Z28" i="33"/>
  <c r="Y29" i="33"/>
  <c r="K278" i="9"/>
  <c r="K254" i="9"/>
  <c r="K103" i="9"/>
  <c r="K104" i="9"/>
  <c r="Q110" i="9"/>
  <c r="K110" i="9" s="1"/>
  <c r="Q104" i="9"/>
  <c r="K1038" i="9"/>
  <c r="K758" i="9"/>
  <c r="K302" i="9"/>
  <c r="Q282" i="9" l="1"/>
  <c r="Q307" i="9" s="1"/>
  <c r="Q258" i="9"/>
  <c r="K992" i="9"/>
  <c r="K931" i="9"/>
  <c r="K930" i="9"/>
  <c r="K643" i="9"/>
  <c r="K759" i="9"/>
  <c r="K1039" i="9"/>
  <c r="K105" i="9"/>
  <c r="Q111" i="9"/>
  <c r="K111" i="9" s="1"/>
  <c r="Q105" i="9"/>
  <c r="K303" i="9"/>
  <c r="K932" i="9"/>
  <c r="K993" i="9"/>
  <c r="Z27" i="19"/>
  <c r="Y28" i="19"/>
  <c r="K1130" i="9"/>
  <c r="K279" i="9"/>
  <c r="K255" i="9"/>
  <c r="Z29" i="33"/>
  <c r="Y30" i="33"/>
  <c r="Q259" i="9" l="1"/>
  <c r="Q283" i="9"/>
  <c r="Q308" i="9" s="1"/>
  <c r="K805" i="9"/>
  <c r="K806" i="9"/>
  <c r="K106" i="9"/>
  <c r="Q112" i="9"/>
  <c r="K112" i="9" s="1"/>
  <c r="Q106" i="9"/>
  <c r="K1040" i="9"/>
  <c r="Z30" i="33"/>
  <c r="Y31" i="33"/>
  <c r="K280" i="9"/>
  <c r="K256" i="9"/>
  <c r="K304" i="9"/>
  <c r="K1131" i="9"/>
  <c r="Z28" i="19"/>
  <c r="Y29" i="19"/>
  <c r="K994" i="9"/>
  <c r="K933" i="9"/>
  <c r="K760" i="9"/>
  <c r="Q260" i="9" l="1"/>
  <c r="Q284" i="9"/>
  <c r="Q309" i="9" s="1"/>
  <c r="K808" i="9"/>
  <c r="K807" i="9"/>
  <c r="K645" i="9"/>
  <c r="K761" i="9"/>
  <c r="K934" i="9"/>
  <c r="K996" i="9"/>
  <c r="K995" i="9"/>
  <c r="Z29" i="19"/>
  <c r="Y30" i="19"/>
  <c r="K1132" i="9"/>
  <c r="K305" i="9"/>
  <c r="Z31" i="33"/>
  <c r="Y32" i="33"/>
  <c r="K1041" i="9"/>
  <c r="K107" i="9"/>
  <c r="Q113" i="9"/>
  <c r="K113" i="9" s="1"/>
  <c r="Q107" i="9"/>
  <c r="K281" i="9"/>
  <c r="K257" i="9"/>
  <c r="Q261" i="9" l="1"/>
  <c r="Q285" i="9"/>
  <c r="Q310" i="9" s="1"/>
  <c r="K108" i="9"/>
  <c r="Q114" i="9"/>
  <c r="K114" i="9" s="1"/>
  <c r="Q108" i="9"/>
  <c r="K1042" i="9"/>
  <c r="K1133" i="9"/>
  <c r="Z30" i="19"/>
  <c r="Y31" i="19"/>
  <c r="K997" i="9"/>
  <c r="K282" i="9"/>
  <c r="K258" i="9"/>
  <c r="K306" i="9"/>
  <c r="Z32" i="33"/>
  <c r="Y33" i="33"/>
  <c r="K998" i="9"/>
  <c r="K935" i="9"/>
  <c r="K762" i="9"/>
  <c r="Q262" i="9" l="1"/>
  <c r="Q286" i="9"/>
  <c r="Q311" i="9" s="1"/>
  <c r="K647" i="9"/>
  <c r="K936" i="9"/>
  <c r="K283" i="9"/>
  <c r="K259" i="9"/>
  <c r="Z31" i="19"/>
  <c r="Y32" i="19"/>
  <c r="K1134" i="9"/>
  <c r="K1043" i="9"/>
  <c r="Q109" i="9"/>
  <c r="K109" i="9" s="1"/>
  <c r="Q115" i="9"/>
  <c r="Z33" i="33"/>
  <c r="Y34" i="33"/>
  <c r="Z34" i="33" s="1"/>
  <c r="AA34" i="33" s="1"/>
  <c r="K763" i="9"/>
  <c r="K999" i="9"/>
  <c r="K307" i="9"/>
  <c r="Q263" i="9" l="1"/>
  <c r="Q287" i="9"/>
  <c r="Q312" i="9" s="1"/>
  <c r="K1000" i="9"/>
  <c r="K764" i="9"/>
  <c r="K115" i="9"/>
  <c r="Q116" i="9"/>
  <c r="K1044" i="9"/>
  <c r="K1135" i="9"/>
  <c r="Z32" i="19"/>
  <c r="Y33" i="19"/>
  <c r="K284" i="9"/>
  <c r="K260" i="9"/>
  <c r="K308" i="9"/>
  <c r="K937" i="9"/>
  <c r="AA33" i="33"/>
  <c r="AA32" i="33" s="1"/>
  <c r="AA31" i="33" s="1"/>
  <c r="AA30" i="33" s="1"/>
  <c r="AA29" i="33" s="1"/>
  <c r="AA28" i="33" s="1"/>
  <c r="AA27" i="33" s="1"/>
  <c r="AA26" i="33" s="1"/>
  <c r="AA25" i="33" s="1"/>
  <c r="AA24" i="33" s="1"/>
  <c r="AA23" i="33" s="1"/>
  <c r="AA22" i="33" s="1"/>
  <c r="AA21" i="33" s="1"/>
  <c r="AA20" i="33" s="1"/>
  <c r="AA19" i="33" s="1"/>
  <c r="AA18" i="33" s="1"/>
  <c r="AA17" i="33" s="1"/>
  <c r="AA16" i="33" s="1"/>
  <c r="AA15" i="33" s="1"/>
  <c r="AA14" i="33" s="1"/>
  <c r="AA13" i="33" s="1"/>
  <c r="AA12" i="33" s="1"/>
  <c r="AA11" i="33" s="1"/>
  <c r="AA10" i="33" s="1"/>
  <c r="AA9" i="33" s="1"/>
  <c r="AA8" i="33" s="1"/>
  <c r="AA7" i="33" s="1"/>
  <c r="AA6" i="33" s="1"/>
  <c r="AA5" i="33" s="1"/>
  <c r="K29" i="33" s="1"/>
  <c r="I29" i="33" s="1"/>
  <c r="Q264" i="9" l="1"/>
  <c r="Q288" i="9"/>
  <c r="Q313" i="9" s="1"/>
  <c r="K938" i="9"/>
  <c r="K285" i="9"/>
  <c r="K261" i="9"/>
  <c r="K1136" i="9"/>
  <c r="K765" i="9"/>
  <c r="K309" i="9"/>
  <c r="Z33" i="19"/>
  <c r="Y34" i="19"/>
  <c r="Z34" i="19" s="1"/>
  <c r="AA34" i="19" s="1"/>
  <c r="K116" i="9"/>
  <c r="K117" i="9"/>
  <c r="Q117" i="9"/>
  <c r="Q118" i="9" s="1"/>
  <c r="K1001" i="9"/>
  <c r="Q265" i="9" l="1"/>
  <c r="Q289" i="9"/>
  <c r="Q314" i="9" s="1"/>
  <c r="AA33" i="19"/>
  <c r="AA32" i="19" s="1"/>
  <c r="AA31" i="19" s="1"/>
  <c r="AA30" i="19" s="1"/>
  <c r="AA29" i="19" s="1"/>
  <c r="AA28" i="19" s="1"/>
  <c r="AA27" i="19" s="1"/>
  <c r="AA26" i="19" s="1"/>
  <c r="AA25" i="19" s="1"/>
  <c r="AA24" i="19" s="1"/>
  <c r="AA23" i="19" s="1"/>
  <c r="AA22" i="19" s="1"/>
  <c r="AA21" i="19" s="1"/>
  <c r="AA20" i="19" s="1"/>
  <c r="AA19" i="19" s="1"/>
  <c r="AA18" i="19" s="1"/>
  <c r="AA17" i="19" s="1"/>
  <c r="AA16" i="19" s="1"/>
  <c r="AA15" i="19" s="1"/>
  <c r="AA14" i="19" s="1"/>
  <c r="AA13" i="19" s="1"/>
  <c r="AA12" i="19" s="1"/>
  <c r="AA11" i="19" s="1"/>
  <c r="AA10" i="19" s="1"/>
  <c r="AA9" i="19" s="1"/>
  <c r="AA8" i="19" s="1"/>
  <c r="AA7" i="19" s="1"/>
  <c r="AA6" i="19" s="1"/>
  <c r="AA5" i="19" s="1"/>
  <c r="K29" i="19" s="1"/>
  <c r="I29" i="19" s="1"/>
  <c r="K766" i="9"/>
  <c r="K1137" i="9"/>
  <c r="K286" i="9"/>
  <c r="K262" i="9"/>
  <c r="K118" i="9"/>
  <c r="Q119" i="9"/>
  <c r="K310" i="9"/>
  <c r="K939" i="9"/>
  <c r="Q266" i="9" l="1"/>
  <c r="Q290" i="9"/>
  <c r="Q315" i="9" s="1"/>
  <c r="DZ6" i="14"/>
  <c r="GI8" i="14" s="1"/>
  <c r="K119" i="9"/>
  <c r="Q120" i="9"/>
  <c r="K287" i="9"/>
  <c r="K263" i="9"/>
  <c r="K767" i="9"/>
  <c r="K940" i="9"/>
  <c r="K311" i="9"/>
  <c r="Q267" i="9" l="1"/>
  <c r="Q291" i="9"/>
  <c r="Q316" i="9" s="1"/>
  <c r="K1138" i="9"/>
  <c r="K1139" i="9"/>
  <c r="K652" i="9"/>
  <c r="GI149" i="14"/>
  <c r="GI67" i="14"/>
  <c r="GI32" i="14"/>
  <c r="GI121" i="14"/>
  <c r="GI21" i="14"/>
  <c r="GI27" i="14"/>
  <c r="GI24" i="14"/>
  <c r="GI12" i="14"/>
  <c r="GI58" i="14"/>
  <c r="GI11" i="14"/>
  <c r="GI151" i="14"/>
  <c r="GI37" i="14"/>
  <c r="GI16" i="14"/>
  <c r="GI35" i="14"/>
  <c r="GI125" i="14"/>
  <c r="GI156" i="14"/>
  <c r="GI137" i="14"/>
  <c r="GI143" i="14"/>
  <c r="GI144" i="14"/>
  <c r="GI115" i="14"/>
  <c r="GI25" i="14"/>
  <c r="GI29" i="14"/>
  <c r="GI147" i="14"/>
  <c r="GI152" i="14"/>
  <c r="GI55" i="14"/>
  <c r="GI155" i="14"/>
  <c r="GI14" i="14"/>
  <c r="GI18" i="14"/>
  <c r="GI40" i="14"/>
  <c r="GI135" i="14"/>
  <c r="GI130" i="14"/>
  <c r="GI56" i="14"/>
  <c r="GI63" i="14"/>
  <c r="GI22" i="14"/>
  <c r="GI9" i="14"/>
  <c r="GI134" i="14"/>
  <c r="GI120" i="14"/>
  <c r="GI128" i="14"/>
  <c r="GI146" i="14"/>
  <c r="GI47" i="14"/>
  <c r="GI117" i="14"/>
  <c r="GI61" i="14"/>
  <c r="GI26" i="14"/>
  <c r="GI28" i="14"/>
  <c r="GI30" i="14"/>
  <c r="GI145" i="14"/>
  <c r="GI148" i="14"/>
  <c r="GI150" i="14"/>
  <c r="GI154" i="14"/>
  <c r="GI126" i="14"/>
  <c r="GI114" i="14"/>
  <c r="GI153" i="14"/>
  <c r="GI157" i="14"/>
  <c r="GI13" i="14"/>
  <c r="GI15" i="14"/>
  <c r="GI17" i="14"/>
  <c r="GI19" i="14"/>
  <c r="GI66" i="14"/>
  <c r="GI140" i="14"/>
  <c r="GI158" i="14"/>
  <c r="GJ158" i="14" s="1"/>
  <c r="GI136" i="14"/>
  <c r="GI138" i="14"/>
  <c r="GI38" i="14"/>
  <c r="GI129" i="14"/>
  <c r="GI57" i="14"/>
  <c r="GI62" i="14"/>
  <c r="GI64" i="14"/>
  <c r="GI33" i="14"/>
  <c r="GI7" i="14"/>
  <c r="K768" i="9"/>
  <c r="K288" i="9"/>
  <c r="K264" i="9"/>
  <c r="K941" i="9"/>
  <c r="K312" i="9"/>
  <c r="K120" i="9"/>
  <c r="Q121" i="9"/>
  <c r="Q268" i="9" l="1"/>
  <c r="Q293" i="9" s="1"/>
  <c r="Q318" i="9" s="1"/>
  <c r="Q292" i="9"/>
  <c r="Q317" i="9" s="1"/>
  <c r="K1140" i="9"/>
  <c r="K653" i="9"/>
  <c r="GJ157" i="14"/>
  <c r="GJ156" i="14" s="1"/>
  <c r="GJ155" i="14" s="1"/>
  <c r="GJ154" i="14" s="1"/>
  <c r="GJ153" i="14" s="1"/>
  <c r="GJ152" i="14" s="1"/>
  <c r="GJ151" i="14" s="1"/>
  <c r="GJ150" i="14" s="1"/>
  <c r="GJ149" i="14" s="1"/>
  <c r="GJ148" i="14" s="1"/>
  <c r="GJ147" i="14" s="1"/>
  <c r="GJ146" i="14" s="1"/>
  <c r="GJ145" i="14" s="1"/>
  <c r="GJ144" i="14" s="1"/>
  <c r="GJ143" i="14" s="1"/>
  <c r="GJ142" i="14" s="1"/>
  <c r="GJ141" i="14" s="1"/>
  <c r="GJ140" i="14" s="1"/>
  <c r="GJ139" i="14" s="1"/>
  <c r="GJ138" i="14" s="1"/>
  <c r="GJ137" i="14" s="1"/>
  <c r="GJ136" i="14" s="1"/>
  <c r="GJ135" i="14" s="1"/>
  <c r="GJ134" i="14" s="1"/>
  <c r="GJ133" i="14" s="1"/>
  <c r="GJ132" i="14" s="1"/>
  <c r="GJ131" i="14" s="1"/>
  <c r="GJ130" i="14" s="1"/>
  <c r="GJ129" i="14" s="1"/>
  <c r="GJ128" i="14" s="1"/>
  <c r="GJ127" i="14" s="1"/>
  <c r="GJ126" i="14" s="1"/>
  <c r="GJ125" i="14" s="1"/>
  <c r="GJ124" i="14" s="1"/>
  <c r="GJ123" i="14" s="1"/>
  <c r="GJ122" i="14" s="1"/>
  <c r="GJ121" i="14" s="1"/>
  <c r="GJ120" i="14" s="1"/>
  <c r="GJ119" i="14" s="1"/>
  <c r="GJ118" i="14" s="1"/>
  <c r="GJ117" i="14" s="1"/>
  <c r="GJ116" i="14" s="1"/>
  <c r="GJ115" i="14" s="1"/>
  <c r="GJ114" i="14" s="1"/>
  <c r="GJ113" i="14" s="1"/>
  <c r="GJ112" i="14" s="1"/>
  <c r="GJ111" i="14" s="1"/>
  <c r="GJ110" i="14" s="1"/>
  <c r="GJ109" i="14" s="1"/>
  <c r="GJ108" i="14" s="1"/>
  <c r="GJ107" i="14" s="1"/>
  <c r="GJ106" i="14" s="1"/>
  <c r="GJ105" i="14" s="1"/>
  <c r="GJ104" i="14" s="1"/>
  <c r="GJ103" i="14" s="1"/>
  <c r="GJ102" i="14" s="1"/>
  <c r="GJ101" i="14" s="1"/>
  <c r="GJ100" i="14" s="1"/>
  <c r="GJ99" i="14" s="1"/>
  <c r="GJ98" i="14" s="1"/>
  <c r="GJ97" i="14" s="1"/>
  <c r="GJ96" i="14" s="1"/>
  <c r="GJ95" i="14" s="1"/>
  <c r="GJ94" i="14" s="1"/>
  <c r="GJ93" i="14" s="1"/>
  <c r="GJ92" i="14" s="1"/>
  <c r="GJ91" i="14" s="1"/>
  <c r="GJ90" i="14" s="1"/>
  <c r="GJ89" i="14" s="1"/>
  <c r="GJ88" i="14" s="1"/>
  <c r="GJ87" i="14" s="1"/>
  <c r="GJ86" i="14" s="1"/>
  <c r="GJ85" i="14" s="1"/>
  <c r="GJ84" i="14" s="1"/>
  <c r="GJ83" i="14" s="1"/>
  <c r="GJ82" i="14" s="1"/>
  <c r="GJ81" i="14" s="1"/>
  <c r="GJ80" i="14" s="1"/>
  <c r="GJ79" i="14" s="1"/>
  <c r="GJ78" i="14" s="1"/>
  <c r="GJ77" i="14" s="1"/>
  <c r="GJ76" i="14" s="1"/>
  <c r="GJ75" i="14" s="1"/>
  <c r="GJ74" i="14" s="1"/>
  <c r="GJ73" i="14" s="1"/>
  <c r="GJ72" i="14" s="1"/>
  <c r="GJ71" i="14" s="1"/>
  <c r="GJ70" i="14" s="1"/>
  <c r="GJ69" i="14" s="1"/>
  <c r="GJ68" i="14" s="1"/>
  <c r="GJ67" i="14" s="1"/>
  <c r="GJ66" i="14" s="1"/>
  <c r="GJ65" i="14" s="1"/>
  <c r="GJ64" i="14" s="1"/>
  <c r="GJ63" i="14" s="1"/>
  <c r="GJ62" i="14" s="1"/>
  <c r="GJ61" i="14" s="1"/>
  <c r="GJ60" i="14" s="1"/>
  <c r="GJ59" i="14" s="1"/>
  <c r="GJ58" i="14" s="1"/>
  <c r="GJ57" i="14" s="1"/>
  <c r="GJ56" i="14" s="1"/>
  <c r="GJ55" i="14" s="1"/>
  <c r="GJ54" i="14" s="1"/>
  <c r="GJ53" i="14" s="1"/>
  <c r="GJ52" i="14" s="1"/>
  <c r="GJ51" i="14" s="1"/>
  <c r="GJ50" i="14" s="1"/>
  <c r="GJ49" i="14" s="1"/>
  <c r="GJ48" i="14" s="1"/>
  <c r="GJ47" i="14" s="1"/>
  <c r="GJ46" i="14" s="1"/>
  <c r="GJ45" i="14" s="1"/>
  <c r="GJ44" i="14" s="1"/>
  <c r="GJ43" i="14" s="1"/>
  <c r="GJ42" i="14" s="1"/>
  <c r="GJ41" i="14" s="1"/>
  <c r="GJ40" i="14" s="1"/>
  <c r="GJ39" i="14" s="1"/>
  <c r="GJ38" i="14" s="1"/>
  <c r="GJ37" i="14" s="1"/>
  <c r="GJ36" i="14" s="1"/>
  <c r="GJ35" i="14" s="1"/>
  <c r="GJ34" i="14" s="1"/>
  <c r="GJ33" i="14" s="1"/>
  <c r="GJ32" i="14" s="1"/>
  <c r="GJ31" i="14" s="1"/>
  <c r="GJ30" i="14" s="1"/>
  <c r="GJ29" i="14" s="1"/>
  <c r="GJ28" i="14" s="1"/>
  <c r="GJ27" i="14" s="1"/>
  <c r="GJ26" i="14" s="1"/>
  <c r="GJ25" i="14" s="1"/>
  <c r="GJ24" i="14" s="1"/>
  <c r="GJ23" i="14" s="1"/>
  <c r="GJ22" i="14" s="1"/>
  <c r="GJ21" i="14" s="1"/>
  <c r="GJ20" i="14" s="1"/>
  <c r="GJ19" i="14" s="1"/>
  <c r="GJ18" i="14" s="1"/>
  <c r="GJ17" i="14" s="1"/>
  <c r="GJ16" i="14" s="1"/>
  <c r="GJ15" i="14" s="1"/>
  <c r="GJ14" i="14" s="1"/>
  <c r="GJ13" i="14" s="1"/>
  <c r="GJ12" i="14" s="1"/>
  <c r="GJ11" i="14" s="1"/>
  <c r="Q122" i="9"/>
  <c r="K121" i="9"/>
  <c r="K289" i="9"/>
  <c r="K265" i="9"/>
  <c r="K942" i="9"/>
  <c r="K1141" i="9"/>
  <c r="K313" i="9"/>
  <c r="K769" i="9"/>
  <c r="K654" i="9" l="1"/>
  <c r="K1142" i="9"/>
  <c r="K943" i="9"/>
  <c r="K290" i="9"/>
  <c r="K266" i="9"/>
  <c r="K314" i="9"/>
  <c r="K122" i="9"/>
  <c r="Q123" i="9"/>
  <c r="Q124" i="9" l="1"/>
  <c r="K123" i="9"/>
  <c r="K291" i="9"/>
  <c r="K267" i="9"/>
  <c r="K315" i="9"/>
  <c r="K944" i="9"/>
  <c r="K1144" i="9" l="1"/>
  <c r="K1143" i="9"/>
  <c r="K268" i="9"/>
  <c r="K292" i="9"/>
  <c r="K124" i="9"/>
  <c r="Q125" i="9"/>
  <c r="K945" i="9"/>
  <c r="K316" i="9"/>
  <c r="K1145" i="9" l="1"/>
  <c r="K125" i="9"/>
  <c r="Q126" i="9"/>
  <c r="K317" i="9"/>
  <c r="K946" i="9"/>
  <c r="K293" i="9"/>
  <c r="K1146" i="9" l="1"/>
  <c r="K318" i="9"/>
  <c r="K947" i="9"/>
  <c r="K126" i="9"/>
  <c r="Q127" i="9"/>
  <c r="K1147" i="9" l="1"/>
  <c r="K948" i="9"/>
  <c r="K949" i="9"/>
  <c r="K1148" i="9"/>
  <c r="K127" i="9"/>
  <c r="Q128" i="9"/>
  <c r="K950" i="9"/>
  <c r="K1149" i="9" l="1"/>
  <c r="K128" i="9"/>
  <c r="Q129" i="9"/>
  <c r="K1150" i="9"/>
  <c r="K951" i="9"/>
  <c r="K952" i="9" l="1"/>
  <c r="Q130" i="9"/>
  <c r="K130" i="9" s="1"/>
  <c r="K129" i="9"/>
  <c r="K1151" i="9"/>
  <c r="K1152" i="9" l="1"/>
  <c r="K953" i="9"/>
  <c r="K954" i="9" l="1"/>
  <c r="K955" i="9"/>
  <c r="K1153" i="9"/>
  <c r="K1154" i="9" l="1"/>
  <c r="K1156" i="9" l="1"/>
  <c r="K1155" i="9"/>
  <c r="K666" i="9"/>
  <c r="K1157" i="9" l="1"/>
  <c r="K1158" i="9" l="1"/>
  <c r="K1159" i="9" l="1"/>
  <c r="K1160" i="9"/>
  <c r="K1161" i="9" l="1"/>
  <c r="K1162" i="9" l="1"/>
  <c r="K671" i="9"/>
  <c r="K1163" i="9" l="1"/>
  <c r="K1164" i="9" l="1"/>
  <c r="D16" i="8"/>
  <c r="EM191" i="10" s="1"/>
  <c r="K678" i="9" l="1"/>
  <c r="AI129" i="21"/>
  <c r="I40" i="19" s="1"/>
  <c r="AS129" i="21"/>
  <c r="I41" i="19" s="1"/>
  <c r="FL27" i="18"/>
  <c r="AO203" i="18"/>
  <c r="AS106" i="21"/>
  <c r="AS39" i="21"/>
  <c r="AS116" i="21"/>
  <c r="AS9" i="21"/>
  <c r="K679" i="9" l="1"/>
  <c r="BT191" i="10"/>
  <c r="CO177" i="18"/>
  <c r="J22" i="7" l="1"/>
  <c r="AB22" i="7" s="1"/>
  <c r="AC19" i="7" s="1"/>
  <c r="AC18" i="7" s="1"/>
  <c r="AC17" i="7" s="1"/>
  <c r="AC16" i="7" s="1"/>
  <c r="AC15" i="7" s="1"/>
  <c r="AC14" i="7" s="1"/>
  <c r="AC13" i="7" s="1"/>
  <c r="AC12" i="7" s="1"/>
  <c r="AC11" i="7" s="1"/>
  <c r="AC10" i="7" s="1"/>
  <c r="AC9" i="7" s="1"/>
  <c r="AC8" i="7" s="1"/>
  <c r="G20" i="7" s="1"/>
  <c r="K681" i="9" l="1"/>
  <c r="E112" i="21"/>
  <c r="O112" i="21"/>
  <c r="U6" i="33"/>
  <c r="V6" i="33" s="1"/>
  <c r="U6" i="19"/>
  <c r="V6" i="19" s="1"/>
  <c r="AS83" i="21"/>
  <c r="FL177" i="18" s="1"/>
  <c r="FM177" i="18" s="1"/>
  <c r="FM176" i="18" s="1"/>
  <c r="G140" i="7"/>
  <c r="L140" i="7" s="1"/>
  <c r="M140" i="7" s="1"/>
  <c r="AI83" i="21"/>
  <c r="FL135" i="18" s="1"/>
  <c r="FM135" i="18" s="1"/>
  <c r="FM134" i="18" s="1"/>
  <c r="O83" i="21"/>
  <c r="E108" i="21"/>
  <c r="BD108" i="21"/>
  <c r="BC108" i="21"/>
  <c r="AS108" i="21"/>
  <c r="Z104" i="21"/>
  <c r="BD104" i="21"/>
  <c r="L20" i="7"/>
  <c r="M20" i="7" s="1"/>
  <c r="AT108" i="21"/>
  <c r="F108" i="21"/>
  <c r="F104" i="21"/>
  <c r="O104" i="21"/>
  <c r="P108" i="21"/>
  <c r="AT104" i="21"/>
  <c r="Y83" i="21"/>
  <c r="E83" i="21"/>
  <c r="AI8" i="7"/>
  <c r="Z108" i="21"/>
  <c r="GD171" i="11"/>
  <c r="Y108" i="21"/>
  <c r="O108" i="21"/>
  <c r="E104" i="21"/>
  <c r="AS104" i="21"/>
  <c r="P104" i="21"/>
  <c r="Y104" i="21"/>
  <c r="L22" i="7"/>
  <c r="M22" i="7" s="1"/>
  <c r="L11" i="13"/>
  <c r="D24" i="13" s="1"/>
  <c r="BC83" i="21"/>
  <c r="FL219" i="18" s="1"/>
  <c r="FM219" i="18" s="1"/>
  <c r="FM218" i="18" s="1"/>
  <c r="AI104" i="21"/>
  <c r="BC104" i="21"/>
  <c r="AI108" i="21"/>
  <c r="F27" i="19"/>
  <c r="AJ108" i="21"/>
  <c r="K71" i="9"/>
  <c r="AJ104" i="21"/>
  <c r="AH19" i="7"/>
  <c r="AH18" i="7" s="1"/>
  <c r="AH17" i="7" s="1"/>
  <c r="AH16" i="7" s="1"/>
  <c r="AH15" i="7" s="1"/>
  <c r="AH14" i="7" s="1"/>
  <c r="AH13" i="7" s="1"/>
  <c r="AH12" i="7" s="1"/>
  <c r="AH11" i="7" s="1"/>
  <c r="AH10" i="7" s="1"/>
  <c r="AH9" i="7" s="1"/>
  <c r="AH8" i="7" s="1"/>
  <c r="AD19" i="7"/>
  <c r="AD18" i="7" s="1"/>
  <c r="AD17" i="7" s="1"/>
  <c r="AD16" i="7" s="1"/>
  <c r="AD15" i="7" s="1"/>
  <c r="AD14" i="7" s="1"/>
  <c r="AD13" i="7" s="1"/>
  <c r="AD12" i="7" s="1"/>
  <c r="AD11" i="7" s="1"/>
  <c r="AD10" i="7" s="1"/>
  <c r="AD9" i="7" s="1"/>
  <c r="AD8" i="7" s="1"/>
  <c r="AG19" i="7"/>
  <c r="AG18" i="7" s="1"/>
  <c r="AG17" i="7" s="1"/>
  <c r="AG16" i="7" s="1"/>
  <c r="AG15" i="7" s="1"/>
  <c r="AG14" i="7" s="1"/>
  <c r="AG13" i="7" s="1"/>
  <c r="AG12" i="7" s="1"/>
  <c r="AG11" i="7" s="1"/>
  <c r="AG10" i="7" s="1"/>
  <c r="AG9" i="7" s="1"/>
  <c r="AG8" i="7" s="1"/>
  <c r="AF19" i="7"/>
  <c r="AF18" i="7" s="1"/>
  <c r="AF17" i="7" s="1"/>
  <c r="AF16" i="7" s="1"/>
  <c r="AF15" i="7" s="1"/>
  <c r="AF14" i="7" s="1"/>
  <c r="AF13" i="7" s="1"/>
  <c r="AF12" i="7" s="1"/>
  <c r="AF11" i="7" s="1"/>
  <c r="AF10" i="7" s="1"/>
  <c r="AF9" i="7" s="1"/>
  <c r="AF8" i="7" s="1"/>
  <c r="AE19" i="7"/>
  <c r="AE18" i="7" s="1"/>
  <c r="AE17" i="7" s="1"/>
  <c r="AE16" i="7" s="1"/>
  <c r="AE15" i="7" s="1"/>
  <c r="AE14" i="7" s="1"/>
  <c r="AE13" i="7" s="1"/>
  <c r="AE12" i="7" s="1"/>
  <c r="AE11" i="7" s="1"/>
  <c r="AE10" i="7" s="1"/>
  <c r="AE9" i="7" s="1"/>
  <c r="AE8" i="7" s="1"/>
  <c r="D54" i="26"/>
  <c r="AE19" i="26"/>
  <c r="Y102" i="21" l="1"/>
  <c r="Y38" i="21" s="1"/>
  <c r="O106" i="21"/>
  <c r="O39" i="21" s="1"/>
  <c r="O116" i="21" s="1"/>
  <c r="O9" i="21" s="1"/>
  <c r="CO51" i="18" s="1"/>
  <c r="Y106" i="21"/>
  <c r="Y39" i="21" s="1"/>
  <c r="Y116" i="21" s="1"/>
  <c r="Y9" i="21" s="1"/>
  <c r="BT157" i="10" s="1"/>
  <c r="AD103" i="18"/>
  <c r="Y22" i="21"/>
  <c r="L22" i="8"/>
  <c r="K16" i="6" s="1"/>
  <c r="O22" i="21"/>
  <c r="AD61" i="18"/>
  <c r="O102" i="21"/>
  <c r="O38" i="21" s="1"/>
  <c r="E102" i="21"/>
  <c r="E38" i="21" s="1"/>
  <c r="E106" i="21"/>
  <c r="E39" i="21" s="1"/>
  <c r="E116" i="21" s="1"/>
  <c r="CO15" i="18" s="1"/>
  <c r="E22" i="21"/>
  <c r="AD19" i="18"/>
  <c r="GD175" i="11"/>
  <c r="CB171" i="11"/>
  <c r="U7" i="33"/>
  <c r="CX124" i="10"/>
  <c r="AN5" i="19"/>
  <c r="AN5" i="33"/>
  <c r="AF5" i="33"/>
  <c r="AF5" i="19"/>
  <c r="K11" i="19"/>
  <c r="I11" i="19" s="1"/>
  <c r="K11" i="33"/>
  <c r="I11" i="33" s="1"/>
  <c r="G11" i="33" s="1"/>
  <c r="GE171" i="11"/>
  <c r="BB131" i="21"/>
  <c r="BB168" i="21"/>
  <c r="D167" i="21"/>
  <c r="AH201" i="21"/>
  <c r="N201" i="21"/>
  <c r="AR140" i="21"/>
  <c r="BB171" i="21"/>
  <c r="D200" i="21"/>
  <c r="BB198" i="21"/>
  <c r="BB132" i="21"/>
  <c r="BB138" i="21"/>
  <c r="X174" i="21"/>
  <c r="N184" i="21"/>
  <c r="BB155" i="21"/>
  <c r="D136" i="21"/>
  <c r="BB160" i="21"/>
  <c r="D177" i="21"/>
  <c r="BB151" i="21"/>
  <c r="BB197" i="21"/>
  <c r="X196" i="21"/>
  <c r="D154" i="21"/>
  <c r="D156" i="21"/>
  <c r="N162" i="21"/>
  <c r="BB161" i="21"/>
  <c r="BB156" i="21"/>
  <c r="D161" i="21"/>
  <c r="D197" i="21"/>
  <c r="X132" i="21"/>
  <c r="X170" i="21"/>
  <c r="BB136" i="21"/>
  <c r="N176" i="21"/>
  <c r="D170" i="21"/>
  <c r="BB185" i="21"/>
  <c r="AR176" i="21"/>
  <c r="D137" i="21"/>
  <c r="N181" i="21"/>
  <c r="N173" i="21"/>
  <c r="BB170" i="21"/>
  <c r="BB183" i="21"/>
  <c r="AH177" i="21"/>
  <c r="BB186" i="21"/>
  <c r="AH194" i="21"/>
  <c r="BB133" i="21"/>
  <c r="AH178" i="21"/>
  <c r="X175" i="21"/>
  <c r="BB140" i="21"/>
  <c r="N198" i="21"/>
  <c r="AH142" i="21"/>
  <c r="BB177" i="21"/>
  <c r="BB159" i="21"/>
  <c r="N133" i="21"/>
  <c r="N147" i="21"/>
  <c r="BB192" i="21"/>
  <c r="D141" i="21"/>
  <c r="X154" i="21"/>
  <c r="D186" i="21"/>
  <c r="X167" i="21"/>
  <c r="N175" i="21"/>
  <c r="X155" i="21"/>
  <c r="AH139" i="21"/>
  <c r="N135" i="21"/>
  <c r="D151" i="21"/>
  <c r="D181" i="21"/>
  <c r="D147" i="21"/>
  <c r="AR133" i="21"/>
  <c r="AH143" i="21"/>
  <c r="N165" i="21"/>
  <c r="AR160" i="21"/>
  <c r="X187" i="21"/>
  <c r="BB152" i="21"/>
  <c r="N191" i="21"/>
  <c r="N179" i="21"/>
  <c r="AH151" i="21"/>
  <c r="X190" i="21"/>
  <c r="AR188" i="21"/>
  <c r="D183" i="21"/>
  <c r="BB134" i="21"/>
  <c r="N192" i="21"/>
  <c r="AR195" i="21"/>
  <c r="N195" i="21"/>
  <c r="D163" i="21"/>
  <c r="X135" i="21"/>
  <c r="N142" i="21"/>
  <c r="X133" i="21"/>
  <c r="AH181" i="21"/>
  <c r="N160" i="21"/>
  <c r="AH155" i="21"/>
  <c r="X192" i="21"/>
  <c r="D138" i="21"/>
  <c r="N163" i="21"/>
  <c r="D193" i="21"/>
  <c r="AR149" i="21"/>
  <c r="D185" i="21"/>
  <c r="AR164" i="21"/>
  <c r="N170" i="21"/>
  <c r="N150" i="21"/>
  <c r="X198" i="21"/>
  <c r="AH190" i="21"/>
  <c r="N153" i="21"/>
  <c r="X178" i="21"/>
  <c r="N164" i="21"/>
  <c r="AR177" i="21"/>
  <c r="D157" i="21"/>
  <c r="X140" i="21"/>
  <c r="X177" i="21"/>
  <c r="X172" i="21"/>
  <c r="D172" i="21"/>
  <c r="N154" i="21"/>
  <c r="BB139" i="21"/>
  <c r="D132" i="21"/>
  <c r="X176" i="21"/>
  <c r="X171" i="21"/>
  <c r="BB187" i="21"/>
  <c r="AR138" i="21"/>
  <c r="X185" i="21"/>
  <c r="BB165" i="21"/>
  <c r="D201" i="21"/>
  <c r="X156" i="21"/>
  <c r="D144" i="21"/>
  <c r="X166" i="21"/>
  <c r="N174" i="21"/>
  <c r="D166" i="21"/>
  <c r="AH158" i="21"/>
  <c r="AH173" i="21"/>
  <c r="AH165" i="21"/>
  <c r="AH195" i="21"/>
  <c r="BB172" i="21"/>
  <c r="X144" i="21"/>
  <c r="AH175" i="21"/>
  <c r="D178" i="21"/>
  <c r="D190" i="21"/>
  <c r="D139" i="21"/>
  <c r="N168" i="21"/>
  <c r="BB164" i="21"/>
  <c r="N166" i="21"/>
  <c r="D133" i="21"/>
  <c r="N132" i="21"/>
  <c r="AH134" i="21"/>
  <c r="X142" i="21"/>
  <c r="D171" i="21"/>
  <c r="AR169" i="21"/>
  <c r="BB195" i="21"/>
  <c r="AR175" i="21"/>
  <c r="BB163" i="21"/>
  <c r="D199" i="21"/>
  <c r="X148" i="21"/>
  <c r="BB137" i="21"/>
  <c r="BB166" i="21"/>
  <c r="AR178" i="21"/>
  <c r="X159" i="21"/>
  <c r="X184" i="21"/>
  <c r="AR167" i="21"/>
  <c r="D173" i="21"/>
  <c r="N149" i="21"/>
  <c r="BB154" i="21"/>
  <c r="AR182" i="21"/>
  <c r="AH171" i="21"/>
  <c r="X150" i="21"/>
  <c r="BB175" i="21"/>
  <c r="AR168" i="21"/>
  <c r="AR173" i="21"/>
  <c r="BB173" i="21"/>
  <c r="AR172" i="21"/>
  <c r="X165" i="21"/>
  <c r="X200" i="21"/>
  <c r="BB162" i="21"/>
  <c r="N152" i="21"/>
  <c r="X169" i="21"/>
  <c r="AH157" i="21"/>
  <c r="D152" i="21"/>
  <c r="N193" i="21"/>
  <c r="BB144" i="21"/>
  <c r="X146" i="21"/>
  <c r="AH192" i="21"/>
  <c r="D184" i="21"/>
  <c r="D135" i="21"/>
  <c r="AH191" i="21"/>
  <c r="AH160" i="21"/>
  <c r="D179" i="21"/>
  <c r="BB182" i="21"/>
  <c r="AR150" i="21"/>
  <c r="D145" i="21"/>
  <c r="AH174" i="21"/>
  <c r="N196" i="21"/>
  <c r="AR184" i="21"/>
  <c r="AH179" i="21"/>
  <c r="AH186" i="21"/>
  <c r="AH187" i="21"/>
  <c r="AH182" i="21"/>
  <c r="BB150" i="21"/>
  <c r="BB202" i="21"/>
  <c r="X181" i="21"/>
  <c r="BB153" i="21"/>
  <c r="AH133" i="21"/>
  <c r="N188" i="21"/>
  <c r="D176" i="21"/>
  <c r="BB145" i="21"/>
  <c r="N177" i="21"/>
  <c r="BB201" i="21"/>
  <c r="X191" i="21"/>
  <c r="BB200" i="21"/>
  <c r="X202" i="21"/>
  <c r="X149" i="21"/>
  <c r="AH138" i="21"/>
  <c r="D153" i="21"/>
  <c r="AH156" i="21"/>
  <c r="D188" i="21"/>
  <c r="N155" i="21"/>
  <c r="N199" i="21"/>
  <c r="AH131" i="21"/>
  <c r="N185" i="21"/>
  <c r="X195" i="21"/>
  <c r="D149" i="21"/>
  <c r="D143" i="21"/>
  <c r="N182" i="21"/>
  <c r="X182" i="21"/>
  <c r="BB146" i="21"/>
  <c r="AR158" i="21"/>
  <c r="AH176" i="21"/>
  <c r="X153" i="21"/>
  <c r="AR157" i="21"/>
  <c r="D146" i="21"/>
  <c r="D131" i="21"/>
  <c r="X158" i="21"/>
  <c r="N156" i="21"/>
  <c r="BB143" i="21"/>
  <c r="D148" i="21"/>
  <c r="N139" i="21"/>
  <c r="N143" i="21"/>
  <c r="N138" i="21"/>
  <c r="BB189" i="21"/>
  <c r="D158" i="21"/>
  <c r="AR156" i="21"/>
  <c r="BB176" i="21"/>
  <c r="N151" i="21"/>
  <c r="BB174" i="21"/>
  <c r="AR193" i="21"/>
  <c r="AR148" i="21"/>
  <c r="BB178" i="21"/>
  <c r="N159" i="21"/>
  <c r="N145" i="21"/>
  <c r="N148" i="21"/>
  <c r="BB142" i="21"/>
  <c r="AH168" i="21"/>
  <c r="D159" i="21"/>
  <c r="AH149" i="21"/>
  <c r="N140" i="21"/>
  <c r="AH136" i="21"/>
  <c r="AR199" i="21"/>
  <c r="BB184" i="21"/>
  <c r="AR171" i="21"/>
  <c r="AH167" i="21"/>
  <c r="D165" i="21"/>
  <c r="AR190" i="21"/>
  <c r="AR189" i="21"/>
  <c r="X137" i="21"/>
  <c r="D142" i="21"/>
  <c r="N200" i="21"/>
  <c r="D195" i="21"/>
  <c r="X141" i="21"/>
  <c r="AH150" i="21"/>
  <c r="BB147" i="21"/>
  <c r="AR201" i="21"/>
  <c r="AH180" i="21"/>
  <c r="N187" i="21"/>
  <c r="D187" i="21"/>
  <c r="AR145" i="21"/>
  <c r="N158" i="21"/>
  <c r="X183" i="21"/>
  <c r="BB167" i="21"/>
  <c r="X136" i="21"/>
  <c r="X164" i="21"/>
  <c r="BB180" i="21"/>
  <c r="D180" i="21"/>
  <c r="AR136" i="21"/>
  <c r="AH147" i="21"/>
  <c r="AH166" i="21"/>
  <c r="BB149" i="21"/>
  <c r="X162" i="21"/>
  <c r="N137" i="21"/>
  <c r="AH196" i="21"/>
  <c r="AH140" i="21"/>
  <c r="AR185" i="21"/>
  <c r="AH200" i="21"/>
  <c r="X138" i="21"/>
  <c r="X161" i="21"/>
  <c r="BB203" i="21"/>
  <c r="AR174" i="21"/>
  <c r="AH145" i="21"/>
  <c r="X203" i="21"/>
  <c r="D134" i="21"/>
  <c r="N183" i="21"/>
  <c r="AR200" i="21"/>
  <c r="D168" i="21"/>
  <c r="D150" i="21"/>
  <c r="N190" i="21"/>
  <c r="AR191" i="21"/>
  <c r="AH161" i="21"/>
  <c r="D196" i="21"/>
  <c r="X163" i="21"/>
  <c r="X194" i="21"/>
  <c r="AR161" i="21"/>
  <c r="N194" i="21"/>
  <c r="AH188" i="21"/>
  <c r="N203" i="21"/>
  <c r="AH154" i="21"/>
  <c r="AR162" i="21"/>
  <c r="AH198" i="21"/>
  <c r="X197" i="21"/>
  <c r="AH169" i="21"/>
  <c r="N161" i="21"/>
  <c r="AH202" i="21"/>
  <c r="D194" i="21"/>
  <c r="X173" i="21"/>
  <c r="AR181" i="21"/>
  <c r="AR180" i="21"/>
  <c r="AR137" i="21"/>
  <c r="AR142" i="21"/>
  <c r="BB181" i="21"/>
  <c r="AR134" i="21"/>
  <c r="AR187" i="21"/>
  <c r="AR159" i="21"/>
  <c r="N186" i="21"/>
  <c r="AH170" i="21"/>
  <c r="D155" i="21"/>
  <c r="AH162" i="21"/>
  <c r="AR155" i="21"/>
  <c r="X180" i="21"/>
  <c r="AH199" i="21"/>
  <c r="AR146" i="21"/>
  <c r="AR192" i="21"/>
  <c r="AR166" i="21"/>
  <c r="AH137" i="21"/>
  <c r="AH172" i="21"/>
  <c r="X157" i="21"/>
  <c r="AR147" i="21"/>
  <c r="AH141" i="21"/>
  <c r="N202" i="21"/>
  <c r="N157" i="21"/>
  <c r="D175" i="21"/>
  <c r="D182" i="21"/>
  <c r="D203" i="21"/>
  <c r="AR170" i="21"/>
  <c r="AH189" i="21"/>
  <c r="N167" i="21"/>
  <c r="BB199" i="21"/>
  <c r="AH164" i="21"/>
  <c r="BB179" i="21"/>
  <c r="AR144" i="21"/>
  <c r="AR202" i="21"/>
  <c r="X131" i="21"/>
  <c r="AH146" i="21"/>
  <c r="AH148" i="21"/>
  <c r="BB190" i="21"/>
  <c r="AR194" i="21"/>
  <c r="AH144" i="21"/>
  <c r="AR165" i="21"/>
  <c r="AH183" i="21"/>
  <c r="AH132" i="21"/>
  <c r="X188" i="21"/>
  <c r="X152" i="21"/>
  <c r="AR154" i="21"/>
  <c r="AH159" i="21"/>
  <c r="AR151" i="21"/>
  <c r="BB148" i="21"/>
  <c r="AR135" i="21"/>
  <c r="BB141" i="21"/>
  <c r="AH153" i="21"/>
  <c r="X189" i="21"/>
  <c r="X160" i="21"/>
  <c r="N197" i="21"/>
  <c r="N146" i="21"/>
  <c r="N169" i="21"/>
  <c r="AH135" i="21"/>
  <c r="AR203" i="21"/>
  <c r="AR186" i="21"/>
  <c r="D198" i="21"/>
  <c r="AR131" i="21"/>
  <c r="N189" i="21"/>
  <c r="X186" i="21"/>
  <c r="BB135" i="21"/>
  <c r="N172" i="21"/>
  <c r="BB194" i="21"/>
  <c r="X179" i="21"/>
  <c r="D191" i="21"/>
  <c r="BB157" i="21"/>
  <c r="X147" i="21"/>
  <c r="D192" i="21"/>
  <c r="AH185" i="21"/>
  <c r="N134" i="21"/>
  <c r="AR163" i="21"/>
  <c r="N141" i="21"/>
  <c r="AH193" i="21"/>
  <c r="AR179" i="21"/>
  <c r="D164" i="21"/>
  <c r="N136" i="21"/>
  <c r="X199" i="21"/>
  <c r="N144" i="21"/>
  <c r="BB191" i="21"/>
  <c r="BB158" i="21"/>
  <c r="X145" i="21"/>
  <c r="X168" i="21"/>
  <c r="X151" i="21"/>
  <c r="D189" i="21"/>
  <c r="AH184" i="21"/>
  <c r="D162" i="21"/>
  <c r="AR197" i="21"/>
  <c r="D140" i="21"/>
  <c r="AH163" i="21"/>
  <c r="AR196" i="21"/>
  <c r="D160" i="21"/>
  <c r="AR198" i="21"/>
  <c r="AR152" i="21"/>
  <c r="N180" i="21"/>
  <c r="N171" i="21"/>
  <c r="D169" i="21"/>
  <c r="X201" i="21"/>
  <c r="X143" i="21"/>
  <c r="AR139" i="21"/>
  <c r="AR132" i="21"/>
  <c r="BB188" i="21"/>
  <c r="AR153" i="21"/>
  <c r="AR183" i="21"/>
  <c r="AH203" i="21"/>
  <c r="AH197" i="21"/>
  <c r="N131" i="21"/>
  <c r="X193" i="21"/>
  <c r="N178" i="21"/>
  <c r="BB169" i="21"/>
  <c r="BB196" i="21"/>
  <c r="D202" i="21"/>
  <c r="BB193" i="21"/>
  <c r="AH152" i="21"/>
  <c r="X139" i="21"/>
  <c r="AR141" i="21"/>
  <c r="D174" i="21"/>
  <c r="X134" i="21"/>
  <c r="AR143" i="21"/>
  <c r="U7" i="19"/>
  <c r="BO52" i="26"/>
  <c r="K683" i="9" l="1"/>
  <c r="BW140" i="10"/>
  <c r="CO93" i="18"/>
  <c r="P16" i="6"/>
  <c r="GH46" i="11" s="1"/>
  <c r="O16" i="6"/>
  <c r="CV46" i="11" s="1"/>
  <c r="DB70" i="10" s="1"/>
  <c r="AS114" i="21"/>
  <c r="FG118" i="11"/>
  <c r="FG34" i="11"/>
  <c r="FG142" i="11"/>
  <c r="FG46" i="11"/>
  <c r="FG124" i="11"/>
  <c r="FG64" i="11"/>
  <c r="K32" i="6"/>
  <c r="E114" i="21"/>
  <c r="E110" i="21" s="1"/>
  <c r="FG88" i="11"/>
  <c r="FG58" i="11"/>
  <c r="O114" i="21"/>
  <c r="FW4" i="14" s="1"/>
  <c r="FG160" i="11"/>
  <c r="FG76" i="11"/>
  <c r="K11" i="6"/>
  <c r="FG154" i="11"/>
  <c r="FG70" i="11"/>
  <c r="FG28" i="11"/>
  <c r="K17" i="6"/>
  <c r="K30" i="6"/>
  <c r="FG22" i="11"/>
  <c r="FG112" i="11"/>
  <c r="Y114" i="21"/>
  <c r="FG40" i="11"/>
  <c r="FG16" i="11"/>
  <c r="FG94" i="11"/>
  <c r="FG52" i="11"/>
  <c r="AI114" i="21"/>
  <c r="BC114" i="21"/>
  <c r="K12" i="6"/>
  <c r="FG148" i="11"/>
  <c r="FG106" i="11"/>
  <c r="FG100" i="11"/>
  <c r="FG82" i="11"/>
  <c r="FG136" i="11"/>
  <c r="K14" i="6"/>
  <c r="FG130" i="11"/>
  <c r="E9" i="21"/>
  <c r="CO9" i="18" s="1"/>
  <c r="GE175" i="11"/>
  <c r="DS171" i="11"/>
  <c r="GD179" i="11"/>
  <c r="CB175" i="11"/>
  <c r="AV141" i="21"/>
  <c r="AY141" i="21"/>
  <c r="AS141" i="21"/>
  <c r="AW141" i="21"/>
  <c r="AZ141" i="21"/>
  <c r="AU141" i="21"/>
  <c r="S171" i="21"/>
  <c r="O171" i="21"/>
  <c r="V171" i="21"/>
  <c r="Q171" i="21"/>
  <c r="U171" i="21"/>
  <c r="R171" i="21"/>
  <c r="AA151" i="21"/>
  <c r="AC151" i="21"/>
  <c r="AB151" i="21"/>
  <c r="AF151" i="21"/>
  <c r="AE151" i="21"/>
  <c r="AU143" i="21"/>
  <c r="AZ143" i="21"/>
  <c r="AS143" i="21"/>
  <c r="AW143" i="21"/>
  <c r="AY143" i="21"/>
  <c r="AV143" i="21"/>
  <c r="AA139" i="21"/>
  <c r="AB139" i="21"/>
  <c r="Y139" i="21"/>
  <c r="AF139" i="21"/>
  <c r="AC139" i="21"/>
  <c r="AE139" i="21"/>
  <c r="BJ196" i="21"/>
  <c r="BC196" i="21"/>
  <c r="BI196" i="21"/>
  <c r="BE196" i="21"/>
  <c r="BG196" i="21"/>
  <c r="BF196" i="21"/>
  <c r="U131" i="21"/>
  <c r="Q131" i="21"/>
  <c r="V131" i="21"/>
  <c r="R131" i="21"/>
  <c r="O131" i="21"/>
  <c r="S131" i="21"/>
  <c r="AV153" i="21"/>
  <c r="AU153" i="21"/>
  <c r="AZ153" i="21"/>
  <c r="AS153" i="21"/>
  <c r="AW153" i="21"/>
  <c r="AY153" i="21"/>
  <c r="Y143" i="21"/>
  <c r="AC143" i="21"/>
  <c r="AA143" i="21"/>
  <c r="AE143" i="21"/>
  <c r="AF143" i="21"/>
  <c r="AB143" i="21"/>
  <c r="O180" i="21"/>
  <c r="V180" i="21"/>
  <c r="Q180" i="21"/>
  <c r="R180" i="21"/>
  <c r="U180" i="21"/>
  <c r="S180" i="21"/>
  <c r="AU196" i="21"/>
  <c r="AV196" i="21"/>
  <c r="AZ196" i="21"/>
  <c r="AW196" i="21"/>
  <c r="AS196" i="21"/>
  <c r="AY196" i="21"/>
  <c r="E162" i="21"/>
  <c r="H162" i="21"/>
  <c r="G162" i="21"/>
  <c r="K162" i="21"/>
  <c r="L162" i="21"/>
  <c r="I162" i="21"/>
  <c r="Y168" i="21"/>
  <c r="AE168" i="21"/>
  <c r="AF168" i="21"/>
  <c r="AA168" i="21"/>
  <c r="AB168" i="21"/>
  <c r="AC168" i="21"/>
  <c r="Q144" i="21"/>
  <c r="R144" i="21"/>
  <c r="O144" i="21"/>
  <c r="S144" i="21"/>
  <c r="V144" i="21"/>
  <c r="U144" i="21"/>
  <c r="AS179" i="21"/>
  <c r="AV179" i="21"/>
  <c r="AU179" i="21"/>
  <c r="AY179" i="21"/>
  <c r="AZ179" i="21"/>
  <c r="AW179" i="21"/>
  <c r="Q134" i="21"/>
  <c r="V134" i="21"/>
  <c r="U134" i="21"/>
  <c r="R134" i="21"/>
  <c r="O134" i="21"/>
  <c r="S134" i="21"/>
  <c r="BC157" i="21"/>
  <c r="BF157" i="21"/>
  <c r="BI157" i="21"/>
  <c r="BJ157" i="21"/>
  <c r="BE157" i="21"/>
  <c r="BG157" i="21"/>
  <c r="Q172" i="21"/>
  <c r="R172" i="21"/>
  <c r="V172" i="21"/>
  <c r="U172" i="21"/>
  <c r="S172" i="21"/>
  <c r="O172" i="21"/>
  <c r="AZ131" i="21"/>
  <c r="AY131" i="21"/>
  <c r="AU131" i="21"/>
  <c r="AW131" i="21"/>
  <c r="AV131" i="21"/>
  <c r="AS131" i="21"/>
  <c r="AK135" i="21"/>
  <c r="AL135" i="21"/>
  <c r="AM135" i="21"/>
  <c r="AO135" i="21"/>
  <c r="AP135" i="21"/>
  <c r="AI135" i="21"/>
  <c r="AC160" i="21"/>
  <c r="Y160" i="21"/>
  <c r="AB160" i="21"/>
  <c r="AE160" i="21"/>
  <c r="AF160" i="21"/>
  <c r="AA160" i="21"/>
  <c r="AS135" i="21"/>
  <c r="AW135" i="21"/>
  <c r="AZ135" i="21"/>
  <c r="AU135" i="21"/>
  <c r="AY135" i="21"/>
  <c r="AV135" i="21"/>
  <c r="AZ154" i="21"/>
  <c r="AS154" i="21"/>
  <c r="AV154" i="21"/>
  <c r="AY154" i="21"/>
  <c r="AW154" i="21"/>
  <c r="AU154" i="21"/>
  <c r="AI183" i="21"/>
  <c r="AP183" i="21"/>
  <c r="AK183" i="21"/>
  <c r="AL183" i="21"/>
  <c r="AM183" i="21"/>
  <c r="AO183" i="21"/>
  <c r="BC190" i="21"/>
  <c r="BJ190" i="21"/>
  <c r="BG190" i="21"/>
  <c r="BF190" i="21"/>
  <c r="BE190" i="21"/>
  <c r="BI190" i="21"/>
  <c r="AU202" i="21"/>
  <c r="AZ202" i="21"/>
  <c r="AV202" i="21"/>
  <c r="AW202" i="21"/>
  <c r="AS202" i="21"/>
  <c r="AY202" i="21"/>
  <c r="BI199" i="21"/>
  <c r="BJ199" i="21"/>
  <c r="BG199" i="21"/>
  <c r="BE199" i="21"/>
  <c r="BF199" i="21"/>
  <c r="K203" i="21"/>
  <c r="I203" i="21"/>
  <c r="H203" i="21"/>
  <c r="G203" i="21"/>
  <c r="L203" i="21"/>
  <c r="O202" i="21"/>
  <c r="R202" i="21"/>
  <c r="S202" i="21"/>
  <c r="V202" i="21"/>
  <c r="Q202" i="21"/>
  <c r="U202" i="21"/>
  <c r="AK172" i="21"/>
  <c r="AO172" i="21"/>
  <c r="AL172" i="21"/>
  <c r="AM172" i="21"/>
  <c r="AI172" i="21"/>
  <c r="AP172" i="21"/>
  <c r="AU146" i="21"/>
  <c r="AW146" i="21"/>
  <c r="AZ146" i="21"/>
  <c r="AV146" i="21"/>
  <c r="AS146" i="21"/>
  <c r="AY146" i="21"/>
  <c r="AK162" i="21"/>
  <c r="AL162" i="21"/>
  <c r="AM162" i="21"/>
  <c r="AI162" i="21"/>
  <c r="AP162" i="21"/>
  <c r="AO162" i="21"/>
  <c r="AU159" i="21"/>
  <c r="AY159" i="21"/>
  <c r="AS159" i="21"/>
  <c r="AV159" i="21"/>
  <c r="AZ159" i="21"/>
  <c r="AW159" i="21"/>
  <c r="AS142" i="21"/>
  <c r="AY142" i="21"/>
  <c r="AU142" i="21"/>
  <c r="AZ142" i="21"/>
  <c r="AV142" i="21"/>
  <c r="AW142" i="21"/>
  <c r="AA173" i="21"/>
  <c r="AC173" i="21"/>
  <c r="AB173" i="21"/>
  <c r="Y173" i="21"/>
  <c r="AF173" i="21"/>
  <c r="AE173" i="21"/>
  <c r="AL169" i="21"/>
  <c r="AO169" i="21"/>
  <c r="AI169" i="21"/>
  <c r="AK169" i="21"/>
  <c r="AP169" i="21"/>
  <c r="AM169" i="21"/>
  <c r="AK154" i="21"/>
  <c r="AI154" i="21"/>
  <c r="AP154" i="21"/>
  <c r="AO154" i="21"/>
  <c r="AM154" i="21"/>
  <c r="AL154" i="21"/>
  <c r="AV161" i="21"/>
  <c r="AY161" i="21"/>
  <c r="AU161" i="21"/>
  <c r="AZ161" i="21"/>
  <c r="AS161" i="21"/>
  <c r="AW161" i="21"/>
  <c r="AK161" i="21"/>
  <c r="AO161" i="21"/>
  <c r="AM161" i="21"/>
  <c r="AI161" i="21"/>
  <c r="AL161" i="21"/>
  <c r="AP161" i="21"/>
  <c r="E168" i="21"/>
  <c r="K168" i="21"/>
  <c r="I168" i="21"/>
  <c r="G168" i="21"/>
  <c r="H168" i="21"/>
  <c r="L168" i="21"/>
  <c r="AA203" i="21"/>
  <c r="AF203" i="21"/>
  <c r="AC203" i="21"/>
  <c r="AE203" i="21"/>
  <c r="Y203" i="21"/>
  <c r="AG203" i="21" s="1"/>
  <c r="AB203" i="21"/>
  <c r="AB161" i="21"/>
  <c r="Y161" i="21"/>
  <c r="AA161" i="21"/>
  <c r="AE161" i="21"/>
  <c r="AF161" i="21"/>
  <c r="AC161" i="21"/>
  <c r="AI140" i="21"/>
  <c r="AL140" i="21"/>
  <c r="AP140" i="21"/>
  <c r="AK140" i="21"/>
  <c r="AO140" i="21"/>
  <c r="AM140" i="21"/>
  <c r="BC149" i="21"/>
  <c r="BG149" i="21"/>
  <c r="BE149" i="21"/>
  <c r="BF149" i="21"/>
  <c r="BI149" i="21"/>
  <c r="BJ149" i="21"/>
  <c r="E180" i="21"/>
  <c r="G180" i="21"/>
  <c r="H180" i="21"/>
  <c r="L180" i="21"/>
  <c r="K180" i="21"/>
  <c r="I180" i="21"/>
  <c r="BC167" i="21"/>
  <c r="BE167" i="21"/>
  <c r="BJ167" i="21"/>
  <c r="BG167" i="21"/>
  <c r="BF167" i="21"/>
  <c r="BI167" i="21"/>
  <c r="G187" i="21"/>
  <c r="H187" i="21"/>
  <c r="E187" i="21"/>
  <c r="K187" i="21"/>
  <c r="I187" i="21"/>
  <c r="L187" i="21"/>
  <c r="BJ147" i="21"/>
  <c r="BE147" i="21"/>
  <c r="BF147" i="21"/>
  <c r="BI147" i="21"/>
  <c r="BG147" i="21"/>
  <c r="Q200" i="21"/>
  <c r="S200" i="21"/>
  <c r="U200" i="21"/>
  <c r="R200" i="21"/>
  <c r="V200" i="21"/>
  <c r="AS190" i="21"/>
  <c r="AU190" i="21"/>
  <c r="AY190" i="21"/>
  <c r="AV190" i="21"/>
  <c r="AZ190" i="21"/>
  <c r="AW190" i="21"/>
  <c r="BC184" i="21"/>
  <c r="BJ184" i="21"/>
  <c r="BF184" i="21"/>
  <c r="BG184" i="21"/>
  <c r="BI184" i="21"/>
  <c r="BE184" i="21"/>
  <c r="AK149" i="21"/>
  <c r="AP149" i="21"/>
  <c r="AM149" i="21"/>
  <c r="AO149" i="21"/>
  <c r="AL149" i="21"/>
  <c r="AI149" i="21"/>
  <c r="Q148" i="21"/>
  <c r="R148" i="21"/>
  <c r="U148" i="21"/>
  <c r="S148" i="21"/>
  <c r="V148" i="21"/>
  <c r="O148" i="21"/>
  <c r="AU148" i="21"/>
  <c r="AZ148" i="21"/>
  <c r="AW148" i="21"/>
  <c r="AV148" i="21"/>
  <c r="AY148" i="21"/>
  <c r="AS148" i="21"/>
  <c r="BE176" i="21"/>
  <c r="BJ176" i="21"/>
  <c r="BI176" i="21"/>
  <c r="BG176" i="21"/>
  <c r="BF176" i="21"/>
  <c r="BC176" i="21"/>
  <c r="Q138" i="21"/>
  <c r="R138" i="21"/>
  <c r="U138" i="21"/>
  <c r="S138" i="21"/>
  <c r="V138" i="21"/>
  <c r="O138" i="21"/>
  <c r="BE143" i="21"/>
  <c r="BI143" i="21"/>
  <c r="BG143" i="21"/>
  <c r="BF143" i="21"/>
  <c r="BJ143" i="21"/>
  <c r="BC143" i="21"/>
  <c r="E146" i="21"/>
  <c r="G146" i="21"/>
  <c r="L146" i="21"/>
  <c r="I146" i="21"/>
  <c r="K146" i="21"/>
  <c r="H146" i="21"/>
  <c r="AU158" i="21"/>
  <c r="AW158" i="21"/>
  <c r="AZ158" i="21"/>
  <c r="AV158" i="21"/>
  <c r="AS158" i="21"/>
  <c r="AY158" i="21"/>
  <c r="G143" i="21"/>
  <c r="L143" i="21"/>
  <c r="K143" i="21"/>
  <c r="I143" i="21"/>
  <c r="E143" i="21"/>
  <c r="H143" i="21"/>
  <c r="AK131" i="21"/>
  <c r="AO131" i="21"/>
  <c r="AP131" i="21"/>
  <c r="AM131" i="21"/>
  <c r="AI131" i="21"/>
  <c r="AL131" i="21"/>
  <c r="AI156" i="21"/>
  <c r="AO156" i="21"/>
  <c r="AP156" i="21"/>
  <c r="AL156" i="21"/>
  <c r="AK156" i="21"/>
  <c r="AM156" i="21"/>
  <c r="AA202" i="21"/>
  <c r="AF202" i="21"/>
  <c r="AB202" i="21"/>
  <c r="AE202" i="21"/>
  <c r="Y202" i="21"/>
  <c r="AC202" i="21"/>
  <c r="O177" i="21"/>
  <c r="S177" i="21"/>
  <c r="V177" i="21"/>
  <c r="U177" i="21"/>
  <c r="Q177" i="21"/>
  <c r="R177" i="21"/>
  <c r="AK133" i="21"/>
  <c r="AI133" i="21"/>
  <c r="AP133" i="21"/>
  <c r="AL133" i="21"/>
  <c r="AO133" i="21"/>
  <c r="AM133" i="21"/>
  <c r="BC150" i="21"/>
  <c r="BJ150" i="21"/>
  <c r="BF150" i="21"/>
  <c r="BI150" i="21"/>
  <c r="BG150" i="21"/>
  <c r="BE150" i="21"/>
  <c r="AI179" i="21"/>
  <c r="AP179" i="21"/>
  <c r="AM179" i="21"/>
  <c r="AK179" i="21"/>
  <c r="AL179" i="21"/>
  <c r="AO179" i="21"/>
  <c r="E145" i="21"/>
  <c r="L145" i="21"/>
  <c r="G145" i="21"/>
  <c r="I145" i="21"/>
  <c r="H145" i="21"/>
  <c r="K145" i="21"/>
  <c r="AI160" i="21"/>
  <c r="AM160" i="21"/>
  <c r="AL160" i="21"/>
  <c r="AP160" i="21"/>
  <c r="AK160" i="21"/>
  <c r="AO160" i="21"/>
  <c r="AO192" i="21"/>
  <c r="AM192" i="21"/>
  <c r="AI192" i="21"/>
  <c r="AL192" i="21"/>
  <c r="AK192" i="21"/>
  <c r="AP192" i="21"/>
  <c r="E152" i="21"/>
  <c r="K152" i="21"/>
  <c r="I152" i="21"/>
  <c r="L152" i="21"/>
  <c r="G152" i="21"/>
  <c r="H152" i="21"/>
  <c r="BC162" i="21"/>
  <c r="BG162" i="21"/>
  <c r="BI162" i="21"/>
  <c r="BE162" i="21"/>
  <c r="BF162" i="21"/>
  <c r="BJ162" i="21"/>
  <c r="BC173" i="21"/>
  <c r="BE173" i="21"/>
  <c r="BJ173" i="21"/>
  <c r="BF173" i="21"/>
  <c r="BI173" i="21"/>
  <c r="BG173" i="21"/>
  <c r="AA150" i="21"/>
  <c r="AE150" i="21"/>
  <c r="AB150" i="21"/>
  <c r="AF150" i="21"/>
  <c r="AC150" i="21"/>
  <c r="Y150" i="21"/>
  <c r="Q149" i="21"/>
  <c r="R149" i="21"/>
  <c r="O149" i="21"/>
  <c r="S149" i="21"/>
  <c r="U149" i="21"/>
  <c r="V149" i="21"/>
  <c r="AE159" i="21"/>
  <c r="AA159" i="21"/>
  <c r="AC159" i="21"/>
  <c r="AB159" i="21"/>
  <c r="Y159" i="21"/>
  <c r="AF159" i="21"/>
  <c r="AA148" i="21"/>
  <c r="Y148" i="21"/>
  <c r="AC148" i="21"/>
  <c r="AB148" i="21"/>
  <c r="AE148" i="21"/>
  <c r="AF148" i="21"/>
  <c r="BC195" i="21"/>
  <c r="BJ195" i="21"/>
  <c r="BI195" i="21"/>
  <c r="BE195" i="21"/>
  <c r="BF195" i="21"/>
  <c r="BG195" i="21"/>
  <c r="AK134" i="21"/>
  <c r="AO134" i="21"/>
  <c r="AP134" i="21"/>
  <c r="AL134" i="21"/>
  <c r="AM134" i="21"/>
  <c r="AI134" i="21"/>
  <c r="BC164" i="21"/>
  <c r="BE164" i="21"/>
  <c r="BG164" i="21"/>
  <c r="BI164" i="21"/>
  <c r="BF164" i="21"/>
  <c r="BJ164" i="21"/>
  <c r="I178" i="21"/>
  <c r="K178" i="21"/>
  <c r="G178" i="21"/>
  <c r="E178" i="21"/>
  <c r="L178" i="21"/>
  <c r="H178" i="21"/>
  <c r="AK195" i="21"/>
  <c r="AM195" i="21"/>
  <c r="AL195" i="21"/>
  <c r="AO195" i="21"/>
  <c r="AP195" i="21"/>
  <c r="AI195" i="21"/>
  <c r="E166" i="21"/>
  <c r="G166" i="21"/>
  <c r="H166" i="21"/>
  <c r="I166" i="21"/>
  <c r="L166" i="21"/>
  <c r="K166" i="21"/>
  <c r="AA156" i="21"/>
  <c r="Y156" i="21"/>
  <c r="AE156" i="21"/>
  <c r="AF156" i="21"/>
  <c r="AC156" i="21"/>
  <c r="AB156" i="21"/>
  <c r="AS138" i="21"/>
  <c r="AZ138" i="21"/>
  <c r="AV138" i="21"/>
  <c r="AY138" i="21"/>
  <c r="AU138" i="21"/>
  <c r="AW138" i="21"/>
  <c r="E132" i="21"/>
  <c r="I132" i="21"/>
  <c r="L132" i="21"/>
  <c r="H132" i="21"/>
  <c r="G132" i="21"/>
  <c r="K132" i="21"/>
  <c r="AA172" i="21"/>
  <c r="Y172" i="21"/>
  <c r="AE172" i="21"/>
  <c r="AB172" i="21"/>
  <c r="AF172" i="21"/>
  <c r="AC172" i="21"/>
  <c r="AS177" i="21"/>
  <c r="AW177" i="21"/>
  <c r="AV177" i="21"/>
  <c r="AU177" i="21"/>
  <c r="AY177" i="21"/>
  <c r="AZ177" i="21"/>
  <c r="AK190" i="21"/>
  <c r="AO190" i="21"/>
  <c r="AM190" i="21"/>
  <c r="AI190" i="21"/>
  <c r="AP190" i="21"/>
  <c r="AL190" i="21"/>
  <c r="AS164" i="21"/>
  <c r="AW164" i="21"/>
  <c r="AY164" i="21"/>
  <c r="AZ164" i="21"/>
  <c r="AU164" i="21"/>
  <c r="AV164" i="21"/>
  <c r="Q163" i="21"/>
  <c r="O163" i="21"/>
  <c r="R163" i="21"/>
  <c r="S163" i="21"/>
  <c r="U163" i="21"/>
  <c r="V163" i="21"/>
  <c r="Q160" i="21"/>
  <c r="O160" i="21"/>
  <c r="R160" i="21"/>
  <c r="V160" i="21"/>
  <c r="U160" i="21"/>
  <c r="S160" i="21"/>
  <c r="AA135" i="21"/>
  <c r="AF135" i="21"/>
  <c r="Y135" i="21"/>
  <c r="AC135" i="21"/>
  <c r="AE135" i="21"/>
  <c r="AB135" i="21"/>
  <c r="Q192" i="21"/>
  <c r="O192" i="21"/>
  <c r="V192" i="21"/>
  <c r="R192" i="21"/>
  <c r="U192" i="21"/>
  <c r="S192" i="21"/>
  <c r="Y190" i="21"/>
  <c r="AE190" i="21"/>
  <c r="AC190" i="21"/>
  <c r="AA190" i="21"/>
  <c r="AF190" i="21"/>
  <c r="AB190" i="21"/>
  <c r="BG152" i="21"/>
  <c r="BC152" i="21"/>
  <c r="BJ152" i="21"/>
  <c r="BF152" i="21"/>
  <c r="BI152" i="21"/>
  <c r="BE152" i="21"/>
  <c r="AK143" i="21"/>
  <c r="AP143" i="21"/>
  <c r="AM143" i="21"/>
  <c r="AL143" i="21"/>
  <c r="AI143" i="21"/>
  <c r="AO143" i="21"/>
  <c r="H151" i="21"/>
  <c r="I151" i="21"/>
  <c r="L151" i="21"/>
  <c r="G151" i="21"/>
  <c r="K151" i="21"/>
  <c r="Q175" i="21"/>
  <c r="V175" i="21"/>
  <c r="U175" i="21"/>
  <c r="S175" i="21"/>
  <c r="O175" i="21"/>
  <c r="R175" i="21"/>
  <c r="G141" i="21"/>
  <c r="E141" i="21"/>
  <c r="I141" i="21"/>
  <c r="L141" i="21"/>
  <c r="K141" i="21"/>
  <c r="H141" i="21"/>
  <c r="BE159" i="21"/>
  <c r="BG159" i="21"/>
  <c r="BF159" i="21"/>
  <c r="BC159" i="21"/>
  <c r="BJ159" i="21"/>
  <c r="BI159" i="21"/>
  <c r="BE140" i="21"/>
  <c r="BC140" i="21"/>
  <c r="BF140" i="21"/>
  <c r="BJ140" i="21"/>
  <c r="BI140" i="21"/>
  <c r="BG140" i="21"/>
  <c r="AK194" i="21"/>
  <c r="AL194" i="21"/>
  <c r="AI194" i="21"/>
  <c r="AO194" i="21"/>
  <c r="AM194" i="21"/>
  <c r="AP194" i="21"/>
  <c r="BC170" i="21"/>
  <c r="BF170" i="21"/>
  <c r="BE170" i="21"/>
  <c r="BI170" i="21"/>
  <c r="BJ170" i="21"/>
  <c r="BG170" i="21"/>
  <c r="AU176" i="21"/>
  <c r="AV176" i="21"/>
  <c r="AS176" i="21"/>
  <c r="AY176" i="21"/>
  <c r="AW176" i="21"/>
  <c r="AZ176" i="21"/>
  <c r="BC136" i="21"/>
  <c r="BE136" i="21"/>
  <c r="BF136" i="21"/>
  <c r="BG136" i="21"/>
  <c r="BI136" i="21"/>
  <c r="BJ136" i="21"/>
  <c r="G161" i="21"/>
  <c r="E161" i="21"/>
  <c r="H161" i="21"/>
  <c r="I161" i="21"/>
  <c r="L161" i="21"/>
  <c r="K161" i="21"/>
  <c r="E156" i="21"/>
  <c r="I156" i="21"/>
  <c r="L156" i="21"/>
  <c r="G156" i="21"/>
  <c r="H156" i="21"/>
  <c r="K156" i="21"/>
  <c r="BC151" i="21"/>
  <c r="BE151" i="21"/>
  <c r="BI151" i="21"/>
  <c r="BJ151" i="21"/>
  <c r="BG151" i="21"/>
  <c r="BF151" i="21"/>
  <c r="BJ155" i="21"/>
  <c r="BC155" i="21"/>
  <c r="BE155" i="21"/>
  <c r="BF155" i="21"/>
  <c r="BI155" i="21"/>
  <c r="BG155" i="21"/>
  <c r="BE132" i="21"/>
  <c r="BC132" i="21"/>
  <c r="BF132" i="21"/>
  <c r="BG132" i="21"/>
  <c r="BJ132" i="21"/>
  <c r="BI132" i="21"/>
  <c r="AZ140" i="21"/>
  <c r="AY140" i="21"/>
  <c r="AU140" i="21"/>
  <c r="AV140" i="21"/>
  <c r="AS140" i="21"/>
  <c r="AW140" i="21"/>
  <c r="BF168" i="21"/>
  <c r="BC168" i="21"/>
  <c r="BE168" i="21"/>
  <c r="BJ168" i="21"/>
  <c r="BI168" i="21"/>
  <c r="BG168" i="21"/>
  <c r="V7" i="19"/>
  <c r="U8" i="19"/>
  <c r="AW183" i="21"/>
  <c r="AS183" i="21"/>
  <c r="AU183" i="21"/>
  <c r="AY183" i="21"/>
  <c r="AV183" i="21"/>
  <c r="AZ183" i="21"/>
  <c r="AU197" i="21"/>
  <c r="AS197" i="21"/>
  <c r="AV197" i="21"/>
  <c r="AY197" i="21"/>
  <c r="AW197" i="21"/>
  <c r="AZ197" i="21"/>
  <c r="AK152" i="21"/>
  <c r="AI152" i="21"/>
  <c r="AM152" i="21"/>
  <c r="AL152" i="21"/>
  <c r="AP152" i="21"/>
  <c r="AO152" i="21"/>
  <c r="AK197" i="21"/>
  <c r="AM197" i="21"/>
  <c r="AL197" i="21"/>
  <c r="AI197" i="21"/>
  <c r="AP197" i="21"/>
  <c r="AO197" i="21"/>
  <c r="Y201" i="21"/>
  <c r="AB201" i="21"/>
  <c r="AA201" i="21"/>
  <c r="AF201" i="21"/>
  <c r="AE201" i="21"/>
  <c r="AC201" i="21"/>
  <c r="AU152" i="21"/>
  <c r="AZ152" i="21"/>
  <c r="AS152" i="21"/>
  <c r="AV152" i="21"/>
  <c r="AW152" i="21"/>
  <c r="AY152" i="21"/>
  <c r="AK163" i="21"/>
  <c r="AP163" i="21"/>
  <c r="AM163" i="21"/>
  <c r="AO163" i="21"/>
  <c r="AI163" i="21"/>
  <c r="AL163" i="21"/>
  <c r="AK184" i="21"/>
  <c r="AM184" i="21"/>
  <c r="AL184" i="21"/>
  <c r="AP184" i="21"/>
  <c r="AI184" i="21"/>
  <c r="AO184" i="21"/>
  <c r="Y145" i="21"/>
  <c r="AA145" i="21"/>
  <c r="AE145" i="21"/>
  <c r="AB145" i="21"/>
  <c r="AF145" i="21"/>
  <c r="AC145" i="21"/>
  <c r="AA199" i="21"/>
  <c r="AC199" i="21"/>
  <c r="AE199" i="21"/>
  <c r="AB199" i="21"/>
  <c r="AF199" i="21"/>
  <c r="AK193" i="21"/>
  <c r="AM193" i="21"/>
  <c r="AL193" i="21"/>
  <c r="AI193" i="21"/>
  <c r="AP193" i="21"/>
  <c r="AO193" i="21"/>
  <c r="AL185" i="21"/>
  <c r="AO185" i="21"/>
  <c r="AM185" i="21"/>
  <c r="AK185" i="21"/>
  <c r="AP185" i="21"/>
  <c r="AI185" i="21"/>
  <c r="E191" i="21"/>
  <c r="I191" i="21"/>
  <c r="L191" i="21"/>
  <c r="H191" i="21"/>
  <c r="K191" i="21"/>
  <c r="G191" i="21"/>
  <c r="BC135" i="21"/>
  <c r="BI135" i="21"/>
  <c r="BE135" i="21"/>
  <c r="BF135" i="21"/>
  <c r="BG135" i="21"/>
  <c r="BJ135" i="21"/>
  <c r="H198" i="21"/>
  <c r="L198" i="21"/>
  <c r="K198" i="21"/>
  <c r="I198" i="21"/>
  <c r="G198" i="21"/>
  <c r="Q169" i="21"/>
  <c r="R169" i="21"/>
  <c r="V169" i="21"/>
  <c r="S169" i="21"/>
  <c r="O169" i="21"/>
  <c r="U169" i="21"/>
  <c r="Y189" i="21"/>
  <c r="AB189" i="21"/>
  <c r="AE189" i="21"/>
  <c r="AF189" i="21"/>
  <c r="AC189" i="21"/>
  <c r="AA189" i="21"/>
  <c r="BC148" i="21"/>
  <c r="BI148" i="21"/>
  <c r="BG148" i="21"/>
  <c r="BE148" i="21"/>
  <c r="BF148" i="21"/>
  <c r="BJ148" i="21"/>
  <c r="AA152" i="21"/>
  <c r="AC152" i="21"/>
  <c r="AE152" i="21"/>
  <c r="AB152" i="21"/>
  <c r="AF152" i="21"/>
  <c r="Y152" i="21"/>
  <c r="AU165" i="21"/>
  <c r="AY165" i="21"/>
  <c r="AV165" i="21"/>
  <c r="AZ165" i="21"/>
  <c r="AS165" i="21"/>
  <c r="AW165" i="21"/>
  <c r="AO148" i="21"/>
  <c r="AM148" i="21"/>
  <c r="AL148" i="21"/>
  <c r="AI148" i="21"/>
  <c r="AK148" i="21"/>
  <c r="AP148" i="21"/>
  <c r="AU144" i="21"/>
  <c r="AY144" i="21"/>
  <c r="AW144" i="21"/>
  <c r="AV144" i="21"/>
  <c r="AS144" i="21"/>
  <c r="AZ144" i="21"/>
  <c r="O167" i="21"/>
  <c r="S167" i="21"/>
  <c r="R167" i="21"/>
  <c r="V167" i="21"/>
  <c r="Q167" i="21"/>
  <c r="U167" i="21"/>
  <c r="G182" i="21"/>
  <c r="K182" i="21"/>
  <c r="I182" i="21"/>
  <c r="L182" i="21"/>
  <c r="E182" i="21"/>
  <c r="H182" i="21"/>
  <c r="AK141" i="21"/>
  <c r="AO141" i="21"/>
  <c r="AP141" i="21"/>
  <c r="AL141" i="21"/>
  <c r="AI141" i="21"/>
  <c r="AM141" i="21"/>
  <c r="AK137" i="21"/>
  <c r="AO137" i="21"/>
  <c r="AL137" i="21"/>
  <c r="AM137" i="21"/>
  <c r="AP137" i="21"/>
  <c r="AK199" i="21"/>
  <c r="AL199" i="21"/>
  <c r="AO199" i="21"/>
  <c r="AM199" i="21"/>
  <c r="AP199" i="21"/>
  <c r="E155" i="21"/>
  <c r="H155" i="21"/>
  <c r="I155" i="21"/>
  <c r="L155" i="21"/>
  <c r="G155" i="21"/>
  <c r="K155" i="21"/>
  <c r="AS187" i="21"/>
  <c r="AU187" i="21"/>
  <c r="AW187" i="21"/>
  <c r="AV187" i="21"/>
  <c r="AZ187" i="21"/>
  <c r="AY187" i="21"/>
  <c r="AU137" i="21"/>
  <c r="AZ137" i="21"/>
  <c r="AY137" i="21"/>
  <c r="AW137" i="21"/>
  <c r="AV137" i="21"/>
  <c r="E194" i="21"/>
  <c r="L194" i="21"/>
  <c r="K194" i="21"/>
  <c r="G194" i="21"/>
  <c r="H194" i="21"/>
  <c r="I194" i="21"/>
  <c r="Y197" i="21"/>
  <c r="AB197" i="21"/>
  <c r="AF197" i="21"/>
  <c r="AA197" i="21"/>
  <c r="AE197" i="21"/>
  <c r="AC197" i="21"/>
  <c r="Q203" i="21"/>
  <c r="V203" i="21"/>
  <c r="S203" i="21"/>
  <c r="R203" i="21"/>
  <c r="U203" i="21"/>
  <c r="AA194" i="21"/>
  <c r="AE194" i="21"/>
  <c r="AB194" i="21"/>
  <c r="Y194" i="21"/>
  <c r="AF194" i="21"/>
  <c r="AC194" i="21"/>
  <c r="AU191" i="21"/>
  <c r="AY191" i="21"/>
  <c r="AV191" i="21"/>
  <c r="AS191" i="21"/>
  <c r="AW191" i="21"/>
  <c r="AZ191" i="21"/>
  <c r="AU200" i="21"/>
  <c r="AV200" i="21"/>
  <c r="AY200" i="21"/>
  <c r="AW200" i="21"/>
  <c r="AZ200" i="21"/>
  <c r="AK145" i="21"/>
  <c r="AO145" i="21"/>
  <c r="AM145" i="21"/>
  <c r="AI145" i="21"/>
  <c r="AP145" i="21"/>
  <c r="AL145" i="21"/>
  <c r="AA138" i="21"/>
  <c r="AC138" i="21"/>
  <c r="AB138" i="21"/>
  <c r="AF138" i="21"/>
  <c r="Y138" i="21"/>
  <c r="AE138" i="21"/>
  <c r="AI196" i="21"/>
  <c r="AL196" i="21"/>
  <c r="AP196" i="21"/>
  <c r="AK196" i="21"/>
  <c r="AM196" i="21"/>
  <c r="AO196" i="21"/>
  <c r="AK166" i="21"/>
  <c r="AO166" i="21"/>
  <c r="AM166" i="21"/>
  <c r="AI166" i="21"/>
  <c r="AP166" i="21"/>
  <c r="AL166" i="21"/>
  <c r="BC180" i="21"/>
  <c r="BI180" i="21"/>
  <c r="BE180" i="21"/>
  <c r="BF180" i="21"/>
  <c r="BG180" i="21"/>
  <c r="BJ180" i="21"/>
  <c r="AA183" i="21"/>
  <c r="AC183" i="21"/>
  <c r="Y183" i="21"/>
  <c r="AE183" i="21"/>
  <c r="AF183" i="21"/>
  <c r="AB183" i="21"/>
  <c r="Q187" i="21"/>
  <c r="R187" i="21"/>
  <c r="O187" i="21"/>
  <c r="V187" i="21"/>
  <c r="S187" i="21"/>
  <c r="U187" i="21"/>
  <c r="AI150" i="21"/>
  <c r="AK150" i="21"/>
  <c r="AO150" i="21"/>
  <c r="AM150" i="21"/>
  <c r="AL150" i="21"/>
  <c r="AP150" i="21"/>
  <c r="E142" i="21"/>
  <c r="I142" i="21"/>
  <c r="L142" i="21"/>
  <c r="K142" i="21"/>
  <c r="H142" i="21"/>
  <c r="G142" i="21"/>
  <c r="G165" i="21"/>
  <c r="E165" i="21"/>
  <c r="K165" i="21"/>
  <c r="L165" i="21"/>
  <c r="I165" i="21"/>
  <c r="H165" i="21"/>
  <c r="AU199" i="21"/>
  <c r="AY199" i="21"/>
  <c r="AW199" i="21"/>
  <c r="AZ199" i="21"/>
  <c r="AV199" i="21"/>
  <c r="E159" i="21"/>
  <c r="I159" i="21"/>
  <c r="K159" i="21"/>
  <c r="H159" i="21"/>
  <c r="L159" i="21"/>
  <c r="G159" i="21"/>
  <c r="O145" i="21"/>
  <c r="R145" i="21"/>
  <c r="V145" i="21"/>
  <c r="Q145" i="21"/>
  <c r="S145" i="21"/>
  <c r="U145" i="21"/>
  <c r="AU193" i="21"/>
  <c r="AZ193" i="21"/>
  <c r="AW193" i="21"/>
  <c r="AV193" i="21"/>
  <c r="AY193" i="21"/>
  <c r="AS193" i="21"/>
  <c r="AS156" i="21"/>
  <c r="AV156" i="21"/>
  <c r="AW156" i="21"/>
  <c r="AZ156" i="21"/>
  <c r="AY156" i="21"/>
  <c r="AU156" i="21"/>
  <c r="Q143" i="21"/>
  <c r="O143" i="21"/>
  <c r="R143" i="21"/>
  <c r="U143" i="21"/>
  <c r="S143" i="21"/>
  <c r="V143" i="21"/>
  <c r="Q156" i="21"/>
  <c r="V156" i="21"/>
  <c r="U156" i="21"/>
  <c r="S156" i="21"/>
  <c r="R156" i="21"/>
  <c r="O156" i="21"/>
  <c r="AU157" i="21"/>
  <c r="AS157" i="21"/>
  <c r="AV157" i="21"/>
  <c r="AW157" i="21"/>
  <c r="AY157" i="21"/>
  <c r="AZ157" i="21"/>
  <c r="BC146" i="21"/>
  <c r="BI146" i="21"/>
  <c r="BJ146" i="21"/>
  <c r="BF146" i="21"/>
  <c r="BE146" i="21"/>
  <c r="BG146" i="21"/>
  <c r="E149" i="21"/>
  <c r="I149" i="21"/>
  <c r="L149" i="21"/>
  <c r="K149" i="21"/>
  <c r="G149" i="21"/>
  <c r="H149" i="21"/>
  <c r="Q199" i="21"/>
  <c r="R199" i="21"/>
  <c r="S199" i="21"/>
  <c r="U199" i="21"/>
  <c r="V199" i="21"/>
  <c r="E153" i="21"/>
  <c r="I153" i="21"/>
  <c r="K153" i="21"/>
  <c r="L153" i="21"/>
  <c r="G153" i="21"/>
  <c r="H153" i="21"/>
  <c r="BE200" i="21"/>
  <c r="BJ200" i="21"/>
  <c r="BF200" i="21"/>
  <c r="BG200" i="21"/>
  <c r="BI200" i="21"/>
  <c r="BE145" i="21"/>
  <c r="BJ145" i="21"/>
  <c r="BF145" i="21"/>
  <c r="BG145" i="21"/>
  <c r="BI145" i="21"/>
  <c r="BC145" i="21"/>
  <c r="BE153" i="21"/>
  <c r="BG153" i="21"/>
  <c r="BC153" i="21"/>
  <c r="BF153" i="21"/>
  <c r="BI153" i="21"/>
  <c r="BJ153" i="21"/>
  <c r="AK182" i="21"/>
  <c r="AP182" i="21"/>
  <c r="AO182" i="21"/>
  <c r="AL182" i="21"/>
  <c r="AI182" i="21"/>
  <c r="AM182" i="21"/>
  <c r="AU184" i="21"/>
  <c r="AV184" i="21"/>
  <c r="AZ184" i="21"/>
  <c r="AW184" i="21"/>
  <c r="AY184" i="21"/>
  <c r="AS184" i="21"/>
  <c r="AU150" i="21"/>
  <c r="AZ150" i="21"/>
  <c r="AW150" i="21"/>
  <c r="AY150" i="21"/>
  <c r="AS150" i="21"/>
  <c r="AV150" i="21"/>
  <c r="AK191" i="21"/>
  <c r="AO191" i="21"/>
  <c r="AL191" i="21"/>
  <c r="AI191" i="21"/>
  <c r="AP191" i="21"/>
  <c r="AM191" i="21"/>
  <c r="AB146" i="21"/>
  <c r="AE146" i="21"/>
  <c r="AA146" i="21"/>
  <c r="Y146" i="21"/>
  <c r="AC146" i="21"/>
  <c r="AF146" i="21"/>
  <c r="AK157" i="21"/>
  <c r="AL157" i="21"/>
  <c r="AO157" i="21"/>
  <c r="AI157" i="21"/>
  <c r="AP157" i="21"/>
  <c r="AM157" i="21"/>
  <c r="AA200" i="21"/>
  <c r="AE200" i="21"/>
  <c r="AF200" i="21"/>
  <c r="AC200" i="21"/>
  <c r="AB200" i="21"/>
  <c r="AU173" i="21"/>
  <c r="AZ173" i="21"/>
  <c r="AV173" i="21"/>
  <c r="AW173" i="21"/>
  <c r="AY173" i="21"/>
  <c r="AS173" i="21"/>
  <c r="AM171" i="21"/>
  <c r="AK171" i="21"/>
  <c r="AL171" i="21"/>
  <c r="AP171" i="21"/>
  <c r="AI171" i="21"/>
  <c r="AO171" i="21"/>
  <c r="G173" i="21"/>
  <c r="L173" i="21"/>
  <c r="K173" i="21"/>
  <c r="H173" i="21"/>
  <c r="E173" i="21"/>
  <c r="I173" i="21"/>
  <c r="AU178" i="21"/>
  <c r="AV178" i="21"/>
  <c r="AS178" i="21"/>
  <c r="AY178" i="21"/>
  <c r="AW178" i="21"/>
  <c r="AZ178" i="21"/>
  <c r="L199" i="21"/>
  <c r="H199" i="21"/>
  <c r="I199" i="21"/>
  <c r="G199" i="21"/>
  <c r="K199" i="21"/>
  <c r="AU169" i="21"/>
  <c r="AS169" i="21"/>
  <c r="AV169" i="21"/>
  <c r="AW169" i="21"/>
  <c r="AZ169" i="21"/>
  <c r="AY169" i="21"/>
  <c r="Q132" i="21"/>
  <c r="U132" i="21"/>
  <c r="S132" i="21"/>
  <c r="V132" i="21"/>
  <c r="R132" i="21"/>
  <c r="O132" i="21"/>
  <c r="O168" i="21"/>
  <c r="R168" i="21"/>
  <c r="S168" i="21"/>
  <c r="V168" i="21"/>
  <c r="U168" i="21"/>
  <c r="Q168" i="21"/>
  <c r="AK175" i="21"/>
  <c r="AP175" i="21"/>
  <c r="AM175" i="21"/>
  <c r="AI175" i="21"/>
  <c r="AO175" i="21"/>
  <c r="AL175" i="21"/>
  <c r="AK165" i="21"/>
  <c r="AP165" i="21"/>
  <c r="AO165" i="21"/>
  <c r="AM165" i="21"/>
  <c r="AL165" i="21"/>
  <c r="AI165" i="21"/>
  <c r="O174" i="21"/>
  <c r="S174" i="21"/>
  <c r="V174" i="21"/>
  <c r="R174" i="21"/>
  <c r="Q174" i="21"/>
  <c r="U174" i="21"/>
  <c r="G201" i="21"/>
  <c r="I201" i="21"/>
  <c r="L201" i="21"/>
  <c r="H201" i="21"/>
  <c r="E201" i="21"/>
  <c r="K201" i="21"/>
  <c r="BE187" i="21"/>
  <c r="BF187" i="21"/>
  <c r="BI187" i="21"/>
  <c r="BG187" i="21"/>
  <c r="BC187" i="21"/>
  <c r="BJ187" i="21"/>
  <c r="BE139" i="21"/>
  <c r="BJ139" i="21"/>
  <c r="BC139" i="21"/>
  <c r="BF139" i="21"/>
  <c r="BG139" i="21"/>
  <c r="BI139" i="21"/>
  <c r="AA177" i="21"/>
  <c r="AC177" i="21"/>
  <c r="AF177" i="21"/>
  <c r="Y177" i="21"/>
  <c r="AB177" i="21"/>
  <c r="AE177" i="21"/>
  <c r="Q164" i="21"/>
  <c r="O164" i="21"/>
  <c r="S164" i="21"/>
  <c r="U164" i="21"/>
  <c r="R164" i="21"/>
  <c r="V164" i="21"/>
  <c r="AA198" i="21"/>
  <c r="AC198" i="21"/>
  <c r="AF198" i="21"/>
  <c r="AB198" i="21"/>
  <c r="AE198" i="21"/>
  <c r="I185" i="21"/>
  <c r="E185" i="21"/>
  <c r="K185" i="21"/>
  <c r="G185" i="21"/>
  <c r="L185" i="21"/>
  <c r="H185" i="21"/>
  <c r="G138" i="21"/>
  <c r="H138" i="21"/>
  <c r="I138" i="21"/>
  <c r="L138" i="21"/>
  <c r="E138" i="21"/>
  <c r="K138" i="21"/>
  <c r="AK181" i="21"/>
  <c r="AL181" i="21"/>
  <c r="AI181" i="21"/>
  <c r="AO181" i="21"/>
  <c r="AM181" i="21"/>
  <c r="AP181" i="21"/>
  <c r="E163" i="21"/>
  <c r="K163" i="21"/>
  <c r="G163" i="21"/>
  <c r="H163" i="21"/>
  <c r="L163" i="21"/>
  <c r="I163" i="21"/>
  <c r="BC134" i="21"/>
  <c r="BE134" i="21"/>
  <c r="BJ134" i="21"/>
  <c r="BF134" i="21"/>
  <c r="BI134" i="21"/>
  <c r="BG134" i="21"/>
  <c r="AK151" i="21"/>
  <c r="AL151" i="21"/>
  <c r="AM151" i="21"/>
  <c r="AO151" i="21"/>
  <c r="AP151" i="21"/>
  <c r="AI151" i="21"/>
  <c r="AA187" i="21"/>
  <c r="AE187" i="21"/>
  <c r="AB187" i="21"/>
  <c r="AC187" i="21"/>
  <c r="AF187" i="21"/>
  <c r="Y187" i="21"/>
  <c r="AU133" i="21"/>
  <c r="AW133" i="21"/>
  <c r="AZ133" i="21"/>
  <c r="AY133" i="21"/>
  <c r="AV133" i="21"/>
  <c r="AS133" i="21"/>
  <c r="Q135" i="21"/>
  <c r="O135" i="21"/>
  <c r="V135" i="21"/>
  <c r="R135" i="21"/>
  <c r="S135" i="21"/>
  <c r="U135" i="21"/>
  <c r="AA167" i="21"/>
  <c r="AB167" i="21"/>
  <c r="AC167" i="21"/>
  <c r="Y167" i="21"/>
  <c r="AF167" i="21"/>
  <c r="AE167" i="21"/>
  <c r="BI192" i="21"/>
  <c r="BG192" i="21"/>
  <c r="BC192" i="21"/>
  <c r="BE192" i="21"/>
  <c r="BF192" i="21"/>
  <c r="BJ192" i="21"/>
  <c r="BC177" i="21"/>
  <c r="BE177" i="21"/>
  <c r="BF177" i="21"/>
  <c r="BJ177" i="21"/>
  <c r="BG177" i="21"/>
  <c r="BI177" i="21"/>
  <c r="AA175" i="21"/>
  <c r="AB175" i="21"/>
  <c r="AE175" i="21"/>
  <c r="AF175" i="21"/>
  <c r="AC175" i="21"/>
  <c r="Y175" i="21"/>
  <c r="BI186" i="21"/>
  <c r="BC186" i="21"/>
  <c r="BF186" i="21"/>
  <c r="BE186" i="21"/>
  <c r="BG186" i="21"/>
  <c r="BJ186" i="21"/>
  <c r="Q173" i="21"/>
  <c r="R173" i="21"/>
  <c r="V173" i="21"/>
  <c r="U173" i="21"/>
  <c r="S173" i="21"/>
  <c r="O173" i="21"/>
  <c r="BC185" i="21"/>
  <c r="BJ185" i="21"/>
  <c r="BG185" i="21"/>
  <c r="BF185" i="21"/>
  <c r="BI185" i="21"/>
  <c r="BE185" i="21"/>
  <c r="Y170" i="21"/>
  <c r="AC170" i="21"/>
  <c r="AB170" i="21"/>
  <c r="AF170" i="21"/>
  <c r="AA170" i="21"/>
  <c r="AE170" i="21"/>
  <c r="BC156" i="21"/>
  <c r="BJ156" i="21"/>
  <c r="BG156" i="21"/>
  <c r="BF156" i="21"/>
  <c r="BI156" i="21"/>
  <c r="BE156" i="21"/>
  <c r="L154" i="21"/>
  <c r="I154" i="21"/>
  <c r="G154" i="21"/>
  <c r="H154" i="21"/>
  <c r="E154" i="21"/>
  <c r="K154" i="21"/>
  <c r="G177" i="21"/>
  <c r="E177" i="21"/>
  <c r="H177" i="21"/>
  <c r="I177" i="21"/>
  <c r="K177" i="21"/>
  <c r="L177" i="21"/>
  <c r="Q184" i="21"/>
  <c r="O184" i="21"/>
  <c r="R184" i="21"/>
  <c r="V184" i="21"/>
  <c r="U184" i="21"/>
  <c r="S184" i="21"/>
  <c r="BE198" i="21"/>
  <c r="BI198" i="21"/>
  <c r="BF198" i="21"/>
  <c r="BG198" i="21"/>
  <c r="BJ198" i="21"/>
  <c r="O201" i="21"/>
  <c r="V201" i="21"/>
  <c r="U201" i="21"/>
  <c r="S201" i="21"/>
  <c r="Q201" i="21"/>
  <c r="R201" i="21"/>
  <c r="BC131" i="21"/>
  <c r="BG131" i="21"/>
  <c r="BI131" i="21"/>
  <c r="BJ131" i="21"/>
  <c r="BF131" i="21"/>
  <c r="BE131" i="21"/>
  <c r="G11" i="19"/>
  <c r="V7" i="33"/>
  <c r="U8" i="33"/>
  <c r="I202" i="21"/>
  <c r="G202" i="21"/>
  <c r="E202" i="21"/>
  <c r="L202" i="21"/>
  <c r="H202" i="21"/>
  <c r="K202" i="21"/>
  <c r="AS139" i="21"/>
  <c r="AZ139" i="21"/>
  <c r="AU139" i="21"/>
  <c r="AW139" i="21"/>
  <c r="AY139" i="21"/>
  <c r="AV139" i="21"/>
  <c r="Y134" i="21"/>
  <c r="AC134" i="21"/>
  <c r="AA134" i="21"/>
  <c r="AF134" i="21"/>
  <c r="AB134" i="21"/>
  <c r="AE134" i="21"/>
  <c r="BC169" i="21"/>
  <c r="BJ169" i="21"/>
  <c r="BE169" i="21"/>
  <c r="BF169" i="21"/>
  <c r="BI169" i="21"/>
  <c r="BG169" i="21"/>
  <c r="BC188" i="21"/>
  <c r="BG188" i="21"/>
  <c r="BI188" i="21"/>
  <c r="BF188" i="21"/>
  <c r="BJ188" i="21"/>
  <c r="BE188" i="21"/>
  <c r="G174" i="21"/>
  <c r="L174" i="21"/>
  <c r="K174" i="21"/>
  <c r="E174" i="21"/>
  <c r="I174" i="21"/>
  <c r="H174" i="21"/>
  <c r="BC193" i="21"/>
  <c r="BE193" i="21"/>
  <c r="BF193" i="21"/>
  <c r="BG193" i="21"/>
  <c r="BJ193" i="21"/>
  <c r="BI193" i="21"/>
  <c r="Q178" i="21"/>
  <c r="O178" i="21"/>
  <c r="R178" i="21"/>
  <c r="V178" i="21"/>
  <c r="S178" i="21"/>
  <c r="U178" i="21"/>
  <c r="AK203" i="21"/>
  <c r="AO203" i="21"/>
  <c r="AI203" i="21"/>
  <c r="AQ203" i="21" s="1"/>
  <c r="AL203" i="21"/>
  <c r="AM203" i="21"/>
  <c r="AP203" i="21"/>
  <c r="AS132" i="21"/>
  <c r="AV132" i="21"/>
  <c r="AU132" i="21"/>
  <c r="AW132" i="21"/>
  <c r="AZ132" i="21"/>
  <c r="AY132" i="21"/>
  <c r="E169" i="21"/>
  <c r="L169" i="21"/>
  <c r="G169" i="21"/>
  <c r="I169" i="21"/>
  <c r="K169" i="21"/>
  <c r="H169" i="21"/>
  <c r="AY198" i="21"/>
  <c r="AU198" i="21"/>
  <c r="AW198" i="21"/>
  <c r="AZ198" i="21"/>
  <c r="AV198" i="21"/>
  <c r="G140" i="21"/>
  <c r="L140" i="21"/>
  <c r="I140" i="21"/>
  <c r="H140" i="21"/>
  <c r="K140" i="21"/>
  <c r="E140" i="21"/>
  <c r="E189" i="21"/>
  <c r="L189" i="21"/>
  <c r="I189" i="21"/>
  <c r="G189" i="21"/>
  <c r="K189" i="21"/>
  <c r="H189" i="21"/>
  <c r="BC158" i="21"/>
  <c r="BI158" i="21"/>
  <c r="BE158" i="21"/>
  <c r="BF158" i="21"/>
  <c r="BG158" i="21"/>
  <c r="BJ158" i="21"/>
  <c r="Q136" i="21"/>
  <c r="R136" i="21"/>
  <c r="S136" i="21"/>
  <c r="U136" i="21"/>
  <c r="O136" i="21"/>
  <c r="V136" i="21"/>
  <c r="Q141" i="21"/>
  <c r="S141" i="21"/>
  <c r="O141" i="21"/>
  <c r="V141" i="21"/>
  <c r="R141" i="21"/>
  <c r="U141" i="21"/>
  <c r="G192" i="21"/>
  <c r="L192" i="21"/>
  <c r="H192" i="21"/>
  <c r="E192" i="21"/>
  <c r="K192" i="21"/>
  <c r="I192" i="21"/>
  <c r="AA179" i="21"/>
  <c r="AF179" i="21"/>
  <c r="AE179" i="21"/>
  <c r="AB179" i="21"/>
  <c r="AC179" i="21"/>
  <c r="Y179" i="21"/>
  <c r="AA186" i="21"/>
  <c r="AE186" i="21"/>
  <c r="AC186" i="21"/>
  <c r="AF186" i="21"/>
  <c r="AB186" i="21"/>
  <c r="Y186" i="21"/>
  <c r="AV186" i="21"/>
  <c r="AZ186" i="21"/>
  <c r="AW186" i="21"/>
  <c r="AY186" i="21"/>
  <c r="AU186" i="21"/>
  <c r="AS186" i="21"/>
  <c r="Q146" i="21"/>
  <c r="S146" i="21"/>
  <c r="V146" i="21"/>
  <c r="U146" i="21"/>
  <c r="R146" i="21"/>
  <c r="O146" i="21"/>
  <c r="AK153" i="21"/>
  <c r="AL153" i="21"/>
  <c r="AM153" i="21"/>
  <c r="AP153" i="21"/>
  <c r="AO153" i="21"/>
  <c r="AI153" i="21"/>
  <c r="AU151" i="21"/>
  <c r="AV151" i="21"/>
  <c r="AS151" i="21"/>
  <c r="AY151" i="21"/>
  <c r="AW151" i="21"/>
  <c r="AZ151" i="21"/>
  <c r="AA188" i="21"/>
  <c r="AC188" i="21"/>
  <c r="AE188" i="21"/>
  <c r="AB188" i="21"/>
  <c r="AF188" i="21"/>
  <c r="Y188" i="21"/>
  <c r="AK144" i="21"/>
  <c r="AI144" i="21"/>
  <c r="AO144" i="21"/>
  <c r="AL144" i="21"/>
  <c r="AP144" i="21"/>
  <c r="AM144" i="21"/>
  <c r="AK146" i="21"/>
  <c r="AP146" i="21"/>
  <c r="AL146" i="21"/>
  <c r="AM146" i="21"/>
  <c r="AI146" i="21"/>
  <c r="AO146" i="21"/>
  <c r="BC179" i="21"/>
  <c r="BI179" i="21"/>
  <c r="BG179" i="21"/>
  <c r="BF179" i="21"/>
  <c r="BE179" i="21"/>
  <c r="BJ179" i="21"/>
  <c r="AI189" i="21"/>
  <c r="AM189" i="21"/>
  <c r="AO189" i="21"/>
  <c r="AP189" i="21"/>
  <c r="AK189" i="21"/>
  <c r="AL189" i="21"/>
  <c r="G175" i="21"/>
  <c r="H175" i="21"/>
  <c r="K175" i="21"/>
  <c r="L175" i="21"/>
  <c r="E175" i="21"/>
  <c r="I175" i="21"/>
  <c r="AU147" i="21"/>
  <c r="AW147" i="21"/>
  <c r="AZ147" i="21"/>
  <c r="AV147" i="21"/>
  <c r="AY147" i="21"/>
  <c r="AU166" i="21"/>
  <c r="AS166" i="21"/>
  <c r="AV166" i="21"/>
  <c r="AY166" i="21"/>
  <c r="AZ166" i="21"/>
  <c r="AW166" i="21"/>
  <c r="Y180" i="21"/>
  <c r="AA180" i="21"/>
  <c r="AB180" i="21"/>
  <c r="AC180" i="21"/>
  <c r="AE180" i="21"/>
  <c r="AF180" i="21"/>
  <c r="AK170" i="21"/>
  <c r="AM170" i="21"/>
  <c r="AL170" i="21"/>
  <c r="AP170" i="21"/>
  <c r="AI170" i="21"/>
  <c r="AO170" i="21"/>
  <c r="AS134" i="21"/>
  <c r="AZ134" i="21"/>
  <c r="AU134" i="21"/>
  <c r="AV134" i="21"/>
  <c r="AW134" i="21"/>
  <c r="AY134" i="21"/>
  <c r="AU180" i="21"/>
  <c r="AS180" i="21"/>
  <c r="AV180" i="21"/>
  <c r="AZ180" i="21"/>
  <c r="AY180" i="21"/>
  <c r="AW180" i="21"/>
  <c r="AK202" i="21"/>
  <c r="AL202" i="21"/>
  <c r="AM202" i="21"/>
  <c r="AI202" i="21"/>
  <c r="AO202" i="21"/>
  <c r="AP202" i="21"/>
  <c r="AM198" i="21"/>
  <c r="AO198" i="21"/>
  <c r="AK198" i="21"/>
  <c r="AP198" i="21"/>
  <c r="AL198" i="21"/>
  <c r="AI188" i="21"/>
  <c r="AK188" i="21"/>
  <c r="AM188" i="21"/>
  <c r="AL188" i="21"/>
  <c r="AP188" i="21"/>
  <c r="AO188" i="21"/>
  <c r="AA163" i="21"/>
  <c r="AC163" i="21"/>
  <c r="AE163" i="21"/>
  <c r="Y163" i="21"/>
  <c r="AF163" i="21"/>
  <c r="AB163" i="21"/>
  <c r="O190" i="21"/>
  <c r="V190" i="21"/>
  <c r="U190" i="21"/>
  <c r="Q190" i="21"/>
  <c r="R190" i="21"/>
  <c r="S190" i="21"/>
  <c r="O183" i="21"/>
  <c r="V183" i="21"/>
  <c r="R183" i="21"/>
  <c r="Q183" i="21"/>
  <c r="U183" i="21"/>
  <c r="S183" i="21"/>
  <c r="AU174" i="21"/>
  <c r="AS174" i="21"/>
  <c r="AV174" i="21"/>
  <c r="AW174" i="21"/>
  <c r="AY174" i="21"/>
  <c r="AZ174" i="21"/>
  <c r="AP200" i="21"/>
  <c r="AK200" i="21"/>
  <c r="AL200" i="21"/>
  <c r="AM200" i="21"/>
  <c r="AO200" i="21"/>
  <c r="Q137" i="21"/>
  <c r="S137" i="21"/>
  <c r="V137" i="21"/>
  <c r="R137" i="21"/>
  <c r="U137" i="21"/>
  <c r="AM147" i="21"/>
  <c r="AL147" i="21"/>
  <c r="AK147" i="21"/>
  <c r="AP147" i="21"/>
  <c r="AO147" i="21"/>
  <c r="Y164" i="21"/>
  <c r="AF164" i="21"/>
  <c r="AA164" i="21"/>
  <c r="AB164" i="21"/>
  <c r="AC164" i="21"/>
  <c r="AE164" i="21"/>
  <c r="Q158" i="21"/>
  <c r="R158" i="21"/>
  <c r="O158" i="21"/>
  <c r="V158" i="21"/>
  <c r="S158" i="21"/>
  <c r="U158" i="21"/>
  <c r="AK180" i="21"/>
  <c r="AM180" i="21"/>
  <c r="AI180" i="21"/>
  <c r="AO180" i="21"/>
  <c r="AL180" i="21"/>
  <c r="AP180" i="21"/>
  <c r="Y141" i="21"/>
  <c r="AA141" i="21"/>
  <c r="AC141" i="21"/>
  <c r="AF141" i="21"/>
  <c r="AB141" i="21"/>
  <c r="AE141" i="21"/>
  <c r="AA137" i="21"/>
  <c r="AC137" i="21"/>
  <c r="AE137" i="21"/>
  <c r="AF137" i="21"/>
  <c r="AB137" i="21"/>
  <c r="AL167" i="21"/>
  <c r="AK167" i="21"/>
  <c r="AP167" i="21"/>
  <c r="AI167" i="21"/>
  <c r="AO167" i="21"/>
  <c r="AM167" i="21"/>
  <c r="AK136" i="21"/>
  <c r="AP136" i="21"/>
  <c r="AM136" i="21"/>
  <c r="AL136" i="21"/>
  <c r="AO136" i="21"/>
  <c r="AI136" i="21"/>
  <c r="AK168" i="21"/>
  <c r="AL168" i="21"/>
  <c r="AP168" i="21"/>
  <c r="AM168" i="21"/>
  <c r="AO168" i="21"/>
  <c r="AI168" i="21"/>
  <c r="O159" i="21"/>
  <c r="Q159" i="21"/>
  <c r="R159" i="21"/>
  <c r="S159" i="21"/>
  <c r="U159" i="21"/>
  <c r="V159" i="21"/>
  <c r="BC174" i="21"/>
  <c r="BF174" i="21"/>
  <c r="BG174" i="21"/>
  <c r="BI174" i="21"/>
  <c r="BJ174" i="21"/>
  <c r="BE174" i="21"/>
  <c r="E158" i="21"/>
  <c r="L158" i="21"/>
  <c r="I158" i="21"/>
  <c r="K158" i="21"/>
  <c r="H158" i="21"/>
  <c r="G158" i="21"/>
  <c r="Q139" i="21"/>
  <c r="U139" i="21"/>
  <c r="R139" i="21"/>
  <c r="V139" i="21"/>
  <c r="S139" i="21"/>
  <c r="O139" i="21"/>
  <c r="AE158" i="21"/>
  <c r="AC158" i="21"/>
  <c r="AB158" i="21"/>
  <c r="AA158" i="21"/>
  <c r="AF158" i="21"/>
  <c r="Y158" i="21"/>
  <c r="Y153" i="21"/>
  <c r="AE153" i="21"/>
  <c r="AA153" i="21"/>
  <c r="AF153" i="21"/>
  <c r="AB153" i="21"/>
  <c r="AC153" i="21"/>
  <c r="AA182" i="21"/>
  <c r="AC182" i="21"/>
  <c r="AB182" i="21"/>
  <c r="AF182" i="21"/>
  <c r="Y182" i="21"/>
  <c r="AE182" i="21"/>
  <c r="AE195" i="21"/>
  <c r="AB195" i="21"/>
  <c r="AF195" i="21"/>
  <c r="AA195" i="21"/>
  <c r="AC195" i="21"/>
  <c r="Q155" i="21"/>
  <c r="U155" i="21"/>
  <c r="R155" i="21"/>
  <c r="S155" i="21"/>
  <c r="O155" i="21"/>
  <c r="V155" i="21"/>
  <c r="AK138" i="21"/>
  <c r="AI138" i="21"/>
  <c r="AM138" i="21"/>
  <c r="AO138" i="21"/>
  <c r="AL138" i="21"/>
  <c r="AP138" i="21"/>
  <c r="Y191" i="21"/>
  <c r="AA191" i="21"/>
  <c r="AE191" i="21"/>
  <c r="AB191" i="21"/>
  <c r="AF191" i="21"/>
  <c r="AC191" i="21"/>
  <c r="G176" i="21"/>
  <c r="L176" i="21"/>
  <c r="H176" i="21"/>
  <c r="K176" i="21"/>
  <c r="I176" i="21"/>
  <c r="E176" i="21"/>
  <c r="Y181" i="21"/>
  <c r="AF181" i="21"/>
  <c r="AE181" i="21"/>
  <c r="AC181" i="21"/>
  <c r="AB181" i="21"/>
  <c r="AA181" i="21"/>
  <c r="AI187" i="21"/>
  <c r="AP187" i="21"/>
  <c r="AL187" i="21"/>
  <c r="AK187" i="21"/>
  <c r="AM187" i="21"/>
  <c r="AO187" i="21"/>
  <c r="O196" i="21"/>
  <c r="S196" i="21"/>
  <c r="V196" i="21"/>
  <c r="U196" i="21"/>
  <c r="Q196" i="21"/>
  <c r="R196" i="21"/>
  <c r="BC182" i="21"/>
  <c r="BG182" i="21"/>
  <c r="BF182" i="21"/>
  <c r="BJ182" i="21"/>
  <c r="BE182" i="21"/>
  <c r="BI182" i="21"/>
  <c r="E135" i="21"/>
  <c r="I135" i="21"/>
  <c r="H135" i="21"/>
  <c r="G135" i="21"/>
  <c r="L135" i="21"/>
  <c r="K135" i="21"/>
  <c r="BC144" i="21"/>
  <c r="BF144" i="21"/>
  <c r="BI144" i="21"/>
  <c r="BE144" i="21"/>
  <c r="BJ144" i="21"/>
  <c r="BG144" i="21"/>
  <c r="AA169" i="21"/>
  <c r="AB169" i="21"/>
  <c r="AF169" i="21"/>
  <c r="Y169" i="21"/>
  <c r="AC169" i="21"/>
  <c r="AE169" i="21"/>
  <c r="Y165" i="21"/>
  <c r="AA165" i="21"/>
  <c r="AE165" i="21"/>
  <c r="AC165" i="21"/>
  <c r="AF165" i="21"/>
  <c r="AB165" i="21"/>
  <c r="AU168" i="21"/>
  <c r="AS168" i="21"/>
  <c r="AY168" i="21"/>
  <c r="AW168" i="21"/>
  <c r="AZ168" i="21"/>
  <c r="AV168" i="21"/>
  <c r="AW182" i="21"/>
  <c r="AU182" i="21"/>
  <c r="AV182" i="21"/>
  <c r="AS182" i="21"/>
  <c r="AZ182" i="21"/>
  <c r="AY182" i="21"/>
  <c r="AU167" i="21"/>
  <c r="AZ167" i="21"/>
  <c r="AS167" i="21"/>
  <c r="AW167" i="21"/>
  <c r="AV167" i="21"/>
  <c r="AY167" i="21"/>
  <c r="BC166" i="21"/>
  <c r="BF166" i="21"/>
  <c r="BI166" i="21"/>
  <c r="BE166" i="21"/>
  <c r="BJ166" i="21"/>
  <c r="BG166" i="21"/>
  <c r="BC163" i="21"/>
  <c r="BJ163" i="21"/>
  <c r="BF163" i="21"/>
  <c r="BE163" i="21"/>
  <c r="BG163" i="21"/>
  <c r="BI163" i="21"/>
  <c r="G171" i="21"/>
  <c r="E171" i="21"/>
  <c r="L171" i="21"/>
  <c r="H171" i="21"/>
  <c r="I171" i="21"/>
  <c r="K171" i="21"/>
  <c r="E133" i="21"/>
  <c r="I133" i="21"/>
  <c r="H133" i="21"/>
  <c r="K133" i="21"/>
  <c r="L133" i="21"/>
  <c r="G133" i="21"/>
  <c r="K139" i="21"/>
  <c r="G139" i="21"/>
  <c r="H139" i="21"/>
  <c r="E139" i="21"/>
  <c r="L139" i="21"/>
  <c r="I139" i="21"/>
  <c r="AE144" i="21"/>
  <c r="AA144" i="21"/>
  <c r="AF144" i="21"/>
  <c r="AC144" i="21"/>
  <c r="AB144" i="21"/>
  <c r="Y144" i="21"/>
  <c r="AK173" i="21"/>
  <c r="AM173" i="21"/>
  <c r="AL173" i="21"/>
  <c r="AO173" i="21"/>
  <c r="AP173" i="21"/>
  <c r="AI173" i="21"/>
  <c r="AA166" i="21"/>
  <c r="AB166" i="21"/>
  <c r="AC166" i="21"/>
  <c r="AF166" i="21"/>
  <c r="Y166" i="21"/>
  <c r="AE166" i="21"/>
  <c r="BC165" i="21"/>
  <c r="BG165" i="21"/>
  <c r="BE165" i="21"/>
  <c r="BF165" i="21"/>
  <c r="BI165" i="21"/>
  <c r="BJ165" i="21"/>
  <c r="AA171" i="21"/>
  <c r="AF171" i="21"/>
  <c r="AC171" i="21"/>
  <c r="AB171" i="21"/>
  <c r="Y171" i="21"/>
  <c r="AE171" i="21"/>
  <c r="Q154" i="21"/>
  <c r="S154" i="21"/>
  <c r="U154" i="21"/>
  <c r="V154" i="21"/>
  <c r="R154" i="21"/>
  <c r="O154" i="21"/>
  <c r="AC140" i="21"/>
  <c r="AB140" i="21"/>
  <c r="AA140" i="21"/>
  <c r="AE140" i="21"/>
  <c r="Y140" i="21"/>
  <c r="AF140" i="21"/>
  <c r="Y178" i="21"/>
  <c r="AA178" i="21"/>
  <c r="AF178" i="21"/>
  <c r="AE178" i="21"/>
  <c r="AB178" i="21"/>
  <c r="AC178" i="21"/>
  <c r="Q150" i="21"/>
  <c r="V150" i="21"/>
  <c r="S150" i="21"/>
  <c r="O150" i="21"/>
  <c r="U150" i="21"/>
  <c r="R150" i="21"/>
  <c r="AU149" i="21"/>
  <c r="AS149" i="21"/>
  <c r="AW149" i="21"/>
  <c r="AZ149" i="21"/>
  <c r="AY149" i="21"/>
  <c r="AV149" i="21"/>
  <c r="Y192" i="21"/>
  <c r="AA192" i="21"/>
  <c r="AB192" i="21"/>
  <c r="AE192" i="21"/>
  <c r="AC192" i="21"/>
  <c r="AF192" i="21"/>
  <c r="AF133" i="21"/>
  <c r="AA133" i="21"/>
  <c r="AE133" i="21"/>
  <c r="AB133" i="21"/>
  <c r="Y133" i="21"/>
  <c r="AC133" i="21"/>
  <c r="Q195" i="21"/>
  <c r="U195" i="21"/>
  <c r="V195" i="21"/>
  <c r="S195" i="21"/>
  <c r="R195" i="21"/>
  <c r="E183" i="21"/>
  <c r="I183" i="21"/>
  <c r="H183" i="21"/>
  <c r="K183" i="21"/>
  <c r="L183" i="21"/>
  <c r="G183" i="21"/>
  <c r="O179" i="21"/>
  <c r="V179" i="21"/>
  <c r="S179" i="21"/>
  <c r="R179" i="21"/>
  <c r="U179" i="21"/>
  <c r="Q179" i="21"/>
  <c r="AU160" i="21"/>
  <c r="AZ160" i="21"/>
  <c r="AV160" i="21"/>
  <c r="AY160" i="21"/>
  <c r="AW160" i="21"/>
  <c r="AS160" i="21"/>
  <c r="H147" i="21"/>
  <c r="K147" i="21"/>
  <c r="I147" i="21"/>
  <c r="G147" i="21"/>
  <c r="L147" i="21"/>
  <c r="AK139" i="21"/>
  <c r="AL139" i="21"/>
  <c r="AO139" i="21"/>
  <c r="AM139" i="21"/>
  <c r="AI139" i="21"/>
  <c r="AP139" i="21"/>
  <c r="E186" i="21"/>
  <c r="G186" i="21"/>
  <c r="L186" i="21"/>
  <c r="H186" i="21"/>
  <c r="I186" i="21"/>
  <c r="K186" i="21"/>
  <c r="Q147" i="21"/>
  <c r="V147" i="21"/>
  <c r="R147" i="21"/>
  <c r="S147" i="21"/>
  <c r="U147" i="21"/>
  <c r="AK142" i="21"/>
  <c r="AO142" i="21"/>
  <c r="AL142" i="21"/>
  <c r="AP142" i="21"/>
  <c r="AI142" i="21"/>
  <c r="AM142" i="21"/>
  <c r="AI178" i="21"/>
  <c r="AO178" i="21"/>
  <c r="AM178" i="21"/>
  <c r="AK178" i="21"/>
  <c r="AP178" i="21"/>
  <c r="AL178" i="21"/>
  <c r="AK177" i="21"/>
  <c r="AI177" i="21"/>
  <c r="AL177" i="21"/>
  <c r="AO177" i="21"/>
  <c r="AM177" i="21"/>
  <c r="AP177" i="21"/>
  <c r="V181" i="21"/>
  <c r="O181" i="21"/>
  <c r="Q181" i="21"/>
  <c r="U181" i="21"/>
  <c r="S181" i="21"/>
  <c r="R181" i="21"/>
  <c r="E170" i="21"/>
  <c r="K170" i="21"/>
  <c r="L170" i="21"/>
  <c r="G170" i="21"/>
  <c r="H170" i="21"/>
  <c r="I170" i="21"/>
  <c r="Y132" i="21"/>
  <c r="AA132" i="21"/>
  <c r="AB132" i="21"/>
  <c r="AC132" i="21"/>
  <c r="AE132" i="21"/>
  <c r="AF132" i="21"/>
  <c r="BE161" i="21"/>
  <c r="BC161" i="21"/>
  <c r="BF161" i="21"/>
  <c r="BJ161" i="21"/>
  <c r="BI161" i="21"/>
  <c r="BG161" i="21"/>
  <c r="Y196" i="21"/>
  <c r="AA196" i="21"/>
  <c r="AB196" i="21"/>
  <c r="AF196" i="21"/>
  <c r="AE196" i="21"/>
  <c r="AC196" i="21"/>
  <c r="BE160" i="21"/>
  <c r="BC160" i="21"/>
  <c r="BI160" i="21"/>
  <c r="BF160" i="21"/>
  <c r="BG160" i="21"/>
  <c r="BJ160" i="21"/>
  <c r="AA174" i="21"/>
  <c r="AC174" i="21"/>
  <c r="AF174" i="21"/>
  <c r="AE174" i="21"/>
  <c r="AB174" i="21"/>
  <c r="Y174" i="21"/>
  <c r="H200" i="21"/>
  <c r="L200" i="21"/>
  <c r="I200" i="21"/>
  <c r="K200" i="21"/>
  <c r="G200" i="21"/>
  <c r="AI201" i="21"/>
  <c r="AP201" i="21"/>
  <c r="AM201" i="21"/>
  <c r="AL201" i="21"/>
  <c r="AO201" i="21"/>
  <c r="AK201" i="21"/>
  <c r="AG6" i="19"/>
  <c r="AH6" i="19" s="1"/>
  <c r="AO6" i="33"/>
  <c r="AP6" i="33" s="1"/>
  <c r="Y193" i="21"/>
  <c r="AE193" i="21"/>
  <c r="AB193" i="21"/>
  <c r="AF193" i="21"/>
  <c r="AA193" i="21"/>
  <c r="AC193" i="21"/>
  <c r="G160" i="21"/>
  <c r="I160" i="21"/>
  <c r="E160" i="21"/>
  <c r="H160" i="21"/>
  <c r="K160" i="21"/>
  <c r="L160" i="21"/>
  <c r="BC191" i="21"/>
  <c r="BG191" i="21"/>
  <c r="BE191" i="21"/>
  <c r="BF191" i="21"/>
  <c r="BJ191" i="21"/>
  <c r="BI191" i="21"/>
  <c r="E164" i="21"/>
  <c r="L164" i="21"/>
  <c r="G164" i="21"/>
  <c r="I164" i="21"/>
  <c r="H164" i="21"/>
  <c r="K164" i="21"/>
  <c r="AU163" i="21"/>
  <c r="AV163" i="21"/>
  <c r="AZ163" i="21"/>
  <c r="AY163" i="21"/>
  <c r="AS163" i="21"/>
  <c r="AW163" i="21"/>
  <c r="AE147" i="21"/>
  <c r="AF147" i="21"/>
  <c r="AC147" i="21"/>
  <c r="AB147" i="21"/>
  <c r="AA147" i="21"/>
  <c r="BE194" i="21"/>
  <c r="BI194" i="21"/>
  <c r="BF194" i="21"/>
  <c r="BG194" i="21"/>
  <c r="BJ194" i="21"/>
  <c r="BC194" i="21"/>
  <c r="Q189" i="21"/>
  <c r="R189" i="21"/>
  <c r="S189" i="21"/>
  <c r="V189" i="21"/>
  <c r="U189" i="21"/>
  <c r="O189" i="21"/>
  <c r="AU203" i="21"/>
  <c r="AY203" i="21"/>
  <c r="AV203" i="21"/>
  <c r="AW203" i="21"/>
  <c r="AZ203" i="21"/>
  <c r="AS203" i="21"/>
  <c r="BA203" i="21" s="1"/>
  <c r="Q197" i="21"/>
  <c r="R197" i="21"/>
  <c r="U197" i="21"/>
  <c r="S197" i="21"/>
  <c r="V197" i="21"/>
  <c r="O197" i="21"/>
  <c r="BC141" i="21"/>
  <c r="BJ141" i="21"/>
  <c r="BG141" i="21"/>
  <c r="BI141" i="21"/>
  <c r="BF141" i="21"/>
  <c r="BE141" i="21"/>
  <c r="AK159" i="21"/>
  <c r="AL159" i="21"/>
  <c r="AI159" i="21"/>
  <c r="AO159" i="21"/>
  <c r="AP159" i="21"/>
  <c r="AM159" i="21"/>
  <c r="AK132" i="21"/>
  <c r="AO132" i="21"/>
  <c r="AP132" i="21"/>
  <c r="AI132" i="21"/>
  <c r="AM132" i="21"/>
  <c r="AL132" i="21"/>
  <c r="AU194" i="21"/>
  <c r="AY194" i="21"/>
  <c r="AS194" i="21"/>
  <c r="AW194" i="21"/>
  <c r="AZ194" i="21"/>
  <c r="AV194" i="21"/>
  <c r="AA131" i="21"/>
  <c r="AE131" i="21"/>
  <c r="AF131" i="21"/>
  <c r="AB131" i="21"/>
  <c r="Y131" i="21"/>
  <c r="AC131" i="21"/>
  <c r="AL164" i="21"/>
  <c r="AO164" i="21"/>
  <c r="AI164" i="21"/>
  <c r="AP164" i="21"/>
  <c r="AK164" i="21"/>
  <c r="AM164" i="21"/>
  <c r="AS170" i="21"/>
  <c r="AY170" i="21"/>
  <c r="AZ170" i="21"/>
  <c r="AW170" i="21"/>
  <c r="AU170" i="21"/>
  <c r="AV170" i="21"/>
  <c r="O157" i="21"/>
  <c r="R157" i="21"/>
  <c r="U157" i="21"/>
  <c r="S157" i="21"/>
  <c r="Q157" i="21"/>
  <c r="V157" i="21"/>
  <c r="Y157" i="21"/>
  <c r="AF157" i="21"/>
  <c r="AB157" i="21"/>
  <c r="AE157" i="21"/>
  <c r="AA157" i="21"/>
  <c r="AC157" i="21"/>
  <c r="AU192" i="21"/>
  <c r="AZ192" i="21"/>
  <c r="AV192" i="21"/>
  <c r="AY192" i="21"/>
  <c r="AS192" i="21"/>
  <c r="AW192" i="21"/>
  <c r="AU155" i="21"/>
  <c r="AW155" i="21"/>
  <c r="AY155" i="21"/>
  <c r="AZ155" i="21"/>
  <c r="AS155" i="21"/>
  <c r="AV155" i="21"/>
  <c r="O186" i="21"/>
  <c r="S186" i="21"/>
  <c r="R186" i="21"/>
  <c r="U186" i="21"/>
  <c r="Q186" i="21"/>
  <c r="V186" i="21"/>
  <c r="BC181" i="21"/>
  <c r="BF181" i="21"/>
  <c r="BE181" i="21"/>
  <c r="BJ181" i="21"/>
  <c r="BG181" i="21"/>
  <c r="BI181" i="21"/>
  <c r="AU181" i="21"/>
  <c r="AS181" i="21"/>
  <c r="AV181" i="21"/>
  <c r="AZ181" i="21"/>
  <c r="AY181" i="21"/>
  <c r="AW181" i="21"/>
  <c r="O161" i="21"/>
  <c r="R161" i="21"/>
  <c r="S161" i="21"/>
  <c r="Q161" i="21"/>
  <c r="V161" i="21"/>
  <c r="U161" i="21"/>
  <c r="AV162" i="21"/>
  <c r="AU162" i="21"/>
  <c r="AZ162" i="21"/>
  <c r="AS162" i="21"/>
  <c r="AW162" i="21"/>
  <c r="AY162" i="21"/>
  <c r="U194" i="21"/>
  <c r="O194" i="21"/>
  <c r="V194" i="21"/>
  <c r="R194" i="21"/>
  <c r="Q194" i="21"/>
  <c r="S194" i="21"/>
  <c r="L196" i="21"/>
  <c r="K196" i="21"/>
  <c r="G196" i="21"/>
  <c r="H196" i="21"/>
  <c r="I196" i="21"/>
  <c r="I150" i="21"/>
  <c r="K150" i="21"/>
  <c r="G150" i="21"/>
  <c r="L150" i="21"/>
  <c r="H150" i="21"/>
  <c r="G134" i="21"/>
  <c r="H134" i="21"/>
  <c r="I134" i="21"/>
  <c r="E134" i="21"/>
  <c r="L134" i="21"/>
  <c r="K134" i="21"/>
  <c r="BE203" i="21"/>
  <c r="BF203" i="21"/>
  <c r="BI203" i="21"/>
  <c r="BC203" i="21"/>
  <c r="BK203" i="21" s="1"/>
  <c r="BJ203" i="21"/>
  <c r="BG203" i="21"/>
  <c r="AU185" i="21"/>
  <c r="AY185" i="21"/>
  <c r="AV185" i="21"/>
  <c r="AS185" i="21"/>
  <c r="AW185" i="21"/>
  <c r="AZ185" i="21"/>
  <c r="AA162" i="21"/>
  <c r="AB162" i="21"/>
  <c r="AF162" i="21"/>
  <c r="AC162" i="21"/>
  <c r="Y162" i="21"/>
  <c r="AE162" i="21"/>
  <c r="AU136" i="21"/>
  <c r="AW136" i="21"/>
  <c r="AY136" i="21"/>
  <c r="AS136" i="21"/>
  <c r="AV136" i="21"/>
  <c r="AZ136" i="21"/>
  <c r="AA136" i="21"/>
  <c r="Y136" i="21"/>
  <c r="AE136" i="21"/>
  <c r="AC136" i="21"/>
  <c r="AF136" i="21"/>
  <c r="AB136" i="21"/>
  <c r="AS145" i="21"/>
  <c r="AW145" i="21"/>
  <c r="AZ145" i="21"/>
  <c r="AV145" i="21"/>
  <c r="AY145" i="21"/>
  <c r="AU145" i="21"/>
  <c r="AS201" i="21"/>
  <c r="AZ201" i="21"/>
  <c r="AU201" i="21"/>
  <c r="AY201" i="21"/>
  <c r="AV201" i="21"/>
  <c r="AW201" i="21"/>
  <c r="G195" i="21"/>
  <c r="I195" i="21"/>
  <c r="L195" i="21"/>
  <c r="K195" i="21"/>
  <c r="H195" i="21"/>
  <c r="AU189" i="21"/>
  <c r="AW189" i="21"/>
  <c r="AV189" i="21"/>
  <c r="AZ189" i="21"/>
  <c r="AY189" i="21"/>
  <c r="AS189" i="21"/>
  <c r="AU171" i="21"/>
  <c r="AZ171" i="21"/>
  <c r="AY171" i="21"/>
  <c r="AW171" i="21"/>
  <c r="AS171" i="21"/>
  <c r="AV171" i="21"/>
  <c r="V140" i="21"/>
  <c r="Q140" i="21"/>
  <c r="O140" i="21"/>
  <c r="R140" i="21"/>
  <c r="S140" i="21"/>
  <c r="U140" i="21"/>
  <c r="BC142" i="21"/>
  <c r="BG142" i="21"/>
  <c r="BF142" i="21"/>
  <c r="BI142" i="21"/>
  <c r="BJ142" i="21"/>
  <c r="BE142" i="21"/>
  <c r="BF178" i="21"/>
  <c r="BC178" i="21"/>
  <c r="BG178" i="21"/>
  <c r="BJ178" i="21"/>
  <c r="BI178" i="21"/>
  <c r="BE178" i="21"/>
  <c r="Q151" i="21"/>
  <c r="R151" i="21"/>
  <c r="V151" i="21"/>
  <c r="U151" i="21"/>
  <c r="S151" i="21"/>
  <c r="BC189" i="21"/>
  <c r="BF189" i="21"/>
  <c r="BJ189" i="21"/>
  <c r="BG189" i="21"/>
  <c r="BI189" i="21"/>
  <c r="BE189" i="21"/>
  <c r="G148" i="21"/>
  <c r="E148" i="21"/>
  <c r="K148" i="21"/>
  <c r="H148" i="21"/>
  <c r="I148" i="21"/>
  <c r="L148" i="21"/>
  <c r="G131" i="21"/>
  <c r="E131" i="21"/>
  <c r="I131" i="21"/>
  <c r="H131" i="21"/>
  <c r="L131" i="21"/>
  <c r="K131" i="21"/>
  <c r="AK176" i="21"/>
  <c r="AI176" i="21"/>
  <c r="AM176" i="21"/>
  <c r="AP176" i="21"/>
  <c r="AO176" i="21"/>
  <c r="AL176" i="21"/>
  <c r="O182" i="21"/>
  <c r="U182" i="21"/>
  <c r="S182" i="21"/>
  <c r="V182" i="21"/>
  <c r="Q182" i="21"/>
  <c r="R182" i="21"/>
  <c r="Q185" i="21"/>
  <c r="O185" i="21"/>
  <c r="S185" i="21"/>
  <c r="V185" i="21"/>
  <c r="U185" i="21"/>
  <c r="R185" i="21"/>
  <c r="E188" i="21"/>
  <c r="H188" i="21"/>
  <c r="I188" i="21"/>
  <c r="L188" i="21"/>
  <c r="G188" i="21"/>
  <c r="K188" i="21"/>
  <c r="AA149" i="21"/>
  <c r="AE149" i="21"/>
  <c r="Y149" i="21"/>
  <c r="AB149" i="21"/>
  <c r="AC149" i="21"/>
  <c r="AF149" i="21"/>
  <c r="BE201" i="21"/>
  <c r="BJ201" i="21"/>
  <c r="BG201" i="21"/>
  <c r="BF201" i="21"/>
  <c r="BC201" i="21"/>
  <c r="BI201" i="21"/>
  <c r="O188" i="21"/>
  <c r="Q188" i="21"/>
  <c r="U188" i="21"/>
  <c r="S188" i="21"/>
  <c r="V188" i="21"/>
  <c r="R188" i="21"/>
  <c r="BE202" i="21"/>
  <c r="BF202" i="21"/>
  <c r="BG202" i="21"/>
  <c r="BI202" i="21"/>
  <c r="BJ202" i="21"/>
  <c r="BC202" i="21"/>
  <c r="AK186" i="21"/>
  <c r="AM186" i="21"/>
  <c r="AP186" i="21"/>
  <c r="AL186" i="21"/>
  <c r="AI186" i="21"/>
  <c r="AO186" i="21"/>
  <c r="AK174" i="21"/>
  <c r="AO174" i="21"/>
  <c r="AP174" i="21"/>
  <c r="AL174" i="21"/>
  <c r="AM174" i="21"/>
  <c r="AI174" i="21"/>
  <c r="E179" i="21"/>
  <c r="K179" i="21"/>
  <c r="I179" i="21"/>
  <c r="L179" i="21"/>
  <c r="G179" i="21"/>
  <c r="H179" i="21"/>
  <c r="G184" i="21"/>
  <c r="K184" i="21"/>
  <c r="H184" i="21"/>
  <c r="E184" i="21"/>
  <c r="I184" i="21"/>
  <c r="L184" i="21"/>
  <c r="Q193" i="21"/>
  <c r="V193" i="21"/>
  <c r="S193" i="21"/>
  <c r="O193" i="21"/>
  <c r="U193" i="21"/>
  <c r="R193" i="21"/>
  <c r="Q152" i="21"/>
  <c r="U152" i="21"/>
  <c r="R152" i="21"/>
  <c r="O152" i="21"/>
  <c r="S152" i="21"/>
  <c r="V152" i="21"/>
  <c r="AU172" i="21"/>
  <c r="AS172" i="21"/>
  <c r="AY172" i="21"/>
  <c r="AV172" i="21"/>
  <c r="AW172" i="21"/>
  <c r="AZ172" i="21"/>
  <c r="BC175" i="21"/>
  <c r="BE175" i="21"/>
  <c r="BI175" i="21"/>
  <c r="BF175" i="21"/>
  <c r="BG175" i="21"/>
  <c r="BJ175" i="21"/>
  <c r="BC154" i="21"/>
  <c r="BG154" i="21"/>
  <c r="BE154" i="21"/>
  <c r="BI154" i="21"/>
  <c r="BJ154" i="21"/>
  <c r="BF154" i="21"/>
  <c r="Y184" i="21"/>
  <c r="AA184" i="21"/>
  <c r="AB184" i="21"/>
  <c r="AC184" i="21"/>
  <c r="AF184" i="21"/>
  <c r="AE184" i="21"/>
  <c r="BE137" i="21"/>
  <c r="BF137" i="21"/>
  <c r="BG137" i="21"/>
  <c r="BJ137" i="21"/>
  <c r="BI137" i="21"/>
  <c r="AU175" i="21"/>
  <c r="AZ175" i="21"/>
  <c r="AW175" i="21"/>
  <c r="AS175" i="21"/>
  <c r="AY175" i="21"/>
  <c r="AV175" i="21"/>
  <c r="AA142" i="21"/>
  <c r="AE142" i="21"/>
  <c r="AB142" i="21"/>
  <c r="AC142" i="21"/>
  <c r="AF142" i="21"/>
  <c r="Y142" i="21"/>
  <c r="Q166" i="21"/>
  <c r="R166" i="21"/>
  <c r="S166" i="21"/>
  <c r="U166" i="21"/>
  <c r="V166" i="21"/>
  <c r="O166" i="21"/>
  <c r="E190" i="21"/>
  <c r="I190" i="21"/>
  <c r="L190" i="21"/>
  <c r="K190" i="21"/>
  <c r="H190" i="21"/>
  <c r="G190" i="21"/>
  <c r="BE172" i="21"/>
  <c r="BJ172" i="21"/>
  <c r="BI172" i="21"/>
  <c r="BG172" i="21"/>
  <c r="BF172" i="21"/>
  <c r="BC172" i="21"/>
  <c r="AK158" i="21"/>
  <c r="AL158" i="21"/>
  <c r="AM158" i="21"/>
  <c r="AI158" i="21"/>
  <c r="AO158" i="21"/>
  <c r="AP158" i="21"/>
  <c r="E144" i="21"/>
  <c r="G144" i="21"/>
  <c r="K144" i="21"/>
  <c r="L144" i="21"/>
  <c r="I144" i="21"/>
  <c r="H144" i="21"/>
  <c r="AA185" i="21"/>
  <c r="AE185" i="21"/>
  <c r="AF185" i="21"/>
  <c r="AB185" i="21"/>
  <c r="Y185" i="21"/>
  <c r="AC185" i="21"/>
  <c r="AA176" i="21"/>
  <c r="AF176" i="21"/>
  <c r="AE176" i="21"/>
  <c r="AC176" i="21"/>
  <c r="AB176" i="21"/>
  <c r="Y176" i="21"/>
  <c r="G172" i="21"/>
  <c r="I172" i="21"/>
  <c r="L172" i="21"/>
  <c r="H172" i="21"/>
  <c r="K172" i="21"/>
  <c r="E172" i="21"/>
  <c r="G157" i="21"/>
  <c r="E157" i="21"/>
  <c r="H157" i="21"/>
  <c r="K157" i="21"/>
  <c r="L157" i="21"/>
  <c r="I157" i="21"/>
  <c r="Q153" i="21"/>
  <c r="U153" i="21"/>
  <c r="R153" i="21"/>
  <c r="O153" i="21"/>
  <c r="S153" i="21"/>
  <c r="V153" i="21"/>
  <c r="Q170" i="21"/>
  <c r="R170" i="21"/>
  <c r="S170" i="21"/>
  <c r="O170" i="21"/>
  <c r="V170" i="21"/>
  <c r="U170" i="21"/>
  <c r="E193" i="21"/>
  <c r="G193" i="21"/>
  <c r="L193" i="21"/>
  <c r="K193" i="21"/>
  <c r="I193" i="21"/>
  <c r="H193" i="21"/>
  <c r="AK155" i="21"/>
  <c r="AI155" i="21"/>
  <c r="AP155" i="21"/>
  <c r="AO155" i="21"/>
  <c r="AL155" i="21"/>
  <c r="AM155" i="21"/>
  <c r="V142" i="21"/>
  <c r="R142" i="21"/>
  <c r="S142" i="21"/>
  <c r="U142" i="21"/>
  <c r="O142" i="21"/>
  <c r="Q142" i="21"/>
  <c r="AZ195" i="21"/>
  <c r="AY195" i="21"/>
  <c r="AU195" i="21"/>
  <c r="AV195" i="21"/>
  <c r="AW195" i="21"/>
  <c r="AS195" i="21"/>
  <c r="AU188" i="21"/>
  <c r="AS188" i="21"/>
  <c r="AV188" i="21"/>
  <c r="AY188" i="21"/>
  <c r="AZ188" i="21"/>
  <c r="AW188" i="21"/>
  <c r="V191" i="21"/>
  <c r="S191" i="21"/>
  <c r="Q191" i="21"/>
  <c r="R191" i="21"/>
  <c r="U191" i="21"/>
  <c r="O191" i="21"/>
  <c r="O165" i="21"/>
  <c r="U165" i="21"/>
  <c r="V165" i="21"/>
  <c r="R165" i="21"/>
  <c r="Q165" i="21"/>
  <c r="S165" i="21"/>
  <c r="G181" i="21"/>
  <c r="L181" i="21"/>
  <c r="H181" i="21"/>
  <c r="K181" i="21"/>
  <c r="E181" i="21"/>
  <c r="I181" i="21"/>
  <c r="AF155" i="21"/>
  <c r="AE155" i="21"/>
  <c r="AC155" i="21"/>
  <c r="AB155" i="21"/>
  <c r="Y155" i="21"/>
  <c r="AA155" i="21"/>
  <c r="Y154" i="21"/>
  <c r="AC154" i="21"/>
  <c r="AB154" i="21"/>
  <c r="AA154" i="21"/>
  <c r="AE154" i="21"/>
  <c r="AF154" i="21"/>
  <c r="O133" i="21"/>
  <c r="V133" i="21"/>
  <c r="S133" i="21"/>
  <c r="Q133" i="21"/>
  <c r="U133" i="21"/>
  <c r="R133" i="21"/>
  <c r="Q198" i="21"/>
  <c r="V198" i="21"/>
  <c r="U198" i="21"/>
  <c r="S198" i="21"/>
  <c r="R198" i="21"/>
  <c r="BE133" i="21"/>
  <c r="BJ133" i="21"/>
  <c r="BF133" i="21"/>
  <c r="BG133" i="21"/>
  <c r="BC133" i="21"/>
  <c r="BI133" i="21"/>
  <c r="BC183" i="21"/>
  <c r="BG183" i="21"/>
  <c r="BJ183" i="21"/>
  <c r="BI183" i="21"/>
  <c r="BF183" i="21"/>
  <c r="BE183" i="21"/>
  <c r="G137" i="21"/>
  <c r="L137" i="21"/>
  <c r="H137" i="21"/>
  <c r="I137" i="21"/>
  <c r="K137" i="21"/>
  <c r="Q176" i="21"/>
  <c r="O176" i="21"/>
  <c r="U176" i="21"/>
  <c r="V176" i="21"/>
  <c r="R176" i="21"/>
  <c r="S176" i="21"/>
  <c r="E197" i="21"/>
  <c r="H197" i="21"/>
  <c r="G197" i="21"/>
  <c r="I197" i="21"/>
  <c r="K197" i="21"/>
  <c r="L197" i="21"/>
  <c r="Q162" i="21"/>
  <c r="S162" i="21"/>
  <c r="R162" i="21"/>
  <c r="O162" i="21"/>
  <c r="V162" i="21"/>
  <c r="U162" i="21"/>
  <c r="BC197" i="21"/>
  <c r="BI197" i="21"/>
  <c r="BJ197" i="21"/>
  <c r="BE197" i="21"/>
  <c r="BF197" i="21"/>
  <c r="BG197" i="21"/>
  <c r="E136" i="21"/>
  <c r="L136" i="21"/>
  <c r="G136" i="21"/>
  <c r="K136" i="21"/>
  <c r="I136" i="21"/>
  <c r="H136" i="21"/>
  <c r="BJ138" i="21"/>
  <c r="BE138" i="21"/>
  <c r="BI138" i="21"/>
  <c r="BF138" i="21"/>
  <c r="BG138" i="21"/>
  <c r="BC138" i="21"/>
  <c r="BE171" i="21"/>
  <c r="BC171" i="21"/>
  <c r="BI171" i="21"/>
  <c r="BJ171" i="21"/>
  <c r="BG171" i="21"/>
  <c r="BF171" i="21"/>
  <c r="G167" i="21"/>
  <c r="K167" i="21"/>
  <c r="I167" i="21"/>
  <c r="H167" i="21"/>
  <c r="L167" i="21"/>
  <c r="E167" i="21"/>
  <c r="AG6" i="33"/>
  <c r="AH6" i="33" s="1"/>
  <c r="AO6" i="19"/>
  <c r="AP6" i="19" s="1"/>
  <c r="CP9" i="26"/>
  <c r="K684" i="9" l="1"/>
  <c r="FV4" i="14"/>
  <c r="GB4" i="14" s="1"/>
  <c r="GC4" i="14" s="1"/>
  <c r="GD4" i="14" s="1"/>
  <c r="GI4" i="14" s="1"/>
  <c r="O14" i="6"/>
  <c r="P14" i="6"/>
  <c r="GH34" i="11" s="1"/>
  <c r="P30" i="6"/>
  <c r="GH130" i="11" s="1"/>
  <c r="O30" i="6"/>
  <c r="B120" i="5" s="1"/>
  <c r="C120" i="5" s="1"/>
  <c r="P32" i="6"/>
  <c r="GH142" i="11" s="1"/>
  <c r="O32" i="6"/>
  <c r="CV142" i="11" s="1"/>
  <c r="P17" i="6"/>
  <c r="GH52" i="11" s="1"/>
  <c r="O17" i="6"/>
  <c r="CV52" i="11" s="1"/>
  <c r="P11" i="6"/>
  <c r="GH16" i="11" s="1"/>
  <c r="O11" i="6"/>
  <c r="CV16" i="11" s="1"/>
  <c r="O12" i="6"/>
  <c r="CK12" i="6" s="1"/>
  <c r="P12" i="6"/>
  <c r="GH22" i="11" s="1"/>
  <c r="O110" i="21"/>
  <c r="O8" i="21" s="1"/>
  <c r="AZ140" i="10" s="1"/>
  <c r="CK16" i="6"/>
  <c r="P9" i="19"/>
  <c r="H9" i="19" s="1"/>
  <c r="K9" i="19"/>
  <c r="I9" i="19" s="1"/>
  <c r="H7" i="19" s="1"/>
  <c r="K9" i="33"/>
  <c r="I9" i="33" s="1"/>
  <c r="G7" i="33" s="1"/>
  <c r="FW6" i="14"/>
  <c r="FW3" i="14"/>
  <c r="FV6" i="14"/>
  <c r="FV3" i="14"/>
  <c r="BW123" i="10"/>
  <c r="AP35" i="26"/>
  <c r="AG202" i="21"/>
  <c r="AG201" i="21" s="1"/>
  <c r="FW5" i="14"/>
  <c r="E8" i="21"/>
  <c r="FV5" i="14"/>
  <c r="GD183" i="11"/>
  <c r="CB179" i="11"/>
  <c r="GE179" i="11"/>
  <c r="DS175" i="11"/>
  <c r="AX145" i="21"/>
  <c r="J150" i="21"/>
  <c r="E150" i="21" s="1"/>
  <c r="AO7" i="19"/>
  <c r="AP7" i="19" s="1"/>
  <c r="AS7" i="19" s="1"/>
  <c r="BH138" i="21"/>
  <c r="J137" i="21"/>
  <c r="E137" i="21" s="1"/>
  <c r="AD154" i="21"/>
  <c r="AD155" i="21"/>
  <c r="T142" i="21"/>
  <c r="J190" i="21"/>
  <c r="BH137" i="21"/>
  <c r="BC137" i="21" s="1"/>
  <c r="BH142" i="21"/>
  <c r="AX162" i="21"/>
  <c r="T161" i="21"/>
  <c r="AX186" i="21"/>
  <c r="AX183" i="21"/>
  <c r="BH183" i="21"/>
  <c r="AQ202" i="21"/>
  <c r="AQ201" i="21" s="1"/>
  <c r="AD189" i="21"/>
  <c r="AX154" i="21"/>
  <c r="AD160" i="21"/>
  <c r="AD147" i="21"/>
  <c r="Y147" i="21" s="1"/>
  <c r="AG7" i="33"/>
  <c r="AH7" i="33" s="1"/>
  <c r="AK7" i="33" s="1"/>
  <c r="J144" i="21"/>
  <c r="BH178" i="21"/>
  <c r="BH141" i="21"/>
  <c r="J142" i="21"/>
  <c r="J198" i="21"/>
  <c r="E198" i="21" s="1"/>
  <c r="J195" i="21"/>
  <c r="E195" i="21" s="1"/>
  <c r="J167" i="21"/>
  <c r="J136" i="21"/>
  <c r="BH133" i="21"/>
  <c r="BH161" i="21"/>
  <c r="T181" i="21"/>
  <c r="AN142" i="21"/>
  <c r="J147" i="21"/>
  <c r="E147" i="21" s="1"/>
  <c r="T150" i="21"/>
  <c r="AD171" i="21"/>
  <c r="BH165" i="21"/>
  <c r="AD166" i="21"/>
  <c r="AX168" i="21"/>
  <c r="T196" i="21"/>
  <c r="T155" i="21"/>
  <c r="AD182" i="21"/>
  <c r="AD153" i="21"/>
  <c r="AN136" i="21"/>
  <c r="AD137" i="21"/>
  <c r="Y137" i="21" s="1"/>
  <c r="AN200" i="21"/>
  <c r="AI200" i="21" s="1"/>
  <c r="AX174" i="21"/>
  <c r="AN202" i="21"/>
  <c r="AX147" i="21"/>
  <c r="AS147" i="21" s="1"/>
  <c r="AN189" i="21"/>
  <c r="AN146" i="21"/>
  <c r="AD188" i="21"/>
  <c r="AN153" i="21"/>
  <c r="J140" i="21"/>
  <c r="AX198" i="21"/>
  <c r="AS198" i="21" s="1"/>
  <c r="AX132" i="21"/>
  <c r="BH169" i="21"/>
  <c r="AX139" i="21"/>
  <c r="T201" i="21"/>
  <c r="T184" i="21"/>
  <c r="AD170" i="21"/>
  <c r="AD187" i="21"/>
  <c r="J163" i="21"/>
  <c r="J201" i="21"/>
  <c r="AX169" i="21"/>
  <c r="AD200" i="21"/>
  <c r="Y200" i="21" s="1"/>
  <c r="AX150" i="21"/>
  <c r="AN182" i="21"/>
  <c r="BH145" i="21"/>
  <c r="J153" i="21"/>
  <c r="J149" i="21"/>
  <c r="AX157" i="21"/>
  <c r="AX193" i="21"/>
  <c r="AD183" i="21"/>
  <c r="BH180" i="21"/>
  <c r="AN166" i="21"/>
  <c r="AD138" i="21"/>
  <c r="AD194" i="21"/>
  <c r="J155" i="21"/>
  <c r="AN137" i="21"/>
  <c r="AI137" i="21" s="1"/>
  <c r="J182" i="21"/>
  <c r="AX144" i="21"/>
  <c r="AX165" i="21"/>
  <c r="T169" i="21"/>
  <c r="AD199" i="21"/>
  <c r="Y199" i="21" s="1"/>
  <c r="AN184" i="21"/>
  <c r="AD201" i="21"/>
  <c r="AN197" i="21"/>
  <c r="BH168" i="21"/>
  <c r="BH140" i="21"/>
  <c r="J141" i="21"/>
  <c r="J151" i="21"/>
  <c r="E151" i="21" s="1"/>
  <c r="T192" i="21"/>
  <c r="T160" i="21"/>
  <c r="AX164" i="21"/>
  <c r="J132" i="21"/>
  <c r="AN195" i="21"/>
  <c r="J178" i="21"/>
  <c r="AN192" i="21"/>
  <c r="T177" i="21"/>
  <c r="AN156" i="21"/>
  <c r="J143" i="21"/>
  <c r="T138" i="21"/>
  <c r="AX148" i="21"/>
  <c r="AN162" i="21"/>
  <c r="AN135" i="21"/>
  <c r="AX131" i="21"/>
  <c r="J193" i="21"/>
  <c r="AD197" i="21"/>
  <c r="J191" i="21"/>
  <c r="AX177" i="21"/>
  <c r="J203" i="21"/>
  <c r="E203" i="21" s="1"/>
  <c r="M203" i="21" s="1"/>
  <c r="M202" i="21" s="1"/>
  <c r="M201" i="21" s="1"/>
  <c r="AX135" i="21"/>
  <c r="BH196" i="21"/>
  <c r="AD151" i="21"/>
  <c r="Y151" i="21" s="1"/>
  <c r="T171" i="21"/>
  <c r="AX141" i="21"/>
  <c r="AN139" i="21"/>
  <c r="AN168" i="21"/>
  <c r="AD163" i="21"/>
  <c r="J175" i="21"/>
  <c r="AN144" i="21"/>
  <c r="J169" i="21"/>
  <c r="J154" i="21"/>
  <c r="BH170" i="21"/>
  <c r="J162" i="21"/>
  <c r="T188" i="21"/>
  <c r="AS6" i="19"/>
  <c r="BH171" i="21"/>
  <c r="T162" i="21"/>
  <c r="J197" i="21"/>
  <c r="T176" i="21"/>
  <c r="T198" i="21"/>
  <c r="O198" i="21" s="1"/>
  <c r="J181" i="21"/>
  <c r="AN155" i="21"/>
  <c r="T170" i="21"/>
  <c r="J157" i="21"/>
  <c r="AD176" i="21"/>
  <c r="BH172" i="21"/>
  <c r="T166" i="21"/>
  <c r="AX175" i="21"/>
  <c r="BH154" i="21"/>
  <c r="T152" i="21"/>
  <c r="J184" i="21"/>
  <c r="AN174" i="21"/>
  <c r="BH202" i="21"/>
  <c r="BH201" i="21"/>
  <c r="J188" i="21"/>
  <c r="T182" i="21"/>
  <c r="J131" i="21"/>
  <c r="AX189" i="21"/>
  <c r="AD136" i="21"/>
  <c r="AD162" i="21"/>
  <c r="BH203" i="21"/>
  <c r="T194" i="21"/>
  <c r="AX155" i="21"/>
  <c r="AD157" i="21"/>
  <c r="AX170" i="21"/>
  <c r="AD131" i="21"/>
  <c r="AN132" i="21"/>
  <c r="AX203" i="21"/>
  <c r="BH194" i="21"/>
  <c r="AX163" i="21"/>
  <c r="J164" i="21"/>
  <c r="AD193" i="21"/>
  <c r="J200" i="21"/>
  <c r="E200" i="21" s="1"/>
  <c r="AN178" i="21"/>
  <c r="J186" i="21"/>
  <c r="T179" i="21"/>
  <c r="AD192" i="21"/>
  <c r="AD144" i="21"/>
  <c r="J133" i="21"/>
  <c r="BH166" i="21"/>
  <c r="BH144" i="21"/>
  <c r="AN187" i="21"/>
  <c r="AD181" i="21"/>
  <c r="AD191" i="21"/>
  <c r="J158" i="21"/>
  <c r="T159" i="21"/>
  <c r="AN147" i="21"/>
  <c r="AI147" i="21" s="1"/>
  <c r="T183" i="21"/>
  <c r="AN188" i="21"/>
  <c r="AN198" i="21"/>
  <c r="AI198" i="21" s="1"/>
  <c r="AD180" i="21"/>
  <c r="J189" i="21"/>
  <c r="BH193" i="21"/>
  <c r="BH188" i="21"/>
  <c r="J202" i="21"/>
  <c r="BH186" i="21"/>
  <c r="BH134" i="21"/>
  <c r="T168" i="21"/>
  <c r="AN171" i="21"/>
  <c r="T145" i="21"/>
  <c r="J159" i="21"/>
  <c r="AN150" i="21"/>
  <c r="AN196" i="21"/>
  <c r="J194" i="21"/>
  <c r="V8" i="19"/>
  <c r="U9" i="19"/>
  <c r="BH136" i="21"/>
  <c r="BH152" i="21"/>
  <c r="AD190" i="21"/>
  <c r="BH164" i="21"/>
  <c r="AD159" i="21"/>
  <c r="AN179" i="21"/>
  <c r="BH150" i="21"/>
  <c r="J146" i="21"/>
  <c r="AX190" i="21"/>
  <c r="BH167" i="21"/>
  <c r="AN140" i="21"/>
  <c r="AD168" i="21"/>
  <c r="AX153" i="21"/>
  <c r="AS6" i="33"/>
  <c r="BH160" i="21"/>
  <c r="AN177" i="21"/>
  <c r="T195" i="21"/>
  <c r="O195" i="21" s="1"/>
  <c r="AX167" i="21"/>
  <c r="AD169" i="21"/>
  <c r="AN180" i="21"/>
  <c r="T137" i="21"/>
  <c r="O137" i="21" s="1"/>
  <c r="AD179" i="21"/>
  <c r="T141" i="21"/>
  <c r="AN203" i="21"/>
  <c r="T173" i="21"/>
  <c r="AD175" i="21"/>
  <c r="T135" i="21"/>
  <c r="AN181" i="21"/>
  <c r="T164" i="21"/>
  <c r="BH139" i="21"/>
  <c r="AN165" i="21"/>
  <c r="AX178" i="21"/>
  <c r="T143" i="21"/>
  <c r="J165" i="21"/>
  <c r="AX200" i="21"/>
  <c r="AS200" i="21" s="1"/>
  <c r="AX137" i="21"/>
  <c r="AS137" i="21" s="1"/>
  <c r="AX152" i="21"/>
  <c r="AX197" i="21"/>
  <c r="AD156" i="21"/>
  <c r="AD150" i="21"/>
  <c r="AN149" i="21"/>
  <c r="AN172" i="21"/>
  <c r="BA202" i="21"/>
  <c r="BA201" i="21" s="1"/>
  <c r="AX202" i="21"/>
  <c r="T172" i="21"/>
  <c r="T134" i="21"/>
  <c r="AX179" i="21"/>
  <c r="T144" i="21"/>
  <c r="AD143" i="21"/>
  <c r="AX143" i="21"/>
  <c r="AK6" i="33"/>
  <c r="T165" i="21"/>
  <c r="T191" i="21"/>
  <c r="AX188" i="21"/>
  <c r="AX195" i="21"/>
  <c r="T153" i="21"/>
  <c r="J172" i="21"/>
  <c r="AD185" i="21"/>
  <c r="AN158" i="21"/>
  <c r="AD142" i="21"/>
  <c r="AX172" i="21"/>
  <c r="T193" i="21"/>
  <c r="J179" i="21"/>
  <c r="AN186" i="21"/>
  <c r="AD149" i="21"/>
  <c r="T185" i="21"/>
  <c r="AN176" i="21"/>
  <c r="J148" i="21"/>
  <c r="T151" i="21"/>
  <c r="O151" i="21" s="1"/>
  <c r="AX171" i="21"/>
  <c r="AX201" i="21"/>
  <c r="AX136" i="21"/>
  <c r="AX185" i="21"/>
  <c r="J134" i="21"/>
  <c r="AX181" i="21"/>
  <c r="BH181" i="21"/>
  <c r="T186" i="21"/>
  <c r="AX192" i="21"/>
  <c r="T157" i="21"/>
  <c r="AN164" i="21"/>
  <c r="AX194" i="21"/>
  <c r="AN159" i="21"/>
  <c r="T197" i="21"/>
  <c r="T189" i="21"/>
  <c r="BH191" i="21"/>
  <c r="J160" i="21"/>
  <c r="AG7" i="19"/>
  <c r="AN201" i="21"/>
  <c r="AD196" i="21"/>
  <c r="AD132" i="21"/>
  <c r="J170" i="21"/>
  <c r="J183" i="21"/>
  <c r="AD133" i="21"/>
  <c r="AD178" i="21"/>
  <c r="J139" i="21"/>
  <c r="BH163" i="21"/>
  <c r="AX182" i="21"/>
  <c r="AD165" i="21"/>
  <c r="J135" i="21"/>
  <c r="AD158" i="21"/>
  <c r="BH174" i="21"/>
  <c r="AN167" i="21"/>
  <c r="AD141" i="21"/>
  <c r="T190" i="21"/>
  <c r="V8" i="33"/>
  <c r="U9" i="33"/>
  <c r="BH131" i="21"/>
  <c r="BH156" i="21"/>
  <c r="BH185" i="21"/>
  <c r="BH177" i="21"/>
  <c r="BH192" i="21"/>
  <c r="J185" i="21"/>
  <c r="AX156" i="21"/>
  <c r="AX187" i="21"/>
  <c r="AN199" i="21"/>
  <c r="AI199" i="21" s="1"/>
  <c r="BH148" i="21"/>
  <c r="AN185" i="21"/>
  <c r="AD145" i="21"/>
  <c r="BH151" i="21"/>
  <c r="J156" i="21"/>
  <c r="J166" i="21"/>
  <c r="BH195" i="21"/>
  <c r="BH173" i="21"/>
  <c r="BH162" i="21"/>
  <c r="BH184" i="21"/>
  <c r="J180" i="21"/>
  <c r="J168" i="21"/>
  <c r="AN169" i="21"/>
  <c r="T131" i="21"/>
  <c r="BH197" i="21"/>
  <c r="T133" i="21"/>
  <c r="AD184" i="21"/>
  <c r="BH175" i="21"/>
  <c r="BK202" i="21"/>
  <c r="BK201" i="21" s="1"/>
  <c r="BH189" i="21"/>
  <c r="T140" i="21"/>
  <c r="J196" i="21"/>
  <c r="E196" i="21" s="1"/>
  <c r="AO7" i="33"/>
  <c r="AK6" i="19"/>
  <c r="AD174" i="21"/>
  <c r="T147" i="21"/>
  <c r="O147" i="21" s="1"/>
  <c r="AX160" i="21"/>
  <c r="AX149" i="21"/>
  <c r="AD140" i="21"/>
  <c r="T154" i="21"/>
  <c r="AN173" i="21"/>
  <c r="J171" i="21"/>
  <c r="BH182" i="21"/>
  <c r="J176" i="21"/>
  <c r="AN138" i="21"/>
  <c r="AD195" i="21"/>
  <c r="Y195" i="21" s="1"/>
  <c r="T139" i="21"/>
  <c r="T158" i="21"/>
  <c r="AD164" i="21"/>
  <c r="AX180" i="21"/>
  <c r="AX134" i="21"/>
  <c r="AN170" i="21"/>
  <c r="AX166" i="21"/>
  <c r="BH179" i="21"/>
  <c r="AX151" i="21"/>
  <c r="T146" i="21"/>
  <c r="AD186" i="21"/>
  <c r="J192" i="21"/>
  <c r="T136" i="21"/>
  <c r="BH158" i="21"/>
  <c r="T178" i="21"/>
  <c r="J174" i="21"/>
  <c r="AD134" i="21"/>
  <c r="BH198" i="21"/>
  <c r="BC198" i="21" s="1"/>
  <c r="J177" i="21"/>
  <c r="AD167" i="21"/>
  <c r="AX133" i="21"/>
  <c r="AN151" i="21"/>
  <c r="J138" i="21"/>
  <c r="AD198" i="21"/>
  <c r="Y198" i="21" s="1"/>
  <c r="AD177" i="21"/>
  <c r="BH187" i="21"/>
  <c r="T174" i="21"/>
  <c r="AN175" i="21"/>
  <c r="T132" i="21"/>
  <c r="J199" i="21"/>
  <c r="E199" i="21" s="1"/>
  <c r="J173" i="21"/>
  <c r="AX173" i="21"/>
  <c r="AN157" i="21"/>
  <c r="AD146" i="21"/>
  <c r="AN191" i="21"/>
  <c r="AX184" i="21"/>
  <c r="BH153" i="21"/>
  <c r="BH200" i="21"/>
  <c r="BC200" i="21" s="1"/>
  <c r="T199" i="21"/>
  <c r="O199" i="21" s="1"/>
  <c r="BH146" i="21"/>
  <c r="T156" i="21"/>
  <c r="AX199" i="21"/>
  <c r="AS199" i="21" s="1"/>
  <c r="T187" i="21"/>
  <c r="AN145" i="21"/>
  <c r="AX191" i="21"/>
  <c r="T203" i="21"/>
  <c r="O203" i="21" s="1"/>
  <c r="W203" i="21" s="1"/>
  <c r="W202" i="21" s="1"/>
  <c r="W201" i="21" s="1"/>
  <c r="AN141" i="21"/>
  <c r="T167" i="21"/>
  <c r="AN148" i="21"/>
  <c r="AD152" i="21"/>
  <c r="BH135" i="21"/>
  <c r="AN193" i="21"/>
  <c r="AN163" i="21"/>
  <c r="AN152" i="21"/>
  <c r="AX140" i="21"/>
  <c r="BH132" i="21"/>
  <c r="BH155" i="21"/>
  <c r="J161" i="21"/>
  <c r="AX176" i="21"/>
  <c r="AN194" i="21"/>
  <c r="BH159" i="21"/>
  <c r="T175" i="21"/>
  <c r="AN143" i="21"/>
  <c r="AD135" i="21"/>
  <c r="T163" i="21"/>
  <c r="AN190" i="21"/>
  <c r="AD172" i="21"/>
  <c r="AX138" i="21"/>
  <c r="AN134" i="21"/>
  <c r="AD148" i="21"/>
  <c r="T149" i="21"/>
  <c r="J152" i="21"/>
  <c r="AN160" i="21"/>
  <c r="J145" i="21"/>
  <c r="AN133" i="21"/>
  <c r="AD202" i="21"/>
  <c r="AN131" i="21"/>
  <c r="AX158" i="21"/>
  <c r="BH143" i="21"/>
  <c r="BH176" i="21"/>
  <c r="T148" i="21"/>
  <c r="T200" i="21"/>
  <c r="O200" i="21" s="1"/>
  <c r="BH147" i="21"/>
  <c r="BC147" i="21" s="1"/>
  <c r="J187" i="21"/>
  <c r="BH149" i="21"/>
  <c r="AD161" i="21"/>
  <c r="AD203" i="21"/>
  <c r="AN161" i="21"/>
  <c r="AX161" i="21"/>
  <c r="AN154" i="21"/>
  <c r="AD173" i="21"/>
  <c r="AX142" i="21"/>
  <c r="AX159" i="21"/>
  <c r="AX146" i="21"/>
  <c r="T202" i="21"/>
  <c r="BH199" i="21"/>
  <c r="BC199" i="21" s="1"/>
  <c r="BH190" i="21"/>
  <c r="AN183" i="21"/>
  <c r="BH157" i="21"/>
  <c r="AX196" i="21"/>
  <c r="T180" i="21"/>
  <c r="AD139" i="21"/>
  <c r="BF49" i="26"/>
  <c r="BQ9" i="26"/>
  <c r="BF52" i="26"/>
  <c r="K685" i="9" l="1"/>
  <c r="W200" i="21"/>
  <c r="W199" i="21" s="1"/>
  <c r="W198" i="21" s="1"/>
  <c r="W197" i="21" s="1"/>
  <c r="W196" i="21" s="1"/>
  <c r="W195" i="21" s="1"/>
  <c r="W194" i="21" s="1"/>
  <c r="W193" i="21" s="1"/>
  <c r="W192" i="21" s="1"/>
  <c r="W191" i="21" s="1"/>
  <c r="W190" i="21" s="1"/>
  <c r="W189" i="21" s="1"/>
  <c r="W188" i="21" s="1"/>
  <c r="W187" i="21" s="1"/>
  <c r="W186" i="21" s="1"/>
  <c r="W185" i="21" s="1"/>
  <c r="W184" i="21" s="1"/>
  <c r="W183" i="21" s="1"/>
  <c r="W182" i="21" s="1"/>
  <c r="W181" i="21" s="1"/>
  <c r="W180" i="21" s="1"/>
  <c r="W179" i="21" s="1"/>
  <c r="W178" i="21" s="1"/>
  <c r="W177" i="21" s="1"/>
  <c r="W176" i="21" s="1"/>
  <c r="W175" i="21" s="1"/>
  <c r="W174" i="21" s="1"/>
  <c r="W173" i="21" s="1"/>
  <c r="W172" i="21" s="1"/>
  <c r="W171" i="21" s="1"/>
  <c r="W170" i="21" s="1"/>
  <c r="W169" i="21" s="1"/>
  <c r="W168" i="21" s="1"/>
  <c r="W167" i="21" s="1"/>
  <c r="W166" i="21" s="1"/>
  <c r="W165" i="21" s="1"/>
  <c r="W164" i="21" s="1"/>
  <c r="W163" i="21" s="1"/>
  <c r="W162" i="21" s="1"/>
  <c r="W161" i="21" s="1"/>
  <c r="W160" i="21" s="1"/>
  <c r="W159" i="21" s="1"/>
  <c r="W158" i="21" s="1"/>
  <c r="W157" i="21" s="1"/>
  <c r="W156" i="21" s="1"/>
  <c r="W155" i="21" s="1"/>
  <c r="W154" i="21" s="1"/>
  <c r="W153" i="21" s="1"/>
  <c r="W152" i="21" s="1"/>
  <c r="W151" i="21" s="1"/>
  <c r="W150" i="21" s="1"/>
  <c r="W149" i="21" s="1"/>
  <c r="W148" i="21" s="1"/>
  <c r="W147" i="21" s="1"/>
  <c r="W146" i="21" s="1"/>
  <c r="W145" i="21" s="1"/>
  <c r="W144" i="21" s="1"/>
  <c r="W143" i="21" s="1"/>
  <c r="W142" i="21" s="1"/>
  <c r="W141" i="21" s="1"/>
  <c r="W140" i="21" s="1"/>
  <c r="W139" i="21" s="1"/>
  <c r="W138" i="21" s="1"/>
  <c r="W137" i="21" s="1"/>
  <c r="W136" i="21" s="1"/>
  <c r="W135" i="21" s="1"/>
  <c r="W134" i="21" s="1"/>
  <c r="W133" i="21" s="1"/>
  <c r="W132" i="21" s="1"/>
  <c r="W131" i="21" s="1"/>
  <c r="W130" i="21" s="1"/>
  <c r="O129" i="21" s="1"/>
  <c r="I38" i="19" s="1"/>
  <c r="M200" i="21"/>
  <c r="M199" i="21" s="1"/>
  <c r="M198" i="21" s="1"/>
  <c r="M197" i="21" s="1"/>
  <c r="M196" i="21" s="1"/>
  <c r="M195" i="21" s="1"/>
  <c r="M194" i="21" s="1"/>
  <c r="M193" i="21" s="1"/>
  <c r="M192" i="21" s="1"/>
  <c r="M191" i="21" s="1"/>
  <c r="M190" i="21" s="1"/>
  <c r="M189" i="21" s="1"/>
  <c r="M188" i="21" s="1"/>
  <c r="M187" i="21" s="1"/>
  <c r="M186" i="21" s="1"/>
  <c r="M185" i="21" s="1"/>
  <c r="M184" i="21" s="1"/>
  <c r="M183" i="21" s="1"/>
  <c r="M182" i="21" s="1"/>
  <c r="M181" i="21" s="1"/>
  <c r="M180" i="21" s="1"/>
  <c r="M179" i="21" s="1"/>
  <c r="M178" i="21" s="1"/>
  <c r="M177" i="21" s="1"/>
  <c r="M176" i="21" s="1"/>
  <c r="M175" i="21" s="1"/>
  <c r="M174" i="21" s="1"/>
  <c r="M173" i="21" s="1"/>
  <c r="M172" i="21" s="1"/>
  <c r="M171" i="21" s="1"/>
  <c r="M170" i="21" s="1"/>
  <c r="M169" i="21" s="1"/>
  <c r="M168" i="21" s="1"/>
  <c r="M167" i="21" s="1"/>
  <c r="M166" i="21" s="1"/>
  <c r="M165" i="21" s="1"/>
  <c r="M164" i="21" s="1"/>
  <c r="M163" i="21" s="1"/>
  <c r="M162" i="21" s="1"/>
  <c r="M161" i="21" s="1"/>
  <c r="M160" i="21" s="1"/>
  <c r="M159" i="21" s="1"/>
  <c r="M158" i="21" s="1"/>
  <c r="M157" i="21" s="1"/>
  <c r="M156" i="21" s="1"/>
  <c r="M155" i="21" s="1"/>
  <c r="M154" i="21" s="1"/>
  <c r="M153" i="21" s="1"/>
  <c r="M152" i="21" s="1"/>
  <c r="M151" i="21" s="1"/>
  <c r="M150" i="21" s="1"/>
  <c r="M149" i="21" s="1"/>
  <c r="M148" i="21" s="1"/>
  <c r="M147" i="21" s="1"/>
  <c r="M146" i="21" s="1"/>
  <c r="M145" i="21" s="1"/>
  <c r="M144" i="21" s="1"/>
  <c r="M143" i="21" s="1"/>
  <c r="M142" i="21" s="1"/>
  <c r="M141" i="21" s="1"/>
  <c r="M140" i="21" s="1"/>
  <c r="M139" i="21" s="1"/>
  <c r="M138" i="21" s="1"/>
  <c r="M137" i="21" s="1"/>
  <c r="M136" i="21" s="1"/>
  <c r="M135" i="21" s="1"/>
  <c r="M134" i="21" s="1"/>
  <c r="M133" i="21" s="1"/>
  <c r="M132" i="21" s="1"/>
  <c r="M131" i="21" s="1"/>
  <c r="M130" i="21" s="1"/>
  <c r="E129" i="21" s="1"/>
  <c r="I37" i="19" s="1"/>
  <c r="AQ200" i="21"/>
  <c r="AQ199" i="21" s="1"/>
  <c r="AQ198" i="21" s="1"/>
  <c r="AQ197" i="21" s="1"/>
  <c r="AQ196" i="21" s="1"/>
  <c r="AQ195" i="21" s="1"/>
  <c r="AQ194" i="21" s="1"/>
  <c r="AQ193" i="21" s="1"/>
  <c r="AQ192" i="21" s="1"/>
  <c r="AQ191" i="21" s="1"/>
  <c r="AQ190" i="21" s="1"/>
  <c r="AQ189" i="21" s="1"/>
  <c r="AQ188" i="21" s="1"/>
  <c r="AQ187" i="21" s="1"/>
  <c r="AQ186" i="21" s="1"/>
  <c r="AQ185" i="21" s="1"/>
  <c r="AQ184" i="21" s="1"/>
  <c r="AQ183" i="21" s="1"/>
  <c r="AQ182" i="21" s="1"/>
  <c r="AQ181" i="21" s="1"/>
  <c r="AQ180" i="21" s="1"/>
  <c r="AQ179" i="21" s="1"/>
  <c r="AQ178" i="21" s="1"/>
  <c r="AQ177" i="21" s="1"/>
  <c r="AQ176" i="21" s="1"/>
  <c r="AQ175" i="21" s="1"/>
  <c r="AQ174" i="21" s="1"/>
  <c r="AQ173" i="21" s="1"/>
  <c r="AQ172" i="21" s="1"/>
  <c r="AQ171" i="21" s="1"/>
  <c r="AQ170" i="21" s="1"/>
  <c r="AQ169" i="21" s="1"/>
  <c r="AQ168" i="21" s="1"/>
  <c r="AQ167" i="21" s="1"/>
  <c r="AQ166" i="21" s="1"/>
  <c r="AQ165" i="21" s="1"/>
  <c r="AQ164" i="21" s="1"/>
  <c r="AQ163" i="21" s="1"/>
  <c r="AQ162" i="21" s="1"/>
  <c r="AQ161" i="21" s="1"/>
  <c r="AQ160" i="21" s="1"/>
  <c r="AQ159" i="21" s="1"/>
  <c r="AQ158" i="21" s="1"/>
  <c r="AQ157" i="21" s="1"/>
  <c r="AQ156" i="21" s="1"/>
  <c r="AQ155" i="21" s="1"/>
  <c r="AQ154" i="21" s="1"/>
  <c r="AQ153" i="21" s="1"/>
  <c r="AQ152" i="21" s="1"/>
  <c r="AQ151" i="21" s="1"/>
  <c r="AQ150" i="21" s="1"/>
  <c r="AQ149" i="21" s="1"/>
  <c r="AQ148" i="21" s="1"/>
  <c r="AQ147" i="21" s="1"/>
  <c r="AQ146" i="21" s="1"/>
  <c r="AQ145" i="21" s="1"/>
  <c r="AQ144" i="21" s="1"/>
  <c r="AQ143" i="21" s="1"/>
  <c r="AQ142" i="21" s="1"/>
  <c r="AQ141" i="21" s="1"/>
  <c r="AQ140" i="21" s="1"/>
  <c r="AQ139" i="21" s="1"/>
  <c r="AQ138" i="21" s="1"/>
  <c r="AQ137" i="21" s="1"/>
  <c r="AQ136" i="21" s="1"/>
  <c r="AQ135" i="21" s="1"/>
  <c r="AQ134" i="21" s="1"/>
  <c r="AQ133" i="21" s="1"/>
  <c r="AQ132" i="21" s="1"/>
  <c r="AQ131" i="21" s="1"/>
  <c r="AQ130" i="21" s="1"/>
  <c r="AG200" i="21"/>
  <c r="AG199" i="21" s="1"/>
  <c r="AG198" i="21" s="1"/>
  <c r="AG197" i="21" s="1"/>
  <c r="AG196" i="21" s="1"/>
  <c r="AG195" i="21" s="1"/>
  <c r="AG194" i="21" s="1"/>
  <c r="AG193" i="21" s="1"/>
  <c r="AG192" i="21" s="1"/>
  <c r="AG191" i="21" s="1"/>
  <c r="AG190" i="21" s="1"/>
  <c r="AG189" i="21" s="1"/>
  <c r="AG188" i="21" s="1"/>
  <c r="AG187" i="21" s="1"/>
  <c r="AG186" i="21" s="1"/>
  <c r="AG185" i="21" s="1"/>
  <c r="AG184" i="21" s="1"/>
  <c r="AG183" i="21" s="1"/>
  <c r="AG182" i="21" s="1"/>
  <c r="AG181" i="21" s="1"/>
  <c r="AG180" i="21" s="1"/>
  <c r="AG179" i="21" s="1"/>
  <c r="AG178" i="21" s="1"/>
  <c r="AG177" i="21" s="1"/>
  <c r="AG176" i="21" s="1"/>
  <c r="AG175" i="21" s="1"/>
  <c r="AG174" i="21" s="1"/>
  <c r="AG173" i="21" s="1"/>
  <c r="AG172" i="21" s="1"/>
  <c r="AG171" i="21" s="1"/>
  <c r="AG170" i="21" s="1"/>
  <c r="AG169" i="21" s="1"/>
  <c r="AG168" i="21" s="1"/>
  <c r="AG167" i="21" s="1"/>
  <c r="AG166" i="21" s="1"/>
  <c r="AG165" i="21" s="1"/>
  <c r="AG164" i="21" s="1"/>
  <c r="AG163" i="21" s="1"/>
  <c r="AG162" i="21" s="1"/>
  <c r="AG161" i="21" s="1"/>
  <c r="AG160" i="21" s="1"/>
  <c r="AG159" i="21" s="1"/>
  <c r="AG158" i="21" s="1"/>
  <c r="AG157" i="21" s="1"/>
  <c r="AG156" i="21" s="1"/>
  <c r="AG155" i="21" s="1"/>
  <c r="AG154" i="21" s="1"/>
  <c r="AG153" i="21" s="1"/>
  <c r="AG152" i="21" s="1"/>
  <c r="AG151" i="21" s="1"/>
  <c r="AG150" i="21" s="1"/>
  <c r="AG149" i="21" s="1"/>
  <c r="AG148" i="21" s="1"/>
  <c r="AG147" i="21" s="1"/>
  <c r="AG146" i="21" s="1"/>
  <c r="AG145" i="21" s="1"/>
  <c r="AG144" i="21" s="1"/>
  <c r="AG143" i="21" s="1"/>
  <c r="AG142" i="21" s="1"/>
  <c r="AG141" i="21" s="1"/>
  <c r="AG140" i="21" s="1"/>
  <c r="AG139" i="21" s="1"/>
  <c r="AG138" i="21" s="1"/>
  <c r="AG137" i="21" s="1"/>
  <c r="AG136" i="21" s="1"/>
  <c r="AG135" i="21" s="1"/>
  <c r="AG134" i="21" s="1"/>
  <c r="AG133" i="21" s="1"/>
  <c r="AG132" i="21" s="1"/>
  <c r="AG131" i="21" s="1"/>
  <c r="AG130" i="21" s="1"/>
  <c r="BA200" i="21"/>
  <c r="BA199" i="21" s="1"/>
  <c r="BA198" i="21" s="1"/>
  <c r="BA197" i="21" s="1"/>
  <c r="BA196" i="21" s="1"/>
  <c r="BA195" i="21" s="1"/>
  <c r="BA194" i="21" s="1"/>
  <c r="BA193" i="21" s="1"/>
  <c r="BA192" i="21" s="1"/>
  <c r="BA191" i="21" s="1"/>
  <c r="BA190" i="21" s="1"/>
  <c r="BA189" i="21" s="1"/>
  <c r="BA188" i="21" s="1"/>
  <c r="BA187" i="21" s="1"/>
  <c r="BA186" i="21" s="1"/>
  <c r="BA185" i="21" s="1"/>
  <c r="BA184" i="21" s="1"/>
  <c r="BA183" i="21" s="1"/>
  <c r="BA182" i="21" s="1"/>
  <c r="BA181" i="21" s="1"/>
  <c r="BA180" i="21" s="1"/>
  <c r="BA179" i="21" s="1"/>
  <c r="BA178" i="21" s="1"/>
  <c r="BA177" i="21" s="1"/>
  <c r="BA176" i="21" s="1"/>
  <c r="BA175" i="21" s="1"/>
  <c r="BA174" i="21" s="1"/>
  <c r="BA173" i="21" s="1"/>
  <c r="BA172" i="21" s="1"/>
  <c r="BA171" i="21" s="1"/>
  <c r="BA170" i="21" s="1"/>
  <c r="BA169" i="21" s="1"/>
  <c r="BA168" i="21" s="1"/>
  <c r="BA167" i="21" s="1"/>
  <c r="BA166" i="21" s="1"/>
  <c r="BA165" i="21" s="1"/>
  <c r="BA164" i="21" s="1"/>
  <c r="BA163" i="21" s="1"/>
  <c r="BA162" i="21" s="1"/>
  <c r="BA161" i="21" s="1"/>
  <c r="BA160" i="21" s="1"/>
  <c r="BA159" i="21" s="1"/>
  <c r="BA158" i="21" s="1"/>
  <c r="BA157" i="21" s="1"/>
  <c r="BA156" i="21" s="1"/>
  <c r="BA155" i="21" s="1"/>
  <c r="BA154" i="21" s="1"/>
  <c r="BA153" i="21" s="1"/>
  <c r="BA152" i="21" s="1"/>
  <c r="BA151" i="21" s="1"/>
  <c r="BA150" i="21" s="1"/>
  <c r="BA149" i="21" s="1"/>
  <c r="BA148" i="21" s="1"/>
  <c r="BA147" i="21" s="1"/>
  <c r="BA146" i="21" s="1"/>
  <c r="BA145" i="21" s="1"/>
  <c r="BA144" i="21" s="1"/>
  <c r="BA143" i="21" s="1"/>
  <c r="BA142" i="21" s="1"/>
  <c r="BA141" i="21" s="1"/>
  <c r="BA140" i="21" s="1"/>
  <c r="BA139" i="21" s="1"/>
  <c r="BA138" i="21" s="1"/>
  <c r="BA137" i="21" s="1"/>
  <c r="BA136" i="21" s="1"/>
  <c r="BA135" i="21" s="1"/>
  <c r="BA134" i="21" s="1"/>
  <c r="BA133" i="21" s="1"/>
  <c r="BA132" i="21" s="1"/>
  <c r="BA131" i="21" s="1"/>
  <c r="BA130" i="21" s="1"/>
  <c r="BK200" i="21"/>
  <c r="BK199" i="21" s="1"/>
  <c r="BK198" i="21" s="1"/>
  <c r="BK197" i="21" s="1"/>
  <c r="BK196" i="21" s="1"/>
  <c r="BK195" i="21" s="1"/>
  <c r="BK194" i="21" s="1"/>
  <c r="BK193" i="21" s="1"/>
  <c r="BK192" i="21" s="1"/>
  <c r="BK191" i="21" s="1"/>
  <c r="BK190" i="21" s="1"/>
  <c r="BK189" i="21" s="1"/>
  <c r="BK188" i="21" s="1"/>
  <c r="BK187" i="21" s="1"/>
  <c r="BK186" i="21" s="1"/>
  <c r="BK185" i="21" s="1"/>
  <c r="BK184" i="21" s="1"/>
  <c r="BK183" i="21" s="1"/>
  <c r="BK182" i="21" s="1"/>
  <c r="BK181" i="21" s="1"/>
  <c r="BK180" i="21" s="1"/>
  <c r="BK179" i="21" s="1"/>
  <c r="BK178" i="21" s="1"/>
  <c r="BK177" i="21" s="1"/>
  <c r="BK176" i="21" s="1"/>
  <c r="BK175" i="21" s="1"/>
  <c r="BK174" i="21" s="1"/>
  <c r="BK173" i="21" s="1"/>
  <c r="BK172" i="21" s="1"/>
  <c r="BK171" i="21" s="1"/>
  <c r="BK170" i="21" s="1"/>
  <c r="BK169" i="21" s="1"/>
  <c r="BK168" i="21" s="1"/>
  <c r="BK167" i="21" s="1"/>
  <c r="BK166" i="21" s="1"/>
  <c r="BK165" i="21" s="1"/>
  <c r="BK164" i="21" s="1"/>
  <c r="BK163" i="21" s="1"/>
  <c r="BK162" i="21" s="1"/>
  <c r="BK161" i="21" s="1"/>
  <c r="BK160" i="21" s="1"/>
  <c r="BK159" i="21" s="1"/>
  <c r="BK158" i="21" s="1"/>
  <c r="BK157" i="21" s="1"/>
  <c r="BK156" i="21" s="1"/>
  <c r="BK155" i="21" s="1"/>
  <c r="BK154" i="21" s="1"/>
  <c r="BK153" i="21" s="1"/>
  <c r="BK152" i="21" s="1"/>
  <c r="BK151" i="21" s="1"/>
  <c r="BK150" i="21" s="1"/>
  <c r="BK149" i="21" s="1"/>
  <c r="BK148" i="21" s="1"/>
  <c r="BK147" i="21" s="1"/>
  <c r="BK146" i="21" s="1"/>
  <c r="BK145" i="21" s="1"/>
  <c r="BK144" i="21" s="1"/>
  <c r="BK143" i="21" s="1"/>
  <c r="BK142" i="21" s="1"/>
  <c r="BK141" i="21" s="1"/>
  <c r="BK140" i="21" s="1"/>
  <c r="BK139" i="21" s="1"/>
  <c r="BK138" i="21" s="1"/>
  <c r="BK137" i="21" s="1"/>
  <c r="BK136" i="21" s="1"/>
  <c r="BK135" i="21" s="1"/>
  <c r="BK134" i="21" s="1"/>
  <c r="BK133" i="21" s="1"/>
  <c r="BK132" i="21" s="1"/>
  <c r="BK131" i="21" s="1"/>
  <c r="BK130" i="21" s="1"/>
  <c r="CK11" i="6"/>
  <c r="CK17" i="6"/>
  <c r="CK30" i="6"/>
  <c r="CL30" i="6" s="1"/>
  <c r="CL29" i="6" s="1"/>
  <c r="CL28" i="6" s="1"/>
  <c r="CL27" i="6" s="1"/>
  <c r="CL26" i="6" s="1"/>
  <c r="CL25" i="6" s="1"/>
  <c r="CL24" i="6" s="1"/>
  <c r="CL23" i="6" s="1"/>
  <c r="CL22" i="6" s="1"/>
  <c r="CL21" i="6" s="1"/>
  <c r="CL20" i="6" s="1"/>
  <c r="CL19" i="6" s="1"/>
  <c r="CL18" i="6" s="1"/>
  <c r="B116" i="5"/>
  <c r="C116" i="5" s="1"/>
  <c r="CV130" i="11"/>
  <c r="B119" i="5"/>
  <c r="C119" i="5" s="1"/>
  <c r="B118" i="5"/>
  <c r="C118" i="5" s="1"/>
  <c r="B121" i="5"/>
  <c r="C121" i="5" s="1"/>
  <c r="B117" i="5"/>
  <c r="GK4" i="14"/>
  <c r="CK14" i="6"/>
  <c r="CV22" i="11"/>
  <c r="CV34" i="11"/>
  <c r="D58" i="26"/>
  <c r="G7" i="19"/>
  <c r="BP51" i="18"/>
  <c r="FL51" i="18" s="1"/>
  <c r="GB3" i="14"/>
  <c r="GC3" i="14" s="1"/>
  <c r="GD3" i="14" s="1"/>
  <c r="GK3" i="14" s="1"/>
  <c r="GB6" i="14"/>
  <c r="GC6" i="14" s="1"/>
  <c r="GD6" i="14" s="1"/>
  <c r="GK6" i="14" s="1"/>
  <c r="FM9" i="26"/>
  <c r="GB5" i="14"/>
  <c r="GC5" i="14" s="1"/>
  <c r="GD5" i="14" s="1"/>
  <c r="GK5" i="14" s="1"/>
  <c r="BP9" i="18"/>
  <c r="BP15" i="18" s="1"/>
  <c r="AZ123" i="10"/>
  <c r="GE183" i="11"/>
  <c r="DS179" i="11"/>
  <c r="GD187" i="11"/>
  <c r="CB183" i="11"/>
  <c r="AG8" i="33"/>
  <c r="AH8" i="33" s="1"/>
  <c r="AO8" i="19"/>
  <c r="AP8" i="19" s="1"/>
  <c r="V9" i="19"/>
  <c r="U10" i="19"/>
  <c r="AP7" i="33"/>
  <c r="AO8" i="33"/>
  <c r="V9" i="33"/>
  <c r="U10" i="33"/>
  <c r="AH7" i="19"/>
  <c r="AG8" i="19"/>
  <c r="CE52" i="26"/>
  <c r="AO77" i="18" l="1"/>
  <c r="C117" i="5"/>
  <c r="AO119" i="18"/>
  <c r="AO35" i="18"/>
  <c r="CL17" i="6"/>
  <c r="CL16" i="6" s="1"/>
  <c r="CL15" i="6" s="1"/>
  <c r="CL14" i="6" s="1"/>
  <c r="CL13" i="6" s="1"/>
  <c r="CL12" i="6" s="1"/>
  <c r="CL11" i="6" s="1"/>
  <c r="CL10" i="6" s="1"/>
  <c r="K31" i="19" s="1"/>
  <c r="I31" i="19" s="1"/>
  <c r="FL15" i="18"/>
  <c r="FL33" i="18" s="1"/>
  <c r="FL9" i="18"/>
  <c r="GD191" i="11"/>
  <c r="CB187" i="11"/>
  <c r="GE187" i="11"/>
  <c r="DS183" i="11"/>
  <c r="AO9" i="19"/>
  <c r="AP9" i="19" s="1"/>
  <c r="AG9" i="33"/>
  <c r="AG10" i="33" s="1"/>
  <c r="AK7" i="19"/>
  <c r="AS7" i="33"/>
  <c r="AS8" i="19"/>
  <c r="V10" i="19"/>
  <c r="U11" i="19"/>
  <c r="V10" i="33"/>
  <c r="U11" i="33"/>
  <c r="AH8" i="19"/>
  <c r="AG9" i="19"/>
  <c r="AP8" i="33"/>
  <c r="AO9" i="33"/>
  <c r="AK8" i="33"/>
  <c r="K31" i="33" l="1"/>
  <c r="I31" i="33" s="1"/>
  <c r="AO10" i="19"/>
  <c r="AP10" i="19" s="1"/>
  <c r="AH9" i="33"/>
  <c r="AK9" i="33" s="1"/>
  <c r="GE191" i="11"/>
  <c r="DS187" i="11"/>
  <c r="GD195" i="11"/>
  <c r="CB191" i="11"/>
  <c r="AS9" i="19"/>
  <c r="AH9" i="19"/>
  <c r="AG10" i="19"/>
  <c r="V11" i="19"/>
  <c r="U12" i="19"/>
  <c r="AH10" i="33"/>
  <c r="AG11" i="33"/>
  <c r="AP9" i="33"/>
  <c r="AO10" i="33"/>
  <c r="AK8" i="19"/>
  <c r="AS8" i="33"/>
  <c r="V11" i="33"/>
  <c r="U12" i="33"/>
  <c r="AO11" i="19" l="1"/>
  <c r="AP11" i="19" s="1"/>
  <c r="GD199" i="11"/>
  <c r="CB195" i="11"/>
  <c r="GE195" i="11"/>
  <c r="DS191" i="11"/>
  <c r="V12" i="33"/>
  <c r="U13" i="33"/>
  <c r="AK10" i="33"/>
  <c r="AH10" i="19"/>
  <c r="AG11" i="19"/>
  <c r="V12" i="19"/>
  <c r="U13" i="19"/>
  <c r="AK9" i="19"/>
  <c r="AP10" i="33"/>
  <c r="AO11" i="33"/>
  <c r="AS9" i="33"/>
  <c r="AH11" i="33"/>
  <c r="AG12" i="33"/>
  <c r="AS10" i="19"/>
  <c r="AO12" i="19" l="1"/>
  <c r="AP12" i="19" s="1"/>
  <c r="GE199" i="11"/>
  <c r="DS195" i="11"/>
  <c r="GD203" i="11"/>
  <c r="CB199" i="11"/>
  <c r="AH12" i="33"/>
  <c r="AG13" i="33"/>
  <c r="AP11" i="33"/>
  <c r="AO12" i="33"/>
  <c r="V13" i="19"/>
  <c r="U14" i="19"/>
  <c r="AK10" i="19"/>
  <c r="AS10" i="33"/>
  <c r="V13" i="33"/>
  <c r="U14" i="33"/>
  <c r="AS11" i="19"/>
  <c r="AK11" i="33"/>
  <c r="AH11" i="19"/>
  <c r="AG12" i="19"/>
  <c r="K691" i="9" l="1"/>
  <c r="AO13" i="19"/>
  <c r="AP13" i="19" s="1"/>
  <c r="GD207" i="11"/>
  <c r="CB203" i="11"/>
  <c r="GE203" i="11"/>
  <c r="DS199" i="11"/>
  <c r="AH12" i="19"/>
  <c r="AG13" i="19"/>
  <c r="AK12" i="33"/>
  <c r="AK11" i="19"/>
  <c r="AP12" i="33"/>
  <c r="AO13" i="33"/>
  <c r="V14" i="33"/>
  <c r="U15" i="33"/>
  <c r="AS11" i="33"/>
  <c r="AS12" i="19"/>
  <c r="V14" i="19"/>
  <c r="U15" i="19"/>
  <c r="AH13" i="33"/>
  <c r="AG14" i="33"/>
  <c r="AO14" i="19" l="1"/>
  <c r="AO15" i="19" s="1"/>
  <c r="GE207" i="11"/>
  <c r="DS203" i="11"/>
  <c r="GD211" i="11"/>
  <c r="CB207" i="11"/>
  <c r="V15" i="33"/>
  <c r="U16" i="33"/>
  <c r="AP13" i="33"/>
  <c r="AO14" i="33"/>
  <c r="AS12" i="33"/>
  <c r="AH13" i="19"/>
  <c r="AG14" i="19"/>
  <c r="AK13" i="33"/>
  <c r="AK12" i="19"/>
  <c r="AH14" i="33"/>
  <c r="AG15" i="33"/>
  <c r="V15" i="19"/>
  <c r="U16" i="19"/>
  <c r="AS13" i="19"/>
  <c r="AP14" i="19" l="1"/>
  <c r="AS14" i="19" s="1"/>
  <c r="GD215" i="11"/>
  <c r="CB211" i="11"/>
  <c r="GE211" i="11"/>
  <c r="DS207" i="11"/>
  <c r="AP15" i="19"/>
  <c r="AO16" i="19"/>
  <c r="AP14" i="33"/>
  <c r="AO15" i="33"/>
  <c r="AS13" i="33"/>
  <c r="V16" i="19"/>
  <c r="U17" i="19"/>
  <c r="AH15" i="33"/>
  <c r="AG16" i="33"/>
  <c r="AH14" i="19"/>
  <c r="AG15" i="19"/>
  <c r="V16" i="33"/>
  <c r="U17" i="33"/>
  <c r="AK14" i="33"/>
  <c r="AK13" i="19"/>
  <c r="GE215" i="11" l="1"/>
  <c r="DS211" i="11"/>
  <c r="GD219" i="11"/>
  <c r="CB215" i="11"/>
  <c r="V17" i="33"/>
  <c r="U18" i="33"/>
  <c r="AH16" i="33"/>
  <c r="AG17" i="33"/>
  <c r="AP16" i="19"/>
  <c r="AO17" i="19"/>
  <c r="AK15" i="33"/>
  <c r="AS15" i="19"/>
  <c r="AH15" i="19"/>
  <c r="AG16" i="19"/>
  <c r="V17" i="19"/>
  <c r="U18" i="19"/>
  <c r="AP15" i="33"/>
  <c r="AO16" i="33"/>
  <c r="AK14" i="19"/>
  <c r="AS14" i="33"/>
  <c r="GD223" i="11" l="1"/>
  <c r="CB219" i="11"/>
  <c r="GE219" i="11"/>
  <c r="DS215" i="11"/>
  <c r="AP16" i="33"/>
  <c r="AO17" i="33"/>
  <c r="AH16" i="19"/>
  <c r="AG17" i="19"/>
  <c r="AH17" i="33"/>
  <c r="AG18" i="33"/>
  <c r="AS15" i="33"/>
  <c r="AK15" i="19"/>
  <c r="AK16" i="33"/>
  <c r="AP17" i="19"/>
  <c r="AO18" i="19"/>
  <c r="V18" i="33"/>
  <c r="U19" i="33"/>
  <c r="V18" i="19"/>
  <c r="U19" i="19"/>
  <c r="AS16" i="19"/>
  <c r="GE223" i="11" l="1"/>
  <c r="DS219" i="11"/>
  <c r="GH171" i="11"/>
  <c r="CB223" i="11"/>
  <c r="AS17" i="19"/>
  <c r="AK17" i="33"/>
  <c r="AS16" i="33"/>
  <c r="V19" i="33"/>
  <c r="U20" i="33"/>
  <c r="AH17" i="19"/>
  <c r="AG18" i="19"/>
  <c r="AK16" i="19"/>
  <c r="V19" i="19"/>
  <c r="U20" i="19"/>
  <c r="AP18" i="19"/>
  <c r="AO19" i="19"/>
  <c r="AH18" i="33"/>
  <c r="AG19" i="33"/>
  <c r="AP17" i="33"/>
  <c r="AO18" i="33"/>
  <c r="GH175" i="11" l="1"/>
  <c r="EB171" i="11"/>
  <c r="GI171" i="11"/>
  <c r="DS223" i="11"/>
  <c r="AK18" i="33"/>
  <c r="V20" i="33"/>
  <c r="U21" i="33"/>
  <c r="AP19" i="19"/>
  <c r="AO20" i="19"/>
  <c r="AS18" i="19"/>
  <c r="AH18" i="19"/>
  <c r="AG19" i="19"/>
  <c r="AP18" i="33"/>
  <c r="AO19" i="33"/>
  <c r="AS17" i="33"/>
  <c r="AH19" i="33"/>
  <c r="AG20" i="33"/>
  <c r="V20" i="19"/>
  <c r="U21" i="19"/>
  <c r="AK17" i="19"/>
  <c r="GI175" i="11" l="1"/>
  <c r="FS171" i="11"/>
  <c r="GH179" i="11"/>
  <c r="EB175" i="11"/>
  <c r="AK19" i="33"/>
  <c r="V21" i="19"/>
  <c r="U22" i="19"/>
  <c r="AP20" i="19"/>
  <c r="AO21" i="19"/>
  <c r="AP19" i="33"/>
  <c r="AO20" i="33"/>
  <c r="AH19" i="19"/>
  <c r="AG20" i="19"/>
  <c r="AS19" i="19"/>
  <c r="AH20" i="33"/>
  <c r="AG21" i="33"/>
  <c r="AS18" i="33"/>
  <c r="AK18" i="19"/>
  <c r="V21" i="33"/>
  <c r="U22" i="33"/>
  <c r="GH183" i="11" l="1"/>
  <c r="EB179" i="11"/>
  <c r="GI179" i="11"/>
  <c r="FS175" i="11"/>
  <c r="AK19" i="19"/>
  <c r="V22" i="19"/>
  <c r="U23" i="19"/>
  <c r="V22" i="33"/>
  <c r="U23" i="33"/>
  <c r="AH21" i="33"/>
  <c r="AG22" i="33"/>
  <c r="AP20" i="33"/>
  <c r="AO21" i="33"/>
  <c r="AP21" i="19"/>
  <c r="AO22" i="19"/>
  <c r="AK20" i="33"/>
  <c r="AS19" i="33"/>
  <c r="AS20" i="19"/>
  <c r="AH20" i="19"/>
  <c r="AG21" i="19"/>
  <c r="K699" i="9" l="1"/>
  <c r="GI183" i="11"/>
  <c r="FS179" i="11"/>
  <c r="GH187" i="11"/>
  <c r="EB183" i="11"/>
  <c r="AK20" i="19"/>
  <c r="AP22" i="19"/>
  <c r="AO23" i="19"/>
  <c r="AH22" i="33"/>
  <c r="AG23" i="33"/>
  <c r="V23" i="19"/>
  <c r="U24" i="19"/>
  <c r="AS21" i="19"/>
  <c r="AK21" i="33"/>
  <c r="AP21" i="33"/>
  <c r="AO22" i="33"/>
  <c r="V23" i="33"/>
  <c r="U24" i="33"/>
  <c r="AH21" i="19"/>
  <c r="AG22" i="19"/>
  <c r="AS20" i="33"/>
  <c r="GH191" i="11" l="1"/>
  <c r="EB187" i="11"/>
  <c r="GI187" i="11"/>
  <c r="FS183" i="11"/>
  <c r="AS21" i="33"/>
  <c r="V24" i="19"/>
  <c r="U25" i="19"/>
  <c r="AP23" i="19"/>
  <c r="AO24" i="19"/>
  <c r="V24" i="33"/>
  <c r="U25" i="33"/>
  <c r="AS22" i="19"/>
  <c r="AH22" i="19"/>
  <c r="AG23" i="19"/>
  <c r="AH23" i="33"/>
  <c r="AG24" i="33"/>
  <c r="AK21" i="19"/>
  <c r="AP22" i="33"/>
  <c r="AO23" i="33"/>
  <c r="AK22" i="33"/>
  <c r="GH195" i="11" l="1"/>
  <c r="EB191" i="11"/>
  <c r="GI191" i="11"/>
  <c r="FS187" i="11"/>
  <c r="AS22" i="33"/>
  <c r="AH24" i="33"/>
  <c r="AG25" i="33"/>
  <c r="AH25" i="33" s="1"/>
  <c r="AK22" i="19"/>
  <c r="AK23" i="33"/>
  <c r="AP24" i="19"/>
  <c r="AO25" i="19"/>
  <c r="AP25" i="19" s="1"/>
  <c r="V25" i="33"/>
  <c r="U26" i="33"/>
  <c r="AS23" i="19"/>
  <c r="AP23" i="33"/>
  <c r="AO24" i="33"/>
  <c r="AH23" i="19"/>
  <c r="AG24" i="19"/>
  <c r="V25" i="19"/>
  <c r="U26" i="19"/>
  <c r="GI195" i="11" l="1"/>
  <c r="FS191" i="11"/>
  <c r="GH199" i="11"/>
  <c r="EB195" i="11"/>
  <c r="AJ23" i="33"/>
  <c r="AJ21" i="33"/>
  <c r="AR23" i="19"/>
  <c r="AR19" i="19"/>
  <c r="AJ16" i="33"/>
  <c r="AR21" i="19"/>
  <c r="AH24" i="19"/>
  <c r="AG25" i="19"/>
  <c r="AH25" i="19" s="1"/>
  <c r="AS23" i="33"/>
  <c r="AP24" i="33"/>
  <c r="AO25" i="33"/>
  <c r="AP25" i="33" s="1"/>
  <c r="AK23" i="19"/>
  <c r="AR25" i="19"/>
  <c r="AS25" i="19"/>
  <c r="AR6" i="19"/>
  <c r="AR9" i="19"/>
  <c r="AR7" i="19"/>
  <c r="AR8" i="19"/>
  <c r="AR10" i="19"/>
  <c r="AR11" i="19"/>
  <c r="AR13" i="19"/>
  <c r="AR12" i="19"/>
  <c r="AR17" i="19"/>
  <c r="AR14" i="19"/>
  <c r="AR15" i="19"/>
  <c r="AJ25" i="33"/>
  <c r="AK25" i="33"/>
  <c r="AJ7" i="33"/>
  <c r="AJ6" i="33"/>
  <c r="AJ8" i="33"/>
  <c r="AJ10" i="33"/>
  <c r="AJ9" i="33"/>
  <c r="AJ13" i="33"/>
  <c r="AJ12" i="33"/>
  <c r="AJ11" i="33"/>
  <c r="AJ15" i="33"/>
  <c r="AJ14" i="33"/>
  <c r="AJ17" i="33"/>
  <c r="V26" i="19"/>
  <c r="U27" i="19"/>
  <c r="V26" i="33"/>
  <c r="U27" i="33"/>
  <c r="AS24" i="19"/>
  <c r="AR24" i="19"/>
  <c r="AR22" i="19"/>
  <c r="AR20" i="19"/>
  <c r="AR18" i="19"/>
  <c r="AR16" i="19"/>
  <c r="AJ24" i="33"/>
  <c r="AK24" i="33"/>
  <c r="AJ18" i="33"/>
  <c r="AJ20" i="33"/>
  <c r="AJ19" i="33"/>
  <c r="AJ22" i="33"/>
  <c r="AJ19" i="19" l="1"/>
  <c r="GH203" i="11"/>
  <c r="EB199" i="11"/>
  <c r="GI199" i="11"/>
  <c r="FS195" i="11"/>
  <c r="AJ18" i="19"/>
  <c r="AR22" i="33"/>
  <c r="AR17" i="33"/>
  <c r="AJ23" i="19"/>
  <c r="AJ16" i="19"/>
  <c r="AJ21" i="19"/>
  <c r="V27" i="33"/>
  <c r="U28" i="33"/>
  <c r="V27" i="19"/>
  <c r="U28" i="19"/>
  <c r="AL16" i="33"/>
  <c r="AL10" i="33"/>
  <c r="AL17" i="33"/>
  <c r="AL8" i="33"/>
  <c r="AL13" i="33"/>
  <c r="AL18" i="33"/>
  <c r="AL6" i="33"/>
  <c r="AL15" i="33"/>
  <c r="AL21" i="33"/>
  <c r="AL7" i="33"/>
  <c r="AL12" i="33"/>
  <c r="AL11" i="33"/>
  <c r="AL25" i="33"/>
  <c r="AM25" i="33" s="1"/>
  <c r="AL23" i="33"/>
  <c r="AL19" i="33"/>
  <c r="AL22" i="33"/>
  <c r="AL14" i="33"/>
  <c r="AL9" i="33"/>
  <c r="AL24" i="33"/>
  <c r="AL20" i="33"/>
  <c r="AJ24" i="19"/>
  <c r="AK24" i="19"/>
  <c r="AJ20" i="19"/>
  <c r="AS25" i="33"/>
  <c r="AR25" i="33"/>
  <c r="AR6" i="33"/>
  <c r="AR9" i="33"/>
  <c r="AR7" i="33"/>
  <c r="AR8" i="33"/>
  <c r="AR12" i="33"/>
  <c r="AR10" i="33"/>
  <c r="AR11" i="33"/>
  <c r="AR14" i="33"/>
  <c r="AR16" i="33"/>
  <c r="AR13" i="33"/>
  <c r="AR15" i="33"/>
  <c r="AR23" i="33"/>
  <c r="AT16" i="19"/>
  <c r="AT24" i="19"/>
  <c r="AT10" i="19"/>
  <c r="AT6" i="19"/>
  <c r="AT17" i="19"/>
  <c r="AT23" i="19"/>
  <c r="AT25" i="19"/>
  <c r="AU25" i="19" s="1"/>
  <c r="AT20" i="19"/>
  <c r="AT9" i="19"/>
  <c r="AT21" i="19"/>
  <c r="AT18" i="19"/>
  <c r="AT11" i="19"/>
  <c r="AT13" i="19"/>
  <c r="AT19" i="19"/>
  <c r="AT12" i="19"/>
  <c r="AT8" i="19"/>
  <c r="AT22" i="19"/>
  <c r="AT7" i="19"/>
  <c r="AT15" i="19"/>
  <c r="AT14" i="19"/>
  <c r="AS24" i="33"/>
  <c r="AR24" i="33"/>
  <c r="AR21" i="33"/>
  <c r="AR19" i="33"/>
  <c r="AR20" i="33"/>
  <c r="AR18" i="33"/>
  <c r="AK25" i="19"/>
  <c r="AJ25" i="19"/>
  <c r="AJ7" i="19"/>
  <c r="AJ6" i="19"/>
  <c r="AJ8" i="19"/>
  <c r="AJ9" i="19"/>
  <c r="AJ12" i="19"/>
  <c r="AJ10" i="19"/>
  <c r="AJ11" i="19"/>
  <c r="AJ13" i="19"/>
  <c r="AJ15" i="19"/>
  <c r="AJ14" i="19"/>
  <c r="AJ17" i="19"/>
  <c r="AJ22" i="19"/>
  <c r="GI203" i="11" l="1"/>
  <c r="FS199" i="11"/>
  <c r="GH207" i="11"/>
  <c r="EB203" i="11"/>
  <c r="AM24" i="33"/>
  <c r="AM23" i="33" s="1"/>
  <c r="AM22" i="33" s="1"/>
  <c r="AM21" i="33" s="1"/>
  <c r="AM20" i="33" s="1"/>
  <c r="AM19" i="33" s="1"/>
  <c r="AM18" i="33" s="1"/>
  <c r="AM17" i="33" s="1"/>
  <c r="AM16" i="33" s="1"/>
  <c r="AM15" i="33" s="1"/>
  <c r="AM14" i="33" s="1"/>
  <c r="AM13" i="33" s="1"/>
  <c r="AM12" i="33" s="1"/>
  <c r="AM11" i="33" s="1"/>
  <c r="AM10" i="33" s="1"/>
  <c r="AM9" i="33" s="1"/>
  <c r="AM8" i="33" s="1"/>
  <c r="AM7" i="33" s="1"/>
  <c r="AM6" i="33" s="1"/>
  <c r="AM5" i="33" s="1"/>
  <c r="K19" i="33" s="1"/>
  <c r="I19" i="33" s="1"/>
  <c r="AT7" i="33"/>
  <c r="AT13" i="33"/>
  <c r="AT12" i="33"/>
  <c r="AT24" i="33"/>
  <c r="AT10" i="33"/>
  <c r="AT18" i="33"/>
  <c r="AT20" i="33"/>
  <c r="AT17" i="33"/>
  <c r="AT8" i="33"/>
  <c r="AT15" i="33"/>
  <c r="AT25" i="33"/>
  <c r="AU25" i="33" s="1"/>
  <c r="AT19" i="33"/>
  <c r="AT6" i="33"/>
  <c r="AT16" i="33"/>
  <c r="AT23" i="33"/>
  <c r="AT22" i="33"/>
  <c r="AT21" i="33"/>
  <c r="AT11" i="33"/>
  <c r="AT9" i="33"/>
  <c r="AT14" i="33"/>
  <c r="V28" i="19"/>
  <c r="U29" i="19"/>
  <c r="V28" i="33"/>
  <c r="U29" i="33"/>
  <c r="AL23" i="19"/>
  <c r="AL10" i="19"/>
  <c r="AL15" i="19"/>
  <c r="AL16" i="19"/>
  <c r="AL8" i="19"/>
  <c r="AL18" i="19"/>
  <c r="AL11" i="19"/>
  <c r="AL9" i="19"/>
  <c r="AL25" i="19"/>
  <c r="AM25" i="19" s="1"/>
  <c r="AL20" i="19"/>
  <c r="AL7" i="19"/>
  <c r="AL24" i="19"/>
  <c r="AL13" i="19"/>
  <c r="AL17" i="19"/>
  <c r="AL22" i="19"/>
  <c r="AL12" i="19"/>
  <c r="AL19" i="19"/>
  <c r="AL6" i="19"/>
  <c r="AL14" i="19"/>
  <c r="AL21" i="19"/>
  <c r="AU24" i="19"/>
  <c r="AU23" i="19" s="1"/>
  <c r="AU22" i="19" s="1"/>
  <c r="AU21" i="19" s="1"/>
  <c r="AU20" i="19" s="1"/>
  <c r="AU19" i="19" s="1"/>
  <c r="AU18" i="19" s="1"/>
  <c r="AU17" i="19" s="1"/>
  <c r="AU16" i="19" s="1"/>
  <c r="AU15" i="19" s="1"/>
  <c r="AU14" i="19" s="1"/>
  <c r="AU13" i="19" s="1"/>
  <c r="AU12" i="19" s="1"/>
  <c r="AU11" i="19" s="1"/>
  <c r="AU10" i="19" s="1"/>
  <c r="AU9" i="19" s="1"/>
  <c r="AU8" i="19" s="1"/>
  <c r="AU7" i="19" s="1"/>
  <c r="AU6" i="19" s="1"/>
  <c r="AU5" i="19" s="1"/>
  <c r="K18" i="19" s="1"/>
  <c r="I18" i="19" s="1"/>
  <c r="K705" i="9" l="1"/>
  <c r="GH211" i="11"/>
  <c r="EB207" i="11"/>
  <c r="GI207" i="11"/>
  <c r="FS203" i="11"/>
  <c r="AM24" i="19"/>
  <c r="AM23" i="19" s="1"/>
  <c r="AM22" i="19" s="1"/>
  <c r="AM21" i="19" s="1"/>
  <c r="AM20" i="19" s="1"/>
  <c r="AM19" i="19" s="1"/>
  <c r="AM18" i="19" s="1"/>
  <c r="AM17" i="19" s="1"/>
  <c r="AM16" i="19" s="1"/>
  <c r="AM15" i="19" s="1"/>
  <c r="AM14" i="19" s="1"/>
  <c r="AM13" i="19" s="1"/>
  <c r="AM12" i="19" s="1"/>
  <c r="AM11" i="19" s="1"/>
  <c r="AM10" i="19" s="1"/>
  <c r="AM9" i="19" s="1"/>
  <c r="AM8" i="19" s="1"/>
  <c r="AM7" i="19" s="1"/>
  <c r="AM6" i="19" s="1"/>
  <c r="AM5" i="19" s="1"/>
  <c r="K19" i="19" s="1"/>
  <c r="I19" i="19" s="1"/>
  <c r="V29" i="19"/>
  <c r="U30" i="19"/>
  <c r="V29" i="33"/>
  <c r="U30" i="33"/>
  <c r="AU24" i="33"/>
  <c r="AU23" i="33" s="1"/>
  <c r="AU22" i="33" s="1"/>
  <c r="AU21" i="33" s="1"/>
  <c r="AU20" i="33" s="1"/>
  <c r="AU19" i="33" s="1"/>
  <c r="AU18" i="33" s="1"/>
  <c r="AU17" i="33" s="1"/>
  <c r="AU16" i="33" s="1"/>
  <c r="AU15" i="33" s="1"/>
  <c r="AU14" i="33" s="1"/>
  <c r="AU13" i="33" s="1"/>
  <c r="AU12" i="33" s="1"/>
  <c r="AU11" i="33" s="1"/>
  <c r="AU10" i="33" s="1"/>
  <c r="AU9" i="33" s="1"/>
  <c r="AU8" i="33" s="1"/>
  <c r="AU7" i="33" s="1"/>
  <c r="AU6" i="33" s="1"/>
  <c r="AU5" i="33" s="1"/>
  <c r="K18" i="33" s="1"/>
  <c r="I18" i="33" s="1"/>
  <c r="K706" i="9" l="1"/>
  <c r="GI211" i="11"/>
  <c r="FS207" i="11"/>
  <c r="GH215" i="11"/>
  <c r="EB211" i="11"/>
  <c r="V30" i="33"/>
  <c r="U31" i="33"/>
  <c r="V30" i="19"/>
  <c r="U31" i="19"/>
  <c r="K707" i="9" l="1"/>
  <c r="GH219" i="11"/>
  <c r="EB215" i="11"/>
  <c r="GI215" i="11"/>
  <c r="FS211" i="11"/>
  <c r="V31" i="33"/>
  <c r="U32" i="33"/>
  <c r="V31" i="19"/>
  <c r="U32" i="19"/>
  <c r="K708" i="9" l="1"/>
  <c r="GI219" i="11"/>
  <c r="FS215" i="11"/>
  <c r="GH223" i="11"/>
  <c r="EB223" i="11" s="1"/>
  <c r="Y112" i="21" s="1"/>
  <c r="Y110" i="21" s="1"/>
  <c r="EB219" i="11"/>
  <c r="V32" i="19"/>
  <c r="U33" i="19"/>
  <c r="V32" i="33"/>
  <c r="U33" i="33"/>
  <c r="Y8" i="21" l="1"/>
  <c r="Y129" i="21"/>
  <c r="I39" i="19" s="1"/>
  <c r="BT15" i="18"/>
  <c r="FL16" i="18" s="1"/>
  <c r="FL34" i="18" s="1"/>
  <c r="BX15" i="18"/>
  <c r="FL17" i="18" s="1"/>
  <c r="FL35" i="18" s="1"/>
  <c r="FM35" i="18" s="1"/>
  <c r="BU9" i="26"/>
  <c r="FM10" i="26" s="1"/>
  <c r="BY9" i="26"/>
  <c r="FM11" i="26" s="1"/>
  <c r="BX51" i="18"/>
  <c r="FL53" i="18" s="1"/>
  <c r="FM53" i="18" s="1"/>
  <c r="BT51" i="18"/>
  <c r="FL52" i="18" s="1"/>
  <c r="BX9" i="18"/>
  <c r="FL11" i="18" s="1"/>
  <c r="FL29" i="18" s="1"/>
  <c r="BT9" i="18"/>
  <c r="FL10" i="18" s="1"/>
  <c r="FL28" i="18" s="1"/>
  <c r="AS127" i="21"/>
  <c r="E127" i="21"/>
  <c r="O128" i="21"/>
  <c r="O127" i="21"/>
  <c r="AS128" i="21"/>
  <c r="E128" i="21"/>
  <c r="BC127" i="21"/>
  <c r="B24" i="13"/>
  <c r="N9" i="13" s="1"/>
  <c r="AI128" i="21"/>
  <c r="BC128" i="21"/>
  <c r="AI127" i="21"/>
  <c r="Y127" i="21"/>
  <c r="Y128" i="21"/>
  <c r="GI223" i="11"/>
  <c r="FS223" i="11" s="1"/>
  <c r="FS219" i="11"/>
  <c r="V33" i="19"/>
  <c r="U34" i="19"/>
  <c r="V34" i="19" s="1"/>
  <c r="W34" i="19" s="1"/>
  <c r="V33" i="33"/>
  <c r="U34" i="33"/>
  <c r="V34" i="33" s="1"/>
  <c r="W34" i="33" s="1"/>
  <c r="BI49" i="26"/>
  <c r="BL49" i="26"/>
  <c r="BI52" i="26"/>
  <c r="BL52" i="26"/>
  <c r="AW157" i="10" l="1"/>
  <c r="BP93" i="18"/>
  <c r="FM34" i="18"/>
  <c r="FM33" i="18" s="1"/>
  <c r="FM32" i="18" s="1"/>
  <c r="FM31" i="18" s="1"/>
  <c r="FM30" i="18" s="1"/>
  <c r="FM29" i="18" s="1"/>
  <c r="FM28" i="18" s="1"/>
  <c r="FM27" i="18" s="1"/>
  <c r="FM26" i="18" s="1"/>
  <c r="FM25" i="18" s="1"/>
  <c r="FM24" i="18" s="1"/>
  <c r="FM23" i="18" s="1"/>
  <c r="FM22" i="18" s="1"/>
  <c r="FM21" i="18" s="1"/>
  <c r="FM20" i="18" s="1"/>
  <c r="FM19" i="18" s="1"/>
  <c r="FM18" i="18" s="1"/>
  <c r="FM17" i="18" s="1"/>
  <c r="FM16" i="18" s="1"/>
  <c r="FM15" i="18" s="1"/>
  <c r="FM14" i="18" s="1"/>
  <c r="FM13" i="18" s="1"/>
  <c r="FM12" i="18" s="1"/>
  <c r="FM11" i="18" s="1"/>
  <c r="FM10" i="18" s="1"/>
  <c r="FM9" i="18" s="1"/>
  <c r="FM8" i="18" s="1"/>
  <c r="CE54" i="26"/>
  <c r="CE53" i="26"/>
  <c r="FM28" i="26"/>
  <c r="FN28" i="26" s="1"/>
  <c r="FN27" i="26" s="1"/>
  <c r="FN26" i="26" s="1"/>
  <c r="FN25" i="26" s="1"/>
  <c r="FN24" i="26" s="1"/>
  <c r="FN23" i="26" s="1"/>
  <c r="FN22" i="26" s="1"/>
  <c r="FN21" i="26" s="1"/>
  <c r="FN20" i="26" s="1"/>
  <c r="FN19" i="26" s="1"/>
  <c r="FN18" i="26" s="1"/>
  <c r="FN17" i="26" s="1"/>
  <c r="FN16" i="26" s="1"/>
  <c r="FN15" i="26" s="1"/>
  <c r="FN14" i="26" s="1"/>
  <c r="FN13" i="26" s="1"/>
  <c r="FN12" i="26" s="1"/>
  <c r="FN11" i="26" s="1"/>
  <c r="FN10" i="26" s="1"/>
  <c r="FN9" i="26" s="1"/>
  <c r="FN8" i="26" s="1"/>
  <c r="FO1" i="26" s="1"/>
  <c r="FN1" i="26" s="1"/>
  <c r="FM52" i="18"/>
  <c r="FM51" i="18" s="1"/>
  <c r="FM50" i="18" s="1"/>
  <c r="W33" i="33"/>
  <c r="W32" i="33" s="1"/>
  <c r="W31" i="33" s="1"/>
  <c r="W30" i="33" s="1"/>
  <c r="W29" i="33" s="1"/>
  <c r="W28" i="33" s="1"/>
  <c r="W27" i="33" s="1"/>
  <c r="W26" i="33" s="1"/>
  <c r="W25" i="33" s="1"/>
  <c r="W24" i="33" s="1"/>
  <c r="W23" i="33" s="1"/>
  <c r="W22" i="33" s="1"/>
  <c r="W21" i="33" s="1"/>
  <c r="W20" i="33" s="1"/>
  <c r="W19" i="33" s="1"/>
  <c r="W18" i="33" s="1"/>
  <c r="W17" i="33" s="1"/>
  <c r="W16" i="33" s="1"/>
  <c r="W15" i="33" s="1"/>
  <c r="W14" i="33" s="1"/>
  <c r="W13" i="33" s="1"/>
  <c r="W12" i="33" s="1"/>
  <c r="W11" i="33" s="1"/>
  <c r="W10" i="33" s="1"/>
  <c r="W9" i="33" s="1"/>
  <c r="W8" i="33" s="1"/>
  <c r="W7" i="33" s="1"/>
  <c r="W6" i="33" s="1"/>
  <c r="W5" i="33" s="1"/>
  <c r="K30" i="33" s="1"/>
  <c r="I30" i="33" s="1"/>
  <c r="G27" i="33" s="1"/>
  <c r="W33" i="19"/>
  <c r="W32" i="19" s="1"/>
  <c r="W31" i="19" s="1"/>
  <c r="W30" i="19" s="1"/>
  <c r="W29" i="19" s="1"/>
  <c r="W28" i="19" s="1"/>
  <c r="W27" i="19" s="1"/>
  <c r="W26" i="19" s="1"/>
  <c r="W25" i="19" s="1"/>
  <c r="W24" i="19" s="1"/>
  <c r="W23" i="19" s="1"/>
  <c r="W22" i="19" s="1"/>
  <c r="W21" i="19" s="1"/>
  <c r="W20" i="19" s="1"/>
  <c r="W19" i="19" s="1"/>
  <c r="W18" i="19" s="1"/>
  <c r="W17" i="19" s="1"/>
  <c r="W16" i="19" s="1"/>
  <c r="W15" i="19" s="1"/>
  <c r="W14" i="19" s="1"/>
  <c r="W13" i="19" s="1"/>
  <c r="W12" i="19" s="1"/>
  <c r="W11" i="19" s="1"/>
  <c r="W10" i="19" s="1"/>
  <c r="W9" i="19" s="1"/>
  <c r="W8" i="19" s="1"/>
  <c r="W7" i="19" s="1"/>
  <c r="W6" i="19" s="1"/>
  <c r="W5" i="19" s="1"/>
  <c r="BX93" i="18" l="1"/>
  <c r="FL95" i="18" s="1"/>
  <c r="FM95" i="18" s="1"/>
  <c r="BT93" i="18"/>
  <c r="FL94" i="18" s="1"/>
  <c r="FL93" i="18"/>
  <c r="FO2" i="18"/>
  <c r="DZ3" i="14"/>
  <c r="K30" i="19"/>
  <c r="I30" i="19" s="1"/>
  <c r="FM94" i="18" l="1"/>
  <c r="FM93" i="18" s="1"/>
  <c r="FM92" i="18" s="1"/>
  <c r="H17" i="19"/>
  <c r="G27" i="19"/>
  <c r="GI3" i="14"/>
  <c r="GI10" i="14"/>
  <c r="GJ10" i="14" s="1"/>
  <c r="GJ9" i="14" s="1"/>
  <c r="GJ8" i="14" s="1"/>
  <c r="GJ7" i="14" s="1"/>
  <c r="GI6" i="14"/>
  <c r="GI5" i="14"/>
  <c r="FP1" i="18" l="1"/>
  <c r="FO1" i="18" s="1"/>
  <c r="FN1" i="18" s="1"/>
  <c r="FM1" i="18" s="1"/>
  <c r="K15" i="33" s="1"/>
  <c r="I15" i="33" s="1"/>
  <c r="FP2" i="18"/>
  <c r="GJ6" i="14"/>
  <c r="GJ5" i="14" s="1"/>
  <c r="GJ4" i="14" s="1"/>
  <c r="GJ3" i="14" s="1"/>
  <c r="GJ2" i="14" s="1"/>
  <c r="FN2" i="18" l="1"/>
  <c r="FM2" i="18" s="1"/>
  <c r="K15" i="19"/>
  <c r="I15" i="19" s="1"/>
  <c r="K16" i="19" l="1"/>
  <c r="I16" i="19" s="1"/>
  <c r="K16" i="33"/>
  <c r="I16" i="33" s="1"/>
  <c r="Q80" i="31" l="1"/>
  <c r="Q79" i="31" s="1"/>
  <c r="Q78" i="31" s="1"/>
  <c r="Q77" i="31" s="1"/>
  <c r="Q76" i="31" s="1"/>
  <c r="Q75" i="31" s="1"/>
  <c r="Q74" i="31" s="1"/>
  <c r="Q73" i="31" s="1"/>
  <c r="Q72" i="31" s="1"/>
  <c r="Q71" i="31" s="1"/>
  <c r="Q70" i="31" s="1"/>
  <c r="Q69" i="31" s="1"/>
  <c r="Q68" i="31" s="1"/>
  <c r="Q67" i="31" s="1"/>
  <c r="Q66" i="31" s="1"/>
  <c r="Q65" i="31" s="1"/>
  <c r="Q64" i="31" s="1"/>
  <c r="Q63" i="31" s="1"/>
  <c r="Q62" i="31" s="1"/>
  <c r="Q61" i="31" s="1"/>
  <c r="Q60" i="31" s="1"/>
  <c r="Q59" i="31" s="1"/>
  <c r="Q58" i="31" s="1"/>
  <c r="Q57" i="31" s="1"/>
  <c r="Q56" i="31" s="1"/>
  <c r="Q55" i="31" s="1"/>
  <c r="Q54" i="31" s="1"/>
  <c r="Q53" i="31" s="1"/>
  <c r="Q52" i="31" s="1"/>
  <c r="Q51" i="31" s="1"/>
  <c r="Q50" i="31" s="1"/>
  <c r="Q49" i="31" s="1"/>
  <c r="Q48" i="31" s="1"/>
  <c r="Q47" i="31" s="1"/>
  <c r="Q46" i="31" s="1"/>
  <c r="Q45" i="31" s="1"/>
  <c r="Q44" i="31" s="1"/>
  <c r="Q43" i="31" s="1"/>
  <c r="Q42" i="31" s="1"/>
  <c r="Q41" i="31" s="1"/>
  <c r="Q40" i="31" s="1"/>
  <c r="Q39" i="31" s="1"/>
  <c r="Q38" i="31" s="1"/>
  <c r="Q37" i="31" s="1"/>
  <c r="Q36" i="31" s="1"/>
  <c r="Q35" i="31" s="1"/>
  <c r="Q34" i="31" s="1"/>
  <c r="Q33" i="31" s="1"/>
  <c r="Q32" i="31" s="1"/>
  <c r="Q31" i="31" s="1"/>
  <c r="Q30" i="31" s="1"/>
  <c r="Q29" i="31" s="1"/>
  <c r="Q28" i="31" s="1"/>
  <c r="Q27" i="31" s="1"/>
  <c r="Q26" i="31" s="1"/>
  <c r="Q25" i="31" s="1"/>
  <c r="Q24" i="31" s="1"/>
  <c r="Q23" i="31" s="1"/>
  <c r="Q22" i="31" s="1"/>
  <c r="Q21" i="31" s="1"/>
  <c r="Q20" i="31" s="1"/>
  <c r="Q19" i="31" s="1"/>
  <c r="Q18" i="31" s="1"/>
  <c r="Q17" i="31" s="1"/>
  <c r="Q16" i="31" s="1"/>
  <c r="Q15" i="31" s="1"/>
  <c r="Q14" i="31" s="1"/>
  <c r="Q13" i="31" s="1"/>
  <c r="Q12" i="31" s="1"/>
  <c r="Q11" i="31" s="1"/>
  <c r="Q10" i="31" s="1"/>
  <c r="Q9" i="31" s="1"/>
  <c r="Q8" i="31" s="1"/>
  <c r="Q7" i="31" s="1"/>
  <c r="Q6" i="31" s="1"/>
  <c r="Q5" i="31" s="1"/>
  <c r="Q4" i="31" s="1"/>
  <c r="Q3" i="31" s="1"/>
  <c r="Q2" i="31" s="1"/>
  <c r="Q1" i="31" s="1"/>
  <c r="O80" i="31"/>
  <c r="O79" i="31" s="1"/>
  <c r="O78" i="31" s="1"/>
  <c r="O77" i="31" s="1"/>
  <c r="O76" i="31" s="1"/>
  <c r="O75" i="31" s="1"/>
  <c r="O74" i="31" s="1"/>
  <c r="O73" i="31" s="1"/>
  <c r="O72" i="31" s="1"/>
  <c r="O71" i="31" s="1"/>
  <c r="O70" i="31" s="1"/>
  <c r="O69" i="31" s="1"/>
  <c r="O68" i="31" s="1"/>
  <c r="O67" i="31" s="1"/>
  <c r="O66" i="31" s="1"/>
  <c r="O65" i="31" s="1"/>
  <c r="O64" i="31" s="1"/>
  <c r="O63" i="31" s="1"/>
  <c r="O62" i="31" s="1"/>
  <c r="O61" i="31" s="1"/>
  <c r="O60" i="31" s="1"/>
  <c r="O59" i="31" s="1"/>
  <c r="O58" i="31" s="1"/>
  <c r="O57" i="31" s="1"/>
  <c r="O56" i="31" s="1"/>
  <c r="O55" i="31" s="1"/>
  <c r="O54" i="31" s="1"/>
  <c r="O53" i="31" s="1"/>
  <c r="O52" i="31" s="1"/>
  <c r="O51" i="31" s="1"/>
  <c r="O50" i="31" s="1"/>
  <c r="O49" i="31" s="1"/>
  <c r="O48" i="31" s="1"/>
  <c r="O47" i="31" s="1"/>
  <c r="O46" i="31" s="1"/>
  <c r="O45" i="31" s="1"/>
  <c r="O44" i="31" s="1"/>
  <c r="O43" i="31" s="1"/>
  <c r="O42" i="31" s="1"/>
  <c r="O41" i="31" s="1"/>
  <c r="O40" i="31" s="1"/>
  <c r="O39" i="31" s="1"/>
  <c r="O38" i="31" s="1"/>
  <c r="O37" i="31" s="1"/>
  <c r="O36" i="31" s="1"/>
  <c r="O35" i="31" s="1"/>
  <c r="O34" i="31" s="1"/>
  <c r="O33" i="31" s="1"/>
  <c r="O32" i="31" s="1"/>
  <c r="O31" i="31" s="1"/>
  <c r="O30" i="31" s="1"/>
  <c r="O29" i="31" s="1"/>
  <c r="O28" i="31" s="1"/>
  <c r="O27" i="31" s="1"/>
  <c r="O26" i="31" s="1"/>
  <c r="O25" i="31" s="1"/>
  <c r="O24" i="31" s="1"/>
  <c r="O23" i="31" s="1"/>
  <c r="O22" i="31" s="1"/>
  <c r="O21" i="31" s="1"/>
  <c r="O20" i="31" s="1"/>
  <c r="O19" i="31" s="1"/>
  <c r="O18" i="31" s="1"/>
  <c r="O17" i="31" s="1"/>
  <c r="O16" i="31" s="1"/>
  <c r="O15" i="31" s="1"/>
  <c r="O14" i="31" s="1"/>
  <c r="O13" i="31" s="1"/>
  <c r="O12" i="31" s="1"/>
  <c r="O11" i="31" s="1"/>
  <c r="O10" i="31" s="1"/>
  <c r="O9" i="31" s="1"/>
  <c r="O8" i="31" s="1"/>
  <c r="O7" i="31" s="1"/>
  <c r="O6" i="31" s="1"/>
  <c r="O5" i="31" s="1"/>
  <c r="O4" i="31" s="1"/>
  <c r="O3" i="31" s="1"/>
  <c r="O2" i="31" s="1"/>
  <c r="O1" i="31" s="1"/>
  <c r="C5" i="33" s="1"/>
  <c r="E200" i="5"/>
  <c r="D200" i="5"/>
  <c r="C200" i="5"/>
  <c r="G200" i="5"/>
  <c r="B200" i="5"/>
  <c r="F200" i="5"/>
  <c r="K717" i="9" l="1"/>
  <c r="U5" i="23"/>
  <c r="T5" i="23" s="1"/>
  <c r="AB34" i="5" s="1"/>
  <c r="Y5" i="2"/>
  <c r="Y3" i="2" s="1"/>
  <c r="K718" i="9" l="1"/>
  <c r="Y6" i="2"/>
  <c r="Y1" i="2" s="1"/>
  <c r="K14" i="33" s="1"/>
  <c r="I14" i="33" s="1"/>
  <c r="G14" i="33" s="1"/>
  <c r="T8" i="2"/>
  <c r="G80" i="31"/>
  <c r="K14" i="19" l="1"/>
  <c r="I14" i="19" s="1"/>
  <c r="H11" i="19" s="1"/>
  <c r="E6" i="19" s="1"/>
  <c r="DB62" i="10"/>
  <c r="GC120" i="14"/>
  <c r="GD120" i="14" s="1"/>
  <c r="GK120" i="14" s="1"/>
  <c r="P80" i="31"/>
  <c r="N80" i="31"/>
  <c r="G14" i="19" l="1"/>
  <c r="E5" i="19" s="1"/>
  <c r="C5" i="19" s="1"/>
  <c r="K723" i="9" l="1"/>
  <c r="K728" i="9" l="1"/>
  <c r="K729"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L12" authorId="0" shapeId="0" xr:uid="{00000000-0006-0000-0300-000001000000}">
      <text>
        <r>
          <rPr>
            <sz val="8"/>
            <color indexed="81"/>
            <rFont val="Tahoma"/>
            <family val="2"/>
          </rPr>
          <t>Engage as Move action, only can use the Move or Run actions whilst engaged.</t>
        </r>
      </text>
    </comment>
    <comment ref="M12" authorId="0" shapeId="0" xr:uid="{00000000-0006-0000-0300-000002000000}">
      <text>
        <r>
          <rPr>
            <sz val="8"/>
            <color indexed="81"/>
            <rFont val="Tahoma"/>
            <family val="2"/>
          </rPr>
          <t xml:space="preserve">Must make an Endurance check each round of use to keep using. (DC 10+rounds used)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D14" authorId="0" shapeId="0" xr:uid="{00000000-0006-0000-0500-000001000000}">
      <text>
        <r>
          <rPr>
            <b/>
            <sz val="8"/>
            <color indexed="81"/>
            <rFont val="Tahoma"/>
            <family val="2"/>
          </rPr>
          <t xml:space="preserve">Campaign
</t>
        </r>
        <r>
          <rPr>
            <sz val="8"/>
            <color indexed="81"/>
            <rFont val="Tahoma"/>
            <family val="2"/>
          </rPr>
          <t xml:space="preserve">Type in "Dawn of Defiance" to set the Point Buy to DoD campaign standards
</t>
        </r>
      </text>
    </comment>
    <comment ref="D20" authorId="0" shapeId="0" xr:uid="{00000000-0006-0000-0500-000002000000}">
      <text>
        <r>
          <rPr>
            <b/>
            <sz val="8"/>
            <color indexed="81"/>
            <rFont val="Tahoma"/>
            <family val="2"/>
          </rPr>
          <t xml:space="preserve">Ability Scores
</t>
        </r>
        <r>
          <rPr>
            <sz val="8"/>
            <color indexed="81"/>
            <rFont val="Tahoma"/>
            <family val="2"/>
          </rPr>
          <t xml:space="preserve">Enter ability scores as per the point buy rules or as desired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R7" authorId="0" shapeId="0" xr:uid="{00000000-0006-0000-0800-000001000000}">
      <text>
        <r>
          <rPr>
            <sz val="8"/>
            <color indexed="81"/>
            <rFont val="Tahoma"/>
            <family val="2"/>
          </rPr>
          <t>To make a feat show up on the attack options or special actions section of the stat block, simply select from the dropdown list in this column adjacent to the feat.
To remove, select the cell and press delete.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F10" authorId="0" shapeId="0" xr:uid="{00000000-0006-0000-0700-000001000000}">
      <text>
        <r>
          <rPr>
            <b/>
            <sz val="8"/>
            <color indexed="81"/>
            <rFont val="Tahoma"/>
            <family val="2"/>
          </rPr>
          <t xml:space="preserve">Trained Skills
</t>
        </r>
        <r>
          <rPr>
            <sz val="8"/>
            <color indexed="81"/>
            <rFont val="Tahoma"/>
            <family val="2"/>
          </rPr>
          <t xml:space="preserve">To select a trained skill, enter any value in the column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DC2" authorId="0" shapeId="0" xr:uid="{00000000-0006-0000-0900-000001000000}">
      <text>
        <r>
          <rPr>
            <b/>
            <sz val="8"/>
            <color indexed="81"/>
            <rFont val="Tahoma"/>
            <family val="2"/>
          </rPr>
          <t>ArmorListStart</t>
        </r>
      </text>
    </comment>
    <comment ref="DC99" authorId="0" shapeId="0" xr:uid="{00000000-0006-0000-0900-000002000000}">
      <text>
        <r>
          <rPr>
            <b/>
            <sz val="8"/>
            <color indexed="81"/>
            <rFont val="Tahoma"/>
            <family val="2"/>
          </rPr>
          <t xml:space="preserve">ArmorListEnd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AC6" authorId="0" shapeId="0" xr:uid="{00000000-0006-0000-0B00-000001000000}">
      <text>
        <r>
          <rPr>
            <b/>
            <sz val="8"/>
            <color indexed="81"/>
            <rFont val="Tahoma"/>
            <family val="2"/>
          </rPr>
          <t>Ben Mowbray:</t>
        </r>
        <r>
          <rPr>
            <sz val="8"/>
            <color indexed="81"/>
            <rFont val="Tahoma"/>
            <family val="2"/>
          </rPr>
          <t xml:space="preserve">
To add a new class, type the name at the bottom of the list in Column W and then copy and paste the cells in ColumnX to Column Z, making sure to add a ' to the Z cell in the row beneath the bottom class.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C11" authorId="0" shapeId="0" xr:uid="{00000000-0006-0000-1100-000001000000}">
      <text>
        <r>
          <rPr>
            <b/>
            <sz val="8"/>
            <color indexed="81"/>
            <rFont val="Tahoma"/>
            <family val="2"/>
          </rPr>
          <t xml:space="preserve">Black Market Price:
</t>
        </r>
        <r>
          <rPr>
            <sz val="8"/>
            <color indexed="81"/>
            <rFont val="Tahoma"/>
            <family val="2"/>
          </rPr>
          <t>Black market value if normal or rare and bought at point of origin (value if rare and bought elsewhere)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C16" authorId="0" shapeId="0" xr:uid="{00000000-0006-0000-1200-000001000000}">
      <text>
        <r>
          <rPr>
            <sz val="8"/>
            <color indexed="81"/>
            <rFont val="Tahoma"/>
            <family val="2"/>
          </rPr>
          <t>If you leave Wielded blank, the sheet assumes you are using the default for the weapon's size. With rifles, this will cause the penalty for holding a rifle in one hand.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Ben Mowbray</author>
  </authors>
  <commentList>
    <comment ref="F13" authorId="0" shapeId="0" xr:uid="{00000000-0006-0000-1C00-000001000000}">
      <text>
        <r>
          <rPr>
            <sz val="8"/>
            <color indexed="81"/>
            <rFont val="Tahoma"/>
            <family val="2"/>
          </rPr>
          <t>Enter One-Handed or Two-Handed, if available.</t>
        </r>
      </text>
    </comment>
    <comment ref="C15" authorId="0" shapeId="0" xr:uid="{00000000-0006-0000-1C00-000002000000}">
      <text>
        <r>
          <rPr>
            <b/>
            <sz val="8"/>
            <color indexed="81"/>
            <rFont val="Tahoma"/>
            <family val="2"/>
          </rPr>
          <t xml:space="preserve">Black Market Price:
</t>
        </r>
        <r>
          <rPr>
            <sz val="8"/>
            <color indexed="81"/>
            <rFont val="Tahoma"/>
            <family val="2"/>
          </rPr>
          <t>Black market value if normal or rare and bought at point of origin (value if rare and bought elsewhere)</t>
        </r>
      </text>
    </comment>
    <comment ref="F32" authorId="0" shapeId="0" xr:uid="{00000000-0006-0000-1C00-000003000000}">
      <text>
        <r>
          <rPr>
            <sz val="8"/>
            <color indexed="81"/>
            <rFont val="Tahoma"/>
            <family val="2"/>
          </rPr>
          <t>Enter One-Handed or Two-Handed, if available.</t>
        </r>
      </text>
    </comment>
    <comment ref="C34" authorId="0" shapeId="0" xr:uid="{00000000-0006-0000-1C00-000004000000}">
      <text>
        <r>
          <rPr>
            <b/>
            <sz val="8"/>
            <color indexed="81"/>
            <rFont val="Tahoma"/>
            <family val="2"/>
          </rPr>
          <t xml:space="preserve">Black Market Price:
</t>
        </r>
        <r>
          <rPr>
            <sz val="8"/>
            <color indexed="81"/>
            <rFont val="Tahoma"/>
            <family val="2"/>
          </rPr>
          <t>Black market value if normal or rare and bought at point of origin (value if rare and bought elsewhere)</t>
        </r>
      </text>
    </comment>
    <comment ref="F51" authorId="0" shapeId="0" xr:uid="{00000000-0006-0000-1C00-000005000000}">
      <text>
        <r>
          <rPr>
            <sz val="8"/>
            <color indexed="81"/>
            <rFont val="Tahoma"/>
            <family val="2"/>
          </rPr>
          <t>Enter One-Handed or Two-Handed, if available.</t>
        </r>
      </text>
    </comment>
    <comment ref="C53" authorId="0" shapeId="0" xr:uid="{00000000-0006-0000-1C00-000006000000}">
      <text>
        <r>
          <rPr>
            <b/>
            <sz val="8"/>
            <color indexed="81"/>
            <rFont val="Tahoma"/>
            <family val="2"/>
          </rPr>
          <t xml:space="preserve">Black Market Price:
</t>
        </r>
        <r>
          <rPr>
            <sz val="8"/>
            <color indexed="81"/>
            <rFont val="Tahoma"/>
            <family val="2"/>
          </rPr>
          <t>Black market value if normal or rare and bought at point of origin (value if rare and bought elsewhere)</t>
        </r>
      </text>
    </comment>
    <comment ref="F70" authorId="0" shapeId="0" xr:uid="{00000000-0006-0000-1C00-000007000000}">
      <text>
        <r>
          <rPr>
            <sz val="8"/>
            <color indexed="81"/>
            <rFont val="Tahoma"/>
            <family val="2"/>
          </rPr>
          <t>Enter One-Handed or Two-Handed, if available.</t>
        </r>
      </text>
    </comment>
    <comment ref="C72" authorId="0" shapeId="0" xr:uid="{00000000-0006-0000-1C00-000008000000}">
      <text>
        <r>
          <rPr>
            <b/>
            <sz val="8"/>
            <color indexed="81"/>
            <rFont val="Tahoma"/>
            <family val="2"/>
          </rPr>
          <t xml:space="preserve">Black Market Price:
</t>
        </r>
        <r>
          <rPr>
            <sz val="8"/>
            <color indexed="81"/>
            <rFont val="Tahoma"/>
            <family val="2"/>
          </rPr>
          <t>Black market value if normal or rare and bought at point of origin (value if rare and bought elsewhere)</t>
        </r>
      </text>
    </comment>
  </commentList>
</comments>
</file>

<file path=xl/sharedStrings.xml><?xml version="1.0" encoding="utf-8"?>
<sst xmlns="http://schemas.openxmlformats.org/spreadsheetml/2006/main" count="21948" uniqueCount="8952">
  <si>
    <t>Ages</t>
  </si>
  <si>
    <t>STR</t>
  </si>
  <si>
    <t>DEX</t>
  </si>
  <si>
    <t>CON</t>
  </si>
  <si>
    <t>INT</t>
  </si>
  <si>
    <t>WIS</t>
  </si>
  <si>
    <t>CHA</t>
  </si>
  <si>
    <t>Species</t>
  </si>
  <si>
    <t>Source</t>
  </si>
  <si>
    <t>Name</t>
  </si>
  <si>
    <t>S Languages</t>
  </si>
  <si>
    <t>Size</t>
  </si>
  <si>
    <t>YA</t>
  </si>
  <si>
    <t>A</t>
  </si>
  <si>
    <t>MA</t>
  </si>
  <si>
    <t>O</t>
  </si>
  <si>
    <t>V</t>
  </si>
  <si>
    <t>spd</t>
  </si>
  <si>
    <t>Special 1</t>
  </si>
  <si>
    <t>Special 2</t>
  </si>
  <si>
    <t>Special 3</t>
  </si>
  <si>
    <t>Special 4</t>
  </si>
  <si>
    <t>Special 5</t>
  </si>
  <si>
    <t>Skill Focus 1</t>
  </si>
  <si>
    <t>Skill focus 2</t>
  </si>
  <si>
    <t>Skill Focus 3</t>
  </si>
  <si>
    <t>Skill Trained 1</t>
  </si>
  <si>
    <t>Skill Trained 2</t>
  </si>
  <si>
    <t>Skill Trained 3</t>
  </si>
  <si>
    <t>Ref</t>
  </si>
  <si>
    <t>Fort</t>
  </si>
  <si>
    <t>Will</t>
  </si>
  <si>
    <t>DR</t>
  </si>
  <si>
    <t>if trained 1</t>
  </si>
  <si>
    <t>then trained 1</t>
  </si>
  <si>
    <t>if trained 2</t>
  </si>
  <si>
    <t>then trained 2</t>
  </si>
  <si>
    <t>feat1</t>
  </si>
  <si>
    <t>feat2</t>
  </si>
  <si>
    <t>feat3</t>
  </si>
  <si>
    <t>if first</t>
  </si>
  <si>
    <t>then feat</t>
  </si>
  <si>
    <t>if weapongroup</t>
  </si>
  <si>
    <t>then exotic</t>
  </si>
  <si>
    <t>if weapongroup2</t>
  </si>
  <si>
    <t>then exotic2</t>
  </si>
  <si>
    <t>Natural Weapon 1</t>
  </si>
  <si>
    <t>Damage 1</t>
  </si>
  <si>
    <t>Type</t>
  </si>
  <si>
    <t>Natural Weapon 2</t>
  </si>
  <si>
    <t>Damage 2</t>
  </si>
  <si>
    <t>Type 2</t>
  </si>
  <si>
    <t>Natural Weapon 3</t>
  </si>
  <si>
    <t>Damage 3</t>
  </si>
  <si>
    <t>Type 3</t>
  </si>
  <si>
    <t>Racial Abilities</t>
  </si>
  <si>
    <t>Description</t>
  </si>
  <si>
    <t>No</t>
  </si>
  <si>
    <t>Class</t>
  </si>
  <si>
    <t>Base Attack</t>
  </si>
  <si>
    <t>Reflex</t>
  </si>
  <si>
    <t>Fortitude</t>
  </si>
  <si>
    <t>HP</t>
  </si>
  <si>
    <t>Skills</t>
  </si>
  <si>
    <t>Credits</t>
  </si>
  <si>
    <t>FP</t>
  </si>
  <si>
    <t>Min Lvl</t>
  </si>
  <si>
    <t>Prereq 1</t>
  </si>
  <si>
    <t>Prereq 2</t>
  </si>
  <si>
    <t>Prereq 3</t>
  </si>
  <si>
    <t>Prereq 4</t>
  </si>
  <si>
    <t>Prereq 5</t>
  </si>
  <si>
    <t>Prereq 6</t>
  </si>
  <si>
    <t>Special</t>
  </si>
  <si>
    <t>Validation</t>
  </si>
  <si>
    <t>StatBlock</t>
  </si>
  <si>
    <t>Feated</t>
  </si>
  <si>
    <t>First Level</t>
  </si>
  <si>
    <t>Lvl</t>
  </si>
  <si>
    <t>BAB</t>
  </si>
  <si>
    <t>Feats</t>
  </si>
  <si>
    <t>Talents</t>
  </si>
  <si>
    <t>Force Techniques</t>
  </si>
  <si>
    <t>Force Secrets</t>
  </si>
  <si>
    <t>Class Features</t>
  </si>
  <si>
    <t>Qty</t>
  </si>
  <si>
    <t>Armor</t>
  </si>
  <si>
    <t>MaxDex</t>
  </si>
  <si>
    <t>Slots</t>
  </si>
  <si>
    <t>Helmet</t>
  </si>
  <si>
    <t>Jet Pack</t>
  </si>
  <si>
    <t>Skill 1</t>
  </si>
  <si>
    <t>Bonus 1</t>
  </si>
  <si>
    <t>Skill 2</t>
  </si>
  <si>
    <t>Bonus 2</t>
  </si>
  <si>
    <t>Skill 3</t>
  </si>
  <si>
    <t>Bonus 3</t>
  </si>
  <si>
    <t>Skill 4</t>
  </si>
  <si>
    <t>Bonus 4</t>
  </si>
  <si>
    <t>Extra</t>
  </si>
  <si>
    <t>Accessory 1</t>
  </si>
  <si>
    <t>Accessory 2</t>
  </si>
  <si>
    <t>Accessory 3</t>
  </si>
  <si>
    <t>Accessory 4</t>
  </si>
  <si>
    <t>Availability</t>
  </si>
  <si>
    <t>Price</t>
  </si>
  <si>
    <t>Weight</t>
  </si>
  <si>
    <t>Stat Block</t>
  </si>
  <si>
    <t>Stat Block Plural</t>
  </si>
  <si>
    <t>Weapons</t>
  </si>
  <si>
    <t>Range</t>
  </si>
  <si>
    <t>Feat</t>
  </si>
  <si>
    <t>Group</t>
  </si>
  <si>
    <t>Hand</t>
  </si>
  <si>
    <t>Double</t>
  </si>
  <si>
    <t>Stun</t>
  </si>
  <si>
    <t>Crit</t>
  </si>
  <si>
    <t>Avail</t>
  </si>
  <si>
    <t>Rare</t>
  </si>
  <si>
    <t>Mult1</t>
  </si>
  <si>
    <t>Die1</t>
  </si>
  <si>
    <t>Add1</t>
  </si>
  <si>
    <t>Mult2</t>
  </si>
  <si>
    <t>Die2</t>
  </si>
  <si>
    <t>Add2</t>
  </si>
  <si>
    <t>Accurate</t>
  </si>
  <si>
    <t>RetractableStock</t>
  </si>
  <si>
    <t>Ammo</t>
  </si>
  <si>
    <t>Lifetime</t>
  </si>
  <si>
    <t>Number</t>
  </si>
  <si>
    <t>StatBlock Plural</t>
  </si>
  <si>
    <t>Natural Weapons</t>
  </si>
  <si>
    <t>Grenade Launcher</t>
  </si>
  <si>
    <t>Stat Block plural</t>
  </si>
  <si>
    <t>Equipment</t>
  </si>
  <si>
    <t>size</t>
  </si>
  <si>
    <t>Head Device</t>
  </si>
  <si>
    <t>Implant</t>
  </si>
  <si>
    <t>Weapon Templates</t>
  </si>
  <si>
    <t>Percent</t>
  </si>
  <si>
    <t>Minimum</t>
  </si>
  <si>
    <t>Effect</t>
  </si>
  <si>
    <t>Armor Templates</t>
  </si>
  <si>
    <t>Weapon Accessories</t>
  </si>
  <si>
    <t>Armor Accessories</t>
  </si>
  <si>
    <t>Shield Templates</t>
  </si>
  <si>
    <t>Supplements</t>
  </si>
  <si>
    <t>Supplement Abbreviation</t>
  </si>
  <si>
    <t>Adult</t>
  </si>
  <si>
    <t>m</t>
  </si>
  <si>
    <t>Limb Regeneration</t>
  </si>
  <si>
    <t>Primitive</t>
  </si>
  <si>
    <t>Able Healer</t>
  </si>
  <si>
    <t>Other characters healed by the character gain an additional 5 hit points; once per encounter as a swift action, grant an adjacent ally 10 + character level bonus hit points until the end of the encounter</t>
  </si>
  <si>
    <t>None</t>
  </si>
  <si>
    <t>,SECR,</t>
  </si>
  <si>
    <t>0 None</t>
  </si>
  <si>
    <t>none</t>
  </si>
  <si>
    <t>Command Cover</t>
  </si>
  <si>
    <t>Amphistaff</t>
  </si>
  <si>
    <t>M</t>
  </si>
  <si>
    <t>amphistaff</t>
  </si>
  <si>
    <t>amphistaffs</t>
  </si>
  <si>
    <t>unarmed</t>
  </si>
  <si>
    <t>Grenade, frag</t>
  </si>
  <si>
    <t>Ammunition Clip</t>
  </si>
  <si>
    <t>ammunition clip</t>
  </si>
  <si>
    <t>ammunition clips</t>
  </si>
  <si>
    <t>ABC scrambler</t>
  </si>
  <si>
    <t>,SaV,</t>
  </si>
  <si>
    <t>t</t>
  </si>
  <si>
    <t>ABC scramblers</t>
  </si>
  <si>
    <t>Aural amplifier</t>
  </si>
  <si>
    <t>,KotOR,</t>
  </si>
  <si>
    <t>aural amplifier</t>
  </si>
  <si>
    <t>aural amplifiers</t>
  </si>
  <si>
    <t>Bio-stabilizer</t>
  </si>
  <si>
    <t>bio-stabilizer implant</t>
  </si>
  <si>
    <t>Arkanian</t>
  </si>
  <si>
    <t>Deal fire and energy damage</t>
  </si>
  <si>
    <t>Bayonet Ring</t>
  </si>
  <si>
    <t>Aquatic Adaptation</t>
  </si>
  <si>
    <t>Swim half your speed, reroll swim check and take better result, take 10 on Swim checks</t>
  </si>
  <si>
    <t>Cinnagaran</t>
  </si>
  <si>
    <t>DR 5 (sonic damage only, from shields)</t>
  </si>
  <si>
    <t>Acrobatics</t>
  </si>
  <si>
    <t>Saga-Edition.com</t>
  </si>
  <si>
    <t>TAO</t>
  </si>
  <si>
    <t>Child</t>
  </si>
  <si>
    <t>Bellow</t>
  </si>
  <si>
    <t>Perception</t>
  </si>
  <si>
    <t>Jedi</t>
  </si>
  <si>
    <t>1 Jedi</t>
  </si>
  <si>
    <t>Damage Reduction</t>
  </si>
  <si>
    <t>Battle armor</t>
  </si>
  <si>
    <t/>
  </si>
  <si>
    <t>Military</t>
  </si>
  <si>
    <t>battle armor</t>
  </si>
  <si>
    <t>suits of battle armor</t>
  </si>
  <si>
    <t>Amphistaff (quarterstaff form)</t>
  </si>
  <si>
    <t>EWP</t>
  </si>
  <si>
    <t>l</t>
  </si>
  <si>
    <t>Yes</t>
  </si>
  <si>
    <t>Bludgeoning</t>
  </si>
  <si>
    <t>R</t>
  </si>
  <si>
    <t>Antiarmor Missile</t>
  </si>
  <si>
    <t>antiarmor missile</t>
  </si>
  <si>
    <t>antiarmor missiles</t>
  </si>
  <si>
    <t>All-temperature cloak</t>
  </si>
  <si>
    <t>d</t>
  </si>
  <si>
    <t>all-temperature cloak</t>
  </si>
  <si>
    <t>all-temperature cloaks</t>
  </si>
  <si>
    <t>Computer interface visor</t>
  </si>
  <si>
    <t>computer interface visor</t>
  </si>
  <si>
    <t>computer interface visors</t>
  </si>
  <si>
    <t>Cardio</t>
  </si>
  <si>
    <t>cardio implant</t>
  </si>
  <si>
    <t>Baragwin</t>
  </si>
  <si>
    <t>+1 die damage on critical hit</t>
  </si>
  <si>
    <t>Bonadan-Alloy</t>
  </si>
  <si>
    <t>DR 2 (slashing damage only, from armor)</t>
  </si>
  <si>
    <t>Beam Splitter</t>
  </si>
  <si>
    <t>Once per encounter, damage bonus from Power Blast is doubled</t>
  </si>
  <si>
    <t>Armor Reinforcement</t>
  </si>
  <si>
    <t>DR 2 (piercing)</t>
  </si>
  <si>
    <t>DR 2 (piercing damage only, from armor)</t>
  </si>
  <si>
    <t>Iridorian</t>
  </si>
  <si>
    <t>DR 2 (bludgeoning damage only, from shields)</t>
  </si>
  <si>
    <t>Climb</t>
  </si>
  <si>
    <t>The Force Unleashed Campaign Guide</t>
  </si>
  <si>
    <t>TFU</t>
  </si>
  <si>
    <t>Middle Age</t>
  </si>
  <si>
    <t>Adept Diplomat</t>
  </si>
  <si>
    <t>May choose to reroll any Persuasion checks, keeping the better result</t>
  </si>
  <si>
    <t>Noble</t>
  </si>
  <si>
    <t>2 Noble</t>
  </si>
  <si>
    <t>Delay Damage</t>
  </si>
  <si>
    <t>Battle armor, heavy</t>
  </si>
  <si>
    <t>H</t>
  </si>
  <si>
    <t>heavy battle armor</t>
  </si>
  <si>
    <t>suits of heavy battle armor</t>
  </si>
  <si>
    <t>Amphistaff (spear form)</t>
  </si>
  <si>
    <t>Piercing</t>
  </si>
  <si>
    <t>Poison, Can be thrown</t>
  </si>
  <si>
    <t>Bowcaster Quiver</t>
  </si>
  <si>
    <t>bowcaster quiver</t>
  </si>
  <si>
    <t>bowcaster quivers</t>
  </si>
  <si>
    <t>Anti-security blades</t>
  </si>
  <si>
    <t>Unknown</t>
  </si>
  <si>
    <t>f</t>
  </si>
  <si>
    <t>anti-security blade</t>
  </si>
  <si>
    <t>anti-security blades</t>
  </si>
  <si>
    <t>Demolitions sensor</t>
  </si>
  <si>
    <t>demolitions sensor</t>
  </si>
  <si>
    <t>demolitions sensors</t>
  </si>
  <si>
    <t>Combat</t>
  </si>
  <si>
    <t>combat implant</t>
  </si>
  <si>
    <t>Bothan</t>
  </si>
  <si>
    <t>+1 die damage on stun or dealing ion damage</t>
  </si>
  <si>
    <t>Bronzium Cast</t>
  </si>
  <si>
    <t>Once per encounter, takes damage instead of wearer</t>
  </si>
  <si>
    <t>Bipod</t>
  </si>
  <si>
    <t>Counts as a weapon mount</t>
  </si>
  <si>
    <t>Armorplast</t>
  </si>
  <si>
    <t>armorplast</t>
  </si>
  <si>
    <t>Decreases weight of armor by 50%</t>
  </si>
  <si>
    <t>Krath</t>
  </si>
  <si>
    <t>DR 2 (energy damage only, from shields)</t>
  </si>
  <si>
    <t>Deception</t>
  </si>
  <si>
    <t>KotOR</t>
  </si>
  <si>
    <t>Old</t>
  </si>
  <si>
    <t>Aleena</t>
  </si>
  <si>
    <t>,TFU,</t>
  </si>
  <si>
    <t>Basic</t>
  </si>
  <si>
    <t>s</t>
  </si>
  <si>
    <t>Nimble</t>
  </si>
  <si>
    <t>Quick Energy</t>
  </si>
  <si>
    <t>Ancient Knowledge</t>
  </si>
  <si>
    <t>Reduced armor and weapon proficiency penalties; may use a trained-only use of Mechanics, Pilot, Treat Injury or Use Computer once per encounter even if untrained</t>
  </si>
  <si>
    <t>Scoundrel</t>
  </si>
  <si>
    <t>3 Scoundrel</t>
  </si>
  <si>
    <t>Familiar Foe</t>
  </si>
  <si>
    <t>Battle armor, heavy powered</t>
  </si>
  <si>
    <t>Helmet with helmet package</t>
  </si>
  <si>
    <t>Helmet Package</t>
  </si>
  <si>
    <t>Restricted</t>
  </si>
  <si>
    <t>heavy powered battle armor</t>
  </si>
  <si>
    <t>suits of heavy powered battle armor</t>
  </si>
  <si>
    <t>Amphistaff (spit)</t>
  </si>
  <si>
    <t>Poison</t>
  </si>
  <si>
    <t>Carbonite Cartridge</t>
  </si>
  <si>
    <t>carbonite cartridge</t>
  </si>
  <si>
    <t>carbonite cartridges</t>
  </si>
  <si>
    <t>Aquata breather</t>
  </si>
  <si>
    <t>aquata breather</t>
  </si>
  <si>
    <t>aquata breathers</t>
  </si>
  <si>
    <t>Memory</t>
  </si>
  <si>
    <t>memory implant</t>
  </si>
  <si>
    <t>Deal energy and bludgeoning damage</t>
  </si>
  <si>
    <t>DR 5 (sonic damage only, from armor)</t>
  </si>
  <si>
    <t>Bondar Crystal</t>
  </si>
  <si>
    <t>Deal stun damage</t>
  </si>
  <si>
    <t>Climbing Claws</t>
  </si>
  <si>
    <t>Climb half your speed, reroll Climb checks, take 10 on Climb checks</t>
  </si>
  <si>
    <t>Verpine</t>
  </si>
  <si>
    <t>DR 10 (ion damage only, from shields)</t>
  </si>
  <si>
    <t>Endurance</t>
  </si>
  <si>
    <t>Threats of the Galaxy</t>
  </si>
  <si>
    <t>TotG</t>
  </si>
  <si>
    <t>Venerable</t>
  </si>
  <si>
    <t>Amanin</t>
  </si>
  <si>
    <t>Amanese</t>
  </si>
  <si>
    <t>Roll</t>
  </si>
  <si>
    <t>Expert Climber</t>
  </si>
  <si>
    <t>Reach 2</t>
  </si>
  <si>
    <t>Animal Handler</t>
  </si>
  <si>
    <t>May reroll any Ride check, but the result of the reroll must be accepted even it is worse; may make Persuasion checks to change the attitude of an undomesticated creature of Intelligence 2 or lower</t>
  </si>
  <si>
    <t>Scout</t>
  </si>
  <si>
    <t>4 Scout</t>
  </si>
  <si>
    <t>Fearless</t>
  </si>
  <si>
    <t>Battle armor, light</t>
  </si>
  <si>
    <t>L</t>
  </si>
  <si>
    <t>light battle armor</t>
  </si>
  <si>
    <t>suits of light battle armor</t>
  </si>
  <si>
    <t>Amphistaff (whip form)</t>
  </si>
  <si>
    <t>Poison, Reach 2 squares, Pin or Trip</t>
  </si>
  <si>
    <t>Chemical Cartridge</t>
  </si>
  <si>
    <t>chemical cartridge</t>
  </si>
  <si>
    <t>chemical cartridges</t>
  </si>
  <si>
    <t>Audiorecorder</t>
  </si>
  <si>
    <t>audiorecorder</t>
  </si>
  <si>
    <t>audiorecorders</t>
  </si>
  <si>
    <t>helmet package</t>
  </si>
  <si>
    <t>helmet packages</t>
  </si>
  <si>
    <t>Nerve reinforcement</t>
  </si>
  <si>
    <t>nerve reinforcement implant</t>
  </si>
  <si>
    <t>Cortosis Weave</t>
  </si>
  <si>
    <t>Retain DR against lightsabers</t>
  </si>
  <si>
    <t>Retains damage reduction against lightsabers</t>
  </si>
  <si>
    <t>Cloaked</t>
  </si>
  <si>
    <t>cloaked</t>
  </si>
  <si>
    <t>Can be disguised as clothing</t>
  </si>
  <si>
    <t>Gather Information</t>
  </si>
  <si>
    <t>Starships of the Galaxy</t>
  </si>
  <si>
    <t>SotG</t>
  </si>
  <si>
    <t>Young Adult</t>
  </si>
  <si>
    <t>Knowledge (Galactic Lore)</t>
  </si>
  <si>
    <t>Persuasion</t>
  </si>
  <si>
    <t>Antennapalps</t>
  </si>
  <si>
    <t>At close range (within 10 squares) ignore cover and concealment for the purposes of Perception checks. While antennapalps are extended suffer a -2 penalty to defenses against sonic attacks</t>
  </si>
  <si>
    <t>Soldier</t>
  </si>
  <si>
    <t>5 Soldier</t>
  </si>
  <si>
    <t>Indomitable</t>
  </si>
  <si>
    <t>Battle armor, light powered</t>
  </si>
  <si>
    <t>light powered battle armor</t>
  </si>
  <si>
    <t>suits of light powered battle armor</t>
  </si>
  <si>
    <t>Arg'garok</t>
  </si>
  <si>
    <t>Slashing</t>
  </si>
  <si>
    <t>arg'garok</t>
  </si>
  <si>
    <t>arg'garoks</t>
  </si>
  <si>
    <t>Energy Cell</t>
  </si>
  <si>
    <t>energy cell</t>
  </si>
  <si>
    <t>energy cells</t>
  </si>
  <si>
    <t>Helmet with low-light vision</t>
  </si>
  <si>
    <t>Regenerative</t>
  </si>
  <si>
    <t>regenerative implant</t>
  </si>
  <si>
    <t>Dashade</t>
  </si>
  <si>
    <t>Targets moved down the condition track can only spend 2 swift actions per turn to recover</t>
  </si>
  <si>
    <t>Durasteel Cast</t>
  </si>
  <si>
    <t>Damage Reduction 1</t>
  </si>
  <si>
    <t>Daminia Crystal</t>
  </si>
  <si>
    <t>+2 damage</t>
  </si>
  <si>
    <t>Diagnostics System</t>
  </si>
  <si>
    <t>diagnostics system</t>
  </si>
  <si>
    <t>Anyone making Mechanics or Treat Injury checks on wearer gains +2 bonus</t>
  </si>
  <si>
    <t>Initiative</t>
  </si>
  <si>
    <t>Scum and Villainy</t>
  </si>
  <si>
    <t>SaV</t>
  </si>
  <si>
    <t>Nonheroic</t>
  </si>
  <si>
    <t>6 Nonheroic</t>
  </si>
  <si>
    <t>Prophet</t>
  </si>
  <si>
    <t>Battle armor, powered</t>
  </si>
  <si>
    <t>powered battle armor</t>
  </si>
  <si>
    <t>suits of powered battle armor</t>
  </si>
  <si>
    <t>Atlatl</t>
  </si>
  <si>
    <t>Can hurl energy balls</t>
  </si>
  <si>
    <t>atlatl</t>
  </si>
  <si>
    <t>atlatls</t>
  </si>
  <si>
    <t>Flechette Cluster</t>
  </si>
  <si>
    <t>flechette cluster</t>
  </si>
  <si>
    <t>flechette clusters</t>
  </si>
  <si>
    <t>Bacta tank (empty)</t>
  </si>
  <si>
    <t>bacta tank</t>
  </si>
  <si>
    <t>bacta tanks</t>
  </si>
  <si>
    <t>Helmet with superior helmet package</t>
  </si>
  <si>
    <t>superior helmet package</t>
  </si>
  <si>
    <t>superior helmet packages</t>
  </si>
  <si>
    <t>Sensory</t>
  </si>
  <si>
    <t>sensory implant</t>
  </si>
  <si>
    <t>Echani</t>
  </si>
  <si>
    <t>Once per encounter, increase critical range by 1</t>
  </si>
  <si>
    <t>Once per encounter, ignore speed penalty</t>
  </si>
  <si>
    <t>Double Trigger</t>
  </si>
  <si>
    <t>If you have Careful Shot, gain +2 to attack when aiming</t>
  </si>
  <si>
    <t>Environmental Systems (cold)</t>
  </si>
  <si>
    <t>immune to cold</t>
  </si>
  <si>
    <t>Immune to the effects of extreme cold</t>
  </si>
  <si>
    <t>Jump</t>
  </si>
  <si>
    <t>CWCS</t>
  </si>
  <si>
    <t>Force Sensitive</t>
  </si>
  <si>
    <t>Ace Pilot</t>
  </si>
  <si>
    <t>Minimum Level: 7th</t>
  </si>
  <si>
    <t>Trained Skills: Pilot</t>
  </si>
  <si>
    <t>Feats: Vehicular Combat</t>
  </si>
  <si>
    <t>7 Ace Pilot</t>
  </si>
  <si>
    <t>Serenity</t>
  </si>
  <si>
    <t>Beskar'gam, heavy</t>
  </si>
  <si>
    <t>Internal Comlink, short-range</t>
  </si>
  <si>
    <t>Vacuum Seals, Improved</t>
  </si>
  <si>
    <t>heavy beskar'gam</t>
  </si>
  <si>
    <t>suits of heavy beskar'gam</t>
  </si>
  <si>
    <t>Aurial blaster</t>
  </si>
  <si>
    <t>Energy (sonic)</t>
  </si>
  <si>
    <t>Damages Perception</t>
  </si>
  <si>
    <t>Power Pack</t>
  </si>
  <si>
    <t>aurial blaster</t>
  </si>
  <si>
    <t>aurial blasters</t>
  </si>
  <si>
    <t>frag grenade</t>
  </si>
  <si>
    <t>frag grenades</t>
  </si>
  <si>
    <t>Bacta, 1 liter</t>
  </si>
  <si>
    <t>liter of bacta</t>
  </si>
  <si>
    <t>liters of bacta</t>
  </si>
  <si>
    <t>Mechanical interface visor</t>
  </si>
  <si>
    <t>mechanical interface visor</t>
  </si>
  <si>
    <t>mechanical interface visors</t>
  </si>
  <si>
    <t>Gand</t>
  </si>
  <si>
    <t>Halves opponent's speed or immobilises upon moving them down the condition track</t>
  </si>
  <si>
    <t>Environmental Bastion</t>
  </si>
  <si>
    <t>Durasteel Bonding</t>
  </si>
  <si>
    <t>+1 die damage on critical hit, increase DR by 5</t>
  </si>
  <si>
    <t>Environmental Systems (heat)</t>
  </si>
  <si>
    <t>immune to heat</t>
  </si>
  <si>
    <t>Immune to the effects of extreme heat</t>
  </si>
  <si>
    <t>Knowledge (Bureaucracy)</t>
  </si>
  <si>
    <t>WotC Web Enhancements</t>
  </si>
  <si>
    <t>WEB</t>
  </si>
  <si>
    <t>Aqualish</t>
  </si>
  <si>
    <t>Breathe Underwater</t>
  </si>
  <si>
    <t>Expert Swimmer</t>
  </si>
  <si>
    <t>Toughness</t>
  </si>
  <si>
    <t>Bounty Hunter</t>
  </si>
  <si>
    <t>Trained Skills: Survival</t>
  </si>
  <si>
    <t>Talents: Any two from Awareness</t>
  </si>
  <si>
    <t>8 Bounty Hunter</t>
  </si>
  <si>
    <t>Share Talent</t>
  </si>
  <si>
    <t>Beskar'gam, light</t>
  </si>
  <si>
    <t>Vacuum Seals</t>
  </si>
  <si>
    <t>light beskar'gam</t>
  </si>
  <si>
    <t>suits of light beskar'gam</t>
  </si>
  <si>
    <t>Bayonet</t>
  </si>
  <si>
    <t>WP</t>
  </si>
  <si>
    <t>simple</t>
  </si>
  <si>
    <t>bayonet</t>
  </si>
  <si>
    <t>bayonets</t>
  </si>
  <si>
    <t>Grenade, ion</t>
  </si>
  <si>
    <t>ion grenade</t>
  </si>
  <si>
    <t>ion grenades</t>
  </si>
  <si>
    <t>Bandolier</t>
  </si>
  <si>
    <t>bandolier</t>
  </si>
  <si>
    <t>bandoliers</t>
  </si>
  <si>
    <t>Medical interface visor</t>
  </si>
  <si>
    <t>medical interface visor</t>
  </si>
  <si>
    <t>medical interface visors</t>
  </si>
  <si>
    <t>Genohardan Melee</t>
  </si>
  <si>
    <t>+2 to attack rolls for contact poison</t>
  </si>
  <si>
    <t>Eriadun</t>
  </si>
  <si>
    <t>DR 5 (stun damage only, from armor)</t>
  </si>
  <si>
    <t>Electrograpple Handle</t>
  </si>
  <si>
    <t>Gyro</t>
  </si>
  <si>
    <t>gyro</t>
  </si>
  <si>
    <t>Stability bonus of +5 to reflex defense to avoid being knocked prone</t>
  </si>
  <si>
    <t>Arcona</t>
  </si>
  <si>
    <t>,WEB,</t>
  </si>
  <si>
    <t>Arconese</t>
  </si>
  <si>
    <t>Scent</t>
  </si>
  <si>
    <t>Authority</t>
  </si>
  <si>
    <t>Add +1 to any insight or morale bonuses granted to themselves or other characters</t>
  </si>
  <si>
    <t>Crime Lord</t>
  </si>
  <si>
    <t>Trained Skills: Deception, Persuasion</t>
  </si>
  <si>
    <t>Talents: Any one from Fortune, Lineage or Misfortune</t>
  </si>
  <si>
    <t>9 Crime Lord</t>
  </si>
  <si>
    <t>Temptation</t>
  </si>
  <si>
    <t>Beskar'gam, medium</t>
  </si>
  <si>
    <t>medium beskar'gam</t>
  </si>
  <si>
    <t>suits of medium beskar'gam</t>
  </si>
  <si>
    <t>Blast cannon</t>
  </si>
  <si>
    <t>blast cannon</t>
  </si>
  <si>
    <t>Energy</t>
  </si>
  <si>
    <t>+1d8 damage adjacent, 1-square splash non-adjacent</t>
  </si>
  <si>
    <t>in</t>
  </si>
  <si>
    <t>CR-1 blast cannon</t>
  </si>
  <si>
    <t>Grenade, stun</t>
  </si>
  <si>
    <t>stun grenage</t>
  </si>
  <si>
    <t>stun grenades</t>
  </si>
  <si>
    <t>Binder cuffs</t>
  </si>
  <si>
    <t>binder cuffs</t>
  </si>
  <si>
    <t>Motion sensing visor</t>
  </si>
  <si>
    <t>motion sensing visor</t>
  </si>
  <si>
    <t>motion sensing visors</t>
  </si>
  <si>
    <t>Genohardan Ranged</t>
  </si>
  <si>
    <t>+1 stun damage</t>
  </si>
  <si>
    <t>Genohardan</t>
  </si>
  <si>
    <t>+2 to Stealth checks to sneak</t>
  </si>
  <si>
    <t>Enhanced Energy Projector</t>
  </si>
  <si>
    <t>Reroll any natural 1 and keep second result</t>
  </si>
  <si>
    <t>Low-light vision and +2 to Perception checks</t>
  </si>
  <si>
    <t>Knowledge (Life Sciences)</t>
  </si>
  <si>
    <t>Darkvision</t>
  </si>
  <si>
    <t>Intellectual Reputation</t>
  </si>
  <si>
    <t>Flash of Genius</t>
  </si>
  <si>
    <t>Elite Trooper</t>
  </si>
  <si>
    <t>Minimum Base Attack Bonus +7</t>
  </si>
  <si>
    <t>Feats: Armour Proficiency (light), Armour Proficiency (medium), Martial Arts I, Point Blank Shot or Flurry</t>
  </si>
  <si>
    <t>Talents: Any one from Armor Specialist, Commando or Weapon Specialist</t>
  </si>
  <si>
    <t>10 Elite Trooper</t>
  </si>
  <si>
    <t>Trusty Sidearm</t>
  </si>
  <si>
    <t>Blast helmet and vest</t>
  </si>
  <si>
    <t>blast helmet and vest</t>
  </si>
  <si>
    <t>blast helmets and vests</t>
  </si>
  <si>
    <t>BlasTech 500 "ESPO"</t>
  </si>
  <si>
    <t>,CWCS,</t>
  </si>
  <si>
    <t>rifles</t>
  </si>
  <si>
    <t>-2 penalty when used in single-shot mode</t>
  </si>
  <si>
    <t>BlasTech 500 "ESPO"s</t>
  </si>
  <si>
    <t>Light Concussion Missile</t>
  </si>
  <si>
    <t>light concussion missile</t>
  </si>
  <si>
    <t>light concussion missiles</t>
  </si>
  <si>
    <t>Bioscanner</t>
  </si>
  <si>
    <t>bioscanner</t>
  </si>
  <si>
    <t>bioscanners</t>
  </si>
  <si>
    <t>Neural band</t>
  </si>
  <si>
    <t>neural band</t>
  </si>
  <si>
    <t>neural bands</t>
  </si>
  <si>
    <t>+2 damage to Power Attack or Power Blast</t>
  </si>
  <si>
    <t>DR 2 (bludgeoning damage only, from armor)</t>
  </si>
  <si>
    <t>Environmental Sealing</t>
  </si>
  <si>
    <t>Helmet Package, superior</t>
  </si>
  <si>
    <t>Knowledge (Physical sciences)</t>
  </si>
  <si>
    <t>Arkanian Offshoot</t>
  </si>
  <si>
    <t>Determination</t>
  </si>
  <si>
    <t>Mechanics</t>
  </si>
  <si>
    <t>Can open all four throats as a standard action (1d20 + character level) against the Fortitude Defense of all creatures and unattended objects in a 6-square cone, dealing 3d6 sonic damage and moving the character a step down the condition track; for each extra d6 of damage added the character moves a further step down the condition track</t>
  </si>
  <si>
    <t>Force Adept</t>
  </si>
  <si>
    <t>Trained Skills: Use the Force</t>
  </si>
  <si>
    <t>Feats: Force Sensitive</t>
  </si>
  <si>
    <t>Talents: Any three Force talents</t>
  </si>
  <si>
    <t>11 Force Adept</t>
  </si>
  <si>
    <t>Vehicle Dodge</t>
  </si>
  <si>
    <t>Camo armor</t>
  </si>
  <si>
    <t>Stealth</t>
  </si>
  <si>
    <t>camo armor</t>
  </si>
  <si>
    <t>suits of camo armor</t>
  </si>
  <si>
    <t>BlasTech DH-23</t>
  </si>
  <si>
    <t>pistols</t>
  </si>
  <si>
    <t>BlasTech DH-23s</t>
  </si>
  <si>
    <t>Magazine</t>
  </si>
  <si>
    <t>magazine</t>
  </si>
  <si>
    <t>magazines</t>
  </si>
  <si>
    <t>Bio-stabilizer implant</t>
  </si>
  <si>
    <t>bio-stabilizer implants</t>
  </si>
  <si>
    <t>Vacuum mask</t>
  </si>
  <si>
    <t>vacuum mask</t>
  </si>
  <si>
    <t>vacuum masks</t>
  </si>
  <si>
    <t>1d4 damage on target's next turn if exceeds Fortitude Defense as well as Reflex Defense</t>
  </si>
  <si>
    <t>DR 2 (energy damage only, from armor)</t>
  </si>
  <si>
    <t>Eralam Crystal</t>
  </si>
  <si>
    <t>Once per encounter, reroll damage from a lightsaber attack</t>
  </si>
  <si>
    <t>Holoshroud</t>
  </si>
  <si>
    <t>holoshroud</t>
  </si>
  <si>
    <t>Knowledge (Social Sciences)</t>
  </si>
  <si>
    <t>Gunslinger</t>
  </si>
  <si>
    <t>Feats: Point Blank Shot, Precise Shot, Quick Draw, Weapon Proficiency (pistols)</t>
  </si>
  <si>
    <t>12 Gunslinger</t>
  </si>
  <si>
    <t>Ceremonial armor</t>
  </si>
  <si>
    <t>cermonial armor</t>
  </si>
  <si>
    <t>suits of ceremonial armor</t>
  </si>
  <si>
    <t>BlasTech DLT-20A</t>
  </si>
  <si>
    <t>acc</t>
  </si>
  <si>
    <t>BlasTech DLT-20As</t>
  </si>
  <si>
    <t>Missile</t>
  </si>
  <si>
    <t>missile</t>
  </si>
  <si>
    <t>missiles</t>
  </si>
  <si>
    <t>Bracer computer</t>
  </si>
  <si>
    <t>bracer computer</t>
  </si>
  <si>
    <t>bracer computers</t>
  </si>
  <si>
    <t>Mandalorian</t>
  </si>
  <si>
    <t>+5 to Mechanics to modify</t>
  </si>
  <si>
    <t>Extra Power Source</t>
  </si>
  <si>
    <t>Integrated equipment, 1 slot</t>
  </si>
  <si>
    <t>integrated equipment</t>
  </si>
  <si>
    <t>Knowledge (Tactics)</t>
  </si>
  <si>
    <t>Balosar</t>
  </si>
  <si>
    <t>Poison Resistance</t>
  </si>
  <si>
    <t>Moral Ambiguity</t>
  </si>
  <si>
    <t>Jedi Knight</t>
  </si>
  <si>
    <t>Minimum Base Attack Bonus: +7</t>
  </si>
  <si>
    <t>Feats: Force Sensitive, Weapon Proficiency (lightsabers)</t>
  </si>
  <si>
    <t>Must have built own lightsaber; Must be a member of the Jedi tradition</t>
  </si>
  <si>
    <t>13 Jedi Knight</t>
  </si>
  <si>
    <t>Combat jumpsuit</t>
  </si>
  <si>
    <t>Licensed</t>
  </si>
  <si>
    <t>combat jumpsuit</t>
  </si>
  <si>
    <t>combat jumpsuits</t>
  </si>
  <si>
    <t>BlasTech DT-12</t>
  </si>
  <si>
    <t>BlasTech DT-12s</t>
  </si>
  <si>
    <t>Pistol Clip</t>
  </si>
  <si>
    <t>pistol clip</t>
  </si>
  <si>
    <t>pistol clips</t>
  </si>
  <si>
    <t>Breath mask</t>
  </si>
  <si>
    <t>breath mask</t>
  </si>
  <si>
    <t>breath masks</t>
  </si>
  <si>
    <t>Massassi</t>
  </si>
  <si>
    <t>Triple Strength bonus to damage on critical hits when attacking with both hands</t>
  </si>
  <si>
    <t>Once per encounter, turn a critical hit into a normal hit</t>
  </si>
  <si>
    <t>Firkraan Crystal</t>
  </si>
  <si>
    <t>Deal ion damage</t>
  </si>
  <si>
    <t>Integrated equipment, 10 slots</t>
  </si>
  <si>
    <t>Knowledge (Technology)</t>
  </si>
  <si>
    <t>Barabel</t>
  </si>
  <si>
    <t>Radiation Resistance</t>
  </si>
  <si>
    <t>Intimidating</t>
  </si>
  <si>
    <t>claws</t>
  </si>
  <si>
    <t>1d6</t>
  </si>
  <si>
    <t>slashing</t>
  </si>
  <si>
    <t>bite</t>
  </si>
  <si>
    <t>piercing</t>
  </si>
  <si>
    <t>tail slap</t>
  </si>
  <si>
    <t>bludgeoning</t>
  </si>
  <si>
    <t xml:space="preserve">Bonus Feat </t>
  </si>
  <si>
    <t>Choose one additional feat</t>
  </si>
  <si>
    <t>Officer</t>
  </si>
  <si>
    <t>Trained Skills: Knowledge (tactics)</t>
  </si>
  <si>
    <t>Talents: Any one from Commando or Leadership</t>
  </si>
  <si>
    <t>Must belong to an organisation with a military or paramilitary division</t>
  </si>
  <si>
    <t>14 Officer</t>
  </si>
  <si>
    <t>Scholarly Knowledge</t>
  </si>
  <si>
    <t>Corellian powersuit</t>
  </si>
  <si>
    <t>Powered Exoskeleton</t>
  </si>
  <si>
    <t>Internal Generator</t>
  </si>
  <si>
    <t>Corellian powersuits</t>
  </si>
  <si>
    <t>Blaster cannon</t>
  </si>
  <si>
    <t>heavy</t>
  </si>
  <si>
    <t>Area effect</t>
  </si>
  <si>
    <t>blaster cannon</t>
  </si>
  <si>
    <t>blaster cannons</t>
  </si>
  <si>
    <t>Power Generator</t>
  </si>
  <si>
    <t>power generator</t>
  </si>
  <si>
    <t>power generators</t>
  </si>
  <si>
    <t>Breath mask atmosphere canister/filter</t>
  </si>
  <si>
    <t>atmosphere canister</t>
  </si>
  <si>
    <t>atmosphere canisters</t>
  </si>
  <si>
    <t>Phrik Alloy</t>
  </si>
  <si>
    <t>Hair Trigger</t>
  </si>
  <si>
    <t>Once per encounter, reroll damage from Rapid Shot and keep better result</t>
  </si>
  <si>
    <t>Integrated equipment, 2 slots</t>
  </si>
  <si>
    <t>Bonus Trained Skill</t>
  </si>
  <si>
    <t>Choose one additional class skill to train</t>
  </si>
  <si>
    <t>Sith Apprentice</t>
  </si>
  <si>
    <t>Dark Side Score must equal Wisdom score</t>
  </si>
  <si>
    <t>Must be a member of the Sith tradition</t>
  </si>
  <si>
    <t>15 Sith Apprentice</t>
  </si>
  <si>
    <t>Custom armor</t>
  </si>
  <si>
    <t>Blaster carbine</t>
  </si>
  <si>
    <t>blaster carbine</t>
  </si>
  <si>
    <t>blaster carbines</t>
  </si>
  <si>
    <t>power pack</t>
  </si>
  <si>
    <t>power packs</t>
  </si>
  <si>
    <t>Camouflage netting</t>
  </si>
  <si>
    <t>camouflage netting</t>
  </si>
  <si>
    <t>camouflage nettings</t>
  </si>
  <si>
    <t>Prototype Improved Accuracy</t>
  </si>
  <si>
    <t>Prototype Agile Armor</t>
  </si>
  <si>
    <t>Improved Energy Cell</t>
  </si>
  <si>
    <t>Double number of shots from a power pack, improved increased damage</t>
  </si>
  <si>
    <t>Integrated equipment, 5 slots</t>
  </si>
  <si>
    <t>Hive Mind</t>
  </si>
  <si>
    <t>Cannot drown in water</t>
  </si>
  <si>
    <t>Force Disciple</t>
  </si>
  <si>
    <t>Minimum Level: 12th</t>
  </si>
  <si>
    <t>Talents: Any two from Dark Side Devotee, Force Adept or Force Item</t>
  </si>
  <si>
    <t>Force Powers: Farseeing</t>
  </si>
  <si>
    <t>Force Techniques: Any one</t>
  </si>
  <si>
    <t>16 Force Disciple</t>
  </si>
  <si>
    <t>Energy shields, SR 10</t>
  </si>
  <si>
    <t>light energy shields (SR 10)</t>
  </si>
  <si>
    <t>Blaster carbine (no stock)</t>
  </si>
  <si>
    <t>No retractable stock</t>
  </si>
  <si>
    <t>Quiver</t>
  </si>
  <si>
    <t>quiver</t>
  </si>
  <si>
    <t>quivers</t>
  </si>
  <si>
    <t>Cardio implant</t>
  </si>
  <si>
    <t>cardio implants</t>
  </si>
  <si>
    <t>Prototype Improved Damage</t>
  </si>
  <si>
    <t>Prototype Fortifying Armor</t>
  </si>
  <si>
    <t>Ion Charger</t>
  </si>
  <si>
    <t>Adds 2d6 ion damage to a melee weapon</t>
  </si>
  <si>
    <t>Internal Comlink, encrypted short-range</t>
  </si>
  <si>
    <t>encrypted internal comlink</t>
  </si>
  <si>
    <t>Beast</t>
  </si>
  <si>
    <t>Brutal</t>
  </si>
  <si>
    <t>Once per encounter, may treat an opponent's damage threshold as if it were 5 points lower when determining the result of a melee attack</t>
  </si>
  <si>
    <t>Jedi Master</t>
  </si>
  <si>
    <t>Must be a member of the Jedi tradition</t>
  </si>
  <si>
    <t>17 Jedi Master</t>
  </si>
  <si>
    <t>Energy shields, SR 15</t>
  </si>
  <si>
    <t>medium energy shields (SR 15)</t>
  </si>
  <si>
    <t>Blaster carbine, repeating</t>
  </si>
  <si>
    <t>repeating blaster carbine</t>
  </si>
  <si>
    <t>repeating blaster carbines</t>
  </si>
  <si>
    <t>Rifle Clip</t>
  </si>
  <si>
    <t>rifle clip</t>
  </si>
  <si>
    <t>rifle clips</t>
  </si>
  <si>
    <t>Chain (3 meters)</t>
  </si>
  <si>
    <t>chain</t>
  </si>
  <si>
    <t>chains</t>
  </si>
  <si>
    <t>Prototype Selective Fire</t>
  </si>
  <si>
    <t>Prototype Mobile Armor</t>
  </si>
  <si>
    <t>Jenraux Crystal</t>
  </si>
  <si>
    <t>+2 to Block</t>
  </si>
  <si>
    <t>Internal Comlink, encrypted short-range holo</t>
  </si>
  <si>
    <t>encrypted internal comlink with holo capability</t>
  </si>
  <si>
    <t>Pilot</t>
  </si>
  <si>
    <t>Camouflage</t>
  </si>
  <si>
    <t>Sith Lord</t>
  </si>
  <si>
    <t>18 Sith Lord</t>
  </si>
  <si>
    <t>Energy shields, SR 20</t>
  </si>
  <si>
    <t>medium energy shields (SR 20)</t>
  </si>
  <si>
    <t>Blaster pistol</t>
  </si>
  <si>
    <t>blaster pistol</t>
  </si>
  <si>
    <t>blaster pistols</t>
  </si>
  <si>
    <t>Special Energy Cell</t>
  </si>
  <si>
    <t>special energy cell</t>
  </si>
  <si>
    <t>special energy cells</t>
  </si>
  <si>
    <t>Code cylinder</t>
  </si>
  <si>
    <t>code cylinder</t>
  </si>
  <si>
    <t>code cylinders</t>
  </si>
  <si>
    <t>Prototype Superior Accuracy</t>
  </si>
  <si>
    <t>Prototype Protective Armor</t>
  </si>
  <si>
    <t>Luxum Crystal</t>
  </si>
  <si>
    <t>Internal Comlink, encrypted short-range video</t>
  </si>
  <si>
    <t>encrypted internal comlink with video capability</t>
  </si>
  <si>
    <t>Ride</t>
  </si>
  <si>
    <t>Cathar Instincts</t>
  </si>
  <si>
    <t>Climb and Stealth are class skills</t>
  </si>
  <si>
    <t>19 Beast</t>
  </si>
  <si>
    <t>Build Lightsaber</t>
  </si>
  <si>
    <t>Energy shields, SR 25</t>
  </si>
  <si>
    <t>heavy energy shields (SR 25)</t>
  </si>
  <si>
    <t>Blaster pistol, heavy</t>
  </si>
  <si>
    <t>heavy blaster pistol</t>
  </si>
  <si>
    <t>heavy blaster pistols</t>
  </si>
  <si>
    <t>Special Explosive Canister</t>
  </si>
  <si>
    <t>special explosive canister</t>
  </si>
  <si>
    <t>special explosive canisters</t>
  </si>
  <si>
    <t>Combat implant</t>
  </si>
  <si>
    <t>combat implants</t>
  </si>
  <si>
    <t>Prototype Superior Capacity</t>
  </si>
  <si>
    <t>Prototype Reinforced Armor</t>
  </si>
  <si>
    <t>Miniaturized</t>
  </si>
  <si>
    <t>internal comlink</t>
  </si>
  <si>
    <t>Bith</t>
  </si>
  <si>
    <t>,TotG,</t>
  </si>
  <si>
    <t>Evolved Intellect</t>
  </si>
  <si>
    <t>Meditative Trance</t>
  </si>
  <si>
    <t>Heightened Awareness</t>
  </si>
  <si>
    <t>Executive Leadership</t>
  </si>
  <si>
    <t>Energy shields, SR 30</t>
  </si>
  <si>
    <t>heavy energy shields (SR 30)</t>
  </si>
  <si>
    <t>Blaster pistol, hold-out</t>
  </si>
  <si>
    <t>I</t>
  </si>
  <si>
    <t>+5 Stealth to conceal</t>
  </si>
  <si>
    <t>hold-out blaster</t>
  </si>
  <si>
    <t>hold-out blasters</t>
  </si>
  <si>
    <t>Spraymist Canister</t>
  </si>
  <si>
    <t>spraymist canister</t>
  </si>
  <si>
    <t>spraymist canisters</t>
  </si>
  <si>
    <t>Comlink, encrypted long-range</t>
  </si>
  <si>
    <t>encrypted long-range comlink</t>
  </si>
  <si>
    <t>encrypted long-range comlinks</t>
  </si>
  <si>
    <t>Prototype Superior Damage</t>
  </si>
  <si>
    <t>Prototype Superior Agile Armor</t>
  </si>
  <si>
    <t>Missile Load</t>
  </si>
  <si>
    <t>Convert grenades to missile ordinance</t>
  </si>
  <si>
    <t>Internal Comlink, short-range holo</t>
  </si>
  <si>
    <t>internal comlink with holo capability</t>
  </si>
  <si>
    <t>Survival</t>
  </si>
  <si>
    <t>Blood Carver</t>
  </si>
  <si>
    <t>Batorese</t>
  </si>
  <si>
    <t>Deathstrike</t>
  </si>
  <si>
    <t>Climber's Heritage</t>
  </si>
  <si>
    <t>Climb is a class skill</t>
  </si>
  <si>
    <t>Unflinching</t>
  </si>
  <si>
    <t>Energy shields, SR 5</t>
  </si>
  <si>
    <t>light energy shields (SR 5)</t>
  </si>
  <si>
    <t>Blaster pistol, sporting</t>
  </si>
  <si>
    <t>sporting blaster pistol</t>
  </si>
  <si>
    <t>sporting blaster pistols</t>
  </si>
  <si>
    <t>Comlink, encrypted long-range holo</t>
  </si>
  <si>
    <t>encrypted long-range comlink with holo capability</t>
  </si>
  <si>
    <t>encrypted long-range comlinks with holo capabilities</t>
  </si>
  <si>
    <t>Prototype Superior Range</t>
  </si>
  <si>
    <t>Prototype Superior Fortifying Armor</t>
  </si>
  <si>
    <t>Neutronium Reinforcement</t>
  </si>
  <si>
    <t>Weapon recieves +5 DR, +10 hit points and 100% of the weight</t>
  </si>
  <si>
    <t>Internal Comlink, short-range video</t>
  </si>
  <si>
    <t>internal comlink with video capability</t>
  </si>
  <si>
    <t>Swim</t>
  </si>
  <si>
    <t>Bothese</t>
  </si>
  <si>
    <t>Clone</t>
  </si>
  <si>
    <t>Jedi Healer</t>
  </si>
  <si>
    <t>Met</t>
  </si>
  <si>
    <t>Master of Movement</t>
  </si>
  <si>
    <t>Fiber armor</t>
  </si>
  <si>
    <t>Gain DR 10 once per encounter against a ranged attack</t>
  </si>
  <si>
    <t>fiber armor</t>
  </si>
  <si>
    <t>suits of fiber armor</t>
  </si>
  <si>
    <t>Blaster pistol, Theed Arms S-5</t>
  </si>
  <si>
    <t>S-5 heavy blaster pistol (ascension gun)</t>
  </si>
  <si>
    <t>S-5 heavy blaster pistols (ascension guns)</t>
  </si>
  <si>
    <t>Comlink, encrypted long-range video</t>
  </si>
  <si>
    <t>encrypted long-range comlink with video capability</t>
  </si>
  <si>
    <t>encrypted long-range comlinks with video capabilities</t>
  </si>
  <si>
    <t>Quick Draw</t>
  </si>
  <si>
    <t>Prototype Superior Protective Armor</t>
  </si>
  <si>
    <t>Nextor Crystal</t>
  </si>
  <si>
    <t>internal generator</t>
  </si>
  <si>
    <t>Treat Injury</t>
  </si>
  <si>
    <t>Caamasi</t>
  </si>
  <si>
    <t>Pacifism</t>
  </si>
  <si>
    <t>Memory Sharing</t>
  </si>
  <si>
    <t>Cold Blooded</t>
  </si>
  <si>
    <t>-2 to Fortitude Defense against extreme cold, +5 against extreme heat</t>
  </si>
  <si>
    <t>Resources</t>
  </si>
  <si>
    <t>Flight suit</t>
  </si>
  <si>
    <t>flight suit</t>
  </si>
  <si>
    <t>flight suits</t>
  </si>
  <si>
    <t>Blaster rifle</t>
  </si>
  <si>
    <t>blaster rifle</t>
  </si>
  <si>
    <t>blaster rifles</t>
  </si>
  <si>
    <t>Comlink, encrypted miniaturized long-range</t>
  </si>
  <si>
    <t>encrypted comlink (miniaturized)</t>
  </si>
  <si>
    <t>encrypted comlinks (miniaturized)</t>
  </si>
  <si>
    <t>Rakatan</t>
  </si>
  <si>
    <t>Increase damage by one die step, +1 to attack</t>
  </si>
  <si>
    <t>DR 10 (ion damage only, from armor)</t>
  </si>
  <si>
    <t>Opila Crystal</t>
  </si>
  <si>
    <t>jet pack</t>
  </si>
  <si>
    <t>Use Computer</t>
  </si>
  <si>
    <t>Cold Resistance</t>
  </si>
  <si>
    <t>+5 Fortitude Defense against extreme cold</t>
  </si>
  <si>
    <t>Jedi Shadow</t>
  </si>
  <si>
    <t>Targeted Suspect</t>
  </si>
  <si>
    <t>Flight suit, armored</t>
  </si>
  <si>
    <t>armored flight suit</t>
  </si>
  <si>
    <t>armored flight suits</t>
  </si>
  <si>
    <t>Blaster rifle (no stock)</t>
  </si>
  <si>
    <t>Comlink, encrypted miniaturized long-range holo</t>
  </si>
  <si>
    <t>encrypted comlink (miniaturized) with holo capability</t>
  </si>
  <si>
    <t>encrypted comlinks (miniaturized) with holo capabilities</t>
  </si>
  <si>
    <t>Sith Alchemical</t>
  </si>
  <si>
    <t>Retain DR against lightsabers, treat as a lightsaber for Block, Deflect and Redirect Shot, spend a Force Point to gain damage bonus equal to Dark Side Score</t>
  </si>
  <si>
    <t>Overload Switch</t>
  </si>
  <si>
    <t>Weapon deals double normal dice to 2-square radius and explodes</t>
  </si>
  <si>
    <t>Jet Pack, Arakyd Hush-About</t>
  </si>
  <si>
    <t>Hush-about jet pack</t>
  </si>
  <si>
    <t>Arakyd Hush-About jet pack</t>
  </si>
  <si>
    <t>Use the Force</t>
  </si>
  <si>
    <t>Cathar</t>
  </si>
  <si>
    <t>Catharese</t>
  </si>
  <si>
    <t>Reactive Claw</t>
  </si>
  <si>
    <t>Sapience</t>
  </si>
  <si>
    <t>Flight suit, padded</t>
  </si>
  <si>
    <t>padded flight suit</t>
  </si>
  <si>
    <t>padded flight suits</t>
  </si>
  <si>
    <t>Blaster rifle, assault</t>
  </si>
  <si>
    <t>assault blaster rifle</t>
  </si>
  <si>
    <t>assault blaster rifles</t>
  </si>
  <si>
    <t>Comlink, encrypted miniaturized long-range video</t>
  </si>
  <si>
    <t>encrypted comlink (miniaturized) with video capability</t>
  </si>
  <si>
    <t>encrypted comlinks (miniaturized) with video capabilities</t>
  </si>
  <si>
    <t>Phond Crystal</t>
  </si>
  <si>
    <t>+1 die damage against targets with shields</t>
  </si>
  <si>
    <t>Jet Pack, Arakyd Hush-About, miniaturized</t>
  </si>
  <si>
    <t>miniaturized Hush-About jet pack</t>
  </si>
  <si>
    <t>Arakyd Hush-About jet pack (miniaturized)</t>
  </si>
  <si>
    <t>Celegian</t>
  </si>
  <si>
    <t>Cyanogen Breather</t>
  </si>
  <si>
    <t>Independent Spirit</t>
  </si>
  <si>
    <t>GTU AV-1C combat armor</t>
  </si>
  <si>
    <t>Jet Pack, repulsorlift</t>
  </si>
  <si>
    <t>suits of GTU AV-1C combat armor</t>
  </si>
  <si>
    <t>Blaster rifle, commando special</t>
  </si>
  <si>
    <t>commando special rifle</t>
  </si>
  <si>
    <t>commando special rifles</t>
  </si>
  <si>
    <t>Comlink, encrypted short-range</t>
  </si>
  <si>
    <t>encrypted comlink</t>
  </si>
  <si>
    <t>encrypted comlinks</t>
  </si>
  <si>
    <t>Pulse Charger</t>
  </si>
  <si>
    <t>-1 penalty to attack but +1 damage per dice</t>
  </si>
  <si>
    <t>Jet Pack, miniaturized</t>
  </si>
  <si>
    <t>miniaturized jet pack</t>
  </si>
  <si>
    <t>jet pack (miniaturized)</t>
  </si>
  <si>
    <t>Cerean</t>
  </si>
  <si>
    <t>Intuitive Initiative</t>
  </si>
  <si>
    <t>Sniper</t>
  </si>
  <si>
    <t>Unarmed Stun</t>
  </si>
  <si>
    <t>GTU AV-1S scout armor</t>
  </si>
  <si>
    <t>Jet Pack, reduced power repulsorlift</t>
  </si>
  <si>
    <t>suits of GTU AV-1S scout armor</t>
  </si>
  <si>
    <t>Blaster rifle, heavy</t>
  </si>
  <si>
    <t>heavy blaster rifle</t>
  </si>
  <si>
    <t>heavy blaster rifles</t>
  </si>
  <si>
    <t>Comlink, encrypted short-range holo</t>
  </si>
  <si>
    <t>encrypted comlink with holo capability</t>
  </si>
  <si>
    <t>encrypted comlinks with holo capabilities</t>
  </si>
  <si>
    <t>Rangefinder</t>
  </si>
  <si>
    <t>Take no range penalty to attack a target at short range</t>
  </si>
  <si>
    <t>reduced power repulsorlift jet pack</t>
  </si>
  <si>
    <t>reduced power advanced repulsorlift system</t>
  </si>
  <si>
    <t>Confusion</t>
  </si>
  <si>
    <t>Once per encounter as a standard action, make a Deception check against the Will Defense of a target within 6 squares to stop them threatening any squares until your next turn</t>
  </si>
  <si>
    <t>Corporate Agent</t>
  </si>
  <si>
    <t>Trained Skills: Gather Information, Knowledge (bureacracy)</t>
  </si>
  <si>
    <t>Feats: Skill Focus (Knowledge [bureacracy])</t>
  </si>
  <si>
    <t>Must be employed by a major interstellar corporation</t>
  </si>
  <si>
    <t>28 Corporate Agent</t>
  </si>
  <si>
    <t>corporate agent</t>
  </si>
  <si>
    <t>Lead Infiltrator</t>
  </si>
  <si>
    <t>Half-vest</t>
  </si>
  <si>
    <t>1/encounter negate extra damage from Sneak Attack or similar abilities</t>
  </si>
  <si>
    <t>half-vest</t>
  </si>
  <si>
    <t>half-vests</t>
  </si>
  <si>
    <t>Blaster rifle, sniper</t>
  </si>
  <si>
    <t>sniper rifle</t>
  </si>
  <si>
    <t>Comlink, encrypted short-range video</t>
  </si>
  <si>
    <t>encrypted comlink with video capability</t>
  </si>
  <si>
    <t>encrypted comlinks with video capabilities</t>
  </si>
  <si>
    <t>Rapid Recycler</t>
  </si>
  <si>
    <t>Allows a single-fire weapon to have an autofire mode</t>
  </si>
  <si>
    <t>repulsorlift jet pack</t>
  </si>
  <si>
    <t>advanced repulsorlift system</t>
  </si>
  <si>
    <t>Chagrian</t>
  </si>
  <si>
    <t>Chagri</t>
  </si>
  <si>
    <t>Low-Light Vision</t>
  </si>
  <si>
    <t>Connections</t>
  </si>
  <si>
    <t>Forgo credit cost to learn secret information with a Gather Information check; can try again after failure, but must pay the regular price</t>
  </si>
  <si>
    <t>Gladiator</t>
  </si>
  <si>
    <t>Feats: Improved Damage Threshold, Weapon Proficiency (advanced melee weapons)</t>
  </si>
  <si>
    <t>29 Gladiator</t>
  </si>
  <si>
    <t>gladiator</t>
  </si>
  <si>
    <t>Veteran Privateer</t>
  </si>
  <si>
    <t>Krail 210 personal armor</t>
  </si>
  <si>
    <t>+2 to Strength checks to lift, drag or pull, liquid cable dispenser</t>
  </si>
  <si>
    <t>suits of Krail 210 personal armor</t>
  </si>
  <si>
    <t>Blaster rifle, sniper (SaV)</t>
  </si>
  <si>
    <t>sniper blaster rifle</t>
  </si>
  <si>
    <t>sniper blaster rifles</t>
  </si>
  <si>
    <t>Comlink, long-range</t>
  </si>
  <si>
    <t>long-range comlink</t>
  </si>
  <si>
    <t>long-range comlinks</t>
  </si>
  <si>
    <t>Recognition System</t>
  </si>
  <si>
    <t>Jump Servos</t>
  </si>
  <si>
    <t>jump servos</t>
  </si>
  <si>
    <t>Web</t>
  </si>
  <si>
    <t>Melee Duelist</t>
  </si>
  <si>
    <t>Feats: Melee Defense, Rapid Strike, Weapon Focus with any melee weapon</t>
  </si>
  <si>
    <t>30 Melee Duelist</t>
  </si>
  <si>
    <t>melee duelist</t>
  </si>
  <si>
    <t>Medical Secret</t>
  </si>
  <si>
    <t>Mandalorian combat suit</t>
  </si>
  <si>
    <t>suits of Mandalorian combat suit</t>
  </si>
  <si>
    <t>Blaster rifle, sporting</t>
  </si>
  <si>
    <t>sporting blaster rifle</t>
  </si>
  <si>
    <t>sporting blaster rifles</t>
  </si>
  <si>
    <t>Comlink, long-range holo</t>
  </si>
  <si>
    <t>Remote Activation</t>
  </si>
  <si>
    <t>Mesh Underlay</t>
  </si>
  <si>
    <t>mesh underlay</t>
  </si>
  <si>
    <t>+5 damage threshold against stun</t>
  </si>
  <si>
    <t>Survival Instinct</t>
  </si>
  <si>
    <t>Cooperative</t>
  </si>
  <si>
    <t>Automatically succeeds when attempting to aid another on a skill check for an adjacent and comprehending ally</t>
  </si>
  <si>
    <t>Enforcer</t>
  </si>
  <si>
    <t>Trained Skills: Gather Information, Perception</t>
  </si>
  <si>
    <t>Talents: Any one from Survivor</t>
  </si>
  <si>
    <t>Must belong to a law enforcement or similar security organization</t>
  </si>
  <si>
    <t>31 Enforcer</t>
  </si>
  <si>
    <t>enforcer</t>
  </si>
  <si>
    <t>Unexpected Results</t>
  </si>
  <si>
    <t>Mandalorian Neo-Crusader assault armor</t>
  </si>
  <si>
    <t>Neo-Crusader assault armor</t>
  </si>
  <si>
    <t>suits of Neo-Crusader assault armor</t>
  </si>
  <si>
    <t>Blaster, E-web repeating</t>
  </si>
  <si>
    <t>h</t>
  </si>
  <si>
    <t>Crew weapon, Tripod</t>
  </si>
  <si>
    <t>E-web repeating blaster</t>
  </si>
  <si>
    <t>E-web repeating blasters</t>
  </si>
  <si>
    <t>Comlink, long-range video</t>
  </si>
  <si>
    <t>Retractable Stock</t>
  </si>
  <si>
    <t>+2 to Strength</t>
  </si>
  <si>
    <t>Cooperative Spirit</t>
  </si>
  <si>
    <t>Can aid another, or be aided, as a swift action on adjacent opponents with Climb, Endurance, Gather Information, Jump, Knowledge, Mechanics, Pilot, Ride, Survival, Swim, Treat Injury, or Use Computer checks</t>
  </si>
  <si>
    <t>Independent Droid</t>
  </si>
  <si>
    <t>Minimum Level: 3rd</t>
  </si>
  <si>
    <t>Trained Skills: Use Computer</t>
  </si>
  <si>
    <t>Sytem: Heuristic Processor</t>
  </si>
  <si>
    <t>Special: Droids only</t>
  </si>
  <si>
    <t>32 Independent Droid</t>
  </si>
  <si>
    <t>independent droid</t>
  </si>
  <si>
    <t>Destructive</t>
  </si>
  <si>
    <t>Mandalorian Neo-Crusader battle armor</t>
  </si>
  <si>
    <t>Mandalorian battle armor</t>
  </si>
  <si>
    <t>suits of Mandalorian battle armor</t>
  </si>
  <si>
    <t>Blaster, heavy repeating</t>
  </si>
  <si>
    <t>Optional generator</t>
  </si>
  <si>
    <t>heavy repeating blaster</t>
  </si>
  <si>
    <t>heavy repeating blasters</t>
  </si>
  <si>
    <t>Comlink, miniaturized long-range</t>
  </si>
  <si>
    <t>comlink (miniaturized)</t>
  </si>
  <si>
    <t>comlinks (miniaturized)</t>
  </si>
  <si>
    <t>Rubat Crystal</t>
  </si>
  <si>
    <t>Radiation Shielding</t>
  </si>
  <si>
    <t>+10 to Fortitude Defense against radiation</t>
  </si>
  <si>
    <t>radiation shielding</t>
  </si>
  <si>
    <t>Chiss</t>
  </si>
  <si>
    <t>Cheunh</t>
  </si>
  <si>
    <t>Skill Focus</t>
  </si>
  <si>
    <t>Infiltrator</t>
  </si>
  <si>
    <t>Trained Skills: Perception, Stealth</t>
  </si>
  <si>
    <t>Feats: Skill Focus (Stealth)</t>
  </si>
  <si>
    <t>Talents: Any two from Camouflage or Spy</t>
  </si>
  <si>
    <t>33 Infiltrator</t>
  </si>
  <si>
    <t>infiltrator</t>
  </si>
  <si>
    <t>Quick Sabotage</t>
  </si>
  <si>
    <t>Mandalorian Neo-Crusader light armor</t>
  </si>
  <si>
    <t>Neo-Crusader light armor</t>
  </si>
  <si>
    <t>suits of Neo-Crusader light armor</t>
  </si>
  <si>
    <t>Blaster, light repeating</t>
  </si>
  <si>
    <t>light repeating blaster</t>
  </si>
  <si>
    <t>light repeating blasters</t>
  </si>
  <si>
    <t>Comlink, miniaturized long-range holo</t>
  </si>
  <si>
    <t>comlink (miniaturized) with holo capability</t>
  </si>
  <si>
    <t>comlinks (miniaturized) with holo capabilities</t>
  </si>
  <si>
    <t>Sapith Crystal</t>
  </si>
  <si>
    <t>rangefinder</t>
  </si>
  <si>
    <t>Chistori</t>
  </si>
  <si>
    <t>Rage</t>
  </si>
  <si>
    <t>Ignore concealment from darkness; cannot perceive colors in total darkness</t>
  </si>
  <si>
    <t>Master Privateer</t>
  </si>
  <si>
    <t>,TFU,CWCS,</t>
  </si>
  <si>
    <t>Trained Skills: Deception, Pilot</t>
  </si>
  <si>
    <t>Talents: Any two from Misfortune, Smuggler or Spacer</t>
  </si>
  <si>
    <t>34 Master Privateer</t>
  </si>
  <si>
    <t>master privateer</t>
  </si>
  <si>
    <t>Master Saboteur</t>
  </si>
  <si>
    <t>Matrix armor</t>
  </si>
  <si>
    <t>Gain DR 30 once per encounter against a ranged attack</t>
  </si>
  <si>
    <t>matrix armor</t>
  </si>
  <si>
    <t>suits of matrix armor</t>
  </si>
  <si>
    <t>Blaster, subrepeating</t>
  </si>
  <si>
    <t>subrepeating blaster</t>
  </si>
  <si>
    <t>subrepeating blasters</t>
  </si>
  <si>
    <t>Comlink, miniaturized long-range video</t>
  </si>
  <si>
    <t>comlink (miniaturized) with video capability</t>
  </si>
  <si>
    <t>comlinks (miniaturized) with video capabilities</t>
  </si>
  <si>
    <t>Secret Compartment</t>
  </si>
  <si>
    <t>Ready Harness</t>
  </si>
  <si>
    <t>ready harness</t>
  </si>
  <si>
    <t>Clawdite</t>
  </si>
  <si>
    <t>Shapeshift</t>
  </si>
  <si>
    <t>Startle</t>
  </si>
  <si>
    <t>Any time a melee attack is made against an opponent that is denied its Dexterity bonus to Reflex Defense, the Blood Carver's attack, if successful, deals +1 die of damage</t>
  </si>
  <si>
    <t>Medic</t>
  </si>
  <si>
    <t>Trained Skills: Knowledge (life sciences), Treat Injury</t>
  </si>
  <si>
    <t>Feats: Surgical Expertise</t>
  </si>
  <si>
    <t>35 Medic</t>
  </si>
  <si>
    <t>medic</t>
  </si>
  <si>
    <t>Mark</t>
  </si>
  <si>
    <t>Mesh armor</t>
  </si>
  <si>
    <t>Gain DR 20 once per encounter against a ranged attack</t>
  </si>
  <si>
    <t>mesh armor</t>
  </si>
  <si>
    <t>suits of mesh armor</t>
  </si>
  <si>
    <t>Bow</t>
  </si>
  <si>
    <t>bow</t>
  </si>
  <si>
    <t>bows</t>
  </si>
  <si>
    <t>Comlink, short-range</t>
  </si>
  <si>
    <t>comlink</t>
  </si>
  <si>
    <t>comlinks</t>
  </si>
  <si>
    <t>Sigil Crystal</t>
  </si>
  <si>
    <t>Repulsorlift</t>
  </si>
  <si>
    <t>repulsorlift</t>
  </si>
  <si>
    <t>Deceptive</t>
  </si>
  <si>
    <t>May choose to reroll any Deception check, but the result of the reroll must be accepted even if it is worse</t>
  </si>
  <si>
    <t>Saboteur</t>
  </si>
  <si>
    <t>Trained Skills: Deception, Mechanics, Use Computer</t>
  </si>
  <si>
    <t>36 Saboteur</t>
  </si>
  <si>
    <t>saboteur</t>
  </si>
  <si>
    <t>Score</t>
  </si>
  <si>
    <t>Republic combat armor</t>
  </si>
  <si>
    <t>suits of Republic combat armor</t>
  </si>
  <si>
    <t>Bowcaster</t>
  </si>
  <si>
    <t>bowcaster</t>
  </si>
  <si>
    <t>Energy and Piercing</t>
  </si>
  <si>
    <t>bowcasters</t>
  </si>
  <si>
    <t>Comlink, short-range holo</t>
  </si>
  <si>
    <t>Silverplate</t>
  </si>
  <si>
    <t>+2 DR to item</t>
  </si>
  <si>
    <t>Shadowskin</t>
  </si>
  <si>
    <t>+5 Stealth bonus</t>
  </si>
  <si>
    <t>Clone Hero</t>
  </si>
  <si>
    <t>Assassin</t>
  </si>
  <si>
    <t>Trained Skills: Stealth</t>
  </si>
  <si>
    <t>Feat: Sniper</t>
  </si>
  <si>
    <t>Talents: Dastardly Strike</t>
  </si>
  <si>
    <t>37 Assassin</t>
  </si>
  <si>
    <t>assassin</t>
  </si>
  <si>
    <t>Swindle</t>
  </si>
  <si>
    <t>Republic heavy armor</t>
  </si>
  <si>
    <t>DR 2 against energy, low-light vision</t>
  </si>
  <si>
    <t>Bryar pistol</t>
  </si>
  <si>
    <t>Bryar pistols</t>
  </si>
  <si>
    <t>Comlink, short-range video</t>
  </si>
  <si>
    <t>Slinker</t>
  </si>
  <si>
    <t>Ignore penalties from cover, do not need to fire in a straight line</t>
  </si>
  <si>
    <t>Shadowskin, Reflec</t>
  </si>
  <si>
    <t>+10 Stealth bonus</t>
  </si>
  <si>
    <t>Codru-Ji</t>
  </si>
  <si>
    <t>Codruese</t>
  </si>
  <si>
    <t>Dual Weapon Mastery I</t>
  </si>
  <si>
    <t>Charlatan</t>
  </si>
  <si>
    <t>Talents: Any one from the Disgrace, Influence or Lineage talent trees</t>
  </si>
  <si>
    <t>38 Charlatan</t>
  </si>
  <si>
    <t>charlatan</t>
  </si>
  <si>
    <t>Fugitive</t>
  </si>
  <si>
    <t>Republic light armor</t>
  </si>
  <si>
    <t>suits of Republic light armor</t>
  </si>
  <si>
    <t>Bryar rifle</t>
  </si>
  <si>
    <t>Bryar rifles</t>
  </si>
  <si>
    <t>Sniper Switch</t>
  </si>
  <si>
    <t>Allows autofire weapon to have single-fire mode</t>
  </si>
  <si>
    <t>Shield Generator, SR 10</t>
  </si>
  <si>
    <t>SR 10</t>
  </si>
  <si>
    <t>Force Resistance</t>
  </si>
  <si>
    <t>Dependable Worker</t>
  </si>
  <si>
    <t>May treat Climb, Endurance, Gather Information, Jump, Knowledge, Mechanics, Pilot, Ride, Survival, Swim, Treat Injury, or Use Computer checks as if taking 10 once per encounter after rolling</t>
  </si>
  <si>
    <t>Outlaw</t>
  </si>
  <si>
    <t>Trained Skills: Stealth, Survival</t>
  </si>
  <si>
    <t>Talents: Any one from the Disgrace or Misfortune talent trees</t>
  </si>
  <si>
    <t>You must be wanted by the authorities in at least one star system</t>
  </si>
  <si>
    <t>39 Outlaw</t>
  </si>
  <si>
    <t>outlaw</t>
  </si>
  <si>
    <t>Networked Mind</t>
  </si>
  <si>
    <t>sandtrooper armor</t>
  </si>
  <si>
    <t>suits of sandtrooper armor</t>
  </si>
  <si>
    <t>Carbonite rifle</t>
  </si>
  <si>
    <t>Only</t>
  </si>
  <si>
    <t>Immobilising</t>
  </si>
  <si>
    <t>Carbonite cartidge</t>
  </si>
  <si>
    <t>carbonite rifle</t>
  </si>
  <si>
    <t>carbonite rifles</t>
  </si>
  <si>
    <t>Computer spike</t>
  </si>
  <si>
    <t>computer spike</t>
  </si>
  <si>
    <t>computer spikes</t>
  </si>
  <si>
    <t>Solari Crystal</t>
  </si>
  <si>
    <t>+2 to Deflect</t>
  </si>
  <si>
    <t>Shield Generator, SR 5</t>
  </si>
  <si>
    <t>SR 5</t>
  </si>
  <si>
    <t>Droid Commander</t>
  </si>
  <si>
    <t>Trained Skills: Knowledge (tactics), Use Computer</t>
  </si>
  <si>
    <t>Talents: Any one from the Leadership or Commando talent trees</t>
  </si>
  <si>
    <t>40 Droid Commander</t>
  </si>
  <si>
    <t>droid commander</t>
  </si>
  <si>
    <t>Field-Created Weapon</t>
  </si>
  <si>
    <t>Scout Trooper armor</t>
  </si>
  <si>
    <t>scout trooper armor</t>
  </si>
  <si>
    <t>suits of scout trooper armor</t>
  </si>
  <si>
    <t>Cesta</t>
  </si>
  <si>
    <t>cesta</t>
  </si>
  <si>
    <t>cestas</t>
  </si>
  <si>
    <t>Cortosis Gauntlet</t>
  </si>
  <si>
    <t>cortosis gauntlet</t>
  </si>
  <si>
    <t>cortosis gauntlets</t>
  </si>
  <si>
    <t>Spring Loaded</t>
  </si>
  <si>
    <t>Quick Draw as free action</t>
  </si>
  <si>
    <t>Shockweb</t>
  </si>
  <si>
    <t>shockweb</t>
  </si>
  <si>
    <t>Desert Dweller</t>
  </si>
  <si>
    <t>When making Survival checks to resist the effects of extreme heat, reroll the check and keep the better result</t>
  </si>
  <si>
    <t>Military Engineer</t>
  </si>
  <si>
    <t>Trained Skills: Mechanics, Use Computer</t>
  </si>
  <si>
    <t>41 Military Engineer</t>
  </si>
  <si>
    <t>military engineer</t>
  </si>
  <si>
    <t>Surprise Attack</t>
  </si>
  <si>
    <t>Shadow trooper armor</t>
  </si>
  <si>
    <t>Darkvision, immune to detection</t>
  </si>
  <si>
    <t>shadow trooper armor</t>
  </si>
  <si>
    <t>suits of shadow trooper armor</t>
  </si>
  <si>
    <t>Club/baton</t>
  </si>
  <si>
    <t>club</t>
  </si>
  <si>
    <t>clubs</t>
  </si>
  <si>
    <t>Credit chip</t>
  </si>
  <si>
    <t>credit chip</t>
  </si>
  <si>
    <t>credit chips</t>
  </si>
  <si>
    <t>Storage Capacity</t>
  </si>
  <si>
    <t>silverplated</t>
  </si>
  <si>
    <t>Vanguard</t>
  </si>
  <si>
    <t>Talents: Any two from Camouflage or Commando</t>
  </si>
  <si>
    <t>42 Vanguard</t>
  </si>
  <si>
    <t>vanguard</t>
  </si>
  <si>
    <t>Shadowsuit</t>
  </si>
  <si>
    <t>+5 to Stealth checks in concealment</t>
  </si>
  <si>
    <t>shadowsuit</t>
  </si>
  <si>
    <t>shadowsuits</t>
  </si>
  <si>
    <t>Combat gloves</t>
  </si>
  <si>
    <t>U</t>
  </si>
  <si>
    <t>u</t>
  </si>
  <si>
    <t>Can't be disarmed</t>
  </si>
  <si>
    <t>combat gloves</t>
  </si>
  <si>
    <t>Cybernetic prosthesis</t>
  </si>
  <si>
    <t>cybernetic prosthesis</t>
  </si>
  <si>
    <t>cybernetic prostheses</t>
  </si>
  <si>
    <t>Targeting Scope</t>
  </si>
  <si>
    <t>,SECR</t>
  </si>
  <si>
    <t>10-hours life support</t>
  </si>
  <si>
    <t>May reroll a failed skill check with a trained skill once per encounter, but must take the second result</t>
  </si>
  <si>
    <t>Shadowsuit (CWCS)</t>
  </si>
  <si>
    <t>Custom 1</t>
  </si>
  <si>
    <t>Datacards, blank [10]</t>
  </si>
  <si>
    <t>blank datacards</t>
  </si>
  <si>
    <t>Targeting Scope, Low-Light</t>
  </si>
  <si>
    <t>24-hours life support</t>
  </si>
  <si>
    <t>Devaronian</t>
  </si>
  <si>
    <t>Deveronese</t>
  </si>
  <si>
    <t>Natural Curiosity</t>
  </si>
  <si>
    <t>Driven</t>
  </si>
  <si>
    <t>+5 species bonus to Will Defense against mind-affecting effects</t>
  </si>
  <si>
    <t>Sith trooper armor</t>
  </si>
  <si>
    <t>suits of Sith trooper armor</t>
  </si>
  <si>
    <t>Custom 2</t>
  </si>
  <si>
    <t>Datapad</t>
  </si>
  <si>
    <t>datapad</t>
  </si>
  <si>
    <t>datapads</t>
  </si>
  <si>
    <t>Tremor Cell</t>
  </si>
  <si>
    <t>Weapon Mount</t>
  </si>
  <si>
    <t>weapon mount</t>
  </si>
  <si>
    <t>mount weapons</t>
  </si>
  <si>
    <t>Draethos</t>
  </si>
  <si>
    <t>Natural Telepath</t>
  </si>
  <si>
    <t>Weapon Proficiency (advanced melee)</t>
  </si>
  <si>
    <t>Droid Traits</t>
  </si>
  <si>
    <t>Behavioral Inhibitors, Ion Damage Vulnerability, Maintenance, Memory, Nonliving, Repair, Shut Down, Skills, Systems (see SECR page 187)</t>
  </si>
  <si>
    <t>snowtrooper armor</t>
  </si>
  <si>
    <t>suits of snowtrooper armor</t>
  </si>
  <si>
    <t>Custom 3</t>
  </si>
  <si>
    <t>Datapad, basic</t>
  </si>
  <si>
    <t>basic datapad</t>
  </si>
  <si>
    <t>basic datapads</t>
  </si>
  <si>
    <t>Upari Crystal</t>
  </si>
  <si>
    <t>Weapon Mount, concealed</t>
  </si>
  <si>
    <t>concealed weapon mount</t>
  </si>
  <si>
    <t>concealed weapon mounts</t>
  </si>
  <si>
    <t>Space Suit</t>
  </si>
  <si>
    <t>space suit</t>
  </si>
  <si>
    <t>space suits</t>
  </si>
  <si>
    <t>Custom 4</t>
  </si>
  <si>
    <t>Duty Bound</t>
  </si>
  <si>
    <t>Once per encounter upon receiving a morale bonus, gain bonus hit points equal to 4 x character level until the end of the encounter</t>
  </si>
  <si>
    <t>Spacesuit, armored</t>
  </si>
  <si>
    <t>armored spacesuit</t>
  </si>
  <si>
    <t>armored spacesuits</t>
  </si>
  <si>
    <t>Custom 5</t>
  </si>
  <si>
    <t>Droid caller</t>
  </si>
  <si>
    <t>droid caller</t>
  </si>
  <si>
    <t>droid callers</t>
  </si>
  <si>
    <t>Droid</t>
  </si>
  <si>
    <t>Binary</t>
  </si>
  <si>
    <t>stormtrooper armor</t>
  </si>
  <si>
    <t>suits of stormtrooper armor</t>
  </si>
  <si>
    <t>Custom 6</t>
  </si>
  <si>
    <t>Electrobinoculars</t>
  </si>
  <si>
    <t>electrobinoculars</t>
  </si>
  <si>
    <t>Dug</t>
  </si>
  <si>
    <t>Athletic</t>
  </si>
  <si>
    <t>Thinsuit</t>
  </si>
  <si>
    <t>1-hour life support, +5 bonus to Fortitude defense to resist extreme environments</t>
  </si>
  <si>
    <t>thinsuit</t>
  </si>
  <si>
    <t>thinsuits</t>
  </si>
  <si>
    <t>Czerka Adjudicator</t>
  </si>
  <si>
    <t>Czerka Adjudicators</t>
  </si>
  <si>
    <t>Energy cell</t>
  </si>
  <si>
    <t>Duros</t>
  </si>
  <si>
    <t>Durese</t>
  </si>
  <si>
    <t>Expert Pilot</t>
  </si>
  <si>
    <t>Tracker utility vest</t>
  </si>
  <si>
    <t>Store up to 24 1 kg items and treat as half weight</t>
  </si>
  <si>
    <t>tracker utility vest</t>
  </si>
  <si>
    <t>tracker utility vests</t>
  </si>
  <si>
    <t>Czerka Adventurer</t>
  </si>
  <si>
    <t>Czerka Adventurers</t>
  </si>
  <si>
    <t>FastFlesh medpac</t>
  </si>
  <si>
    <t>FastFlesh medpacs</t>
  </si>
  <si>
    <t>Ubese environmental suit</t>
  </si>
  <si>
    <t>Breath mask, voice modulator</t>
  </si>
  <si>
    <t>Ubese environmental suits</t>
  </si>
  <si>
    <t>Datadagger</t>
  </si>
  <si>
    <t>datadagger</t>
  </si>
  <si>
    <t>datadaggers</t>
  </si>
  <si>
    <t>Field kit</t>
  </si>
  <si>
    <t>field kit</t>
  </si>
  <si>
    <t>field kits</t>
  </si>
  <si>
    <t>Light Sensitivity</t>
  </si>
  <si>
    <t>May choose to take 10 on climb checks even when distracted or threatened</t>
  </si>
  <si>
    <t>Vacuum pod</t>
  </si>
  <si>
    <t>2-hour life support, long-range comlink, powerlamp, repair kit</t>
  </si>
  <si>
    <t>vacuum pod</t>
  </si>
  <si>
    <t>vacuum pods</t>
  </si>
  <si>
    <t>DC-19 "Stealth" Carbine</t>
  </si>
  <si>
    <t>Silent operation, invisible shot mode (10 shots)</t>
  </si>
  <si>
    <t>DC-19 "stealth" carbine</t>
  </si>
  <si>
    <t>DC-19 "stealth" carbines</t>
  </si>
  <si>
    <t>Fire extinguisher</t>
  </si>
  <si>
    <t>fire extinguisher</t>
  </si>
  <si>
    <t>fire extinguishers</t>
  </si>
  <si>
    <t>Vonduun crabshell</t>
  </si>
  <si>
    <t>vonduun crabshell</t>
  </si>
  <si>
    <t>vonduun crabshells</t>
  </si>
  <si>
    <t>Deck sweeper</t>
  </si>
  <si>
    <t>3d6</t>
  </si>
  <si>
    <t>deck sweeper</t>
  </si>
  <si>
    <t>deck sweepers</t>
  </si>
  <si>
    <t>Force cage</t>
  </si>
  <si>
    <t>force cage</t>
  </si>
  <si>
    <t>force cages</t>
  </si>
  <si>
    <t>Sneaky</t>
  </si>
  <si>
    <t>Weave armor</t>
  </si>
  <si>
    <t>weave armor</t>
  </si>
  <si>
    <t>suits of weave armor</t>
  </si>
  <si>
    <t>DX-2 Disruptor pistol</t>
  </si>
  <si>
    <t>Treats target's damage threshold as 5 points lower</t>
  </si>
  <si>
    <t>DX-2 Disruptor pistols</t>
  </si>
  <si>
    <t>Fuel Cell</t>
  </si>
  <si>
    <t>fuel cell</t>
  </si>
  <si>
    <t>fuel cells</t>
  </si>
  <si>
    <t>Ewok</t>
  </si>
  <si>
    <t>Ewokese</t>
  </si>
  <si>
    <t>DXR-6 Disruptor rifle</t>
  </si>
  <si>
    <t>DXR-6 Disruptor rifles</t>
  </si>
  <si>
    <t>Fusion lantern</t>
  </si>
  <si>
    <t>fusion lantern</t>
  </si>
  <si>
    <t>fusion lanterns</t>
  </si>
  <si>
    <t>Falleen</t>
  </si>
  <si>
    <t>Pheromones</t>
  </si>
  <si>
    <t>Hold Breath</t>
  </si>
  <si>
    <t>Pheromone Acclimation</t>
  </si>
  <si>
    <t>Electronet</t>
  </si>
  <si>
    <t>3d8</t>
  </si>
  <si>
    <t>electronet</t>
  </si>
  <si>
    <t>electronets</t>
  </si>
  <si>
    <t>Gand breathing apparatus</t>
  </si>
  <si>
    <t>Gand breathing apparatum</t>
  </si>
  <si>
    <t>Prehensile Tail</t>
  </si>
  <si>
    <t>Electroshock probe</t>
  </si>
  <si>
    <t>Energy (ion)</t>
  </si>
  <si>
    <t>electroshock probe</t>
  </si>
  <si>
    <t>Gand breathing filter (year's supply)</t>
  </si>
  <si>
    <t>years supply of Gand breathing filters</t>
  </si>
  <si>
    <t>Feeorin</t>
  </si>
  <si>
    <t>Stronger By Age</t>
  </si>
  <si>
    <t>Inborn Resilience</t>
  </si>
  <si>
    <t>May choose to reroll any Pilot check, but the result of the reroll must be accepted even if it is worse</t>
  </si>
  <si>
    <t>Electrostaff</t>
  </si>
  <si>
    <t>advanced melee</t>
  </si>
  <si>
    <t>Bludgeoning and Energy</t>
  </si>
  <si>
    <t>electrostaff</t>
  </si>
  <si>
    <t>electrostaves</t>
  </si>
  <si>
    <t>Glow rod</t>
  </si>
  <si>
    <t>glow rod</t>
  </si>
  <si>
    <t>glow rods</t>
  </si>
  <si>
    <t>Felucian</t>
  </si>
  <si>
    <t>Felucianese</t>
  </si>
  <si>
    <t>Natural Camouflage</t>
  </si>
  <si>
    <t>Force Blast</t>
  </si>
  <si>
    <t>Energy ball</t>
  </si>
  <si>
    <t>energy ball</t>
  </si>
  <si>
    <t>energy balls</t>
  </si>
  <si>
    <t>Glow rod, decoy</t>
  </si>
  <si>
    <t>decoy glow rod</t>
  </si>
  <si>
    <t>May choose to reroll any Swim check, but the result of the reroll must be accepted even if it is worse; may take 10 on Swim checks even when distracted or threatened</t>
  </si>
  <si>
    <t>Felucian skullblade</t>
  </si>
  <si>
    <t>Felucian skullblades</t>
  </si>
  <si>
    <t>Halo lamp</t>
  </si>
  <si>
    <t>halo lamp</t>
  </si>
  <si>
    <t>halo lamps</t>
  </si>
  <si>
    <t>Fira</t>
  </si>
  <si>
    <t>Slashing or Piercing</t>
  </si>
  <si>
    <t>fira</t>
  </si>
  <si>
    <t>firas</t>
  </si>
  <si>
    <t>Heat sensor</t>
  </si>
  <si>
    <t>heat sensor</t>
  </si>
  <si>
    <t>heat sensors</t>
  </si>
  <si>
    <t>Gamorrean</t>
  </si>
  <si>
    <t>Basic (Understand)</t>
  </si>
  <si>
    <t>Gammorean</t>
  </si>
  <si>
    <t>Improved Damage Threshold</t>
  </si>
  <si>
    <t>Flamethrower</t>
  </si>
  <si>
    <t>flamethrower</t>
  </si>
  <si>
    <t>Fire</t>
  </si>
  <si>
    <t>Area (6 square cone)</t>
  </si>
  <si>
    <t>flamethrowrs</t>
  </si>
  <si>
    <t>Helmet package</t>
  </si>
  <si>
    <t>Hardy</t>
  </si>
  <si>
    <t>Special Equipment (Gand)</t>
  </si>
  <si>
    <t>Flechette launcher</t>
  </si>
  <si>
    <t>1-square splash</t>
  </si>
  <si>
    <t>flechette launcher</t>
  </si>
  <si>
    <t>flechette launchers</t>
  </si>
  <si>
    <t>HiBaka 2000 Mem-Stik</t>
  </si>
  <si>
    <t>HiBaka 2000 Mem-Stiks</t>
  </si>
  <si>
    <t>Gen'Dai</t>
  </si>
  <si>
    <t>Gen'Dai Surge</t>
  </si>
  <si>
    <t>Hibernation</t>
  </si>
  <si>
    <t>Mental Instability</t>
  </si>
  <si>
    <t>Resilient Physiology</t>
  </si>
  <si>
    <t>Force pike</t>
  </si>
  <si>
    <t>Piercing and Energy</t>
  </si>
  <si>
    <t>force pike</t>
  </si>
  <si>
    <t>force pikes</t>
  </si>
  <si>
    <t>Holoprojector, personal</t>
  </si>
  <si>
    <t>personal holoprojector</t>
  </si>
  <si>
    <t>personal holoprojectors</t>
  </si>
  <si>
    <t>Geonosian</t>
  </si>
  <si>
    <t>Fly Speed (8)</t>
  </si>
  <si>
    <t>Can add +5 bonus to Knowledge, Mechanics or Use Computer skill check once per encounter</t>
  </si>
  <si>
    <t>Fusion cutter</t>
  </si>
  <si>
    <t>fusion cutter</t>
  </si>
  <si>
    <t>fusion cutters</t>
  </si>
  <si>
    <t>Holorecorder</t>
  </si>
  <si>
    <t>holorecorder</t>
  </si>
  <si>
    <t>holorecorders</t>
  </si>
  <si>
    <t>Garrote</t>
  </si>
  <si>
    <t>garrote</t>
  </si>
  <si>
    <t>garrotes</t>
  </si>
  <si>
    <t>holoshrouds</t>
  </si>
  <si>
    <t>Flight</t>
  </si>
  <si>
    <t>Gee-Tech 12 Defender</t>
  </si>
  <si>
    <t>Gee-Tech 12 Defenders</t>
  </si>
  <si>
    <t>Holster, concealed</t>
  </si>
  <si>
    <t>concealed holster</t>
  </si>
  <si>
    <t>concealed holsters</t>
  </si>
  <si>
    <t>Grenade launcher</t>
  </si>
  <si>
    <t>2-square burst</t>
  </si>
  <si>
    <t>grenade launcher</t>
  </si>
  <si>
    <t>grenade launchers</t>
  </si>
  <si>
    <t>Holster, hip</t>
  </si>
  <si>
    <t>hip holster</t>
  </si>
  <si>
    <t>hip holsters</t>
  </si>
  <si>
    <t>Grenade, adhesive</t>
  </si>
  <si>
    <t>adhesive grenade</t>
  </si>
  <si>
    <t>adhesive grenades</t>
  </si>
  <si>
    <t>Jet pack</t>
  </si>
  <si>
    <t>jet packs</t>
  </si>
  <si>
    <t>Fly Speed (6)</t>
  </si>
  <si>
    <t>Can move at a speed of 6 squares when flying</t>
  </si>
  <si>
    <t>Grenade, Cryoban</t>
  </si>
  <si>
    <t>Reduces speed</t>
  </si>
  <si>
    <t>CryoBan grenade</t>
  </si>
  <si>
    <t>CryoBan grenades</t>
  </si>
  <si>
    <t>Jet pack, Arakyd Hush-About</t>
  </si>
  <si>
    <t>Arakyd Hush-About personal jetpack</t>
  </si>
  <si>
    <t>Arakyd Hush-About personal jetpacks</t>
  </si>
  <si>
    <t>Gran</t>
  </si>
  <si>
    <t>Target Awareness</t>
  </si>
  <si>
    <t>Triple Vision</t>
  </si>
  <si>
    <t>Precise Shot</t>
  </si>
  <si>
    <t>Can move at a speed of 8 squares when flying</t>
  </si>
  <si>
    <t>Grenade, EMP</t>
  </si>
  <si>
    <t>EMP grenade</t>
  </si>
  <si>
    <t>EMP grenades</t>
  </si>
  <si>
    <t>Jet pack, Arakyd Hush-About, miniaturized</t>
  </si>
  <si>
    <t>miniaturized Arakyd Hush-About jet pack</t>
  </si>
  <si>
    <t>miniaturized Arakyd Hush-About jet packs</t>
  </si>
  <si>
    <t>Gungan</t>
  </si>
  <si>
    <t>Gunganese</t>
  </si>
  <si>
    <t>Swim Speed (4)</t>
  </si>
  <si>
    <t>2 square burst</t>
  </si>
  <si>
    <t>Jet pack, miniaturized</t>
  </si>
  <si>
    <t>miniaturized jet packs</t>
  </si>
  <si>
    <t>Once per encounter, make an untrained Use the Force check to activate Force blast</t>
  </si>
  <si>
    <t>Lectroticker</t>
  </si>
  <si>
    <t>lectroticker</t>
  </si>
  <si>
    <t>lectrotickers</t>
  </si>
  <si>
    <t>Force Blind</t>
  </si>
  <si>
    <t>Can't take the Force Sensitivity feat and can't make Use the Force checks</t>
  </si>
  <si>
    <t>Grenade, remote</t>
  </si>
  <si>
    <t>Remote detonated, safety features</t>
  </si>
  <si>
    <t>remote grenade</t>
  </si>
  <si>
    <t>remote grenades</t>
  </si>
  <si>
    <t>Liquid cable dispenser (15 meters)</t>
  </si>
  <si>
    <t>liquid cable dispenser</t>
  </si>
  <si>
    <t>liquid cable dispensers</t>
  </si>
  <si>
    <t>Force Immunity</t>
  </si>
  <si>
    <t>Can't take the Force Sensitivity feat, can't make Use the Force checks and can't gain Force Points; immune to Force effects targeting Will Defense</t>
  </si>
  <si>
    <t>stun grenade</t>
  </si>
  <si>
    <t>Lock breaking kit</t>
  </si>
  <si>
    <t>lock breaking kit</t>
  </si>
  <si>
    <t>lock breaking kits</t>
  </si>
  <si>
    <t>Houk</t>
  </si>
  <si>
    <t>Physically Intimidating</t>
  </si>
  <si>
    <t>+5 species bonus to Will Defense against any Use the Force check</t>
  </si>
  <si>
    <t>Guard Shoto</t>
  </si>
  <si>
    <t>lightsabers</t>
  </si>
  <si>
    <t>Energy and Slashing</t>
  </si>
  <si>
    <t>Ignore DR</t>
  </si>
  <si>
    <t>guard shoto</t>
  </si>
  <si>
    <t>guard shotos</t>
  </si>
  <si>
    <t>Man trap</t>
  </si>
  <si>
    <t>man trap</t>
  </si>
  <si>
    <t>man traps</t>
  </si>
  <si>
    <t>Human</t>
  </si>
  <si>
    <t>Force Sight</t>
  </si>
  <si>
    <t>Can see through the Force despite being blind. This functions as the Force technique Improved Sense Surroundings</t>
  </si>
  <si>
    <t>HH-15 projectile launcher</t>
  </si>
  <si>
    <t>1-square splash, penetration 10</t>
  </si>
  <si>
    <t>HH-15 projectile launchers</t>
  </si>
  <si>
    <t>Manual trigger</t>
  </si>
  <si>
    <t>manual trigger</t>
  </si>
  <si>
    <t>manual triggers</t>
  </si>
  <si>
    <t>Hutt</t>
  </si>
  <si>
    <t>Huttese</t>
  </si>
  <si>
    <t>Supreme Stability</t>
  </si>
  <si>
    <t>Persuasive</t>
  </si>
  <si>
    <t>Incinerator rifle</t>
  </si>
  <si>
    <t>incinerator rifle</t>
  </si>
  <si>
    <t>incinerator rifles</t>
  </si>
  <si>
    <t>MDS-50 medisensor</t>
  </si>
  <si>
    <t>MDS-50 medisensors</t>
  </si>
  <si>
    <t>Iktotchi</t>
  </si>
  <si>
    <t>Iktotchese</t>
  </si>
  <si>
    <t>Limited Precognition</t>
  </si>
  <si>
    <t>Whenever a Gen'Dai takes a second wind, it regains 5 hit points at the end of its round, each round until it is killed, the end of the encounter, or it reaches half hit points</t>
  </si>
  <si>
    <t>Ion carbine</t>
  </si>
  <si>
    <t>ion carbine</t>
  </si>
  <si>
    <t>ion carbines</t>
  </si>
  <si>
    <t>Ion pistol</t>
  </si>
  <si>
    <t>Half damage to non-droids</t>
  </si>
  <si>
    <t>ion pistol</t>
  </si>
  <si>
    <t>ion pistols</t>
  </si>
  <si>
    <t>Whenever Second Wind is used, gain an additional number of hit points equal to 5 + character level</t>
  </si>
  <si>
    <t>Ion rifle</t>
  </si>
  <si>
    <t>ion rifle</t>
  </si>
  <si>
    <t>ion rifles</t>
  </si>
  <si>
    <t>Medical kit</t>
  </si>
  <si>
    <t>medical kit</t>
  </si>
  <si>
    <t>medical kits</t>
  </si>
  <si>
    <t>Ithorian</t>
  </si>
  <si>
    <t>Ithorese</t>
  </si>
  <si>
    <t>Knife</t>
  </si>
  <si>
    <t>knife</t>
  </si>
  <si>
    <t>knives</t>
  </si>
  <si>
    <t>Medical kit, miniaturized</t>
  </si>
  <si>
    <t>miniaturized medical kit</t>
  </si>
  <si>
    <t>miniaturized medical kits</t>
  </si>
  <si>
    <t>Jawa</t>
  </si>
  <si>
    <t>Jawa Trade Language</t>
  </si>
  <si>
    <t>Scavenger</t>
  </si>
  <si>
    <t>May choose to reroll any Perception check, but the result of the reroll must be accepted even if it is worse</t>
  </si>
  <si>
    <t>Lanvarok, Massassi (disc)</t>
  </si>
  <si>
    <t>Lanvarok, Massassi</t>
  </si>
  <si>
    <t>Disc</t>
  </si>
  <si>
    <t>Massassi lanvarok</t>
  </si>
  <si>
    <t>Massassi lanvaroks</t>
  </si>
  <si>
    <t>Medpac</t>
  </si>
  <si>
    <t>medpac</t>
  </si>
  <si>
    <t>medpacs</t>
  </si>
  <si>
    <t>Lanvarok, Massassi (melee)</t>
  </si>
  <si>
    <t>Memory implant</t>
  </si>
  <si>
    <t>memory implants</t>
  </si>
  <si>
    <t>Kaleesh</t>
  </si>
  <si>
    <t>Persistant</t>
  </si>
  <si>
    <t>Lanvarok, Sith</t>
  </si>
  <si>
    <t>Sith lanvarok</t>
  </si>
  <si>
    <t>Sith lanvaroks</t>
  </si>
  <si>
    <t>Mesh tape</t>
  </si>
  <si>
    <t>mesh tape</t>
  </si>
  <si>
    <t>rolls of mesh tape</t>
  </si>
  <si>
    <t>Kaminoan</t>
  </si>
  <si>
    <t>Resistant</t>
  </si>
  <si>
    <t>Can enter a state similar to a Force Trance and use that application of the Use the Force skill untrained and can remain in the trance indefinately</t>
  </si>
  <si>
    <t>Laser welder</t>
  </si>
  <si>
    <t>laser welder</t>
  </si>
  <si>
    <t>laser welders</t>
  </si>
  <si>
    <t>Kel Dor</t>
  </si>
  <si>
    <t>Keen Force Sense</t>
  </si>
  <si>
    <t>Special Equipment</t>
  </si>
  <si>
    <t>Light concussion missile launcher</t>
  </si>
  <si>
    <t>2-square splash</t>
  </si>
  <si>
    <t>light concussion missile launcher</t>
  </si>
  <si>
    <t>Nerve reinforcement implant</t>
  </si>
  <si>
    <t>nerve reinforcement implants</t>
  </si>
  <si>
    <t>Can hold breath for number of rounds equal to 25 times Constitution score before needing to make Endurance checks to hold breath</t>
  </si>
  <si>
    <t>Lightfoil</t>
  </si>
  <si>
    <t>lightfoil</t>
  </si>
  <si>
    <t>lightfoils</t>
  </si>
  <si>
    <t>Kerkoidese</t>
  </si>
  <si>
    <t>Predator's Heritage</t>
  </si>
  <si>
    <t>Social Cunning</t>
  </si>
  <si>
    <t>Hullepi</t>
  </si>
  <si>
    <t>Do not suffer the effects of starvation except in sterile environments</t>
  </si>
  <si>
    <t>Lightsaber</t>
  </si>
  <si>
    <t>lightsaber</t>
  </si>
  <si>
    <t>Ooglith Masquer</t>
  </si>
  <si>
    <t>ooglith masquer</t>
  </si>
  <si>
    <t>ooglith masquers</t>
  </si>
  <si>
    <t>Khil</t>
  </si>
  <si>
    <t>Khilese</t>
  </si>
  <si>
    <t>Lightsaber pike</t>
  </si>
  <si>
    <t>lightsaber pike</t>
  </si>
  <si>
    <t>lightsaber pikes</t>
  </si>
  <si>
    <t>Pocket scrambler</t>
  </si>
  <si>
    <t>pocket scrambler</t>
  </si>
  <si>
    <t>pocket scramblers</t>
  </si>
  <si>
    <t>Lightsaber, double</t>
  </si>
  <si>
    <t>double-bladed lightsaber</t>
  </si>
  <si>
    <t>double-bladed lightsabers</t>
  </si>
  <si>
    <t>Portable computer</t>
  </si>
  <si>
    <t>portable computer</t>
  </si>
  <si>
    <t>portable computers</t>
  </si>
  <si>
    <t>Lightsaber, short</t>
  </si>
  <si>
    <t>short lightsaber</t>
  </si>
  <si>
    <t>short lightsabers</t>
  </si>
  <si>
    <t>Power generator</t>
  </si>
  <si>
    <t>Lightwhip</t>
  </si>
  <si>
    <t>May Pin or Trip, reach 2</t>
  </si>
  <si>
    <t>lightwhip</t>
  </si>
  <si>
    <t>lightwhips</t>
  </si>
  <si>
    <t>Power generator, miniaturized</t>
  </si>
  <si>
    <t>miniaturized power generator</t>
  </si>
  <si>
    <t>miniaturized power generators</t>
  </si>
  <si>
    <t>Kissai</t>
  </si>
  <si>
    <t>Sith</t>
  </si>
  <si>
    <t>Inspired</t>
  </si>
  <si>
    <t>Warrior's Awareness</t>
  </si>
  <si>
    <t>Weapon Familiarity</t>
  </si>
  <si>
    <t>Improved Telepathy</t>
  </si>
  <si>
    <t>Mace</t>
  </si>
  <si>
    <t>mace</t>
  </si>
  <si>
    <t>maces</t>
  </si>
  <si>
    <t>Power pack</t>
  </si>
  <si>
    <t>May use Second Wind even when unconscious and move +3 steps on the condition track</t>
  </si>
  <si>
    <t>Merr-Sonn Model 434</t>
  </si>
  <si>
    <t>Merr-Sonn Model 434s</t>
  </si>
  <si>
    <t>Power recharger</t>
  </si>
  <si>
    <t>power recharger</t>
  </si>
  <si>
    <t>power rechargers</t>
  </si>
  <si>
    <t>Klatooinian</t>
  </si>
  <si>
    <t>Influence</t>
  </si>
  <si>
    <t>Micro grenade launcher</t>
  </si>
  <si>
    <t>Micro Grenade</t>
  </si>
  <si>
    <t>micro grenade launcher</t>
  </si>
  <si>
    <t>micro grenade launchers</t>
  </si>
  <si>
    <t>Ration pack</t>
  </si>
  <si>
    <t>ration pack</t>
  </si>
  <si>
    <t>ration packs</t>
  </si>
  <si>
    <t>Increase any insight or morale bonus received by 1</t>
  </si>
  <si>
    <t>Mine, antivehicle</t>
  </si>
  <si>
    <t>antivehicle mine</t>
  </si>
  <si>
    <t>antivehicle mines</t>
  </si>
  <si>
    <t>Regenerative implant</t>
  </si>
  <si>
    <t>regenerative implants</t>
  </si>
  <si>
    <t>Krevaaki</t>
  </si>
  <si>
    <t>Stoic</t>
  </si>
  <si>
    <t>Insulating Fur</t>
  </si>
  <si>
    <t>Receive a +5 species bonus to Fortitude Defense to resist the effects of extreme cold</t>
  </si>
  <si>
    <t>Mine, antivehicle proton</t>
  </si>
  <si>
    <t>antivehicle proton mine</t>
  </si>
  <si>
    <t>antivehicle proton mines</t>
  </si>
  <si>
    <t>Repulsor pad</t>
  </si>
  <si>
    <t>repulsor pad</t>
  </si>
  <si>
    <t>repulsor pads</t>
  </si>
  <si>
    <t>Mine, flechette</t>
  </si>
  <si>
    <t>flechette mine</t>
  </si>
  <si>
    <t>flechette mines</t>
  </si>
  <si>
    <t>Restraining bolt</t>
  </si>
  <si>
    <t>restraining bolt</t>
  </si>
  <si>
    <t>restraining bolts</t>
  </si>
  <si>
    <t>Can use Intelligence modifier rather than Charisma modifier for Persuasion</t>
  </si>
  <si>
    <t>Mine, HX2 antipersonnel</t>
  </si>
  <si>
    <t>HX2 antipersonnel mine</t>
  </si>
  <si>
    <t>HX2 antipersonnel mines</t>
  </si>
  <si>
    <t>Riot shield</t>
  </si>
  <si>
    <t>riot shield</t>
  </si>
  <si>
    <t>riot shields</t>
  </si>
  <si>
    <t>Mine, land</t>
  </si>
  <si>
    <t>land mine</t>
  </si>
  <si>
    <t>land mines</t>
  </si>
  <si>
    <t>Security kit</t>
  </si>
  <si>
    <t>security kit</t>
  </si>
  <si>
    <t>security kits</t>
  </si>
  <si>
    <t>May reroll any Persuasion check made to intimidate others, but the result of the reroll must be accepted even if it is worse</t>
  </si>
  <si>
    <t>Mine, laser trip</t>
  </si>
  <si>
    <t>laser trip mine</t>
  </si>
  <si>
    <t>laser trip mines</t>
  </si>
  <si>
    <t>Sensor pack</t>
  </si>
  <si>
    <t>sensor pack</t>
  </si>
  <si>
    <t>sensor packs</t>
  </si>
  <si>
    <t>Weapon Finesse</t>
  </si>
  <si>
    <t>May reroll any Initiative check, but the result of the reroll must be accepted even if it is worse</t>
  </si>
  <si>
    <t>Mine, proximity</t>
  </si>
  <si>
    <t>proximity mine</t>
  </si>
  <si>
    <t>proximity mines</t>
  </si>
  <si>
    <t>Sensor pack, miniaturized</t>
  </si>
  <si>
    <t>miniaturized sensor pack</t>
  </si>
  <si>
    <t>miniaturized sensor packs</t>
  </si>
  <si>
    <t>Mantellian Savrip</t>
  </si>
  <si>
    <t>Savrip</t>
  </si>
  <si>
    <t>Poison Claws</t>
  </si>
  <si>
    <t>claw</t>
  </si>
  <si>
    <t>Missile launcher</t>
  </si>
  <si>
    <t>missile launcher</t>
  </si>
  <si>
    <t>missile launchers</t>
  </si>
  <si>
    <t>Sensory implant</t>
  </si>
  <si>
    <t>sensory implants</t>
  </si>
  <si>
    <t>Missile launcher, E-web</t>
  </si>
  <si>
    <t>E-web missile launcher</t>
  </si>
  <si>
    <t>Sound sponge</t>
  </si>
  <si>
    <t>sound sponge</t>
  </si>
  <si>
    <t>sound sponges</t>
  </si>
  <si>
    <t>May choose to reroll any Use the Force check made to search their feelings or sense the Force, keeping the better result</t>
  </si>
  <si>
    <t>Mythosaur Axe</t>
  </si>
  <si>
    <t>Mythosaur axe</t>
  </si>
  <si>
    <t>Mythosaur axes</t>
  </si>
  <si>
    <t>Spacer's chest</t>
  </si>
  <si>
    <t>spacer's chest</t>
  </si>
  <si>
    <t>spacer's chests</t>
  </si>
  <si>
    <t>Stealth field generator</t>
  </si>
  <si>
    <t>stealth field generator</t>
  </si>
  <si>
    <t>stealth field generators</t>
  </si>
  <si>
    <t>Miraluka</t>
  </si>
  <si>
    <t>Miralukese</t>
  </si>
  <si>
    <t>Force Training</t>
  </si>
  <si>
    <t>Surgery kit</t>
  </si>
  <si>
    <t>surgery kit</t>
  </si>
  <si>
    <t>surgery kits</t>
  </si>
  <si>
    <t>Mon Calamari</t>
  </si>
  <si>
    <t>Mon Calamarian</t>
  </si>
  <si>
    <t>Syntherope (45 meters)</t>
  </si>
  <si>
    <t>syntherope</t>
  </si>
  <si>
    <t>coils of syntherope</t>
  </si>
  <si>
    <t>Abrupt exposure to bright light (such as sunlight) blinds for 1 round; suffer a -1 penalty to all attack rolls, defenses and checks when operating in bright light without protective eyewear</t>
  </si>
  <si>
    <t>Targeting scope, enhanced low light</t>
  </si>
  <si>
    <t>enhanced low-light targeting scope</t>
  </si>
  <si>
    <t>enhanced low-light targeting scopes</t>
  </si>
  <si>
    <t>Regrow a lost limb in 1d10 days</t>
  </si>
  <si>
    <t>Targeting scope, standard</t>
  </si>
  <si>
    <t>targeting scope</t>
  </si>
  <si>
    <t>targeting scopes</t>
  </si>
  <si>
    <t>Needler</t>
  </si>
  <si>
    <t>needler</t>
  </si>
  <si>
    <t>needlers</t>
  </si>
  <si>
    <t>Tool kit</t>
  </si>
  <si>
    <t>tool kit</t>
  </si>
  <si>
    <t>tool kits</t>
  </si>
  <si>
    <t>Technophobic</t>
  </si>
  <si>
    <t>Once per encounter, an Iktotchi can grant itself or any vehicle it pilots a +2 species bonus to Reflex Defense against a single attack (as a reaction)</t>
  </si>
  <si>
    <t>Net</t>
  </si>
  <si>
    <t>Can grab or grapple</t>
  </si>
  <si>
    <t>net</t>
  </si>
  <si>
    <t>nets</t>
  </si>
  <si>
    <t>Ubese breathing filter (year's supply)</t>
  </si>
  <si>
    <t>years supply of Ubese breathing filters</t>
  </si>
  <si>
    <t>Nagai</t>
  </si>
  <si>
    <t>Nagaian</t>
  </si>
  <si>
    <t>Soothing Voice</t>
  </si>
  <si>
    <t>Limited Telepathy</t>
  </si>
  <si>
    <t>Can use the Telepathy aspect of the Use the Force skill untrained (even if not Force-sensitive). If the target is within 10 squares, no skill check is required to initiate the telepathic contact</t>
  </si>
  <si>
    <t>Neural inhibitor</t>
  </si>
  <si>
    <t>neural inhibitor</t>
  </si>
  <si>
    <t>neural inhibitors</t>
  </si>
  <si>
    <t>Utility belt</t>
  </si>
  <si>
    <t>utility belt</t>
  </si>
  <si>
    <t>utility belts</t>
  </si>
  <si>
    <t>Nautolan</t>
  </si>
  <si>
    <t>Nautila</t>
  </si>
  <si>
    <t>Pheromonal Sensor</t>
  </si>
  <si>
    <t>Neuronic whip</t>
  </si>
  <si>
    <t>1 square reach</t>
  </si>
  <si>
    <t>neuronic whip</t>
  </si>
  <si>
    <t>neuronic whips</t>
  </si>
  <si>
    <t>Utility belt, miniaturized</t>
  </si>
  <si>
    <t>utility belt (miniaturized)</t>
  </si>
  <si>
    <t>utility belts (miniaturized)</t>
  </si>
  <si>
    <t>Nazren</t>
  </si>
  <si>
    <t>Nazren Resistance</t>
  </si>
  <si>
    <t>Ignore concealment (but not total concealment) from darkness</t>
  </si>
  <si>
    <t>Power hammer</t>
  </si>
  <si>
    <t>Extra damage from Power attack applies to vehicles and objects</t>
  </si>
  <si>
    <t>power hammer</t>
  </si>
  <si>
    <t>power hammers</t>
  </si>
  <si>
    <t>Power prybar</t>
  </si>
  <si>
    <t>power prybar</t>
  </si>
  <si>
    <t>power prybars</t>
  </si>
  <si>
    <t>Videorecorder</t>
  </si>
  <si>
    <t>videorecorder</t>
  </si>
  <si>
    <t>videorecorders</t>
  </si>
  <si>
    <t>Neimoidian</t>
  </si>
  <si>
    <t>Pak Pak</t>
  </si>
  <si>
    <t>Pulse rifle</t>
  </si>
  <si>
    <t>6-square burst, miss deals half damage</t>
  </si>
  <si>
    <t>pulse rifle</t>
  </si>
  <si>
    <t>pulse rifles</t>
  </si>
  <si>
    <t>Visual wrist comm</t>
  </si>
  <si>
    <t>visual wrist comm</t>
  </si>
  <si>
    <t>visual wrist comms</t>
  </si>
  <si>
    <t>Nelvaanian</t>
  </si>
  <si>
    <t>Nelvaanese</t>
  </si>
  <si>
    <t>Shadow Swiftness</t>
  </si>
  <si>
    <t>Pulse-wave pistol</t>
  </si>
  <si>
    <t>+4 damage at point blank</t>
  </si>
  <si>
    <t>pulse-wave pistol</t>
  </si>
  <si>
    <t>pulse-wave pistols</t>
  </si>
  <si>
    <t>Vox Box</t>
  </si>
  <si>
    <t>vox box</t>
  </si>
  <si>
    <t>vox boxes</t>
  </si>
  <si>
    <t>Metamorph</t>
  </si>
  <si>
    <t>Instead of sleeping for 8 hours, can enter a trance that lasts 4 hours with the same results; can be used once a day; remains somewhat aware of surroundings and can make Perception checks to avoid being surprised</t>
  </si>
  <si>
    <t>Pulse-wave rifle</t>
  </si>
  <si>
    <t>+5 damage at point blank</t>
  </si>
  <si>
    <t>pulse-wave rifle</t>
  </si>
  <si>
    <t>pulse-wave rifles</t>
  </si>
  <si>
    <t>Can share memories with adjacent Caamasi and Force-using characters (with a DC 15 Use the Force check) initiated as a full-round action to grant favorable circumstances to any Knowledge check related to the memory</t>
  </si>
  <si>
    <t>Quarterstaff</t>
  </si>
  <si>
    <t>quarterstaff</t>
  </si>
  <si>
    <t>quarterstaves</t>
  </si>
  <si>
    <t>For each age category a Gen'Dai advances past Adult, it takes an additional loss of -1 Wisdom and never gains Wisdom due to age</t>
  </si>
  <si>
    <t>Rail detonator gun</t>
  </si>
  <si>
    <t>rail detonator gun</t>
  </si>
  <si>
    <t>rail detonator guns</t>
  </si>
  <si>
    <t>Ripper</t>
  </si>
  <si>
    <t>Deals 1d4 damage when exceeds damage threshold</t>
  </si>
  <si>
    <t>ripper</t>
  </si>
  <si>
    <t>rippers</t>
  </si>
  <si>
    <t>Ryyk blade</t>
  </si>
  <si>
    <t>+2 to Survival checks for basic survival in forest or jungle</t>
  </si>
  <si>
    <t>ryyk blade</t>
  </si>
  <si>
    <t>ryyk blades</t>
  </si>
  <si>
    <t>Shockstaff</t>
  </si>
  <si>
    <t>Retains DR against lightsabers</t>
  </si>
  <si>
    <t>shockstaff</t>
  </si>
  <si>
    <t>shockstaves</t>
  </si>
  <si>
    <t>-5 penalty to Will Defense against Persuasion checks if promised profit or power</t>
  </si>
  <si>
    <t>Shyarn</t>
  </si>
  <si>
    <t>No penalty to Rapid Strike</t>
  </si>
  <si>
    <t>shyarn</t>
  </si>
  <si>
    <t>shyarns</t>
  </si>
  <si>
    <t>Sith sword</t>
  </si>
  <si>
    <t>May spend a Force Point to add Dark Side Score to damage</t>
  </si>
  <si>
    <t>Noghri</t>
  </si>
  <si>
    <t>Honoghran</t>
  </si>
  <si>
    <t>Sling</t>
  </si>
  <si>
    <t>sling</t>
  </si>
  <si>
    <t>slings</t>
  </si>
  <si>
    <t>Slugthrower pistol</t>
  </si>
  <si>
    <t>slugthrower pistol</t>
  </si>
  <si>
    <t>slugthrower pistols</t>
  </si>
  <si>
    <t>Nosaurian</t>
  </si>
  <si>
    <t>horns</t>
  </si>
  <si>
    <t>Musical Beak</t>
  </si>
  <si>
    <t>When using beak to immitate sounds or noises, can reroll Deception checks and take the better result; throw voice out to 10 squares; As a swift action, use ventriloquisim to create a diversion to hide</t>
  </si>
  <si>
    <t>Slugthrower rifle</t>
  </si>
  <si>
    <t>slugthrower rifle</t>
  </si>
  <si>
    <t>slugthrower rifles</t>
  </si>
  <si>
    <t>Snap baton</t>
  </si>
  <si>
    <t>snap baton</t>
  </si>
  <si>
    <t>snap batons</t>
  </si>
  <si>
    <t>Mute</t>
  </si>
  <si>
    <t>Polis Massans have no vocal chords, and must rely on a combination of sign language, computers and telepathy in order to communicate with others. When they learn new languages, they can understand but not speak them.</t>
  </si>
  <si>
    <t>Snare rifle</t>
  </si>
  <si>
    <t>Cartridge</t>
  </si>
  <si>
    <t>snare rifle</t>
  </si>
  <si>
    <t>snare rifles</t>
  </si>
  <si>
    <t>May reroll any Stealth checks made to sneak, keeping the better result</t>
  </si>
  <si>
    <t>Sonic disruptor</t>
  </si>
  <si>
    <t>Fires once per round, cannot be deflected</t>
  </si>
  <si>
    <t>sonic disruptor</t>
  </si>
  <si>
    <t>sonic disruptors</t>
  </si>
  <si>
    <t>Once per encounter as a standard action, a Devaronian can make a Perception check against a single target within line of sight (DC 15 or the result of an opposed Stealth check, if the target is actively attempting to hide). If successful, the Devaronian gains a +1 insight bonus on attack rolls against that target.</t>
  </si>
  <si>
    <t>Sonic pistol</t>
  </si>
  <si>
    <t>Cannot be deflected</t>
  </si>
  <si>
    <t>sonic pistol</t>
  </si>
  <si>
    <t>sonic pistols</t>
  </si>
  <si>
    <t>May choose to reroll any Persuasion check, but the result of the reroll must be accepted even if it is worse</t>
  </si>
  <si>
    <t>Sonic pistol, heavy</t>
  </si>
  <si>
    <t>heavy sonic pistol</t>
  </si>
  <si>
    <t>heavy sonic pistols</t>
  </si>
  <si>
    <t>+5 species bonus to Telepathy aspect of Use the Force and can make untrained Use the Force checks without Force Sensitivity</t>
  </si>
  <si>
    <t>Sonic rifle</t>
  </si>
  <si>
    <t>sonic rifle</t>
  </si>
  <si>
    <t>sonic rifles</t>
  </si>
  <si>
    <t>Pau'an</t>
  </si>
  <si>
    <t>Utapese</t>
  </si>
  <si>
    <t>Sonic stunner</t>
  </si>
  <si>
    <t>sonic stunner</t>
  </si>
  <si>
    <t>Phindian</t>
  </si>
  <si>
    <t>Sonic welder</t>
  </si>
  <si>
    <t>sonic welder</t>
  </si>
  <si>
    <t>sonic welders</t>
  </si>
  <si>
    <t>Once per encounter, upon taking damage equal to or exceeding to damage threshold, reduce number of steps moved down condition track by 1</t>
  </si>
  <si>
    <t>SoroSuub Firelance</t>
  </si>
  <si>
    <t>4d6</t>
  </si>
  <si>
    <t>SoroSuub Firelances</t>
  </si>
  <si>
    <t>Spear</t>
  </si>
  <si>
    <t>Can be thrown</t>
  </si>
  <si>
    <t>spear</t>
  </si>
  <si>
    <t>spears</t>
  </si>
  <si>
    <t>Polis Massan</t>
  </si>
  <si>
    <t>Massan</t>
  </si>
  <si>
    <t>Basic (understand only)</t>
  </si>
  <si>
    <t>Squib battering ram</t>
  </si>
  <si>
    <t>Squib battering rams</t>
  </si>
  <si>
    <t>Quarren</t>
  </si>
  <si>
    <t>Quarrenese</t>
  </si>
  <si>
    <t>Nomads</t>
  </si>
  <si>
    <t>Can reroll any Survival check, but the result of the reroll must be accepted even if it is worse</t>
  </si>
  <si>
    <t>Stokhli spray stick</t>
  </si>
  <si>
    <t>Stokhli spray sticks</t>
  </si>
  <si>
    <t>Observant</t>
  </si>
  <si>
    <t>May use the Perception skill modifier in place of the Persuasion or Deception skill modifier once per encounter</t>
  </si>
  <si>
    <t>Stun baton</t>
  </si>
  <si>
    <t>stun baton</t>
  </si>
  <si>
    <t>stun batons</t>
  </si>
  <si>
    <t>As a standard action, make a Persuasion check against Will Defense to move a target -1 step along the condition track if they make any attack before the character's next turn</t>
  </si>
  <si>
    <t>Stunning gauntlet</t>
  </si>
  <si>
    <t>,KotOR,CWCS,</t>
  </si>
  <si>
    <t>stunning gauntlet</t>
  </si>
  <si>
    <t>stunning gauntlets</t>
  </si>
  <si>
    <t>Rakata</t>
  </si>
  <si>
    <t>Weapon Focus (simple)</t>
  </si>
  <si>
    <t>Weapon Focus ()</t>
  </si>
  <si>
    <t>Subrepeating blaster</t>
  </si>
  <si>
    <t>Pack Hunter</t>
  </si>
  <si>
    <t>Deal +2 damage on melee attacks against flanked opponents</t>
  </si>
  <si>
    <t>Sword, dire</t>
  </si>
  <si>
    <t>dire sword</t>
  </si>
  <si>
    <t>dire swords</t>
  </si>
  <si>
    <t>Sword, double-bladed</t>
  </si>
  <si>
    <t>double-bladed sword</t>
  </si>
  <si>
    <t>double-bladed swords</t>
  </si>
  <si>
    <t>Replica Droid (large)</t>
  </si>
  <si>
    <t>Replica droid</t>
  </si>
  <si>
    <t>(native language)</t>
  </si>
  <si>
    <t>Sword, short</t>
  </si>
  <si>
    <t>short sword</t>
  </si>
  <si>
    <t>short swords</t>
  </si>
  <si>
    <t>Replica Droid (medium)</t>
  </si>
  <si>
    <t>Sword, war</t>
  </si>
  <si>
    <t>war sword</t>
  </si>
  <si>
    <t>war swords</t>
  </si>
  <si>
    <t>Replica Droid (small)</t>
  </si>
  <si>
    <t>Thermal detonator</t>
  </si>
  <si>
    <t>4 square burst</t>
  </si>
  <si>
    <t>thermal detonator</t>
  </si>
  <si>
    <t>thermal detonators</t>
  </si>
  <si>
    <t>Rodian</t>
  </si>
  <si>
    <t>Rodese</t>
  </si>
  <si>
    <t>Pheromonal Communication</t>
  </si>
  <si>
    <t>Thud bug</t>
  </si>
  <si>
    <t>thud bug</t>
  </si>
  <si>
    <t>thud bugs</t>
  </si>
  <si>
    <t>May choose to reroll any Perception checks to sense deceptions or sense influence, but the result of the reroll must be accepted even if it is worse; underwater, may instead reroll and keep the better result</t>
  </si>
  <si>
    <t>Unarmed</t>
  </si>
  <si>
    <t>Linguist</t>
  </si>
  <si>
    <t>Gain a +5 species bonus to Fortitude Defense against the pheromones of other Falleen</t>
  </si>
  <si>
    <t>Vibro-ax</t>
  </si>
  <si>
    <t>vibro-ax</t>
  </si>
  <si>
    <t>vibro-axes</t>
  </si>
  <si>
    <t>As a standard action, make a special attack against adjacent creature (character level + Charisma modifier vs. Fortitude Defense). If the attack succeeds, the target moves -1 step down the condition track. Instead of falling into unconsciousness at -5 steps, it instead becomes friendly in attitude. A failed attack renders the target immune to pheromones for 24 hours</t>
  </si>
  <si>
    <t>Vibrobayonet</t>
  </si>
  <si>
    <t>vibrobayonet</t>
  </si>
  <si>
    <t>vibrobayonets</t>
  </si>
  <si>
    <t>Vibroblade</t>
  </si>
  <si>
    <t>vibroblade</t>
  </si>
  <si>
    <t>vibroblades</t>
  </si>
  <si>
    <t>Ryn</t>
  </si>
  <si>
    <t>Vibroblade, dire</t>
  </si>
  <si>
    <t>dire vibroblade</t>
  </si>
  <si>
    <t>dire vibroblades</t>
  </si>
  <si>
    <t>May use Strength modifier instead of Charisma modifier to make Persuasion checks to intimidate others</t>
  </si>
  <si>
    <t>Vibroblade, double</t>
  </si>
  <si>
    <t>,KotOR,TFU,</t>
  </si>
  <si>
    <t>double vibroblade</t>
  </si>
  <si>
    <t>double vibroblades</t>
  </si>
  <si>
    <t>Vibrodagger</t>
  </si>
  <si>
    <t>vibrodagger</t>
  </si>
  <si>
    <t>vibrodaggers</t>
  </si>
  <si>
    <t>Placid</t>
  </si>
  <si>
    <t>Once per encounter, as a free action, remove one Fear effect currently effecting you</t>
  </si>
  <si>
    <t>Vibroknucklers</t>
  </si>
  <si>
    <t>vibroknucklers</t>
  </si>
  <si>
    <t>Vibrorapier</t>
  </si>
  <si>
    <t>Silent operation</t>
  </si>
  <si>
    <t>vibrorapier</t>
  </si>
  <si>
    <t>vibrorapiers</t>
  </si>
  <si>
    <t>Selkath</t>
  </si>
  <si>
    <t>Living targets damaged by claw attack are poisoned by an attack roll (1d20 + Savrip's character level) against Fortitude Defense to move -1 step down the condition track</t>
  </si>
  <si>
    <t>Vibrosword</t>
  </si>
  <si>
    <t>vibrosword</t>
  </si>
  <si>
    <t>+5 species bonus to Fortitude Defense to resist the effects of poison</t>
  </si>
  <si>
    <t>Wrist rocket launcher</t>
  </si>
  <si>
    <t>wrist rocket launcher</t>
  </si>
  <si>
    <t>wrist rocket launchers</t>
  </si>
  <si>
    <t>Zhaboka</t>
  </si>
  <si>
    <t>zhaboka</t>
  </si>
  <si>
    <t>zhabokas</t>
  </si>
  <si>
    <t>+2 bonus to damage rolls against a target that has been damaged since the beginning of the Kerkoiden's last turn</t>
  </si>
  <si>
    <t>Skakoan</t>
  </si>
  <si>
    <t>Skakoverbal</t>
  </si>
  <si>
    <t>Armor Proficiency (light)</t>
  </si>
  <si>
    <t>Effectively hold (but not wield) a Small or smaller item with tail; may hold a Medium or larger item, considered encumbered and carrying a heavy load</t>
  </si>
  <si>
    <t>Do not gain Weapon Proficiency (pistols, rifles, heavy weapons) as starting feats at 1st level</t>
  </si>
  <si>
    <t>Physical Intimidation</t>
  </si>
  <si>
    <t>Snivvian</t>
  </si>
  <si>
    <t>Once per encounter, as a swift action, gain +2 to Dexterity-based skill checks and increase speed to 8 squares for as many rounds as Aleena's Constitution modifier, then move -1 step along the condition track</t>
  </si>
  <si>
    <t>+2 species bonus to Fortitude Defense against radiation</t>
  </si>
  <si>
    <t>May enter a rage once a day, gaining +2 bonus to melee attack rolls and damage rolls, but unable to use skills requiring concentration and patience; lasts 5 + Constitution rounds, and moves character -1 persistent step along the condition track until 10 minutes of relaxed recuperation have passed</t>
  </si>
  <si>
    <t>Sullustan</t>
  </si>
  <si>
    <t>Sullustese</t>
  </si>
  <si>
    <t>May make a single melee attack with natural weapons as a swift action upon dealing damage with a melee attack</t>
  </si>
  <si>
    <t>Talz</t>
  </si>
  <si>
    <t>A Gen'Dai's Damage Threshold is considered doubled when determining whether the Gen'Dai is killed by an attack</t>
  </si>
  <si>
    <t>Gain a +2 species bonus to Fortitude Defense against poison, disease, radiation, and other hazards that target physiology</t>
  </si>
  <si>
    <t>Travel in a straight line at double speed while rolled in a ball; -5 penalty to Perception while rolling</t>
  </si>
  <si>
    <t>Trip</t>
  </si>
  <si>
    <t>Pin</t>
  </si>
  <si>
    <t>Togorian</t>
  </si>
  <si>
    <t>Togruta</t>
  </si>
  <si>
    <t>Togruti</t>
  </si>
  <si>
    <t>Spatial Awareness</t>
  </si>
  <si>
    <t>Whenever damaging a droid or vehicle with an ion weapon, add half level as an ion bonus to damage</t>
  </si>
  <si>
    <t>Toydarian</t>
  </si>
  <si>
    <t>Trandoshan</t>
  </si>
  <si>
    <t>Dosh</t>
  </si>
  <si>
    <t>If a Nelvaanian begins its turn with concealment from a target or with the target unaware of it, the Nelvaanian does not provoke attacks of opportunity when moving through the target's threatened spaces until the end of its turn.</t>
  </si>
  <si>
    <t>Alter appearance at will, gaining a +10 species bonus on Deception checks made to disguise appearance. Disguise appearance as full-round action with no penalty</t>
  </si>
  <si>
    <t>Tusken Raider</t>
  </si>
  <si>
    <t>Tusken</t>
  </si>
  <si>
    <t>Twi'lek</t>
  </si>
  <si>
    <t>Ryl</t>
  </si>
  <si>
    <t>Lekku</t>
  </si>
  <si>
    <t>Sneak Attack</t>
  </si>
  <si>
    <t>Ubese</t>
  </si>
  <si>
    <t>Ubeninal</t>
  </si>
  <si>
    <t>Aggressive</t>
  </si>
  <si>
    <t>Special Equipment (Ubese)</t>
  </si>
  <si>
    <t>May reroll any Stealth check, but the result of the reroll must be accepted even if it is worse</t>
  </si>
  <si>
    <t>Umbaran</t>
  </si>
  <si>
    <t>Umbarese</t>
  </si>
  <si>
    <t>May use Wisdom instead of Charisma modifier for Deception and Persuasion skills</t>
  </si>
  <si>
    <t>Utai</t>
  </si>
  <si>
    <t>May ignore the effects of cover and concealment when using Perception against any target within 10 squares</t>
  </si>
  <si>
    <t>Require protective goggles outside natural atmosphere or blind; require antiox breath mask or suffocates</t>
  </si>
  <si>
    <t>Require breathing apparatus outside natural atmosphere or suffocate, require transliterator or can speak only Gand</t>
  </si>
  <si>
    <t>Require breath mask or suffocate; voice modulator masks ubese's gender</t>
  </si>
  <si>
    <t>Vurk</t>
  </si>
  <si>
    <t>Semblan</t>
  </si>
  <si>
    <t>Once per encounter, as a reaction to being attacked, make a Deception check against the target's Will Defense. If successful, the attacker takes a -5 penalty on the attack roll</t>
  </si>
  <si>
    <t>Weequay</t>
  </si>
  <si>
    <t>Sriluurian</t>
  </si>
  <si>
    <t>Whiphid</t>
  </si>
  <si>
    <t>Streetwise</t>
  </si>
  <si>
    <t>Gather Information is a class skill</t>
  </si>
  <si>
    <t>Wookiee</t>
  </si>
  <si>
    <t>Shyriiwook</t>
  </si>
  <si>
    <t>Physical attributes increase with age, but mental attributes do not increase</t>
  </si>
  <si>
    <t>Wroonian</t>
  </si>
  <si>
    <t>Cannot be tripped or knocked prone</t>
  </si>
  <si>
    <t>Yarkora</t>
  </si>
  <si>
    <t>May reroll any Survival check, but the result of the reroll must be accepted even if it is worse</t>
  </si>
  <si>
    <t>Can move at 4 squares while swimming</t>
  </si>
  <si>
    <t>Yuuzhan Vong</t>
  </si>
  <si>
    <t>Take no distance penalties on Perception checks made to notice targets up to 50 squares away</t>
  </si>
  <si>
    <t>Zabrak</t>
  </si>
  <si>
    <t>Zeltron</t>
  </si>
  <si>
    <t>Zeltron Empathy</t>
  </si>
  <si>
    <t>Once per encounter, aim with a single swift action</t>
  </si>
  <si>
    <t>Once per encounter as a swift action, gain the benefit of Uncanny Dodge I or II until the beginning of next turn</t>
  </si>
  <si>
    <t>Treat the lanvarok as a simple weapon</t>
  </si>
  <si>
    <t>SagaForge</t>
  </si>
  <si>
    <t>Version</t>
  </si>
  <si>
    <t>Strength</t>
  </si>
  <si>
    <t>Dexterity</t>
  </si>
  <si>
    <t>Constitution</t>
  </si>
  <si>
    <t>Intelligence</t>
  </si>
  <si>
    <t>Wisdom</t>
  </si>
  <si>
    <t>Charisma</t>
  </si>
  <si>
    <t>Point Buy</t>
  </si>
  <si>
    <t>Mod</t>
  </si>
  <si>
    <t>Racial</t>
  </si>
  <si>
    <t>EndRaceTable</t>
  </si>
  <si>
    <t>4th</t>
  </si>
  <si>
    <t>8th</t>
  </si>
  <si>
    <t>12th</t>
  </si>
  <si>
    <t>16th</t>
  </si>
  <si>
    <t>20th</t>
  </si>
  <si>
    <t>Bonus</t>
  </si>
  <si>
    <t>Final</t>
  </si>
  <si>
    <t>ClassTableEnd</t>
  </si>
  <si>
    <t>1st</t>
  </si>
  <si>
    <t>2nd</t>
  </si>
  <si>
    <t>3rd</t>
  </si>
  <si>
    <t>5th</t>
  </si>
  <si>
    <t>6th</t>
  </si>
  <si>
    <t>7th</t>
  </si>
  <si>
    <t>9th</t>
  </si>
  <si>
    <t>10th</t>
  </si>
  <si>
    <t>11th</t>
  </si>
  <si>
    <t>13th</t>
  </si>
  <si>
    <t>14th</t>
  </si>
  <si>
    <t>15th</t>
  </si>
  <si>
    <t>17th</t>
  </si>
  <si>
    <t>18th</t>
  </si>
  <si>
    <t>19th</t>
  </si>
  <si>
    <t>Age</t>
  </si>
  <si>
    <t>4 Fortitude bonus against cold hazards, none against heat hazards</t>
  </si>
  <si>
    <t>Swim 3</t>
  </si>
  <si>
    <t>noble</t>
  </si>
  <si>
    <t>Knights of the Old Republic Campaign Guide</t>
  </si>
  <si>
    <t>scoundrel</t>
  </si>
  <si>
    <t>Climb 3</t>
  </si>
  <si>
    <t>scout</t>
  </si>
  <si>
    <t>soldier</t>
  </si>
  <si>
    <t>nonheroic</t>
  </si>
  <si>
    <t>Clone Wars Campaign Guide</t>
  </si>
  <si>
    <t>ace pilot</t>
  </si>
  <si>
    <t>2 hours of breathable air</t>
  </si>
  <si>
    <t>bounty hunter</t>
  </si>
  <si>
    <t>Legacy Era Campaign Guide</t>
  </si>
  <si>
    <t>LECG</t>
  </si>
  <si>
    <t>crime lord</t>
  </si>
  <si>
    <t>elite trooper</t>
  </si>
  <si>
    <t>Force adept</t>
  </si>
  <si>
    <t>gunslinger</t>
  </si>
  <si>
    <t>Biotech tool kit</t>
  </si>
  <si>
    <t>,LECG,</t>
  </si>
  <si>
    <t>biotech tool kit</t>
  </si>
  <si>
    <t>biotech tool kits</t>
  </si>
  <si>
    <t>officer</t>
  </si>
  <si>
    <t>Sith apprentice</t>
  </si>
  <si>
    <t>Force disciple</t>
  </si>
  <si>
    <t>Blaster carbine, double-barreled</t>
  </si>
  <si>
    <t>,LECS,</t>
  </si>
  <si>
    <t>Double-shot (auto) mode with swift action</t>
  </si>
  <si>
    <t>double-barreled blaster carbine</t>
  </si>
  <si>
    <t>double-barreled blaster carbines</t>
  </si>
  <si>
    <t>Blaster carbine, hunting</t>
  </si>
  <si>
    <t>Deals d10s on a critical</t>
  </si>
  <si>
    <t>hunting blaster carbine</t>
  </si>
  <si>
    <t>hunting blaster carbines</t>
  </si>
  <si>
    <t>beast</t>
  </si>
  <si>
    <t>Blaster carbine, sporting</t>
  </si>
  <si>
    <t>Not treated as inaccurate when wielded with two hands</t>
  </si>
  <si>
    <t>sporting blaster carbine</t>
  </si>
  <si>
    <t>sporting blaster carbines</t>
  </si>
  <si>
    <t>Blaster pistol, bluebolt</t>
  </si>
  <si>
    <t>Can stun from 8 squares, but uses two charges</t>
  </si>
  <si>
    <t>bluebolt blaster pistol</t>
  </si>
  <si>
    <t>bluebolt blaster pistols</t>
  </si>
  <si>
    <t>Blaster pistol, snap shot</t>
  </si>
  <si>
    <t>+5 to Stealth checks to conceal</t>
  </si>
  <si>
    <t>snap shot blaster pistol</t>
  </si>
  <si>
    <t>snap shot blaster pistols</t>
  </si>
  <si>
    <t>Comlink, hands-free</t>
  </si>
  <si>
    <t>hands-free comlink</t>
  </si>
  <si>
    <t>hands-free comlinks</t>
  </si>
  <si>
    <t>Blaster rifle, heavy assault</t>
  </si>
  <si>
    <t>Deals d12s on a critical hit</t>
  </si>
  <si>
    <t>heavy assault blaster rifle</t>
  </si>
  <si>
    <t>heavy assault blaster rifles</t>
  </si>
  <si>
    <t>Extra Arms</t>
  </si>
  <si>
    <t>Skilled Grappler</t>
  </si>
  <si>
    <t>Shaper Lore</t>
  </si>
  <si>
    <t>Imperial Knight</t>
  </si>
  <si>
    <t>Feats: Force Sensitive, Armor Proficiency (light, medium), Weapon Proficiency (lightsabers)</t>
  </si>
  <si>
    <t>Must be a sworn defender of Emperor Roan Fel</t>
  </si>
  <si>
    <t>43 Imperial Knight</t>
  </si>
  <si>
    <t>imperial knight</t>
  </si>
  <si>
    <t>Shaper Hand</t>
  </si>
  <si>
    <t>Shaper</t>
  </si>
  <si>
    <t>Feat: Biotech Specialist</t>
  </si>
  <si>
    <t>Species: Yuuzhan Vong</t>
  </si>
  <si>
    <t>44 Shaper</t>
  </si>
  <si>
    <t>shaper</t>
  </si>
  <si>
    <t>Concealed dart launcher</t>
  </si>
  <si>
    <t>concealed dart launcher</t>
  </si>
  <si>
    <t>Yes (3d8)</t>
  </si>
  <si>
    <t>Dart</t>
  </si>
  <si>
    <t>concealed dart launchers</t>
  </si>
  <si>
    <t>Can hold up to four tiems or weapons at a time. This ability doesn't grant extra attacks; howevr it does allow two two-handed weapons to be wielded at a time</t>
  </si>
  <si>
    <t>Long-handle lightsaber</t>
  </si>
  <si>
    <t>Energy and slashing</t>
  </si>
  <si>
    <t>Two-handed forgo doubled damage bonus to deal 2d10 instead</t>
  </si>
  <si>
    <t>long-handle lightsaber</t>
  </si>
  <si>
    <t>long-handle lightsabers</t>
  </si>
  <si>
    <t>Spy bug</t>
  </si>
  <si>
    <t>spy bug</t>
  </si>
  <si>
    <t>spy bugs</t>
  </si>
  <si>
    <t>Mechanical Savant</t>
  </si>
  <si>
    <t>Once per encounter, can make a standard action Mechanics or Use Computer check as a swift action.</t>
  </si>
  <si>
    <t>Razor bug</t>
  </si>
  <si>
    <t>Treated as a simple weapon for determining range</t>
  </si>
  <si>
    <t>razor bug</t>
  </si>
  <si>
    <t>razor bugs</t>
  </si>
  <si>
    <t>Shock whip</t>
  </si>
  <si>
    <t>May Grab or Trip, reach 2, deal 2d6 damage as swift against grabbed</t>
  </si>
  <si>
    <t>shock whip</t>
  </si>
  <si>
    <t>shock whips</t>
  </si>
  <si>
    <t>Natural Armor</t>
  </si>
  <si>
    <t>+1 natural armor bonus to Reflex Defense. A natural armor bonus stacks with an armor bonus</t>
  </si>
  <si>
    <t>Can communicate with other members of same tribe by creating a scent that those with pheromonal Communication or Scent can detect, but only those of the same tribe can understand; Max rnage of 20 squares</t>
  </si>
  <si>
    <t>Tehk'la blade</t>
  </si>
  <si>
    <t>Piercing and slashing</t>
  </si>
  <si>
    <t>Deal +1d6 damage start of next round if attack also beat Fort defense</t>
  </si>
  <si>
    <t>Tehk'la blades</t>
  </si>
  <si>
    <t>Treated as a simple weapon for determining range, stun up to Short range</t>
  </si>
  <si>
    <t>Special Equipment (Skakoan)</t>
  </si>
  <si>
    <t>+5 Species bonus to grab attacks</t>
  </si>
  <si>
    <t>Require a pressure suit outside native atmosphere or takes 1d6 damge per round and suffocates</t>
  </si>
  <si>
    <t>Zeltron Pheromones</t>
  </si>
  <si>
    <t>A Zeltron gains a +5 species bonus on Persuasion checks made to change the attitudes of of other creatures. This bonus doesn't apply to other Zeltrons</t>
  </si>
  <si>
    <t>Height</t>
  </si>
  <si>
    <t>Hair</t>
  </si>
  <si>
    <t>Eyes</t>
  </si>
  <si>
    <t>Ability Scores</t>
  </si>
  <si>
    <t>Character Details</t>
  </si>
  <si>
    <t>Level</t>
  </si>
  <si>
    <t>Class Ref</t>
  </si>
  <si>
    <t>Class Fort</t>
  </si>
  <si>
    <t>Class Will</t>
  </si>
  <si>
    <t xml:space="preserve">Skills to Train in: </t>
  </si>
  <si>
    <t xml:space="preserve">Skills to Focus in: </t>
  </si>
  <si>
    <t>Ability</t>
  </si>
  <si>
    <t>Skill</t>
  </si>
  <si>
    <t>Campaign</t>
  </si>
  <si>
    <t>RacialAbilitiesStart</t>
  </si>
  <si>
    <t xml:space="preserve">Feats Available: </t>
  </si>
  <si>
    <t xml:space="preserve"> Character Feats</t>
  </si>
  <si>
    <t xml:space="preserve"> Class Feats</t>
  </si>
  <si>
    <t>Prerequisites</t>
  </si>
  <si>
    <t>Times</t>
  </si>
  <si>
    <t>Page</t>
  </si>
  <si>
    <t>A Few Maneuvers</t>
  </si>
  <si>
    <t>Dodge, Vehicular Combat</t>
  </si>
  <si>
    <t>TotG 64</t>
  </si>
  <si>
    <t>Accelerated Strike</t>
  </si>
  <si>
    <t>BAB +6</t>
  </si>
  <si>
    <t>KotOR 32</t>
  </si>
  <si>
    <t>Acrobatic Strike</t>
  </si>
  <si>
    <t>Trained in Acrobatics</t>
  </si>
  <si>
    <t>Advantageous Attack</t>
  </si>
  <si>
    <t>BAB +1</t>
  </si>
  <si>
    <t>TFU 31</t>
  </si>
  <si>
    <t>Advantageous Cover</t>
  </si>
  <si>
    <t>Trained in Stealth</t>
  </si>
  <si>
    <t>Angled Throw</t>
  </si>
  <si>
    <t>Dex 13</t>
  </si>
  <si>
    <t>TFU 32</t>
  </si>
  <si>
    <t>Anointed Hunter</t>
  </si>
  <si>
    <t>Nelvaanian species</t>
  </si>
  <si>
    <t>CW 28</t>
  </si>
  <si>
    <t>Armor Proficiency (medium)</t>
  </si>
  <si>
    <t>medium</t>
  </si>
  <si>
    <t>Artillery Shot</t>
  </si>
  <si>
    <t xml:space="preserve">Proficient with weapon used </t>
  </si>
  <si>
    <t>Assault</t>
  </si>
  <si>
    <t>Double Attack or Dual Weapon Mastery, BAB +6</t>
  </si>
  <si>
    <t>Attack Combo (Fire and Strike)</t>
  </si>
  <si>
    <t>LE 34</t>
  </si>
  <si>
    <t>Attack Combo (Melee)</t>
  </si>
  <si>
    <t>Base attack bonus +3</t>
  </si>
  <si>
    <t>Attack Combo (Ranged)</t>
  </si>
  <si>
    <t>Autofire Assault</t>
  </si>
  <si>
    <t>Weapon Focus (chosen weapon)</t>
  </si>
  <si>
    <t>Autofire Sweep</t>
  </si>
  <si>
    <t>Bad Feeling</t>
  </si>
  <si>
    <t>Bantha Rush</t>
  </si>
  <si>
    <t>Str 13, BAB + 1</t>
  </si>
  <si>
    <t>Biotech Specialist</t>
  </si>
  <si>
    <t>Trained in Mechanics skill</t>
  </si>
  <si>
    <t>Biotech Surgery</t>
  </si>
  <si>
    <t>Trained in Treat Injury Skill</t>
  </si>
  <si>
    <t>LE 35</t>
  </si>
  <si>
    <t>Blaster Barrage</t>
  </si>
  <si>
    <t>Coordinated Attack</t>
  </si>
  <si>
    <t>Brink of Death</t>
  </si>
  <si>
    <t>Burst Fire</t>
  </si>
  <si>
    <t>Weapon Proficiency (heavy)</t>
  </si>
  <si>
    <t>Burst of Speed</t>
  </si>
  <si>
    <t>Trained in the Endurance skill</t>
  </si>
  <si>
    <t>SaV 21</t>
  </si>
  <si>
    <t>Careful Shot</t>
  </si>
  <si>
    <t>Point Blank Shot, BAB +2</t>
  </si>
  <si>
    <t>Charging Fire</t>
  </si>
  <si>
    <t>BAB +4</t>
  </si>
  <si>
    <t>Cleave</t>
  </si>
  <si>
    <t>Power Attack</t>
  </si>
  <si>
    <t>Close Combat Escape</t>
  </si>
  <si>
    <t>Trained in the Acrobatics skill</t>
  </si>
  <si>
    <t>Collateral Damage</t>
  </si>
  <si>
    <t>Rapid Shot, BAB +6</t>
  </si>
  <si>
    <t>Combat Reflexes</t>
  </si>
  <si>
    <t>Conditioning</t>
  </si>
  <si>
    <t>Str 13, Con 13</t>
  </si>
  <si>
    <t>Controlled Rage</t>
  </si>
  <si>
    <t>TFU 33</t>
  </si>
  <si>
    <t>BAB +2</t>
  </si>
  <si>
    <t>Coordinated Barrage</t>
  </si>
  <si>
    <t>Coordinated Attack, BAB +5</t>
  </si>
  <si>
    <t>Cornered</t>
  </si>
  <si>
    <t>Critical Strike</t>
  </si>
  <si>
    <t>BAB +9, Weapon Focus</t>
  </si>
  <si>
    <t>Crossfire</t>
  </si>
  <si>
    <t>Point Blank shot, Precise Shot, BAB +6</t>
  </si>
  <si>
    <t>Crush</t>
  </si>
  <si>
    <t>Cunning Attack</t>
  </si>
  <si>
    <t>Cybernetic Surgery</t>
  </si>
  <si>
    <t>Trained in Treat Injury</t>
  </si>
  <si>
    <t>Deadeye</t>
  </si>
  <si>
    <t>Precise Shot, BAB +4</t>
  </si>
  <si>
    <t>Deadly Sniper</t>
  </si>
  <si>
    <t>Sniper, trained in the Stealth skill, BAB +9</t>
  </si>
  <si>
    <t>Deceptive Drop</t>
  </si>
  <si>
    <t>Trained in the Initiative skill</t>
  </si>
  <si>
    <t>Desperate Gambit</t>
  </si>
  <si>
    <t>Dodge</t>
  </si>
  <si>
    <t>Double Attack</t>
  </si>
  <si>
    <t>BAB +6, proficient with weapon</t>
  </si>
  <si>
    <t>Dreadful Countenance</t>
  </si>
  <si>
    <t>Cha 13, member of Sith tradition</t>
  </si>
  <si>
    <t>Dreadful Rage</t>
  </si>
  <si>
    <t>Ability to Rage, BAB +1</t>
  </si>
  <si>
    <t>Droid Hunter</t>
  </si>
  <si>
    <t>Proficient with weapon used</t>
  </si>
  <si>
    <t>CW 29</t>
  </si>
  <si>
    <t>Droidcraft</t>
  </si>
  <si>
    <t>Trained in Mechanics</t>
  </si>
  <si>
    <t>Dex 13, BAB +1</t>
  </si>
  <si>
    <t>Dual Weapon Mastery II</t>
  </si>
  <si>
    <t>Dex 15, BAB +6, Dual Weapon Mastery I</t>
  </si>
  <si>
    <t>Dual Weapon Mastery III</t>
  </si>
  <si>
    <t>Dex 17, BAB +11, Dual Weapon Mastery II</t>
  </si>
  <si>
    <t>Duck and Cover</t>
  </si>
  <si>
    <t>Trained in the Stealth skill</t>
  </si>
  <si>
    <t>Echani Training</t>
  </si>
  <si>
    <t>Dex 13, Martial Arts I</t>
  </si>
  <si>
    <t>KotOR 33</t>
  </si>
  <si>
    <t>BAB +1, choose a weapon</t>
  </si>
  <si>
    <t>Experienced Medic</t>
  </si>
  <si>
    <t xml:space="preserve">Trained in Treat Injury </t>
  </si>
  <si>
    <t>Expert Droid Repair</t>
  </si>
  <si>
    <t>Extra Rage</t>
  </si>
  <si>
    <t>Ability to Rage</t>
  </si>
  <si>
    <t>Extra Second Wind</t>
  </si>
  <si>
    <t>Trained in Endurance</t>
  </si>
  <si>
    <t>Far Shot</t>
  </si>
  <si>
    <t>Point Blank Shot</t>
  </si>
  <si>
    <t>Fatal Hit</t>
  </si>
  <si>
    <t>Str 13, Dex 13</t>
  </si>
  <si>
    <t>Feat of Strength</t>
  </si>
  <si>
    <t>Str 15</t>
  </si>
  <si>
    <t>LE 36</t>
  </si>
  <si>
    <t>Flash and Clear</t>
  </si>
  <si>
    <t>Fleet-Footed</t>
  </si>
  <si>
    <t>Running Attack</t>
  </si>
  <si>
    <t>Flood of Fire</t>
  </si>
  <si>
    <t>Flurry</t>
  </si>
  <si>
    <t>Focused Rage</t>
  </si>
  <si>
    <t>Force Boon</t>
  </si>
  <si>
    <t>Force Readiness</t>
  </si>
  <si>
    <t>Not a droid</t>
  </si>
  <si>
    <t>Force Sensitive, Trained in Use The Force</t>
  </si>
  <si>
    <t>Friends in Low Places</t>
  </si>
  <si>
    <t>Trained in the Gather Information skill</t>
  </si>
  <si>
    <t xml:space="preserve">Galactic Alliance Military Training </t>
  </si>
  <si>
    <t>Gearhead</t>
  </si>
  <si>
    <t>Grand Army of the Republic Training</t>
  </si>
  <si>
    <t>Proficient with armor worn</t>
  </si>
  <si>
    <t>CW 31</t>
  </si>
  <si>
    <t>Grapple Resistance</t>
  </si>
  <si>
    <t>Great Cleave</t>
  </si>
  <si>
    <t>Cleave, BAB +4</t>
  </si>
  <si>
    <t>Gunnery Specialist</t>
  </si>
  <si>
    <t>Hasty Modification</t>
  </si>
  <si>
    <t>Tech Specialist</t>
  </si>
  <si>
    <t>SaV 22</t>
  </si>
  <si>
    <t>Hidious Visage</t>
  </si>
  <si>
    <t>Shapeshift species trait</t>
  </si>
  <si>
    <t>Impersonate</t>
  </si>
  <si>
    <t>SaV 23</t>
  </si>
  <si>
    <t>Impetuous Move</t>
  </si>
  <si>
    <t>Con 13</t>
  </si>
  <si>
    <t>Implant Training</t>
  </si>
  <si>
    <t>Must possess a cybernetic implant</t>
  </si>
  <si>
    <t>Improved Bantha Rush</t>
  </si>
  <si>
    <t>Str 15, Bantha Rush, BAB +1</t>
  </si>
  <si>
    <t>Improved Charge</t>
  </si>
  <si>
    <t>Mobility</t>
  </si>
  <si>
    <t>Improved Defenses</t>
  </si>
  <si>
    <t>Improved Disarm</t>
  </si>
  <si>
    <t>Melee Defense</t>
  </si>
  <si>
    <t>Improved Rapid Strike</t>
  </si>
  <si>
    <t>Rapid Strike</t>
  </si>
  <si>
    <t>Impulsive Flight</t>
  </si>
  <si>
    <t>Increased Agility</t>
  </si>
  <si>
    <t>Informer</t>
  </si>
  <si>
    <t>Trained in Perception</t>
  </si>
  <si>
    <t>Jedi Familiarity</t>
  </si>
  <si>
    <t>Knife Trick</t>
  </si>
  <si>
    <t>Lightning Draw, trained in the Stealth skill</t>
  </si>
  <si>
    <t>Knock Heads</t>
  </si>
  <si>
    <t>Dex 13, Str 13, Multi-Grab</t>
  </si>
  <si>
    <t>Leader of Droids</t>
  </si>
  <si>
    <t>Lightning Draw</t>
  </si>
  <si>
    <t>Int 13</t>
  </si>
  <si>
    <t>Logic Upgrade: Self-Defense</t>
  </si>
  <si>
    <t>KotOR 34</t>
  </si>
  <si>
    <t>Logic Upgrade: Tactician</t>
  </si>
  <si>
    <t>Droid, BAB +4</t>
  </si>
  <si>
    <t>Mandalorian Training</t>
  </si>
  <si>
    <t>Martial Arts I</t>
  </si>
  <si>
    <t>Martial Arts II</t>
  </si>
  <si>
    <t>Martial Arts I, BAB +3</t>
  </si>
  <si>
    <t>Martial Arts III</t>
  </si>
  <si>
    <t>Martial Arts II, BAB +6</t>
  </si>
  <si>
    <t>Con 13, shapeshift species trait, trained in Deception skill</t>
  </si>
  <si>
    <t>Mighty Swing</t>
  </si>
  <si>
    <t>Str 13</t>
  </si>
  <si>
    <t>Mighty Throw</t>
  </si>
  <si>
    <t>Momentum Strike</t>
  </si>
  <si>
    <t>Trained in Pilot or Ride</t>
  </si>
  <si>
    <t>TotG 127</t>
  </si>
  <si>
    <t>Mounted Defense</t>
  </si>
  <si>
    <t>Multi-Grab</t>
  </si>
  <si>
    <t>Natural Leader</t>
  </si>
  <si>
    <t>Cha 13</t>
  </si>
  <si>
    <t>TFU 34</t>
  </si>
  <si>
    <t>Opportunistic Retreat</t>
  </si>
  <si>
    <t>Overwhelming Attack</t>
  </si>
  <si>
    <t>Pall of the Dark Side</t>
  </si>
  <si>
    <t>Dark Side Score 1+</t>
  </si>
  <si>
    <t>Power Blast</t>
  </si>
  <si>
    <t>Powerful Charge</t>
  </si>
  <si>
    <t>Medium or larger, BAB+1</t>
  </si>
  <si>
    <t>Powerful Rage</t>
  </si>
  <si>
    <t>Quick Skill</t>
  </si>
  <si>
    <t>Rancor Crush</t>
  </si>
  <si>
    <t>Str 15, Crush, Pin, base attack bonus +1</t>
  </si>
  <si>
    <t>Return Fire</t>
  </si>
  <si>
    <t>Dex 15, Quick Draw, Weapon Focus (chosen ranged weapon)</t>
  </si>
  <si>
    <t>LE 37</t>
  </si>
  <si>
    <t>Rapid Shot</t>
  </si>
  <si>
    <t>BAB + 1, proficient with weapon</t>
  </si>
  <si>
    <t>BAB +1, proficient with weapon</t>
  </si>
  <si>
    <t>Rapport</t>
  </si>
  <si>
    <t>Recall</t>
  </si>
  <si>
    <t>Trained in a Knowledge skill</t>
  </si>
  <si>
    <t>TFU 35</t>
  </si>
  <si>
    <t>Republic Military Training</t>
  </si>
  <si>
    <t>KotOR 35</t>
  </si>
  <si>
    <t>Resurgance</t>
  </si>
  <si>
    <t>SaV 24</t>
  </si>
  <si>
    <t>Savage Attack</t>
  </si>
  <si>
    <t>Separatist Military Training</t>
  </si>
  <si>
    <t>Shake it Off</t>
  </si>
  <si>
    <t>Con 13, Trained in Endurance</t>
  </si>
  <si>
    <t>Signature Device</t>
  </si>
  <si>
    <t>Sith Military Training</t>
  </si>
  <si>
    <t>Skill Training</t>
  </si>
  <si>
    <t>Slippery Maneuver</t>
  </si>
  <si>
    <t>Spray Shot</t>
  </si>
  <si>
    <t>Sniper Shot</t>
  </si>
  <si>
    <t>Staggering Attack</t>
  </si>
  <si>
    <t>Sneak Attack talent or Rapid Shot or Rapid Strike</t>
  </si>
  <si>
    <t>Starship Designer</t>
  </si>
  <si>
    <t>Tech Specialist, Trained in Mechanics</t>
  </si>
  <si>
    <t>SotG 20</t>
  </si>
  <si>
    <t>Starship Tactics</t>
  </si>
  <si>
    <t>Vehicular Combat, Trained in Pilot</t>
  </si>
  <si>
    <t>Stay Up</t>
  </si>
  <si>
    <t>Strafe</t>
  </si>
  <si>
    <t>Strong in the Force</t>
  </si>
  <si>
    <t>Superior Tech</t>
  </si>
  <si>
    <t>Suppression Fire</t>
  </si>
  <si>
    <t>Str 13, Burst Fire, Weapon Proficiency (heavy)</t>
  </si>
  <si>
    <t>TotG 91</t>
  </si>
  <si>
    <t>Surgical Expertise</t>
  </si>
  <si>
    <t>Swarm</t>
  </si>
  <si>
    <t>Tactical Advantage</t>
  </si>
  <si>
    <t>SaV 25</t>
  </si>
  <si>
    <t>Tactical Genius</t>
  </si>
  <si>
    <t>Starship Tactics, Vehicular Combat</t>
  </si>
  <si>
    <t>Throw</t>
  </si>
  <si>
    <t>Trench Warrior</t>
  </si>
  <si>
    <t>Triple Attack</t>
  </si>
  <si>
    <t>BAB +9, Double Attack</t>
  </si>
  <si>
    <t xml:space="preserve">Triple Critical </t>
  </si>
  <si>
    <t>BAB +8, choose a weapon</t>
  </si>
  <si>
    <t>Tumble Defense</t>
  </si>
  <si>
    <t>Unleashed</t>
  </si>
  <si>
    <t>Destiny</t>
  </si>
  <si>
    <t>Unstoppable Force</t>
  </si>
  <si>
    <t>Unwavering Resolve</t>
  </si>
  <si>
    <t>CW 32</t>
  </si>
  <si>
    <t>Vechicle Systems Expertise</t>
  </si>
  <si>
    <t>Tech Specialist, trained in Mechanics</t>
  </si>
  <si>
    <t>Vehicular Combat</t>
  </si>
  <si>
    <t>Trained in Pilot</t>
  </si>
  <si>
    <t>Wary Defender</t>
  </si>
  <si>
    <t>Weapon Focus</t>
  </si>
  <si>
    <t>Choose a weapon</t>
  </si>
  <si>
    <t>Weapon Proficiency</t>
  </si>
  <si>
    <t>Whirlwind Attack</t>
  </si>
  <si>
    <t>Dex 13, Int 13, Melee Defense, BAB +4</t>
  </si>
  <si>
    <t>Wicked Strike</t>
  </si>
  <si>
    <t>Withdrawal Strike</t>
  </si>
  <si>
    <t>BAB +5</t>
  </si>
  <si>
    <t>Zero Range</t>
  </si>
  <si>
    <t>Point Blank shot</t>
  </si>
  <si>
    <t>Attack Combo (Melee), Attack Combo (Ranged), BAB +9</t>
  </si>
  <si>
    <t>Class Feat</t>
  </si>
  <si>
    <t>Taken</t>
  </si>
  <si>
    <t>Character Feat</t>
  </si>
  <si>
    <t>Racial Feat</t>
  </si>
  <si>
    <t>Ability Modifier</t>
  </si>
  <si>
    <t>Class Bonus Feat</t>
  </si>
  <si>
    <t>Species Skill Focus</t>
  </si>
  <si>
    <t>Knowledge (Physical Sciences)</t>
  </si>
  <si>
    <t xml:space="preserve">Talents Available: </t>
  </si>
  <si>
    <t>Available</t>
  </si>
  <si>
    <t>Jedi Consular</t>
  </si>
  <si>
    <t>Adept Negotiator</t>
  </si>
  <si>
    <t>Aggressive Negotiator</t>
  </si>
  <si>
    <t>LE 26</t>
  </si>
  <si>
    <t>Consular's Wisdom</t>
  </si>
  <si>
    <t>Force Persuasion</t>
  </si>
  <si>
    <t>Master Negotiator</t>
  </si>
  <si>
    <t>Cleanse Mind</t>
  </si>
  <si>
    <t>TFU 24</t>
  </si>
  <si>
    <t>Collective Visions</t>
  </si>
  <si>
    <t>KotOR 24</t>
  </si>
  <si>
    <t>Consular's Vitality</t>
  </si>
  <si>
    <t>CW 22</t>
  </si>
  <si>
    <t>Improved Consular's Vitality</t>
  </si>
  <si>
    <t>Entreat Aid</t>
  </si>
  <si>
    <t>Force of Will</t>
  </si>
  <si>
    <t>Renew Vision</t>
  </si>
  <si>
    <t>KotOR 25</t>
  </si>
  <si>
    <t>Skilled Advisor</t>
  </si>
  <si>
    <t>WatchCircle Initiate</t>
  </si>
  <si>
    <t>Visionary Attack</t>
  </si>
  <si>
    <t>Visionary Defense</t>
  </si>
  <si>
    <t>Jedi Guardian</t>
  </si>
  <si>
    <t>Acrobatic Recovery</t>
  </si>
  <si>
    <t>Battle Meditation</t>
  </si>
  <si>
    <t>Improved Battle Meditation</t>
  </si>
  <si>
    <t>Defensive Acuity</t>
  </si>
  <si>
    <t>LE 27</t>
  </si>
  <si>
    <t>Elusive Target</t>
  </si>
  <si>
    <t>Exposing Strike</t>
  </si>
  <si>
    <t>Guardian Strike</t>
  </si>
  <si>
    <t>Force Intuition</t>
  </si>
  <si>
    <t>Forceful Warrior</t>
  </si>
  <si>
    <t>Mobile Combatant</t>
  </si>
  <si>
    <t>Resilience</t>
  </si>
  <si>
    <t>Jedi Sentinel</t>
  </si>
  <si>
    <t>Clear Mind</t>
  </si>
  <si>
    <t>Force Haze</t>
  </si>
  <si>
    <t>Persistant Haze</t>
  </si>
  <si>
    <t>SaV 13</t>
  </si>
  <si>
    <t>Unseen Eyes</t>
  </si>
  <si>
    <t>Dampen Presence</t>
  </si>
  <si>
    <t>Dark Side Sense</t>
  </si>
  <si>
    <t>Dark Side Bane</t>
  </si>
  <si>
    <t>Dark Side Scourge</t>
  </si>
  <si>
    <t>Resist the Dark Side</t>
  </si>
  <si>
    <t>Sentinel Strike</t>
  </si>
  <si>
    <t>Dark Retaliation</t>
  </si>
  <si>
    <t>Sentinel's Gambit</t>
  </si>
  <si>
    <t>Sentinel's Observation</t>
  </si>
  <si>
    <t>Steel Resolve</t>
  </si>
  <si>
    <t>Lightsaber Combat</t>
  </si>
  <si>
    <t>Block</t>
  </si>
  <si>
    <t>Riposte</t>
  </si>
  <si>
    <t>Cortosis Gauntlet Block</t>
  </si>
  <si>
    <t>Deflect</t>
  </si>
  <si>
    <t>Redirect Shot</t>
  </si>
  <si>
    <t>Lightsaber Defense</t>
  </si>
  <si>
    <t>Precision</t>
  </si>
  <si>
    <t>Weapon Specialization (lightsabers)</t>
  </si>
  <si>
    <t>Lightsaber Throw</t>
  </si>
  <si>
    <t>The Force</t>
  </si>
  <si>
    <t>Alter</t>
  </si>
  <si>
    <t>Aversion</t>
  </si>
  <si>
    <t>CW 53</t>
  </si>
  <si>
    <t>Disciplined Strike</t>
  </si>
  <si>
    <t>Force Flow</t>
  </si>
  <si>
    <t>KotOR 52</t>
  </si>
  <si>
    <t>Illusion</t>
  </si>
  <si>
    <t>Telekinetic Power</t>
  </si>
  <si>
    <t>Move Massive Object</t>
  </si>
  <si>
    <t>LE 55</t>
  </si>
  <si>
    <t>Telekinetic Savant</t>
  </si>
  <si>
    <t>Telekinetic Prodigy</t>
  </si>
  <si>
    <t>TFU 88</t>
  </si>
  <si>
    <t>Telepathic Link</t>
  </si>
  <si>
    <t>KotOR 53</t>
  </si>
  <si>
    <t>Telepathic Influence</t>
  </si>
  <si>
    <t>Control</t>
  </si>
  <si>
    <t>Beast Trick</t>
  </si>
  <si>
    <t>Damage Reduction 10</t>
  </si>
  <si>
    <t>Equilibrium</t>
  </si>
  <si>
    <t>Force Recovery</t>
  </si>
  <si>
    <t>Force Exertion</t>
  </si>
  <si>
    <t>Force Focus</t>
  </si>
  <si>
    <t>Force Suppression</t>
  </si>
  <si>
    <t>Indomitable Will</t>
  </si>
  <si>
    <t>Telekinetic Stability</t>
  </si>
  <si>
    <t>The Will to Resist</t>
  </si>
  <si>
    <t>Dark Side</t>
  </si>
  <si>
    <t>Consumed by Darkness</t>
  </si>
  <si>
    <t>Drain Knowledge</t>
  </si>
  <si>
    <t>TotG 30</t>
  </si>
  <si>
    <t>Power of the Dark Side</t>
  </si>
  <si>
    <t>Dark Presence</t>
  </si>
  <si>
    <t>Revenge</t>
  </si>
  <si>
    <t>Dark Preservation</t>
  </si>
  <si>
    <t>Swift Power</t>
  </si>
  <si>
    <t>Wrath of the Dark Side</t>
  </si>
  <si>
    <t>Light Side</t>
  </si>
  <si>
    <t>At Peace</t>
  </si>
  <si>
    <t>Focused Attack</t>
  </si>
  <si>
    <t>Attuned</t>
  </si>
  <si>
    <t>Surge of Light</t>
  </si>
  <si>
    <t>Sense</t>
  </si>
  <si>
    <t>Feel the Force</t>
  </si>
  <si>
    <t>Force Perception</t>
  </si>
  <si>
    <t>Foresight</t>
  </si>
  <si>
    <t>Gauge Force Potential</t>
  </si>
  <si>
    <t>Psychometry</t>
  </si>
  <si>
    <t>Visions</t>
  </si>
  <si>
    <t>Force Pilot</t>
  </si>
  <si>
    <t>Force Reflexes</t>
  </si>
  <si>
    <t>SotG 16</t>
  </si>
  <si>
    <t>Shift Sense</t>
  </si>
  <si>
    <t>Collaborator</t>
  </si>
  <si>
    <t>Double Agent</t>
  </si>
  <si>
    <t>Protection</t>
  </si>
  <si>
    <t>CW 23</t>
  </si>
  <si>
    <t>Enemy Tactics</t>
  </si>
  <si>
    <t>Friendly Fire</t>
  </si>
  <si>
    <t>Feed Information</t>
  </si>
  <si>
    <t>Disgrace</t>
  </si>
  <si>
    <t>Castigate</t>
  </si>
  <si>
    <t>SaV 14</t>
  </si>
  <si>
    <t>Dirty Tactics</t>
  </si>
  <si>
    <t>Ambush</t>
  </si>
  <si>
    <t>CW 40</t>
  </si>
  <si>
    <t>Misplaced Loyalty</t>
  </si>
  <si>
    <t>Two-Faced</t>
  </si>
  <si>
    <t>Unreadable</t>
  </si>
  <si>
    <t>Fencing</t>
  </si>
  <si>
    <t>Noble Fencing Style</t>
  </si>
  <si>
    <t>KotOR 27</t>
  </si>
  <si>
    <t>Demoralizing Defense</t>
  </si>
  <si>
    <t>KotOR 26</t>
  </si>
  <si>
    <t>Leading Feint</t>
  </si>
  <si>
    <t>Personal Affront</t>
  </si>
  <si>
    <t>Transposing Strike</t>
  </si>
  <si>
    <t>Idealogue</t>
  </si>
  <si>
    <t>Idealist</t>
  </si>
  <si>
    <t>TFU 25</t>
  </si>
  <si>
    <t>Instruction</t>
  </si>
  <si>
    <t>Know Your Enemy</t>
  </si>
  <si>
    <t>Known Dissident</t>
  </si>
  <si>
    <t>Lead by Example</t>
  </si>
  <si>
    <t>Presence</t>
  </si>
  <si>
    <t>Demand Surrender</t>
  </si>
  <si>
    <t>Fluster</t>
  </si>
  <si>
    <t>Intimidating Defense</t>
  </si>
  <si>
    <t>Weaken Resolve</t>
  </si>
  <si>
    <t>Improved Weaken Resolve</t>
  </si>
  <si>
    <t>Inspiration</t>
  </si>
  <si>
    <t>Bolster Ally</t>
  </si>
  <si>
    <t>Inspire Confidence</t>
  </si>
  <si>
    <t>Beloved</t>
  </si>
  <si>
    <t>Ignite Fervor</t>
  </si>
  <si>
    <t>Inspire Zeal</t>
  </si>
  <si>
    <t>Willpower</t>
  </si>
  <si>
    <t>Inspire Haste</t>
  </si>
  <si>
    <t>Leadership</t>
  </si>
  <si>
    <t>Born Leader</t>
  </si>
  <si>
    <t>Distant Command</t>
  </si>
  <si>
    <t>Rally</t>
  </si>
  <si>
    <t>Fearless Leader</t>
  </si>
  <si>
    <t>Reactionary Attack</t>
  </si>
  <si>
    <t>Coordinate</t>
  </si>
  <si>
    <t>Trust</t>
  </si>
  <si>
    <t>Lineage</t>
  </si>
  <si>
    <t>Influential Friends</t>
  </si>
  <si>
    <t>Powerful Friends</t>
  </si>
  <si>
    <t>TFU 26</t>
  </si>
  <si>
    <t>Educated</t>
  </si>
  <si>
    <t>Engineer</t>
  </si>
  <si>
    <t>Spontaneous Skill</t>
  </si>
  <si>
    <t>Wealth</t>
  </si>
  <si>
    <t>Loyal Protector</t>
  </si>
  <si>
    <t>Inspire Loyalty</t>
  </si>
  <si>
    <t>Protector Actions</t>
  </si>
  <si>
    <t>Punishing Protection</t>
  </si>
  <si>
    <t>Undying Loyalty</t>
  </si>
  <si>
    <t>Provocateur</t>
  </si>
  <si>
    <t>Cast Suspicion</t>
  </si>
  <si>
    <t>Friend or Foe</t>
  </si>
  <si>
    <t>True Betrayer</t>
  </si>
  <si>
    <t>LE 28</t>
  </si>
  <si>
    <t>Stolen Advantage</t>
  </si>
  <si>
    <t>Distress to Discord</t>
  </si>
  <si>
    <t>Seize the Moment</t>
  </si>
  <si>
    <t>Fortune</t>
  </si>
  <si>
    <t>Fool's Luck</t>
  </si>
  <si>
    <t>Avert Disaster</t>
  </si>
  <si>
    <t>Better Lucky Than Dead</t>
  </si>
  <si>
    <t>Fortune's Favor</t>
  </si>
  <si>
    <t>Gambler</t>
  </si>
  <si>
    <t>Knack</t>
  </si>
  <si>
    <t>Lucky Shot</t>
  </si>
  <si>
    <t>Dumb Luck</t>
  </si>
  <si>
    <t>Ricochet Shot</t>
  </si>
  <si>
    <t>SaV 15</t>
  </si>
  <si>
    <t>Uncanny Luck</t>
  </si>
  <si>
    <t>Unlikely Shot</t>
  </si>
  <si>
    <t>Lucky Stop</t>
  </si>
  <si>
    <t>Labrynthine Mind</t>
  </si>
  <si>
    <t>Malkite Poisoner</t>
  </si>
  <si>
    <t>Malkite Techniques</t>
  </si>
  <si>
    <t>TotG 13</t>
  </si>
  <si>
    <t>Modify Poison</t>
  </si>
  <si>
    <t>Numbing Poison</t>
  </si>
  <si>
    <t>Undetectable Poison</t>
  </si>
  <si>
    <t>Vicious Poison</t>
  </si>
  <si>
    <t>Misfortune</t>
  </si>
  <si>
    <t>Befuddle</t>
  </si>
  <si>
    <t>Dastardly Strike</t>
  </si>
  <si>
    <t>Weakening Strike</t>
  </si>
  <si>
    <t>Disruptive</t>
  </si>
  <si>
    <t>Walk the Line</t>
  </si>
  <si>
    <t>Cunning Strategist</t>
  </si>
  <si>
    <t>Hesitate</t>
  </si>
  <si>
    <t>Sow Confusion</t>
  </si>
  <si>
    <t>Seducer</t>
  </si>
  <si>
    <t>LE 29</t>
  </si>
  <si>
    <t>Seize Object</t>
  </si>
  <si>
    <t>Skirmisher</t>
  </si>
  <si>
    <t>Improved Skirmisher</t>
  </si>
  <si>
    <t>Sudden Strike</t>
  </si>
  <si>
    <t>Stymie</t>
  </si>
  <si>
    <t>CW 24</t>
  </si>
  <si>
    <t>Opportunist</t>
  </si>
  <si>
    <t>Advantageous Opening</t>
  </si>
  <si>
    <t>Thrive on Chaos</t>
  </si>
  <si>
    <t>Retribution</t>
  </si>
  <si>
    <t>Vindication</t>
  </si>
  <si>
    <t>Slip By</t>
  </si>
  <si>
    <t>Outlaw Tech</t>
  </si>
  <si>
    <t>Fast Repairs</t>
  </si>
  <si>
    <t>Hotwire</t>
  </si>
  <si>
    <t>Quick Fix</t>
  </si>
  <si>
    <t>SotG 17</t>
  </si>
  <si>
    <t>Personalized Modifications</t>
  </si>
  <si>
    <t>Run and Gun</t>
  </si>
  <si>
    <t>Opportunistic Strike</t>
  </si>
  <si>
    <t>Cheap Shot</t>
  </si>
  <si>
    <t>No Escape</t>
  </si>
  <si>
    <t>Strike and Run</t>
  </si>
  <si>
    <t>KotOR 28</t>
  </si>
  <si>
    <t>Slippery Strike</t>
  </si>
  <si>
    <t>Slicer</t>
  </si>
  <si>
    <t>Electronic Forgery</t>
  </si>
  <si>
    <t>TFU 27</t>
  </si>
  <si>
    <t>Electronic Sabotage</t>
  </si>
  <si>
    <t>Virus</t>
  </si>
  <si>
    <t>SaV 16</t>
  </si>
  <si>
    <t>Gimmick</t>
  </si>
  <si>
    <t>Master Slicer</t>
  </si>
  <si>
    <t>Security Slicer</t>
  </si>
  <si>
    <t>Trace</t>
  </si>
  <si>
    <t>Smuggler</t>
  </si>
  <si>
    <t>Art of Concealment</t>
  </si>
  <si>
    <t>Fast Talker</t>
  </si>
  <si>
    <t>Hidden Weapons</t>
  </si>
  <si>
    <t>Illicit Dealings</t>
  </si>
  <si>
    <t>Surprise Strike</t>
  </si>
  <si>
    <t>Spacer</t>
  </si>
  <si>
    <t>Hyperdriven</t>
  </si>
  <si>
    <t>Spacehound</t>
  </si>
  <si>
    <t>Starship Raider</t>
  </si>
  <si>
    <t>Cramped Quarters Fighting</t>
  </si>
  <si>
    <t>Stellar Warrior</t>
  </si>
  <si>
    <t>Make a Break for It</t>
  </si>
  <si>
    <t>Yuuzhan Vong Biotech</t>
  </si>
  <si>
    <t>Biotech Adept</t>
  </si>
  <si>
    <t>Bugbite</t>
  </si>
  <si>
    <t>Curved Throw</t>
  </si>
  <si>
    <t>Surprising Weapons</t>
  </si>
  <si>
    <t>Veiled Biotech</t>
  </si>
  <si>
    <t>Awareness</t>
  </si>
  <si>
    <t>Acute Senses</t>
  </si>
  <si>
    <t>Expert Tracker</t>
  </si>
  <si>
    <t>Improved Initiative</t>
  </si>
  <si>
    <t>Reset Initiative</t>
  </si>
  <si>
    <t>TFU 28</t>
  </si>
  <si>
    <t>Uncanny Dodge I</t>
  </si>
  <si>
    <t>Uncanny Dodge II</t>
  </si>
  <si>
    <t>Keen Shot</t>
  </si>
  <si>
    <t>Weak Point</t>
  </si>
  <si>
    <t>Hunker Down</t>
  </si>
  <si>
    <t>Improved Stealth</t>
  </si>
  <si>
    <t>Hidden Movement</t>
  </si>
  <si>
    <t>Hide in Plain Sight</t>
  </si>
  <si>
    <t>Shadow Striker</t>
  </si>
  <si>
    <t>Total Concealment</t>
  </si>
  <si>
    <t>Fringer</t>
  </si>
  <si>
    <t>Barter</t>
  </si>
  <si>
    <t>Fringe Savant</t>
  </si>
  <si>
    <t>Long Stride</t>
  </si>
  <si>
    <t>Flee</t>
  </si>
  <si>
    <t>SaV 17</t>
  </si>
  <si>
    <t>Sidestep</t>
  </si>
  <si>
    <t>Swift Strider</t>
  </si>
  <si>
    <t>Surge</t>
  </si>
  <si>
    <t>Jury Rigger</t>
  </si>
  <si>
    <t>Keep it Together</t>
  </si>
  <si>
    <t>Hyperspace Explorer</t>
  </si>
  <si>
    <t>Deep-Space Gambit</t>
  </si>
  <si>
    <t>Guidance</t>
  </si>
  <si>
    <t>Hidden Attacker</t>
  </si>
  <si>
    <t>KotOR 29</t>
  </si>
  <si>
    <t>Hyperspace Savant</t>
  </si>
  <si>
    <t>Vehicle Sneak</t>
  </si>
  <si>
    <t>Reconnaissance</t>
  </si>
  <si>
    <t>Get Into Position</t>
  </si>
  <si>
    <t>CW 25</t>
  </si>
  <si>
    <t>Reconnaissance Team Leader</t>
  </si>
  <si>
    <t>Close-Combat Assault</t>
  </si>
  <si>
    <t>Reconnaissance Actions</t>
  </si>
  <si>
    <t>Spy</t>
  </si>
  <si>
    <t>Blend In</t>
  </si>
  <si>
    <t>Incognito</t>
  </si>
  <si>
    <t>Surveillance</t>
  </si>
  <si>
    <t>Improved Surveillance</t>
  </si>
  <si>
    <t>Intimate Knowledge</t>
  </si>
  <si>
    <t>Traceless Tampering</t>
  </si>
  <si>
    <t>Hidden Eyes</t>
  </si>
  <si>
    <t>Seek and Destroy</t>
  </si>
  <si>
    <t>Hunt the Hunter</t>
  </si>
  <si>
    <t>Spotter</t>
  </si>
  <si>
    <t>Advanced Intel</t>
  </si>
  <si>
    <t>Survivor</t>
  </si>
  <si>
    <t>Evasion</t>
  </si>
  <si>
    <t>Extreme Effort</t>
  </si>
  <si>
    <t>Sprint</t>
  </si>
  <si>
    <t>Surefooted</t>
  </si>
  <si>
    <t>Versatility</t>
  </si>
  <si>
    <t>Adapt and Survive</t>
  </si>
  <si>
    <t>LE 30</t>
  </si>
  <si>
    <t>Unbalancing Adaptation</t>
  </si>
  <si>
    <t>Defensive Protection</t>
  </si>
  <si>
    <t>Quick on Your Feet</t>
  </si>
  <si>
    <t>Ready and Willing</t>
  </si>
  <si>
    <t>Armor Specialist</t>
  </si>
  <si>
    <t>Armored Defense</t>
  </si>
  <si>
    <t>Armor Mastery</t>
  </si>
  <si>
    <t>Improved Armor Defense</t>
  </si>
  <si>
    <t>Juggernaut</t>
  </si>
  <si>
    <t>Second Skin</t>
  </si>
  <si>
    <t>Shield Expert</t>
  </si>
  <si>
    <t>Brawler</t>
  </si>
  <si>
    <t>Cantina Brawler</t>
  </si>
  <si>
    <t>Pick a Fight</t>
  </si>
  <si>
    <t>SaV 18</t>
  </si>
  <si>
    <t>Counterpunch</t>
  </si>
  <si>
    <t>Expert Grappler</t>
  </si>
  <si>
    <t>Unbalance Opponent</t>
  </si>
  <si>
    <t>Grabber</t>
  </si>
  <si>
    <t>LE 31</t>
  </si>
  <si>
    <t>Gun Club</t>
  </si>
  <si>
    <t>Bayonet Master</t>
  </si>
  <si>
    <t>CW 26</t>
  </si>
  <si>
    <t>Hammerblow</t>
  </si>
  <si>
    <t>Make Do</t>
  </si>
  <si>
    <t>Man Down</t>
  </si>
  <si>
    <t>Melee Smash</t>
  </si>
  <si>
    <t>Devastating Melee Smash</t>
  </si>
  <si>
    <t>Stunning Strike</t>
  </si>
  <si>
    <t>Experienced Brawler</t>
  </si>
  <si>
    <t>Unrelenting Assault</t>
  </si>
  <si>
    <t>Strong Grab</t>
  </si>
  <si>
    <t>Sucker Punch</t>
  </si>
  <si>
    <t>Brute Squad</t>
  </si>
  <si>
    <t>Gang Leader</t>
  </si>
  <si>
    <t>Melee Assault</t>
  </si>
  <si>
    <t>Melee Brute</t>
  </si>
  <si>
    <t>Melee Opportunist</t>
  </si>
  <si>
    <t>Squad Brutality</t>
  </si>
  <si>
    <t>Squad Superiority</t>
  </si>
  <si>
    <t>Commando</t>
  </si>
  <si>
    <t>Battle Analysis</t>
  </si>
  <si>
    <t>Cover Fire</t>
  </si>
  <si>
    <t>Demolitionist</t>
  </si>
  <si>
    <t>Draw Fire</t>
  </si>
  <si>
    <t>Harm's Way</t>
  </si>
  <si>
    <t>Keep Them at Bay</t>
  </si>
  <si>
    <t>Tough as Nails</t>
  </si>
  <si>
    <t>Hard Target</t>
  </si>
  <si>
    <t>TotG 95</t>
  </si>
  <si>
    <t>Mercenary</t>
  </si>
  <si>
    <t>Combined Fire</t>
  </si>
  <si>
    <t>TotG 57</t>
  </si>
  <si>
    <t>Mercenary's Teamwork</t>
  </si>
  <si>
    <t>Commanding Presence</t>
  </si>
  <si>
    <t>Feared Warrior</t>
  </si>
  <si>
    <t>TFU 29</t>
  </si>
  <si>
    <t>Dirty Fighting</t>
  </si>
  <si>
    <t>Ruthless</t>
  </si>
  <si>
    <t>Focused Warrior</t>
  </si>
  <si>
    <t>Mercenary's Grit</t>
  </si>
  <si>
    <t>Mercenary's Determination</t>
  </si>
  <si>
    <t>Rocket Jumper</t>
  </si>
  <si>
    <t>Jet Pack Training</t>
  </si>
  <si>
    <t>KotOR 30</t>
  </si>
  <si>
    <t>Burning Assault</t>
  </si>
  <si>
    <t>Improved Trajectory</t>
  </si>
  <si>
    <t>Jet Pack Withdraw</t>
  </si>
  <si>
    <t>Trooper</t>
  </si>
  <si>
    <t>Comrades in Arms</t>
  </si>
  <si>
    <t>Focused Targeting</t>
  </si>
  <si>
    <t>Stick Together</t>
  </si>
  <si>
    <t>Watch Your Back</t>
  </si>
  <si>
    <t>Phalanx</t>
  </si>
  <si>
    <t>Squad Leader</t>
  </si>
  <si>
    <t>Commanding Officer</t>
  </si>
  <si>
    <t>Coordinated Tactics</t>
  </si>
  <si>
    <t>Fire at Will</t>
  </si>
  <si>
    <t>Squad Actions</t>
  </si>
  <si>
    <t>Weapon Specialist</t>
  </si>
  <si>
    <t>Devastating Attack</t>
  </si>
  <si>
    <t>Improved Suppression Fire</t>
  </si>
  <si>
    <t>Penetrating Attack</t>
  </si>
  <si>
    <t>Weapon Specialization</t>
  </si>
  <si>
    <t>Crushing Assault</t>
  </si>
  <si>
    <t>Disarming Attack</t>
  </si>
  <si>
    <t>Impailing Assault</t>
  </si>
  <si>
    <t>Stinging Assault</t>
  </si>
  <si>
    <t>Force Traditions</t>
  </si>
  <si>
    <t>Agent of Ossus</t>
  </si>
  <si>
    <t>Buried Presence</t>
  </si>
  <si>
    <t>TFU 92</t>
  </si>
  <si>
    <t>Conceal Other</t>
  </si>
  <si>
    <t>Insightful Aim</t>
  </si>
  <si>
    <t>Vanish</t>
  </si>
  <si>
    <t>Bando Goro Captain</t>
  </si>
  <si>
    <t>Bando Goro Surge</t>
  </si>
  <si>
    <t>CW 55</t>
  </si>
  <si>
    <t>Force Fighter</t>
  </si>
  <si>
    <t>CW 56</t>
  </si>
  <si>
    <t>Resist Enervation</t>
  </si>
  <si>
    <t>Victorious Force Mastery</t>
  </si>
  <si>
    <t>Believers Disciple</t>
  </si>
  <si>
    <t>Believer Intuition</t>
  </si>
  <si>
    <t>Defense Boost</t>
  </si>
  <si>
    <t>Hardiness</t>
  </si>
  <si>
    <t>High Impact</t>
  </si>
  <si>
    <t>Sith Reverence</t>
  </si>
  <si>
    <t>Dathomiri Witch</t>
  </si>
  <si>
    <t>Adept Spellcaster</t>
  </si>
  <si>
    <t>Charm Beast</t>
  </si>
  <si>
    <t>Command Beast</t>
  </si>
  <si>
    <t>Disciples of Twilight</t>
  </si>
  <si>
    <t>Cloak of Shadow</t>
  </si>
  <si>
    <t>LE 57</t>
  </si>
  <si>
    <t>Shadow Armour</t>
  </si>
  <si>
    <t>LE 58</t>
  </si>
  <si>
    <t>Phantasm</t>
  </si>
  <si>
    <t>Revelation</t>
  </si>
  <si>
    <t>Shadow Vision</t>
  </si>
  <si>
    <t>Ember of Vahl</t>
  </si>
  <si>
    <t>Initiate of Vahl</t>
  </si>
  <si>
    <t>LE 59</t>
  </si>
  <si>
    <t>Reading the Flame</t>
  </si>
  <si>
    <t>Sword of Vahl</t>
  </si>
  <si>
    <t>Vahl's Flame</t>
  </si>
  <si>
    <t>Vahl's Weapon</t>
  </si>
  <si>
    <t>Felucian Shaman</t>
  </si>
  <si>
    <t>Detonate</t>
  </si>
  <si>
    <t>TFU 93</t>
  </si>
  <si>
    <t>Infuse Weapon</t>
  </si>
  <si>
    <t>Sickening Blast</t>
  </si>
  <si>
    <t>Jal Shay</t>
  </si>
  <si>
    <t>Force Delay</t>
  </si>
  <si>
    <t>KotOR 57</t>
  </si>
  <si>
    <t>Action Exchange</t>
  </si>
  <si>
    <t>Imbue Item</t>
  </si>
  <si>
    <t>KotOR 58</t>
  </si>
  <si>
    <t>Knowledge of the Force</t>
  </si>
  <si>
    <t>Jensaarai Defender</t>
  </si>
  <si>
    <t>Attune Armor</t>
  </si>
  <si>
    <t>Force Cloak</t>
  </si>
  <si>
    <t>Force Cloak Mastery</t>
  </si>
  <si>
    <t>Linked Defense</t>
  </si>
  <si>
    <t>Keetael</t>
  </si>
  <si>
    <t>Conceal Force Use</t>
  </si>
  <si>
    <t>Force Direction</t>
  </si>
  <si>
    <t>Force Momentum</t>
  </si>
  <si>
    <t>Past Visions</t>
  </si>
  <si>
    <t>Korunnai Adept</t>
  </si>
  <si>
    <t>Akk Dog Master</t>
  </si>
  <si>
    <t>CW 57</t>
  </si>
  <si>
    <t>Akk Dog Trainer's Actions</t>
  </si>
  <si>
    <t>Akk Dog Training</t>
  </si>
  <si>
    <t>Protective Reaction</t>
  </si>
  <si>
    <t>The Krath</t>
  </si>
  <si>
    <t>Dark Side Manipulation</t>
  </si>
  <si>
    <t>KotOR 59</t>
  </si>
  <si>
    <t>Krath Illusions</t>
  </si>
  <si>
    <t>KotOR 60</t>
  </si>
  <si>
    <t>Krath Intuition</t>
  </si>
  <si>
    <t>Krath Surge</t>
  </si>
  <si>
    <t>Luka Sene</t>
  </si>
  <si>
    <t>Field Detection</t>
  </si>
  <si>
    <t>Luka Sene Master</t>
  </si>
  <si>
    <t>Improved Force Sight</t>
  </si>
  <si>
    <t>Quickseeing</t>
  </si>
  <si>
    <t>Order of Shasa</t>
  </si>
  <si>
    <t>Deception Awareness</t>
  </si>
  <si>
    <t>KotOR 61</t>
  </si>
  <si>
    <t>Greater Weapon Focus (fira)</t>
  </si>
  <si>
    <t>Progenitor's Call</t>
  </si>
  <si>
    <t>Waveform</t>
  </si>
  <si>
    <t>First-Degree Droid</t>
  </si>
  <si>
    <t>Interrogator</t>
  </si>
  <si>
    <t>TFU 102</t>
  </si>
  <si>
    <t>Medical Droid</t>
  </si>
  <si>
    <t>Dull the Pain</t>
  </si>
  <si>
    <t>Second-Degree Droid</t>
  </si>
  <si>
    <t>Adept Assistant</t>
  </si>
  <si>
    <t>Mechanics Mastery</t>
  </si>
  <si>
    <t>Vehicle Mechanic</t>
  </si>
  <si>
    <t>Third-Degree Droid</t>
  </si>
  <si>
    <t>Etiquette</t>
  </si>
  <si>
    <t>TFU 103</t>
  </si>
  <si>
    <t>Helpful</t>
  </si>
  <si>
    <t>Protocol</t>
  </si>
  <si>
    <t>Fourth-Degree Droid</t>
  </si>
  <si>
    <t>Combat Repairs</t>
  </si>
  <si>
    <t>Droid Smash</t>
  </si>
  <si>
    <t>Targeting Package</t>
  </si>
  <si>
    <t>Fifth-Degree Droid</t>
  </si>
  <si>
    <t>Cargo Hauler</t>
  </si>
  <si>
    <t>Environmentally Shielded</t>
  </si>
  <si>
    <t>Power Supply</t>
  </si>
  <si>
    <t xml:space="preserve">Ace Pilot </t>
  </si>
  <si>
    <t>Blockade Runner</t>
  </si>
  <si>
    <t>Outrun</t>
  </si>
  <si>
    <t>Punch Through</t>
  </si>
  <si>
    <t>Small Target</t>
  </si>
  <si>
    <t>Watch This</t>
  </si>
  <si>
    <t>SaV 26</t>
  </si>
  <si>
    <t>Close Cover</t>
  </si>
  <si>
    <t>Blind Spot</t>
  </si>
  <si>
    <t>Close Scrape</t>
  </si>
  <si>
    <t>Elusive Dogfighter</t>
  </si>
  <si>
    <t>Full Throttle</t>
  </si>
  <si>
    <t>Improved Attack Run</t>
  </si>
  <si>
    <t>Relentless Pursuit</t>
  </si>
  <si>
    <t>Renowned Pilot</t>
  </si>
  <si>
    <t>CW 39</t>
  </si>
  <si>
    <t>Vehicle Focus</t>
  </si>
  <si>
    <t>Vehicular Evasion</t>
  </si>
  <si>
    <t>Juke</t>
  </si>
  <si>
    <t>Wingman</t>
  </si>
  <si>
    <t>Gunner</t>
  </si>
  <si>
    <t>Expert Gunner</t>
  </si>
  <si>
    <t>Dogfight Gunner</t>
  </si>
  <si>
    <t>Quick Trigger</t>
  </si>
  <si>
    <t>Synchronized Fire</t>
  </si>
  <si>
    <t>System Hit</t>
  </si>
  <si>
    <t>Crippling Hit</t>
  </si>
  <si>
    <t>Great Shot</t>
  </si>
  <si>
    <t>Squadron Leader</t>
  </si>
  <si>
    <t>Begin Attack Run</t>
  </si>
  <si>
    <t>Regroup</t>
  </si>
  <si>
    <t>SotG 18</t>
  </si>
  <si>
    <t>Squadron Maneuvers</t>
  </si>
  <si>
    <t>Squadron Tactics</t>
  </si>
  <si>
    <t>Murderous Arts I</t>
  </si>
  <si>
    <t>SaV 29</t>
  </si>
  <si>
    <t>Murderous Arts II</t>
  </si>
  <si>
    <t>Shift</t>
  </si>
  <si>
    <t>Advantageous Positioning</t>
  </si>
  <si>
    <t>Get Some Distance</t>
  </si>
  <si>
    <t>Sniping Assassin</t>
  </si>
  <si>
    <t>Sniping Marksman</t>
  </si>
  <si>
    <t>Sniping Master</t>
  </si>
  <si>
    <t>GenoHaradan</t>
  </si>
  <si>
    <t>Deadly Repercussions</t>
  </si>
  <si>
    <t>Manipulating Strike</t>
  </si>
  <si>
    <t>SaV 30</t>
  </si>
  <si>
    <t>Improved Manipulating Strike</t>
  </si>
  <si>
    <t>Pulling the Strings</t>
  </si>
  <si>
    <t>Hunter's Mark</t>
  </si>
  <si>
    <t>Hunter's Target</t>
  </si>
  <si>
    <t>Dread</t>
  </si>
  <si>
    <t>Nowhere to Run</t>
  </si>
  <si>
    <t>Relentless</t>
  </si>
  <si>
    <t>Tag</t>
  </si>
  <si>
    <t>Jedi Hunter</t>
  </si>
  <si>
    <t>TFU 42</t>
  </si>
  <si>
    <t>Notorious</t>
  </si>
  <si>
    <t>Fearsome</t>
  </si>
  <si>
    <t>Ruthless Negotiator</t>
  </si>
  <si>
    <t>Nowhere to Hide</t>
  </si>
  <si>
    <t>Signature Item</t>
  </si>
  <si>
    <t>Force Hunter</t>
  </si>
  <si>
    <t>Force Blank</t>
  </si>
  <si>
    <t>LE 40</t>
  </si>
  <si>
    <t>Lightsaber Evasion</t>
  </si>
  <si>
    <t>Precision Fire</t>
  </si>
  <si>
    <t>Steel Mind</t>
  </si>
  <si>
    <t>Strong-Willed</t>
  </si>
  <si>
    <t>Telekenetic Resistance</t>
  </si>
  <si>
    <t>Gand Findsman</t>
  </si>
  <si>
    <t>Findsman Ceremonies</t>
  </si>
  <si>
    <t>Findsman's Foresight</t>
  </si>
  <si>
    <t>Omen</t>
  </si>
  <si>
    <t>Target Visions</t>
  </si>
  <si>
    <t>Temporal Awareness</t>
  </si>
  <si>
    <t>Trickery</t>
  </si>
  <si>
    <t>Cunning Distraction</t>
  </si>
  <si>
    <t>SaV 31</t>
  </si>
  <si>
    <t>Damaging Deception</t>
  </si>
  <si>
    <t>Distracting Shout</t>
  </si>
  <si>
    <t>Innocuous</t>
  </si>
  <si>
    <t>Improved Soft Cover</t>
  </si>
  <si>
    <t>Trecherous</t>
  </si>
  <si>
    <t>SaV 32</t>
  </si>
  <si>
    <t>Corporate Power</t>
  </si>
  <si>
    <t>Competitive Drive</t>
  </si>
  <si>
    <t>KotOR 42</t>
  </si>
  <si>
    <t>Competitive Edge</t>
  </si>
  <si>
    <t>Impose Hesitation</t>
  </si>
  <si>
    <t>KotOR 43</t>
  </si>
  <si>
    <t>Impose Confusion</t>
  </si>
  <si>
    <t>Corporate Clout</t>
  </si>
  <si>
    <t>Willful Resolve</t>
  </si>
  <si>
    <t>Wrong Decision</t>
  </si>
  <si>
    <t>Infamy</t>
  </si>
  <si>
    <t>Inspire Fear I</t>
  </si>
  <si>
    <t>Frighten</t>
  </si>
  <si>
    <t>Inspire Fear II</t>
  </si>
  <si>
    <t>Fear Me</t>
  </si>
  <si>
    <t>Inspire Fear III</t>
  </si>
  <si>
    <t>Terrify</t>
  </si>
  <si>
    <t>SaV 27</t>
  </si>
  <si>
    <t>Shared Notoriety</t>
  </si>
  <si>
    <t>Unsavory Reputation</t>
  </si>
  <si>
    <t>Mastermind</t>
  </si>
  <si>
    <t>Attract Minion</t>
  </si>
  <si>
    <t>Shelter</t>
  </si>
  <si>
    <t>Wealth of Allies</t>
  </si>
  <si>
    <t>Bodyguard I</t>
  </si>
  <si>
    <t>Bodyguard II</t>
  </si>
  <si>
    <t>Bodyguard III</t>
  </si>
  <si>
    <t>Impel Ally I</t>
  </si>
  <si>
    <t>Impel Ally II</t>
  </si>
  <si>
    <t>Impel Ally III</t>
  </si>
  <si>
    <t>Urgency</t>
  </si>
  <si>
    <t>Inspire Wrath</t>
  </si>
  <si>
    <t>Tactical Superiority</t>
  </si>
  <si>
    <t>Tactical Withdraw</t>
  </si>
  <si>
    <t>Automated Strike</t>
  </si>
  <si>
    <t>CW 43</t>
  </si>
  <si>
    <t>Droid Defense</t>
  </si>
  <si>
    <t>Droid Mettle</t>
  </si>
  <si>
    <t>Overclocked Troops</t>
  </si>
  <si>
    <t>CW 44</t>
  </si>
  <si>
    <t>Reinforced Commands</t>
  </si>
  <si>
    <t>Expanded Sensors</t>
  </si>
  <si>
    <t>Inspire Competence</t>
  </si>
  <si>
    <t>Maintain Focus</t>
  </si>
  <si>
    <t>Critical Master</t>
  </si>
  <si>
    <t>Extended Critical Range (heavy weapons)</t>
  </si>
  <si>
    <t>Extended Critical Range (rifles)</t>
  </si>
  <si>
    <t>Flurry Attack</t>
  </si>
  <si>
    <t>Knockback</t>
  </si>
  <si>
    <t>Reduce Defense</t>
  </si>
  <si>
    <t>Reduce Mobility</t>
  </si>
  <si>
    <t>Deny Move</t>
  </si>
  <si>
    <t>Mandalorian Warrior</t>
  </si>
  <si>
    <t>Mandalorian Advance</t>
  </si>
  <si>
    <t>KotOR 38</t>
  </si>
  <si>
    <t>Mandalorian Ferocity</t>
  </si>
  <si>
    <t>Mandalorian Glory</t>
  </si>
  <si>
    <t>Armored Mandalorian</t>
  </si>
  <si>
    <t>Master of Teräs Käsi</t>
  </si>
  <si>
    <t>Teräs Käsi Basics</t>
  </si>
  <si>
    <t>TotG 53</t>
  </si>
  <si>
    <t>Ignore Damage Reduction</t>
  </si>
  <si>
    <t>Teräs Käsi Mastery</t>
  </si>
  <si>
    <t>Unarmed Parry</t>
  </si>
  <si>
    <t>Unarmed Counterstrike</t>
  </si>
  <si>
    <t>Melee Specialist</t>
  </si>
  <si>
    <t>Acurate Blow</t>
  </si>
  <si>
    <t>Close-Quarters Fighter</t>
  </si>
  <si>
    <t>Ignore Armor</t>
  </si>
  <si>
    <t>Improved Stunning Strike</t>
  </si>
  <si>
    <t>Whirling Death</t>
  </si>
  <si>
    <t>Bodyguard's Sacrifice</t>
  </si>
  <si>
    <t>LE 41</t>
  </si>
  <si>
    <t>Lifesaver</t>
  </si>
  <si>
    <t>Out of Harm's Way</t>
  </si>
  <si>
    <t>Take the Hit</t>
  </si>
  <si>
    <t>Roll With It</t>
  </si>
  <si>
    <t>Ward</t>
  </si>
  <si>
    <t>Armored Guard</t>
  </si>
  <si>
    <t>Guard's Entrance</t>
  </si>
  <si>
    <t>Republican Commando</t>
  </si>
  <si>
    <t>Higher Yield</t>
  </si>
  <si>
    <t>Rapid Reload</t>
  </si>
  <si>
    <t>Shoulder to Shoulder</t>
  </si>
  <si>
    <t>Strength in Numbers</t>
  </si>
  <si>
    <t>Weapon Shift</t>
  </si>
  <si>
    <t>Weapon Master</t>
  </si>
  <si>
    <t>Controlled Burst</t>
  </si>
  <si>
    <t>Exotic Weapon Mastery</t>
  </si>
  <si>
    <t>Greater Weapon Focus</t>
  </si>
  <si>
    <t>Greater Devastating Attack</t>
  </si>
  <si>
    <t>Greater Penetrating Attack</t>
  </si>
  <si>
    <t>Greater Weapon Specialization</t>
  </si>
  <si>
    <t>Multiattack Proficiency (heavy weapons)</t>
  </si>
  <si>
    <t>Multiattack Proficiency (rifles)</t>
  </si>
  <si>
    <t>Enforcement</t>
  </si>
  <si>
    <t>Cover Bracing</t>
  </si>
  <si>
    <t>TFU 45</t>
  </si>
  <si>
    <t>Intentional Crash</t>
  </si>
  <si>
    <t>Nonlethal Tactics</t>
  </si>
  <si>
    <t>Pursuit</t>
  </si>
  <si>
    <t>Respected Officer</t>
  </si>
  <si>
    <t>Slowing Stun</t>
  </si>
  <si>
    <t>Takedown</t>
  </si>
  <si>
    <t>Dark Side Devotee</t>
  </si>
  <si>
    <t>Channel Aggression</t>
  </si>
  <si>
    <t>Channel Anger</t>
  </si>
  <si>
    <t>Embrace the Dark Side</t>
  </si>
  <si>
    <t>Crippling Strike</t>
  </si>
  <si>
    <t>Force Power Adept</t>
  </si>
  <si>
    <t>Force Treatment</t>
  </si>
  <si>
    <t>Fortified Body</t>
  </si>
  <si>
    <t>Force Item</t>
  </si>
  <si>
    <t>Attune Weapon</t>
  </si>
  <si>
    <t>Empower Weapon</t>
  </si>
  <si>
    <t>Force Throw</t>
  </si>
  <si>
    <t>Primitive Block</t>
  </si>
  <si>
    <t>Force Talisman</t>
  </si>
  <si>
    <t>Focused Force Talisman</t>
  </si>
  <si>
    <t>Greater Focused Force Talisman</t>
  </si>
  <si>
    <t>Greater Force Talisman</t>
  </si>
  <si>
    <t>Imperial Inquisitor</t>
  </si>
  <si>
    <t>Force Interrogation</t>
  </si>
  <si>
    <t>TFU 43</t>
  </si>
  <si>
    <t>Cower Enemies</t>
  </si>
  <si>
    <t>Unsettling Presence</t>
  </si>
  <si>
    <t>Inquisition</t>
  </si>
  <si>
    <t>Gladiatorial Combat</t>
  </si>
  <si>
    <t>Brutal Attack</t>
  </si>
  <si>
    <t>KotOR 44</t>
  </si>
  <si>
    <t>Distracting Attack</t>
  </si>
  <si>
    <t>Exotic Weapons Master</t>
  </si>
  <si>
    <t>Multiattack Proficiency (exotic weapons)</t>
  </si>
  <si>
    <t>KotOR 45</t>
  </si>
  <si>
    <t>Lockdown Strike</t>
  </si>
  <si>
    <t>Personal Vendetta</t>
  </si>
  <si>
    <t>Call Out</t>
  </si>
  <si>
    <t>Unstoppable</t>
  </si>
  <si>
    <t>Carbineer</t>
  </si>
  <si>
    <t>Blowback</t>
  </si>
  <si>
    <t>Close Contact</t>
  </si>
  <si>
    <t>Old Faithful</t>
  </si>
  <si>
    <t>Opportunity Fire</t>
  </si>
  <si>
    <t>Rifle Master</t>
  </si>
  <si>
    <t>Shoot from the Hip</t>
  </si>
  <si>
    <t>Snap Shot</t>
  </si>
  <si>
    <t>Blind Shot</t>
  </si>
  <si>
    <t>CW 41</t>
  </si>
  <si>
    <t>Debilitating Shot</t>
  </si>
  <si>
    <t>Deceptive Shot</t>
  </si>
  <si>
    <t>Improved Quick Draw</t>
  </si>
  <si>
    <t>Knockdown Shot</t>
  </si>
  <si>
    <t>Multiattack Proficiency (pistols)</t>
  </si>
  <si>
    <t>Mobile Attack (pistols)</t>
  </si>
  <si>
    <t>KotOR 39</t>
  </si>
  <si>
    <t>Ranged Disarm</t>
  </si>
  <si>
    <t>Ranged Flank</t>
  </si>
  <si>
    <t>Trigger Work</t>
  </si>
  <si>
    <t>Pistoleer</t>
  </si>
  <si>
    <t>Dash and Blast</t>
  </si>
  <si>
    <t>Flanking Fire</t>
  </si>
  <si>
    <t>SaV 28</t>
  </si>
  <si>
    <t>Guaranteed Shot</t>
  </si>
  <si>
    <t>Hailfire</t>
  </si>
  <si>
    <t>Twin Shot</t>
  </si>
  <si>
    <t>Knight's Armor</t>
  </si>
  <si>
    <t>Armored Augmentation I</t>
  </si>
  <si>
    <t>LE 45</t>
  </si>
  <si>
    <t>Armored Augmentation II</t>
  </si>
  <si>
    <t>Cortosis Defense</t>
  </si>
  <si>
    <t>Cortosis Retaliation</t>
  </si>
  <si>
    <t>Knight's Resolve</t>
  </si>
  <si>
    <t>Knight's Morale</t>
  </si>
  <si>
    <t>Strength of the Empire</t>
  </si>
  <si>
    <t>Oath of Duty</t>
  </si>
  <si>
    <t>Praetoria Ishu</t>
  </si>
  <si>
    <t>Praetoria Vonil</t>
  </si>
  <si>
    <t>Autonomy</t>
  </si>
  <si>
    <t>Defensive Electronics</t>
  </si>
  <si>
    <t>TFU 47</t>
  </si>
  <si>
    <t>Ion Resistance</t>
  </si>
  <si>
    <t>Soft Reset</t>
  </si>
  <si>
    <t>Modification Specialist</t>
  </si>
  <si>
    <t>Repair Self</t>
  </si>
  <si>
    <t>Specialized Droid</t>
  </si>
  <si>
    <t>Computer Language</t>
  </si>
  <si>
    <t>Computer Master</t>
  </si>
  <si>
    <t>Enhanced Manipulation</t>
  </si>
  <si>
    <t>Hotwired Processor</t>
  </si>
  <si>
    <t>Power Surge</t>
  </si>
  <si>
    <t>TFU 48</t>
  </si>
  <si>
    <t>Skill Conversion</t>
  </si>
  <si>
    <t>Infiltration</t>
  </si>
  <si>
    <t>Always Ready</t>
  </si>
  <si>
    <t>TFU 49</t>
  </si>
  <si>
    <t>Concealed Weapon Expert</t>
  </si>
  <si>
    <t>Creeping Approach</t>
  </si>
  <si>
    <t>Set for Stun</t>
  </si>
  <si>
    <t>Silent Takedown</t>
  </si>
  <si>
    <t>Bothan Spynet</t>
  </si>
  <si>
    <t>Spynet Agent</t>
  </si>
  <si>
    <t>TFU 50</t>
  </si>
  <si>
    <t>Bothan Resources</t>
  </si>
  <si>
    <t>Knowledge is Life</t>
  </si>
  <si>
    <t>Knowledge is Power</t>
  </si>
  <si>
    <t>Knowledge is Strength</t>
  </si>
  <si>
    <t>Six Questions</t>
  </si>
  <si>
    <t>Duelist</t>
  </si>
  <si>
    <t>Force Fortification</t>
  </si>
  <si>
    <t>Greater Weapon Focus (lightsabers)</t>
  </si>
  <si>
    <t>Greater Weapon Specialization (lightsabers)</t>
  </si>
  <si>
    <t>Improved Lightsaber Throw</t>
  </si>
  <si>
    <t>Thrown Lightsaber Mastery</t>
  </si>
  <si>
    <t>Improved Redirect</t>
  </si>
  <si>
    <t>Improved Riposte</t>
  </si>
  <si>
    <t>Multiattack Proficiency (lightsabers)</t>
  </si>
  <si>
    <t>Severing Strike</t>
  </si>
  <si>
    <t>Jedi Archivist</t>
  </si>
  <si>
    <t>Direct</t>
  </si>
  <si>
    <t>Impart Knowledge</t>
  </si>
  <si>
    <t>Insight of the Force</t>
  </si>
  <si>
    <t>Master Advisor</t>
  </si>
  <si>
    <t>Jedi Battlemaster</t>
  </si>
  <si>
    <t>Jedi Battle Commander</t>
  </si>
  <si>
    <t>Defensive Circle</t>
  </si>
  <si>
    <t>Force Revive</t>
  </si>
  <si>
    <t>Slashing Charge</t>
  </si>
  <si>
    <t>Mobile Attack (lightsabers)</t>
  </si>
  <si>
    <t>Healing Boost</t>
  </si>
  <si>
    <t>Improved Healing Boost</t>
  </si>
  <si>
    <t>Soothe</t>
  </si>
  <si>
    <t>Jedi Refugee</t>
  </si>
  <si>
    <t>Cover Your Tracks</t>
  </si>
  <si>
    <t>Difficult to Sense</t>
  </si>
  <si>
    <t>Force Veil</t>
  </si>
  <si>
    <t>Jedi Network</t>
  </si>
  <si>
    <t>LE 42</t>
  </si>
  <si>
    <t>Dark Deception</t>
  </si>
  <si>
    <t>Taint of the Dark Side</t>
  </si>
  <si>
    <t>Improved Sentinel Strike</t>
  </si>
  <si>
    <t>Improved Sentinel's Gambit</t>
  </si>
  <si>
    <t>Rebuke the Dark</t>
  </si>
  <si>
    <t>Jedi Watchman</t>
  </si>
  <si>
    <t>Force Warning</t>
  </si>
  <si>
    <t>KotOR 40</t>
  </si>
  <si>
    <t>Watchman's Advance</t>
  </si>
  <si>
    <t>Improved Quick Draw (lightsabers)</t>
  </si>
  <si>
    <t>Vigilance</t>
  </si>
  <si>
    <t>Sheltering Stance</t>
  </si>
  <si>
    <t>Lightsaber Forms</t>
  </si>
  <si>
    <t>Ataru</t>
  </si>
  <si>
    <t>Djem So</t>
  </si>
  <si>
    <t>Juyo</t>
  </si>
  <si>
    <t>Vaapad</t>
  </si>
  <si>
    <t>Makashi</t>
  </si>
  <si>
    <t>Niman</t>
  </si>
  <si>
    <t>Jar'Kai</t>
  </si>
  <si>
    <t>Shien</t>
  </si>
  <si>
    <t>Shii-Cho</t>
  </si>
  <si>
    <t>Sokan</t>
  </si>
  <si>
    <t>Soresu</t>
  </si>
  <si>
    <t>Trakata</t>
  </si>
  <si>
    <t>Piracy</t>
  </si>
  <si>
    <t>Bloodthirsty</t>
  </si>
  <si>
    <t>SaV 33</t>
  </si>
  <si>
    <t>Fight to the Death</t>
  </si>
  <si>
    <t>Savage Reputation</t>
  </si>
  <si>
    <t>Keep Them Reeling</t>
  </si>
  <si>
    <t>Raider's Frenzy</t>
  </si>
  <si>
    <t>Raider's Surge</t>
  </si>
  <si>
    <t>Take Them Alive</t>
  </si>
  <si>
    <t>Privateer</t>
  </si>
  <si>
    <t>Armored Spacer</t>
  </si>
  <si>
    <t>TFU 52</t>
  </si>
  <si>
    <t>Attract Privateer</t>
  </si>
  <si>
    <t>Blaster and Blade I</t>
  </si>
  <si>
    <t>Blaster and Blade II</t>
  </si>
  <si>
    <t>Blaster and Blade III</t>
  </si>
  <si>
    <t>Boarder</t>
  </si>
  <si>
    <t>Ion Mastery</t>
  </si>
  <si>
    <t>Multiattack Proficiency (advanced melee weapons)</t>
  </si>
  <si>
    <t>Preserving Shot</t>
  </si>
  <si>
    <t>Advanced Medicine</t>
  </si>
  <si>
    <t>Bring them Back</t>
  </si>
  <si>
    <t>TFU 54</t>
  </si>
  <si>
    <t>Emergency Team</t>
  </si>
  <si>
    <t>Extra First Aid</t>
  </si>
  <si>
    <t>Medical Miracle</t>
  </si>
  <si>
    <t>Natural Healing</t>
  </si>
  <si>
    <t>Steady Under Pressure</t>
  </si>
  <si>
    <t>Battlefield Medic</t>
  </si>
  <si>
    <t>Second Chance</t>
  </si>
  <si>
    <t>Advantageous Strike</t>
  </si>
  <si>
    <t>KotOR 47</t>
  </si>
  <si>
    <t>Dirty Tricks</t>
  </si>
  <si>
    <t>Dual Weapon Flourish I</t>
  </si>
  <si>
    <t>Dual Weapon Flourish II</t>
  </si>
  <si>
    <t>Master of Elegance</t>
  </si>
  <si>
    <t>Out of Nowhere</t>
  </si>
  <si>
    <t>Single Weapon Flourish I</t>
  </si>
  <si>
    <t>Single Weapon Flourish II</t>
  </si>
  <si>
    <t>Breach Cover</t>
  </si>
  <si>
    <t>CW 45</t>
  </si>
  <si>
    <t>Breaching Explosive</t>
  </si>
  <si>
    <t>Prepared Explosive</t>
  </si>
  <si>
    <t>Problem Solver</t>
  </si>
  <si>
    <t>Repairs on the Fly</t>
  </si>
  <si>
    <t>Droid Expert</t>
  </si>
  <si>
    <t>Quick Modifications</t>
  </si>
  <si>
    <t>Sabotage Device</t>
  </si>
  <si>
    <t>CW 46</t>
  </si>
  <si>
    <t>Tech Savant</t>
  </si>
  <si>
    <t>Vehicular Boost</t>
  </si>
  <si>
    <t>Fugitive Officer</t>
  </si>
  <si>
    <t>Disciplined Trickery</t>
  </si>
  <si>
    <t>Group Perception</t>
  </si>
  <si>
    <t>Hasty Withdrawl</t>
  </si>
  <si>
    <t>Stealthy Withdrawl</t>
  </si>
  <si>
    <t>Stalwart Subordanates</t>
  </si>
  <si>
    <t>Stay in the Fight</t>
  </si>
  <si>
    <t>Military Tactics</t>
  </si>
  <si>
    <t>Assault Tactics</t>
  </si>
  <si>
    <t>Exploit Weakness</t>
  </si>
  <si>
    <t>CW 42</t>
  </si>
  <si>
    <t>Deployment Tactics</t>
  </si>
  <si>
    <t>Field Tactics</t>
  </si>
  <si>
    <t>Outmaneuver</t>
  </si>
  <si>
    <t>One for the Team</t>
  </si>
  <si>
    <t>Grand Leader</t>
  </si>
  <si>
    <t>Shift Defense I</t>
  </si>
  <si>
    <t>Shift Defense II</t>
  </si>
  <si>
    <t>Shift Defense III</t>
  </si>
  <si>
    <t>Tactical Edge</t>
  </si>
  <si>
    <t>Uncanny Defense</t>
  </si>
  <si>
    <t>Naval Officer</t>
  </si>
  <si>
    <t>Fleet Deployment</t>
  </si>
  <si>
    <t>Fleet Tactics</t>
  </si>
  <si>
    <t>It's a Trap!</t>
  </si>
  <si>
    <t>Legendary Commander</t>
  </si>
  <si>
    <t>Preternatural Senses</t>
  </si>
  <si>
    <t>SaV 35</t>
  </si>
  <si>
    <t>Find an Opening</t>
  </si>
  <si>
    <t>Double Up</t>
  </si>
  <si>
    <t>Uncanny Instincts</t>
  </si>
  <si>
    <t>Opportunistic Defense</t>
  </si>
  <si>
    <t>Tangle Up</t>
  </si>
  <si>
    <t>Confounding Attack</t>
  </si>
  <si>
    <t>SaV 34</t>
  </si>
  <si>
    <t>Sabotage</t>
  </si>
  <si>
    <t>Device Jammer</t>
  </si>
  <si>
    <t>TFU 56</t>
  </si>
  <si>
    <t>Droid Jammer</t>
  </si>
  <si>
    <t>Mine Mastery</t>
  </si>
  <si>
    <t>TFU 57</t>
  </si>
  <si>
    <t>Skilled Demolitionist</t>
  </si>
  <si>
    <t>Shaped Explosion</t>
  </si>
  <si>
    <t>Extreme Explosion</t>
  </si>
  <si>
    <t>Turret</t>
  </si>
  <si>
    <t>Blaster Turret I</t>
  </si>
  <si>
    <t>Blaster Turret II</t>
  </si>
  <si>
    <t>Blaster Turret III</t>
  </si>
  <si>
    <t>Ion Turret</t>
  </si>
  <si>
    <t>Stun Turret</t>
  </si>
  <si>
    <t>Turret Self-Destruct</t>
  </si>
  <si>
    <t>Adrenaline Implant</t>
  </si>
  <si>
    <t>LE 47</t>
  </si>
  <si>
    <t>Precision Implant</t>
  </si>
  <si>
    <t>Resilience Implant</t>
  </si>
  <si>
    <t>Speed Implant</t>
  </si>
  <si>
    <t>Strength Implant</t>
  </si>
  <si>
    <t>Biotech Mastery</t>
  </si>
  <si>
    <t>Expert Shaper</t>
  </si>
  <si>
    <t>Expedient Mending</t>
  </si>
  <si>
    <t>Master Mender</t>
  </si>
  <si>
    <t>Skilled Implanter</t>
  </si>
  <si>
    <t>Affliction</t>
  </si>
  <si>
    <t>Drain Force</t>
  </si>
  <si>
    <t>Dark Healing</t>
  </si>
  <si>
    <t>Improved Dark Healing</t>
  </si>
  <si>
    <t>Dark Healing Field</t>
  </si>
  <si>
    <t>Dark Scourge</t>
  </si>
  <si>
    <t>Dark Side Adept</t>
  </si>
  <si>
    <t>Dark Side Master</t>
  </si>
  <si>
    <t>Sith Alchemy</t>
  </si>
  <si>
    <t>KotOR 41</t>
  </si>
  <si>
    <t>Force Deception</t>
  </si>
  <si>
    <t>Stolen Form</t>
  </si>
  <si>
    <t>TotG 81</t>
  </si>
  <si>
    <t>Sith Commander</t>
  </si>
  <si>
    <t>Focus Terror</t>
  </si>
  <si>
    <t>LE 43</t>
  </si>
  <si>
    <t>Desperate Measures</t>
  </si>
  <si>
    <t>Incite Rage</t>
  </si>
  <si>
    <t>Power of Hatred</t>
  </si>
  <si>
    <t>Enhanced Vision</t>
  </si>
  <si>
    <t>CW 47</t>
  </si>
  <si>
    <t>Triangulate</t>
  </si>
  <si>
    <t>Mark the Target</t>
  </si>
  <si>
    <t>Maximize Cover</t>
  </si>
  <si>
    <t>Impenetrable Cover</t>
  </si>
  <si>
    <t>Invisible Attacker</t>
  </si>
  <si>
    <t>Soften the Target</t>
  </si>
  <si>
    <t>Shellshock</t>
  </si>
  <si>
    <t>NAME</t>
  </si>
  <si>
    <t>PLAYER</t>
  </si>
  <si>
    <t>CLASS</t>
  </si>
  <si>
    <t>SPECIES</t>
  </si>
  <si>
    <t>LEVEL</t>
  </si>
  <si>
    <t>AGE</t>
  </si>
  <si>
    <t>GENDER</t>
  </si>
  <si>
    <t>HEIGHT</t>
  </si>
  <si>
    <t>WEIGHT</t>
  </si>
  <si>
    <t>DESTINY</t>
  </si>
  <si>
    <t>SCORE</t>
  </si>
  <si>
    <t>MODIFIER</t>
  </si>
  <si>
    <t>HIT POINTS</t>
  </si>
  <si>
    <t>CONDITION</t>
  </si>
  <si>
    <t>ENGTH</t>
  </si>
  <si>
    <t xml:space="preserve"> NORMAL</t>
  </si>
  <si>
    <t>TOTAL</t>
  </si>
  <si>
    <t>TERITY</t>
  </si>
  <si>
    <t>SPEED</t>
  </si>
  <si>
    <t>CURRENT</t>
  </si>
  <si>
    <t>STITUTION</t>
  </si>
  <si>
    <t>INITIATIVE</t>
  </si>
  <si>
    <t>ELLIGENCE</t>
  </si>
  <si>
    <t>PERCEPTION</t>
  </si>
  <si>
    <t>MISC
BONUS</t>
  </si>
  <si>
    <t>DOM</t>
  </si>
  <si>
    <t>BASE ATTACK</t>
  </si>
  <si>
    <t>RISMA</t>
  </si>
  <si>
    <t>DAMAGE
THRESHOLD</t>
  </si>
  <si>
    <t>DEFENSES</t>
  </si>
  <si>
    <t>FORCE POINTS</t>
  </si>
  <si>
    <t>LEVEL OR</t>
  </si>
  <si>
    <t>ABILITY</t>
  </si>
  <si>
    <t>ARMOUR</t>
  </si>
  <si>
    <t>BONUS</t>
  </si>
  <si>
    <t>MOD</t>
  </si>
  <si>
    <t>MISC</t>
  </si>
  <si>
    <t xml:space="preserve"> HELPLESS</t>
  </si>
  <si>
    <t>FORT</t>
  </si>
  <si>
    <t>10 +</t>
  </si>
  <si>
    <t>(UNCONSCIOUS
 OR DISABLED)</t>
  </si>
  <si>
    <t>DESTINY POINTS</t>
  </si>
  <si>
    <t>REF</t>
  </si>
  <si>
    <t>SR</t>
  </si>
  <si>
    <t>WILL</t>
  </si>
  <si>
    <t>WEAPON</t>
  </si>
  <si>
    <t>DAMAGE</t>
  </si>
  <si>
    <t>TYPE</t>
  </si>
  <si>
    <t>NOTES</t>
  </si>
  <si>
    <t>DARK SIDE SCORE</t>
  </si>
  <si>
    <t>ARMOR</t>
  </si>
  <si>
    <t>SPD</t>
  </si>
  <si>
    <t>REF DEF</t>
  </si>
  <si>
    <t>FORT DEF</t>
  </si>
  <si>
    <t>MAX DEX</t>
  </si>
  <si>
    <t>INT.
EQUIP.</t>
  </si>
  <si>
    <t>AVAIL.</t>
  </si>
  <si>
    <t>COST</t>
  </si>
  <si>
    <r>
      <t xml:space="preserve">Destiny Points: </t>
    </r>
    <r>
      <rPr>
        <sz val="16"/>
        <rFont val="Arial"/>
        <family val="2"/>
      </rPr>
      <t>Spend a Destiny point to:</t>
    </r>
  </si>
  <si>
    <r>
      <rPr>
        <b/>
        <sz val="14"/>
        <rFont val="Arial"/>
        <family val="2"/>
      </rPr>
      <t xml:space="preserve">- </t>
    </r>
    <r>
      <rPr>
        <sz val="14"/>
        <rFont val="Arial"/>
        <family val="2"/>
      </rPr>
      <t>Automatically score a critical hit</t>
    </r>
  </si>
  <si>
    <r>
      <rPr>
        <b/>
        <sz val="14"/>
        <rFont val="Arial"/>
        <family val="2"/>
      </rPr>
      <t xml:space="preserve">- </t>
    </r>
    <r>
      <rPr>
        <sz val="14"/>
        <rFont val="Arial"/>
        <family val="2"/>
      </rPr>
      <t>Automatically cause a hit against you to miss</t>
    </r>
  </si>
  <si>
    <r>
      <rPr>
        <b/>
        <sz val="14"/>
        <rFont val="Arial"/>
        <family val="2"/>
      </rPr>
      <t>-</t>
    </r>
    <r>
      <rPr>
        <sz val="14"/>
        <rFont val="Arial"/>
        <family val="2"/>
      </rPr>
      <t xml:space="preserve"> Take damage instead of another within 1 sq.</t>
    </r>
  </si>
  <si>
    <r>
      <rPr>
        <b/>
        <sz val="14"/>
        <rFont val="Arial"/>
        <family val="2"/>
      </rPr>
      <t xml:space="preserve">- </t>
    </r>
    <r>
      <rPr>
        <sz val="14"/>
        <rFont val="Arial"/>
        <family val="2"/>
      </rPr>
      <t>Increase effect of some Force powers</t>
    </r>
  </si>
  <si>
    <r>
      <t>Force Points:</t>
    </r>
    <r>
      <rPr>
        <sz val="16"/>
        <rFont val="Arial"/>
        <family val="2"/>
      </rPr>
      <t xml:space="preserve"> Spend Force point to:</t>
    </r>
  </si>
  <si>
    <r>
      <t>-</t>
    </r>
    <r>
      <rPr>
        <sz val="14"/>
        <rFont val="Arial"/>
        <family val="2"/>
      </rPr>
      <t xml:space="preserve"> Gain +1d6 on attack, skill or ability check roll</t>
    </r>
  </si>
  <si>
    <t xml:space="preserve">Talents Used: </t>
  </si>
  <si>
    <t>CAMPAIGN</t>
  </si>
  <si>
    <t>wt.</t>
  </si>
  <si>
    <t>TAKE 10</t>
  </si>
  <si>
    <t>REROLL</t>
  </si>
  <si>
    <t>SKILLS</t>
  </si>
  <si>
    <t>SKILL</t>
  </si>
  <si>
    <t>1/2</t>
  </si>
  <si>
    <t>TRAINED</t>
  </si>
  <si>
    <t>FOCUS</t>
  </si>
  <si>
    <t>FEATS</t>
  </si>
  <si>
    <t>PAGE</t>
  </si>
  <si>
    <t>CREDITS</t>
  </si>
  <si>
    <t>CARRIED</t>
  </si>
  <si>
    <t>LANGUAGES</t>
  </si>
  <si>
    <t>FORCE POWERS</t>
  </si>
  <si>
    <t>TALENTS</t>
  </si>
  <si>
    <t>Added Skills</t>
  </si>
  <si>
    <t>Added Feats</t>
  </si>
  <si>
    <t>Added Talents</t>
  </si>
  <si>
    <t>Added Character Sheets</t>
  </si>
  <si>
    <t>Multiclass</t>
  </si>
  <si>
    <t>Hit Die</t>
  </si>
  <si>
    <t>Hit Points</t>
  </si>
  <si>
    <t>HP Override</t>
  </si>
  <si>
    <t>Settings</t>
  </si>
  <si>
    <t>Reflex Defense</t>
  </si>
  <si>
    <t>Base</t>
  </si>
  <si>
    <t>Max Dex</t>
  </si>
  <si>
    <t>Character Level</t>
  </si>
  <si>
    <t>Final Reflex Defense</t>
  </si>
  <si>
    <t>Class Bonus</t>
  </si>
  <si>
    <t>Hello and welcome to SagaForge, a character</t>
  </si>
  <si>
    <t>sheet tool for the Star Wars Roleplaying Game,</t>
  </si>
  <si>
    <t>Saga Edition.</t>
  </si>
  <si>
    <t>Feature List</t>
  </si>
  <si>
    <t>Species Traits</t>
  </si>
  <si>
    <t>Ability Modifiers</t>
  </si>
  <si>
    <t>Speed</t>
  </si>
  <si>
    <t>Special Qualities</t>
  </si>
  <si>
    <t>ArmorTableEnd</t>
  </si>
  <si>
    <t>Availability Types</t>
  </si>
  <si>
    <t>Illegal</t>
  </si>
  <si>
    <t>Abr</t>
  </si>
  <si>
    <t>Full</t>
  </si>
  <si>
    <t>License</t>
  </si>
  <si>
    <t>Black Market</t>
  </si>
  <si>
    <t>DC</t>
  </si>
  <si>
    <t>Price Mult</t>
  </si>
  <si>
    <t>Rarity</t>
  </si>
  <si>
    <t xml:space="preserve">   License</t>
  </si>
  <si>
    <t xml:space="preserve">   Black Market</t>
  </si>
  <si>
    <t xml:space="preserve">   Sell Value</t>
  </si>
  <si>
    <t>Override</t>
  </si>
  <si>
    <t>Fortitude Defense</t>
  </si>
  <si>
    <t>Final Fortitude Defense</t>
  </si>
  <si>
    <t>Armor Bonus</t>
  </si>
  <si>
    <t>Armor Modifications</t>
  </si>
  <si>
    <t>Tech Modifications</t>
  </si>
  <si>
    <t>Upgrade Slots</t>
  </si>
  <si>
    <t>Cost</t>
  </si>
  <si>
    <t>Mandalorian Iron</t>
  </si>
  <si>
    <t>Equipment Bonus</t>
  </si>
  <si>
    <t>Cybernetics and Biotech</t>
  </si>
  <si>
    <t>Implants</t>
  </si>
  <si>
    <t>Implant Effects</t>
  </si>
  <si>
    <t>Will Defense</t>
  </si>
  <si>
    <t>Final Will Defense</t>
  </si>
  <si>
    <t>Grant single-shot or autofire to weapon without</t>
  </si>
  <si>
    <t>Double the number of shots</t>
  </si>
  <si>
    <t>+5 bonus to damage</t>
  </si>
  <si>
    <t>+1 bonus to attack</t>
  </si>
  <si>
    <t>+2 bonus to damage</t>
  </si>
  <si>
    <t>+2 bonus to attack</t>
  </si>
  <si>
    <t>Range increase</t>
  </si>
  <si>
    <t>Era</t>
  </si>
  <si>
    <t>Fine</t>
  </si>
  <si>
    <t>Diminutive</t>
  </si>
  <si>
    <t>Small</t>
  </si>
  <si>
    <t>Tiny</t>
  </si>
  <si>
    <t>Medium</t>
  </si>
  <si>
    <t>Large</t>
  </si>
  <si>
    <t>Huge</t>
  </si>
  <si>
    <t>Size Types</t>
  </si>
  <si>
    <t>RateS</t>
  </si>
  <si>
    <t>RateA</t>
  </si>
  <si>
    <t>S</t>
  </si>
  <si>
    <t>C</t>
  </si>
  <si>
    <t>Common</t>
  </si>
  <si>
    <t>Attack</t>
  </si>
  <si>
    <t>Damage</t>
  </si>
  <si>
    <t>Superior Tech (Weapons)</t>
  </si>
  <si>
    <t>Tech Specialist (Weapons)</t>
  </si>
  <si>
    <t>Superior Accuracy</t>
  </si>
  <si>
    <t>Superior Capacity</t>
  </si>
  <si>
    <t>Superior Damage</t>
  </si>
  <si>
    <t>Superior Range</t>
  </si>
  <si>
    <t>Improved Accuracy</t>
  </si>
  <si>
    <t>Improved Damage</t>
  </si>
  <si>
    <t>Selective Fire</t>
  </si>
  <si>
    <t>Modification</t>
  </si>
  <si>
    <t>Bonus Damage</t>
  </si>
  <si>
    <t>Bonus Attack</t>
  </si>
  <si>
    <t>Mod Type</t>
  </si>
  <si>
    <t>Ranged</t>
  </si>
  <si>
    <t>Melee</t>
  </si>
  <si>
    <t>LimitDamageType2</t>
  </si>
  <si>
    <t>LimitDamageType1</t>
  </si>
  <si>
    <t>Simple</t>
  </si>
  <si>
    <t>LimitTypeFeat</t>
  </si>
  <si>
    <t>LimitType</t>
  </si>
  <si>
    <t>LimitStun</t>
  </si>
  <si>
    <t>Template Validation</t>
  </si>
  <si>
    <t>Ranges</t>
  </si>
  <si>
    <t>thrown</t>
  </si>
  <si>
    <t>penalty</t>
  </si>
  <si>
    <t>short</t>
  </si>
  <si>
    <t>point blank</t>
  </si>
  <si>
    <t>long</t>
  </si>
  <si>
    <t>Template</t>
  </si>
  <si>
    <t>Accessories</t>
  </si>
  <si>
    <t>Stripping</t>
  </si>
  <si>
    <t>Design</t>
  </si>
  <si>
    <t>Autofire</t>
  </si>
  <si>
    <t>Weapon Stripping</t>
  </si>
  <si>
    <t>Stripping Validation</t>
  </si>
  <si>
    <t>Stun Setting</t>
  </si>
  <si>
    <t>--Lightsaber Crystals--</t>
  </si>
  <si>
    <t>--General--</t>
  </si>
  <si>
    <t>Not</t>
  </si>
  <si>
    <t>Lightsabers</t>
  </si>
  <si>
    <t>As a swift action deal Stun damage</t>
  </si>
  <si>
    <t>--Ranged--</t>
  </si>
  <si>
    <t>--Melee--</t>
  </si>
  <si>
    <t>WeaponAccessories</t>
  </si>
  <si>
    <t>T</t>
  </si>
  <si>
    <t>DT</t>
  </si>
  <si>
    <t>Weapon DR</t>
  </si>
  <si>
    <t>Weapon HP</t>
  </si>
  <si>
    <t>Threshold</t>
  </si>
  <si>
    <t>special</t>
  </si>
  <si>
    <t>Die#</t>
  </si>
  <si>
    <t>Die Size</t>
  </si>
  <si>
    <t>Overrides</t>
  </si>
  <si>
    <t>Weapon #1</t>
  </si>
  <si>
    <t>Weapon Size</t>
  </si>
  <si>
    <t>Wielded</t>
  </si>
  <si>
    <t>Die Sides</t>
  </si>
  <si>
    <t>Counts as a mounted weapon</t>
  </si>
  <si>
    <t>Slinker Ammunition</t>
  </si>
  <si>
    <t>ROF</t>
  </si>
  <si>
    <t>Special from Accessories</t>
  </si>
  <si>
    <t>ATTACK</t>
  </si>
  <si>
    <t>Inbuit ascension gun and dart launcher</t>
  </si>
  <si>
    <t>Ilum Crystal</t>
  </si>
  <si>
    <t>Adegan Mephite Crystal</t>
  </si>
  <si>
    <t>Adegan Kathracite Crystal</t>
  </si>
  <si>
    <t>Adegan Pontite Crystal</t>
  </si>
  <si>
    <t>+1 to attack</t>
  </si>
  <si>
    <t>No penalty to Persuasion checks on unfriendly or indifferent creatures in 6 squares</t>
  </si>
  <si>
    <t>-2 to enemy Block attempts</t>
  </si>
  <si>
    <t>Compressed Synthetic Crystal</t>
  </si>
  <si>
    <t>Standard Synthetic Crystal</t>
  </si>
  <si>
    <t>Unstable Synthetic Crystal</t>
  </si>
  <si>
    <t>Deal +1 die on a critical hit, but deactivates for 1 round on a natural 1</t>
  </si>
  <si>
    <t>Corusca Gem</t>
  </si>
  <si>
    <t>Deal +1 die against target with DR</t>
  </si>
  <si>
    <t>Dragite Crystal</t>
  </si>
  <si>
    <t>Deal +1 die of sonic damage on critical hits</t>
  </si>
  <si>
    <t>,JATM,</t>
  </si>
  <si>
    <t>Low-light vision through scope</t>
  </si>
  <si>
    <t>.</t>
  </si>
  <si>
    <t>Exotic Weapon Proficiency</t>
  </si>
  <si>
    <t>Added Armor and Defenses tab</t>
  </si>
  <si>
    <t>Added Class tab</t>
  </si>
  <si>
    <t>Force Powers</t>
  </si>
  <si>
    <t>Power</t>
  </si>
  <si>
    <t>Uses</t>
  </si>
  <si>
    <t>Mastery</t>
  </si>
  <si>
    <t>Adept</t>
  </si>
  <si>
    <t>Prodigy</t>
  </si>
  <si>
    <t>Exertion</t>
  </si>
  <si>
    <t>KOTOR</t>
  </si>
  <si>
    <t>JATM</t>
  </si>
  <si>
    <t>Assured Strike</t>
  </si>
  <si>
    <t>x</t>
  </si>
  <si>
    <t>Advanced Vital Transfer</t>
  </si>
  <si>
    <t>Ballistakinesis</t>
  </si>
  <si>
    <t>ballistakinesis</t>
  </si>
  <si>
    <t>Detoxify Poison</t>
  </si>
  <si>
    <t>Barrier of Blades</t>
  </si>
  <si>
    <t>Dominate Mind</t>
  </si>
  <si>
    <t>Battle Strike</t>
  </si>
  <si>
    <t>battle strike</t>
  </si>
  <si>
    <t>Force Point Recovery</t>
  </si>
  <si>
    <t>Circle of Shelter</t>
  </si>
  <si>
    <t>Force Power Mastery</t>
  </si>
  <si>
    <t>Cloak</t>
  </si>
  <si>
    <t>cloak</t>
  </si>
  <si>
    <t>Improved Ballistakinesis</t>
  </si>
  <si>
    <t>Combustion</t>
  </si>
  <si>
    <t>combustion</t>
  </si>
  <si>
    <t>Improved Battle Strike</t>
  </si>
  <si>
    <t>Contentious Opportunity</t>
  </si>
  <si>
    <t>Improved Cloak</t>
  </si>
  <si>
    <t>Corruption</t>
  </si>
  <si>
    <t>corruption</t>
  </si>
  <si>
    <t>Improved Dark Rage</t>
  </si>
  <si>
    <t>Dark Rage</t>
  </si>
  <si>
    <t>dark rage</t>
  </si>
  <si>
    <t>Improved Dark Transfer</t>
  </si>
  <si>
    <t>Dark Transfer</t>
  </si>
  <si>
    <t>dark transfer</t>
  </si>
  <si>
    <t>Improved Detonate</t>
  </si>
  <si>
    <t>detonate</t>
  </si>
  <si>
    <t>Improved Energy Resistance</t>
  </si>
  <si>
    <t>Energy Resistance</t>
  </si>
  <si>
    <t>energy resistance</t>
  </si>
  <si>
    <t>Improved Enlighten</t>
  </si>
  <si>
    <t>Enlighten</t>
  </si>
  <si>
    <t>enlighten</t>
  </si>
  <si>
    <t>Improved Force Disarm</t>
  </si>
  <si>
    <t>Farseeing</t>
  </si>
  <si>
    <t>farseeing</t>
  </si>
  <si>
    <t>Improved Force Grip</t>
  </si>
  <si>
    <t>Fear</t>
  </si>
  <si>
    <t>fear</t>
  </si>
  <si>
    <t>Improved Force Lightning</t>
  </si>
  <si>
    <t>Force blast</t>
  </si>
  <si>
    <t>Force Disarm</t>
  </si>
  <si>
    <t>Force disarm</t>
  </si>
  <si>
    <t>Improved Force Slam</t>
  </si>
  <si>
    <t>Force Grip</t>
  </si>
  <si>
    <t>Force grip</t>
  </si>
  <si>
    <t>Improved Force Storm</t>
  </si>
  <si>
    <t>Force Lightning</t>
  </si>
  <si>
    <t>Force lightning</t>
  </si>
  <si>
    <t>Improved Force Stun</t>
  </si>
  <si>
    <t>Force Scream</t>
  </si>
  <si>
    <t>Force scream</t>
  </si>
  <si>
    <t>Improved Force Thrust</t>
  </si>
  <si>
    <t>Force Shield</t>
  </si>
  <si>
    <t>Force shield</t>
  </si>
  <si>
    <t>Improved Force Trance</t>
  </si>
  <si>
    <t>Force Slam</t>
  </si>
  <si>
    <t>Force slam</t>
  </si>
  <si>
    <t>Improved Ionize</t>
  </si>
  <si>
    <t>Force Storm</t>
  </si>
  <si>
    <t>Force storm</t>
  </si>
  <si>
    <t>Improved Kinetic Combat</t>
  </si>
  <si>
    <t>Force Stun</t>
  </si>
  <si>
    <t>Force stun</t>
  </si>
  <si>
    <t>Improved Levitate</t>
  </si>
  <si>
    <t>Force Thrust</t>
  </si>
  <si>
    <t>Force thrust</t>
  </si>
  <si>
    <t>Improved Lightning Burst</t>
  </si>
  <si>
    <t>Force Whirlwind</t>
  </si>
  <si>
    <t>Force whirlwind</t>
  </si>
  <si>
    <t>Improved Malacia</t>
  </si>
  <si>
    <t>Ionize</t>
  </si>
  <si>
    <t>ionize</t>
  </si>
  <si>
    <t>Improved Mind Trick</t>
  </si>
  <si>
    <t>Kinetic Combat</t>
  </si>
  <si>
    <t>kinetic combat</t>
  </si>
  <si>
    <t>Improved Move Light Object</t>
  </si>
  <si>
    <t>Levitate</t>
  </si>
  <si>
    <t>levitate</t>
  </si>
  <si>
    <t>Improved Obscure</t>
  </si>
  <si>
    <t>Lightning Burst</t>
  </si>
  <si>
    <t>lightning burst</t>
  </si>
  <si>
    <t>Improved Phase</t>
  </si>
  <si>
    <t>Malacia</t>
  </si>
  <si>
    <t>Improved Rebuke</t>
  </si>
  <si>
    <t>Mind Trick</t>
  </si>
  <si>
    <t>mind trick</t>
  </si>
  <si>
    <t>Improved Rend</t>
  </si>
  <si>
    <t>Morichro</t>
  </si>
  <si>
    <t>Improved Repulse</t>
  </si>
  <si>
    <t>Move Object</t>
  </si>
  <si>
    <t>move object</t>
  </si>
  <si>
    <t>Improved Resist Force</t>
  </si>
  <si>
    <t>Negate Energy</t>
  </si>
  <si>
    <t>negate energy</t>
  </si>
  <si>
    <t>Improved Sense Force</t>
  </si>
  <si>
    <t>Obscure</t>
  </si>
  <si>
    <t>obscure</t>
  </si>
  <si>
    <t>Improved Sense Surroundings</t>
  </si>
  <si>
    <t>Phase</t>
  </si>
  <si>
    <t>phase</t>
  </si>
  <si>
    <t>Improved Shatterpoint</t>
  </si>
  <si>
    <t>Prescience</t>
  </si>
  <si>
    <t>prescience</t>
  </si>
  <si>
    <t>Improved Stagger</t>
  </si>
  <si>
    <t>Rebuke</t>
  </si>
  <si>
    <t>rebuke</t>
  </si>
  <si>
    <t>Improved Technometry</t>
  </si>
  <si>
    <t>Rend</t>
  </si>
  <si>
    <t>rend</t>
  </si>
  <si>
    <t>Repulse</t>
  </si>
  <si>
    <t>repulse</t>
  </si>
  <si>
    <t>Improved Valor</t>
  </si>
  <si>
    <t>Resist Force</t>
  </si>
  <si>
    <t>resist Force</t>
  </si>
  <si>
    <t>Improved Vital Transfer</t>
  </si>
  <si>
    <t>Sever Force</t>
  </si>
  <si>
    <t>sever Force</t>
  </si>
  <si>
    <t>Language Absorption</t>
  </si>
  <si>
    <t>Shatterpoint</t>
  </si>
  <si>
    <t>Slow</t>
  </si>
  <si>
    <t>slow</t>
  </si>
  <si>
    <t>Stagger</t>
  </si>
  <si>
    <t>stagger</t>
  </si>
  <si>
    <t>surge</t>
  </si>
  <si>
    <t>Technometry</t>
  </si>
  <si>
    <t>Valor</t>
  </si>
  <si>
    <t>valor</t>
  </si>
  <si>
    <t>Vital Transfer</t>
  </si>
  <si>
    <t>vital transfer</t>
  </si>
  <si>
    <t>Wound</t>
  </si>
  <si>
    <t>wound</t>
  </si>
  <si>
    <t>Force Powers Known:</t>
  </si>
  <si>
    <t>Force Powers Available:</t>
  </si>
  <si>
    <t>Force Points</t>
  </si>
  <si>
    <t>Destiny Points</t>
  </si>
  <si>
    <t>Destiny Type</t>
  </si>
  <si>
    <t>Experience Points</t>
  </si>
  <si>
    <t>Dark Side Score</t>
  </si>
  <si>
    <t>Dark Side Taint</t>
  </si>
  <si>
    <t>Exotic Weapons Lists</t>
  </si>
  <si>
    <t>Destiny Type Lists</t>
  </si>
  <si>
    <t>Penalty</t>
  </si>
  <si>
    <t>Completed</t>
  </si>
  <si>
    <t>+1 skills and ability checks</t>
  </si>
  <si>
    <t>-2 skills and ability checks</t>
  </si>
  <si>
    <t>+1 to two ability scores</t>
  </si>
  <si>
    <t>Destruction</t>
  </si>
  <si>
    <t>Discovery</t>
  </si>
  <si>
    <t>+2 to one ability score</t>
  </si>
  <si>
    <t>-2 damage</t>
  </si>
  <si>
    <t>+1 to all defenses</t>
  </si>
  <si>
    <t>Education</t>
  </si>
  <si>
    <t>Redemption</t>
  </si>
  <si>
    <t>Rescue</t>
  </si>
  <si>
    <t>-2 attack</t>
  </si>
  <si>
    <t>Gain a Force point</t>
  </si>
  <si>
    <t>Lose a Force point or -1 on attack until you gain a level</t>
  </si>
  <si>
    <t>Creation</t>
  </si>
  <si>
    <t>Champion</t>
  </si>
  <si>
    <t>Liberation</t>
  </si>
  <si>
    <t>-2 to all defenses</t>
  </si>
  <si>
    <t>Spend 2 Force points per round with object</t>
  </si>
  <si>
    <t>Embraced</t>
  </si>
  <si>
    <t>Denied</t>
  </si>
  <si>
    <t>Ackbar</t>
  </si>
  <si>
    <t>+2 to single attack or skill roll</t>
  </si>
  <si>
    <t>-2 to first attack in every encounter</t>
  </si>
  <si>
    <t>Antilles</t>
  </si>
  <si>
    <t>Antares</t>
  </si>
  <si>
    <t>Cracken</t>
  </si>
  <si>
    <t>Darklighter</t>
  </si>
  <si>
    <t>Draco</t>
  </si>
  <si>
    <t>Fel</t>
  </si>
  <si>
    <t>Fett</t>
  </si>
  <si>
    <t>Farlander</t>
  </si>
  <si>
    <t>Halcyon</t>
  </si>
  <si>
    <t>Horn</t>
  </si>
  <si>
    <t>Madine</t>
  </si>
  <si>
    <t>Organa</t>
  </si>
  <si>
    <t>Skywalker</t>
  </si>
  <si>
    <t>Solo</t>
  </si>
  <si>
    <t>Solusar</t>
  </si>
  <si>
    <t>Tion</t>
  </si>
  <si>
    <t>Whitesun</t>
  </si>
  <si>
    <t>Yage</t>
  </si>
  <si>
    <t>Fey'lya</t>
  </si>
  <si>
    <t>Gahan</t>
  </si>
  <si>
    <t>Nep</t>
  </si>
  <si>
    <t>Nunb</t>
  </si>
  <si>
    <t>Fortuna</t>
  </si>
  <si>
    <t>Secura</t>
  </si>
  <si>
    <t>Vao</t>
  </si>
  <si>
    <t>-- Legacy Destinies --</t>
  </si>
  <si>
    <t>-5 to Use Computer checks to detect</t>
  </si>
  <si>
    <t>Dual Gear</t>
  </si>
  <si>
    <t>Retrieve weapon from 6 squares as Move action</t>
  </si>
  <si>
    <t>Environmentally sealed</t>
  </si>
  <si>
    <t>Doubled lifetime</t>
  </si>
  <si>
    <t>Works only for you</t>
  </si>
  <si>
    <t>Activate via comlink as Swift action</t>
  </si>
  <si>
    <t>Store smaller items on weapon up to its weight</t>
  </si>
  <si>
    <t>Store 1 smaller item inside weapon</t>
  </si>
  <si>
    <t>Technique</t>
  </si>
  <si>
    <t>Bio-Implants</t>
  </si>
  <si>
    <t>Bio-Implant</t>
  </si>
  <si>
    <t>Bio-Implant Effects</t>
  </si>
  <si>
    <t>Cosmetic enhancements</t>
  </si>
  <si>
    <t>Body spikes</t>
  </si>
  <si>
    <t>Enhanced vision</t>
  </si>
  <si>
    <t>Natural armor</t>
  </si>
  <si>
    <t>Natural weapon</t>
  </si>
  <si>
    <t>Poison filter</t>
  </si>
  <si>
    <t>Replacement body part</t>
  </si>
  <si>
    <t>Cosmetic changes</t>
  </si>
  <si>
    <t>+1 natural armor</t>
  </si>
  <si>
    <t>Deal 1d6 with natural weapons</t>
  </si>
  <si>
    <t>+5 equipment bonus to Fortitude Defense against poison</t>
  </si>
  <si>
    <t>Replacement limb or body part</t>
  </si>
  <si>
    <t>Deal 1d4 piercing and slashing damage while grapling</t>
  </si>
  <si>
    <t xml:space="preserve">   (Max Dex)</t>
  </si>
  <si>
    <t>Species Bonus</t>
  </si>
  <si>
    <t>NA</t>
  </si>
  <si>
    <t>Natural Attacks</t>
  </si>
  <si>
    <t>High Galactic</t>
  </si>
  <si>
    <t>Languages</t>
  </si>
  <si>
    <t>Resistant to lightsabers</t>
  </si>
  <si>
    <t>Force Techniques Known:</t>
  </si>
  <si>
    <t>New in 0.5</t>
  </si>
  <si>
    <t>Added Languages tab</t>
  </si>
  <si>
    <t>Added Character &amp; Species tab</t>
  </si>
  <si>
    <t>Total HP:</t>
  </si>
  <si>
    <t>STUN</t>
  </si>
  <si>
    <t>Critical</t>
  </si>
  <si>
    <t>Weapon #2</t>
  </si>
  <si>
    <t>Weapon #3</t>
  </si>
  <si>
    <t>Weapon #4</t>
  </si>
  <si>
    <r>
      <rPr>
        <b/>
        <sz val="14"/>
        <rFont val="Arial"/>
        <family val="2"/>
      </rPr>
      <t>-</t>
    </r>
    <r>
      <rPr>
        <sz val="14"/>
        <rFont val="Arial"/>
        <family val="2"/>
      </rPr>
      <t xml:space="preserve"> Act out of turn</t>
    </r>
  </si>
  <si>
    <r>
      <rPr>
        <b/>
        <sz val="14"/>
        <rFont val="Arial"/>
        <family val="2"/>
      </rPr>
      <t xml:space="preserve">- </t>
    </r>
    <r>
      <rPr>
        <sz val="14"/>
        <rFont val="Arial"/>
        <family val="2"/>
      </rPr>
      <t>Avoid dying</t>
    </r>
  </si>
  <si>
    <t>SPECIAL COMBAT ACTIONS</t>
  </si>
  <si>
    <t>Att Options</t>
  </si>
  <si>
    <t>Special Actions</t>
  </si>
  <si>
    <t>Item</t>
  </si>
  <si>
    <t>Cheater</t>
  </si>
  <si>
    <t>Droidification</t>
  </si>
  <si>
    <t>Memory Upgrade</t>
  </si>
  <si>
    <t>Memory Upgrade, Advanced</t>
  </si>
  <si>
    <t>Increase Size</t>
  </si>
  <si>
    <t>Equipment Accessories</t>
  </si>
  <si>
    <t>Carried Armor</t>
  </si>
  <si>
    <t>--Ammunition--</t>
  </si>
  <si>
    <t>#</t>
  </si>
  <si>
    <t>Upgrade</t>
  </si>
  <si>
    <t>Added Equipment tab</t>
  </si>
  <si>
    <t>Force Secrets Known:</t>
  </si>
  <si>
    <t>Force Secrets Available:</t>
  </si>
  <si>
    <t>Force Techniques Available:</t>
  </si>
  <si>
    <t>Weapon Feat/Talent Mods</t>
  </si>
  <si>
    <t>Attack Mod</t>
  </si>
  <si>
    <t>DamMod</t>
  </si>
  <si>
    <t>Dam Dice Mod</t>
  </si>
  <si>
    <t>DamMod2</t>
  </si>
  <si>
    <t>Prerequisite Prof</t>
  </si>
  <si>
    <t>Prerequisite Type</t>
  </si>
  <si>
    <t>melee</t>
  </si>
  <si>
    <t>ranged</t>
  </si>
  <si>
    <t>Dual Wield</t>
  </si>
  <si>
    <t>Credits:</t>
  </si>
  <si>
    <t>Cybernetics</t>
  </si>
  <si>
    <t>penalty to Use the Force</t>
  </si>
  <si>
    <t>CRIT</t>
  </si>
  <si>
    <t>Dbl</t>
  </si>
  <si>
    <t>Tri</t>
  </si>
  <si>
    <t>Sin</t>
  </si>
  <si>
    <t>FEAT/TALENT</t>
  </si>
  <si>
    <t>RANGE MODIFIERS</t>
  </si>
  <si>
    <t>PB</t>
  </si>
  <si>
    <t>Attack Modifier</t>
  </si>
  <si>
    <t>LONG</t>
  </si>
  <si>
    <t>MEDIUM</t>
  </si>
  <si>
    <t>SHORT</t>
  </si>
  <si>
    <t>ZERO</t>
  </si>
  <si>
    <t>Gender</t>
  </si>
  <si>
    <t>Classes</t>
  </si>
  <si>
    <t>Multiclass Feats</t>
  </si>
  <si>
    <t>Added Biotech and Cybernetics tab</t>
  </si>
  <si>
    <t>Status</t>
  </si>
  <si>
    <t>Functional</t>
  </si>
  <si>
    <t>Works</t>
  </si>
  <si>
    <t>Added Weapon Cheat Sheet</t>
  </si>
  <si>
    <t>Added Weapons tab</t>
  </si>
  <si>
    <t>New in 0.6</t>
  </si>
  <si>
    <t>Added Stat Block</t>
  </si>
  <si>
    <t>Bugs Fixed</t>
  </si>
  <si>
    <t>Feature Requests</t>
  </si>
  <si>
    <t>Flat-footed box on character sheet</t>
  </si>
  <si>
    <t>Cleaned Feats list</t>
  </si>
  <si>
    <t>Force powers available/known calculation</t>
  </si>
  <si>
    <t>Improved Damage Threshold not showing on character sheet</t>
  </si>
  <si>
    <t>Fixed Imperial Knight talents</t>
  </si>
  <si>
    <t>Calculate Feats</t>
  </si>
  <si>
    <t>Not In</t>
  </si>
  <si>
    <t>Feature</t>
  </si>
  <si>
    <t>Sorted Names</t>
  </si>
  <si>
    <t>Fixed bug with skill training</t>
  </si>
  <si>
    <t>Unarmed Die Size</t>
  </si>
  <si>
    <t>Base Size</t>
  </si>
  <si>
    <t>Augmented</t>
  </si>
  <si>
    <t>Fixed bug with martial arts and unarmed attacks</t>
  </si>
  <si>
    <t>Special Talents</t>
  </si>
  <si>
    <t>Talent</t>
  </si>
  <si>
    <t>Bocce</t>
  </si>
  <si>
    <t>Feats or talents that augment weapons</t>
  </si>
  <si>
    <t>Weapon Focus (heavy)</t>
  </si>
  <si>
    <t>Weapon Focus (advanced melee)</t>
  </si>
  <si>
    <t>Weapon Focus (lightsabers)</t>
  </si>
  <si>
    <t>Weapon Focus (pistols)</t>
  </si>
  <si>
    <t>Weapon Focus (rifles)</t>
  </si>
  <si>
    <t>Weapon Specialization (heavy)</t>
  </si>
  <si>
    <t>Weapon Specialization (advanced melee)</t>
  </si>
  <si>
    <t>Weapon Specialization (pistols)</t>
  </si>
  <si>
    <t>Weapon Specialization (rifles)</t>
  </si>
  <si>
    <t>Greater Weapon Focus (simple)</t>
  </si>
  <si>
    <t>Greater Weapon Focus (heavy)</t>
  </si>
  <si>
    <t>Greater Weapon Focus (advanced melee)</t>
  </si>
  <si>
    <t>Greater Weapon Focus (pistols)</t>
  </si>
  <si>
    <t>Greater Weapon Focus (rifles)</t>
  </si>
  <si>
    <t>Greater Weapon Specialization (heavy)</t>
  </si>
  <si>
    <t>Greater Weapon Specialization (advanced melee)</t>
  </si>
  <si>
    <t>Greater Weapon Specialization (pistols)</t>
  </si>
  <si>
    <t>Greater Weapon Specialization (rifles)</t>
  </si>
  <si>
    <t>Greater Weapon Specialization (simple)</t>
  </si>
  <si>
    <t>Rate of Fire</t>
  </si>
  <si>
    <t>Accuracy</t>
  </si>
  <si>
    <t>Size Increase</t>
  </si>
  <si>
    <t xml:space="preserve">   Wielded</t>
  </si>
  <si>
    <t xml:space="preserve">   Normal</t>
  </si>
  <si>
    <t>Damage Type</t>
  </si>
  <si>
    <t xml:space="preserve">   Rarity</t>
  </si>
  <si>
    <t>Damage Threshold</t>
  </si>
  <si>
    <t>Weapon Hit Points</t>
  </si>
  <si>
    <t>Weapon Damage Reduction</t>
  </si>
  <si>
    <t>Weapon Customization</t>
  </si>
  <si>
    <t>Secret Calcs</t>
  </si>
  <si>
    <t>Base Weapon Size</t>
  </si>
  <si>
    <t>Wielder Size</t>
  </si>
  <si>
    <t>Base Cost</t>
  </si>
  <si>
    <t>Licensing Percentage</t>
  </si>
  <si>
    <t>Weapon #1 Override</t>
  </si>
  <si>
    <t>Black Market Multiplier</t>
  </si>
  <si>
    <t>Damage Dice #</t>
  </si>
  <si>
    <t>Damage Die Size</t>
  </si>
  <si>
    <t>Final Attack</t>
  </si>
  <si>
    <t>Final Damage</t>
  </si>
  <si>
    <t>Critical Die Results</t>
  </si>
  <si>
    <t>Critical Multiplier</t>
  </si>
  <si>
    <t>Single Fire</t>
  </si>
  <si>
    <t>Shots</t>
  </si>
  <si>
    <t>Power Source/Ammunition</t>
  </si>
  <si>
    <t>Lightsaber Crystals/bonuses</t>
  </si>
  <si>
    <t>Lightsaber Crystals/Bonuses</t>
  </si>
  <si>
    <t>Attack Modifier Calcs</t>
  </si>
  <si>
    <t>Weapon Proficiency Mod</t>
  </si>
  <si>
    <t>Melee Weapon Ability Mod</t>
  </si>
  <si>
    <t>Damage Modifier Calcs</t>
  </si>
  <si>
    <t>Two-Hand Melee Modifier</t>
  </si>
  <si>
    <t>Weapon</t>
  </si>
  <si>
    <t>Mounted</t>
  </si>
  <si>
    <t>Ammunition or Power</t>
  </si>
  <si>
    <t>S, A</t>
  </si>
  <si>
    <t>Prof</t>
  </si>
  <si>
    <t>Special From Accessories</t>
  </si>
  <si>
    <t>Final Weapon Size</t>
  </si>
  <si>
    <t>Lightsabers treated as illegal in dark times</t>
  </si>
  <si>
    <t>New in 0.7</t>
  </si>
  <si>
    <t>Reworked the Weapon tab</t>
  </si>
  <si>
    <t>Fixed bug with Jedi Master not adding up Force Secrets right</t>
  </si>
  <si>
    <t>Fixed spelling of Bocce</t>
  </si>
  <si>
    <t>Attack options in Stat Block</t>
  </si>
  <si>
    <t>Expanded armor modification space</t>
  </si>
  <si>
    <t>Mandalorian iron support</t>
  </si>
  <si>
    <t>Mounted Weapons</t>
  </si>
  <si>
    <t>Accessories Validation</t>
  </si>
  <si>
    <t>Armor Stripping</t>
  </si>
  <si>
    <t>Custom Languages</t>
  </si>
  <si>
    <t>Triple Critical</t>
  </si>
  <si>
    <t>Bonuses</t>
  </si>
  <si>
    <t>Total</t>
  </si>
  <si>
    <t>Morale</t>
  </si>
  <si>
    <t>Force</t>
  </si>
  <si>
    <t>Level Feats</t>
  </si>
  <si>
    <t>Class Feats</t>
  </si>
  <si>
    <t>Insight</t>
  </si>
  <si>
    <t>Arkanian Offshoot and Clone Hero Stats</t>
  </si>
  <si>
    <t>Added data from Jedi Academy</t>
  </si>
  <si>
    <t>Follow Through</t>
  </si>
  <si>
    <t>Force Regimen Mastery</t>
  </si>
  <si>
    <t>Long Haft Strike</t>
  </si>
  <si>
    <t>Relentless Attack</t>
  </si>
  <si>
    <t>JATM 23</t>
  </si>
  <si>
    <t>Unswerving Resolve</t>
  </si>
  <si>
    <t>Blind</t>
  </si>
  <si>
    <t>Telekinetic</t>
  </si>
  <si>
    <t>Mind-Affecting</t>
  </si>
  <si>
    <t>Light-Side</t>
  </si>
  <si>
    <t>Convection</t>
  </si>
  <si>
    <t>Crucitorn</t>
  </si>
  <si>
    <t>Cryokinesis</t>
  </si>
  <si>
    <t>Drain Energy</t>
  </si>
  <si>
    <t>Fold Space</t>
  </si>
  <si>
    <t>Force Light</t>
  </si>
  <si>
    <t>Force Storm (JATM)</t>
  </si>
  <si>
    <t>Force Track</t>
  </si>
  <si>
    <t>Hatred</t>
  </si>
  <si>
    <t>Inertia</t>
  </si>
  <si>
    <t>Inspire</t>
  </si>
  <si>
    <t>Intercept</t>
  </si>
  <si>
    <t>Memory Walk</t>
  </si>
  <si>
    <t>Mind Shard</t>
  </si>
  <si>
    <t>Plant Surge</t>
  </si>
  <si>
    <t>Thought Bomb</t>
  </si>
  <si>
    <t>Force light</t>
  </si>
  <si>
    <t>Force storm (JATM)</t>
  </si>
  <si>
    <t>Force track</t>
  </si>
  <si>
    <t>Deflecting Slash</t>
  </si>
  <si>
    <t>Disarming Slash</t>
  </si>
  <si>
    <t>Draw Closer</t>
  </si>
  <si>
    <t>Falling Avalanche</t>
  </si>
  <si>
    <t>Fluid Riposte</t>
  </si>
  <si>
    <t>Hawk-Bat Swoop</t>
  </si>
  <si>
    <t>High Ground Defense</t>
  </si>
  <si>
    <t>Makashi Riposte</t>
  </si>
  <si>
    <t>Pass the Blade</t>
  </si>
  <si>
    <t>Pushing Slash</t>
  </si>
  <si>
    <t>Rising Whirlwind</t>
  </si>
  <si>
    <t>Saber Swarm</t>
  </si>
  <si>
    <t>Sarlacc Sweep</t>
  </si>
  <si>
    <t>Sarlacc sweep</t>
  </si>
  <si>
    <t>Shien Deflection</t>
  </si>
  <si>
    <t>Swift Flank</t>
  </si>
  <si>
    <t>Tempered Aggression</t>
  </si>
  <si>
    <t>Twin Strike</t>
  </si>
  <si>
    <t>Unbalancing Block</t>
  </si>
  <si>
    <t>Cure Disease</t>
  </si>
  <si>
    <t>Extended Blind</t>
  </si>
  <si>
    <t>Extended Force Disarm</t>
  </si>
  <si>
    <t>Extended Force Grip</t>
  </si>
  <si>
    <t>Extended Force Thrust</t>
  </si>
  <si>
    <t>Extended Move Object</t>
  </si>
  <si>
    <t>Improved Convection</t>
  </si>
  <si>
    <t>Improved Crucitorn</t>
  </si>
  <si>
    <t>Improved Cryokinesis</t>
  </si>
  <si>
    <t>Improved Fold Space</t>
  </si>
  <si>
    <t>Improved Force Light</t>
  </si>
  <si>
    <t>Improved Force Storm (JATM)</t>
  </si>
  <si>
    <t>Improved Plant Surge</t>
  </si>
  <si>
    <t>Improved Thought Bomb</t>
  </si>
  <si>
    <t>Partial</t>
  </si>
  <si>
    <t>San-ni staff</t>
  </si>
  <si>
    <t>Energy and bludgeoning</t>
  </si>
  <si>
    <t>Make use of Block talent</t>
  </si>
  <si>
    <t>san-ni staff</t>
  </si>
  <si>
    <t>Lightfoil, archaic</t>
  </si>
  <si>
    <t>Lightsaber, archaic</t>
  </si>
  <si>
    <t>Lightsaber, crossguard</t>
  </si>
  <si>
    <t>Lightsaber, dual-phase</t>
  </si>
  <si>
    <t>Lightsaber, dueling</t>
  </si>
  <si>
    <t>Lightsaber, great</t>
  </si>
  <si>
    <t>Wan-shen</t>
  </si>
  <si>
    <t>Discblade</t>
  </si>
  <si>
    <t>archaic lightsaber</t>
  </si>
  <si>
    <t>Retrosaber</t>
  </si>
  <si>
    <t>Treat as Small when beneficial, can't be wielded two-handed</t>
  </si>
  <si>
    <t>As Swift action gain reach 2 but -2 to Reflex Defense against adjacent targets</t>
  </si>
  <si>
    <t>+1 to Attacks of Opportunity</t>
  </si>
  <si>
    <t>Not finessable for Medium or smaller creatures</t>
  </si>
  <si>
    <t>As Swift action deal 2d10 until end of next round, but 2d4 the following round</t>
  </si>
  <si>
    <t>Lightsaber, dual-phase variant</t>
  </si>
  <si>
    <t>As Swift action switch between attuned crystals</t>
  </si>
  <si>
    <t>Use of the Block talent cumulative -2 instead of -5, -2 to Use the Force to Deflect</t>
  </si>
  <si>
    <t>archaic lightfoil</t>
  </si>
  <si>
    <t>crossguard lightsaber</t>
  </si>
  <si>
    <t>dual-phase lightsaber</t>
  </si>
  <si>
    <t>dueling lightsaber</t>
  </si>
  <si>
    <t>great lightsaber</t>
  </si>
  <si>
    <t>retrosaber</t>
  </si>
  <si>
    <t>wan-shen</t>
  </si>
  <si>
    <t>dual-phase variant lightsaber</t>
  </si>
  <si>
    <t>R-9 flash canister</t>
  </si>
  <si>
    <t>Beckon Call</t>
  </si>
  <si>
    <t>Blade Lock</t>
  </si>
  <si>
    <t>Concealed Compartment</t>
  </si>
  <si>
    <t>Electrum Detail</t>
  </si>
  <si>
    <t>Fiber Cord</t>
  </si>
  <si>
    <t>Force-Activated</t>
  </si>
  <si>
    <t>Interlocking Hilt</t>
  </si>
  <si>
    <t>Pressure Grip</t>
  </si>
  <si>
    <t>Trapped Grip</t>
  </si>
  <si>
    <t>Waterproof Casing</t>
  </si>
  <si>
    <t>--Lightsaber Accessories--</t>
  </si>
  <si>
    <t>Durindfire Crystal</t>
  </si>
  <si>
    <t>Hurikane</t>
  </si>
  <si>
    <t>Kasha Crystal</t>
  </si>
  <si>
    <t>Ankarres Sapphire</t>
  </si>
  <si>
    <t>Barab Ingot</t>
  </si>
  <si>
    <t>Dantari Crystal</t>
  </si>
  <si>
    <t>Heart of the Guardian</t>
  </si>
  <si>
    <t>Kaiburr Crystal Shard</t>
  </si>
  <si>
    <t>Krayt Dragon Pearl</t>
  </si>
  <si>
    <t>Lambent Crystal</t>
  </si>
  <si>
    <t>Mantle of the Force</t>
  </si>
  <si>
    <t>Glows as fusion lantern</t>
  </si>
  <si>
    <t>+2 to attack against armored opponents</t>
  </si>
  <si>
    <t>+2 Force bonus to Will Defense</t>
  </si>
  <si>
    <t>+5 Force bonus to Treat Injury checks or Use the Force with Vital Transfer</t>
  </si>
  <si>
    <t>Deals fire damage</t>
  </si>
  <si>
    <t>+2 to attack against enemies with a lightsaber</t>
  </si>
  <si>
    <t>Increase the Die type by one step when modifying rolls with Force Point</t>
  </si>
  <si>
    <t>+3 damage</t>
  </si>
  <si>
    <t>Sense Vong and Biotech without penalties</t>
  </si>
  <si>
    <t>+2 bonus to Use the Force checks where you are the target</t>
  </si>
  <si>
    <t>Summons linked starship to nearby landing area</t>
  </si>
  <si>
    <t>Swift action to lock the blade</t>
  </si>
  <si>
    <t>Storage for one Fine item</t>
  </si>
  <si>
    <t>Favorable circumstances on Persuasion checks to targets familiar with tradition</t>
  </si>
  <si>
    <t>Enemy cannot catch weapon on disarm attempt</t>
  </si>
  <si>
    <t>Can only be switched on by a Force Sensitive character</t>
  </si>
  <si>
    <t>As Swift action, turn two lightsabers into double weapon</t>
  </si>
  <si>
    <t>Deactivates when dropped or disarmed</t>
  </si>
  <si>
    <t>Deals 1d6 per round against wrong user</t>
  </si>
  <si>
    <t>Functions underwater</t>
  </si>
  <si>
    <t>Thanks and Shoutouts</t>
  </si>
  <si>
    <t>Kenad Broki and all the contributers to SagaSheet</t>
  </si>
  <si>
    <r>
      <t xml:space="preserve">- </t>
    </r>
    <r>
      <rPr>
        <sz val="14"/>
        <rFont val="Arial"/>
        <family val="2"/>
      </rPr>
      <t>Gain 3 Force points</t>
    </r>
  </si>
  <si>
    <r>
      <rPr>
        <b/>
        <sz val="14"/>
        <rFont val="Arial"/>
        <family val="2"/>
      </rPr>
      <t>-</t>
    </r>
    <r>
      <rPr>
        <sz val="14"/>
        <rFont val="Arial"/>
        <family val="2"/>
      </rPr>
      <t xml:space="preserve"> Reduce Dark Side score by 1</t>
    </r>
  </si>
  <si>
    <t>Armor Skill Penalty</t>
  </si>
  <si>
    <t>Added bonus tab</t>
  </si>
  <si>
    <t>Show dividers in the Stat Block</t>
  </si>
  <si>
    <t>Bonus Sheet now works</t>
  </si>
  <si>
    <t>Armor Size</t>
  </si>
  <si>
    <t>Heavy</t>
  </si>
  <si>
    <t>Light</t>
  </si>
  <si>
    <t>Templates</t>
  </si>
  <si>
    <t>Hapan</t>
  </si>
  <si>
    <t>Mando'a</t>
  </si>
  <si>
    <t>Armor Damage Reduction</t>
  </si>
  <si>
    <t>Armor Hit Points</t>
  </si>
  <si>
    <t>Miscellaneous</t>
  </si>
  <si>
    <t>DR -</t>
  </si>
  <si>
    <t>DR energy</t>
  </si>
  <si>
    <t>DR stun</t>
  </si>
  <si>
    <t>DR sonic</t>
  </si>
  <si>
    <t>DR bludgeoning</t>
  </si>
  <si>
    <t>DR ion</t>
  </si>
  <si>
    <t>Revamped Armor tab</t>
  </si>
  <si>
    <t>Armor templates</t>
  </si>
  <si>
    <t>New in 0.8</t>
  </si>
  <si>
    <t>Added more data from Jedi Academy</t>
  </si>
  <si>
    <t>Expanded weapons list</t>
  </si>
  <si>
    <t>Droid tab</t>
  </si>
  <si>
    <t>Feat/Talent descriptions (probably not)</t>
  </si>
  <si>
    <t>Language (understand only) vs full</t>
  </si>
  <si>
    <t>Added Mando'a and Hapan languages</t>
  </si>
  <si>
    <t>Use HP average based on Dice</t>
  </si>
  <si>
    <t>Size Override</t>
  </si>
  <si>
    <t>Illusion bond</t>
  </si>
  <si>
    <t>JATM 15</t>
  </si>
  <si>
    <t>Influence Savant</t>
  </si>
  <si>
    <t>Masquerade</t>
  </si>
  <si>
    <t>Link</t>
  </si>
  <si>
    <t>Suppress Force</t>
  </si>
  <si>
    <t>Channel Energy</t>
  </si>
  <si>
    <t>JATM 16</t>
  </si>
  <si>
    <t>Force Harmony</t>
  </si>
  <si>
    <t>Dark Side Savant</t>
  </si>
  <si>
    <t>Transfer Essence</t>
  </si>
  <si>
    <t>Guardian Spirit</t>
  </si>
  <si>
    <t>Crucial Advice</t>
  </si>
  <si>
    <t>Manifest Guardian Spirit</t>
  </si>
  <si>
    <t>Vital Encouragement</t>
  </si>
  <si>
    <t>Distracting Apparition</t>
  </si>
  <si>
    <t>JATM17</t>
  </si>
  <si>
    <t>Motion of the Future</t>
  </si>
  <si>
    <t>Instinctive Navigation</t>
  </si>
  <si>
    <t>JATM 17</t>
  </si>
  <si>
    <t>Dark Side Talisman</t>
  </si>
  <si>
    <t>Greater Dark Side Talisman</t>
  </si>
  <si>
    <t>Beastwarden</t>
  </si>
  <si>
    <t>Bonded Mount</t>
  </si>
  <si>
    <t>Entreat Beast</t>
  </si>
  <si>
    <t>Soothing Presence</t>
  </si>
  <si>
    <t>Wild Sense</t>
  </si>
  <si>
    <t>JATM 18</t>
  </si>
  <si>
    <t>Mystic</t>
  </si>
  <si>
    <t>Telepath</t>
  </si>
  <si>
    <t>Channel Vitality</t>
  </si>
  <si>
    <t>Closed Mind</t>
  </si>
  <si>
    <t>Esoteric Technique</t>
  </si>
  <si>
    <t>Mystic Mastery</t>
  </si>
  <si>
    <t>Regimen Mastery</t>
  </si>
  <si>
    <t>Perfect Telepathy</t>
  </si>
  <si>
    <t>Psychic Citadel</t>
  </si>
  <si>
    <t>Psychic Defenses</t>
  </si>
  <si>
    <t>Telepathic Intruder</t>
  </si>
  <si>
    <t>JATM 19</t>
  </si>
  <si>
    <t>Lightsaber Form Savant</t>
  </si>
  <si>
    <t>Shoto Master</t>
  </si>
  <si>
    <t>Jedi Instructor</t>
  </si>
  <si>
    <t>Jedi Artisan</t>
  </si>
  <si>
    <t>Jedi Investigator</t>
  </si>
  <si>
    <t>Jedi Weapon Master</t>
  </si>
  <si>
    <t>Call Weapon</t>
  </si>
  <si>
    <t>Lightsaber Specialist</t>
  </si>
  <si>
    <t>Masterwork Lightsaber</t>
  </si>
  <si>
    <t>Perfect Attunement</t>
  </si>
  <si>
    <t>Quick Modification</t>
  </si>
  <si>
    <t>Apprentice Boon</t>
  </si>
  <si>
    <t>Share Force Secret</t>
  </si>
  <si>
    <t>Share Force Technique</t>
  </si>
  <si>
    <t>Transfer Power</t>
  </si>
  <si>
    <t>JATM 20</t>
  </si>
  <si>
    <t>JATM 21</t>
  </si>
  <si>
    <t>Echoes in the Force</t>
  </si>
  <si>
    <t>Jedi Quarry</t>
  </si>
  <si>
    <t>Prepared for Danger</t>
  </si>
  <si>
    <t>Sense Deception</t>
  </si>
  <si>
    <t>Unclouded Judgement</t>
  </si>
  <si>
    <t>Combat Trance</t>
  </si>
  <si>
    <t>Improvised Weapon Master</t>
  </si>
  <si>
    <t>Twin Weapon Style</t>
  </si>
  <si>
    <t>Twin Weapon Mastery</t>
  </si>
  <si>
    <t>Shoto Pin</t>
  </si>
  <si>
    <t>Cause Mutation</t>
  </si>
  <si>
    <t>Sith Alchemy Specialist</t>
  </si>
  <si>
    <t>Rapid Alchemy</t>
  </si>
  <si>
    <t>Dark armor, light</t>
  </si>
  <si>
    <t>Dark armor, medium</t>
  </si>
  <si>
    <t>Dark armor, heavy</t>
  </si>
  <si>
    <t>Jedi battle armor, light</t>
  </si>
  <si>
    <t>Jedi battle armor, medium</t>
  </si>
  <si>
    <t>Orbalisk armor</t>
  </si>
  <si>
    <t>WJ-880 blinding helmet</t>
  </si>
  <si>
    <t>DR 10 even against lightsabers</t>
  </si>
  <si>
    <t>light dark armor</t>
  </si>
  <si>
    <t>medium dark armor</t>
  </si>
  <si>
    <t>heavy dark armor</t>
  </si>
  <si>
    <t>light Jedi battle armor</t>
  </si>
  <si>
    <t>medium Jedi battle armor</t>
  </si>
  <si>
    <t>8-2A medical bundle</t>
  </si>
  <si>
    <t>Force detector</t>
  </si>
  <si>
    <t>Force training aid</t>
  </si>
  <si>
    <t>Universal energy cage</t>
  </si>
  <si>
    <t>Sith battle harness</t>
  </si>
  <si>
    <t>Subelectronic converter</t>
  </si>
  <si>
    <t>Use the Force is now a class skill if you have Force Sensitivity</t>
  </si>
  <si>
    <t>Custom Species</t>
  </si>
  <si>
    <t>Armor free slots changed to reflect Errata</t>
  </si>
  <si>
    <t>Jagged Weapon</t>
  </si>
  <si>
    <t>Master's Weapon</t>
  </si>
  <si>
    <t>Vile Weapon</t>
  </si>
  <si>
    <t>--Sith Weapon Traits--</t>
  </si>
  <si>
    <t>--Sith Armor Traits--</t>
  </si>
  <si>
    <t>Cotosis Weave</t>
  </si>
  <si>
    <t>Dark Side Energy</t>
  </si>
  <si>
    <t>Dark Side Stealth</t>
  </si>
  <si>
    <t>Imposing Form</t>
  </si>
  <si>
    <t>--Sith Abomination Traits--</t>
  </si>
  <si>
    <t>Iron Will</t>
  </si>
  <si>
    <t>Living creature damaged takes 1d4 damage at start of its next turn</t>
  </si>
  <si>
    <t>Grants +2 bonus to Block and Deflect</t>
  </si>
  <si>
    <t>Laced with Sith poison</t>
  </si>
  <si>
    <t>Automatically deactivates any lightsaber that strikes the wearer</t>
  </si>
  <si>
    <t>+2 equipment bonus to activate Dark Side Force powers</t>
  </si>
  <si>
    <t>+2 equipment bonus to Use the Force checks to avoid detection</t>
  </si>
  <si>
    <t>+2 equipment bonus on Persuasion checks to intimidate</t>
  </si>
  <si>
    <t>DR +5</t>
  </si>
  <si>
    <t>+2 equipment bonus to Will Defense</t>
  </si>
  <si>
    <t>SPECIAL QUALITIES</t>
  </si>
  <si>
    <t>Weapon #2 Override</t>
  </si>
  <si>
    <t>Weapon #3 Override</t>
  </si>
  <si>
    <t>Weapon #4 Override</t>
  </si>
  <si>
    <t>Weapon #5</t>
  </si>
  <si>
    <t>Weapon #5 Override</t>
  </si>
  <si>
    <t>Weapon #6</t>
  </si>
  <si>
    <t>Weapon #6 Override</t>
  </si>
  <si>
    <t>Added Sith Alchemy for weapons</t>
  </si>
  <si>
    <t>Added six weapon entries</t>
  </si>
  <si>
    <t>Fixed Crucitorn once selected is not displayed on character sheet 2 under Force powers</t>
  </si>
  <si>
    <t>Fixed bonus attack and bonus damage not working</t>
  </si>
  <si>
    <t>Jedi robes</t>
  </si>
  <si>
    <t>Sith robes</t>
  </si>
  <si>
    <t>Dark-colored Jedi robes</t>
  </si>
  <si>
    <t>Nightsister robes</t>
  </si>
  <si>
    <t>Dark robes</t>
  </si>
  <si>
    <t>Ceremonial Hendanyn death mask</t>
  </si>
  <si>
    <t>Silver robes</t>
  </si>
  <si>
    <t>Black robes</t>
  </si>
  <si>
    <t>Jedi master's robes</t>
  </si>
  <si>
    <t>Jedi padawan's robes</t>
  </si>
  <si>
    <t>Sith apprentice's robes</t>
  </si>
  <si>
    <t>Sith master's robes</t>
  </si>
  <si>
    <t>Sith lord's robes</t>
  </si>
  <si>
    <t>dark-colored Jedi robes</t>
  </si>
  <si>
    <t>ceremonial Hendanyn death mask</t>
  </si>
  <si>
    <t>Ancient Jedi robes</t>
  </si>
  <si>
    <t>Ancient Sith robes</t>
  </si>
  <si>
    <t>ancient Jedi robes</t>
  </si>
  <si>
    <t>ancient Sith robes</t>
  </si>
  <si>
    <t>Added a variety of robes to equipment</t>
  </si>
  <si>
    <t>Added JATM equipment</t>
  </si>
  <si>
    <t>Stowed Weapons</t>
  </si>
  <si>
    <t>Select stowed weapons, armor and equipment</t>
  </si>
  <si>
    <t>Calculate Talents that substitute UTF for Skills</t>
  </si>
  <si>
    <t>Added support for UtF skill subsitution</t>
  </si>
  <si>
    <t>capital ship</t>
  </si>
  <si>
    <t>airspeeder</t>
  </si>
  <si>
    <t>space transport</t>
  </si>
  <si>
    <t>speeder</t>
  </si>
  <si>
    <t>starfighter</t>
  </si>
  <si>
    <t>walker</t>
  </si>
  <si>
    <t>New in 0.9</t>
  </si>
  <si>
    <t>FORCE TECHNIQUES &amp; SECRETS</t>
  </si>
  <si>
    <t>Stock</t>
  </si>
  <si>
    <t>Held Penalty</t>
  </si>
  <si>
    <t>Retracted/Extended</t>
  </si>
  <si>
    <t>Calculate effects of Retractable Stock</t>
  </si>
  <si>
    <t>Droids</t>
  </si>
  <si>
    <t>Select Droid Degree</t>
  </si>
  <si>
    <t>str</t>
  </si>
  <si>
    <t>dex</t>
  </si>
  <si>
    <t>int</t>
  </si>
  <si>
    <t>wis</t>
  </si>
  <si>
    <t>cha</t>
  </si>
  <si>
    <t>Str</t>
  </si>
  <si>
    <t>Dex</t>
  </si>
  <si>
    <t>Int</t>
  </si>
  <si>
    <t>Wis</t>
  </si>
  <si>
    <t>Cha</t>
  </si>
  <si>
    <t>Droid Size</t>
  </si>
  <si>
    <t>Locomotion</t>
  </si>
  <si>
    <t>Cost Factor</t>
  </si>
  <si>
    <t>Walking</t>
  </si>
  <si>
    <t>Wheeled</t>
  </si>
  <si>
    <t>Tracked</t>
  </si>
  <si>
    <t>Hovering</t>
  </si>
  <si>
    <t>Flying</t>
  </si>
  <si>
    <t>Second</t>
  </si>
  <si>
    <t>Third</t>
  </si>
  <si>
    <t>Fifth</t>
  </si>
  <si>
    <t>Fourth</t>
  </si>
  <si>
    <t>Exclusive</t>
  </si>
  <si>
    <t>Extra Legs</t>
  </si>
  <si>
    <t>Magnetic Feet</t>
  </si>
  <si>
    <t>(Max)</t>
  </si>
  <si>
    <t>Compatible</t>
  </si>
  <si>
    <t>Installed</t>
  </si>
  <si>
    <t>Appendages</t>
  </si>
  <si>
    <t>Con</t>
  </si>
  <si>
    <t>─</t>
  </si>
  <si>
    <t>Probe</t>
  </si>
  <si>
    <t>Tool</t>
  </si>
  <si>
    <t>Instrument</t>
  </si>
  <si>
    <t>Claw</t>
  </si>
  <si>
    <t>Telescopic</t>
  </si>
  <si>
    <t>cost</t>
  </si>
  <si>
    <t>weight</t>
  </si>
  <si>
    <t>Communications</t>
  </si>
  <si>
    <t>Comlink, internal</t>
  </si>
  <si>
    <t>Vocabulator</t>
  </si>
  <si>
    <t>Diagnostics package</t>
  </si>
  <si>
    <t>Internal Storage</t>
  </si>
  <si>
    <t>Spring-loaded mechanism</t>
  </si>
  <si>
    <t>Locked access</t>
  </si>
  <si>
    <t>Processors</t>
  </si>
  <si>
    <t>Heuristic processor</t>
  </si>
  <si>
    <t>Remote processor</t>
  </si>
  <si>
    <t>Remote reciever</t>
  </si>
  <si>
    <t>Backup processor</t>
  </si>
  <si>
    <t>Synchronized fire circuits</t>
  </si>
  <si>
    <t>Secondary battery</t>
  </si>
  <si>
    <t>Self-destruct system</t>
  </si>
  <si>
    <t>Remote Processor</t>
  </si>
  <si>
    <t>5-km range</t>
  </si>
  <si>
    <t>50-km range</t>
  </si>
  <si>
    <t>500-km range</t>
  </si>
  <si>
    <t>5000-km range</t>
  </si>
  <si>
    <t>Sensors</t>
  </si>
  <si>
    <t>Improved sensor package</t>
  </si>
  <si>
    <t>Shield Generator</t>
  </si>
  <si>
    <t>Size Restriction</t>
  </si>
  <si>
    <t>Armor check penalty</t>
  </si>
  <si>
    <t>Translator Unit</t>
  </si>
  <si>
    <t>Statblock</t>
  </si>
  <si>
    <t>Duranium battle armor</t>
  </si>
  <si>
    <t>duranium battle armor</t>
  </si>
  <si>
    <t>Duranium plating</t>
  </si>
  <si>
    <t>r</t>
  </si>
  <si>
    <t>duranium plating</t>
  </si>
  <si>
    <t>Durasteel battle armor</t>
  </si>
  <si>
    <t>durasteel battle armor</t>
  </si>
  <si>
    <t>Durasteel plating</t>
  </si>
  <si>
    <t>durasteel plating</t>
  </si>
  <si>
    <t>Durasteel shell</t>
  </si>
  <si>
    <t>durasteel shell</t>
  </si>
  <si>
    <t>Mandalorian steel shell</t>
  </si>
  <si>
    <t>Neutronium plating</t>
  </si>
  <si>
    <t>neutronium plating</t>
  </si>
  <si>
    <t>Plasteel shell</t>
  </si>
  <si>
    <t>plasteel shell</t>
  </si>
  <si>
    <t>Quadanium plating</t>
  </si>
  <si>
    <t>quadanium plating</t>
  </si>
  <si>
    <t>Quadanium shell</t>
  </si>
  <si>
    <t>quadanium shell</t>
  </si>
  <si>
    <t>Built-in armor</t>
  </si>
  <si>
    <t>Att Options/
Special Actions</t>
  </si>
  <si>
    <t>Total Cost</t>
  </si>
  <si>
    <t>Total Weight</t>
  </si>
  <si>
    <t>hp</t>
  </si>
  <si>
    <t>thresh</t>
  </si>
  <si>
    <t>capacity</t>
  </si>
  <si>
    <t>1/2 Char</t>
  </si>
  <si>
    <t>Skill Modifier</t>
  </si>
  <si>
    <t>Speed (sheet)</t>
  </si>
  <si>
    <t>Added support for Droids</t>
  </si>
  <si>
    <t>Destiny Fulfilled tab</t>
  </si>
  <si>
    <t>Aing-Tii Monk</t>
  </si>
  <si>
    <t>Aura of Freedom</t>
  </si>
  <si>
    <t>Liberate</t>
  </si>
  <si>
    <t>Folded Space Mastery</t>
  </si>
  <si>
    <t>Many Shades of the Force</t>
  </si>
  <si>
    <t>Spatial Integrity</t>
  </si>
  <si>
    <t>JATM 73</t>
  </si>
  <si>
    <t>Baran Do Sage</t>
  </si>
  <si>
    <t>Enhanced Danger Sense</t>
  </si>
  <si>
    <t>Expanded Horizon</t>
  </si>
  <si>
    <t>Knowledge and Defense</t>
  </si>
  <si>
    <t>Planetary Attunement</t>
  </si>
  <si>
    <t>Precognitive Meditation</t>
  </si>
  <si>
    <t>JATM 75</t>
  </si>
  <si>
    <t>White Current Adept</t>
  </si>
  <si>
    <t>Ride the Current</t>
  </si>
  <si>
    <t>Surrender to the Current</t>
  </si>
  <si>
    <t>Force Immersion</t>
  </si>
  <si>
    <t>Immerse Another</t>
  </si>
  <si>
    <t>JATM 77</t>
  </si>
  <si>
    <t>Iron Knight</t>
  </si>
  <si>
    <t>Droid Duelist</t>
  </si>
  <si>
    <t>Force Repair</t>
  </si>
  <si>
    <t>Heal Droid</t>
  </si>
  <si>
    <t>Mask Presence</t>
  </si>
  <si>
    <t>Silicon Mind</t>
  </si>
  <si>
    <t>JATM 79</t>
  </si>
  <si>
    <t>Matuki Adept</t>
  </si>
  <si>
    <t>Body Control</t>
  </si>
  <si>
    <t>Physical Surge</t>
  </si>
  <si>
    <t>Soft to Solid</t>
  </si>
  <si>
    <t>Wan-Shen Defense</t>
  </si>
  <si>
    <t>Wan-Shen Kata</t>
  </si>
  <si>
    <t>Wan-Shen Mastery</t>
  </si>
  <si>
    <t>JATM 81</t>
  </si>
  <si>
    <t>Seyugi Dervish</t>
  </si>
  <si>
    <t>Seyugi Cyclone</t>
  </si>
  <si>
    <t>Mobile Whirlwind</t>
  </si>
  <si>
    <t>Repelling Whirlwind</t>
  </si>
  <si>
    <t>Sudden Storm</t>
  </si>
  <si>
    <t>Tempest Tossed</t>
  </si>
  <si>
    <t>JATM 83</t>
  </si>
  <si>
    <t>Shaper of Kro Var</t>
  </si>
  <si>
    <t>Earth Buckle</t>
  </si>
  <si>
    <t>Fluidity</t>
  </si>
  <si>
    <t>Thunderclap</t>
  </si>
  <si>
    <t>Wind Vortex</t>
  </si>
  <si>
    <t>JATM 85</t>
  </si>
  <si>
    <t>Tyia Adept</t>
  </si>
  <si>
    <t>Repel Discord</t>
  </si>
  <si>
    <t>Stifle Conflict</t>
  </si>
  <si>
    <t>Cycle of Harmony</t>
  </si>
  <si>
    <t>Force Stabilize</t>
  </si>
  <si>
    <t>JATM 87</t>
  </si>
  <si>
    <t>Warden of the Sky</t>
  </si>
  <si>
    <t>Martial Resurgence</t>
  </si>
  <si>
    <t>Rebound Leap</t>
  </si>
  <si>
    <t>Similatanous Strike</t>
  </si>
  <si>
    <t>Telekinetic Strike</t>
  </si>
  <si>
    <t>Brutal Unarmed Strike</t>
  </si>
  <si>
    <t>Telekinetic Throw</t>
  </si>
  <si>
    <t>JATM 89</t>
  </si>
  <si>
    <t>Zeison Sha Warrior</t>
  </si>
  <si>
    <t>Discblade Arc</t>
  </si>
  <si>
    <t>Distant Discblade Throw</t>
  </si>
  <si>
    <t>Recall Discblade</t>
  </si>
  <si>
    <t>Telekinetic Vigilance</t>
  </si>
  <si>
    <t>Weapon Specialization (discblade)</t>
  </si>
  <si>
    <t>JATM 91</t>
  </si>
  <si>
    <t>of the</t>
  </si>
  <si>
    <t>Taint</t>
  </si>
  <si>
    <t>Secret</t>
  </si>
  <si>
    <t>Fixed Force Power Mastery has no way of indicating what power(s) has/have mastery</t>
  </si>
  <si>
    <t>Added better support for Force tab</t>
  </si>
  <si>
    <t>Carrying Capacity for droids and large creatures, etc</t>
  </si>
  <si>
    <t>Once/encounter as swift add Wisdom bonus to ally's Will Defense</t>
  </si>
  <si>
    <t>Persuasion checks can be made with Use the Force, and Persuasion is considered a trained skill</t>
  </si>
  <si>
    <t>Move your enemy a further step down the condition track when successful with Adept Negotiator</t>
  </si>
  <si>
    <t>Once per turn, as a swift action, remove a mind-affecting effect from a single ally in line of sight</t>
  </si>
  <si>
    <t>Other Force-users with farseeing within 6-squares can aid another on your Use the Force check to use farseeing or farseeing-based Force powers and talents</t>
  </si>
  <si>
    <t>Once per round as a swift action, you grant one ally within 12 squares of you (and in your line of sight) bonus hit points equal to 5 + your Charisma modifier. You take a -5 penaity on all Use the Force checks until the beginning of your next turn.</t>
  </si>
  <si>
    <t>Whenever you damage a target with a successful lightsaber attack, you may use the Consular's Vitality talent as a free action instead of a swift action until the start of your next turn.</t>
  </si>
  <si>
    <t>Regain all expended uses of farseeing once per encounter as a swift action</t>
  </si>
  <si>
    <t>Make a Use the Force check to use farseeing to transfer a Force Point to an ally within line of sight</t>
  </si>
  <si>
    <t>Make a DC 20 Acrobatics check to negate falling prone</t>
  </si>
  <si>
    <t>Spend a full-round action to grant yourself and allies within 6 squares +1 to attack rolls</t>
  </si>
  <si>
    <t>Battle Meditation is a swift action, extends to 12 squares and inflicts a -1 penalty on enemy attack rolls</t>
  </si>
  <si>
    <t>When you fight defensively you deal +1 die on lightsaber attacks and gain a +2 bonus with Block and Deflect</t>
  </si>
  <si>
    <t>Additional -5 penalty for ranged attacks against you whilst fighting in melee</t>
  </si>
  <si>
    <t>When you use a lightsaber to deal damage to a target, you can spend a Force Point to make that target flat-footed until the end of your next turn.</t>
  </si>
  <si>
    <t>Whenever you use a lightsaber to deal damage to a target, that target takes a -2 penaity on attack rolls against any target other than you until the beginning of your next turn.</t>
  </si>
  <si>
    <t>Initiative checks can be made with Use the Force, and Initiative is considered a trained skill</t>
  </si>
  <si>
    <t>Upon scoring a critical hit with a lightsaber, gain a temporary Force Point</t>
  </si>
  <si>
    <t>Spend a swift action upon ending movement adjacent to an enemy to move with them up to your speed, whilst still benefiting from attacks of opportunity</t>
  </si>
  <si>
    <t>Spend a full-round action to move +2 steps along the condition track</t>
  </si>
  <si>
    <t>May reroll any Use the Force check made to avoid being detected by other Force-users, but must accept the result of the reroll even if it is worse</t>
  </si>
  <si>
    <t>Spend a Force Point as a standard action to grant a number of creatures up to your class level total concealment from an opponent if your Use the Force check beats their Will Defense</t>
  </si>
  <si>
    <t>Whenever anyone concealed by your use of the Foce Haze talent attacks, you maintain total concealment without having to make another Use the Force check. Only those who do not attack remain concealed.</t>
  </si>
  <si>
    <t>Whenever you use the Force Haze talent, allies hidden by the haze can reroll any Perception check, keeping the better result. Addition¬ally, allies hidden by the haze gain +2 on all damage rolls against foes that are unaware of them.</t>
  </si>
  <si>
    <t>Use the Force against a target's Will Defense as a swift action to cause them to forget your interaction</t>
  </si>
  <si>
    <t>May reroll any Use the Force check made to sense the presence and relative location of characters with a Dark Side score, but must accept the result of the reroll even if it is worse</t>
  </si>
  <si>
    <t>Deal Charisma bonus extra damage using Force powers against dark siders</t>
  </si>
  <si>
    <t>Deal extra damage equal to your Charisma modifier (minimum +1) against creatures with a Dark Side Score</t>
  </si>
  <si>
    <t>+5 to all Defense scores against Dark Side Force powers and any Force power from a dark Force-user</t>
  </si>
  <si>
    <t>Deal 1d6 extra damage to flat-footed opponents with Force powers or lightsaber attacks
(Enter number of times taken)</t>
  </si>
  <si>
    <t>Spend a Force Point once per encounter upon being targeted by a dark side power to activate a Force power as a reaction</t>
  </si>
  <si>
    <t>As a swift action once per encounter, designate an adjacent opponent with a Dark Side score to deny them their Dexterity bonus to Reflex Defense until your next turn</t>
  </si>
  <si>
    <t>If you have concealment against a target, you gain a +2 circumstance bonus on attack rolls against that target.</t>
  </si>
  <si>
    <t>Take a penalty to your melee attack roll to gain twice that as a bonus to your Will Defense</t>
  </si>
  <si>
    <t>Make a Use the Force check as a reaction to negate a melee attack roll against you, or provide you with cover against Whirlwind Attack, with a cumulative penalty of -5 each time Block or Deflect has been used since your last turn</t>
  </si>
  <si>
    <t>Once per encounter, gain a free lightsaber attack against an opponent whose attack you have negated using Block</t>
  </si>
  <si>
    <t>Use Block with cortosis gauntlet, attacking lightsaber deactivated</t>
  </si>
  <si>
    <t>Make a Use the Force check as a reaction to negate a ranged attack roll against you, or provide you with cover against autofire or Force Lightning, with a cumulative penalty of -5 each time Block or Deflect has been used since your last turn</t>
  </si>
  <si>
    <t>Once per round on a successful use of Deflect on a single blaster bolt, make a ranged attack against a target using the blaster weapon's damage</t>
  </si>
  <si>
    <t>Gain +1 to Reflex Defense as a swift action until your next turn
(Enter number of times taken)</t>
  </si>
  <si>
    <t>As standard action make melee attack with lightsaber, reduces target's speed to 2 squares until end of your next turn</t>
  </si>
  <si>
    <t>Gain +2 bonus to damage rolls with lightsabers</t>
  </si>
  <si>
    <t>A lightsaber is no longer considered an improvised thrown weapon, and can be recalled after a thrown attack within 6 squares with a DC 20 Use the Force check</t>
  </si>
  <si>
    <t>As a swift action, spend a Force point to make creatures want to avoid you, making all squares in a 2-square radius count as difficult terrain for your enemies</t>
  </si>
  <si>
    <t>Exclude a number of targets equal to your Wisdom modifier (minimum 1) from cone effect Force powers</t>
  </si>
  <si>
    <t>Gain a temporary Force Point upon rolling a natural 1 on an attack roll or Use the Force check</t>
  </si>
  <si>
    <t>Spend a Force Point as a standard action to create illusions which appear real to those whose Will Defense is exceeded by your Use the Force check</t>
  </si>
  <si>
    <t>Free extra use of of telekinetic Force power on a natural 20</t>
  </si>
  <si>
    <t>Spend a Force point to have targets of Move Object bigger than Large deal area damage</t>
  </si>
  <si>
    <t>Return a telekinetic Force power to your suite as a swift action once per encounter
(Enter number of times taken)</t>
  </si>
  <si>
    <t>Gain a free telekinetic power when you select move object as one of the powers from Force Training</t>
  </si>
  <si>
    <t>Form a telepathic link with another Force Sensitive ally which allows instant communication within one kilometer, and once per encounter use of a Force power from their Force suite</t>
  </si>
  <si>
    <t>Upon rolling a natural 20 on an attack roll or Use the Force check, you may grant an ally within 12 squares a temporary Force Point instead of regaining all spent Force powers</t>
  </si>
  <si>
    <t>You can use mind trick on creatures of Intelligence 2 or lower</t>
  </si>
  <si>
    <t>Spend a Force Point to gain DR 10 for 1 minute as a standard action</t>
  </si>
  <si>
    <t>Spend a Force Point to remove all debilitating conditions as a swift action</t>
  </si>
  <si>
    <t>Gain an extra 1d6 hit points per Force Point (maximum 10d6)  when using second wind</t>
  </si>
  <si>
    <t>Move -1 persistent step along the condition track to choose a Force power which can be used an extra time at the expense of any other power
(Enter number of times taken)</t>
  </si>
  <si>
    <t>Make a DC 15 Use the Force check to regain a spent Force power as a full round action</t>
  </si>
  <si>
    <t>Upon failing to successfully negate or redirect a Force power with rebuke, you may instead lessen the effect of the Force power one step</t>
  </si>
  <si>
    <t>Spend a Force Point as a standard action to become immune to all mind-affecting effects for 1 minute</t>
  </si>
  <si>
    <t>You are immune to effects that move you against your will</t>
  </si>
  <si>
    <t>Once per turn, as a reaction, when defending against a Force power that targets your Will Defense, you can roll a Use the Force check and use the result instead, but the next round your Use the Force checks are -5</t>
  </si>
  <si>
    <t>As a swift action, take a -5 penalty to Will Defense to gain a +2 bonus to attack until your next round</t>
  </si>
  <si>
    <t>Gain Skill Training or Focus in a skill from a touched target with a Use the Force check against their Will Defense or learn information with a Perception check</t>
  </si>
  <si>
    <t>Choose the best of two rolls on the bonus die for spending a Force Point to modify an attack roll, increasing Dark Side Score by 1</t>
  </si>
  <si>
    <t>You and allies within 6 squares gain +1 bonus to all defenses until the end of the encounter as a standard action</t>
  </si>
  <si>
    <t>Gain +2 bonus to attack rolls and damage rolls for the remainder of the encounter upon the death (or reduction to 0 hit points) of an ally of equal or higher ally</t>
  </si>
  <si>
    <t>Negate moving down the condition track by increasing your Dark Side score</t>
  </si>
  <si>
    <t>Use a Force power of standard or move action duration as a swift action once per day</t>
  </si>
  <si>
    <t>Upon rolling a natural 20 to activate a damaging Force Power, you may deal half the damage again at the beginning of the target's next turn instead of replenishing your Force suite</t>
  </si>
  <si>
    <t>Spend a Force point to gain a +2 bonus to all Defenses until the end of the encounter, or when you attack, whichever comes first</t>
  </si>
  <si>
    <t>You can spend a Force point to reroll an attack against a target with a Dark Side score of 1 or more and take the better of the results</t>
  </si>
  <si>
    <t>When you roll a natural 20 against a target with a Dark Side score of 1 or more, you may activate a Force power with the [Light Side] descriptor immediately as a free action</t>
  </si>
  <si>
    <t>Once per encoutner, as a swift action, you can return any Force power with the [light side] descriptor without spending a Force point</t>
  </si>
  <si>
    <t>Spend a Force Point as a standard to ignore all concealment for 1 minute</t>
  </si>
  <si>
    <t>Perception checks can be made with Use the Force, and Perception is considered a trained skill</t>
  </si>
  <si>
    <t>Spend a Force point to reroll an Initiative check, keeping the better result, regaining the Force point in the case of a natual 20</t>
  </si>
  <si>
    <t>Make a Use the Force check against a target's Will Defense as a standard action to ascertain whether it is Force Sensitive, and how many Force powers and Force Points it has</t>
  </si>
  <si>
    <t>When you use Farseeing you can choose to target an object you hold and look into its past up to 5 years per level</t>
  </si>
  <si>
    <t>Farseeing can be used to see the past or future of the target at the cost of a Force Point</t>
  </si>
  <si>
    <t>Pilot checks can be made with Use the Force, and Pilot is considered a trained skill</t>
  </si>
  <si>
    <t>Spend a Force Point to reroll a Pilot check to activate a Starship Maneuver and keep the better result</t>
  </si>
  <si>
    <t>You can spend a Force point to add your Charisma bonus to your Perception check</t>
  </si>
  <si>
    <t>You can spend a Force Point to gain low-light vision for 1 minute or until the end of the encounter, whichever is longer</t>
  </si>
  <si>
    <t>When you roll Initiative at the beginning of combat, also roll a Deception check, comparing the result to the Will Defense of all enemies in line of sight. If your Deception check is successful, that target cannot attack you while this effect is active.</t>
  </si>
  <si>
    <t>As a standard action, you designate one ally and make a Persuasion check against the Will Defense of all enemies in line of sight. Successful checks mean they cannot attack the ally you designated until the beginning of your next turn.</t>
  </si>
  <si>
    <t>Whenever an enemy within 12 squares of you and in your line of sight receives an insight or morale bonus from any source, you can also gain that bonus, subject to all the same limitations as the bonus provided to that enemy.</t>
  </si>
  <si>
    <t>If you are in melee combat with an adjacent enemy and are the target of a ranged attack that misses you, if the attack equals or exceeds the enemy's Reflex Defense, that enemy becomes the new target of the attack, which is resolved as normal.</t>
  </si>
  <si>
    <t>As a swift action, you can grant one enemya +1 bonus on its next attack roll made before the beginning of your next turn. Additionally, until the beginning of your next turn, you can designate one ally who receives a +2 bonus on its next attack roll.</t>
  </si>
  <si>
    <t>Make Persuasion check as standard action against target's Will Defense. If successful, you impose a -2 penalty to all the target's Defenses until the end of your net turn.</t>
  </si>
  <si>
    <t>Once per encounter, as a standard action, you grant tactical advantage to all allies within your line of sight. When an ally flanks an opponent, that ally gains a +4 flanking bonus on melee attack rolls instead of the normal +2 bonus.</t>
  </si>
  <si>
    <t>During a surprise round, before combat begins, if you are not surprised, you can give up your standard action to allow all nonsurprised allies within line of sight to take an extra move action during the surprise round or reroll their Initiative check.</t>
  </si>
  <si>
    <t>As swift action, make Persuasion check against Will Defense of all opponents within line of sight. If successful, targets cannot attack you if one of your allies is within 6 squares of you.</t>
  </si>
  <si>
    <t>Use each of the following actions once per encounter as a standard action:
- Flase Security
- Nonthreatening
- Tricky Target
See p. 14 of Scum and Villainy</t>
  </si>
  <si>
    <t>Gain +5 bonus to your Will Defense against skill checks made to read your emotions and influence your attitude. Additionally, when you feint a target in combat, that target is flat-footed against all your attacks until the end of your next turn.</t>
  </si>
  <si>
    <t>When using a light melee weapon or lightsaber with which you are proficient, you may use your Charisma modifier instead of your Strength modifier on attack rolls</t>
  </si>
  <si>
    <t>Halve damage from a melee attack on an opponent to instead inflict a -5 penalty on attacks made against you until your next turn</t>
  </si>
  <si>
    <t>Upon damaging an opponent with a melee attack, make a Deception check against them to leave them flat-footed against an ally within six squares until your next turn</t>
  </si>
  <si>
    <t>Upon being damaged by an adjacent enemy once per encounter, make a free single melee attack against them</t>
  </si>
  <si>
    <t>Deal half damage to an enemy to switch places with them</t>
  </si>
  <si>
    <t>You may use your Charisma bonus instead of Wisdom bonus for Will Defense</t>
  </si>
  <si>
    <t>As a standard action, once per encounter for each time taken, grant an ally within 6 squares use of your skill modifier (except for Use the Force)
(Enter number of times taken)</t>
  </si>
  <si>
    <t>As a swift action make a Knowledge (galactic lore) check against DC 15 + target's CL to learn two of: base attack bonus, particular attack bonus, defense score, skill modifier, taken talent or taken feat</t>
  </si>
  <si>
    <t>Make a Persuasion check against the Will Defense of a single opponent within line of sight as a standard action to keep them from attacking you until your next turn</t>
  </si>
  <si>
    <t>Once per encounter, upon dealing damage to an enemy, grant all allies +1 attack and +1 die damage against the same target</t>
  </si>
  <si>
    <t>Persuasion checks to intimidate are standard actions, not full-round actions</t>
  </si>
  <si>
    <t>Make a Persuasion check once per encounter against the Will Defense of a target reduced to less than half hit-points to enforce their surrender</t>
  </si>
  <si>
    <t>Once per encounter as a standard action, use Persuasion to intimidate an opponent within line of sight to allow them only a swift action for their turn</t>
  </si>
  <si>
    <t>Once per encounter as a reaction, make a Persuasion check to intimidate an opponent within line of sight to apply a -5 penalty to their attack roll</t>
  </si>
  <si>
    <t>Make a Persuasion check against a target's Will Defense upon dealing damage greater than their damage threshold to enforce their flight</t>
  </si>
  <si>
    <t>Targets fleeing from Weaken Resolve don't stop running if wounded</t>
  </si>
  <si>
    <t>Move an ally +1 step along the condition track once per encounter and impart bonus hit points equal to his character level if he is below half hit points</t>
  </si>
  <si>
    <t>All allies within line of sight gain a +1 bonus to attack rolls and skill checks until the end of the encounter as a standard action</t>
  </si>
  <si>
    <t>You can use each of the following actions once per encounter:
- Guardian
- Reprisal
- To me!
See p.14 of Scum and Villainy.</t>
  </si>
  <si>
    <t>Grant an ally a bonus to damage on his next attack roll equal to his character level upon hitting an opponent with a ranged or melee attack</t>
  </si>
  <si>
    <t>Opponents moved down the condition track from attacks made by allies within line of sight move an additional -1 step down the condition track</t>
  </si>
  <si>
    <t>Once per encounter as a swift action, grant allies within line of sight +2 Will Defense</t>
  </si>
  <si>
    <t>As a swift action, an ally within line of sight can make a skill check requiring a standard action as a move action on his next turn</t>
  </si>
  <si>
    <t>Allies within line of sight gain a +1 bonus to attack rolls whilst remaining in line of sight, activated as a swift action once per encounter</t>
  </si>
  <si>
    <t>The bonus from Born Leader applies even if line of sight is disrupted</t>
  </si>
  <si>
    <t>Allies within line of sight at less than half hit points gain a +2 bonus to Reflex Defense, Will Defense and damage rolls, activated as a swift action once per encounter</t>
  </si>
  <si>
    <t>Allies gain +5 to Will Defense against fear effects for the rest of the encounter, activated as a swift action</t>
  </si>
  <si>
    <t>Once per encounter, upon you or an ally being attacked, grant an ally within 6 squares a free attack against the attacking enemy</t>
  </si>
  <si>
    <t>Allies within line of sight grant an additional +1 bonus when using aid another until the start of your next turn, activated as a standard action
(Enter number of times taken)</t>
  </si>
  <si>
    <t>Give up a standard action to grant an ally within line of sight an extra standard or move action on their next turn</t>
  </si>
  <si>
    <t>Avoid paying license fees on equipment less than your character level x 1000 credits, and reduce the black market cost multiplier by 1</t>
  </si>
  <si>
    <t>Once per day, receive a skill check at 25 + half your heroic level over the course of 10 x skill check result minutes</t>
  </si>
  <si>
    <t>Once per encounter, take 20 on a Persuasion check without taking longer than usual</t>
  </si>
  <si>
    <t>Knowledge checks can be made untrained</t>
  </si>
  <si>
    <t>Trained in Mechanics. Time taken to install new systems into a vehicle is reduced by 25%</t>
  </si>
  <si>
    <t>Make a skill check once per day as if trained in a skill you are untrained in (except Use the Force)
(Enter number of times taken)</t>
  </si>
  <si>
    <t>Gain 5000 credits for each level of Noble every time you gain a level</t>
  </si>
  <si>
    <t xml:space="preserve">You gain a single follower. Choose either the aggressive, defensive, or utility follower template for your follower. This follower gains one Armor Proficiency feat of your choice and becomes trained in the Perception skill. </t>
  </si>
  <si>
    <t>You can use any of the following actions on your turn. 
- Bodyguard
- Diversion Attack
- The Best Defense</t>
  </si>
  <si>
    <t>As a reaction to you being damaged by an attack or a Force power, one of your followers can make an immediate melee or ranged attack against the target that attacked you.</t>
  </si>
  <si>
    <t>Each of your followers gains the Toughness feat.</t>
  </si>
  <si>
    <t>Prevent one enemy from receiving morale and insight bonuses for  round</t>
  </si>
  <si>
    <t>Redirect a missed attack against an ally to an adjacent enemy</t>
  </si>
  <si>
    <t>Make a Persuasion check against Will Defense to order an enemy to attack another of your foes</t>
  </si>
  <si>
    <t>You usurp an enemy's attempt to Aid Another and give the bonus to an ally</t>
  </si>
  <si>
    <t>When your allies take a Second Wind, your enemies lose their Dexterity bonus to Reflex Defense</t>
  </si>
  <si>
    <t>When an enemy is reduced to 0 hit points, you grant a Second Wind to any ally for free with bonus hit points equal to your level</t>
  </si>
  <si>
    <t>Spend a Force Point to gain a +1 bonus to attack rolls, +1 to all defenses, or +5 to skill checks for the rest of the encounter as a standard action</t>
  </si>
  <si>
    <t>Once per encounter, turn a critical hit against you into a normal hit.</t>
  </si>
  <si>
    <t>Once per encounter, as a reaction, you gain a +5 luck bonus to any one defense until the start of your next turn.</t>
  </si>
  <si>
    <t>Gain a free standard action upon scoring a critical hit on an attack roll</t>
  </si>
  <si>
    <t>Gain a +2 bonus to Wisdom checks for gambling
(Enter number of times taken)</t>
  </si>
  <si>
    <t>Reroll a skill check and take the better result once per day
(Enter number of times taken)</t>
  </si>
  <si>
    <t>Reroll an attack roll and take the better result once per day
(Enter number of times taken)</t>
  </si>
  <si>
    <t>You can use each of the following once per encounter as a standard action:
- Elude Enemy
- Escape
- Make your Own Luck
See p.14 of Scum and Villainy</t>
  </si>
  <si>
    <t>You can reduce an enemy's cover by one step, but deal only half damage.</t>
  </si>
  <si>
    <t>Once per encounter, you can consider any single d20 roll of 16 or higher to be a natural 20.</t>
  </si>
  <si>
    <t>Once per encounter, you can reroll the damage of one attack and take the better result.</t>
  </si>
  <si>
    <t>Once per encounter as a reaction, negate the damage from an attack which would reduce you to 0 hit points</t>
  </si>
  <si>
    <t>Once per encounter, as a reaction, you become immune to all mind-affecting effects until the end of your next turn. You can choose to retain beneficial effects.</t>
  </si>
  <si>
    <t>Once per encounter, apply a toxin to a weapon as a standard action to poison any enemy whose Fortitude Defense is lower than your successful attack roll. The poison makes attack rolls to damage the target and move them down the conditon track</t>
  </si>
  <si>
    <t>Make a Knowledge (life sciences) check at the Treat Injury DC of a poison to change the deliver method of a poison</t>
  </si>
  <si>
    <t>Any target poisoned by you is denied its Dexterity bonus to Reflex Defense whilst afflicted</t>
  </si>
  <si>
    <t>The Treat Injury DC to cure your poison increases by 5</t>
  </si>
  <si>
    <t>Your poisons gain +2 to their attack rolls to beat their target's Fortitude defense</t>
  </si>
  <si>
    <t>As swift action make Deception check against a target's Will Defense. If you succeed, until the start of your next turn, you can move through the threatened area of the target as part of your move action without provoking an attack of opportunity.</t>
  </si>
  <si>
    <t>Successful attacks against opponents denied their Dexterity bonus to Reflex Defense move them -1 step down the condition track</t>
  </si>
  <si>
    <t>Whenever you deal damage to opponent denied its Dex bonus to Reflex Defense, you can choose not to move the target down the condition track and instead impose a -5 penalty to all of your opponent's attacks and melee damage until the end of your next turn.</t>
  </si>
  <si>
    <t>Enemies within line of sight are denied morale and insight bonuses until the start of your next turn</t>
  </si>
  <si>
    <t>Opponents within line of sight and six squares take a -2 penalty to their defenses until the start of your next turn, activated as a standard action</t>
  </si>
  <si>
    <t>You can use each of the following actions once per encounter:
- Create Opening
- Crippling Attack
- Vicious Attack
See p.15 of Scum and Villainy</t>
  </si>
  <si>
    <t>Make a Persuasion check as a standard action against a target within 12 squares. If the check beats the target's Will Defense, the target takes a -2 penalty to its base speed and must spend a swift action to make a standard action.</t>
  </si>
  <si>
    <t>+1 bonus to attack rolls until the start of your next turn if you move at least 2 squares before attacking and end your move in a different square from the starting square</t>
  </si>
  <si>
    <t>When you move at least 2 squares before your attack and end your move in a different square from where you started, you gain a +1 bonus to all your defenses until the start of your next turn.</t>
  </si>
  <si>
    <t>Gain 1d6 points of damage on attacks on targets within 6 squares denied their Dexterity bonus to Reflex Defense
(Enter number of times taken)</t>
  </si>
  <si>
    <t>Whenever you would gain the benefi of the Skirmisher talent and you successfully hit your opponent, you deal sneak attack damage in addition to normal damage dealt by the attack.</t>
  </si>
  <si>
    <t>Once per round, as a swift action, you designate a target within 12 squares and in line of sight as the target of this talent. Until the beginning of your turn, you can cause that target to take a -5 penaity on all checks made with a single skill.</t>
  </si>
  <si>
    <t>When an enemy or ally in your line of sight rolls a natural 1 on an attack roll, you can make a melee or ranged attack against a single target with in range.</t>
  </si>
  <si>
    <t xml:space="preserve">When an enemy or ally within 20 squares of you is reduced to 0 hit points, you gain bonus hit points equal to 5 + one-half your character level. </t>
  </si>
  <si>
    <t>When a target moves one of your allies in your line of sight down the condition track by any means, you gain a +2 insight bonus to your attack rolls against that target until the end of your next turn.</t>
  </si>
  <si>
    <t>When an enemyyou have damaged is reduced to 0 hit points or moved to the bottom of the condition track, your next attack made before the end of the encounter deals + 1 die of damage.</t>
  </si>
  <si>
    <t>When you damage a target, until the beginning of your next turn, you can move through that target's space. Moving through the target's space might still provoke attacks of opportunity as normal, and you must end your movement in a legalspace.</t>
  </si>
  <si>
    <t>Jury-rigged objects and vehicles gain temporary hit points equal to the result of your Mechanics check</t>
  </si>
  <si>
    <t>Use Computer checks to improve access to a computer system can be made with Mechanics, and Use Computer is considered a trained skill</t>
  </si>
  <si>
    <t>You may jury-rig objects or vehicles that aren't disabled once per encounter</t>
  </si>
  <si>
    <t>+1 bonus to attack rolls and +2 bonus to damage rolls with powered weapons for the remainder of an encounter, activated as a standard action</t>
  </si>
  <si>
    <t>Once per encounter, make an attack of opportunity against an opponent within point-blank range against an opponent provoking an attack of opportunity against an ally</t>
  </si>
  <si>
    <t>Once per encounter, make an attack of opportunity against an enemy using withdraw within point-blank range</t>
  </si>
  <si>
    <t>An enemy using withdraw from your threatened space is considered flat-footed until your next turn</t>
  </si>
  <si>
    <t>Once per encounter, upon damaging an opponent, you may move your speed</t>
  </si>
  <si>
    <t>Once per encounter, upon damaging an opponent, you may deny them attacks of opportunity until your next turn</t>
  </si>
  <si>
    <t>You may use Use Computer instead of Deception to forge electronic documents</t>
  </si>
  <si>
    <t>Make a Use Computer check to replace the Will Defense of a computer and make it unfriendly to anyone but you</t>
  </si>
  <si>
    <t>You can substitute Use Computer check for Mechanics check when disabling a computerized device.</t>
  </si>
  <si>
    <t>Issuing routine commands to a computer is a swift action, not a standard action</t>
  </si>
  <si>
    <t>Reroll any Use Computer checks to improve access to improve access on a computer and keep the better result</t>
  </si>
  <si>
    <t>You do not require a security kit to disable a security system, and can fail by up to 10 with no repercussions</t>
  </si>
  <si>
    <t>Use Computer can be used to make Gather Information checks, provided a computer network</t>
  </si>
  <si>
    <t>You may take 10 on Stealth checks to conceal items, even under pressure, and as a swift action</t>
  </si>
  <si>
    <t>Once per day as a standard action, you may take 20 on a Deception check to deceive</t>
  </si>
  <si>
    <t>If you draw a concealed item and attack a target in the same round, the target is flat-footed if they failed to notice. If you have the Quick Draw, your drawing is a swift action</t>
  </si>
  <si>
    <t>You may reroll Persuasion checks to haggle for restriced, military or illegal goods and keep the better result</t>
  </si>
  <si>
    <t>Upon failing a Deception check to convey deceptive information, you can initiate combat and make a single attack as a free action, with all other combatants considered surprised</t>
  </si>
  <si>
    <t>Add your class level once per day to an attack roll, skill check or ability check whilst on a starship</t>
  </si>
  <si>
    <t>Proficient with any starship weapon, and take no penalty on attack rolls in low- or zero-gravity environments nor suffer space sickness</t>
  </si>
  <si>
    <t>Gain +1 bonus to attack rolls on a starship</t>
  </si>
  <si>
    <t>When adjacent to an obstacle or barrier, you gain a +2 cover bonus to your Reflex Defense.</t>
  </si>
  <si>
    <t>Gain a temporary Force Point upon rolling a natural 20 on an attack roll made aboard a starship</t>
  </si>
  <si>
    <t>Once per encounter, while on a vehicle, you may move up to one half your speed or move the vehicle up to half its speed if your the pilot as a swift action.</t>
  </si>
  <si>
    <t>Reroll Knowledge (life sciences) or Treat Injury checks to use or repair biotech</t>
  </si>
  <si>
    <t>Deal +1 die of damage with razor bugs and thud bugs</t>
  </si>
  <si>
    <t>Spend a swift action to ignore cover with a razor bug or thud bug</t>
  </si>
  <si>
    <t>Whenever you succeed with Vong weapons and the attack roll exceeds Will Defense, the target is considered flat-footed until end of next turn</t>
  </si>
  <si>
    <t>Gain +10 bonus to Deception and Stealth checks to conceal biotech and draw biotech weapons as swift action and opponent denied Dexterity bonus to Reflex Defense</t>
  </si>
  <si>
    <t>You can reroll Perception checks, but must accept the result of the reroll even if worse</t>
  </si>
  <si>
    <t>You can move at normal speed whilst using Survival to track without penalty</t>
  </si>
  <si>
    <t>You can reroll Initiative checks, but must accept the result of the reroll even if worse</t>
  </si>
  <si>
    <t>Once per encounter after the first full round, the scout can set increase his current Initiative by +5</t>
  </si>
  <si>
    <t>You cannot be caught flat-footed</t>
  </si>
  <si>
    <t>You cannot be flanked</t>
  </si>
  <si>
    <t>No penalty to attack rolls against targets with concealment</t>
  </si>
  <si>
    <t>Once per encounter, as a swift action, you may ignore the DR of a target within your line of sight for the rest of your turn</t>
  </si>
  <si>
    <t>When benefiting from cover, spend a standard action to increase the cover value by one step.</t>
  </si>
  <si>
    <t>You can reroll Stealth checks, but must accept the result of the reroll even if worse</t>
  </si>
  <si>
    <t>You can move at your normal speed whilst using Stealth to hide at no penalty</t>
  </si>
  <si>
    <t>Once per encounter when within 2 squares of cover or concealment, you can move there and make a Stealth check as a move action.</t>
  </si>
  <si>
    <t>You can use each of the following once per encounter as a standard action:
- Blinding Strike
- Confusing Strike
- Unexpected Attack
See p.16 of Scum and Villainy</t>
  </si>
  <si>
    <t>Treat any concealment as total concealment</t>
  </si>
  <si>
    <t>You can reroll Persuasion checks made to haggle, but must accept the result of the reroll even if worse</t>
  </si>
  <si>
    <t>Gain a temporary Force Point upon rolling a natural 20 on a skill check during an encounter</t>
  </si>
  <si>
    <t>Increase speed by 2 squares in no armor or light armor</t>
  </si>
  <si>
    <t>As a standard action,your speed increases by 2, designate a single opponent and move up to your speed away from them without provoking attacks of opportunity.</t>
  </si>
  <si>
    <t>Use a swift action to reduce cost of each move into a diagonal space to 1 until the end of your turn if you are wearing light or no armour.</t>
  </si>
  <si>
    <t>You may use each of the following once per encounter as a standard action.
- Blurring Burst
- Sudden Assault
- Weaving Stride
See p.17 of Scum and Villainy</t>
  </si>
  <si>
    <t>Once per encounter you may use a swift action to move up to your speed.</t>
  </si>
  <si>
    <t>You can reroll Mechanics checks to jury-rig, but must accept the result of the reroll even if worse</t>
  </si>
  <si>
    <t>Whenever you successfully jury-rig a device or vehicle, it does not move -5 steps along the condition track at the end of the encounter, though it does move -2 persistant steps down the condition track.</t>
  </si>
  <si>
    <t>Once per encounter, force your opponent to reroll an attack against you or your vehicle and take the worse result</t>
  </si>
  <si>
    <t>Use a swift action to grant an ally within line of sight the ability to ignore difficult terrain on its next turn</t>
  </si>
  <si>
    <t>Using the snipe application of Stealth is a swift action</t>
  </si>
  <si>
    <t>Substitute Pilot skill for Use Computer checks made to operate sensors or astrogate whilst piloting</t>
  </si>
  <si>
    <t>Treat your ship as two sizes smaller when using Stealth as pilot</t>
  </si>
  <si>
    <t>As a move action, you can cause one of your followers to move up to his or her speed +2 squares.</t>
  </si>
  <si>
    <t>You gain a single follower. Choose either the aggressive, defensive, or uti lit Y follower template for your follower. This follower gains the Skill Training feat for the Perception and Stealth skills.</t>
  </si>
  <si>
    <t>Each of your followers gains the Point Blank Shot feat.</t>
  </si>
  <si>
    <t>You can use any of the following actions on your turn. 
- Forward Scouting 
- Group Sniping 
- Sweep the Area</t>
  </si>
  <si>
    <t>You may use your Stealth modifier instead of Deception to create a deceptive appearance</t>
  </si>
  <si>
    <t>You may reroll Deception checks to create a deceptive appearance and keep the better result</t>
  </si>
  <si>
    <t>Make a Perception check as a full-round action against DC 15 or a target's Stealth check to grant yourself and allies +2 to attack rolls until your next turn</t>
  </si>
  <si>
    <t>Gain +1 to all defenses against the target of Surveillance</t>
  </si>
  <si>
    <t>Once per encounter, as a standard action, take 20 on a trained Knowledge check or 10 on an untrained check even if circumstances would not normally permit it</t>
  </si>
  <si>
    <t>You leave no trace when you disable a device with Mechanics, and may fail by up to 10 without repercussions</t>
  </si>
  <si>
    <t>If you have concealment from a target, you gain a +5 circumstance bonus on all Perception checks made against that target.</t>
  </si>
  <si>
    <t>If you make a charge attack against a target that is unaware of you, that target cannot make a Perception check to notice you until af ter the attack is resolved, even if you move away from cover or concealment.</t>
  </si>
  <si>
    <t>When you use a standard action to actively look for hidden enemies you can make a single melee or ranged attack against any one enemy you notice with your Perception check.</t>
  </si>
  <si>
    <t>As a move action, you can make a Perception check with a DC equal to 10 + the CL of a enemy in your line of sight. If you succeed you and all your allies gain a + 1 insight bonus on attack rolls against that target until end of your next turn.</t>
  </si>
  <si>
    <t>If you are not surprised at the beginning of combat, you can use the Spotter talent as a free action on your first turn, including during the surprise round.</t>
  </si>
  <si>
    <t>You takes half damage from area attacks that hit, no damage from area attacks that miss</t>
  </si>
  <si>
    <t>Gain +5 to a Strength check or Strength-based skill check as two swift actions</t>
  </si>
  <si>
    <t>You can run at five times your speed</t>
  </si>
  <si>
    <t>Your speed is not reduced by difficult terrain</t>
  </si>
  <si>
    <t>When any enemy within 24 squares recieves an insight or morale bonus, you gain the same benefits</t>
  </si>
  <si>
    <t>When you useAdapt and Survive, you can deny one of the enemies the bonus</t>
  </si>
  <si>
    <t>Spend a Force Point to add to a Defense of you or an ally until your next turn</t>
  </si>
  <si>
    <t>Once per encounter move up to your speed as a reaction</t>
  </si>
  <si>
    <t>Take a readied action at any time up until the end of the current round</t>
  </si>
  <si>
    <t>Apply the higher of heroic level or armor bonus to your Reflex Defense</t>
  </si>
  <si>
    <t>Treat proficient armor as if had a maximum Dexterity 1 higher</t>
  </si>
  <si>
    <t>Apply the higher of heroic level plus half armor bonus or armor bonus to your Reflex Defense</t>
  </si>
  <si>
    <t>Increase your armor bonus to Reflex Defense and your equipment bonus to Fortitude Defense by 1</t>
  </si>
  <si>
    <t>Once per encounter, as a swift action, gain SR 10 on an active personal shield (up to maximum)</t>
  </si>
  <si>
    <t>While flanked you gain a +2 bonus on unarmed attack and damage rolls.</t>
  </si>
  <si>
    <t>During the surprise round you and all allies within 6 squares gain a +1 morale bonus to attack, and retain it for the encounter on every opponent damaged in the surprise round.</t>
  </si>
  <si>
    <t>When you fight defensively, any adjacent creature that attacks you provokes an attack of opportunity from you.</t>
  </si>
  <si>
    <t>+2 to grapple attacks</t>
  </si>
  <si>
    <t>Choose an opponent each round to deny their Strength bonus to their attack rolls against you</t>
  </si>
  <si>
    <t>Take no penalty when using the grab action</t>
  </si>
  <si>
    <t>Ranged weapons can be treated as a club, or as a double weapon if mounted with a bayonet</t>
  </si>
  <si>
    <t>When you take a full attack action, you can treat a ranged weapon with a bayonet as a double melee weapon. You can attack with the bayonet and club a target with your ranged weapon, ignoring the normal penalties.</t>
  </si>
  <si>
    <t>You take no penalty when using improvised weapons.</t>
  </si>
  <si>
    <t>Whenever an ally within 6 squares is reduced to 0 hit points or less you can move up to your speed toward that ally as a reaction without provoking attacks of opportunity.</t>
  </si>
  <si>
    <t>+1 damage to melee attacks</t>
  </si>
  <si>
    <t>Once per encounter, add half your level to the damage instead of the +1 from Melee Smash</t>
  </si>
  <si>
    <t>Upon damaging an opponent with a melee attack with an attack roll exceeding their damage threshold, they move an additional -1 step down the condition track</t>
  </si>
  <si>
    <t>You can use each of the following once per encounter as a standard action:
- Avoid Attack
- Fortified Mind
- Focused Stance
See p.18 of Scum and Villainy</t>
  </si>
  <si>
    <t>Wheneveryou miss with a melee attack or the attack is negated, you still deal your Strength bonus in damage to the target (minimum 1) or 2× your Strength bonus if you attack with a weapon you are weilding two-handed.</t>
  </si>
  <si>
    <t>When you grab, enemy must use a full-round action to escape</t>
  </si>
  <si>
    <t>When you damage an enemy denied its Dexterity bonus to Reflex Defense with a melee weapon, they cannot make attacks of opportunity until the end of its next turn.</t>
  </si>
  <si>
    <t>1/encounter gain a +1 bonus to Persuasion to intimidate per ally</t>
  </si>
  <si>
    <t>Beat a target adjacent to ally's Reflex and Fortitude Defense and deal +1 die of damage and knock prone</t>
  </si>
  <si>
    <t>Beat a target adjacent to ally's Reflex and Fortitude Defense and reduce speed and Reflex Defense by 2</t>
  </si>
  <si>
    <t>1/encounter when an ally hits adjacent target make attack as a reaction with +2 bonus</t>
  </si>
  <si>
    <t>When you hit an enemy with two adjacent allies, reroll damage and take the better of the results</t>
  </si>
  <si>
    <t>Whenever you and two allies are adjacted to target, target is flat-footed against you</t>
  </si>
  <si>
    <t>Make a DC 15 Knowledge (tactics) check to ascertain whether characters within line of sight are at or below half their hit points</t>
  </si>
  <si>
    <t>Allies within six squares gain +1 Reflex Defense until the start of your next turn whenever you make a ranged attack with a rifle or pistol</t>
  </si>
  <si>
    <t>Explosives set by the Mechanics skill deal +2 dice of damage
(Enter number of times taken)</t>
  </si>
  <si>
    <t>Make a Persuasion check against the Will Defense of all opponents within line of sight to become the only targetable character within six squares until the start of your next turn</t>
  </si>
  <si>
    <t>Attacks against an adjacent ally deal damage to you instead until your next turn, activated as a swift action</t>
  </si>
  <si>
    <t>Move +5 steps along the condition track once per day as a swift action
(Enter number of times taken)</t>
  </si>
  <si>
    <t>When you use the aid another action to suppress an enemy, that enemy takes a -5 penaity on its next attack instead of the normal -2 penalty. Only 1 character may gain the benefits of this talent against a given target at a time.</t>
  </si>
  <si>
    <t>You can catch your second wind an extra time per day</t>
  </si>
  <si>
    <t>Catch a second wind as a reaction instead of a swift action</t>
  </si>
  <si>
    <t>+2 damage to targets damaged by an ally since your last turn</t>
  </si>
  <si>
    <t>+2 damage per ally that has damaged your target since your last turn</t>
  </si>
  <si>
    <t>Once per encounter, as a swift action, inflict a -2 penalty to the Will Defense of all enemies within 6 squares.
Persuasion is a class skill.</t>
  </si>
  <si>
    <t>Upon reducing an enemy to 0 hit points with an attack, make a Persuasion check as a free action against the Will Defense of all targets within 6 squares to inflict a -2 penalty to their attack rolls for the rest of the encounter</t>
  </si>
  <si>
    <t>Once per encounter, upon dealing damage to an opponent with a melee or ranged attack, their damage threshold is reduced by 2 for the rest of the encounter</t>
  </si>
  <si>
    <t>Upon dealing damage with a melee or ranged attack roll which exceeds the target's damage threshold, you gain a +2 bonus to damage against that target for the rest of the encounter</t>
  </si>
  <si>
    <t>Upon dealing damage to an opponent in combat, you gain +5 to Will Defense until your next turn</t>
  </si>
  <si>
    <t>As a swift action convert a condition's penalty to a bonus, then move -1 step along the condition track at the end of your next turn</t>
  </si>
  <si>
    <t>Spend a Force Point as a free action on your turn to double your speed for a round, at least 5 rounds after your last use</t>
  </si>
  <si>
    <t>Activate a jet pack as a free action, and lang without a Pilot check</t>
  </si>
  <si>
    <t>Use a jet pack charge as a flamethrower</t>
  </si>
  <si>
    <t>Increase fly speed by 2 squares using jet packs</t>
  </si>
  <si>
    <t>Once per encounter, withdraw or move your speed as a reaction upon an enemy moving adjacent to you</t>
  </si>
  <si>
    <t>Whenever you are within 3 squares of an ally, you gain a + 1 circumstance bonus on all melee and ranged attack rolls.</t>
  </si>
  <si>
    <t>When you damage a target with a melee or ranged attack, all allies within 3 squares gain a +2 bonus on damage rolls against that target until the beginning of your next turn.</t>
  </si>
  <si>
    <t>You can spend a move action to activate this talent. Until the beginning of your next turn, if an ally moves you can immediately move up to your speed as a move action, provided you end your movement within 3 squares of that ally.</t>
  </si>
  <si>
    <t>If you are adjacent to at least one ally, enemies gain no benefit from flanking you or any adjacent allies.</t>
  </si>
  <si>
    <t>Whenever you provide 50ft cover to an ally within 3 squares, you are considered to be providing improved cover.</t>
  </si>
  <si>
    <t>You gain a single follower. Choose either the aggressive, defensive, or utilitu follower template. This follower gains one Armor Proficiency feat of your choice and Weapon Proficiency (rifles).</t>
  </si>
  <si>
    <t>Each ofyourfollowers gains the Coordinated Attack feat, provided he meets the prerequisite. If your follower later meets the prerequisite for the feat, he gains the feat at that time.</t>
  </si>
  <si>
    <t>As a full-round action, you and one of your followers can make a ranged attack against one target (each) in line of sight. You each take a -5 penaity to your attack rolls.</t>
  </si>
  <si>
    <t>You can use any of the following actions on your turn. 
- Autofire Barrage 
- Open Fire 
- Painted Target</t>
  </si>
  <si>
    <t>When you successfully suppress, the target take -5 on attacks; -2 on autofire, even if it misses</t>
  </si>
  <si>
    <t>Spend a Force Point as a standard action to avoid Force detection for one hour, or until you make a Use the Force check</t>
  </si>
  <si>
    <t>Conceal one willing adjacent target with Buried Presence or Vanish
(Enter number of times taken)</t>
  </si>
  <si>
    <t>Spend a Force Point as a swift action to use your Use the Force modifier to make a ranged attack</t>
  </si>
  <si>
    <t>Make a Use the Force check as a swift action against the Will Defense of a target to gain total concealment against them</t>
  </si>
  <si>
    <t>Whenever you move up the condition track, you gain 5 + your level bonus hit points</t>
  </si>
  <si>
    <t>Whenever you spend a Force point to increase an attack roll, heal the same number as the bonus if the attack hits</t>
  </si>
  <si>
    <t>Spend a Force point to negate movement down the condition track</t>
  </si>
  <si>
    <t>Whenever an enemy you have damaged in this encounter is reduced to 0 hit points, you return a Force power to your stack</t>
  </si>
  <si>
    <t>When successfully attacked, make a Use the Force check, if it exceeds the attack roll, you add your Charisma modifier to your Reflex Defense</t>
  </si>
  <si>
    <t>As a swift action make a DC 15 Use the Force check to gain a +1 bonus to Fortitude Defense until the end of the encounter or DC 20 to gain a +1 bonus to all defenses</t>
  </si>
  <si>
    <t>Spend a Force point to reduce the number of swift actions it takes you to move +1 step on the condition track by one</t>
  </si>
  <si>
    <t>As a swift action, make a DC 15 Use the Force check to add double your Strength bonus to melee damage before the end of your turn</t>
  </si>
  <si>
    <t>You gain a +1 morale bonus to attacks when within 20 squares and line of sight of an ally with a Dark Side score equal to or greater than your own</t>
  </si>
  <si>
    <t>You may reroll Use the Force checks to activate Force powers if you spend a full-round action instead of the standard, move or swift action to activate it, but must accept the result of the reroll</t>
  </si>
  <si>
    <t>Spend a Force Point to fly at your normal speed, ascend at half speed or descend at double speed, activated as a swift action and lasting until the start of your next turn</t>
  </si>
  <si>
    <t>You may use Use the Force instead of Persuasion to attempt to change the attitude of an undomesticated creature with an Intelligence of 2 or less, and take no penalty for the creature not understanding your language</t>
  </si>
  <si>
    <t>Upon shifting the attitude of a beast to indifferent or friendly, you may treat it as domesticated, and as a mount if it is larger than you and suitable for sitting upon</t>
  </si>
  <si>
    <t>Spend a Force point to gain Concealment whenever you move 3 squares</t>
  </si>
  <si>
    <t>Grant yourself a +1 Force bonus to Reflex Defense</t>
  </si>
  <si>
    <t>Spend a Force point to create illusionary shadows around a target</t>
  </si>
  <si>
    <t>Deny opponent concealment bonus to Reflex Defense</t>
  </si>
  <si>
    <t>Gain low-light vision</t>
  </si>
  <si>
    <t>Take half damage from fire, or no damage on a miss</t>
  </si>
  <si>
    <t>Reroll Farseeing or Search Your Feelings Use the Force checks and take the better result</t>
  </si>
  <si>
    <t>+1 Force bonus on attack rolls with simple weapons</t>
  </si>
  <si>
    <t>Wreath weapon in flames that deal +1d6 fire damage</t>
  </si>
  <si>
    <t>The damage from Empower Weapon is considered fire damage</t>
  </si>
  <si>
    <t>Spend a Force Point to turn your Force blast into an area effect attack with a 2-square radius</t>
  </si>
  <si>
    <t>Automatically succeed at telepathy with a willing target, and can use it as a swift action</t>
  </si>
  <si>
    <t>Spend a Force Point as a full-round action to double the DR of an unpowered melee weapon and make it resistant to lightsabers. You double the damage gained from spending a Force Point to add damage with the weapon</t>
  </si>
  <si>
    <t>If your Use the Force check to use Force blast exceeds the target's Fortitude Defense, they move -1 step down the condition track if you accept an increase of 1 to your Dark Side Score</t>
  </si>
  <si>
    <t>Once per encounter, make a Persuasion check against a target's Will Defense to deny them their move action next round, or their standard action for a Force Point</t>
  </si>
  <si>
    <t>Upon succeeding at Force Delay, grant an ally within six squares and line of sight another standard action for a move action</t>
  </si>
  <si>
    <t>Transfer a Force Point into an item as a full-round action to be retrieved as a swift action at a later time</t>
  </si>
  <si>
    <t>Spend a Force Point to aid another ally within 6 squares on a Use the Force check as a reaction</t>
  </si>
  <si>
    <t>Spend a Force Point as a full round action to increase your armor's armor bonus by +2 and its maximum Dexerity by +1</t>
  </si>
  <si>
    <t>Shield you and anything on your person from electronic surveillance, sensors and communications, activated as a swift action and maintained as a standard action</t>
  </si>
  <si>
    <t>You can use Force Cloak on a number of creatures up to your character level (including you)</t>
  </si>
  <si>
    <t>Take a penalty to your attack roll to add to the Reflex Defense of an ally within line of sight as a swift action (max penalty/bonus of -5/+5)</t>
  </si>
  <si>
    <t>Make a Deception check whenever using Use the Force to conceal the effects of the Force use</t>
  </si>
  <si>
    <t>Add +3 (or +4 if you roll d8s) when spending a Force Point on a ranged attack rather than rolling a die</t>
  </si>
  <si>
    <t>Add your Force Point roll to a melee attack to melee damage as well</t>
  </si>
  <si>
    <t>Reduce DC numbers by half when using farseeing to look into the past, and see everything within six squares of your target without spending a Force Point</t>
  </si>
  <si>
    <t>You gain an Akk Dog follower</t>
  </si>
  <si>
    <t>You can use the following actions on your turn
- Attack in Concert
- Fall on Prey
- Paired Maul
See p.57 of the CWCS</t>
  </si>
  <si>
    <t>Your Akk Dog gains the Powerful Charge feat</t>
  </si>
  <si>
    <t>Your Akk Dog gains attacks of opportunity against adjacent enemies attacking you</t>
  </si>
  <si>
    <t>Once per encounter upon using a Force Point in a way which would give you a dark side point, you automatically gain the hightest possible result from the Force Point die roll</t>
  </si>
  <si>
    <t>Reduce the penalty for large illusions for half as a swift action</t>
  </si>
  <si>
    <t>Once per encounter, treat the damage from a Sith alchemical weapon as the maximum possible</t>
  </si>
  <si>
    <t>Once per encounter, as a swift action, add 1 die of damage or extend the range of a power by 6 squares by making it a dark side power</t>
  </si>
  <si>
    <t>Make a DC 15 Use the Force check as a swift action to detect electromagnetic and energy fields within 12 squares of you, and treat SR as 5 points lower until your next turn</t>
  </si>
  <si>
    <t>Once per encounter, gain a Force Point for use with the Sense or Luka Sene talent trees, farseeing, or Use the Force to Sense Force or Search your Feelings</t>
  </si>
  <si>
    <t>You can Search as a swift action, and always succeed at Sense Surroundings</t>
  </si>
  <si>
    <t>Make a Use the Force check as a free action against the Will Defense of a target within 12 squares to gain +2 to attack rolls against them, at the cost of a use of farseeing</t>
  </si>
  <si>
    <t>+5 to Will Defense against Deception, and may Use the Force to make Persuasion checks to sense deception and sense influence</t>
  </si>
  <si>
    <t>+1 attack with fira</t>
  </si>
  <si>
    <t>Once per encounter, Use the Force against an opponent's Will Defense to move them -1 persistent step down the condition track and deny them their standard action next turn</t>
  </si>
  <si>
    <t>Add your Charisma modifier to any damage from a telekinetic power as a swift action</t>
  </si>
  <si>
    <t>You may use Treat Injury instead of Persuasion to intimidate or change attitudes</t>
  </si>
  <si>
    <t>You grant a creature double hit points for every point above the DC when performing first aid with a medpac</t>
  </si>
  <si>
    <t>Make a DC 15 Treat Injury check as a full round action to move an adjacent creature +1 step along the condition track</t>
  </si>
  <si>
    <t>When you aid another on Mechanics, Pilot or Use Computer, you add +5 rather than +2</t>
  </si>
  <si>
    <t>You may always take ten on Mechanics checks</t>
  </si>
  <si>
    <t>Once per day, you can make a DC 20 Mechanics check as three swift actions in successive rounds to grant a vehicle 1d8 hit points plus 1 for every point you exceed the DC, and move it +1 step along the condition track</t>
  </si>
  <si>
    <t>When you use Persuasion to change attitude, you adjust it by one additional step</t>
  </si>
  <si>
    <t>You may use aid another for an adjacent ally as a swift action once per turn</t>
  </si>
  <si>
    <t>You automatically succeed on aid another for Deception, Knowledge and Persuasion checks</t>
  </si>
  <si>
    <t>Once per day, you may repair yourself as a full-round action rather than over an hour</t>
  </si>
  <si>
    <t>You add double your Strength bonus to melee damage rolls when wielding a weapon one-handed</t>
  </si>
  <si>
    <t>You may take two consecutive swift actions to grant yourself +2 to attack and damage rolls on targets in line of sight within point blank range</t>
  </si>
  <si>
    <t>+5 bonus to Strength-based skill checks, and double your carrying capacity</t>
  </si>
  <si>
    <t>+5 bonus to Fortitude Defense against environmental hazards</t>
  </si>
  <si>
    <t>You may act as a power generator, and may recharge shields or reroute power on a vehicle or starship as only two swift actions</t>
  </si>
  <si>
    <t>Whenever you use all-out movement in your vehicle, you gain a +2 bonus to the ship's Reflex Defense.</t>
  </si>
  <si>
    <t>If you are the pilot of a vehicle, smaller vehicles take a -10 penalty on their Pilot checks to engage you in a dogfight.</t>
  </si>
  <si>
    <t>When you are the pilot of a Colossal or smaller vehicle, capital ship weapons that take a -20 penalty on attack rolls critical on a natural 20 only if the hit would normally have hit your vehicle.</t>
  </si>
  <si>
    <t>You can move into or through a space occupied by a Colossal (Frigate) or larger ship without causing a collision, and can occupy the same space if your ship is Colossal or smaller.</t>
  </si>
  <si>
    <t>If you occupy the same space as a vehicle larger than yours, you gain a +5 cover bonus from it.</t>
  </si>
  <si>
    <t>Make an opposed Pilot check as a swift action to stay in a target's blind spot to gain +2 bonus to attack and inflict a -2 penalty to attacks against you</t>
  </si>
  <si>
    <t>Make a Pilot check against the attack roll total of a critical hit scored against you to avoid taking double damage</t>
  </si>
  <si>
    <t>Enemy pilots in a dogfight with you take a -10 penalty to attack rolls against you when you succeed in the opposed Pilot check</t>
  </si>
  <si>
    <t>You can take 10 on Pilot checks to increase your vehicle's speed, and all-out movement moves you five times your vehicle's speed</t>
  </si>
  <si>
    <t>You do not have to move in a straight line on an attack run</t>
  </si>
  <si>
    <t>You may ignore moving down the condition track from taking damage above your damage threshold once per encounter</t>
  </si>
  <si>
    <t>You may reroll opposed Pilot checks to initiate a dogfight and keep the better result</t>
  </si>
  <si>
    <t>All allies within 6 squares of a vehicle you pilot can reroll one Pilot check, keeping the better result.</t>
  </si>
  <si>
    <t>May always take 10 on Pilot checks and gain a +2 to attack rolls with a type of vehicle
(Enter number of times taken, choose which vehicle to the right)</t>
  </si>
  <si>
    <t>You're vehicle takes half damage from area attacks that hit, no damage from area attacks that miss</t>
  </si>
  <si>
    <t>When fighting defensively as the pilot of a vehicle, you can use Vehicular Combat to negate an additional hit per round</t>
  </si>
  <si>
    <t>Make a DC 15 Pilot check as a swift action to give an allied starfighter or airspeeder within 2 squares a +5 bonus to Pilot checks related to dogfighting</t>
  </si>
  <si>
    <t>+1 bonus on attack rolls made using vehicle weapons</t>
  </si>
  <si>
    <t>Take no penalty to attack rolls in dogfights even if you are not the pilot</t>
  </si>
  <si>
    <t>Upon an enemy vehicle leaving your square or an adjacent square, you make make a single attack against that vehicle as an attack of opportunity</t>
  </si>
  <si>
    <t>Once per encounter attack simultaneously with an ally to treat the attack as one hit for determining damage before SR and DR are applied</t>
  </si>
  <si>
    <t>Upon dealing damage to a vehicle that exceeds its damage threshold, the vehicle moves an additional -1 step down the condition track</t>
  </si>
  <si>
    <t>Disable one of a ship's systems upon causing it to move a step down the condition track</t>
  </si>
  <si>
    <t>Reduce the range category to a target by one when using vehicle weapons</t>
  </si>
  <si>
    <t>Designate a target as a swift action to provide a +5 bonus to attack rolls to members in your squadron on an attack run</t>
  </si>
  <si>
    <t>Once per encounter move all vehicles in your squadron +1 step along the condition track as a standard action</t>
  </si>
  <si>
    <t>Impart the benefits of an Expert Pilot or Gunner talent you possess to all members of your squadron once per encounter as a standard action</t>
  </si>
  <si>
    <t>Once per encounter, upon using a starship maneuver, you grant all members of your squadron the ability to use the same maneuver on their next turn</t>
  </si>
  <si>
    <t>When a successful attack causes an opponent to move -1 step along the condition track, that opponent immediately takes an additional +1d6 damage.</t>
  </si>
  <si>
    <t>Whenever you successfully hit an opponent that you have marked, your melee and ranged attacks deal an additional +1d6 damage.</t>
  </si>
  <si>
    <t>Once per encounter, when you drop a foe to 0 hit points or push them to the bottom of the condition track, you can immediately take a bonus standard action.</t>
  </si>
  <si>
    <t>As a move action, you can move 1 square without provoking an attack of opportunity.</t>
  </si>
  <si>
    <t>Any opponent that you are flanking is considered flat-footed and is denied its Dexterity bonus to Reflex Defense against you.</t>
  </si>
  <si>
    <t>Once per encounter as a standard action you can make a melee attack against a target and then move your speed away from that target without provoking attacks of opportunity.</t>
  </si>
  <si>
    <t>When you make a ranged attack against a target that is not at point  blank range, you add half your class level to your damage roll.</t>
  </si>
  <si>
    <t>Once per encounter, when you make a ranged attack against a target that is not at point blank range, you can ignore your target's armor bonus to Reflex Defense.</t>
  </si>
  <si>
    <t>By taking only a single swift action, you can aim at a target that is not within point blank range.</t>
  </si>
  <si>
    <t>When you reduce a target to 0 hit points or to the bottom of the condition track, all opponents within line of sight of both you and the target take a -2 on attack rolls until the beginning of your next turn.</t>
  </si>
  <si>
    <t>Once per turn when you successfully damage a target with a non-area attack, make an immediate Persuasion check against the target's Will Defense. If successful, you determine what the target does with its swift action on its next turn.</t>
  </si>
  <si>
    <t>Whenever you successfully use the Manipulating Strike talent, you determine what the target does with its move action on its next turn.</t>
  </si>
  <si>
    <t>As a standard action you can make a Persuasion check against the Will Defense of a target within 12 squares. If successful, you move the target up to half its speed toward you through the safest route and you can make an immediate ranged or melee attack.</t>
  </si>
  <si>
    <t>Dealing damage after using aim for a ranged attack moves the target -1 step down the condition track</t>
  </si>
  <si>
    <t>You gain a bonus to damage rolls against an opponent designated once per encounter as a free action</t>
  </si>
  <si>
    <t>As a standard action, make a Persuasion check against Will Defense of your Hunter's Target. If you equal or beat it, that opponent takes a -5 penalty to Will Defense so long as you have line of sight.</t>
  </si>
  <si>
    <t>Once per turn, whenever your Hunter's Target attempts to withdraw, you can make an attack of opportunity against the opponent.</t>
  </si>
  <si>
    <t>The opponent you designated with Hunter's target cannot move you along the condition track</t>
  </si>
  <si>
    <t>When you damage your Hunter's Target, all allies gain a +2 bonus on their next attack roll against them until the start of your next turn.</t>
  </si>
  <si>
    <t>+1 to Fortitude and Will Defense against Force Sensitive characters, and deal +1 die of damage against them</t>
  </si>
  <si>
    <t>You can reroll Persuasion checks made to intimidate and keep the better result</t>
  </si>
  <si>
    <t>Opponents within 6 squares of an equal or lower level take a -1 penalty on attacks against you</t>
  </si>
  <si>
    <t>You can reroll Persuasion checks made to haggle the price of a bounty and keep the better result</t>
  </si>
  <si>
    <t>You can reroll and Gather Information checks to locate a specific individual, but must keep the result of the reroll</t>
  </si>
  <si>
    <t>Gain a +2 morale bonus on opposed skill checks whilst in possession of a signature weapon, suit of armor, vehicle, starship or other item. This bonus increases by 1 for each additional signature item.
(Enter number of times taken)</t>
  </si>
  <si>
    <t>You are especially hard to detect in the Force</t>
  </si>
  <si>
    <t>When an enemy misses you with a lightsaber, move 2 squares as a reaction</t>
  </si>
  <si>
    <t>Increase the difficulty of Deflect attempts against your shots by +5</t>
  </si>
  <si>
    <t>If you successfully resist a Mind-affecting Force power, you are immune to it for the remainder of the encounter</t>
  </si>
  <si>
    <t>You add your class level to your Will Defense against Mind Trick</t>
  </si>
  <si>
    <t>Whenever you are targeted by a Force power that moves you you only move half the distance</t>
  </si>
  <si>
    <t>Once per day, you spend 10 minutes performing rituals to enhance your connection to the Force. Spend as many Force points as you want. During the day, you can reroll Perception, Stealth and attack rolls, but take the new result up to Force points spent.</t>
  </si>
  <si>
    <t>When you make a Perception check to avoid surprise, roll two dice and keep the better result.</t>
  </si>
  <si>
    <t>Whenever an ally within 10 squares rolls a natural 1 or 20, until the end of your next turn, you gain a +2 insight bonus to either your next attack roll or your Reflex Defense.</t>
  </si>
  <si>
    <t>Once per encounter, when an enemy creature moves within 6 squares of you, you may make a melee or ranged attack against the target as a reaction to their movement.</t>
  </si>
  <si>
    <t>Once per encounter, as a reaction to an enemy's attack, you can move up to your speed.</t>
  </si>
  <si>
    <t>When you successfully feint in combat, you can immediately move up to one-half your speed</t>
  </si>
  <si>
    <t>As a standard action, you can make a Deception check against Will Defense of any target within line of sight that can hear, see and understand you. If successful, the next attack made by one of your allies against that target deals 2 extra damage dice</t>
  </si>
  <si>
    <t>Once per encounter as a reaction you can make a Deception check to replace the Defense score of your ally with your check</t>
  </si>
  <si>
    <t>As a swift action, you can make a Deception check against an enemy within 6 squares and line of sight against its Will defense to give it a -5 penalty to all attacks made against you until the start of your next turn</t>
  </si>
  <si>
    <t>While you occupy a sqare adjacent to another creature, you can use a swift action to gain a +2 cover bonus to Reflex Defense until the start of your next turn or until you are no longer adjacent, whichever comes first</t>
  </si>
  <si>
    <t>Whenever you are attacked in combat and adjacent to a creature other than your attacker, you can move 1 square as a reaction that provokes. Your attacker hits the adjacent creature instead.</t>
  </si>
  <si>
    <t>Reroll any Wisdom-, Intelligence- or Charisma-based skill (except Use the Force) once per encounter</t>
  </si>
  <si>
    <t>You and a number of allies equal to your Charisma modifier gain Quick Draw for the encounter if you are not surprised</t>
  </si>
  <si>
    <t>As a standard action, make a Persuasion check against the Will Defense of all targets in a 6-square cone to deny them a swift action or any full-round actions</t>
  </si>
  <si>
    <t>Impose Hesitation covers a 12-square cone, and once per encounter the targets are denied their standard action</t>
  </si>
  <si>
    <t>Once per encounter, make a Persuasion check against the Will Defense of a target within line of sight to stop them from attacking you, or retreat if you exceed by 5, or join you if you exceed by 10</t>
  </si>
  <si>
    <t>Once per encounter, negate an attack roll or skill check against you which targets your Will Defense</t>
  </si>
  <si>
    <t>Enemies who attack you take a -2 penalty to Will Defense until your next turn</t>
  </si>
  <si>
    <t>Opponents of equal or inferior level to you take -1 to attack rolls, opposed skill checks and Use the Force checks to activate Force powers against you</t>
  </si>
  <si>
    <t>Once per encounter, designate a minion as a free action to spread fear among your enemies. At any point before the end of the encounter, you can activate this ability to force all enemies adjacent to the minion to move 1 square away (does not povoke).</t>
  </si>
  <si>
    <t>Opponents of equal or inferior level to you take -2 to attack rolls, opposed skill checks and Use the Force checks to activate Force powers against you</t>
  </si>
  <si>
    <t>Once per encounter as a reaction to one of your minions being moved down the condition track, you can reduce the number of steps by 1, and the target gains hit points equal to your heroic level.</t>
  </si>
  <si>
    <t>Opponents of equal or inferior level to you take -5 to attack rolls, opposed skill checks and Use the Force checks to activate Force powers against you</t>
  </si>
  <si>
    <t>As a standard action, make a Persuasion check against a target's Will Defense. If successful, on the target's next turn, they must use their move action to move away from you. If unable, the penalty from Inspire Fear doubles until start of your next turn.</t>
  </si>
  <si>
    <t>Your minions can reroll Persuasion checks made to intimidate, but must keep the result of the reroll</t>
  </si>
  <si>
    <t>Any opponent that is reduced to half hit points or less within 6 squares of you takes a -2 penalty on all attack rolls and skill checks for the duration of the encounter.</t>
  </si>
  <si>
    <t>You gain a nonheroic minion of three-quarters your character level, rounded down.
(Enter number of times taken)</t>
  </si>
  <si>
    <t>Whenever you are adjacent to a minion, you gain a +2 cover bonus to your Reflex Defense</t>
  </si>
  <si>
    <t>Whenever one of your minions is killed, he or she is replaced by another minion of the same level. This replacement occurs 24 hours later.</t>
  </si>
  <si>
    <t>Whenever you are adjacent to a minion gained with the Attract Minion talent, once per turn as a reaction to being attacked, you can redirect the attack against the minion.</t>
  </si>
  <si>
    <t>When you redirect an attack to a minion using the Bodyguard I talent, that minion's relevant defense score gains a bonus equal to half your class level.</t>
  </si>
  <si>
    <t>When you redirect an attack to a minion using the Bodyguard I talent, that minion can make an immediate melee or ranged attack against your attacker. Additionally, the bonus provided by Bodyguard II increases to your class level.</t>
  </si>
  <si>
    <t>Grant an ally the chance to move its normal speed immediately, activated as a swift action</t>
  </si>
  <si>
    <t>Grant an ally the chance to take a move or standard action immediately, activated as a swift action</t>
  </si>
  <si>
    <t>Once per encounter you can spend three swift actions on consecutive turns to grant one ally the ability to take a standard action and a move action. The ally must act immediately on your turn when the final swift action is spent.</t>
  </si>
  <si>
    <t>Once per encounter, you can spend three swift actions on consecutive turns to increase the speed of all allies within line of sight by 2. The speed lasts until the start of your next turn after the third swift action is spent.</t>
  </si>
  <si>
    <t>As a standard action, designate a target to be the object of your allies' wrath. While your allies have line of sight and you are conscious, they gain a +2 morale bonus on attack rolls and skill checks made against the target.</t>
  </si>
  <si>
    <t>Spend two swift actions to select two allies. Each ally can move 2 squares as a reaction without provoking attacks of opportunity.</t>
  </si>
  <si>
    <t>Spend two swift actions to grant all allies in line of sight and 6 squares of you to use the withdraw action as a swift action. This  lasts until the start of your next turn</t>
  </si>
  <si>
    <t>As a swift action, you can make a DC 15 Knowledge (tactics) check. If successful, all droid allies able to hear and understand you gain the benefits of the Double Attack feat for one weapon group until the end of your next turn.</t>
  </si>
  <si>
    <t>As a standard action, you can transmit tactical information to all droid allies that can hear and understand you, granting them a bonus equal to your Intelligence modifier to one of their defenses (your choice) until the beginning of your next turn.</t>
  </si>
  <si>
    <t>As a swift action once per turn, you can designate a single droid ally within your line of sight. That droid ally gains bonus hit points equal to 10 + your class level.</t>
  </si>
  <si>
    <t>You push the limits of the droids under your command. You can spend a swift action once per turn to allow each of your net¬worked allies (see the Networked Mind class feature below) to immediately move up to their speed.</t>
  </si>
  <si>
    <t>When you use an ability that grants a droid ally a morale or insight bonus, increase the value of that bonus by 1.</t>
  </si>
  <si>
    <t>If you or any of your droid allies has line of sight to and is aware of a target, all droid allies that can hear and understand you are also considered to have line of sight (but not necessarily line of effect) to that target.</t>
  </si>
  <si>
    <t>As a swift action once per turn, you can grant one droid ally within your line of sight a competence bonus on its next attack roll made before the start of your next turn equal to half your class level.</t>
  </si>
  <si>
    <t>As a swift action once per turn, you can grant all droid allies within your line of sight the ability to take the Recover action as two swift actions (instead of as three swift actions) until the start of your next turn.</t>
  </si>
  <si>
    <t>Increase the critical range of heavy weapons by 1</t>
  </si>
  <si>
    <t>Increase the critical range of rifles by 1</t>
  </si>
  <si>
    <t>Upon scoring a critical hit against a target up to two sizes larger than you, you may move them one square in any direction</t>
  </si>
  <si>
    <t>Upon scoring a critical hit with a melee or ranged attack, you inflict a -2 penalty to the target's Reflex Defense until they regain full hit points</t>
  </si>
  <si>
    <t>Upon scoring a critical hit with a melee or ranged attack, you halve your target's speed until they regain full hit points</t>
  </si>
  <si>
    <t>Upon scoring a critical hit with a melee or ranged attack, you immobilise your target for their next turn</t>
  </si>
  <si>
    <t>Once per encounter, move your speed as a free action before any other action on your turn</t>
  </si>
  <si>
    <t>Once per encounter, when making more than one attack in a round, add one damage die to each successful hit
(Enter number of times taken, select weapon to the right)</t>
  </si>
  <si>
    <t>Once per encounter, upon reducing an opponent's hit points to 0, gain +5 to your next attack during the same encounter</t>
  </si>
  <si>
    <t>Add your Fortitude Defense bonus from armor to your Elite Trooper DR, which is not ignored by lightsabers given that you are wearing lightsaber-resistant materials</t>
  </si>
  <si>
    <t>Deal an extra die of damage with unarmed attacks</t>
  </si>
  <si>
    <t>Ignore DR completely if your unarmed attack exceeds the DR</t>
  </si>
  <si>
    <t>Take an unarmed full attack action as a standard action</t>
  </si>
  <si>
    <t>As a reaction whilst fighting defensively, negate incoming melee attacks with an opposed unarmed attack roll, with a cumulative -2 to all attack rolls made since the beginning of your last turn</t>
  </si>
  <si>
    <t>Upon succeeding at Unarmed Parry, immediately make an unarmed attack as a reaction against the attacker</t>
  </si>
  <si>
    <t>When you make a melee attack with a weapon from the chosen group and the attack roll exceeds the target's Reflex Defense by 5 or more, you deal +1 die of damage with the attack.
(Enter times taken)</t>
  </si>
  <si>
    <t>Whenever you occupy the same square as your target or are adjacent to your target, you gain a +1 circumstance bonus to your melee attack rolls against that target.</t>
  </si>
  <si>
    <t>Once per encounter, when you make a melee attack, you can ignore any armor or equipment bonuses granted by your target's armor.</t>
  </si>
  <si>
    <t>When you damage an opponent with a melee attack that moves the target down the condition track, the target cannot take any action requiring a standard or full-round action on its next turn.</t>
  </si>
  <si>
    <t>You twirl your weapon around you in a blur, creating a circle of death around you. Any enemy target that begins its turn adjacent to you takes damage equal to your Strength bonus. You must be wielding a melee weapon to use this talent.</t>
  </si>
  <si>
    <t>Once per turn take some or all of the damage against an adjacent ally</t>
  </si>
  <si>
    <t>1/encounter as a reaction move up to your speed and take damage instead of an ally</t>
  </si>
  <si>
    <t>Allow ally within 6 squares to move to your side as a move action</t>
  </si>
  <si>
    <t>Whenever you take damage for an ally, your Damage Threshold is 5 higher</t>
  </si>
  <si>
    <t>Whenever you take damage for an ally, you gain DR equal to your level until the end of your next turn</t>
  </si>
  <si>
    <t>Designated ally treats your proximity as soft cover</t>
  </si>
  <si>
    <t>Ward's cover bonus to Reflex Defense is increased by half your armour bonus</t>
  </si>
  <si>
    <t>Every round you begin adjacent to your ward you gain your character level in bonus hit points</t>
  </si>
  <si>
    <t>When you successfully hit an opponent that has not yet acted in combat, you deal +2 dice of damage with the attack.</t>
  </si>
  <si>
    <t>Once per encounter, you can choose to deal +1 die of damage with a single grenade or other explosive.</t>
  </si>
  <si>
    <t>You can retrieve a stored energy cell and reload your weapon as a single swift action.</t>
  </si>
  <si>
    <t xml:space="preserve">Whenever you begin your turn adjacent to an ally, you gain a number of bonus hit points equal to your heroic level. </t>
  </si>
  <si>
    <t>If you are within 10 squares of an ally, you can add +2 to your DR.</t>
  </si>
  <si>
    <t>If you use a ranged weapon as amelee weapon (as with the Gun Club talent), you gain a +2 bonus to melee attack rolls with that weapon.</t>
  </si>
  <si>
    <t>Autofire and Burst Fire attack penalties are reduced to -2, and braced autofire has no penalty to your attack roll</t>
  </si>
  <si>
    <t>You are proficient with any exotic weapon</t>
  </si>
  <si>
    <t>Reduce penalty to attack rolls when making multiple attacks with heavy weapons by 2
(Enter number of times taken)</t>
  </si>
  <si>
    <t>Reduce penalty to attack rolls when making multiple attacks with rifles by 2
(Enter number of times taken)</t>
  </si>
  <si>
    <t>Brace an autofire weapon with a single swift action</t>
  </si>
  <si>
    <t>Your vehicle takes half damage when you successfully ram another vehicle, and that vehicle is immobilized for one round</t>
  </si>
  <si>
    <t>Gain +1 to attack and deal +1 die of damage with stun weapons</t>
  </si>
  <si>
    <t>You can reroll Endurance checks and keep the better result when running, and may run not in a straight line</t>
  </si>
  <si>
    <t>Indifferent characters are friendly to you with no check required</t>
  </si>
  <si>
    <t>When you move a target down the condtion track with an attack, its speed is halved until it has removed all conditions</t>
  </si>
  <si>
    <t>Upon dealing damage at the end of a charge, your target is knocked prone</t>
  </si>
  <si>
    <t>Spend a Force Point as a free action to deal 1d6 per class level extra damage to a target denied its Dexterity bonus to Reflex Defense or being flanked</t>
  </si>
  <si>
    <t>Spend a Force Point as a swift action to gain a +2 bonus to melee attack and damage rolls for a number of rounds equal to 5 + your Constitution modifer, then move -1 step along the condition track</t>
  </si>
  <si>
    <t>You may reroll Use the Force checks to activate dark side Force powers, but must keep the result of the reroll, and can no longer use light side Force powers</t>
  </si>
  <si>
    <t>Upon scoring a critical hit, you may spend a Force Point to halve the targets speed until fully healed</t>
  </si>
  <si>
    <t>You may reroll Use the Force checks to activate a particular Force Power by spending a Force Point and keep the better result
(Enter number of times taken)</t>
  </si>
  <si>
    <t>Treat Injury checks can be made with Use the Force, and Treat Injury is considered a trained skill, and you can administer first aid, treat disease, treat poison and treat radiation without a medical kit or medpac</t>
  </si>
  <si>
    <t>You are immune to disease, poison and radiation</t>
  </si>
  <si>
    <t>Spend a Force Point to gain a +1 bonus to attack rolls with a melee weapon, activated as a full-round action</t>
  </si>
  <si>
    <t>Spend a Force Point to gain a +1 die of damage with a melee weapon, activated as a full-round action</t>
  </si>
  <si>
    <t>You can throw a simple or advanced melee weapon as a standard action, which can become embedded in the target if it deals piercing or slashing damage</t>
  </si>
  <si>
    <t>Make a Use the Force check as a reaction to negate a melee attack roll against you, or provide you with cover against Whirlwind Attack, with a cumulative penalty of -5 each time Primitive Block has been used since your last turn</t>
  </si>
  <si>
    <t>Spend a Force Point to gain a +1 bonus to one of your defenses whilst wearing or carrying a talisman, activated as a full-round action</t>
  </si>
  <si>
    <t>When you create a Force talisman, you can select a single Force power from your Force suite. Whenever you are wearing this talisman and activate the selected Force power, you can spend a Force Point to immediately regain that spent power.</t>
  </si>
  <si>
    <t>As Focused Force Talisman (see above), except that a Force Point spent to immediately recover the selected power does not count against the "one per tum" restriction on spending Force Points.</t>
  </si>
  <si>
    <t>Your Force Talisman provides a +1 bonus to all of your defenses</t>
  </si>
  <si>
    <t>Upon dealing damage to a target with a Force power, make a Persuasion check to intimidate as a free action</t>
  </si>
  <si>
    <t>Persuasion checks to intimidate can be made against all targets within a 6-square cone</t>
  </si>
  <si>
    <t>Spend a Force Point to make a Use the Force check against the Will Defense of all creatures within 6 squares to inflict a -2 penalty to attack rolls and skill checks for the rest of the encounter</t>
  </si>
  <si>
    <t>Gain +1 to attack rolls and deal +1 die of damage against targets with Force Sensitivity</t>
  </si>
  <si>
    <t>Upon dealing damage that exceeds an opponent's damage threshold, deal an additional die of damage
(Enter number of times taken, select weapon to the right)</t>
  </si>
  <si>
    <t>If an attack which deals damage to a target also exceeds their Will Defense, they take a -2 penalty to Reflex Defense until your next turn</t>
  </si>
  <si>
    <t>Any feats or talents affecting any exotic weapon affect all exotic weapons</t>
  </si>
  <si>
    <t>Reduce penalty to attack rolls when making multiple attacks with exotic weapons by 2
(Enter number of times taken)</t>
  </si>
  <si>
    <t>If you hit with an attack of opportunity, the target's movement ends instantly</t>
  </si>
  <si>
    <t>As a swift action, taunt all enemies within line of sight and 12 squares to give them a -2 penalty to attack rolls against any target other than you</t>
  </si>
  <si>
    <t>One target of Personal Vendetta takes a -5 penalty when attacking targets other than you</t>
  </si>
  <si>
    <t>Once per encounter, reduce the number of steps you are knocked down the condition track by one</t>
  </si>
  <si>
    <t>When you exceed an enemy's threshold with rifle, push the target 1 square away</t>
  </si>
  <si>
    <t>Point blank of any rifle you use is 5 squares greater</t>
  </si>
  <si>
    <t>Reduce multiattack penalty of rifles by 2</t>
  </si>
  <si>
    <t>Trusty Sidearm class feature applies to rifles</t>
  </si>
  <si>
    <t>+2 bonus on attacks of opportunity with rifles</t>
  </si>
  <si>
    <t>Treat rifles as if accurate</t>
  </si>
  <si>
    <t>Always use a rifle to make attacks of opportunity</t>
  </si>
  <si>
    <t>You do not provoke when aiming with a rifle</t>
  </si>
  <si>
    <t>You ignore the penalties on your ranged attack rolls when a target has concealment or total concealment.</t>
  </si>
  <si>
    <t>Beating a target's Will Defense with a Deception check denies the target its Dexterity bonus to Reflex Defense against your attacks until your next turn, activated as two swift actions</t>
  </si>
  <si>
    <t>You can make a single attack in a surprise round even if surprised and your pistol is holstered</t>
  </si>
  <si>
    <t>Hitting a target after using aim for a ranged attack knocks the target prone in addition to dealing damage</t>
  </si>
  <si>
    <t>Reduce penalty to attack rolls when making multiple attacks with pistols by 2
(Enter number of times taken)</t>
  </si>
  <si>
    <t>Immediately after making a full attack where you attack with two pistols, move your speed as a free action</t>
  </si>
  <si>
    <t>You can disarm using a ranged attack</t>
  </si>
  <si>
    <t>If you are withing 6 squares of a target and armed with a pistol or rifle, you can act as through you occupied the nearest square adjacent to the target for the purposes of determining flanking.</t>
  </si>
  <si>
    <t>You take no penalty on your attack roll when using Rapid Shot</t>
  </si>
  <si>
    <t>Once per encounter as a full-round action when you are wielding two pistols, you may move up to twice your speed and make a ranged attack with each pistol.</t>
  </si>
  <si>
    <t>Whenever you are flanked by two or more opponents and are wielding two pistols, you can amake a full attack action as a standard action. This is provided that you target opponents that flank you and attack at least two targets.</t>
  </si>
  <si>
    <t>If wielding two pistols and only make a single ranged attack with one of them, even if you miss, you deal damage equal to half your heroic level to the target.</t>
  </si>
  <si>
    <t>When wielding two pistols, as a standard action, you can make an autofire attack with one of the pistols as though the weapon was  set to autofire, even if it has no autofire mode.</t>
  </si>
  <si>
    <t>When wielding two pistols, you gain a +2 bonus to damage rolls when using the Rapid Shot feat.</t>
  </si>
  <si>
    <t>1/encounter spend a Force point to add armour bonus to you damage threshold</t>
  </si>
  <si>
    <t>Whenever you use Armored Augmentation I gain DR = to 2× armor Fortitude bonus</t>
  </si>
  <si>
    <t>When wearing armour use heroic level + 1/2 your armor bonus or your armor bonus, whichever is higher</t>
  </si>
  <si>
    <t>Gain +2 bonus when making an opposed unarmed melee attack roll against a lightsaber attack</t>
  </si>
  <si>
    <t>Make an immediate attack of opportunity when you parry with your cortosis gauntlet</t>
  </si>
  <si>
    <t>Whenever an ally within 12 squares hits with a lightsaber attack, gain a +1 morale bonus to all defenses until next turn</t>
  </si>
  <si>
    <t>When an ally within 12 squares succeeds with a lightsaber attack, gain +1 die of damage on your next lightsaber attack before the end of your next turn</t>
  </si>
  <si>
    <t>When an ally within 12 squares hits with a lightsaber attack, you gain 3×class level in bonus hit points until the end of your next turn</t>
  </si>
  <si>
    <t>You can use the Block or Deflect talent to negate an attack made against an adjacent ally</t>
  </si>
  <si>
    <t>Deal +1 die of damage with a lightsaber in two hands if you move 1 square before</t>
  </si>
  <si>
    <t>Add your class level to Will Defense when being reprogrammed</t>
  </si>
  <si>
    <t>DR 10 against ion damage</t>
  </si>
  <si>
    <t>If you are moved to the bottom of the condition track by another way than taking damage greater than your damage threshold, move +1 step along the condition track after being disabled for 2 rounds</t>
  </si>
  <si>
    <t>You suffer no penalty to reprogram or modify yourself</t>
  </si>
  <si>
    <t>Gain 1 additional hit point per point you exceed the DC to repair yourself</t>
  </si>
  <si>
    <t>You may use your Persuasion modifier instead of Use Computer for Use Computer skill checks</t>
  </si>
  <si>
    <t>You may reroll any opposed Use Computer check and keep the better result</t>
  </si>
  <si>
    <t>You may take 10 on any Dexterity-based skill check, even when threatened or otherwise not permitted</t>
  </si>
  <si>
    <t>As a swift action, you gain a +5 bonus to Intelligence and Wisdom based skill checks, and a +1 bonus to ranged attack rolls, for a number of rounds equal to half your level, at which point you drop -1 steps down the condition track</t>
  </si>
  <si>
    <t>As a swift action, you gain a +1 bonus to melee attack rolls, deal +1 die of damage, and increase your speed by 2 squares, for a number of rounds equal to half your level, at which point you drop -1 steps down the condition track</t>
  </si>
  <si>
    <t>When you reprogram yourself, you may gain a bonus Skill Focus feat in exchange for a trained skill</t>
  </si>
  <si>
    <t>Your initiative count is not changed by triggering a readied action</t>
  </si>
  <si>
    <t>Once per round, you may reroll an attack using a concealable weapon as a swift action, but must take the second result</t>
  </si>
  <si>
    <t>As a swift action, you may designate an unaware target within 12 squares to deny them Perception checks to notice you until your next turn</t>
  </si>
  <si>
    <t>Spend two consecutive swift actions upon dealing stun damage to a target to move them an extra step down the condition track</t>
  </si>
  <si>
    <t>If you damage an unaware opponent, he cannot speak or make any noises until your next turn</t>
  </si>
  <si>
    <t>You may use your Gather Information modifier to make Knowledge (galactic lore) checks</t>
  </si>
  <si>
    <t>Make a DC 20 Gather Information check to purchase standard weapons, equipment and transport at half price, or exotic and restricted variations for 75% of the price</t>
  </si>
  <si>
    <t>Make a Knowledge (galactic lore) check as a swift action against a DC of 15 + the CL of the target to gain a +2 bonus to a defense score</t>
  </si>
  <si>
    <t>Make a Knowledge (galactic lore) check as a swift action against a DC of 15 + the CL of the target to increase your critical hit range against that target by 1</t>
  </si>
  <si>
    <t>Make a Knowledge (galactic lore) check as a swift action against a DC of 15 + the CL of the target to gain a +2 bonus to a attack rolls against them</t>
  </si>
  <si>
    <t>Make a Knowledge (galactic lore) check as a swift action against a DC of 15 + the CL of the target to learn their level, classes, ability scores, as well as numbers of Force and Destiny Points</t>
  </si>
  <si>
    <t>Spend a Force Point to relegate a critical hit against you to dealing normal damage instead</t>
  </si>
  <si>
    <t>+1 bonus to melee attack rolls</t>
  </si>
  <si>
    <t>+2 bonus to melee damage rolls</t>
  </si>
  <si>
    <t>Your lightsaber throw attack roll is compared to the Reflex Defense of all targets in a 6-square line</t>
  </si>
  <si>
    <t>Targets damaged with your thrown lightsaber move at half speed until your next turn</t>
  </si>
  <si>
    <t>Upon succeeding at a Riposte, the Block which triggered it does not count towards the cumulative penalty from Block</t>
  </si>
  <si>
    <t>Reduce penalty to attack rolls when making multiple attacks with lightsabers by 2
(Enter number of times taken)</t>
  </si>
  <si>
    <t>Dismember a target, dealing half damage and moving them -1 step down the condition track, when you would otherwise kill them</t>
  </si>
  <si>
    <t>As a standard action, you can return one spent Force power to the Force suite of any ally within 6 squares of you and in your line of sight. The Force power must have been spent by the ally you designate.</t>
  </si>
  <si>
    <t>You can aid another on the Knowledge checks of any ally within 6 squares of you as a reaction for Knowledge skilIs you are trained in.</t>
  </si>
  <si>
    <t>You can make a Use the Force check in place of a Knowledge check for any Knowledge skill you are not trained in. You are considered trained in that Knowledge skill for the purposes of using this talent.</t>
  </si>
  <si>
    <t>When you use the Skilled Advisor talent, the ally you aid gains one temporary Force Point at the end of her next turn. If the Force Point is not spent before the end of the encounter, it is lost.</t>
  </si>
  <si>
    <t>As a swift action, you can rerall a Knowledge check and keep the better of the two results. This can be used with any Knowledge skill you are trained in.</t>
  </si>
  <si>
    <t>Battle Meditation provides a +2 bonus instead of a +1</t>
  </si>
  <si>
    <t>Allies reduced to 0 hit points while influenced by your Battle Meditation can take Second Wind immediately if you spend a Force Point</t>
  </si>
  <si>
    <t>Once per encounter, while making a charge, you take no cumulative penalty for Block attempts, and may add the charging bonus to Riposte</t>
  </si>
  <si>
    <t>Immediately after making a full attack where you attack with two lightsabers or two ends of a double-bladed lightsaber, move your speed as a free action</t>
  </si>
  <si>
    <t>You can make a Use the Force check in the place of a Treat Injury check. You are considered trained in the Treat Injury skill. If you are entitled to a Treat Injury check reroll, you can reroll your Use the Force check instead.</t>
  </si>
  <si>
    <t>When healing somebody thraugh vital transfer, the amount of damage healed increases by 1 point per your class level.</t>
  </si>
  <si>
    <t>When healing somebody through vital transfer, the amount of damage healed increases by 2 points per your dass level.</t>
  </si>
  <si>
    <t>When using vital transfer to heal somebody, you can move the target + 1 step on the condition track instead of healing damage. When doing so, you move -1 step on the condition track in exchange.</t>
  </si>
  <si>
    <t>-5 penalty to Gather Information checks to find you</t>
  </si>
  <si>
    <t>Reroll any opposed Use the Force checks to conceal your presence</t>
  </si>
  <si>
    <t>You can only be detected from a range of 10 km</t>
  </si>
  <si>
    <t>Once per game session use; Acquire Equipment or Funds, Obtain Information, Receive Medical Attention or Secure Safe House.</t>
  </si>
  <si>
    <t>You may appear to have a Dark Side Score the same as your Wisdom score when sensed through the Force
Deception is a class skill</t>
  </si>
  <si>
    <t>You may use a Dark Side force power once per encounter without increasing your Dark Side Score</t>
  </si>
  <si>
    <t>Sentinel Strike deals d8 damage</t>
  </si>
  <si>
    <t>Sentinel's Gambit may be used again a number of times equal to half your class level</t>
  </si>
  <si>
    <t>You may choose the better of two rolls to rebuke dark side powers</t>
  </si>
  <si>
    <t>Allies within 12 squares may reroll their Initiative checks at the start of combat, and a number equal to Wisdom Modifier are not surprised if you are not</t>
  </si>
  <si>
    <t>You and your allies may take an extra move action in the surprise round</t>
  </si>
  <si>
    <t>You may draw, ignite and attack with a lightsaber in the surprise round even if you are surprised, or draw and ignite a lightsaber as a free action on your turn</t>
  </si>
  <si>
    <t>As a swift action, grant an ally a +1 bonus to Reflex Defense as long as you remain adjacent</t>
  </si>
  <si>
    <t>You may Block or Deflect attacks against an adjacent ally without spending a Force Point</t>
  </si>
  <si>
    <t>Apply your Dexterity bonus to damage rolls with a lightsaber rather than your Strength bonus</t>
  </si>
  <si>
    <t>Upon being his by a melee attack, spend a Force Point to make an immediate attack against that opponent</t>
  </si>
  <si>
    <t>You may reroll the first attack roll of each round against an enemy, designated by spending a Force Point as a swift action, and keep the better result</t>
  </si>
  <si>
    <t>You score a critical hit with a lightsaber on a natural 19 or 20, provided that you hit.</t>
  </si>
  <si>
    <t>Wielding a single lightsaber one-handed increases your Lightsaber Defense bonus by 2 (maximum +5)</t>
  </si>
  <si>
    <t>+1 bonus to Reflex Defense and Will Defense whilst wielding a lightsaber</t>
  </si>
  <si>
    <t>Double the bonus to your Reflex Defense from Lightsaber Defense whilst wielding two lightsabers</t>
  </si>
  <si>
    <t>+5 bonus to ranged attack roll for redirecting a deflected blaster bolt</t>
  </si>
  <si>
    <t>The cumulative penalty for successive Block or Deflect uses is reduced to -2</t>
  </si>
  <si>
    <t>You may take 10 on Acrobatics checks to tumble even when distracted or threatened, and tumbling through a threatened or occupied square counts as 1 square</t>
  </si>
  <si>
    <t>You can reroll Use the Force checks to Block or Deflect and keep the better result</t>
  </si>
  <si>
    <t>Make a Deception check to feint in combat as two swift actions</t>
  </si>
  <si>
    <t>You can perform a coup de grace as a move action, and when you succeed, all allies within line of sight gain a +2 morale bonus on attack rolls for the duration of the encounter.</t>
  </si>
  <si>
    <t>Once per encounter, as a swift action, allies within 6 squares of you heal damage equal to your heroic level.</t>
  </si>
  <si>
    <t>All opponents within 6 squares of you take -1 penalty on all attacks.</t>
  </si>
  <si>
    <t>As a standard action, you can make a single melee attack against a target within reach; if it hits, you deal no damage, but your target amust move or withdraw away from you on its next turn.</t>
  </si>
  <si>
    <t>Once per round, when one of your allies in 6 squares damages an enemy, you grant all allies within line of sight a bonus equal to half your class level to damage until the end of your next turn.</t>
  </si>
  <si>
    <t>As a standard action, you can make a Deception or Persuasion check against each enemy within line of sight. If the check succeeds against Will Defense, that enemy must withdraw on its next action or take a -1 penalty to attack for the encounter.</t>
  </si>
  <si>
    <t>Whenever you or any of your allies within 6 squares of you reduces a target to 0 hit points, you can choose to treat that opponent as though they had been reduced to 0 by stun damage.</t>
  </si>
  <si>
    <t>You can use armored spacesuits as if you have Armor Proficiency (heavy)</t>
  </si>
  <si>
    <t>You gain a nonheroic privateer of three quarters your class level to accompany you
(Enter number of times taken)</t>
  </si>
  <si>
    <t>You may make a free attack with a pistol whenever you make a single attack with an advanced melee weapon</t>
  </si>
  <si>
    <t>You may treat an advanced melee weapon as two-handed when wielding it with a blaster pistol</t>
  </si>
  <si>
    <t>You can make a full attack with a pistol and advanced melee weapon as a standard action</t>
  </si>
  <si>
    <t>You ignore cover, but not improved cover, when aboard a starship or space station</t>
  </si>
  <si>
    <t>You gain +1 to attack rolls and deal +1 die damage when using ion weapons</t>
  </si>
  <si>
    <t>Reduce penalty to attack rolls when making multiple attacks with advanced melee weapons by 2
(Enter number of times taken)</t>
  </si>
  <si>
    <t>Upon dealing enough damage to destroy a vehicle with vehicle weaponry, you can instead deal half damage, move it -1 step down the condition track and disable its sublight engines and hyperdrive</t>
  </si>
  <si>
    <t>You may use Treat Injury to revivify on a target that has died within a number of rounds equal to half your heroic level</t>
  </si>
  <si>
    <t>Allies automatically succeed on aid another attempts for you to Treat Injury</t>
  </si>
  <si>
    <t>You may use Treat Injury to perform first aid on a target once more per day</t>
  </si>
  <si>
    <t>Make a DC 20 Treat Injury check to give an adjacent target an immediate second wind</t>
  </si>
  <si>
    <t>You may use Treat Injury to perform first aid, treat disease and treat poison without a medical kit, provided appropriate substitutes</t>
  </si>
  <si>
    <t>You may reroll any Treat Injury check and keep the better result</t>
  </si>
  <si>
    <t>You may use Treat Injury to perform first aid as a standard action</t>
  </si>
  <si>
    <t>Your patient does not take damage, nor die, from you failing a Treat Injury check</t>
  </si>
  <si>
    <t>+5 to attacks of opportunity with proficient weapons</t>
  </si>
  <si>
    <t>Feint as two swift actions against an opponent you threaten rather than a standard action</t>
  </si>
  <si>
    <t>Make a free single attack with your second light weapon whenever making a single attack</t>
  </si>
  <si>
    <t>Make a full attack with two light weapons as a standard action rather than a full-round action</t>
  </si>
  <si>
    <t>You may add your Dexterity bonus instead of your Strength bonus to damage rolls with a light weapon</t>
  </si>
  <si>
    <t>Once per encounter, as a free action, make an attack with a light weapon after a successful feint</t>
  </si>
  <si>
    <t>You may move your speed as a free action when making a full attack with a single light melee weapon</t>
  </si>
  <si>
    <t>Make a full attack with a single light weapon as a standard action rather than a full-round action</t>
  </si>
  <si>
    <t>When you fire or throw a weapon with a burst or splash radius at a target with cover, you ignore that cover.</t>
  </si>
  <si>
    <t>You ignore the damage threshold of doors and walls when using mines and fixed (non-grenade) explosives.</t>
  </si>
  <si>
    <t>When you use a mine, you can choose to have the blast radius become difficult terrain after the explosive has detonated. Alternately, you can have the explosive deal no damage and instead turn difficult terrain into normal terrain.</t>
  </si>
  <si>
    <t>As a swift action designate a vehicle within your line of sight whose pilot can hear and understand you; the pilot ignores difficult terrain and gains a +5 bonus on all Pilot checks made to avoid hazards and collisions until the start of your next turn.</t>
  </si>
  <si>
    <t>You can use the Repair application of the Mechanics skill to repair a droid or object as a standard action. You can gain the benefits of this talent only once per day per droid, object, or vehicle repaired.</t>
  </si>
  <si>
    <t>When you repair a droid, you repair 1 additional hit point for each point by which your Mechanics check beats the base DC of 20.</t>
  </si>
  <si>
    <t>When you create a field-created weapon (as per the class feature], you can choose one weapon modification from the Tech Specialist feat (see page 21 of Starships of the Galaxy) to apply to the created weapon at the time of creation.</t>
  </si>
  <si>
    <t>As a swift action, you can sabotage any object or weapon powered by an energy cell so that it becomes a grenade.</t>
  </si>
  <si>
    <t>As a standard action, you can increase the speed of one adjacent droid or vehide you occupy by 1 square (applied to any method of locomotion) until the end of your next turn.</t>
  </si>
  <si>
    <t>As a standard action, you can make a DC 15 Mechanics check to grant one vehicle you occupy a number of bonus hit points equal to 5 × your class level.</t>
  </si>
  <si>
    <t>Allow an ally in 12 squares to reroll a Deception or Stealth check, but keep the second result</t>
  </si>
  <si>
    <t>Whenever you roll a Perception check, all allies in 6 squares do the same and you take the highest</t>
  </si>
  <si>
    <t>Target up to your Charisma modifier in allies and grant them a free Withdraw action</t>
  </si>
  <si>
    <t>When making Hasty Withdrawl, an ally can make a free Stealth check</t>
  </si>
  <si>
    <t>Whenever an ally in 12 squares has its Will Defense targeted by a skill, the enemy must reroll and take the lower result</t>
  </si>
  <si>
    <t>Remove mind-affecting or fear effect from ally and grant 10+ class level bonus hit points</t>
  </si>
  <si>
    <t>Make a DC 15 Knowledge (tactics) check as a move action to provide you and allies with +1d6 points of damage to a designated target with each successful melee or ranged attack until the start of your next turn</t>
  </si>
  <si>
    <t>When you use the Assault Tactics talent on an enemy, the target takes a cumulative -1 penaity to Reflex Defense each time it is damaged by one of your allies (maximum -5). This penaity applies until the end of your next turn.</t>
  </si>
  <si>
    <t>Make a DC 15 Knowledge (tactics) check as a move action to provide you and allies with a +1 bonus to attack rolls against flanked opponents or Reflex Defense against attacks of opportunity until the start of your next turne</t>
  </si>
  <si>
    <t>Make a DC 15 Knowledge (tactics) check as a move action to provide you and allies with a +10 cover bonus to Reflex Defense from available cover until the start of your next turn</t>
  </si>
  <si>
    <t>Make a DC 15 Knowledge (tactics) check as a standard action to deny enemies within line of sight any competence, insight or morale bonuses to attack rolls and any dodge bonses to Reflex Defense until the start of your next turn</t>
  </si>
  <si>
    <t>You can take half or all of the damage dealt to an adjacent ally from a single attack, and vice versa</t>
  </si>
  <si>
    <t>As a swift action, once per encounter, you can grant bonus hit points equal to 5 + one-half your character level to all allies within 20 squares of you and in your line of sight.</t>
  </si>
  <si>
    <t>As a swift action, you can take a -2 penalty to one defense to gain a +1 bonus to another defense until the start of your next turn</t>
  </si>
  <si>
    <t>As a swift action, you can take a -5 penalty to one defense to gain a +2 bonus to another defense until the start of your next turn</t>
  </si>
  <si>
    <t>As a swift action, you can take a -5 penalty to two defenses to gain a +5 bonus to  the other defense until the start of your next turn</t>
  </si>
  <si>
    <t>Assault Tactics, Deployment Tactics and Field Tactics can be used as swift actions</t>
  </si>
  <si>
    <t>Once per day, you can add one-half your officer class level to all your defenses for one round. You must declare that you are using this talent at the beginning of your turn. The benefits last until the beginning of your next turn.</t>
  </si>
  <si>
    <t>Designate a target as a swift action for weapon batteries to gain an extra die of damage for every 2 points their attack exceeds the target's Reflex Defense, and also allow one weapon system to make a single attack during Tactical Fire</t>
  </si>
  <si>
    <t>As a full-round action grant a number of vehicles equal to your class level within your line of sight the ability to move their speed immediately</t>
  </si>
  <si>
    <t>Designate a single vehicle as a standard action and succeed at a DC 15 Knowledge (tactics) check to grant all allied gunners within line of sight an additional die of damage with ranged attacks</t>
  </si>
  <si>
    <t>Once per encounter as a swift action grant the pilot of any vehicle within line of sight an immediate move action</t>
  </si>
  <si>
    <t>Capital Ships under your command calculate Reflex Defense as if it had Improved Armor Defense, with gunners gaining either half their heroic level or your heroic level to damage and the quality level of generic crew increases by one</t>
  </si>
  <si>
    <t>Once per encounter, as a reaction, you can add one half your class level to the defense score of your choice</t>
  </si>
  <si>
    <t>Once per round, whenever an ally successfully damage an opponent, you can take a swift action as a reaction</t>
  </si>
  <si>
    <t>Whenever you would use Seize the Moment, you can forgo the swift action to be able to aim as a single swift action on your next turn</t>
  </si>
  <si>
    <t>Once per encounter, whenever you would use Seize the Moment, you can forgo the extra swift action to make an immediate attack against the damaged opponent, your damage counting as a part of your ally's attack for overcoming DR and damage threshold</t>
  </si>
  <si>
    <t>Once per encounter whenever an opponent successfully deals damage to you, you can move 1 square as a reaction without provoking</t>
  </si>
  <si>
    <t>Once per encounter, whenever you would use Uncanny Instincts, you can forgo the extra movement and instead increase your Reflex Defense by 5 until the end of your next turn</t>
  </si>
  <si>
    <t>As a standard action, you can make a non-area attack against an opponent within range. If it hits, you deal half your normal damage, but your opponent loses its next move action</t>
  </si>
  <si>
    <t>Once per encounter, whenever you would use Uncanny Instincts, you can forgo the movement to make an immediate attack against the opponent. If your attack is melee, hits, and deals damage, you and your opponent switch places</t>
  </si>
  <si>
    <t>Make a DC 20 Mechanics check as a full-round action to disable all electronic equipment of a particular type (except for droid, vehicle or weapon) within 12 squares for the rest of the encounter</t>
  </si>
  <si>
    <t>Make a Mechanics check as a full-round action against the Will Defense of any droid that comes within 6 squares of you for the rest of the encounter to allow them to only take swift actions</t>
  </si>
  <si>
    <t>You may place a mine as a standard action</t>
  </si>
  <si>
    <t>You can set a detonator as a swift action, and your explosives never detonate while you are setting them</t>
  </si>
  <si>
    <t>Choose to change an explosion into a line twice the radius or a cone three times the radius of the original explosion</t>
  </si>
  <si>
    <t>Increase the blast radius of an explosion by 1 square</t>
  </si>
  <si>
    <t>Create a turret once per encounter as a standard action, which fires at a target you designate once per round whilst adjacent</t>
  </si>
  <si>
    <t>Your turret is more powerful, and can be controlled at a range of 12 squares</t>
  </si>
  <si>
    <t>Your turret can fire twice per round, and gains DR 5</t>
  </si>
  <si>
    <t>Your turret can deal ion damage</t>
  </si>
  <si>
    <t>Your turret can deal stun damage</t>
  </si>
  <si>
    <t>Your turret explodes in a 2-square radius when it reaches 0 hit points unless you disable it</t>
  </si>
  <si>
    <t>1/encounter give willing creature 10 bonus hit points per round</t>
  </si>
  <si>
    <t>1/encounter give willing creature +1 equipment bonus to attack rolls</t>
  </si>
  <si>
    <t>1/encounter give +5 equipment bonus to damage threshold to willing creature</t>
  </si>
  <si>
    <t>1/encounter increase target's base speed by 2</t>
  </si>
  <si>
    <t>1/encounter grant +1 die of melee damage to willing creature</t>
  </si>
  <si>
    <t>Take 10 when installing biotech and at half cost and time</t>
  </si>
  <si>
    <t>Reroll any Treat Injury check to repair or modify biotech</t>
  </si>
  <si>
    <t>You can temporarily mend a biotech item as a standard action</t>
  </si>
  <si>
    <t>When you temporarily mend a biotech device it moves up 4 steps and only 3 steps down at the end of the encounter</t>
  </si>
  <si>
    <t>When you use Biotech Surgery, biotech attack against patient is halved</t>
  </si>
  <si>
    <t>A single opponent damaged by a Force power of yours takes 2d6 damage at the start of its next turn</t>
  </si>
  <si>
    <t>Once per encounter, upon damaging a Force-sensitive opponent, you regain a spent Force power and they lose a Force Point</t>
  </si>
  <si>
    <t>Spend a Force Point as a standard action to make an attack roll against the Fortitude Defense or a target within 6 squares, dealing 1d6 points of damage per class level and healing yourself an equivalent amount on a hit</t>
  </si>
  <si>
    <t>Your Dark Healing target may be within 12 squares, and you do half damage and heal even on a failed attack</t>
  </si>
  <si>
    <t>Spend a Force Point once per encounter to make a Use the Force check against the Fortitude Defense of three targets within 12 squares  to deal 1d6 damage per class level and heal half that amount, or half if you miss</t>
  </si>
  <si>
    <t>+1 bonus to attack rolls against Jedi</t>
  </si>
  <si>
    <t>You can reroll Use the Force checks to activate dark side Force powers, but must keep the result of the reroll</t>
  </si>
  <si>
    <t>You can reroll Use the Force checks to activate dark side Force powers and keep the better result by spending a Force Point</t>
  </si>
  <si>
    <t>You can create a Sith Talisman to augment your Force powers, or imbue a weapon with the Sith alchemical weapon template</t>
  </si>
  <si>
    <t>Deception checks can be made with Use the Force, and Deception is considered a trained skill</t>
  </si>
  <si>
    <t>Gain a lightsaber form from the Jedi Knight Lightsaber Forms talent tree
(Enter number of times taken)</t>
  </si>
  <si>
    <t>Upon scoring a critical hit with a lightsaber, spend a Force Point to move the target -2 steps along the condition track</t>
  </si>
  <si>
    <t>1/encounter all allies move +2 steps up the condition track but suffer -2 to attacks and skills for character level rounds</t>
  </si>
  <si>
    <t>1/encounter grant all allies immediate attack at -5 penalty</t>
  </si>
  <si>
    <t>1/encounter grant all allies +1 bonus on attack rolls but -2 on Reflex Defense</t>
  </si>
  <si>
    <t>1/encounter all allies at 1/2 hit points gain bonus hit points equal to your character level</t>
  </si>
  <si>
    <t>Whenever you damage a target with a non-area ranged attack, you may designate one ally within your line of sight as a swift action. Your target is considered flat-footed against that ally's first attack made before the start of your next turn.</t>
  </si>
  <si>
    <t>When an opponent uses the aim action to negate your cover, you can make a Stealth check opposed by the attacker's Initiative check. If successful, you retain your cover bonus.</t>
  </si>
  <si>
    <t>Whenever you have cover against a target, you gain DR equal to your cIassievei against that target until the start of your next turn, provided you still have cover from the target at the time the attack is made.</t>
  </si>
  <si>
    <t>If your target is unaware of you, your ranged attacks deal + 1 die of damage against that target.</t>
  </si>
  <si>
    <t>Whenever you damage a target with a ranged attack, you may designate one ally within your line of sight as a swift action. The ally you designate ignores the target's damage reduction and SR (if any) until the start of your next turn.</t>
  </si>
  <si>
    <t>Whenever you damage a target that is unaware of you with an area attack, that target is considered flat-footed until the start of your next turn.</t>
  </si>
  <si>
    <t>Gain +2 to defense of Colossal or smaller vehicles, and projectile attacks which miss your vehicle by 5 or more self-destruct</t>
  </si>
  <si>
    <t>Once per encounter, take a full attack action with proficient weapons as a standard action</t>
  </si>
  <si>
    <t>Gain +2 bonus on next attack against opponent you tumble past</t>
  </si>
  <si>
    <t>Add full heroic level to damage against targets who have not yet acted in combat</t>
  </si>
  <si>
    <t>Take no damage from area attacks whilst in cover</t>
  </si>
  <si>
    <t>You may ignore cover and improved cover when throwing a grenade if your attack roll exceeds a Reflex Defense of 15</t>
  </si>
  <si>
    <t>Move 2 or more squares and gain a +1 bonus on attacks with thrown weapons until the end of your turn.</t>
  </si>
  <si>
    <t>No penalty on attacks and no armor check penalty while wearing heavy armor</t>
  </si>
  <si>
    <t>No penalty on attacks and no armor check penalty while wearing light armor</t>
  </si>
  <si>
    <t>No penalty on attacks and no armor check penalty while wearing medium armor</t>
  </si>
  <si>
    <t xml:space="preserve">You increase the efficacy of your burst and splash weapon attacks. </t>
  </si>
  <si>
    <t>You can use Double Attack as a standard action at the cost of a Force Point</t>
  </si>
  <si>
    <t>Deal +1 die of damage on melee, unarmed, or ranged attacks until the end of your next turn after hitting an enemy with two consecutive melee, unarmed, or ranged attacks.</t>
  </si>
  <si>
    <t>Deal +1 die of damage on melee or unarmed attacks until the end of your next turn after hitting an enemy with two consecutive melee or unarmed attacks.</t>
  </si>
  <si>
    <t>Deal +1 die of damage on ranged attacks until the end ofyour next turn after hitting an enemy with two consecutive ranged attacks.</t>
  </si>
  <si>
    <t>Decrease penalty on autofire attack and inflict extra damage when sustaining fire in the same squares in consecutive rounds.</t>
  </si>
  <si>
    <t>Sweep a wide area while using autofire mode.</t>
  </si>
  <si>
    <t>You may always move in the surprise round</t>
  </si>
  <si>
    <t>Push opponent 1 square after making a successful melee attack</t>
  </si>
  <si>
    <t>Make custom modifications to Yuuzhan Vong biotech.</t>
  </si>
  <si>
    <t>Install a biotech prosthesis onto a living being.</t>
  </si>
  <si>
    <t>If you deal damage with an autofire attack, your allies gain a +2 bonus to autofire attacks against the same target</t>
  </si>
  <si>
    <t>Attacks that would kill your enemy reduces them to O hit points instead.</t>
  </si>
  <si>
    <t>Take a -5 penalty on an autofire attack to gain +2 dice damage</t>
  </si>
  <si>
    <t>Move speed twice as a move action</t>
  </si>
  <si>
    <t>If you aim, gain +1 bonus on the attack roll</t>
  </si>
  <si>
    <t>Make ranged attack at the end of a charge</t>
  </si>
  <si>
    <t>Extra melee attack after dropping target</t>
  </si>
  <si>
    <t>Escape grapple and attack</t>
  </si>
  <si>
    <t>Gain extra attack upon hitting the first target</t>
  </si>
  <si>
    <t>Gain additional attacks of opportunity</t>
  </si>
  <si>
    <t>Reroll any Strength or Constitution based skill checks and add Strength bonus to Fortitude Defense for a turn once per encounter</t>
  </si>
  <si>
    <t>You may enter rage as a swift action, and end it a round after you declare it finished</t>
  </si>
  <si>
    <t>Automatic success with aid another action at point blank range</t>
  </si>
  <si>
    <t>Allow an ally to deal more damage when you aid his attack.</t>
  </si>
  <si>
    <t>When unable to withdraw, +2 on attacks</t>
  </si>
  <si>
    <t>Take two consecutive swift actions to increase the critical range of your next melee attack by 1</t>
  </si>
  <si>
    <t>If you miss against a target with soft cover, once per round you may immediately make an attack roll against the target providing the soft cover.</t>
  </si>
  <si>
    <t>Deal unarmed or claw damage to a pinned opponent</t>
  </si>
  <si>
    <t>+2 to attack rolls against flat-footed enemies</t>
  </si>
  <si>
    <t>Install a cybernetic prosthesis onto a living being</t>
  </si>
  <si>
    <t>If you aim, deal extra damage</t>
  </si>
  <si>
    <t>Flat-footed targets knocked prone on surprise round</t>
  </si>
  <si>
    <t>Reroll missed attack by taking a penalty to Reflex Defense</t>
  </si>
  <si>
    <t>Gain a +1 dodge bonus to Reflex Defense against a selected target</t>
  </si>
  <si>
    <t>Make extra attack during full attack, -5 penalty to all attacks</t>
  </si>
  <si>
    <t>Reroll Use the Force and Persuasion checks to activate fear effects</t>
  </si>
  <si>
    <t>Rage bonus to attacks and damage increases to +4</t>
  </si>
  <si>
    <t>Deal +2 damage to droid enemies, or +4 when using an ion weapon.</t>
  </si>
  <si>
    <t>Repair a droid in 10 minutes instead of 1 hour</t>
  </si>
  <si>
    <t>Take a -5 penalty on attacks when attacking with two weapons or both ends of a double weapon</t>
  </si>
  <si>
    <t>Take a -2 penalty on attacks when attacking with two weapons or both ends of a double weapon</t>
  </si>
  <si>
    <t>Take a no penalty on attacks when attacking with two weapons or both ends of a double weapon</t>
  </si>
  <si>
    <t>You dive for cover when you avoid area attacks</t>
  </si>
  <si>
    <t>Double Strength bonus to damage. Once per encounter upon dealing unarmed damage, make an unarmed attack against Fortitude defense to knock opponent prone</t>
  </si>
  <si>
    <t>Wield an exotic weapon without penalty</t>
  </si>
  <si>
    <t>Perform surgery on multiple creatures simultaneously.</t>
  </si>
  <si>
    <t>Repair multiple droids simultaneously</t>
  </si>
  <si>
    <t>Rage one additional time per day
(Enter number of times taken)</t>
  </si>
  <si>
    <t>Gain an additional second wind per day
(Enter number of times taken)</t>
  </si>
  <si>
    <t>Range penalties for short-, medium-, and long-ranged attacks are reduced</t>
  </si>
  <si>
    <t>Take 10 or 20 on one Strength check or related skill check per encounter</t>
  </si>
  <si>
    <t xml:space="preserve">Gain concealment against a target you damage with a burst or splash weapon. </t>
  </si>
  <si>
    <t>+2 speed when making a running attack</t>
  </si>
  <si>
    <t>Ignore enimies' dodge and deflection bonuses to Reflex Defense when making area attacks with a weapon set on autofire.</t>
  </si>
  <si>
    <t>Take -5 penalty to Reflex Defense to gain +2 bonus to melee attack rolls</t>
  </si>
  <si>
    <t>You may use all skills during a rage</t>
  </si>
  <si>
    <t>Gain three additional Force Points at each level</t>
  </si>
  <si>
    <t>May spend Force Points as a free action even if it is not your turn</t>
  </si>
  <si>
    <t>You can make Use the Force checks and gain access to Force talents</t>
  </si>
  <si>
    <t>Learn a number of Force powers equal to 1 + your Wis modifier (minimum 1)
(Enter number of times taken)</t>
  </si>
  <si>
    <t>Reduce black-market cost multiplier for licensed and restricted objects by 1</t>
  </si>
  <si>
    <t>You do not move down the condition track the first time an attack exceeds your damage threshold, and you gain access to the Brawler talent tree.</t>
  </si>
  <si>
    <t>Make Mechanics and Use Computer checks faster than usual once per encounter</t>
  </si>
  <si>
    <t>Apply your armor's equipment bonus to your Will Defense.</t>
  </si>
  <si>
    <t>Gain a +5 bonus to resist grab and grapple attacks.</t>
  </si>
  <si>
    <t>No limit to cleave attacks each round</t>
  </si>
  <si>
    <t>Reroll an attack made with a vehicle weapon.</t>
  </si>
  <si>
    <t>Swap one trait for another trait</t>
  </si>
  <si>
    <t>Deception check to push opponent away</t>
  </si>
  <si>
    <t>Shapeshift to impersonate a specific person</t>
  </si>
  <si>
    <t>Move when you catch a second wind</t>
  </si>
  <si>
    <t>You are not moved down the condition track an extra step by your implant</t>
  </si>
  <si>
    <t>You may move your opponent a number of squares from 2 to half your Strength modifier</t>
  </si>
  <si>
    <t>You can charge without moving in a straight line</t>
  </si>
  <si>
    <t>Damage threshold increases by 5
(Enter number of times taken)</t>
  </si>
  <si>
    <t>Gain +1 bonus to all defenses</t>
  </si>
  <si>
    <t>Gain +5 bonus on melee attacks to disarm an opponent</t>
  </si>
  <si>
    <t>Take -5 to attack to gain +2 dice of damage with a light melee weapon or lightsaber</t>
  </si>
  <si>
    <t>Withdraw faster when damaged</t>
  </si>
  <si>
    <t>Increase Climb and Swim speeds and Jump distance by 2 squares and do not lose Dexterity bonus to Reflex Defense when climbing</t>
  </si>
  <si>
    <t>You can use your Perception modifier to make Gather Information checks, and can make Gather Information checks with favorable circumstances in half the time</t>
  </si>
  <si>
    <t>Gain one temporary Force Point when targeted by an ally's Force power or Force talent.</t>
  </si>
  <si>
    <t>Attack of opportunity with concealed weapon to greater effect</t>
  </si>
  <si>
    <t>You may knock two opponents' heads together after a successful multi-grab.</t>
  </si>
  <si>
    <t>Allied droids benefit from your beneficial mind-affecting effects.</t>
  </si>
  <si>
    <t>Draw and fire as a standard action</t>
  </si>
  <si>
    <t>Gain bonus languages equal to 1 + your Int modifier (minimum 1)
(Enter number of times taken)</t>
  </si>
  <si>
    <t>Once per encounter as a reaction, gain a +2 morale bonus to a defense score until your next turn</t>
  </si>
  <si>
    <t>Once per encounter, use aid another action to grant an ally +5 to attack</t>
  </si>
  <si>
    <t>Gain a +2 bonus to ranged attack and Will Defense when using Charging Fire</t>
  </si>
  <si>
    <t>Increase damage from unarmed attacks by one die step; gain +1 dodge bonus to Reflex Defense</t>
  </si>
  <si>
    <t>Trade attack bonus on melee attacks for a dodge bonus to Reflex Defense</t>
  </si>
  <si>
    <t>Change your size</t>
  </si>
  <si>
    <t>Spend two swift actions to deal extra damage in melee</t>
  </si>
  <si>
    <t>Add your Strength as well as your Dexterity bonus to attack rolls with thrown weapons, and increase each range category by your Strength modifier</t>
  </si>
  <si>
    <t>Gain +5 dodge bonus to Reflex Defense against some attacks of opportunity</t>
  </si>
  <si>
    <t>Gain one die of damage on mounted melee attacks if your mount or vehicle has moved its speed</t>
  </si>
  <si>
    <t>Redirect successful attacks against you to hit your mount or vehicle instead once per encounter</t>
  </si>
  <si>
    <t>You may grab two opponents as a standard action.</t>
  </si>
  <si>
    <t>You lead an organization of a scale equal to half your heroic level plus your Charisma bonus, with a +10 to your organization score</t>
  </si>
  <si>
    <t>Sacrifice attack of opportunity to move at half speed</t>
  </si>
  <si>
    <t>Any attempt to negate your attack takes a -5 penaity on the attack roll or skill check.</t>
  </si>
  <si>
    <t>Add half your Dark Side Score to Use the Force checks to resist detection.</t>
  </si>
  <si>
    <t>Grappled opponent is pinned for 1 round, can't move, and loses its Dexterity bonus to Reflex Defense</t>
  </si>
  <si>
    <t>+1 bonus on ranged attacks and damage against point blank foes</t>
  </si>
  <si>
    <t>Gain +5 to Fortitude Defense against poison, and only take half damage from poisons</t>
  </si>
  <si>
    <t>Trade attack bonus for damage on melee attacks (up to your base attack bonus)</t>
  </si>
  <si>
    <t>Trade attack bonus for damage on ranged attacks (up to your base attack bonus)</t>
  </si>
  <si>
    <t>Gain +2 bonus on your attack roll while charging and deal extra damage</t>
  </si>
  <si>
    <t>+4 to Strength checks and Strength-based skill checks whilst raging</t>
  </si>
  <si>
    <t>No -5 penalty for shooting into melee</t>
  </si>
  <si>
    <t>Draw weapon as a swift action</t>
  </si>
  <si>
    <t>Once per encounter, take 10 on any trained skill check when rushed, or take 20 in half the time</t>
  </si>
  <si>
    <t>Move an enemy -1 step down the condition track when using the Crush feat</t>
  </si>
  <si>
    <t>You may make a single ranged attack as a reaction to a ranged attack against you that misses.</t>
  </si>
  <si>
    <t>Thrown razor bugs and thud bugs return to your hand immediately.</t>
  </si>
  <si>
    <t>Take a -2 penalty on a ranged attack roll to deal +1 die of damage</t>
  </si>
  <si>
    <t>Take a -2 penalty on a melee attack roll to deal +1 die of damage</t>
  </si>
  <si>
    <t>Grant an additional +2 bonus to a character you are helping with aid another</t>
  </si>
  <si>
    <t>You may reroll a check for a Knowledge skill with which you are trained once per day and keep the better result</t>
  </si>
  <si>
    <t>Once per encounter gain DR 10 against an incoming attack from which you have cover</t>
  </si>
  <si>
    <t>Gain bonus swift action when you catch your second wind</t>
  </si>
  <si>
    <t>Move before and after making an attack</t>
  </si>
  <si>
    <t>If you hit your target with the first attack from a full attack, then you deal +1 die of damage for each other successful attack</t>
  </si>
  <si>
    <t>Make a Perception check to retrieve 30 x your result's worth in raw materials from a vehicle or object for use in building an object with the build object application of Mechanics</t>
  </si>
  <si>
    <t>Gain a +1 bonus on an attack roll while adjacent to an ally.</t>
  </si>
  <si>
    <t>Spend two swift actions to move +1 step along the condition track</t>
  </si>
  <si>
    <t>Install two traits</t>
  </si>
  <si>
    <t>Once per encounter upon reducing an opponent to 0 hit points or deal damage exceeding their damage threshold, all enemies within six squares take a -2 to defenses until your next turn</t>
  </si>
  <si>
    <t>Gain +5 competence bonus on skill checks with one trained skill
(Enter number of times taken)</t>
  </si>
  <si>
    <t>You become trained in one class skill
(Enter number of times taken)</t>
  </si>
  <si>
    <t>Dodge two targets, withdraw at full speed</t>
  </si>
  <si>
    <t xml:space="preserve">When using a weapon set on autofire, you can reduce the area to 1 square. </t>
  </si>
  <si>
    <t>You ignore soft cover when making a ranged attack</t>
  </si>
  <si>
    <t>Take -5 penalty to Reflex Defense until your next turn to gain a +2 to ranged attack</t>
  </si>
  <si>
    <t>You are trained to design (and redesign) starships</t>
  </si>
  <si>
    <t>Learn a number of starship maneuvers equal to 1 + your Wis modifier (minumum 1)
(Enter number of times taken)</t>
  </si>
  <si>
    <t>Move 1 step down the condition track to reduce damage</t>
  </si>
  <si>
    <t>You may attack a four square line with an autofire attack, or all of the squares you fly over with a jetpack</t>
  </si>
  <si>
    <t>Roll d8s instead of d6s when you spend a Force Point</t>
  </si>
  <si>
    <t>Install superior equipment upgrades</t>
  </si>
  <si>
    <t>Targets lower level than you must end their next turn in cover if you use aid another to impose a penalty on an their attack roll and exceed their Will Defense</t>
  </si>
  <si>
    <t>You can perform surgery in 10 minutes instead of 1 hour</t>
  </si>
  <si>
    <t>+1 to melee attack rolls for each adjacent ally</t>
  </si>
  <si>
    <t>Make an attack of opportunity and move 1 square</t>
  </si>
  <si>
    <t>You regain all starship maneuvers at the end of any round you roll a natural 20 on an attack roll</t>
  </si>
  <si>
    <t>You can make custom modifications to armor, weapons, vehicles, droids, and devices</t>
  </si>
  <si>
    <t>Throw a grappled opponent up to 1 square beyond your reach and deal damage</t>
  </si>
  <si>
    <t>Gain +1 hit point per character level</t>
  </si>
  <si>
    <t>When you have cover against a enemy's ranged attacks, gain a + 1 bonus on attack rolls against that enemy.</t>
  </si>
  <si>
    <t>Trip an opponent that you've grappled, knocking it prone</t>
  </si>
  <si>
    <t>Make second extra attack during full attack, additional -5 penalty to all attacks</t>
  </si>
  <si>
    <t>Deal triple damage on a critical hit</t>
  </si>
  <si>
    <t>Add your base attack bonus to the acrobatics DC to tumble through your threatened squares</t>
  </si>
  <si>
    <t>You may use Unleashed abilities</t>
  </si>
  <si>
    <t>Gain a +5 bonus to Fortitude Defense and Will Defense against any effect requiring a Use the Force check.</t>
  </si>
  <si>
    <t>Gain a +5 bonus to Will Defense against Deception and Persuasion checks.</t>
  </si>
  <si>
    <t>Recharge shields or reroute power on a vehide faster than normal.</t>
  </si>
  <si>
    <t>Negate one attack per round against the vehicle you're piloting</t>
  </si>
  <si>
    <t>Gain a +2 bonus to Fortitude Defense and Will Defense while fighting defensively.</t>
  </si>
  <si>
    <t>Use Dex modifier instead of Str modifier on attack rolls with light melee weapons and lightsabers</t>
  </si>
  <si>
    <t>+1 bonus on attack rolls with selected weapon</t>
  </si>
  <si>
    <t>Ignore -5 penalty on attack rolls with weapons of a particular type</t>
  </si>
  <si>
    <t>Make one melee attack against each opponent within reach</t>
  </si>
  <si>
    <t>Gain extra attack on a second target upon damaging the first target</t>
  </si>
  <si>
    <t>Adjacent opponents cannot withdraw from squares which you threaten</t>
  </si>
  <si>
    <t>Defenses</t>
  </si>
  <si>
    <t>Defense Input</t>
  </si>
  <si>
    <t>SA/AO Input</t>
  </si>
  <si>
    <t>Single</t>
  </si>
  <si>
    <t>Inquisition and Mighty Swing</t>
  </si>
  <si>
    <t>JATM 24</t>
  </si>
  <si>
    <t>JATM 25</t>
  </si>
  <si>
    <t>JATM 26</t>
  </si>
  <si>
    <t>JATM 27</t>
  </si>
  <si>
    <t>JATM 28</t>
  </si>
  <si>
    <t>JATM 29</t>
  </si>
  <si>
    <t>JATM 30</t>
  </si>
  <si>
    <t>JATM 31</t>
  </si>
  <si>
    <t>JATM 32</t>
  </si>
  <si>
    <t>JATM 33</t>
  </si>
  <si>
    <t>JATM 34</t>
  </si>
  <si>
    <t>JATM 35</t>
  </si>
  <si>
    <t>Careful Shot and Point Blank Shot</t>
  </si>
  <si>
    <t>Careful Shot and Zero Range</t>
  </si>
  <si>
    <t>Charge</t>
  </si>
  <si>
    <t>Careful Shot and Deadeye</t>
  </si>
  <si>
    <t>Deadeye and Point Blank Shot</t>
  </si>
  <si>
    <t>Deadeye and Zero Range</t>
  </si>
  <si>
    <t>Careful Shot, Dead Eye and Point Blank Shot</t>
  </si>
  <si>
    <t>Careful Shot, Dead Eye and Zero Range</t>
  </si>
  <si>
    <t>DRAW</t>
  </si>
  <si>
    <t>Multiattack Proficiency</t>
  </si>
  <si>
    <t>advanced</t>
  </si>
  <si>
    <t>exotic</t>
  </si>
  <si>
    <t>Miraluka bonus Force Training not showing up</t>
  </si>
  <si>
    <t>Crime lord talents listing wrong</t>
  </si>
  <si>
    <t>Unarmed damage</t>
  </si>
  <si>
    <t>Better support for weapons</t>
  </si>
  <si>
    <t>Better functioning Weapon Cheat Sheet</t>
  </si>
  <si>
    <t>Better functioning Stat Block</t>
  </si>
  <si>
    <t>Force Regimens</t>
  </si>
  <si>
    <t>Rhen-Orm Biocomputer</t>
  </si>
  <si>
    <t>Add quarry's Force point total to Survival checks to track</t>
  </si>
  <si>
    <t>Move immediately up to your speed after reducing an enemy to 0 hit points</t>
  </si>
  <si>
    <t>Learn a number of Force Regimens equal to 1 + your Wis modifier (minimum 1)
(Enter number of times taken)</t>
  </si>
  <si>
    <t>When you use a lightsaber pike or long-handled lightsaber you can treat it as a double weapon</t>
  </si>
  <si>
    <t>Whenever you miss a target with proficient weapon, gain a +2 competence bonus on your next attack against that target until the end of your next turn</t>
  </si>
  <si>
    <t>Awaken Force Sensitivity</t>
  </si>
  <si>
    <t>Eyes of the Force</t>
  </si>
  <si>
    <t>Oxygen Bottle</t>
  </si>
  <si>
    <t>Quiet the Mind</t>
  </si>
  <si>
    <t>Telekinetic Practice</t>
  </si>
  <si>
    <t>Force Training Regimens</t>
  </si>
  <si>
    <t>Lightsaber Training Regimens</t>
  </si>
  <si>
    <t>Sparring Practice</t>
  </si>
  <si>
    <t>Training Remote</t>
  </si>
  <si>
    <t>Vo'ren's First Cadence</t>
  </si>
  <si>
    <t>Vo'ren's Second Cadence</t>
  </si>
  <si>
    <t>Vo'ren's Third Cadence</t>
  </si>
  <si>
    <t>Vo'ren's Fourth Cadence</t>
  </si>
  <si>
    <t>Vo'ren's Fifth Cadence</t>
  </si>
  <si>
    <t>Known</t>
  </si>
  <si>
    <t>Starship Maneuvers</t>
  </si>
  <si>
    <t>Ackbar Slash</t>
  </si>
  <si>
    <t>Afterburn</t>
  </si>
  <si>
    <t>Angle Deflector Shields</t>
  </si>
  <si>
    <t>Attack Formation Zeta Nine</t>
  </si>
  <si>
    <t>Attack Pattern Delta</t>
  </si>
  <si>
    <t>Corellian Slip</t>
  </si>
  <si>
    <t>Counter</t>
  </si>
  <si>
    <t>Devastating Hit</t>
  </si>
  <si>
    <t>Engine Hit</t>
  </si>
  <si>
    <t>Evasive Action</t>
  </si>
  <si>
    <t>Explosive Shot</t>
  </si>
  <si>
    <t>Howlrunner Formation</t>
  </si>
  <si>
    <t>I Have You Now</t>
  </si>
  <si>
    <t>Overwhelming Assault</t>
  </si>
  <si>
    <t>Segnor's Loop</t>
  </si>
  <si>
    <t>Shield Hit</t>
  </si>
  <si>
    <t>Skim the Surface</t>
  </si>
  <si>
    <t>Skywalker Loop</t>
  </si>
  <si>
    <t>Snap Roll</t>
  </si>
  <si>
    <t>Tallon Roll</t>
  </si>
  <si>
    <t>Target Lock</t>
  </si>
  <si>
    <t>Target Sense</t>
  </si>
  <si>
    <t>Thruster Hit</t>
  </si>
  <si>
    <t>Wotan Weave</t>
  </si>
  <si>
    <t>Maneuver</t>
  </si>
  <si>
    <t>attack pattern</t>
  </si>
  <si>
    <t>dogfight</t>
  </si>
  <si>
    <t>gunner</t>
  </si>
  <si>
    <t>attack patern</t>
  </si>
  <si>
    <t>Darklighter Spin</t>
  </si>
  <si>
    <t>Descriptor</t>
  </si>
  <si>
    <t xml:space="preserve">Value of Gear: </t>
  </si>
  <si>
    <t>New in 0.95</t>
  </si>
  <si>
    <t>Force regimens</t>
  </si>
  <si>
    <t>Display which skills are trained and focused</t>
  </si>
  <si>
    <t>Skills from species traits showing up</t>
  </si>
  <si>
    <t>Clone Hero bonus feat not turning up</t>
  </si>
  <si>
    <t>Reroll</t>
  </si>
  <si>
    <t>Take 10</t>
  </si>
  <si>
    <t>c</t>
  </si>
  <si>
    <t>Reroll 1</t>
  </si>
  <si>
    <t>Reroll 2</t>
  </si>
  <si>
    <t>Take 10 1</t>
  </si>
  <si>
    <t>Take 10 2</t>
  </si>
  <si>
    <t>Corrupted Power</t>
  </si>
  <si>
    <t>Debilitating Power</t>
  </si>
  <si>
    <t>Devastating Power</t>
  </si>
  <si>
    <t>Distant Power</t>
  </si>
  <si>
    <t>Enlarged Power</t>
  </si>
  <si>
    <t>Extend Power</t>
  </si>
  <si>
    <t>Holocron Loremaster</t>
  </si>
  <si>
    <t>Linked Power</t>
  </si>
  <si>
    <t>Mentor</t>
  </si>
  <si>
    <t>Multitarget Power</t>
  </si>
  <si>
    <t>Pure Power</t>
  </si>
  <si>
    <t>Quicken Power</t>
  </si>
  <si>
    <t>Remote Power</t>
  </si>
  <si>
    <t>Shaped Power</t>
  </si>
  <si>
    <t>Unconditional Power</t>
  </si>
  <si>
    <t>Kerkoiden</t>
  </si>
  <si>
    <t>Reroll any Climb or Jump check, but the result must be accepted, even if worse. Take 10 on Climb and Jump checks.</t>
  </si>
  <si>
    <t>Reroll any Endurance check, but ther result of the reroll must be accepted, even if it is worse</t>
  </si>
  <si>
    <t>Reroll 1 type</t>
  </si>
  <si>
    <t>better</t>
  </si>
  <si>
    <t>worse</t>
  </si>
  <si>
    <t>Reroll 2 type</t>
  </si>
  <si>
    <t>stun</t>
  </si>
  <si>
    <t>sonic</t>
  </si>
  <si>
    <t>ion</t>
  </si>
  <si>
    <t>energy</t>
  </si>
  <si>
    <t>Pulse charger now works with Feats such as Rapid Shot</t>
  </si>
  <si>
    <t>Nonheroic starting feats</t>
  </si>
  <si>
    <t>Feat 1</t>
  </si>
  <si>
    <t>Feat 2</t>
  </si>
  <si>
    <t>Feat 3</t>
  </si>
  <si>
    <t>Rapid Shot and Zero Range</t>
  </si>
  <si>
    <t>Rapid Shot and Point Blank Shot</t>
  </si>
  <si>
    <t>Tweaked many areas of the sheet</t>
  </si>
  <si>
    <t>Added support for skill rerolls</t>
  </si>
  <si>
    <t>Added support for Damage Reduction</t>
  </si>
  <si>
    <t>Added better support for nonheroic</t>
  </si>
  <si>
    <t>Skill rerolls</t>
  </si>
  <si>
    <t>Dual Weapons on the Stat Block</t>
  </si>
  <si>
    <t>Encumbered?</t>
  </si>
  <si>
    <t>New in 0.96</t>
  </si>
  <si>
    <t>Once per turn, upon succeeding at a Redirect Shot, the Deflect which triggered it does not count towards the cumulative penalty from Deflect</t>
  </si>
  <si>
    <t>Can see or hear as if you were standing in the space of your illusion if humanoid</t>
  </si>
  <si>
    <t>You can use the Use the Force skill in place of Deception for the purposes of creating a deceptive appearance</t>
  </si>
  <si>
    <t>1/encounter can return one mind-affecting Force power as a Swift action without costing a Force point</t>
  </si>
  <si>
    <t>Use mind trick to convince a target they can't use the Force</t>
  </si>
  <si>
    <t>One ally trained in Use the Force can aid another to another within 12 squares and line of sight as a reaction, but takes a penalty on Use the Force checks</t>
  </si>
  <si>
    <t>When you die become a dark side spirit and can possess others or enter an object</t>
  </si>
  <si>
    <t>Your guardian spirit can tell you the immediate consequences of your actions, and you gain a bonus Force point per day after a 6-hour rest that can be only used to enhance Force powers, or activate techniques and secrets</t>
  </si>
  <si>
    <t>1/encounter reroll failed skill check with +2 bonus</t>
  </si>
  <si>
    <t>Your guardian spirit appears for the encounter within 6 squares of you, and as long as it remains within 12 squares from you, you receive +1 on attack rolls, +2 on Use the Force checks, and +2 Will Defense; you can move the spirit up to six squares once per round as a Swift action</t>
  </si>
  <si>
    <t>Any enemy within 3 squares takes a -2 penalty to Will Defense and attack rolls against you</t>
  </si>
  <si>
    <t>1/encounter you gain temporary hit points equal to 10 + 1/2 your heroic level</t>
  </si>
  <si>
    <t>Use the Force replaces Use Computer for astrogation</t>
  </si>
  <si>
    <t>Use a use of the farseeing power from your suite, and before end of your next turn force attacker to reroll their attack roll and keep the second result</t>
  </si>
  <si>
    <t>Your Force powers can deal stun damage</t>
  </si>
  <si>
    <t>Spend a Force point as a Swift action to designate one ally in 12 squares and line of sight; until the end of your next turn, if the ally takes damage, you take half instead</t>
  </si>
  <si>
    <t>When targeted by dark side power, spend a Force point to give a penalty to their Use the Force check equal to their Dark Side score</t>
  </si>
  <si>
    <t>When an ally in 12 squares and line of sight takes damage or moves down the condition track, another ally within 12 squares and line of sight gains temporary hit points equal to 5 + your Charisma modifier</t>
  </si>
  <si>
    <t>1/turn ally within 12 squares and line of sight can take a Second Wind if they have not already</t>
  </si>
  <si>
    <t>+5 on skill or grapple checks to all allies w/in 6 sq, can spend FP to negate an ally moved against will</t>
  </si>
  <si>
    <t>One ally w/in 12 sq &amp; LOS that is grabbed etc &amp; release them &amp; can move half spd as reac w/no AofO</t>
  </si>
  <si>
    <t>Use the Force negates damage to vehicle you are aboard, occurs after DR &amp; SR applied</t>
  </si>
  <si>
    <t>One force power no longer has dark or light side descriptor</t>
  </si>
  <si>
    <t>+10 Perception to avoid being surprised, spend FP to act in surprise round even if surprised</t>
  </si>
  <si>
    <t>add Wis bonus to Ref Def if denied Dex</t>
  </si>
  <si>
    <t>with Search Your Feelings can sense consequences 1 hour in future, spend FP for 8 hours, DP 24 hrs</t>
  </si>
  <si>
    <t>on new planet 10 min to acclimate &amp; on planet +2 all Def against natural hazards, spd +1 sq, sense weather for 24 hours as full-round</t>
  </si>
  <si>
    <t>1/day spend 10 min &amp; once later in day negate an attack as long as not nat 20, if don't use regain FP</t>
  </si>
  <si>
    <t>opponent is flat-footed against your next attack with a lightsaber before end of your next turn</t>
  </si>
  <si>
    <t>can use Force Trance &amp; receive vital transfer &amp; gain additional hp = Cha mod (min 1)</t>
  </si>
  <si>
    <t>can heal droids with vital transfer</t>
  </si>
  <si>
    <t>become immune to Sense Force &amp; appear to be normal droid until you use the Force</t>
  </si>
  <si>
    <t>gain bonus to Will Def = Cha mod (min 1) against Use the Force until end of your next turn</t>
  </si>
  <si>
    <t>add Cha mod instead of Con mod to Fort Def, can spend FP to become immune to poison, radiation &amp; disease until end of enc</t>
  </si>
  <si>
    <t>when you roll an Initiative check at beginning of enc you can spend a swif immediately regardless</t>
  </si>
  <si>
    <t>when damaged gain DR 10 until end of your next turn</t>
  </si>
  <si>
    <t>+1 Ref Def v. melee if have wan-shen in hand &amp; not flat-footed</t>
  </si>
  <si>
    <t>treat wan-shen as Med weapon not Large, can Pin &amp; Trip with wan-shen if wan-shen in hand</t>
  </si>
  <si>
    <t>make 2 atk with wan-shen each against a different target if have wan-shen in hand</t>
  </si>
  <si>
    <t>if wielding no weapons (gloves or gauntlets) can use Whirlwind Attack until start of your next turn</t>
  </si>
  <si>
    <t>can move speed after Whirlwind Attack</t>
  </si>
  <si>
    <t>+2 Ref Def v. target hit by Whirlwind Attack until start of your next turn</t>
  </si>
  <si>
    <t>make Whirlwind Attack at end of charge not normal melee attack if using no weapons (gloves, etc)</t>
  </si>
  <si>
    <t>can move target 1 sq if damaged by Whirlwind Attack, not if grabbed or grappled, no Atk of Opp</t>
  </si>
  <si>
    <t>+1d6 fire dam to any force power that affects a single target &amp; catches it on fire</t>
  </si>
  <si>
    <t>create 3x3 sq difficult terrain around you &amp; you ignore difficult terrain you create</t>
  </si>
  <si>
    <t>UtF for Acrobatics &amp; can reroll UtF if can reroll Acrobatics, spend FP to be one size larger w/grapple</t>
  </si>
  <si>
    <t>if you use a Force Power that deals damage you can use Bantha Rush against target as if melee atk</t>
  </si>
  <si>
    <t>gain concealment &amp; +2 Ref Def v. thrown weapons until end of encounter</t>
  </si>
  <si>
    <t>reaction to damage gain total concealment until end of your next turn &amp; may take 2nd Wind if didn't</t>
  </si>
  <si>
    <t>until end of encounter: can only use "you" Force Powers &amp; 1/turn recover 1 spent power w/out FP</t>
  </si>
  <si>
    <t>Use the Force replaces Stealth, considered trained, if can reroll Stealth can reroll Use the Force</t>
  </si>
  <si>
    <t>sneak from Stealth from electronic devices, use same roll for Perception &amp; Use Computer</t>
  </si>
  <si>
    <t>applies to ally also, spend Force Point to all adjacent allies</t>
  </si>
  <si>
    <t>make area atk with discblade v. 3 targets if all in PB range, make 1 attack roll</t>
  </si>
  <si>
    <t>treat thrown discblade as pistol for range</t>
  </si>
  <si>
    <t>DC 15 Use the Force to recall discblade</t>
  </si>
  <si>
    <t>can return Intercept to suite without spending Force Point</t>
  </si>
  <si>
    <t>+2 melee dam with discblade</t>
  </si>
  <si>
    <t>UseForce replaces Persuasion w/animal Int 2 or less, -5 if animal doesn't understand doesn't apply</t>
  </si>
  <si>
    <t>mount shares an empathic link, when you ride your mount has your Ref &amp; Will Def, you gain senses</t>
  </si>
  <si>
    <t>Use the Force v. Will Def of indifferent or better beast to perform a minor task within 30 sq, see J18</t>
  </si>
  <si>
    <t>shift unfriendly beast to indifferent automatically</t>
  </si>
  <si>
    <t>1/turn touch mind of indifferent or better beast w/in 12 sq &amp; LOS, beast's Perception &amp; LOS is yours</t>
  </si>
  <si>
    <t>+5 bonus on skill checks made to perform a Force Regimen</t>
  </si>
  <si>
    <t>Mind Probe</t>
  </si>
  <si>
    <t>Ignore DR, +2 to Block and Deflect</t>
  </si>
  <si>
    <t>+2d6 ion damage</t>
  </si>
  <si>
    <t>Extra Damage</t>
  </si>
  <si>
    <t>Holster or drawn 1/round as Free action (Quick Draw)</t>
  </si>
  <si>
    <t>Unhindered Charge</t>
  </si>
  <si>
    <t>JATM 36</t>
  </si>
  <si>
    <t>LECG 53</t>
  </si>
  <si>
    <t>LECG 54</t>
  </si>
  <si>
    <t>KOTOR 50</t>
  </si>
  <si>
    <t>KOTOR 51</t>
  </si>
  <si>
    <t>KOTOR 52</t>
  </si>
  <si>
    <t>KOTOR 53</t>
  </si>
  <si>
    <t>KOTOR 54</t>
  </si>
  <si>
    <t>FUCG 88</t>
  </si>
  <si>
    <t>FUCG 89</t>
  </si>
  <si>
    <t>Unleashed Abilities</t>
  </si>
  <si>
    <t>Firepower</t>
  </si>
  <si>
    <t>Force Unleashed Abilities</t>
  </si>
  <si>
    <t>Qualify</t>
  </si>
  <si>
    <t>Call and ignite a lightsaber you built as a free action if in line of sight</t>
  </si>
  <si>
    <t>+2 Block and Deflect with a lightsaber you built</t>
  </si>
  <si>
    <t>Add one extra accessory, reroll one die of damage if self-built, mentor another building (-5 their DC)</t>
  </si>
  <si>
    <t>If you spend a Force Point on a lightsaber attack you built you can also add that amount to damage</t>
  </si>
  <si>
    <t>Spend 1 minute removing an accessory and adding another on a lightsaber you built</t>
  </si>
  <si>
    <t>1/turn grant use of Force Secret to ally w/in 12 sq &amp; trained in Use the Force</t>
  </si>
  <si>
    <t>1/turn grant use of Force Technique to ally w/in 12 sq &amp; trained in Use the Force, not FP Recovery</t>
  </si>
  <si>
    <t>1/day grant use of Lightsaber Combat or Forms, Duelist until end of enc if w/in 12 sq to allies = 1/2 cl</t>
  </si>
  <si>
    <t>Add your Force Point result to an ally w/in 12 sq with a Use the Force modifier lower than yours</t>
  </si>
  <si>
    <t>Spend a power in suite and give to ally trained in Use the Force and within 12 squares and line of sight; lost if not used by end of encounter</t>
  </si>
  <si>
    <t>FUCG 85</t>
  </si>
  <si>
    <t>FUCG 86</t>
  </si>
  <si>
    <t>FUCG 86/LECG 54</t>
  </si>
  <si>
    <t>FUCG 867</t>
  </si>
  <si>
    <t>CWCG 50</t>
  </si>
  <si>
    <t>CWCG 51</t>
  </si>
  <si>
    <t>CWCG 52</t>
  </si>
  <si>
    <t>CWCG 54</t>
  </si>
  <si>
    <t>CWCG 55</t>
  </si>
  <si>
    <t>LECG 55</t>
  </si>
  <si>
    <t>LECG 56</t>
  </si>
  <si>
    <t>Improved Force Shield</t>
  </si>
  <si>
    <t>JATM 37</t>
  </si>
  <si>
    <t>Shard (Droid)</t>
  </si>
  <si>
    <t>Shard</t>
  </si>
  <si>
    <t>Droid Shell</t>
  </si>
  <si>
    <t>Maintenance as droid, immune to poison, disease, radiation, noncorrosive atmospheric hazards, vacuum, vulnerable to ion damage, use droid systems and accessories</t>
  </si>
  <si>
    <t>Basic (understand)</t>
  </si>
  <si>
    <t>Fly 6 squares (hover), swim 10 squares</t>
  </si>
  <si>
    <t>Broadcast Telepath</t>
  </si>
  <si>
    <t>Unless encased in a special environment chamber, Celegians suffocate</t>
  </si>
  <si>
    <t>Use Telepathy application of the Use the Force skill untrained, automatically succeed to communicate with targets within 60 squares and line of sight</t>
  </si>
  <si>
    <t>Vultan</t>
  </si>
  <si>
    <t>Dromnyr</t>
  </si>
  <si>
    <t>Carapace</t>
  </si>
  <si>
    <t>Grasping Tentacles</t>
  </si>
  <si>
    <t>Krevaaki gain a +1 natural armor bonus to Reflex Defense and a +1 bonus to Fortitude Defense</t>
  </si>
  <si>
    <t>Any creature attempting to use the Sense Motive application of the Perception skill on a Krevaaki takes a -5 penalty on the skill check</t>
  </si>
  <si>
    <t>Krevaaki gain a +2 species bonus on Climb checks and a +2 species bonus on grapple checks</t>
  </si>
  <si>
    <t>Added Unleashed abilities</t>
  </si>
  <si>
    <t>Fixed most bugs listed up to post #180</t>
  </si>
  <si>
    <t>Added Jedi Academy races</t>
  </si>
  <si>
    <t>Added carrying capacity for nonstandards</t>
  </si>
  <si>
    <t>Shields</t>
  </si>
  <si>
    <t>Custom languages (override)</t>
  </si>
  <si>
    <t>Added descriptions for feats/talents</t>
  </si>
  <si>
    <t>New in 0.97</t>
  </si>
  <si>
    <t>Added better support for NPCs and Beasts</t>
  </si>
  <si>
    <t>Superior Defenses</t>
  </si>
  <si>
    <t>Zabrak receive a +1 bonus to all of their defenses</t>
  </si>
  <si>
    <t>Whenever you use the negate energy Force power to successfully negate the damage from an energy weapon attack, you can spend a Force Point as a reaction to immediately activate any Force Power currently in your Force suite</t>
  </si>
  <si>
    <t>Once per encounter, you can activate one Force talent that requires a Force Point to use without spending a Force Point</t>
  </si>
  <si>
    <t>Once per encounter as a swift action, you can return one Force power with the [dark side] descriptor to your Force suite without spending a Force Point</t>
  </si>
  <si>
    <t>You can use the farseeing power on a location instead of an individual creature, peering into the location’s past to view events that occurred there. Unlike the normal use of the farseeing power, you are actually looking into the location’s past (at a time you designate), and you must be standing in the location being viewed. The target DC for your Use the Force check is 20, +1 for each day into the past that you attempt to scry. When you look into the past, you need only specify a time in a number of days, as you can sense tremors in the Force that focus your visions on meaningful events that day</t>
  </si>
  <si>
    <t>As a swift action, you designate a single target creature as the focus of your attentions. You gain a +2 bonus to your speed any time you spend a move action to move, provided that you end your movement adjacent to the target. You retain the bonus (and may not use this talent again) until your target surrenders, is reduced to 0 hit points, or moves to the bottom of the condition track, or until the encounter ends</t>
  </si>
  <si>
    <t>Whenever you have at least one unspent farseeing power in your suite, you can spend that farseeing power to regain any one other Force power as a swift action</t>
  </si>
  <si>
    <t>Whenever someone makes a Deception or Persuasion skill check against your Will Defense, you can make a Use the Force check, replacing your Will Defense with the result of your Use the Force check if it is higher</t>
  </si>
  <si>
    <t>Whenever you are the target of a mind-affecting Force power of talent, you can spend a Force Point as a reaction to negate the effects of that Force power or talent (no skill check required)</t>
  </si>
  <si>
    <t>Whenever you use the battle strike power, you gain the power’s bonus on attack rolls on your first melee attack made each round until the end of the encounter. If you do not attack in a round, this effect ends</t>
  </si>
  <si>
    <t>You take no penalty on attack rolls with improvised weapons</t>
  </si>
  <si>
    <t>As a standard action, whenever you are wielding two weapons (or a double weapon), you can make one attack with each weapon (or each end of a double-weapon). Each attack must be against a different target</t>
  </si>
  <si>
    <t>Whenever you use the Twin Weapon Style talent, you can move 2 squares between each attack. This movement does not provoke attack of opportunity</t>
  </si>
  <si>
    <t>Whenever you are wielding a shoto and successfully use the Block talent to negate a melee attack, the attacker can make no further melee attack until the start of its next turn or until you are no longer adjacent to it</t>
  </si>
  <si>
    <t>You can use your mastery of Sith alchemy to create mutated abominations. You must have access to a willing (or unconscious) creature to which you will apply the Sith Abomination template or the Chrysalis Beast template. You also need a medical lab outfitted for the process, which requires a number of days equal to the creature’s modified CL. You must spend a Force Point at the completion of the process to complete the transformation. A creature you have mutated is considered to be a domesticated creature, but for you only (unless it was already a domesticated creature before its mutation)</t>
  </si>
  <si>
    <t>As a standard action, you can perform minor alchemical alterations to a melee weapon you wield. For the remainder of the encounter, you gain a +2 equipment bonus on attack rolls with that weapon. Additionally, once before the end of the encounter, you can sacrifice this bonus as a free action to gain a +5 equipment bonus on a single damage roll you make with that weapon</t>
  </si>
  <si>
    <t>Your knowledge of Sith Alchemy allows you to imbue certain objects with the power of the dark side. You can perform any of the following alchemical transformations, though each time you do so, increase your Dark Side Score by 1</t>
  </si>
  <si>
    <t>You can modify an object with Sith alchemy so that it gains a specific trait. You can only perform one modification at a time. Unless otherwise noted, you cannot grant more than one benefit to single object, and you cannot apply the same benefit more than once. You must spend a Force Point and devote 1 hour of uninterrupted work to apply a trait to the relevant object, and when you do so, you increase your Dark Side Score by 1</t>
  </si>
  <si>
    <t>When actively looking for hidden enemies, you can make a Perception check as a swift action instead of a standard action</t>
  </si>
  <si>
    <t>If you and at least one other ally have line of sight to and are aware of a target, you and allies that can hear and understand you can reroll one ranged attack roll against that target, accepting the second result even if it is worse. You and your allies can only gain the benefit of this talent once per encounter</t>
  </si>
  <si>
    <t>Adio for additional descriptions</t>
  </si>
  <si>
    <t>Ewokontoast and JemyM for JATM descriptions</t>
  </si>
  <si>
    <t>Inquisition and Rapid Strike</t>
  </si>
  <si>
    <t>Improved Rapid Strike and Inquisition</t>
  </si>
  <si>
    <t>+2 on one Defense against light-side powers</t>
  </si>
  <si>
    <t>+2 on all Defenses against light-side powers</t>
  </si>
  <si>
    <t>When you gain a level you get bonus Force Points equal to a number of Force Talents (6 max)</t>
  </si>
  <si>
    <t>When you spend a Force Point to activate a technique or secret you gain hp equal to 10 + your class level</t>
  </si>
  <si>
    <t>Mind-affecting effects must be rolled twice against you taking the lower result</t>
  </si>
  <si>
    <t>Move -1 step down track to gain 1 Force Point until the end of your turn</t>
  </si>
  <si>
    <t>Whilst touching a creature with an Intelligence of 3 or higher, you can make a Use the Force check versus its Will Defense to use Gather Information on an unwilling target</t>
  </si>
  <si>
    <t>You can communicate in full sentences and complete thoughts, subject no change</t>
  </si>
  <si>
    <t>You gain a bonus to your Will Defefense equal to your class level</t>
  </si>
  <si>
    <t>Treat your opponents damage threshold as if it were 5 points lower when you make a successful attack
(Enter number of times taken, choose which weapon on the Talents 2 tab)</t>
  </si>
  <si>
    <t>Treat your opponents damage reduction as if it were 5 points lower when you make a successful attack
(Enter number of times taken, choose which weapon on the Talents 2 tab)</t>
  </si>
  <si>
    <t>+2 bonus to damage
(Enter number of times taken, choose which weapon on the Talents 2 tab)</t>
  </si>
  <si>
    <t>When you successfully damage an enemy with a bludgeoning attack you have weapon specialization for, you gain +2 to attack and damage with your next attack.
(Enter number of times taken, choose which weapon on the Talents 2 tab)</t>
  </si>
  <si>
    <t>Ignore an opponent's armor bonus to defense when disarming, and once per encounter gain a +10 bonus on your attack roll to disarm
(Enter number of times taken, choose which weapon on the Talents 2 tab)</t>
  </si>
  <si>
    <t>If you successfully hit an enemy with a piercing weapon for which you have the Weapon Specialization talent, your opponent's speed is reduced by 2 squares until the end of your next turn.
(Enter number of times taken, choose which weapon on the Talents 2 tab)</t>
  </si>
  <si>
    <t>When you damage an opponent using a slashing weapon for which you have the Weapon Specialization talent for your opponent takes a -2 penalty on melee attacks against you until your next turn
(Enter number of times taken, choose which weapon on the Talents 2 tab)</t>
  </si>
  <si>
    <t>+1 bonus to attack rolls
(Enter number of times taken, choose which weapon on the Talents 2 tab)</t>
  </si>
  <si>
    <t>Treat your opponents damage threshold as if it were 10 points lower when you make a successful attack
(Enter number of times taken, choose which weapon on the Talents 2 tab)</t>
  </si>
  <si>
    <t>Treat your opponents damage reduction as if it were 10 points lower when you make a successful attack
(Enter number of times taken, choose which weapon on the Talents 2 tab)</t>
  </si>
  <si>
    <t>DCs to hide weapons</t>
  </si>
  <si>
    <t>DCs to build weapons</t>
  </si>
  <si>
    <t>Added basic support for Dual Wield</t>
  </si>
  <si>
    <t>Equipment Name</t>
  </si>
  <si>
    <t>Geonosian warrior tunic</t>
  </si>
  <si>
    <t>ARC Trooper armor</t>
  </si>
  <si>
    <t>Stormtrooper armor</t>
  </si>
  <si>
    <t>Snowtrooper armor</t>
  </si>
  <si>
    <t>Sandtrooper armor</t>
  </si>
  <si>
    <t>ARC trooper armor</t>
  </si>
  <si>
    <t>suits of ARC trooper armor</t>
  </si>
  <si>
    <t>clone trooper armor</t>
  </si>
  <si>
    <t>suits of clone trooper armor</t>
  </si>
  <si>
    <t>Clone Trooper armor</t>
  </si>
  <si>
    <t>Coruscant Guard armor</t>
  </si>
  <si>
    <t>EVO trooper armor</t>
  </si>
  <si>
    <t>+10 equipment bonus against airborne poisons</t>
  </si>
  <si>
    <t>Jumptrooper armor</t>
  </si>
  <si>
    <t>Heavy dungeoneer armor</t>
  </si>
  <si>
    <t>heavy dungeoneer armor</t>
  </si>
  <si>
    <t>Light combat armor</t>
  </si>
  <si>
    <t>,FUCG,</t>
  </si>
  <si>
    <t>light combat armor</t>
  </si>
  <si>
    <t>Phase Zero Dark Trooper armor</t>
  </si>
  <si>
    <t>Radtrooper armor</t>
  </si>
  <si>
    <t>Royal Guard armor</t>
  </si>
  <si>
    <t>Shadow Guard armor</t>
  </si>
  <si>
    <t>Blast jacket</t>
  </si>
  <si>
    <t>blast jackets</t>
  </si>
  <si>
    <t>blast jacket</t>
  </si>
  <si>
    <t>Krath armor</t>
  </si>
  <si>
    <t>Krath battle armor</t>
  </si>
  <si>
    <t>Sith battle suit</t>
  </si>
  <si>
    <t>Imperial Knight armor</t>
  </si>
  <si>
    <t>Knighthunter armor</t>
  </si>
  <si>
    <t>Galactic Alliance armor variant</t>
  </si>
  <si>
    <t>Galactic Alliance armor</t>
  </si>
  <si>
    <t>variant Galactic Alliance armor</t>
  </si>
  <si>
    <t>Add personal DR against lightsabers</t>
  </si>
  <si>
    <t>+5 Will Defense against Use the Force checks</t>
  </si>
  <si>
    <t>Venom assault armor</t>
  </si>
  <si>
    <t>Activate jump jets as swift action to move normally in zero-g</t>
  </si>
  <si>
    <t>Venom assualt armor</t>
  </si>
  <si>
    <t>Biotech</t>
  </si>
  <si>
    <t>Requires Treat Injury to repair</t>
  </si>
  <si>
    <t>Commando armor</t>
  </si>
  <si>
    <t>,TotG</t>
  </si>
  <si>
    <t>commando armor</t>
  </si>
  <si>
    <t>SpecForce armor</t>
  </si>
  <si>
    <t>Skakoan light pressure suit</t>
  </si>
  <si>
    <t>Skakoan medium pressure suit</t>
  </si>
  <si>
    <t>Skakoan heavy pressure suit</t>
  </si>
  <si>
    <t>,Web,</t>
  </si>
  <si>
    <t>-- Light armor --</t>
  </si>
  <si>
    <t>-- Medium armor --</t>
  </si>
  <si>
    <t>-- Heavy armor --</t>
  </si>
  <si>
    <t>Some races having wrong species traits</t>
  </si>
  <si>
    <t>Added armor mentioned in stat blocks</t>
  </si>
  <si>
    <t>Starship Maneuvres</t>
  </si>
  <si>
    <t>Age modifiers</t>
  </si>
  <si>
    <t>Dark Armor</t>
  </si>
  <si>
    <t>+2 on Persuasion checks to intimidate</t>
  </si>
  <si>
    <t>+2 bonus to Use the Force checks to activate [dark side] powers</t>
  </si>
  <si>
    <t>+2 bonus on Use the Force checks to avoid detection</t>
  </si>
  <si>
    <t>Numerous micro bug fixes</t>
  </si>
  <si>
    <t>New in 0.98</t>
  </si>
  <si>
    <t>The Wizards crew who made Saga Edition happen</t>
  </si>
  <si>
    <t>George Lucas</t>
  </si>
  <si>
    <t>Everyone associated with the Order 66 podcast</t>
  </si>
  <si>
    <t>Everyone on the Gleemax SagaForge Thread for their support and help with bugs/fixes</t>
  </si>
  <si>
    <t>Armor mounts</t>
  </si>
  <si>
    <t>mounted on armor, concealed</t>
  </si>
  <si>
    <t>mounted on armor</t>
  </si>
  <si>
    <t>Fixed bug with grapple not counting dex with weapon finesse</t>
  </si>
  <si>
    <t>Some talents did not show on the Stat Block</t>
  </si>
  <si>
    <t>White Current Adept now counts Use the Force as Stealth</t>
  </si>
  <si>
    <t>New in 0.99</t>
  </si>
  <si>
    <t>Minor bug fixes and tweaks</t>
  </si>
  <si>
    <t>Better support for NPC characters</t>
  </si>
  <si>
    <t>Long-handle lightsaber (d10)</t>
  </si>
  <si>
    <t>Long-handle lightsaber (haft)</t>
  </si>
  <si>
    <t>Lightsaber pike (haft)</t>
  </si>
  <si>
    <t>Increased legacy compatability in 97-2003 versions</t>
  </si>
  <si>
    <t>Integrated equipment</t>
  </si>
  <si>
    <t>Mastercraft items</t>
  </si>
  <si>
    <t>Fixed bug with weapon 1 not showing on the stat block if ranged</t>
  </si>
  <si>
    <t>Fixed bug with Force regimens being cut off on the Stat Block</t>
  </si>
  <si>
    <t>Integrated Equipment</t>
  </si>
  <si>
    <t>Fixed bug with lightsaber crystals requiring weapon focus</t>
  </si>
  <si>
    <t>More minor bug fixes and tweaks</t>
  </si>
  <si>
    <t>Added integrated equipment to armor</t>
  </si>
  <si>
    <t>Added helmet section to armor</t>
  </si>
  <si>
    <t>+10 to Stealth when hiding</t>
  </si>
  <si>
    <t>Wt</t>
  </si>
  <si>
    <t>Ability Bonuses from Armor</t>
  </si>
  <si>
    <t>Agile Armor</t>
  </si>
  <si>
    <t>Fortifying Armor</t>
  </si>
  <si>
    <t>ProtectiveArmor</t>
  </si>
  <si>
    <t>Mobile Armor</t>
  </si>
  <si>
    <t>Reinforced Armor</t>
  </si>
  <si>
    <t>Superior Agile Armor</t>
  </si>
  <si>
    <t>Superior Fortifying Armor</t>
  </si>
  <si>
    <t>Superior Protective Armor</t>
  </si>
  <si>
    <t>+2 equipment bonus to Strength</t>
  </si>
  <si>
    <t>Droid Class Skill Assignment</t>
  </si>
  <si>
    <t>Revamp of Armor and Equipment</t>
  </si>
  <si>
    <t>Tech Specialist/Superior Tech</t>
  </si>
  <si>
    <t>TO ALL DEFENSES,
TO ATTACKS, SKILL, &amp; ABILITY CHECKS</t>
  </si>
  <si>
    <t>+1 to attack; Deals one less die size damage</t>
  </si>
  <si>
    <t>Fixed bugs with Adegan crystals</t>
  </si>
  <si>
    <t>Transliterator</t>
  </si>
  <si>
    <t>transliterator</t>
  </si>
  <si>
    <t>transliterators</t>
  </si>
  <si>
    <t>Ubese voice modulator</t>
  </si>
  <si>
    <t>voice modulator</t>
  </si>
  <si>
    <t>voice modulators</t>
  </si>
  <si>
    <t>Equip 1</t>
  </si>
  <si>
    <t>Equip 2</t>
  </si>
  <si>
    <t>Support for Droid Class skills</t>
  </si>
  <si>
    <t>Fixed NPC hp bug in excel 97-2003 version</t>
  </si>
  <si>
    <t>Destiny bonus to skill from education</t>
  </si>
  <si>
    <t>Competence</t>
  </si>
  <si>
    <t>Increased support for bonuses sheet</t>
  </si>
  <si>
    <t>Heirloom Items</t>
  </si>
  <si>
    <t>New in 1.0</t>
  </si>
  <si>
    <t>CONCEAL</t>
  </si>
  <si>
    <t>Stealth Bonus</t>
  </si>
  <si>
    <t>True Weapon Size</t>
  </si>
  <si>
    <t>Conceal Item</t>
  </si>
  <si>
    <t>Impossible</t>
  </si>
  <si>
    <t>-5 to Perception and Use Computer checks to detect</t>
  </si>
  <si>
    <t>Damage Die Size Bonuses</t>
  </si>
  <si>
    <t>1/encounter as a swift action, return one Force power with the [lightsaber] descriptor back to your Force suite
(Enter number of times taken)</t>
  </si>
  <si>
    <t>You can treat a one-handed lightsaber as a light weapon if you are also wielding a Shoto (short lightsaber), and additionally, if you have the Lightsaber Defense talent you can activate it as a free action instead of a swift</t>
  </si>
  <si>
    <t>SHOTS</t>
  </si>
  <si>
    <t>Gargantuan</t>
  </si>
  <si>
    <t>Colossal</t>
  </si>
  <si>
    <t>g</t>
  </si>
  <si>
    <t>Final Prof</t>
  </si>
  <si>
    <t>Prof from Species</t>
  </si>
  <si>
    <t>Speed Input</t>
  </si>
  <si>
    <t>Special Actions/</t>
  </si>
  <si>
    <t>Defenses/</t>
  </si>
  <si>
    <t>Select Languages</t>
  </si>
  <si>
    <t>Override Name</t>
  </si>
  <si>
    <t>Armor
Penalty</t>
  </si>
  <si>
    <t xml:space="preserve">Skill Training Skills: </t>
  </si>
  <si>
    <t>Support for Exotic Weapon Mastery</t>
  </si>
  <si>
    <t>Support for Skill Training</t>
  </si>
  <si>
    <t>Increased support for NPCs</t>
  </si>
  <si>
    <t>Shots counter on Weapon Cheat Sheet</t>
  </si>
  <si>
    <t>Match Force or Informer</t>
  </si>
  <si>
    <t>Add Sneak Attack to Weapons Cheat Sheet</t>
  </si>
  <si>
    <t>Weapons List</t>
  </si>
  <si>
    <t>Weapon#</t>
  </si>
  <si>
    <t>Column</t>
  </si>
  <si>
    <t>Weapon1Accessories</t>
  </si>
  <si>
    <t>Weapon2Accessories</t>
  </si>
  <si>
    <t>Weapon3Accessories</t>
  </si>
  <si>
    <t>Weapon4Accessories</t>
  </si>
  <si>
    <t>Weapon5Accessories</t>
  </si>
  <si>
    <t>Weapon6Accessories</t>
  </si>
  <si>
    <t>XP</t>
  </si>
  <si>
    <t>Fixed most bugs up to post #350</t>
  </si>
  <si>
    <t>Mostly bug fixes up to post #350</t>
  </si>
  <si>
    <t>New in 1.01</t>
  </si>
  <si>
    <t>When you make a ranged attack against a target that is unaware of you, you get +2 bonus on your attack roll and deal +1 die of damage on the first attack each turn</t>
  </si>
  <si>
    <t>You automatically kill an enemy that you reduce to 0 hit points, and you can perform a coup de grace as a standard action</t>
  </si>
  <si>
    <t>Once per encounter as a standard action, make a Deception check against Will defense of all enemies in line of sight, on a success, they have to spend a swift action in addition to a standard action to attack until the start of your next turn</t>
  </si>
  <si>
    <t>If you fail a Persuasion check to change a target's attitude you can reroll with your Deception</t>
  </si>
  <si>
    <t>Once per encounter as a move action you can seize a held, carried or worn object on an adjacent target by making a Disarm attack with a +10 bonus</t>
  </si>
  <si>
    <t>Speeds</t>
  </si>
  <si>
    <t>Walk</t>
  </si>
  <si>
    <t>Fly</t>
  </si>
  <si>
    <t>Hover</t>
  </si>
  <si>
    <t>Jetpack</t>
  </si>
  <si>
    <t>Jet Pack Speeds</t>
  </si>
  <si>
    <t>Revamped speed outputs</t>
  </si>
  <si>
    <t>Long Stride is now accounted for</t>
  </si>
  <si>
    <t>Dual Wielded With</t>
  </si>
  <si>
    <t>Body Control now works correctly</t>
  </si>
  <si>
    <t>Padawan settings</t>
  </si>
  <si>
    <t>Force Treatment now works correctly</t>
  </si>
  <si>
    <t>Draw</t>
  </si>
  <si>
    <t>Conceal</t>
  </si>
  <si>
    <t>Ammunition</t>
  </si>
  <si>
    <t>Power/Clip</t>
  </si>
  <si>
    <t>Whenever you are target by a fear effect or mind-affecting effect that fails to affect you, you gain a temporary Force Point that lasts to the end of you next turn. If you negate the continget effect in any way, you do not gain the benefit of this feat</t>
  </si>
  <si>
    <t>Tech Specialist, Int 17, Level 9</t>
  </si>
  <si>
    <t>Returning Bug</t>
  </si>
  <si>
    <t>Misc
Bonus</t>
  </si>
  <si>
    <r>
      <t>-</t>
    </r>
    <r>
      <rPr>
        <sz val="14"/>
        <rFont val="Arial"/>
        <family val="2"/>
      </rPr>
      <t xml:space="preserve"> Return spent Force power to suite (reaction)</t>
    </r>
  </si>
  <si>
    <t>Adversary Lore</t>
  </si>
  <si>
    <t>Make a Use the Force check against a target's Will Defense as a standard action give that enemy a -2 Reflex Defense penalty against attacks from all your allies within 12 squares, line of sight, and that understand you</t>
  </si>
  <si>
    <t>JATM 14</t>
  </si>
  <si>
    <t>Know Weakness</t>
  </si>
  <si>
    <t>Whenever you use Adversary Lore, the target also takes an additional 1d6 points of damage from your allies who gain the benefits of the talent</t>
  </si>
  <si>
    <t>Grenade Defense</t>
  </si>
  <si>
    <t>You can use the Move Light Object application of Use the Force as a reaction when you are attacked by a grenade of any kind, but take a -5 penalty to Use the Force check until the start of your next turn</t>
  </si>
  <si>
    <t>Hold the Line</t>
  </si>
  <si>
    <t>When you make a successful attack of opportunity against a moving opponent, you end the target's move action</t>
  </si>
  <si>
    <t>Master of the Great Hunt</t>
  </si>
  <si>
    <t>Gain +1 to attack and deal +1 die of damage against beasts with a dark side score of 1 or more</t>
  </si>
  <si>
    <t>Shoto Focus</t>
  </si>
  <si>
    <t>Whenever you wield a one-handed lightsaber and a shoto or guard shoto, you gain a +2 competence bonus to attacks made with the shoto</t>
  </si>
  <si>
    <t>Added missing JATM talents</t>
  </si>
  <si>
    <t>New in 1.02</t>
  </si>
  <si>
    <t>Most bug fixes through post #390</t>
  </si>
  <si>
    <t>DT Bonus</t>
  </si>
  <si>
    <t>Added support for Squads and Units</t>
  </si>
  <si>
    <t>Additional bug fixes</t>
  </si>
  <si>
    <t>Fixed Starship Manoeuvres not showing up on the stat block</t>
  </si>
  <si>
    <t>Improviser</t>
  </si>
  <si>
    <t>Pathfinder</t>
  </si>
  <si>
    <t>,RECG,</t>
  </si>
  <si>
    <t>pathfinder</t>
  </si>
  <si>
    <t>improviser</t>
  </si>
  <si>
    <t>Contraband</t>
  </si>
  <si>
    <t>Create Cover</t>
  </si>
  <si>
    <t>Bunker Blaster</t>
  </si>
  <si>
    <t>Enhance Cover</t>
  </si>
  <si>
    <t>Escort Fighter</t>
  </si>
  <si>
    <t>Safe Passage</t>
  </si>
  <si>
    <t>Safe Zone</t>
  </si>
  <si>
    <t>Defensive Measures</t>
  </si>
  <si>
    <t>Launch Point</t>
  </si>
  <si>
    <t>Obscuring Defenses</t>
  </si>
  <si>
    <t>Relocate</t>
  </si>
  <si>
    <t>Zone of Recouperation</t>
  </si>
  <si>
    <t>Not Tools Required</t>
  </si>
  <si>
    <t>Merr-Sonn KZZ riot armor</t>
  </si>
  <si>
    <t>Support for Rebellion Era Campaign Guide</t>
  </si>
  <si>
    <t>Assured Attack</t>
  </si>
  <si>
    <t>Reroll the lowest damage die when making a successful attack</t>
  </si>
  <si>
    <t>Deft Charge</t>
  </si>
  <si>
    <t>Take swift actions, reactions, and free actions after you charge before your turn ends.</t>
  </si>
  <si>
    <t>Fast Surge</t>
  </si>
  <si>
    <t>Catch second wind as a free action on your turn.</t>
  </si>
  <si>
    <t>Imperial Military Training</t>
  </si>
  <si>
    <t>Negate one mind-affecting effect per encounter.</t>
  </si>
  <si>
    <t>Moving Target</t>
  </si>
  <si>
    <t>Gain a bonus to Reflex Defense when you remain mobile.</t>
  </si>
  <si>
    <t>Prime Shot</t>
  </si>
  <si>
    <t>Gain a bonus to attack rolls when none of your allies are near the target.</t>
  </si>
  <si>
    <t>Rapid Reaction</t>
  </si>
  <si>
    <t>React twice to the same trigger once per encounter</t>
  </si>
  <si>
    <t>Rebel Military Training</t>
  </si>
  <si>
    <t>Gain a dodge bonus to Reflex Defense when using Running Attack.</t>
  </si>
  <si>
    <t>Recovering Surge</t>
  </si>
  <si>
    <t>Move up the condition track when you catch a second wind.</t>
  </si>
  <si>
    <t>Unstoppable Combatant</t>
  </si>
  <si>
    <t>Catch more than one second wind in an encounter.</t>
  </si>
  <si>
    <t>Vehicular Surge</t>
  </si>
  <si>
    <t>Once per day, gain bonus hit points for a vehicle you pilot.</t>
  </si>
  <si>
    <t>Vitality Surge</t>
  </si>
  <si>
    <t>Catch a second wind even when not at or below half hit points.</t>
  </si>
  <si>
    <t>Impose a penalty to skill checks for mind-affecting effects that target you.</t>
  </si>
  <si>
    <t>Unwavering Focus</t>
  </si>
  <si>
    <t>Instinctive Perception</t>
  </si>
  <si>
    <t>Reduce one defense bonus but increase another.</t>
  </si>
  <si>
    <t>Gain bonus hit points when raging.</t>
  </si>
  <si>
    <t>Wroshyr Rage</t>
  </si>
  <si>
    <t>Gain additional hit points when catching a second wind.</t>
  </si>
  <si>
    <t>Resurgent Vitality</t>
  </si>
  <si>
    <t>Bowcaster Marksman</t>
  </si>
  <si>
    <t>Make Survival checks to resist extreme heat and cold.</t>
  </si>
  <si>
    <t>Survivor of Ryloth</t>
  </si>
  <si>
    <t>Gain extra Force powers when you take the Force training feat.</t>
  </si>
  <si>
    <t>Twi'lek, Force Sensitivity</t>
  </si>
  <si>
    <t>Jedi Heritage</t>
  </si>
  <si>
    <t>Increase the die type when adding to a Deception check.</t>
  </si>
  <si>
    <t>Imperceptible Liar</t>
  </si>
  <si>
    <t>Gain a +2 species bonus to your Fortitude Defense.</t>
  </si>
  <si>
    <t>Thick Skin</t>
  </si>
  <si>
    <t>Regain more hit points (but more slowly) when you catch a second wind.</t>
  </si>
  <si>
    <t>Regenerative Healing</t>
  </si>
  <si>
    <t>Gain bonus hit points whenever you take down a foe.</t>
  </si>
  <si>
    <t>Pitiless Warrior</t>
  </si>
  <si>
    <t>Gain a climb speed of 4 squares.</t>
  </si>
  <si>
    <t>Sure Climber</t>
  </si>
  <si>
    <t>Gain a bonus to skill checks on targets whose attitude you have improved.</t>
  </si>
  <si>
    <t>Disarming Charm</t>
  </si>
  <si>
    <t>Impose a penalty to SteaIth checks made when close to you.</t>
  </si>
  <si>
    <t>Darkness Dweller</t>
  </si>
  <si>
    <t>Increase the die type when adding to a Survival check.</t>
  </si>
  <si>
    <t>Master Tracker</t>
  </si>
  <si>
    <t>Hunter's Instincts</t>
  </si>
  <si>
    <t>Reduce the cost multiplier of items bought on the black market.</t>
  </si>
  <si>
    <t>Fringe Benefits</t>
  </si>
  <si>
    <t>Suppress opponents insight and morale bonuses to Will Defense.</t>
  </si>
  <si>
    <t>Shrewd Bargainer</t>
  </si>
  <si>
    <t>Gain darkvision ant ignore concealment from darkness.</t>
  </si>
  <si>
    <t>Deep Sight</t>
  </si>
  <si>
    <t>Deal damage with sharp claws on unarmed attacks.</t>
  </si>
  <si>
    <t>Clawed Subspecies</t>
  </si>
  <si>
    <t>Increase the die type when adding to a perception check.</t>
  </si>
  <si>
    <t>Sharp Senses</t>
  </si>
  <si>
    <t>Reroute power more quickly and without the risk of failure.</t>
  </si>
  <si>
    <t>Mon Calamari Shipwright</t>
  </si>
  <si>
    <t>Gain a bonus to your swim speed.</t>
  </si>
  <si>
    <t>Fast Swimmer</t>
  </si>
  <si>
    <t>Gain a bonus to Fortitude Defense against atmospheric hazards.</t>
  </si>
  <si>
    <t>Scion of Dorin</t>
  </si>
  <si>
    <t>Detect hidden enemies within 10 squares of you.</t>
  </si>
  <si>
    <t>Read the Winds</t>
  </si>
  <si>
    <t>Gain a bonus to damage rolls against those who harm your allies.</t>
  </si>
  <si>
    <t>Justice Seeker</t>
  </si>
  <si>
    <t>Use your bellow ability without moving down the condition track.</t>
  </si>
  <si>
    <t>Strong Bellow</t>
  </si>
  <si>
    <t>Nature Specialist</t>
  </si>
  <si>
    <t>Deal more damage with your bellow attacks.</t>
  </si>
  <si>
    <t>Devastating Bellow</t>
  </si>
  <si>
    <t>Gain a bonus to Will Defense when using an atlatl or a cesta.</t>
  </si>
  <si>
    <t>Warrior Heritage</t>
  </si>
  <si>
    <t>Reroll Swim checks, always keeping the better result.</t>
  </si>
  <si>
    <t>Perfect Swimmer</t>
  </si>
  <si>
    <t>Increase the die type when adding to attacks with an atlatl or cesta.</t>
  </si>
  <si>
    <t>Gungan Weapon Master</t>
  </si>
  <si>
    <t>Recover quickly after being moved down the condition track by damage.</t>
  </si>
  <si>
    <t>Quick Comeback</t>
  </si>
  <si>
    <t>Deal +1 die of damage with simple melee weapons.</t>
  </si>
  <si>
    <t>Primitive Warrior</t>
  </si>
  <si>
    <t>Gain a bonus to Fortitude Defense when an enemy fails to affect you.</t>
  </si>
  <si>
    <t>Increased Resistance</t>
  </si>
  <si>
    <t>Increase the range of your Scent ability to 20 squares.</t>
  </si>
  <si>
    <t>Keen Scent</t>
  </si>
  <si>
    <t>Forest Stalker</t>
  </si>
  <si>
    <t>Grant a bonus to allies' Fortitude Defenses by foraging.</t>
  </si>
  <si>
    <t>Ample Foraging</t>
  </si>
  <si>
    <t>Gain a bonus to Use Computer checks made to astrogate</t>
  </si>
  <si>
    <t>Veteran Spacer</t>
  </si>
  <si>
    <t>Spacer's Surge</t>
  </si>
  <si>
    <t>Reroll Pilot checks, always keeping the better result.</t>
  </si>
  <si>
    <t>Flawless Pilot</t>
  </si>
  <si>
    <t>Reroll Initiative checks, always keeping the better result.</t>
  </si>
  <si>
    <t>Perfect Intuition</t>
  </si>
  <si>
    <t>Use Wisdom instead of Intelligence for Intelligence-based skill checks.</t>
  </si>
  <si>
    <t>Mind of Reason</t>
  </si>
  <si>
    <t>Enemies must roll twice, keeping the lower result, on mind-affecting effects.</t>
  </si>
  <si>
    <t>Binary Mind</t>
  </si>
  <si>
    <t>After a successful Persuasion check, gain a bonus to future Persuasion checks.</t>
  </si>
  <si>
    <t>Lasting Influence</t>
  </si>
  <si>
    <t>Gain a Force point when you successfully learn secret information.</t>
  </si>
  <si>
    <t>Confident Success</t>
  </si>
  <si>
    <t>Gain a bonus to Will Defense when an enemy fails to overcome your iron will.</t>
  </si>
  <si>
    <t>Bothan Will</t>
  </si>
  <si>
    <t>Guiding Strikes</t>
  </si>
  <si>
    <t>Whenever you spend a Force Point to return a Force power to your suite, you regain two Force powers instead of one</t>
  </si>
  <si>
    <t>Close Maneuvering</t>
  </si>
  <si>
    <t>Immovable</t>
  </si>
  <si>
    <t>You can activate this talent as a swift action. Until the start of your next turn, anyone attempting to move you involuntarily (such as with a bantha rush or the move object Force power) takes a -5 penalty to attack rolls or skill checks made to use the effect that would move you. An enemy can only take the penalty from this talent once per attempt, regardless of How many targets have used this talent</t>
  </si>
  <si>
    <t>Gradual Resistance</t>
  </si>
  <si>
    <t>If you take damage from the use of a Force power, until the end of the encounter you gain a +2 Force bonus to all defenses against that Force power.</t>
  </si>
  <si>
    <t>Reap Retribution</t>
  </si>
  <si>
    <t>If you take damage from the use of a Force power, until the end of the encounter you deal an extra 2 points of damage against the creature that used the Force power against you.</t>
  </si>
  <si>
    <t>Precise Redirect</t>
  </si>
  <si>
    <t>Whenever you successfully redirect a blaster bolt and hit your target, the redirected attack deals + 1 die of damage.</t>
  </si>
  <si>
    <t>Gambling Leader</t>
  </si>
  <si>
    <t>Assault Gambit</t>
  </si>
  <si>
    <t>Face the Foe</t>
  </si>
  <si>
    <t>Direct Fire</t>
  </si>
  <si>
    <t>Lead From the Front</t>
  </si>
  <si>
    <t>Luck Favors the Bold</t>
  </si>
  <si>
    <t>Once per turn, as a standard action, you can designate one ally and one enemy that have line of effect to each other. The ally and the enemy make opposed Initiative checks, and the winner can make a single immediate melee or ranged attack against the loser. No character can benefit from this talent more than once per round.</t>
  </si>
  <si>
    <t>Once per turn, as a swift action, you can designate one ally and one target that does not have cover from you. Until the start of your next tum, the ally you designate ignores that target's cover bonuses to Reflex Defense.
Prerequisite: Assault Gambit.</t>
  </si>
  <si>
    <t>If you do not have cover from a target, you gain a +1 morale bonus to attack rolls against that target.</t>
  </si>
  <si>
    <t>If you do not have cover from a target that you damage with a ranged attack, all your allies gain a +2 morale bonus to attack rolls against that target and a +5 circumstance bonus to opposed Initiative checks against that target until the start of your next turn.
Prerequisite: Face the Foe.</t>
  </si>
  <si>
    <t>If at least one enemy in your line of sight is aware of you and you do not have cover against that enemy, at the start of your tum if you are conscious you gain a number of bonus hit points equal to 5 + one-half your level. Damage is subtracted from bonus hit points first, and any bonus hit points remaining at the end of the encounter are lost. Bonus hit points do not stack.
Prerequisite: Face the Foe.</t>
  </si>
  <si>
    <t>Unwavering Ally</t>
  </si>
  <si>
    <t>Once per turn, as a swift action, you can designate one ally within your line of sight who can hear and understand you. Until the start of your next turn, that ally becomes immune to all effects that render the ally flat-footed or that deny the ally a Dexterity bonus to his or her Reflex Defense.</t>
  </si>
  <si>
    <t>Recklessness</t>
  </si>
  <si>
    <t>Find Openings</t>
  </si>
  <si>
    <t>Hit the Deck</t>
  </si>
  <si>
    <t>Trick Step</t>
  </si>
  <si>
    <t>Lure Closer</t>
  </si>
  <si>
    <t>Risk for Reward</t>
  </si>
  <si>
    <t>Once per turn, when an enemy damages you with an attack of opportunity, you can make a single melee or ranged attack against a target in range as areaction.
Prerequisite: Find Openings.</t>
  </si>
  <si>
    <t>Once per tum, as a move action, you can make a Deception check against the Will Defense of one enemy with in 12 squares and with in your line of sight. If your check result equals or exceeds the target's Will Defense, the target must move a number of squares equal to half its speed, and each square of movement must bring the target doser to you (though the target does avoid hazards and obstades). If the target cannot avoid a hazard (such as a pit), it stops moving in the ne3rest safe square. This move¬ment is considered involuntary and does not provoke attacks of opportunity. This is a mind-affecting effect.
Prerequisite: Trick Step.</t>
  </si>
  <si>
    <t>Whenever you make an area attack, each ally in the area takes no damage if your attack roll fails to overcome his or her Reflex Defense, and takes half damage if the attack hits.</t>
  </si>
  <si>
    <t>Whenever you are missed by an attack, you gain a +2 morale bonus to your next attack roll before the end of your next turn.</t>
  </si>
  <si>
    <t>As a swift action, make an Initiative check, opposed by the Initiative check of an enemy within your line of sight. If your check result equals or exceeds the target's check, the target is considered flat-footed against the next attack you make before the end of your turn.lfthe target's check result is higher, you are considered flat-footed against the next attack made by the target before the start of your next turn.</t>
  </si>
  <si>
    <t>Unpredictable</t>
  </si>
  <si>
    <t>Aggressive Surge</t>
  </si>
  <si>
    <t>Once per encounter when you catch a second wind, you can make a charge attack as a free action, provided that you can make a charge attack against a legal target at the time you catch a second wind.</t>
  </si>
  <si>
    <t>Blast Back</t>
  </si>
  <si>
    <t>Once per round when you are damaged by an enemy's area attack, as a reaction you can make an immediate melee or ranged attack against the source of the area attack, provided that you have line of sight to the attacker and the target is with in your melee or ranged reach.</t>
  </si>
  <si>
    <t>Fade Away</t>
  </si>
  <si>
    <t>Swerve</t>
  </si>
  <si>
    <t>Once per encounter when an enemy makes an attack of opportunity against you, as a reaction you can automatically negate the attack and immediately move up to half your speed. This movement does not provoke attacks of opportunity. If you have the Combat Reflexes feat,  you can use this talent a number of times per encounter equal to your Dexterity bonus (minimum 1). You may still only use this talent once per round.
Prerequisite: Fade Away.</t>
  </si>
  <si>
    <t>Ambusher</t>
  </si>
  <si>
    <t>Ambush Specialist</t>
  </si>
  <si>
    <t>If you are not surprised on the first round of combat in an encounter, you can treat the first round of combat as if it were the surprise round for the purposes of talents and feats that trigger only during the surprise round. Additionally, during the surprise round as a free action you can designate that target as your prime target. You gain a +2 morale bonus to attack rolls against your prime target until the end of the encounter.</t>
  </si>
  <si>
    <t>Destructive Ambusher</t>
  </si>
  <si>
    <t>Keep It Going</t>
  </si>
  <si>
    <t>Perceptive Ambusher</t>
  </si>
  <si>
    <t>Spring the Trap</t>
  </si>
  <si>
    <t>After you designate a prime target, you deal + 1 die of damage on attacks against the prime target until the end of the encounter. 
Prerequisite: Ambush Specialist.</t>
  </si>
  <si>
    <t>If you reduce your prime target to 0 hit points, as a free action you can designate another target within your line of sight as your new prime target. This new target remains your prime target until the end of the encounter.
Prerequisite: Ambush Specialist.</t>
  </si>
  <si>
    <t>nce per tum as a swift action, you can make an Initiative check, opposed by the Initiative check of your prime target. If your check result equals or exceeds your prime target's check result, your target is flat-footed against all attacks you make before the end of your turn.
Prerequisite: Ambush Specialist.</t>
  </si>
  <si>
    <t>You gain a +5 circumstance bonus to Perception
checks against your prime target until the end of the encounter. 
Prerequisite: Ambush Specialist.</t>
  </si>
  <si>
    <t>If you and all your allies roll higher Initiative checks to start combat than do all your opponents, you automatically gain a surprise round, even if the opponents are aware of you when combat begins.</t>
  </si>
  <si>
    <t>Rebel Recruiter</t>
  </si>
  <si>
    <t>Recruit Enemy</t>
  </si>
  <si>
    <t>Once per encounter make a Persuasion check against Will Defense to deal half damage to the target and move it -1 step on the condition track, and the target becomes your ally and friendly. If the target is of a higher level than you it gains a +5 bonus to its Will Defense.</t>
  </si>
  <si>
    <t>Bolstered Numbers</t>
  </si>
  <si>
    <t>Whenever you successfully use Recruit Enemy on a target, you and all allies within line of sight gain a +2 morale bonus to attack rolls until the end of the encounter.
Prerequisite: Recruit Enemy.</t>
  </si>
  <si>
    <t>Whenever you successfully use Recruit Enemy on a target, if that target is reduced to 0 hit points or moved to the bottom of the condition track, as a reaction you can grant yourself and all allies within line of sight a number of bonus hit points equal to 10 + your class level. Damage is subtracted from bonus hit points first, and any bonus hit points remaining at the end of the encounter are lost. Bonus hit points do not stack. No bonus hit points may be granted if you or an ally reduce the target to 0 hit points or move it to the bottom of the condition track.
Prerequisite: Recruit Enemy.</t>
  </si>
  <si>
    <t>Noble Sacrifice</t>
  </si>
  <si>
    <t>lf you successfully use Recruit Enemy on a target and that target can catch a second wind, the target can to so immediately as a reaction.
Prerequisite: Recruit Enemy.</t>
  </si>
  <si>
    <t>You can use your Recruit Enemy talent whenever you or an ally would deal enough damage to kill a target, instead of only when you do.
Prerequisite: Recruit Enemy.</t>
  </si>
  <si>
    <t>Team Recruiting</t>
  </si>
  <si>
    <t>Concentrate All Fire</t>
  </si>
  <si>
    <t>Escort Pilot</t>
  </si>
  <si>
    <t>Lose Pursuit</t>
  </si>
  <si>
    <t>Wingman Retribution</t>
  </si>
  <si>
    <t>When a vehicle of Colossal size or smaller that is piloted by an ally is damaged by an attack, once per round as a reaction you can make a vehicle weapon attack with a -5 penalty against your ally's attacker.
Prerequisite: Escort Pilot.</t>
  </si>
  <si>
    <t>When a vehicle that you are piloting is adjacent to a vehicle of Colossal size or smaller that is piloted by an ally, both vehicles gain a +10 bonus to their damage thresholds.</t>
  </si>
  <si>
    <t>When you use the aid another action to aid an ally's attack roll with a vehicle weapon, if the attack hits, it deals +1 die of damage. Any ally can only benefit from this talent once per attack roll, regardless of how many allies with this talent aid on the attack.</t>
  </si>
  <si>
    <t>Procurement</t>
  </si>
  <si>
    <t>Black Market Buyer</t>
  </si>
  <si>
    <t>When seeking an item from the black market, you do not need to make a Gather Information check to locate a black market merchant; you automatically succeed.</t>
  </si>
  <si>
    <t>You always make sure that your allies have the best gear available. Whenever you purchase weapons, armor, or other equipment (either legally or through the black market), all gear you purchase has 50% more hit points than normal and has 5 more DR than normal. In addition, whenever one of your allies makes a Mechanics check on an object that you purchased, that ally gains a +2 equipment bonus to the check.</t>
  </si>
  <si>
    <t>Excellent Kit</t>
  </si>
  <si>
    <t>Only the Finest</t>
  </si>
  <si>
    <t>Whenever you purchase goods through the black market, you can obtain items that have been modified with the Tech Specialist feat (see page 21 of Starships of the Galaxy) without increasing the base value of the items.
Prerequisite: Black Market Buyer.</t>
  </si>
  <si>
    <t>Just What Is Needed</t>
  </si>
  <si>
    <t>You have a knack for finding the best quality replacement parts for broken equipment. Whenever you use the Repair application of the Mechanics skill, you restore an extra 1d8 hit points with a successful Mechanics check, in addition to what you would normally restore.
If you use the aid another action to assist an ally with repairs, that ally also repairs an extra add hit points with a successful Mechanics check. Any ally can only benefit from this talent once per Mechanics check, regardless of how many allies with this talent aid on the check.</t>
  </si>
  <si>
    <t>Once per day when an ally makes an untrained skill check. as a reaction you can grant that ally a +5 equipment bonus to the check, and the ally is considered trained in that skill for the purpose of using trained-only applications of the skill. You cannot use this talent to allow an ally to make an untrained Use the Force check.</t>
  </si>
  <si>
    <t>Right Gear for the Job</t>
  </si>
  <si>
    <t>Capture Droid</t>
  </si>
  <si>
    <t>Once per encounter, you can use this talent on an adjacent enemy droid that has been reduced to 0 hit points or moved to the bottom of the condition track but not destroyed. As a standard action, make a Mechanics check against the droid's Will Defense. If your result equals or exceeds the droid's Will Defense, the droid moves +2 steps on the condition track, regains 1d8 hit points, and becomes your ally, and its attitude toward you immediately shifts to friendly. The druid fights on your side until the end of the encounter, at which point it is destroyed.</t>
  </si>
  <si>
    <t>You can use the Jury-Rig application of the Mechanics skill as a standard action instead of as a full-round action. Additionally, you are not required to make a skill check to successfully jury-rig a device or vehicle, and the device or vehicle moves +3 steps on the condition track instead of +2.</t>
  </si>
  <si>
    <t>Improved Jury-Rig</t>
  </si>
  <si>
    <t>Improvised Device</t>
  </si>
  <si>
    <t>You can create a temporary piece of almost any type of equipment from the spare parts you have around. To do so, you must make a DC 25 Mechanics check and spend one hour building the device. The object can have a maximum value of 200 credits x your class level. it cannot have an availability of rare or illegal, and it cannot be unique. The device you create must be something that you would reasonably be familiar with, and after 24 hours the object is destroyed. You can use this talent once per day.</t>
  </si>
  <si>
    <t>Whenever you create a grenade with the Improvised Device talent, the grenade deals an additional die of damage when used.
Prerequisite: Improvised Device.</t>
  </si>
  <si>
    <t>Bigger Bang</t>
  </si>
  <si>
    <t>Whenever you create a device with the Improvised Device talent, you can apply one modification granted by the Tech Specialist feat (see page 21 of Starships of the Galaxy) to the device. This customization does not affect the value of the item being created.
Prerequisites: Improvised Device, Tech Specialist feat.</t>
  </si>
  <si>
    <t>Custom Model</t>
  </si>
  <si>
    <t>If you are adjacent to an object that can provide you with cover from a target, you can aim at that target as a move action.</t>
  </si>
  <si>
    <t>Once per turn, you can spend a move action to allow one ally within line of sight to move up to its speed as a reaction. If a target makes an attack of opportunity against the ally during its movement. you can make an attack of opportunity against that target.
Prerequisite: Escort Fighter.</t>
  </si>
  <si>
    <t>You can spend a swift action to designate one adjacent ally. Until the start of your next turn. if you move. that ally can also move the same number of squares, provided that the ally ends its movement adjacent to you. You cannot move a distance greater than the ally's speed.</t>
  </si>
  <si>
    <t>As a standard action, you can identify a safe zone, within which your allies gain certain advantages. You designate a 4-by-4 square area of the combat area as a safe zone; at least 1 square of the safe zone must be the square that you currently occupy. Each ally who starts his or her turn within the safe zone gains a +2 circumstance bonus to his or her Fortitude Defense and Will Defense until the start of the alley's next turn. The safe zone lasts until the end of the encounter, and you can have only one safe zone in effect at a time. You can create a new safe zone as a standard action, dismissing the old safe zone and replacing it with the new one, but no square of the old safe zone can overlap with any square of the new safe zone. You cannot create a safe zone in a space that overlaps another pathfinder's safe zone.</t>
  </si>
  <si>
    <t>Any ally who catches a second wind while within your safe zone regains a number of additional hit points equal to your class level.
Prerequisite: Safe Zone.</t>
  </si>
  <si>
    <t>All enemies treat your safe zone as difficult terrain.
Prerequisite: Safe Zone.</t>
  </si>
  <si>
    <t>Any ally who starts his or her turn within your safe zone and then exits the zone gains a +2 bonus to attack rolls before the end of that ally's turn, provided that the ally is not within your safe zone when the attack is made.
Prerequisite: Safe Zone.</t>
  </si>
  <si>
    <t>Enemies that fire into your safe zone take a -2 penalty to attack rolls.
Prerequisite: Safe Zone.</t>
  </si>
  <si>
    <t>You can dismiss your safe zone as a swift action, ending its current effects. Any allies in the space your safe zone was occupying gain a +2 bonus to their speed until the start of your next turn. When you use this talent, you cannot create a new safe zone until the start of your next turn. 
Prerequisite: Safe Zone.</t>
  </si>
  <si>
    <t>Implemented armor weight based on size</t>
  </si>
  <si>
    <t>Fixed problems with Beskar'gam armor</t>
  </si>
  <si>
    <t>Species Feat</t>
  </si>
  <si>
    <t>Once per tum when you are damaged by an enemy's attack, as a reac¬tion you can move up to half your speed. This movement does not provoke attacks of opportunity.</t>
  </si>
  <si>
    <t>Once per encounter when you miss a target with a single melee or ranged attack, as a free action you can move up to half your speed and make a second attack of the same type against a different target. This movement does not provoke attacks of opportunity. If you have the Combat Reflexes feat, you can use this talent a number of times per encounter equal to your Dexterity bonus (minimum 1). You may still only use this talent once per round.
Prerequisite: Blast Back.</t>
  </si>
  <si>
    <t>Second Strike</t>
  </si>
  <si>
    <t>RE 28</t>
  </si>
  <si>
    <t>RE 29</t>
  </si>
  <si>
    <t>RE 30</t>
  </si>
  <si>
    <t>RE 31</t>
  </si>
  <si>
    <t>RE 33</t>
  </si>
  <si>
    <t>RE 34</t>
  </si>
  <si>
    <t>RE 35</t>
  </si>
  <si>
    <t>RE 36</t>
  </si>
  <si>
    <t>Kilian Ranger</t>
  </si>
  <si>
    <t>Empower Siang Lance</t>
  </si>
  <si>
    <t>Shield Gauntlet Defense</t>
  </si>
  <si>
    <t>Once per turn as a reaction, you can gain a +2 deflection bonus to your Reflex Defense against any one ranged attack. To use this talent, you must be wearing an active shield gauntlet, you must be aware of the attack, and you must not be flat-footed.</t>
  </si>
  <si>
    <t>Once per round as a reaction, you can negate a ranged attack by making a successful Use the Force check. The DC of the skill check is equal to the result of the attack roll you wish to negate. To use this talent, you must be wearing an active shield gauntlet you must be aware of the attack, and you must not be flat-footed. You can spend a Force Point to use this talent to negate a ranged attack against an adjacent character.
You can use Shield Gauntlet Deflect to deflect some of the barrage of shots fired from a ranged weapon set on autofire. If your Use the Force check succeeds. you take half damage if the attack hits and no damage if the attack misses.
Prerequisite: Shield Gauntlet Defense.</t>
  </si>
  <si>
    <t>Shield Gauntlet Deflect</t>
  </si>
  <si>
    <t>Shield Gauntlet Redirect</t>
  </si>
  <si>
    <t>This talent allows you to redirect a deflected blaster bolt along a specific trajectory so that it damages another creature or object in its path. When you successfully deflect a blaster bolt, you can make an immediate ranged attack against another target within 6 squares of you to which you have line of sight. If the attack succeeds, it deals normal weapon damage to the target.
Only single blaster bolts can be redirected in this manner. You cannot use this talent to redirect barrages from autofire weapons and other types of projectiles. To use this talent, you must be wearing an active shield gauntlet, you must be aware of the attack, and you must not be flat-footed.
Prerequisites: Shield Gauntlet Defense, Shield gauntlet Deflect, base attack bonus +5.</t>
  </si>
  <si>
    <t>Siang Lance Mastery</t>
  </si>
  <si>
    <t>You treat a siang lance as a rifle instead of as an exotic weapon. Additionally, you gain a +1 bonus to attack rolls with a siang lance. This talent counts as the Weapon Focus (siang lance) feat for the purpose of satisfying prerequisites. If you also have the Weapon Focus (rifles) feat, the attack bonus provided by this talent does not stack with the attack bonus provided by Weapon Focus (rifles).</t>
  </si>
  <si>
    <t>You can spend a Force Point to empower a siang lance, which takes a full-round action. After the siang lance is empowered, it deals an additional die of damage when you wield it. Others who wield the weapon do not gain the bonus damage die.
Prerequisite: Siang Lance Mastery, base attack bonus +7.</t>
  </si>
  <si>
    <t>RE 37</t>
  </si>
  <si>
    <t>RE 23</t>
  </si>
  <si>
    <t>RE 24</t>
  </si>
  <si>
    <t>RE 25</t>
  </si>
  <si>
    <t>RE 26</t>
  </si>
  <si>
    <t>Run lnterference</t>
  </si>
  <si>
    <t>When a vehicle that you are piloting is adjacent to a vehicle of Colossal size or smaller that is piloted by an ally, both you and your ally gain a +5 circumstance bonus to Pilot checks to avoid being pulled into a dogfight as an attack of opportunity.</t>
  </si>
  <si>
    <t>As a reaction, you can use the Vehicular Combat feat to negate an attack against an adjacent vehicle of Colossal size or smaller that is piloted by an ally. If you can use Vehicular Combat more than once per round. each use to negate an attack counts toward your limit of uses per round.
Prerequisite: Escort Pilot.</t>
  </si>
  <si>
    <t>RE 40</t>
  </si>
  <si>
    <t>RE 41</t>
  </si>
  <si>
    <t>RE 43</t>
  </si>
  <si>
    <t>RE 45</t>
  </si>
  <si>
    <t>Axe</t>
  </si>
  <si>
    <t>axe</t>
  </si>
  <si>
    <t>axes</t>
  </si>
  <si>
    <t>Natural Attack</t>
  </si>
  <si>
    <t>Support for Beasts</t>
  </si>
  <si>
    <t>Climb Speed</t>
  </si>
  <si>
    <t>Fly Speed</t>
  </si>
  <si>
    <t>Swim Speed</t>
  </si>
  <si>
    <t>-- Custom Weapons --</t>
  </si>
  <si>
    <t>Energy lance</t>
  </si>
  <si>
    <t>Power lance</t>
  </si>
  <si>
    <t>Gaderffii</t>
  </si>
  <si>
    <t>Siang lance</t>
  </si>
  <si>
    <t>Merr-Sonn PLX-2M</t>
  </si>
  <si>
    <t>Mini-proton torpedo launcher</t>
  </si>
  <si>
    <t>Blastech 500 riot gun</t>
  </si>
  <si>
    <t>SG-4 blaster rifle</t>
  </si>
  <si>
    <t>SG-4 blaster rifle (underwater)</t>
  </si>
  <si>
    <t>Grenade, gas</t>
  </si>
  <si>
    <t>Grenade, concussion</t>
  </si>
  <si>
    <t>2d8</t>
  </si>
  <si>
    <t>Bludgeoning and Slashing</t>
  </si>
  <si>
    <t>4-square burst radius</t>
  </si>
  <si>
    <t>3-square burst radius, seeking mode</t>
  </si>
  <si>
    <t>Energy lance (plasma bolt)</t>
  </si>
  <si>
    <t>(48)</t>
  </si>
  <si>
    <t>2-square blast radius or single target mode</t>
  </si>
  <si>
    <t>Mini-proton torpedo</t>
  </si>
  <si>
    <t>Harpoon</t>
  </si>
  <si>
    <t>-1 to attack in single shot mode, +2 with autofire</t>
  </si>
  <si>
    <t>Half-range out of water</t>
  </si>
  <si>
    <t>Half-range in water</t>
  </si>
  <si>
    <t>2-square burst radius</t>
  </si>
  <si>
    <t>If trained in Ride, can wield one-handed whilst mounted, otherwise -1 to attack</t>
  </si>
  <si>
    <t>concussion grenade</t>
  </si>
  <si>
    <t>gas grenade</t>
  </si>
  <si>
    <t>-- Other Weapons --</t>
  </si>
  <si>
    <t>-- Exotic Ranged Weapons --</t>
  </si>
  <si>
    <t>-- Simple Ranged Weapons --</t>
  </si>
  <si>
    <t>-- Rifles --</t>
  </si>
  <si>
    <t>-- Pistols --</t>
  </si>
  <si>
    <t>-- Ranged Weapons --</t>
  </si>
  <si>
    <t>-- Heavy --</t>
  </si>
  <si>
    <t>-- Exotic Melee Weapons --</t>
  </si>
  <si>
    <t>-- Improvised Weapons --</t>
  </si>
  <si>
    <t>-- Unarmed and Natural Attacks --</t>
  </si>
  <si>
    <t>-- Simple Melee Weapons --</t>
  </si>
  <si>
    <t>-- Lightsabers --</t>
  </si>
  <si>
    <t>-- Advanced Melee Weapons --</t>
  </si>
  <si>
    <t>-- Melee Weapons --</t>
  </si>
  <si>
    <t>Bite</t>
  </si>
  <si>
    <t>Gore</t>
  </si>
  <si>
    <t>Slam</t>
  </si>
  <si>
    <t>Sting</t>
  </si>
  <si>
    <t>Natural Attack Die Size</t>
  </si>
  <si>
    <t>Natural Attack Die Num</t>
  </si>
  <si>
    <t>Natural Attack Type and Column Number</t>
  </si>
  <si>
    <t>Strength Bonus</t>
  </si>
  <si>
    <t>Dexteriry Bonus</t>
  </si>
  <si>
    <t>Constitution Bonus</t>
  </si>
  <si>
    <t>Wisdom Bonus</t>
  </si>
  <si>
    <t>Charisma Bonus</t>
  </si>
  <si>
    <t>Size Strength and Dex modifiers</t>
  </si>
  <si>
    <t>Size Mod</t>
  </si>
  <si>
    <t>Airborne</t>
  </si>
  <si>
    <t>May reroll initiative checks but must keep second roll</t>
  </si>
  <si>
    <t>Can't drown in water and doesn't need to make Swim checks; low-light vision</t>
  </si>
  <si>
    <t>May reroll Survival checks to resist extreme cold, keep the better result</t>
  </si>
  <si>
    <t>May reroll Survival checks to resist extreme heat, keep the better result</t>
  </si>
  <si>
    <t>May reroll Perception checks, but must keep the second roll; darkvision</t>
  </si>
  <si>
    <t>Subterranean</t>
  </si>
  <si>
    <t>Aquatic</t>
  </si>
  <si>
    <t>Arctic</t>
  </si>
  <si>
    <t>Desert</t>
  </si>
  <si>
    <t>Species Name</t>
  </si>
  <si>
    <t>Beasts and Custom Species</t>
  </si>
  <si>
    <t>Die #</t>
  </si>
  <si>
    <t>Gain a bonus to damage rolls when you spend a Force point on a bowcaster attack.</t>
  </si>
  <si>
    <t>Swim Speed (6)</t>
  </si>
  <si>
    <t>Can move at 6 squares while swimming</t>
  </si>
  <si>
    <t>Reroll Stealth checks, always keeping the better result.</t>
  </si>
  <si>
    <t>Gain a temporary Force point when you roll a natural 20 on a Pilot check.</t>
  </si>
  <si>
    <t>Reroll Perception checks, always keeping the better result.</t>
  </si>
  <si>
    <t>Stygian-Triprismatic Polymer</t>
  </si>
  <si>
    <t>+2 to Stealth checks to avoid being detected by electronic sensors</t>
  </si>
  <si>
    <t>(None)</t>
  </si>
  <si>
    <t>Gain a temporary Force point when your Perception reroll is lower.</t>
  </si>
  <si>
    <t>Increase the die type when adding to a Knowledge (life sciences) check.</t>
  </si>
  <si>
    <t>Support for Racial Feats</t>
  </si>
  <si>
    <t>Seatrooper armor</t>
  </si>
  <si>
    <t>Maximum depth 10 atmospheres</t>
  </si>
  <si>
    <t>Propulsion Pack</t>
  </si>
  <si>
    <t>seatrooper armor</t>
  </si>
  <si>
    <t>suits of seatrooper armor</t>
  </si>
  <si>
    <t>propulsion pack</t>
  </si>
  <si>
    <t>propulsion packs</t>
  </si>
  <si>
    <t>Zero-g stormtrooper armor</t>
  </si>
  <si>
    <t>zero-g stormtrooper armor</t>
  </si>
  <si>
    <t>Phase II dark trooper armor</t>
  </si>
  <si>
    <t>Phase III dark trooper armor</t>
  </si>
  <si>
    <t>phase II dark trooper armor</t>
  </si>
  <si>
    <t>phase III dark trooper armor</t>
  </si>
  <si>
    <t>Computerized Interface Scope</t>
  </si>
  <si>
    <t>Reduces range by one step when aiming</t>
  </si>
  <si>
    <t>Ambient aural amplifier</t>
  </si>
  <si>
    <t>ambient aural amplifier</t>
  </si>
  <si>
    <t>ambient aural amplifiers</t>
  </si>
  <si>
    <t>New in 1.1</t>
  </si>
  <si>
    <t>Upon scoring a critical hit, make an extra attack against a single target within range
(Enter number of times taken)</t>
  </si>
  <si>
    <t>Psychic Citadel now functions correctly</t>
  </si>
  <si>
    <t>Intelligence Bonus</t>
  </si>
  <si>
    <t>Fixed Armour override bug</t>
  </si>
  <si>
    <t>Made weapons more compatible with natural attacks</t>
  </si>
  <si>
    <t>Overhauled NA and unarmed attacks</t>
  </si>
  <si>
    <t>Fixed droid locomotion and speed bug</t>
  </si>
  <si>
    <t>Addressed movement bugs</t>
  </si>
  <si>
    <t>Addressed beast bugs</t>
  </si>
  <si>
    <t>Reroll any unarmed damage dice that has a "1" as a result</t>
  </si>
  <si>
    <t>Recover all Force powers on a natural 20 on an unarmed attack</t>
  </si>
  <si>
    <t>Make Jump check as a free action when you have reduced an opponent to 0 hp</t>
  </si>
  <si>
    <t>Make two unarmed attacks each against different targets</t>
  </si>
  <si>
    <t>Add Force Point roll to damage and attack if unarmed</t>
  </si>
  <si>
    <t>With successful Throw opponent falls prone in any space you desire up to 3 squares beyond your reach</t>
  </si>
  <si>
    <t>Addressed talent bugs</t>
  </si>
  <si>
    <t>Addressed armor bugs</t>
  </si>
  <si>
    <t>Fixed wrong descriptions for Warden of the Sky talent tree</t>
  </si>
  <si>
    <t>New in 1.11</t>
  </si>
  <si>
    <t>Added support for Force Deception</t>
  </si>
  <si>
    <t>Fixed a number of bugs</t>
  </si>
  <si>
    <t>Fixed Jedi Guardian Talent tree bug</t>
  </si>
  <si>
    <t>Force Sensitivity</t>
  </si>
  <si>
    <t>Custom Species Traits</t>
  </si>
  <si>
    <t>Increased support for the Beast tab</t>
  </si>
  <si>
    <t>To use this tab, the character species must be set to Beast. The species will be named from the "Species Name" input box. Remember, Beast characters should have their Intelligence set to 1 or 2. This sheet can also be used for making custom races, so long as 'Beast' is selected as the species on the Character and Species sheet.</t>
  </si>
  <si>
    <t>Fixed gunslinger trusty sidearm bug</t>
  </si>
  <si>
    <t>Fixed bug with Trusty Sidearm</t>
  </si>
  <si>
    <t>Destinies Fulfilled</t>
  </si>
  <si>
    <t>Added Destiny completed section</t>
  </si>
  <si>
    <t>Nonheroic Starting Feats (not for padawans!)</t>
  </si>
  <si>
    <t>Jedi Master's level (for padawan defenses)</t>
  </si>
  <si>
    <t>New in 1.12</t>
  </si>
  <si>
    <t>Name on Weapon Cheat Sheet</t>
  </si>
  <si>
    <t>Fixed Fluidity talent not affecting Acrobatics</t>
  </si>
  <si>
    <t>Fixed Adversary Lore and Know Weakness not showing up on sheet or stat block</t>
  </si>
  <si>
    <t>Credit, Force Point and Destiny Point tracker</t>
  </si>
  <si>
    <t>Dodonna</t>
  </si>
  <si>
    <t>Askar (clan)</t>
  </si>
  <si>
    <t>Ilya (clan)</t>
  </si>
  <si>
    <t>Try'lis</t>
  </si>
  <si>
    <t>Gakfedd (clan)</t>
  </si>
  <si>
    <t>Klagg (clan)</t>
  </si>
  <si>
    <t>Rogak (clan)</t>
  </si>
  <si>
    <t>Bomu (clan)</t>
  </si>
  <si>
    <t>Chattza (clan)</t>
  </si>
  <si>
    <t>Tetsu (clan)</t>
  </si>
  <si>
    <t>Chekkoo (clan)</t>
  </si>
  <si>
    <t>Doneeta (clan)</t>
  </si>
  <si>
    <t>-bacca (suffix)</t>
  </si>
  <si>
    <t>Fixed missing Legacy Destines</t>
  </si>
  <si>
    <t>Fixed NonHeroic Feats not working correctly with Skill Focus and Skill Training</t>
  </si>
  <si>
    <t>Fixed Beast species functions being on the Bith entry</t>
  </si>
  <si>
    <t>Fixed Indepedent Droid not turning up until 8th level</t>
  </si>
  <si>
    <t>Bantha Herder</t>
  </si>
  <si>
    <t>Proficient with weapon used, base attack bonus +1</t>
  </si>
  <si>
    <t>Move a target damaged by your ranged attack.</t>
  </si>
  <si>
    <t>GAW 22</t>
  </si>
  <si>
    <t>Battering Attack</t>
  </si>
  <si>
    <t>Bantha Rush, Trip</t>
  </si>
  <si>
    <t>Knock a target prone when you use Bantha Rush.</t>
  </si>
  <si>
    <t>Destructive Force</t>
  </si>
  <si>
    <t>-</t>
  </si>
  <si>
    <t>Deal damage to adjacent targets when you damage objects and vehicles.</t>
  </si>
  <si>
    <t>Disabler</t>
  </si>
  <si>
    <t>Gain benefits when using certain ion weapons.</t>
  </si>
  <si>
    <t>Dive for Cover</t>
  </si>
  <si>
    <t>Trained in Jump</t>
  </si>
  <si>
    <t>Jump for cover is a reaction.</t>
  </si>
  <si>
    <t>Fight Through Pain</t>
  </si>
  <si>
    <t>Use your Will Defense to determine your damage threshold.</t>
  </si>
  <si>
    <t>Force of Personality</t>
  </si>
  <si>
    <t>Charisma 13</t>
  </si>
  <si>
    <t>Use Wisdom or Charisma to determine Will Defense.</t>
  </si>
  <si>
    <t>Forceful Blast</t>
  </si>
  <si>
    <t>Move a target damaged by your grenade attack.</t>
  </si>
  <si>
    <t>Fortifying Recovery</t>
  </si>
  <si>
    <t>Constitution 13</t>
  </si>
  <si>
    <t>Gain bonus hit points when you recover.</t>
  </si>
  <si>
    <t>Never Surrender</t>
  </si>
  <si>
    <t>Make an Endurance check to prevent falling to 0 hit points.</t>
  </si>
  <si>
    <t>Officer Candidacy Training</t>
  </si>
  <si>
    <t>Gain a bonus to your Rank and Privilege Score.</t>
  </si>
  <si>
    <t>Opportunistic Shooter</t>
  </si>
  <si>
    <t>Gain a bonus to attacks of opportunity with ranged weapons.</t>
  </si>
  <si>
    <t>Gain benefits when using certain pistols.</t>
  </si>
  <si>
    <t>Predictive Defense</t>
  </si>
  <si>
    <t>Intelligence 13</t>
  </si>
  <si>
    <t>Use Dexterity or Intelligence to determine Reflex Defense.</t>
  </si>
  <si>
    <t>Resilient Strength</t>
  </si>
  <si>
    <t>Strength 13</t>
  </si>
  <si>
    <t>Use Strength or Constitution to determine Fortitude Defence.</t>
  </si>
  <si>
    <t>Riflemaster</t>
  </si>
  <si>
    <t>Gain benefits when using certain rifles.</t>
  </si>
  <si>
    <t>Risk Taker</t>
  </si>
  <si>
    <t>Trained in Climb or Jump</t>
  </si>
  <si>
    <t>Improve your chances of success with Climb or Jump checks.</t>
  </si>
  <si>
    <t>Sport Hunter</t>
  </si>
  <si>
    <t>Gain benefits with certain slugthrowers and sporting weapons.</t>
  </si>
  <si>
    <t>Staggering Attack (GAW)</t>
  </si>
  <si>
    <t>Steadying Position</t>
  </si>
  <si>
    <t>Deny target's Dexterity bonus to Reflex Defense when you are prone and aiming.</t>
  </si>
  <si>
    <t>Mission Specialist (Acrobatics)</t>
  </si>
  <si>
    <t>Grant bonus to allies' untrained skill checks with Acrobatics.</t>
  </si>
  <si>
    <t>Mission Specialist (Climb)</t>
  </si>
  <si>
    <t>Grant bonus to allies' untrained skill checks with Climb.</t>
  </si>
  <si>
    <t>Mission Specialist (Deception)</t>
  </si>
  <si>
    <t>Grant bonus to allies' untrained skill checks with Deception.</t>
  </si>
  <si>
    <t>Mission Specialist (Endurance)</t>
  </si>
  <si>
    <t>Grant bonus to allies' untrained skill checks with Endurance.</t>
  </si>
  <si>
    <t>Mission Specialist (Gather Information)</t>
  </si>
  <si>
    <t>Grant bonus to allies' untrained skill checks with Gather Information.</t>
  </si>
  <si>
    <t>Mission Specialist (Initiative)</t>
  </si>
  <si>
    <t>Grant bonus to allies' untrained skill checks with Initiative.</t>
  </si>
  <si>
    <t>Mission Specialist (Jump)</t>
  </si>
  <si>
    <t>Grant bonus to allies' untrained skill checks with Jump.</t>
  </si>
  <si>
    <t>Mission Specialist (Knowledge (Bureaucracy))</t>
  </si>
  <si>
    <t>Grant bonus to allies' untrained skill checks with Knowledge (Bureaucracy).</t>
  </si>
  <si>
    <t>Mission Specialist (Knowledge (Galactic Lore))</t>
  </si>
  <si>
    <t>Grant bonus to allies' untrained skill checks with Knowledge (Galactic Lore).</t>
  </si>
  <si>
    <t>Mission Specialist (Knowledge (Life Sciences))</t>
  </si>
  <si>
    <t>Grant bonus to allies' untrained skill checks with Knowledge (Life Sciences).</t>
  </si>
  <si>
    <t>Mission Specialist (Knowledge (Physical Sciences))</t>
  </si>
  <si>
    <t>Grant bonus to allies' untrained skill checks with Knowledge (Physical Sciences).</t>
  </si>
  <si>
    <t>Mission Specialist (Knowledge (Social Sciences))</t>
  </si>
  <si>
    <t>Grant bonus to allies' untrained skill checks with Knowledge (Social Sciences).</t>
  </si>
  <si>
    <t>Mission Specialist (Knowledge (Tactics))</t>
  </si>
  <si>
    <t>Grant bonus to allies' untrained skill checks with Knowledge (Tactics).</t>
  </si>
  <si>
    <t>Mission Specialist (Knowledge (Technology))</t>
  </si>
  <si>
    <t>Grant bonus to allies' untrained skill checks with Knowledge (Technology).</t>
  </si>
  <si>
    <t>Mission Specialist (Mechanics)</t>
  </si>
  <si>
    <t>Grant bonus to allies' untrained skill checks with Mechanics.</t>
  </si>
  <si>
    <t>Mission Specialist (Perception)</t>
  </si>
  <si>
    <t>Grant bonus to allies' untrained skill checks with Perception.</t>
  </si>
  <si>
    <t>Mission Specialist (Persuasion)</t>
  </si>
  <si>
    <t>Grant bonus to allies' untrained skill checks with Persuasion.</t>
  </si>
  <si>
    <t>Mission Specialist (Pilot)</t>
  </si>
  <si>
    <t>Grant bonus to allies' untrained skill checks with Pilot.</t>
  </si>
  <si>
    <t>Mission Specialist (Ride)</t>
  </si>
  <si>
    <t>Grant bonus to allies' untrained skill checks with Ride.</t>
  </si>
  <si>
    <t>Mission Specialist (Stealth)</t>
  </si>
  <si>
    <t>Grant bonus to allies' untrained skill checks with Stealth.</t>
  </si>
  <si>
    <t>Mission Specialist (Survival)</t>
  </si>
  <si>
    <t>Grant bonus to allies' untrained skill checks with Survival.</t>
  </si>
  <si>
    <t>Mission Specialist (Swim)</t>
  </si>
  <si>
    <t>Grant bonus to allies' untrained skill checks with Swim.</t>
  </si>
  <si>
    <t>Mission Specialist (Treat Injury)</t>
  </si>
  <si>
    <t>Grant bonus to allies' untrained skill checks with Treat Injury.</t>
  </si>
  <si>
    <t>Mission Specialist (Use Computer)</t>
  </si>
  <si>
    <t>Grant bonus to allies' untrained skill checks with Use Computer.</t>
  </si>
  <si>
    <t>Mission Specialist (Use the Force)</t>
  </si>
  <si>
    <t>Grant bonus to allies' untrained skill checks with Use the Force.</t>
  </si>
  <si>
    <t>GAW 23</t>
  </si>
  <si>
    <t>GAW 24</t>
  </si>
  <si>
    <t>GAW 25</t>
  </si>
  <si>
    <t>GAW 26</t>
  </si>
  <si>
    <t>Martial Arts Master</t>
  </si>
  <si>
    <t>,GAW,</t>
  </si>
  <si>
    <t>martial arts master</t>
  </si>
  <si>
    <t>Tough as Durasteel</t>
  </si>
  <si>
    <t>Martial Arts Forms</t>
  </si>
  <si>
    <t>Echani Expertise</t>
  </si>
  <si>
    <t>When making an unarmed attack, you extend your critical threat range by 1 (for example. 19-20 instead of 20). However, anything other than a natural 20 is not considered an automatic hit; if you roll anything other than a natural 20 and still miss the target, you do not score a critical hit. Prerequisite: Base attack bonus +10.</t>
  </si>
  <si>
    <t>Hijkata Expertise</t>
  </si>
  <si>
    <t>When you damage a creature or droid with an unarmed attack, the target takes a penalty to its next attack roll equal to your Strength bonus.</t>
  </si>
  <si>
    <t>K'tara Expertise</t>
  </si>
  <si>
    <t>Once per turn. when you damage a creature or droid with an unarmed attack, you can make an attack to disarm as a swift action. Also, you do not take the -5 penalty to your attack roll if the target is wielding a weapon with more than one hand.</t>
  </si>
  <si>
    <t>K'thri Expertise</t>
  </si>
  <si>
    <t>Any enemy that begins its turn adjacent to you takes damage equal to your Strength modifier (minimum 1 point) if you are able to make an attack of opportunity against them. You can use this talent while wearing only light armor of no armor.</t>
  </si>
  <si>
    <t>Stava Expertise</t>
  </si>
  <si>
    <t>When you successfully grab an enemy, he or she must make an opposed grapple check to break free of your grab. If you are initiating a grapple, you can reroll your grapple check. However. you must accept the second result, even if it is worse. You can use this talent only while wearing light armor or no armor.</t>
  </si>
  <si>
    <t>Tae-Jitsu Expertise</t>
  </si>
  <si>
    <t>Once per turn, when you damage a creature or droid with an unarmed attack, compare your attack roll to the target's damage threshold. If your attack roll equals or exceeds the target's threshold, the target is moved -1 step on the condition track, regardless the damage result of your attack.</t>
  </si>
  <si>
    <t>Wrruushi Expertise</t>
  </si>
  <si>
    <t>Once per turn, when you damage a creature or droid with an unarmed attack, you can make an attack against the target's Fortitude Defense as a free action. If that attack is successful, the target can take only a single swift action on their next turn. You can use this talent only while wearing light armor or no armor.</t>
  </si>
  <si>
    <t>Unarmed Mastery</t>
  </si>
  <si>
    <t>Flurry of Blows</t>
  </si>
  <si>
    <t>When you make multiple unarmed attacks as a full attack action (see page 154 of the Saga Edition core rulebook), you reduce the penalty to your attack roll by 2. You can take this talent multiple times. Each time you take this talent, you reduce the penalty to your attack rolls by an additional 2.</t>
  </si>
  <si>
    <t>Hardened Strike</t>
  </si>
  <si>
    <t>If you damage with an unarmed attack a creature or droid that has Damage Reduction, you reduce the value of that Damage Reduction by one until the end of the encounter. Cumulative attacks against the same target do not stack.</t>
  </si>
  <si>
    <t>Punishing Strike</t>
  </si>
  <si>
    <t>When you score a critical hit on an unarmed attack, you can make an immediate unarmed attack (in addition to other effects of a critical hit) against a single target within reach. You can use this talent only Once per turn and only while wearing light armor on no armor.</t>
  </si>
  <si>
    <t>GAW 32</t>
  </si>
  <si>
    <t>GAW 33</t>
  </si>
  <si>
    <t>Ferocious Assault</t>
  </si>
  <si>
    <t>Once per encounter. when making an autogiro attack, you can treat the attack as a 6 square cone. Making this attack consumes 20 shots from the weapon's power pack. Prerequisites: Base attack bonus +12, Controlled Burst.</t>
  </si>
  <si>
    <t>GAW 30</t>
  </si>
  <si>
    <t>Fall Back</t>
  </si>
  <si>
    <t>As a move action, you can enable each member of your squad to immediately move two squares. This movement does not provoke an attack of opportunity. Prerequisite: Charisma 13.</t>
  </si>
  <si>
    <t>Form Up</t>
  </si>
  <si>
    <t>As a move action, you give all squad members a +2 morale bonus to their Reflex Defense until the end of your next turn, as long as they are within 6 squares of another squad member. Prerequisites: Charisma 13.</t>
  </si>
  <si>
    <t>Full Advance</t>
  </si>
  <si>
    <t>As a move action, you give all squad membered +2 morale bonus to damage rolls until the end of your next turn. Prerequisite: Charisma 13.</t>
  </si>
  <si>
    <t>Hold Steady</t>
  </si>
  <si>
    <t>Once per encounter, as a standard action. you move all members of your squad +1 step on the condition track. Prerequisite: Charisma 13.</t>
  </si>
  <si>
    <t>Search and Destroy</t>
  </si>
  <si>
    <t>As a move action. you give all squad members a +2 morale bonus to Perception checks until the end of your next turn. Prerequisite: Charisma 13.</t>
  </si>
  <si>
    <t>GAW 31</t>
  </si>
  <si>
    <t>Keep Them Honest</t>
  </si>
  <si>
    <t>When using the aid another action to suppress an enemy (see page 151 of the saga Edition core rulebook), the enemy instead takes a -5 penalty to aII attack rolls until the end of your next turn. Prerequisite: Careful Shot feat.</t>
  </si>
  <si>
    <t>Sharpshooter Talent Tree</t>
  </si>
  <si>
    <t>Precision Shot</t>
  </si>
  <si>
    <t>When using the aim action, you gain the benefit of the Point Blank Shot feat against your target, regardless of range category. Prerequisite: Far Shot feat.</t>
  </si>
  <si>
    <t>Draw a Bead</t>
  </si>
  <si>
    <t>Once per round, you can spend a single swift action to designate a single enemy who is not within point-blank range. When you make a successful ranged attack roll that deals damage against the designated enemy, add your Dexterity bonus (minimum +1) to the damage roll. This effect lasts until the target is unconscious, dead, or leaves your line of sight. You can have only one enemy designated in this manner. Prerequisites: Precision Shot. base attack bonus +10.</t>
  </si>
  <si>
    <t>Bullseye</t>
  </si>
  <si>
    <t>Once per encounter. you can designate a single target that you have aimed at and that is not within point-blank range. When making a ranged attack roll against that target, the target is denied its Dexterity bonus to Reflex Defense when determining the effect of your attack. Prerequisites: Draw a Bead, Precision Shot, Sniper feat.</t>
  </si>
  <si>
    <t>Pinning Shot</t>
  </si>
  <si>
    <t>You can keep your target worrying about where the next shot is coming from instead of trying to flee. When you deal damage to an enemy that you have aimed at, the target's speed is reduced to 2 squares, and the target cannot take either a double move action or use the run action until the end of your next turn. This is a stunning effect. Prerequisite: Precision Shot.</t>
  </si>
  <si>
    <t>Harrying Shot</t>
  </si>
  <si>
    <t>When you make a successful ranged attack against an enemy that you have aimed at and the attack deals damage, the target cannot use a standard action to make an attack roll on his or her next turn. This counts as a stunning effect. Prerequisites: Pinning Shot, Precision Shot.</t>
  </si>
  <si>
    <t>Cover Escape</t>
  </si>
  <si>
    <t>When you successfully spend a Force Point to negate a melee attack against an adjacent ally with the Block or Deflect talents, that ally can move up to 2 squares as a free action. This movement does not provoke an attack of opportunity.</t>
  </si>
  <si>
    <t>GAW 18</t>
  </si>
  <si>
    <t>Prime Targets</t>
  </si>
  <si>
    <t>When you hit a target with a lightsaber attack, if the target has not been attacked since the end of your last turn, you deal +1 die of damage.</t>
  </si>
  <si>
    <t>Anticipation</t>
  </si>
  <si>
    <t>Anticipate Movement</t>
  </si>
  <si>
    <t xml:space="preserve">Once per round, as a reaction to an enemy in your line of sight moving, you can enable one ally within your line of sight to move up to his or her speed as a free action. </t>
  </si>
  <si>
    <t>Forewarn Allies</t>
  </si>
  <si>
    <t>All allies within 12 squares of you gain a +2 insight bonus on attack rolls and damage rolls for attacks of opportunity.</t>
  </si>
  <si>
    <t>Heavy Fire Zone</t>
  </si>
  <si>
    <t>Once per turn, as a swift action, destinate a 3×3 square area within your line of sight. Until the end of your next turn, if a target moves into that area you can enable one ally within your line of sight to make an attack of opportunity against that target. The ally you choose must be armed with a weapon capable of making attacks of opportunity, and this counts toward the ally's normal limitations for attacks of opportunity made in a round. Prerequisite: Forewarn Allies.</t>
  </si>
  <si>
    <t>Get Down</t>
  </si>
  <si>
    <t>As a reaction, when an ally is targeted by a ranged attack, you can enable that ally to drop prone immediately (imposing the normal -2 penalty for a ranged attack against a prone target to the triggered attack roll) as a free action.</t>
  </si>
  <si>
    <t>Summon Aid</t>
  </si>
  <si>
    <t>Once per round, as a reaction, when an enemy moves adjacent to you, you can enable one ally within your line of sight to immediately make a charge attack against the triggering enemy. The ally you choose must be able to charge the enemy from his or her current square under normal charge rules. Prerequisite: Get Down.</t>
  </si>
  <si>
    <t>GAW 19</t>
  </si>
  <si>
    <t>You excel at leading others into battle, issuing quick commands, demonstrating a gift for strategy, decimating your enemies, and impressing your peers. You can use each of the following actions once per encounter as a standard action: 
* Hold the Line: Make a single melee or ranged attack against any target within your range. If your attack hits, all allies within 6 squares of you a gain a +2 morale bonus to their Defense scores until the end of your next turn. 
* Lead the Assault: Make a single melee or ranged attack against any target within your range. If your attack hits. all allies within 6 squares of you and within your line of sight gain a +2 morale bonus to their attack rolls and damage rolls until the end of your next turn. 
* Turn the Tide: Make a single melee or ranged attack against any target within your range. lf you successfully damage the target, a number of allies equal to your Charisma modifier (minimum 1) can immediately move up to half their speed as a free action. Prerequisites: Born Leader, Tactical Savvy.</t>
  </si>
  <si>
    <t>Tactical Savvy</t>
  </si>
  <si>
    <t>When an ally whom you can see spends a Force point to enhance an attack roll, the ally gains a bonus to the Force point roll equal to your Intelligence modifier. Prerequisite: Born Leader.</t>
  </si>
  <si>
    <t>Brigand Talent Tree</t>
  </si>
  <si>
    <t>Cheap Trick</t>
  </si>
  <si>
    <t>When you make a Deception check to feint (see page 66 of the Saga Edition core Rulebook) against an enemy within 6 squares of you, you can roll twice, keeping the better of the two results. Prerequisite: Trained in Deception.</t>
  </si>
  <si>
    <t>Easy Prey</t>
  </si>
  <si>
    <t>When you make an attack as a standard action and successfully hit an enemy, you can choose to reduce the damage you deal by half. That target is then denied its Dexterity bonus to Reflex Defense against your attacks until the end of your next turn. Prerequisite: Cheap Trick.</t>
  </si>
  <si>
    <t>Sly Combatant</t>
  </si>
  <si>
    <t>You quickly move about the battlefield, taking advantage of the chaos of battle to gain advantage. You can use each of the following actions once per encounter as a standard action: 
* Distracting Injury: Make a single melee or ranged attack against any enemy within your range. If the attack successfully hits, that enemy takes a -2 penalty to his or her attack rolls and damage rolls until the end of the encounter. 
* Make Them Bleed: Make a single melee or ranged attack against any living creature within your range. If you successfully deal damage as a result of the attack, that enemy gains a persistent condition that can be removed only with a successful DC 25 Treat Injury check to perform surgery. 
* Strength in Numbers: Make a single melee or ranged attack against an enemy who is adjacent to one or more of your allies. lf you successfully hit that enemy, you gain a +2 bonus to damage for each ally that is adjacent to the target. Prerequisites: Cheap Trick, Easy Prey.</t>
  </si>
  <si>
    <t>Quick Strike</t>
  </si>
  <si>
    <t>During the initial round of combat, if will successfully damage an enemy who has not yet acted in the combat. you can make an immediate attack as a free action against a different target within 6 squares of the first target. Prerequisite: Cheap Trick.</t>
  </si>
  <si>
    <t>Backstabber</t>
  </si>
  <si>
    <t>You can take advantage of your adversary's distractions, no matter how momentary or   fleeting. Once per turn, when you flank a target, you can treat him or her as flat-footed for one of your attacks. Prerequisite: Sneak Attack.</t>
  </si>
  <si>
    <t>Improved Sneak Attack</t>
  </si>
  <si>
    <t>You can use the Sneak Attack talent against a target within 12 squares, instead of within 6 squares. Prerequisites: Point Blank Shot feat, Sneak Attack.</t>
  </si>
  <si>
    <t>GAW 20</t>
  </si>
  <si>
    <t>Dig In</t>
  </si>
  <si>
    <t xml:space="preserve">When prone, you can spend a swift action to gain concealment until the start of your next turn. If you stand up or move, you lose this benefit. </t>
  </si>
  <si>
    <t>Ghost Assailant</t>
  </si>
  <si>
    <t>If you start your turn with total concealment or total cover from a target, during that turn you can make a Stealth check as a swift action, opposed by the target's Perception check. If you succeed, the target is considered flat-footed against you until the end of your turn.</t>
  </si>
  <si>
    <t>When you would normally provoke an attack of opportunity by moving out of a threatened space, you can roll a Stealth checks replacing your Reflex Defense with the results or your Stealth check if it is higher.</t>
  </si>
  <si>
    <t>Advance Patrol Talent Tree</t>
  </si>
  <si>
    <t>You know that the key to winning a fight is keeping your enemies from pinning you down. You can use each of the following actions once per encounter: 
* Evasive Assault: As a standard action, make a single melee or ranged attack. If the attack successfully deals damage, you gain a +5 dodge bonus to your Reflex Defense until the end of your next turn. 
* Expeditious Attack: As a standard action, make a jingle melee or fanged attack, then move up to half your speed as a free action. This movement does not provoke an attack of opportunity. 
* Yielding Assault: When you are damaged by an enemy's melee or ranged attack, you can move up to one-half your speed as a reaction. This movement does not provoke an attack of opportunity. On your next turn, you gain a favorable circumstance bonus to your first attack roll against the same enemy that damaged you. 
Prerequisites: Forward Patrol, Watchful Step.</t>
  </si>
  <si>
    <t>Trailblazer</t>
  </si>
  <si>
    <t>During your turn, you can spend a swift action to allow all allies within 6 squares of you and within your line of sight to count the first square of difficult terrain as normal terrain each time they move. Prerequisite: Trained in Survival.</t>
  </si>
  <si>
    <t>Watchful Step</t>
  </si>
  <si>
    <t>You can use your Perception check modifier instead of your Initiative modifier when making Initiative checks. If you are entitled to an Initiative check reroll, you can reroll your Perception check instead (subject to the same circumstances and limitations). You are considered to be trained in Initiative.</t>
  </si>
  <si>
    <t>Forward Patrol</t>
  </si>
  <si>
    <t>At the start of a surprise round in which you are not caught by surprise, you can designate one ally within 6 squares of you as able to retain his or her Dexterity bonus to Reflex Defense during the surprise round. Prerequisite: Watchful Step.</t>
  </si>
  <si>
    <t>GAW 21</t>
  </si>
  <si>
    <t>Defensive Position</t>
  </si>
  <si>
    <t>Whenever you have the benefit of cover (see pages 157-158 of the Saga Edition core Rulebook), you can spend two swift actions to treat it as improved cover until the start of your next turn. Prerequisite: Battle Analysis.</t>
  </si>
  <si>
    <t>Retaliation Jab</t>
  </si>
  <si>
    <t>lf an enemy misses you with a melee attack, as a reaction you can automatically deal damage equal to your Strength modifier (minimum 1 point of damage) to your attacker, if the attacker is within your reach.</t>
  </si>
  <si>
    <t>Defensive Jab</t>
  </si>
  <si>
    <t>When you are unarmed and take the fight defensively action, you can make a single unarmed attack as a free action against an adjacent target. Prerequisite: Retaliation Jab.</t>
  </si>
  <si>
    <t>Nibble dodge</t>
  </si>
  <si>
    <t>lf an enemy misses you with a melee attack, as a reaction you can move up to 2 squares, but you must end your movement adjacent to your attacker.</t>
  </si>
  <si>
    <t>Stinging Jab</t>
  </si>
  <si>
    <t>When you hit a target with an unarmed attack you can choose to deal half damage with your attack. If you do so, your enemy also deals half damage on all melee attacks he or she makes until the end of your next turn.</t>
  </si>
  <si>
    <t>Stunning Shockboxer</t>
  </si>
  <si>
    <t>When you deal stun damage to a target with an unarmed attack, afterthe stun damage is halved, roll one extra die of damage and add that be the damage subtracted from the target's hit points. Prerequisite: Stinging Jab.</t>
  </si>
  <si>
    <t>Shockboxer</t>
  </si>
  <si>
    <t>Battlefield Remedy</t>
  </si>
  <si>
    <t>You have learned a variety of different ways to treat combat injuries in the field. When you succeed en a Treat Injury cheek to administer First Aid, the tended creature also moves +1 step up the condition track. Prerequisite: Trained in Treat Injury.</t>
  </si>
  <si>
    <t>Seen It All</t>
  </si>
  <si>
    <t>You have seen more action in more places than most people know exist and little in the galaxy gets you rattled. Any character using a fear effect on you must roll twice, keeping the lower result on any skill checks and attack rolls. Prerequisites: Tested in Battle, trained in Initiative.</t>
  </si>
  <si>
    <t>Tested in Battle</t>
  </si>
  <si>
    <t>When you catch a second win) (see page 154 of the saga Edition core rulebook), you move +2 steps on the condition track in addition to regaining hit points.</t>
  </si>
  <si>
    <t>Grizzled Warrlor</t>
  </si>
  <si>
    <t>You can draw upon your extensive battlefield experience to entourage your comrades and drive your enemies before you. You can use each (of the following actions once per encounter as a standard action: 
* Defy the Odds: Make a single melee or fanged attack. You immediately gain a number of bonus hit points equal to your Constitution score. 
* Double the Pain: When you use the Aid Another action to provide an ally within 6 squares of you a bonus to his or her attack roll, add one-half your character level to the ally's damage roll if the attack is successful. 
* Guarded Assault: Make a single melee or ranged attack. You gain a +2 damage bonus to your Reflex defense against all attacks until the start of your next turn. 
Prerequisites: Seen it All, Tested in Battle.</t>
  </si>
  <si>
    <t>Reckless</t>
  </si>
  <si>
    <t>You know from first-hand experience that victory goes to those willing to take a chance. You can add your Wisdom bonus (minimum +1) to the damage roll when you make a successful charge attack. 
Prerequisite: Tested in Battle.</t>
  </si>
  <si>
    <t>The following supporters have donated books, making further support of SagaForge possible:</t>
  </si>
  <si>
    <t>Nozzlehead</t>
  </si>
  <si>
    <t>Pakman</t>
  </si>
  <si>
    <t>http://community.wizards.com/pakman</t>
  </si>
  <si>
    <t>Unit</t>
  </si>
  <si>
    <t>Handle</t>
  </si>
  <si>
    <t>Wizards Profile</t>
  </si>
  <si>
    <t>Donation</t>
  </si>
  <si>
    <t>Galaxy At War</t>
  </si>
  <si>
    <t>Scavenger's Guide to Droids</t>
  </si>
  <si>
    <t>http://community.wizards.com/nozzlehead</t>
  </si>
  <si>
    <t>By Ben Mowbray (aka Ultramyth/NotLestat)</t>
  </si>
  <si>
    <t>New in 1.13</t>
  </si>
  <si>
    <t>Veteran</t>
  </si>
  <si>
    <t>When making an Autofire attack, you can brace with a weapon that is not Autofire only.</t>
  </si>
  <si>
    <t>Dexterity 13, Martial Arts I</t>
  </si>
  <si>
    <t>Double Strength bonus to unarmed damage; knock target prone.</t>
  </si>
  <si>
    <t>Hijkata Training</t>
  </si>
  <si>
    <t>Combat Reflexes, Martial Arts I</t>
  </si>
  <si>
    <t>Make counterattack; impose penalties to enemy attacks.</t>
  </si>
  <si>
    <t>K'tara Training</t>
  </si>
  <si>
    <t>Martial Arts I, trained in Stealth</t>
  </si>
  <si>
    <t>Deal extra damage against flat-footed enemy; render target mute.</t>
  </si>
  <si>
    <t>K'thri Training</t>
  </si>
  <si>
    <t>Dual Weapon Mastery I, Martial Arts I</t>
  </si>
  <si>
    <t>Make swift unarmed attacks; deal half damage on misses.</t>
  </si>
  <si>
    <t>Stava Training</t>
  </si>
  <si>
    <t>Martial Arts I, Running Attack</t>
  </si>
  <si>
    <t>Grab and grapple as a larger creature; grab after charging.</t>
  </si>
  <si>
    <t>Tae-Jitsu Training</t>
  </si>
  <si>
    <t>Dodge, Martial Arts I, trained in Initiative</t>
  </si>
  <si>
    <t>Deal more damage on Critical hits; use Dodge against enemies.</t>
  </si>
  <si>
    <t>Teräs Käsi Training</t>
  </si>
  <si>
    <t>Strength 13, Martial Arts I</t>
  </si>
  <si>
    <t>Treat target's damage threshold as lower.</t>
  </si>
  <si>
    <t>Wrruushi Training</t>
  </si>
  <si>
    <t>Constitution 13, Martial Arts I, Wookiee</t>
  </si>
  <si>
    <t>Gain bonus hit points on unarmed attacks; deny target equipment bonus.</t>
  </si>
  <si>
    <t>Aquatic Specialists</t>
  </si>
  <si>
    <t>Trained in Swim</t>
  </si>
  <si>
    <t>Gain bonuses to Swim checks when near allies.</t>
  </si>
  <si>
    <t>Ascension Specialists</t>
  </si>
  <si>
    <t>Trained in Climb</t>
  </si>
  <si>
    <t>Gain bonuses to Climb checks when near allies.</t>
  </si>
  <si>
    <t>Covert Operatives</t>
  </si>
  <si>
    <t>Gain bonuses to Stealth checks when near allies.</t>
  </si>
  <si>
    <t>Medical Team</t>
  </si>
  <si>
    <t>Gain bonuses to Treat Injury checks when near allies.</t>
  </si>
  <si>
    <t>Mounted Regiment</t>
  </si>
  <si>
    <t>Trained in Ride</t>
  </si>
  <si>
    <t>Gain bonuses to Ride checks when near allies.</t>
  </si>
  <si>
    <t>Nimble Team</t>
  </si>
  <si>
    <t>Gain bonuses to Acrobatics checks when near allies.</t>
  </si>
  <si>
    <t>Slicer Team</t>
  </si>
  <si>
    <t>Trained in Use Computer</t>
  </si>
  <si>
    <t>Gain bonuses to Use Computer checks when near allies.</t>
  </si>
  <si>
    <t>Technical Experts</t>
  </si>
  <si>
    <t>Gain bonuses to Mechanics checks when near allies.</t>
  </si>
  <si>
    <t>Tireless Squad</t>
  </si>
  <si>
    <t>Gain bonuses to Endurance checks when near allies.</t>
  </si>
  <si>
    <t>Unhindered Approach</t>
  </si>
  <si>
    <t>Gain bonuses to Jump checks sheen near allies.</t>
  </si>
  <si>
    <t>Unified Squadron</t>
  </si>
  <si>
    <t>Gain bonuses to Pilot checks when near allies.</t>
  </si>
  <si>
    <t>Wary Sentries</t>
  </si>
  <si>
    <t>Gain bonuses to Perception checks when near allies.</t>
  </si>
  <si>
    <t>Wilderness Specialists</t>
  </si>
  <si>
    <t>Trained in Survival</t>
  </si>
  <si>
    <t>Gain bonuses to Survival checks when near allies.</t>
  </si>
  <si>
    <t>Team Feat</t>
  </si>
  <si>
    <t>Martial Arts Feats</t>
  </si>
  <si>
    <t>GAW 27</t>
  </si>
  <si>
    <t>GAW 28</t>
  </si>
  <si>
    <t>GAW 29</t>
  </si>
  <si>
    <t>Barabel microbe armor</t>
  </si>
  <si>
    <t>Stun cloak</t>
  </si>
  <si>
    <t>Marine armor</t>
  </si>
  <si>
    <t>Biohazard suit</t>
  </si>
  <si>
    <t>Camo scout armor</t>
  </si>
  <si>
    <t>Katarn-class commando armor</t>
  </si>
  <si>
    <t>Stalker armor</t>
  </si>
  <si>
    <t>Gain DR 2 against energy and fire</t>
  </si>
  <si>
    <t>Bacta tanks</t>
  </si>
  <si>
    <t>stun cloak</t>
  </si>
  <si>
    <t>marine armor</t>
  </si>
  <si>
    <t>biohazard suit</t>
  </si>
  <si>
    <t>camo scout armor</t>
  </si>
  <si>
    <t>stalker armor</t>
  </si>
  <si>
    <t>Deal 3d8 stun damage in grapple</t>
  </si>
  <si>
    <t>Minor bug fixes</t>
  </si>
  <si>
    <t>GR8-FL-1</t>
  </si>
  <si>
    <t>GR8-FL-2</t>
  </si>
  <si>
    <t>Partial support for Galaxy at War</t>
  </si>
  <si>
    <t>Darkstick</t>
  </si>
  <si>
    <t>if wielding multiple can be considered wielding one for 2d8 dam, if thrown and over Ref Def by 5 returns to hand immediately</t>
  </si>
  <si>
    <t>darkstick</t>
  </si>
  <si>
    <t>darksticks</t>
  </si>
  <si>
    <t>Entrenching tool</t>
  </si>
  <si>
    <t>Slashing or piercing</t>
  </si>
  <si>
    <t>-2 atk</t>
  </si>
  <si>
    <t>entrenching tool</t>
  </si>
  <si>
    <t>entrenching tools</t>
  </si>
  <si>
    <t>Fire blade</t>
  </si>
  <si>
    <t>ignores DR of unattended objects</t>
  </si>
  <si>
    <t>fire blade</t>
  </si>
  <si>
    <t>fire blades</t>
  </si>
  <si>
    <t>Shock stick</t>
  </si>
  <si>
    <t>can be mounted as a bayonet &amp; not necessary to have advanced melee feat</t>
  </si>
  <si>
    <t>shock stick</t>
  </si>
  <si>
    <t>shock sticks</t>
  </si>
  <si>
    <t>Shockboxing gloves</t>
  </si>
  <si>
    <t>Bludgeoning and energy</t>
  </si>
  <si>
    <t>set to stun as swift</t>
  </si>
  <si>
    <t>shockboxing gloves</t>
  </si>
  <si>
    <t>pairs of shockboxing gloves</t>
  </si>
  <si>
    <t>Static pike</t>
  </si>
  <si>
    <t>2d6</t>
  </si>
  <si>
    <t>Energy and piercing</t>
  </si>
  <si>
    <t>can be thrown like a spear</t>
  </si>
  <si>
    <t>static pike</t>
  </si>
  <si>
    <t>static pikes</t>
  </si>
  <si>
    <t>Vibrolance</t>
  </si>
  <si>
    <t>cannot be thrown</t>
  </si>
  <si>
    <t>vibrolance</t>
  </si>
  <si>
    <t>vibrolances</t>
  </si>
  <si>
    <t>Ascension gun</t>
  </si>
  <si>
    <t>swif to switch modes, spd 12 sq up as vertical tether or zipline, lift 720 kg, in ascension mode range is 30sq, -5 Stealth to conceal, 2 uses of synthrope</t>
  </si>
  <si>
    <t>ascension gun</t>
  </si>
  <si>
    <t>ascension guns</t>
  </si>
  <si>
    <t>Blaster cannon, rotary</t>
  </si>
  <si>
    <t>can target a 2x4 area, if not braced additional -5 atk with normal penalties</t>
  </si>
  <si>
    <t>rotary blaster cannon</t>
  </si>
  <si>
    <t>rotary blaster cannons</t>
  </si>
  <si>
    <t>Blaster pistol, sidearm</t>
  </si>
  <si>
    <t>must reset trigger as swif if use Rapid Shot</t>
  </si>
  <si>
    <t>sidearm blaster pistol</t>
  </si>
  <si>
    <t>sidearm blaster pistols</t>
  </si>
  <si>
    <t>Blaster rifle, heavy variable</t>
  </si>
  <si>
    <t>3d8 dam x10 shots, 3d10 dam x 20 shots, swif to switch modes, spd 12 sq up as vertical tether or zipline, lift 720 kg, in ascension mode range is 30sq, -5 Stealth to conceal, 2 uses of synthrope</t>
  </si>
  <si>
    <t>heavy variable blaster rifle</t>
  </si>
  <si>
    <t>heavy variable blaster rifles</t>
  </si>
  <si>
    <t>Blaster rifle, variable</t>
  </si>
  <si>
    <t>3d4</t>
  </si>
  <si>
    <t>3d6 dam x5 shots, 3d8 dam x10 shots</t>
  </si>
  <si>
    <t>variable blaster rifle</t>
  </si>
  <si>
    <t>variable blaster rifles</t>
  </si>
  <si>
    <t>Crossbow, repeating</t>
  </si>
  <si>
    <t>repeating crossbow</t>
  </si>
  <si>
    <t>repeating crossbows</t>
  </si>
  <si>
    <t>Flame Cannon</t>
  </si>
  <si>
    <t>cone 12sq long x 8sq wide, half dam on miss, full-round to reload, tanks weigh 20kg</t>
  </si>
  <si>
    <t>flame cannon</t>
  </si>
  <si>
    <t>flame cannons</t>
  </si>
  <si>
    <t>Grenade, radiation</t>
  </si>
  <si>
    <t>atk v. Fort Def, half dam on miss &amp; effects of Moderate exposure to radiation (CR 255-256)</t>
  </si>
  <si>
    <t>radiation grenade</t>
  </si>
  <si>
    <t>radiation grenades</t>
  </si>
  <si>
    <t>Grenade, smoke</t>
  </si>
  <si>
    <t>provides concealment &amp; creates a smoke hazard for 10 rounds (CR 256)</t>
  </si>
  <si>
    <t>smoke grenade</t>
  </si>
  <si>
    <t>smoke grenades</t>
  </si>
  <si>
    <t>switch weapon types as stan</t>
  </si>
  <si>
    <t>interchangeable weapom system</t>
  </si>
  <si>
    <t>interchangeable weapom systems</t>
  </si>
  <si>
    <t>Interchangeable Weapon System, Anti-armor</t>
  </si>
  <si>
    <t>grenade launcher w/3-sq burst &amp; treat as Heavy weapon</t>
  </si>
  <si>
    <t>anti-armor interchangeable weapon system</t>
  </si>
  <si>
    <t>anti-armor interchangeable weapon systems</t>
  </si>
  <si>
    <t>Interchangeable Weapon System, Sniper</t>
  </si>
  <si>
    <t>includes targeting scope, -2 at unmodified PB</t>
  </si>
  <si>
    <t>sniper interchangeable weapon system</t>
  </si>
  <si>
    <t>sniper interchangeable weapon systems</t>
  </si>
  <si>
    <t>Mortar launcher</t>
  </si>
  <si>
    <t>Arc, cannot be used at PB, treat weapon as being 20sq in air for LOS &amp; cover, shells identical to grenades</t>
  </si>
  <si>
    <t>mortar launcher</t>
  </si>
  <si>
    <t>mortar launchers</t>
  </si>
  <si>
    <t>Scatter gun</t>
  </si>
  <si>
    <t>3d8 dam PB, 2d8 Short, none @ M or L range, shells weigh 0.1kg</t>
  </si>
  <si>
    <t>scatter gun</t>
  </si>
  <si>
    <t>scatter guns</t>
  </si>
  <si>
    <t>Tactical tractor beam</t>
  </si>
  <si>
    <t>if on tripod treat as one size smaller, can only affect Huge or smaller, can move 10sq or hurl 10sq (target takes dam = size of hurled object CR 254), 2nd crewmember stan to regulate power or -2 atk</t>
  </si>
  <si>
    <t>tactical tractor beam</t>
  </si>
  <si>
    <t>tactical tractor beams</t>
  </si>
  <si>
    <t>Targeting laser</t>
  </si>
  <si>
    <t>atk roll ignores target's armor bonus to Ref Def, allies gain +2 atk with missile or grenade launcher or vehicle weapon</t>
  </si>
  <si>
    <t>targeting laser</t>
  </si>
  <si>
    <t>targeting lasers</t>
  </si>
  <si>
    <t>Force Intuition not showing up on character sheet</t>
  </si>
  <si>
    <t>Multiple instances of Skill Focus/Training for nonheroics not turning up</t>
  </si>
  <si>
    <t>Burrow</t>
  </si>
  <si>
    <t>Underwater</t>
  </si>
  <si>
    <t>Duravlex shell</t>
  </si>
  <si>
    <t>duravlex shell</t>
  </si>
  <si>
    <t>Laminanium plating</t>
  </si>
  <si>
    <t>laminanium plating</t>
  </si>
  <si>
    <t>Crystadurium plating</t>
  </si>
  <si>
    <t>crystadurium plating</t>
  </si>
  <si>
    <t>heavy laminanium plating</t>
  </si>
  <si>
    <t>Cyborg Hybrid</t>
  </si>
  <si>
    <t>Stock Droid Chassis</t>
  </si>
  <si>
    <t>- Light  Droid Armor -</t>
  </si>
  <si>
    <t>- Medium Droid Armor -</t>
  </si>
  <si>
    <t>- Heavy Droid Armor -</t>
  </si>
  <si>
    <t>+5 bounus to one class skill</t>
  </si>
  <si>
    <t>Special Name</t>
  </si>
  <si>
    <t>Tags</t>
  </si>
  <si>
    <t>Desc</t>
  </si>
  <si>
    <t>Time, etc</t>
  </si>
  <si>
    <t>standard</t>
  </si>
  <si>
    <t>Enter medative state, lose Dex bonus to Reflex; emerge as swift and treat next attack roll or Use the Force check in following round as natural 20</t>
  </si>
  <si>
    <t>Officer/Crime Lord</t>
  </si>
  <si>
    <t>standard; daily</t>
  </si>
  <si>
    <t>reaction; encounter</t>
  </si>
  <si>
    <t>Choose to delay effect of attack, ability, or effect used against you; damage or effect does not take hold until the end of next turn</t>
  </si>
  <si>
    <t>full-action; at-will</t>
  </si>
  <si>
    <t>standard; at-will</t>
  </si>
  <si>
    <t>Force, Secret</t>
  </si>
  <si>
    <t>Spend a Force Point to link a Force power to the power you use in the current round so that it goes off in the following round as free action</t>
  </si>
  <si>
    <t>full-action; FP</t>
  </si>
  <si>
    <t>Ignore all condition track penalties to Use the Force check to activate self-target powers</t>
  </si>
  <si>
    <t>free action; FP</t>
  </si>
  <si>
    <t>Spend a Force Point to increase power's damage dice by 50%; spend Destiny Point to double damage dice</t>
  </si>
  <si>
    <t>free action; FP/DP</t>
  </si>
  <si>
    <t>Spend a Force Point to multiply range of Force power by 10; spend Destiny Point to increase the range to anywhere in same star system</t>
  </si>
  <si>
    <t>Spend Force Point to activate Force power as swift; spend Destiny Point to activate as reaction</t>
  </si>
  <si>
    <t>Spend Force Point to change cone to affect a line 1 square wide and (5 × cone's length) squares long; spend a Destiny Point to instead affect one or more targets of choice within a number of squares equal to cone's length</t>
  </si>
  <si>
    <t>free action; FP/DP; successfully damage target with Force power</t>
  </si>
  <si>
    <t>Spend Force Point to move the target -1 extra step along the condition track if Use the Force equals or exceeds Damage Threshold; spend Destiny Point to move -3 extra steps</t>
  </si>
  <si>
    <t>free action; FP/DP; area effect Force power</t>
  </si>
  <si>
    <t>Spend a  Force Point to  double distance of effect; spend Destiny Point to multiply the distance the effect extends by 5</t>
  </si>
  <si>
    <t>free action; FP/DP; non [light side] Force power</t>
  </si>
  <si>
    <t>free action; FP/DP; non [dark side] Force power</t>
  </si>
  <si>
    <t>Spend Force Point to give power the [light side] descriptor and opponents with Dark Side Score take -2 penalty to defense scores against power; spend Destiny point to increase the penalty to opponents' defense scores to - 5</t>
  </si>
  <si>
    <t>Spend Force Point to give power the [dark side] descriptor and opponents with lower Dark Side Score take -2 penalty to defense scores against power; spend Destiny point to increase the penalty to opponents' defense scores to - 5</t>
  </si>
  <si>
    <t>Spend a Force Point to have power originate from a square within 6 squares; spend Destiny Point to have power originate from any square with in line of sight</t>
  </si>
  <si>
    <t>free action; FP/DP; Force power with cone, line, or radius effect</t>
  </si>
  <si>
    <t>Spend a Force Point to add one use of any Force power known by any ally within 12 squares to Force suite until end of next turn; spend a Destiny Point to have power lost at end of encounter; create holocron gatekeeper</t>
  </si>
  <si>
    <t>Spend a Force Point to add one use of any Force power known to any ally within 12 squares until end of next turn; spend a Destiny Point to have power lost at end of encounter</t>
  </si>
  <si>
    <t>ProperTag</t>
  </si>
  <si>
    <t>Specials</t>
  </si>
  <si>
    <t>Spend Desiny Point to fully heal the target of all damage and remove all of the target's debilitating conditions</t>
  </si>
  <si>
    <t>Use Vital Transfer with range of 6 squares</t>
  </si>
  <si>
    <t>Force, Technique</t>
  </si>
  <si>
    <t>Automatically recover 1 Force Point per encounter</t>
  </si>
  <si>
    <t>special; DP</t>
  </si>
  <si>
    <t>Take 10 on Use the Force checks to activate chosen Force power even when distracted or threatened</t>
  </si>
  <si>
    <t>special; encounter</t>
  </si>
  <si>
    <t>move</t>
  </si>
  <si>
    <t>Reroll Use the Force check for telepathy and keep the better result</t>
  </si>
  <si>
    <t>move; at-will; DC 15 Use the Force</t>
  </si>
  <si>
    <t>swift; at-will; DC 15 Use the Force</t>
  </si>
  <si>
    <t>free-action; at-will; DC 15/20 Use the Force</t>
  </si>
  <si>
    <t>Maintain cloak power as move action instead of a standard action</t>
  </si>
  <si>
    <t>If moved into a pit or off another elevated surface involuntarily spend a Force Point to activate this Levitate as a reaction to end forced movement in the last square before the edge of the precipice</t>
  </si>
  <si>
    <t>reaction; FP; activate Levitate power</t>
  </si>
  <si>
    <t>Maintain damage threshold penalty of the malacia power as swift action</t>
  </si>
  <si>
    <t>swift; Malacia power</t>
  </si>
  <si>
    <t>FORCE POWER</t>
  </si>
  <si>
    <t>ACT</t>
  </si>
  <si>
    <t>Target</t>
  </si>
  <si>
    <t>Sq.</t>
  </si>
  <si>
    <t>LOS</t>
  </si>
  <si>
    <t>EFFECT</t>
  </si>
  <si>
    <t>Dark/Light</t>
  </si>
  <si>
    <t>Mind-affect.</t>
  </si>
  <si>
    <t>J</t>
  </si>
  <si>
    <t>Y</t>
  </si>
  <si>
    <t>you</t>
  </si>
  <si>
    <t>CR</t>
  </si>
  <si>
    <t>free</t>
  </si>
  <si>
    <t>F</t>
  </si>
  <si>
    <t>D</t>
  </si>
  <si>
    <t>touch</t>
  </si>
  <si>
    <t>K</t>
  </si>
  <si>
    <t>full</t>
  </si>
  <si>
    <t>allies</t>
  </si>
  <si>
    <t>adjacent</t>
  </si>
  <si>
    <t>CR = Core Rules</t>
  </si>
  <si>
    <t>S = Starships of the Galaxy</t>
  </si>
  <si>
    <t>T = Threats of the Galaxy</t>
  </si>
  <si>
    <t>K = Knights of the Old Republic Campaign Guide</t>
  </si>
  <si>
    <t>F = Force Unleashed Campaign Guide</t>
  </si>
  <si>
    <t>SV = Scum &amp; Villainy</t>
  </si>
  <si>
    <t>C = Clone Wars Campaign Guide</t>
  </si>
  <si>
    <t>L = Legacy Era Campaign Guide</t>
  </si>
  <si>
    <t>J = Jedi Academy Training Manual</t>
  </si>
  <si>
    <t>R = Rebellion Era Campaign Guide</t>
  </si>
  <si>
    <t>GW = Galaxy at War</t>
  </si>
  <si>
    <t>SGD = Scavenger's Guide to Droids</t>
  </si>
  <si>
    <t>D# = Dawn of defiance (# equals episode)</t>
  </si>
  <si>
    <t>W = Webpage, requires internet access!</t>
  </si>
  <si>
    <t>FUCG</t>
  </si>
  <si>
    <t>SV</t>
  </si>
  <si>
    <t>CWCG</t>
  </si>
  <si>
    <t>RECG</t>
  </si>
  <si>
    <t>GW</t>
  </si>
  <si>
    <t>SGtD</t>
  </si>
  <si>
    <t>SGD</t>
  </si>
  <si>
    <t>GI</t>
  </si>
  <si>
    <t>GoI</t>
  </si>
  <si>
    <t>GaW</t>
  </si>
  <si>
    <t>KotOR 50</t>
  </si>
  <si>
    <t>KotOR 51</t>
  </si>
  <si>
    <t>FUCG 87</t>
  </si>
  <si>
    <t>swift</t>
  </si>
  <si>
    <t>reaction</t>
  </si>
  <si>
    <t>Descriptors</t>
  </si>
  <si>
    <t>lightsaber form</t>
  </si>
  <si>
    <t>telekinetic</t>
  </si>
  <si>
    <t>dark side</t>
  </si>
  <si>
    <t>light side, mind-affecting</t>
  </si>
  <si>
    <t>light side</t>
  </si>
  <si>
    <t>mind-affecting</t>
  </si>
  <si>
    <t>dark side, mind-affecting</t>
  </si>
  <si>
    <t>dark side, telekinetic</t>
  </si>
  <si>
    <t>Vornskr's Ferocity</t>
  </si>
  <si>
    <t>one living creature within 6 squares</t>
  </si>
  <si>
    <t>Borg construct</t>
  </si>
  <si>
    <t>Comlink, subcutaneous</t>
  </si>
  <si>
    <t>Eye, infrared sensor</t>
  </si>
  <si>
    <t>Eye, telescopic</t>
  </si>
  <si>
    <t>Sensory enhancement</t>
  </si>
  <si>
    <t>Tremor sensor</t>
  </si>
  <si>
    <t>Eye, targeting</t>
  </si>
  <si>
    <t>Rejection</t>
  </si>
  <si>
    <t>Cybernetic Implant</t>
  </si>
  <si>
    <t>Range penalties to Perception every 20 squares instead of 10</t>
  </si>
  <si>
    <t>Skeletal reinforcement</t>
  </si>
  <si>
    <t>+2 bonus to Damage Threshold</t>
  </si>
  <si>
    <t>Surgery</t>
  </si>
  <si>
    <t>Link to computers 10 m, +2 bonus to skills, -5 to Persuasion</t>
  </si>
  <si>
    <t>Send communications soundlessly</t>
  </si>
  <si>
    <t>Properties/Upgrade Slot</t>
  </si>
  <si>
    <t>Reduces penalties to Perception vs. concealment by 2</t>
  </si>
  <si>
    <t>No penalty to Perception vs. concealment if target has moved</t>
  </si>
  <si>
    <t>Calcs</t>
  </si>
  <si>
    <t>DC 20: object takes 4d6 damage
DC 25: object takes 6d6 damage
DC 30: object takes 8d6 damage
DC 35: object takes 10d6 damage
Spend a Force Point to use increase damage by +2d6</t>
  </si>
  <si>
    <t>one creature</t>
  </si>
  <si>
    <t>all targets within a 2×2 area, 12 squares and line of sight</t>
  </si>
  <si>
    <t>one enemy within reach</t>
  </si>
  <si>
    <t>one enemy within reach; attack of opportunity</t>
  </si>
  <si>
    <t>one creature within 12 squares and line of sight</t>
  </si>
  <si>
    <t>DC 15: +5 threshold against damage from Force attack or power
DC 20: bonus increases to +10
DC 25: bonus increases to +15
DC 30: bonus increases to +20
Spend a Force Point to increase bonus to threshold by +5</t>
  </si>
  <si>
    <t>one unattended object within 12 squares and line of sight</t>
  </si>
  <si>
    <t>one living creature touched</t>
  </si>
  <si>
    <t xml:space="preserve">DC 15: if you damage adjacent enemy you can use Use the Force check as a disarm attempt 
DC 20: target only gets +5 to resist disarm
DC 25: target only gets +2 to resist disarm
DC30: target gains no bonus to resist disarm
Spend a Force Point to deal damage  to the weapon equal to damage taken by target if the disarm is successful </t>
  </si>
  <si>
    <t>DC 20: drain energy from Small or smaller weapon or powered object
DC 25: drain energy from Medium or smaller weapon or powered object
DC 30: drain energy from Large or smaller weapon or powered object
DC 35: drain energy from Huge or smaller weapon or powered object
Spend a Force Point to increase the size by one size category (up to Gargantuan)</t>
  </si>
  <si>
    <t>one weapon or powered object within 6 squares and line of sight</t>
  </si>
  <si>
    <t>DC 20: gain DR 5 vs. energy damage
DC 25: gain DR 10 vs. energy
DC 30: gain DR 15 vs. energy
DC 35: gain DR 20 vs. energy
Spend a Force Point to use as a swift action</t>
  </si>
  <si>
    <t>swift/reaction</t>
  </si>
  <si>
    <t>Target may either make one attack, skill, or opposed check , or to replace a defense  with your Use the Force check until the start of your next turn              
Spend Force Point to prolong the effect until end of your next turn</t>
  </si>
  <si>
    <t>one creature you know or have met before</t>
  </si>
  <si>
    <t>Spend a Force Point for a clear image of surrounding 6 squares of target</t>
  </si>
  <si>
    <t>Spend a Force Point to give -2 penalty to all Defenses until your next turn</t>
  </si>
  <si>
    <t>one target within 12 squares and line of sight</t>
  </si>
  <si>
    <t>one living creature within 12 squares and line of sight</t>
  </si>
  <si>
    <t>one held or unattended object within 6 squares and line of sight or one vehicle you occupy</t>
  </si>
  <si>
    <t>any creature with DSP of 1+ that begins its turn within 6 squares</t>
  </si>
  <si>
    <t>one target within 6 squares</t>
  </si>
  <si>
    <t>Spend a Force Point to reduce damage threshold by -10</t>
  </si>
  <si>
    <t>all targets within 12 squares and line of sight</t>
  </si>
  <si>
    <t>all targets within a 6 square cone</t>
  </si>
  <si>
    <t>one designated area within 12 squares and line of sight</t>
  </si>
  <si>
    <t>DC 15: you can track a creature for up to one hour if within line of sight of the trail and the target passed through within the last minute
DC 20: as DC 15 except within last 10 minutes
DC 25: as DC 15 except within last hour
DC 30: as DC 15 except within last day
Spend a Force Point to track two targets</t>
  </si>
  <si>
    <t>one creature or driod within 12 squares and line of sight</t>
  </si>
  <si>
    <t>any creature that starts its turn within 6 squares</t>
  </si>
  <si>
    <t xml:space="preserve">DC 15: until the end of your next turn targets take 1d6 points of Force damage and a - 1 penalty to all defenses
DC 20: as DC 15 except 2d6 damage
DC 25: as DC 15 except 3d6 damage
DC 30: as DC 15 except 4d6 damage
Maintain as swift action
Spend a Force Point for +1d6 damage </t>
  </si>
  <si>
    <t>DC 20: allies gain +2 bonus to Will against mind-affecting and fear effects until the end of your next turn
DC 25: as DC 20 except +5 bonus
DC 30: as DC 20 except +10 bonus
DC 35: as DC 20 except immunity instead of bonus
Maintain as a swift action
Spend a Force Point to grant +2d6 temporary hit points when the power is first activated</t>
  </si>
  <si>
    <t>one incoming ranged attack targeting you</t>
  </si>
  <si>
    <t>one target within 6 squares and line of sight</t>
  </si>
  <si>
    <t>DC 15: can fly 2 squares but only vertical, can move 1 square onto a horizontal surface or fall
DC 20: as DC 15 except fly 4 squares
DC 25: as DC 15 except fly 6 squares
Spend Force Point as a reaction when falling to reduce falling by fly speed</t>
  </si>
  <si>
    <t>you; when targeted by a melee attack</t>
  </si>
  <si>
    <t>all adjacent targets</t>
  </si>
  <si>
    <t>DC 30: as DC 15 except 5d8 damage
Spend a Force Point to deal +2d8 damage</t>
  </si>
  <si>
    <t>one creature with an Intelligence of 3 or higher within 6 squares and line of sight</t>
  </si>
  <si>
    <t>one creature of intelligence 3 or higher within 12 squares and line of sight</t>
  </si>
  <si>
    <t>one living creature you have grabbed or grappled</t>
  </si>
  <si>
    <t>one attack that deals energy damage</t>
  </si>
  <si>
    <t>one enemy within line of sight</t>
  </si>
  <si>
    <t>DC 15: +1 bonus to all Defenses vs. attacks from the target and +1 bonus to attack rolls against the target until the end of your next turn
DC 20: as DC 15 except +2 to all Defences
DC 25: as DC 15 except +3 to all Defences
Spend a Force Point to affect one additional enemy in line of sight</t>
  </si>
  <si>
    <t>one Force power directed at you</t>
  </si>
  <si>
    <t>two enemies within reach</t>
  </si>
  <si>
    <t>one enemy in reach</t>
  </si>
  <si>
    <t>two enemies [primary and secondary] within reach</t>
  </si>
  <si>
    <t>one dark side Force user within 12 squares and line of sight</t>
  </si>
  <si>
    <t>"
DC 35: as DC 30 except the target moves -2 steps down the condition track
Spend a Force Point to double the duration
Spend a Destiny Point to increase to days instead of hours"</t>
  </si>
  <si>
    <t xml:space="preserve">
Spend a Force Point to increase Jump bonus by +10 and movement by +2 squares
Using the surge power counts as a running start for determining a Jump DC
Spend a Destiny Point to gain +4 squares of movement; when you do so, you may also use any and all movement for the round as a part of a jump (no Jump check required)</t>
  </si>
  <si>
    <t>one droid or electronic device touched</t>
  </si>
  <si>
    <t>DC 30: make single lightsaber attack and if you beat target's Reflex by 10 or more, treat as critical
DC 35: as DC 30 but you only have to beat Reflex by 5 or more
DC 40: as DC 30 but you only have to beat Reflex by 2 or more
Spend a Force Point to deal +2 dice of damage after critical</t>
  </si>
  <si>
    <t>all enemies within 2 squares</t>
  </si>
  <si>
    <t>one ally within 12 squares and line of sight</t>
  </si>
  <si>
    <t>DC 20: make a single lightsaber attack, add +1 die damage 
DC 25: make a single lightsaber attack, add +2 die damage 
DC 30: make a single lightsaber attack, add +3 die damage 
DC 35: make a single lightsaber attack, add +4 die damage 
Spend a Force Point to use power at the end of a charge</t>
  </si>
  <si>
    <t>Com scrambler</t>
  </si>
  <si>
    <t>Comlink, tightbeam</t>
  </si>
  <si>
    <t>Targeting beacon</t>
  </si>
  <si>
    <t>Triangulation visor</t>
  </si>
  <si>
    <t>Comunication scanner</t>
  </si>
  <si>
    <t>Proximity flare</t>
  </si>
  <si>
    <t>Radiation detector</t>
  </si>
  <si>
    <t>Anti-rad dose</t>
  </si>
  <si>
    <t>Cryogenic pouch</t>
  </si>
  <si>
    <t>Camoflage netting</t>
  </si>
  <si>
    <t>Camoflage poncho</t>
  </si>
  <si>
    <t>Field food processor</t>
  </si>
  <si>
    <t>Personal field shelter</t>
  </si>
  <si>
    <t>Plasma bridge</t>
  </si>
  <si>
    <t>Vacuum survival pouch</t>
  </si>
  <si>
    <t>Droid diagnostic</t>
  </si>
  <si>
    <t>tightbeam comlink</t>
  </si>
  <si>
    <t>New in 1.14</t>
  </si>
  <si>
    <t>Further support for Galaxy at War</t>
  </si>
  <si>
    <t>Hybrid Cyborgs</t>
  </si>
  <si>
    <t>Behind the scenes work on new stat block</t>
  </si>
  <si>
    <t>Elementary support for SGtD</t>
  </si>
  <si>
    <t>Stun Resistance</t>
  </si>
  <si>
    <t>Lurmen</t>
  </si>
  <si>
    <t>Taung</t>
  </si>
  <si>
    <t>Thakwaash</t>
  </si>
  <si>
    <t>Trianii</t>
  </si>
  <si>
    <t>Yevetha</t>
  </si>
  <si>
    <t>Yuzzem</t>
  </si>
  <si>
    <t>Zygerrian</t>
  </si>
  <si>
    <t>Dashadi</t>
  </si>
  <si>
    <t>Environmental Adaptation</t>
  </si>
  <si>
    <t>Fearsome Reputation</t>
  </si>
  <si>
    <t>Mender</t>
  </si>
  <si>
    <t>Roller</t>
  </si>
  <si>
    <t>Dashade gain a +5 species bonus to their Fortitude Defense against the effect of extreme heat, extreme cold, and radiation</t>
  </si>
  <si>
    <t>Dashade can reroll Persuasion checks made to intimidate another, keeping the better result</t>
  </si>
  <si>
    <t>As a swift action, increase base speed by 4, but can take only move, withdraw, catch a second wind, drop an item, recover, and run actions; swift action to end</t>
  </si>
  <si>
    <t>Lurmese</t>
  </si>
  <si>
    <t>Armor Training</t>
  </si>
  <si>
    <t>Warrior Culture</t>
  </si>
  <si>
    <t>Increase maximum Dexterity bonus to armor worn by 1</t>
  </si>
  <si>
    <t>Knowledge (tactics)</t>
  </si>
  <si>
    <t>Taungs can reroll any Knowledge (tactics) check, but the result of the reroll must be accepted even if it is worse</t>
  </si>
  <si>
    <t>Thakwaashi</t>
  </si>
  <si>
    <t>Multiple Personalities</t>
  </si>
  <si>
    <t>Once per encounter, as a free action at the start of his or her turn, negate or remove any mind-affecting effects</t>
  </si>
  <si>
    <t>Acrobatic Prowess</t>
  </si>
  <si>
    <t>A Trianii can reroll any Acrobatics check, but the result of the reroll must be accepted even if it is worse</t>
  </si>
  <si>
    <t>Yevethan</t>
  </si>
  <si>
    <t>Mechanical Aptitude</t>
  </si>
  <si>
    <t>Xenophobia</t>
  </si>
  <si>
    <t>Yevetha have an intense distrust of all species other than their own, and gain a +2 species bonus to Will Defense against Persuasion checks made to improve the ir attitude by any creature of a different species</t>
  </si>
  <si>
    <t>Once per encounter, a Yevetha can treat any single Mechanics check as if the die roll is a natural 20</t>
  </si>
  <si>
    <t>Yuzz</t>
  </si>
  <si>
    <t>Yuzzem use their Strength modifier instead of their Charisma modifier for Persuasion checks made to intimidate others</t>
  </si>
  <si>
    <t>Strength of Conviction</t>
  </si>
  <si>
    <t>Zygerrians can use their Charisma modifier in place of their Wisdom modifier when calculating Will Defense</t>
  </si>
  <si>
    <t>Added remaining support for Galaxy at War</t>
  </si>
  <si>
    <t>Astromech Droid Chassis</t>
  </si>
  <si>
    <t>Battle Droid Chassis</t>
  </si>
  <si>
    <t>Labor Droid Chassis</t>
  </si>
  <si>
    <t>Mechanic Droid Chassis</t>
  </si>
  <si>
    <t>Medical Droid Chassis</t>
  </si>
  <si>
    <t>Probe Droid Chassis</t>
  </si>
  <si>
    <t>Protocol Droid Chassis</t>
  </si>
  <si>
    <t>Service Droid Chassis</t>
  </si>
  <si>
    <t>5th Degree</t>
  </si>
  <si>
    <t>4th Degree</t>
  </si>
  <si>
    <t>2nd Degree</t>
  </si>
  <si>
    <t>3rd Degree</t>
  </si>
  <si>
    <t>1st Degree</t>
  </si>
  <si>
    <t>Bonus Droid Chassis Equipment</t>
  </si>
  <si>
    <t>Hardwired Design (Mechanics)</t>
  </si>
  <si>
    <t>Bonus Armor Feat</t>
  </si>
  <si>
    <t>Bonus Weapon Feat</t>
  </si>
  <si>
    <t>Qel Droma</t>
  </si>
  <si>
    <t>Heavy Lifting</t>
  </si>
  <si>
    <t>Reroll any Strength check or Strength-based skill check and keep either result</t>
  </si>
  <si>
    <t>Labor Droid</t>
  </si>
  <si>
    <t>Mechanically Minded</t>
  </si>
  <si>
    <t>Mechanic droids can reroll any Mechanics check</t>
  </si>
  <si>
    <t>Hardwired Design (Treat Injury)</t>
  </si>
  <si>
    <t>Hardwired Design (Perception)</t>
  </si>
  <si>
    <t>Hardwired Design (Persuasion)</t>
  </si>
  <si>
    <t>Aiming Accuracy</t>
  </si>
  <si>
    <t>Damage Conversion</t>
  </si>
  <si>
    <t>Distracting Droid</t>
  </si>
  <si>
    <t>Droid Focus</t>
  </si>
  <si>
    <t>Droid Shield Mastery</t>
  </si>
  <si>
    <t>Erratic Target</t>
  </si>
  <si>
    <t>Ion Shielding</t>
  </si>
  <si>
    <t>Logic Upgrade: Skill Swap</t>
  </si>
  <si>
    <t>Mechanical Martial Arts</t>
  </si>
  <si>
    <t>Multi-Targeting</t>
  </si>
  <si>
    <t>Pincer</t>
  </si>
  <si>
    <t>Pinpoint Accuracy</t>
  </si>
  <si>
    <t>Sensor Link</t>
  </si>
  <si>
    <t>Shield Surge</t>
  </si>
  <si>
    <t>Slammer</t>
  </si>
  <si>
    <t>Tool Frenzy</t>
  </si>
  <si>
    <t>Turn and Burn</t>
  </si>
  <si>
    <t>Droid, Point Blank Shot, Precise Shot, proficient with weapon</t>
  </si>
  <si>
    <t>Droid, Dex 13</t>
  </si>
  <si>
    <t>Trained in Mechanics and Use Computer</t>
  </si>
  <si>
    <t>Droid, equipped with shield generator</t>
  </si>
  <si>
    <t>Droid, equipped with hovering or flying locomotion, Dex 13, Dodge</t>
  </si>
  <si>
    <t>Droid with Str 13, or cyborg with Con 13</t>
  </si>
  <si>
    <t>Droid, equipped with basic processor</t>
  </si>
  <si>
    <t>Droid, Martial Arts I, base attack bonus +1</t>
  </si>
  <si>
    <t>Droid, Int 13, proficient with weapon</t>
  </si>
  <si>
    <t>Droid, equipped with claw or hand appendage, base attack bonus +1, Pin, Crush</t>
  </si>
  <si>
    <t>Droid or cyborg with associated hardware</t>
  </si>
  <si>
    <t>Droid or cyborg with scomp link or similar direct data link with the vehicle, trained in Mechanics</t>
  </si>
  <si>
    <t>Small or larger droid, equipped with at least two suitable appendages, Str 13</t>
  </si>
  <si>
    <t>Small or larger droid, equipped with at least two appendages with tools</t>
  </si>
  <si>
    <t>Droid, equipped with hovering, flying, wheeled, or tracked locomotion, Dex 13</t>
  </si>
  <si>
    <t>After aiming as a full-round action, gain +5 on next weapon attack.</t>
  </si>
  <si>
    <t>Take additional hit point damage instead of moving down the condition track.</t>
  </si>
  <si>
    <t>Attempt to deny enemies within 6 squares their next move action, with a chance to make enemies flat-footed.</t>
  </si>
  <si>
    <t>+1 bonus to certain skills and defenses when dealing with a selected class of droid.</t>
  </si>
  <si>
    <t>Automatically restore shields in two swift actions.</t>
  </si>
  <si>
    <t>Reduce speed by up to 2 squares to increase dodge bonus by up to 2 squares.</t>
  </si>
  <si>
    <t>Move only -1 step on condition track when ion damage exceeds damage threshold.</t>
  </si>
  <si>
    <t>Swap a trained skill for an untrained skill on the fly.</t>
  </si>
  <si>
    <t>Give an enemy a -5 penalty on attack rolls and damage rolls for one round after striking it in unarmed combat.</t>
  </si>
  <si>
    <t>You can spread your aim action across multiple consecutive rounds.</t>
  </si>
  <si>
    <t>Maintain Pin feat and make subsequent grapple checks as a swift action. Apply Crush to each check.</t>
  </si>
  <si>
    <t>Move target -1 step on the condition track when you hit with Aiming Accuracy.</t>
  </si>
  <si>
    <t>Share sensor data instantly with an ally.</t>
  </si>
  <si>
    <t>Trade vehicle's SR for damage taken.</t>
  </si>
  <si>
    <t>Triple Strength bonus to damage rolls on this special melee attack.</t>
  </si>
  <si>
    <t>Gain +2 to attack rolls and damage rolls with nonweapon appendages in exchange for -2 penalty to Reflex Defense.</t>
  </si>
  <si>
    <t>Withdraw by clearing threatened squares in up to 2 squares of movement, move your speed when using the withdraw action. Withdraw as a reaction by spending a Force Point.</t>
  </si>
  <si>
    <t>Droid, Aiming Accuracy, Point Blank Shot, Precise Shot, proficient with weapon</t>
  </si>
  <si>
    <t>Droid Chassis</t>
  </si>
  <si>
    <t>Astromech droids are constructed with the following droid systems installed in each: 
wheeled locomotion 6
walking locomotion 4
magnetic feet
heuristic processor
6 tool appendages
1 claw appendage
astrogation buffer (5 memory units)
diagnostics package
internal storage (2 kg)</t>
  </si>
  <si>
    <t>Battle droids are constructed with the following droid systems installed in each:
walking locomotion 6
plasteel shell (+2 armor)
basic processor
internal comlink
locked access
2 hand appendages
vocabulator</t>
  </si>
  <si>
    <t>Labor droids are constructed with the following droid systems installed in each:
walking locomotion 6
durasteel shell (+4 armor)
basic processor
2 claw appendages
vocabulator</t>
  </si>
  <si>
    <t>Mechanic droids are constructed with the following droid systems installed in each:
walking locomotion 6 (or tracked or wheeled locomotion)
basic processor
2 hand appendages
4 tool appendages
diagnostics package
internal storage (2 kg)
vocabulator</t>
  </si>
  <si>
    <t>Medical droids are constructed with the following droid systems installed in each:
walking locomotion
heuristic processor
2 hand appendages
1 tool appendage
vocabulator
improved sensor package</t>
  </si>
  <si>
    <t>Probe droids are designed for surveillance and are constructed with the following droid systems installed in each:
hovering locomotion 6
heuristic processor
internal comlink
locked access
1 hand appendage
1 tool appendage
improved sensor package
darkvision</t>
  </si>
  <si>
    <t>Protocol droids are constructed with the following droid systems installed in each:
walking locomotion 6
basic processor
2 hand appendages
vocabulator
translator unit (DC 10)</t>
  </si>
  <si>
    <t>Service droids are constructed with the following droid systems installed in each:
walking locomotion 6
basic processor
2 hand appendages
1 tool mount
vocabulator</t>
  </si>
  <si>
    <t>These droid systems must be assigned manually. You can switch out hardware of this kind with similiarly priced hardware of the same type so long as it is within 10% of the price of the original parts, otherwise upgrades must be paid for as normal.</t>
  </si>
  <si>
    <t>Remote Limb Control</t>
  </si>
  <si>
    <t>Appendage</t>
  </si>
  <si>
    <t>Force Power Descriptions</t>
  </si>
  <si>
    <t>lightsaber form, telekinetic</t>
  </si>
  <si>
    <t>DC 15: pull Medium creature that is not grabbed or grappled into nearest unoccupied space adjacent to you make a lightsaber attack
DC 20: as DC 15 except up to a Large creature
DC 25: as DC 15 except up to a Huge creature
DC 30: as DC 15 except up to a Gargantuan creature
Spend a Force Point to pull target to any adjacent space</t>
  </si>
  <si>
    <t>Communications countermeasures</t>
  </si>
  <si>
    <t>Communications jammer</t>
  </si>
  <si>
    <t>Remote reciever jammer</t>
  </si>
  <si>
    <t>Remote reciever signal booster</t>
  </si>
  <si>
    <t>Stabilized Mount</t>
  </si>
  <si>
    <t>Magnetic Hand</t>
  </si>
  <si>
    <t>Projectile Hand</t>
  </si>
  <si>
    <t>Quick Release Coupling</t>
  </si>
  <si>
    <t>Rocket Arm</t>
  </si>
  <si>
    <t>Gyroscopic Stabilizers</t>
  </si>
  <si>
    <t>Droid remote control</t>
  </si>
  <si>
    <t>Hidden core</t>
  </si>
  <si>
    <t>Personality downloader</t>
  </si>
  <si>
    <t>Remote starship starter</t>
  </si>
  <si>
    <t>Specialized subprocessor</t>
  </si>
  <si>
    <t>Tactician battle computer</t>
  </si>
  <si>
    <t>2 kg+</t>
  </si>
  <si>
    <t>5000+</t>
  </si>
  <si>
    <t>Sensor booster</t>
  </si>
  <si>
    <t>Sensor countermeasure package</t>
  </si>
  <si>
    <t>YV sensor package</t>
  </si>
  <si>
    <t>Shield expansion module</t>
  </si>
  <si>
    <t>Added support for Scavenger's Guide to Droids</t>
  </si>
  <si>
    <t>Added Force Power Descriptions sheet</t>
  </si>
  <si>
    <t>Known Vulnerability</t>
  </si>
  <si>
    <t>As a free action, you make a DC 15 Knowledge (life sciences) check (DC 25 for rare species, DC 35 for unknown species, both as determined by the Gamemaster). If the check is successful , until the end of the encounter, whenever you make a successful melee or unarmed attack that deals damage against a target of that species, your target takes a -2 penalties to attack rolls until the end of your next turn. 
Prerequisite: Trained in Knowledge (life sciences)</t>
  </si>
  <si>
    <t>SGtD 28</t>
  </si>
  <si>
    <t>Medical Analyzer</t>
  </si>
  <si>
    <t>When making a Treat Injury check to Treat Disease, Treat Poison, or Treat Radiation, you can also add your Intelligence modifier to your roll.
Prerequisites: Trained in Knowledge (life sciences), medical droid.</t>
  </si>
  <si>
    <t>Science Analyzer</t>
  </si>
  <si>
    <t>You can add double your Intelligence modifier to your Knowledge (life sciences) or Knowledge (physical sciences) skill check.
Prerequisites: Trained in Knowledge (life sciences) and Knowledge (physical sciences).</t>
  </si>
  <si>
    <t>Triage Scan</t>
  </si>
  <si>
    <t>As a standard action, you can make a DC 20 Treat Injury check. If the check succeeds, you know if the organic cha racters within 6 squares and within your line of sight are below one half of their hit points and at what step they are along the condition track.
Prerequisites: Trained in Treat Injury, medical droid.</t>
  </si>
  <si>
    <t>Burst Transfer</t>
  </si>
  <si>
    <t>You can double the amount of data transferred with the Binary language in a single round (see page 191 of the Saga Edition core rulebook) when communicating with other droids with Burst Transfer, and you cut Access Information time in half when making Use Computer checks to find general or specific in formation (see page 76 of the Saga Edition core rulebook)</t>
  </si>
  <si>
    <t>On-Board System Link</t>
  </si>
  <si>
    <t>While aboard a starship or vehicle and plugged into the ship's systems by scomp link, droid socket, or basic data port, you can reroute power or recharge shields as two swift actions instead of three.</t>
  </si>
  <si>
    <t>Quick Astrogation</t>
  </si>
  <si>
    <t>Your speedy electronic astrogation-calculation routines allow you to cut calculation time in half. Additionally, when attempting a Use Computer check to Astrogate, you can make the calculation as a standard action instead of a full-round action.
Prerequisite:Trained in Use Computer.</t>
  </si>
  <si>
    <t>Scomp Link Slicer</t>
  </si>
  <si>
    <t>You can use each of the fo llowing actions once per encounter: 
• Eradicate: You can use Disable or Erase Prog ram on a computer that is friend ly or helpful toward you. With th is talent, disabl ing or erasing a program takes 5 minutes and requires a DC 15 Use Computer check (see page 76 of the Saga Edition core rulebook).
• Lockout: If you succeed on an opposed Use Computer check when you Issue a Routine Command to counteract another programmer's actions, you automatically lock the other programmer out of the system. He or she must succeed in an opposed Use Computer check against you to regain access to t he system (see page 76 of the Saga Edition core rulebook). You resist the attempt as a reaction. 
• Untraceable: As a reaction, you automatica lly keep a hosti le computer from t raci ng your location if you f ai l a Use Computer check (see page 76 of the Saga Edition core rulebook) by 10 or less. 
Prerequisites: Any two ta lents from the Slicer Talent Tree (see page 47 of the Saga Ed ition core rulebook). Burst Transfer can be one of these talents.</t>
  </si>
  <si>
    <t>Nuanced</t>
  </si>
  <si>
    <t>Once per encounter, you can add your Wisdom bonus to a Persuasion check in addition to your Charisma bonus.</t>
  </si>
  <si>
    <t>You enhance your persuasiveness by applying data obtained through observation. Whenever you would fail a Persuasion check, you can roll a Perception check as a free action, with a DC equal to the DC of the Persuasion check. If you succeed, add +5 to the original Persuasion check result.</t>
  </si>
  <si>
    <t>Supervising Droid</t>
  </si>
  <si>
    <t>You can use each of the following actions once per encounter:
• Combat Support: As a standard action, you automatically aid another on an al lied droid's attack roll, provided you are capable of using the aid another action to assist that ally. If you also have Weapon Focus with this weapon, you increase the bonus provided by the aid another action from +2 to +3.
• Director: As a standard action, you automatica lly aid another droid with a skill you are traine d in. If you also have Skill Focus in the skill, you increase the aid another bonus from +2 to +5.
• Instant Action: As a swift action, you grant one ally a swift action that it can use immediately as a free action. 
Prerequisites: Observant, any talent from the Influence, Inspiration, or Leadership Talent Trees (see pages 43 - 44 of the Saga Edition core rulebook).</t>
  </si>
  <si>
    <t>Talkdroid</t>
  </si>
  <si>
    <t>When one of your allies is attempting to use the Persuasion skill to change the attitude of a creature that does not understand your ally, you add +2 to the ally's Persuasion check results if you perform the translation.
Prerequisite: Trained in Persuasion.</t>
  </si>
  <si>
    <t>Just a Scratch</t>
  </si>
  <si>
    <t>Once per encounter, as a reaction, you can reduce the damage from a single attack that targets your Reflex Defense by an amount equal to your Fortitude Defense.
Prerequisites: Equipped with medium or better armor, proficient with that armor.</t>
  </si>
  <si>
    <t>Target Acquisition</t>
  </si>
  <si>
    <t>Once per encounter, as a swift action, designate an enemy target within line of sight as an acquired target. You gain a +1 circumstance bonus to attack rolls and damage rolls for all attacks against that target until the end of the encounter, as long as the target remains within your line of sight.</t>
  </si>
  <si>
    <t>You lock onto the target designated by the Target Acquisition talent. If the target leaves your line of sight, you automatically reacquire the target lock as a reaction if the target comes back with in your line of sight. You also gain a +5 bonus to your Perception skill when opposing the target's Stealth checks. 
Prerequisite: Target Acquisition.</t>
  </si>
  <si>
    <t>Weapons Power Surge</t>
  </si>
  <si>
    <t>Once per encounter, as a free action, you can increase the damage dealt by one of your weapons by 1 or 2 damage dice in exchange for moving -1 step on the condition track for each die increased. The weapon must be permanently mounted to your chassis, and it must use your internal power supply. Handheld weapons, such as blaster rifles, do not qualify for this talent.</t>
  </si>
  <si>
    <t>SGtD 29</t>
  </si>
  <si>
    <t>Durable</t>
  </si>
  <si>
    <t>The first time during an encounter that you would be moved to the bottom of the condition track by any effect, you instead stop at the -10 step. Additionally, if a single attack causes you to move multiple steps down the condition track, you can spend a Force Point as a reaction to only move -1 step down the condition track.</t>
  </si>
  <si>
    <t>Heavy-Duty Actuators</t>
  </si>
  <si>
    <t>You can double your Strength bonus to your melee and unarmed damage rolls. 
Prerequisite: Medium or larger size.</t>
  </si>
  <si>
    <t>Load Launcher</t>
  </si>
  <si>
    <t>You are considered proficient with improvised thrown weapons (see page 150 of the Saga Edition core rulebook) when making a ranged attack by throwing an object. Objects up to one size category larger than you can be thrown up to a number of squares equal to 2× your Strength bonus (minimum 1 square). Additionally, you add your Strength bonus to any damage dealt.</t>
  </si>
  <si>
    <t>Task Optimization</t>
  </si>
  <si>
    <t>Select a skill you are trained in. Once per encounter, you can perform any application of that skill as one action quicker than normal but as at least a swift action (for example, a full-round action becomes a standard action , a standard action becomes a move action, a move action becomes a swift action). Tasks requiring more than one round cannot be optimized with this talent.</t>
  </si>
  <si>
    <t>Directed Action</t>
  </si>
  <si>
    <t>As a standard action, you allow one droid that can hear and understand you to make a Deception, Mechanics, Persuasion, Pilot, Ride, Treat Injury, or Use Computer check immediately as a free action. The droid can replace its relevant ability score modifier for that check with your Intelligence modifier.</t>
  </si>
  <si>
    <t>Full Control</t>
  </si>
  <si>
    <t xml:space="preserve">As a full-round action, you allow one droid that can hear and understand you to take the full attack action. The droid can replace its relevant ability score modifier to any attack rolls it makes with your Intelligence modifier. Prerequisites: Directed Action, Directed Movement, and Remote Attack. </t>
  </si>
  <si>
    <t>Directed Movement</t>
  </si>
  <si>
    <t>As a move action, you allow one droid that can hear and understand you to move up to its speed. The droid can make Acrobatics, Climb, Jump, Stealth, or Swim checks during this movement, and can replace its own relevant ability score modifier for that check with your Intelligence modifier.</t>
  </si>
  <si>
    <t>Remote Attack</t>
  </si>
  <si>
    <t>As a standard action, you allow one droid that can hear and understand you to make a melee or ranged attack. The droid can replace its relevant ability score modifier to its attack roll with your Intelligence modifier.</t>
  </si>
  <si>
    <t>SGtD 26</t>
  </si>
  <si>
    <t>SGtD 27</t>
  </si>
  <si>
    <t>Just a Droid</t>
  </si>
  <si>
    <t>You can use each of the following actions once per encounter.
• Just Another Droid: You are skilled at using Stealth to sneak past unwary enemies when moving in plain sight. You can use the Sneak application of the Stealth skill when in plain sight of an enemy, if the enemy has no reason to doubt that you are just another droid. You are considered trained in Stealth for this action.
• Just a Normal Droid: You can reroll Deception checks for deceptive appearance to make observers believe that you are carrying out a standard function when attempting to do something atypical for your droid model or function. You may keep either result.</t>
  </si>
  <si>
    <t>Swift Droid</t>
  </si>
  <si>
    <t>You can make a swift action as a reaction after failing a Deception check or a Stealth check. 
Prerequisites: Any two talents from the Autonomy talent tree.</t>
  </si>
  <si>
    <t>Elite Droid</t>
  </si>
  <si>
    <t>Break Program</t>
  </si>
  <si>
    <t>You can use your ability to circumvent behavioral inhibitors to temporarily break the programming of a droid that you have a data link with. Make a Use Computer check opposed by the droid's Will Defense. Breaking the droid's programming overrides its behavioral inhibitors for a number of rounds equal to your Intelligence bonus. 
Prerequisite: Trained in Use Computer.</t>
  </si>
  <si>
    <t>Heuristic Mastery</t>
  </si>
  <si>
    <t>You understand the subtleties and limitations of your heuristic processor. You can reroll any untrained skill check (except Use the Force), keeping the second result, even if it is worse. Once per encounter, you can spend a Force Point to reroll any skill check (trained or untrained), taking the better result. 
Prerequisite: Wisdom 15.</t>
  </si>
  <si>
    <t>Scripted Routines</t>
  </si>
  <si>
    <t>Once per encounter you can use each of the following actions:
• Attack Script: You can use a feat or a talent that modifies your attack roll as one action less (for example, a full-round action becomes a standard action, a standa rd action becomes a move action, a move action becomes a swift action, a swift action becomes a free action).
• Defense Script: You can apply you r Independent Spirit bonus a second time during a single encounter.
• Skill Script: While in combat, you can apply a bonus equal to one- half of your class level to any sing le skill that requires a standard action or less to use. You must be trained in the skill. 
Prerequisite: Base attack bonus +5.</t>
  </si>
  <si>
    <t>Ultra Resilient</t>
  </si>
  <si>
    <t>You have advanced subroutines that make you more resistant to the effect of damage. Once per encounter, as a reaction, you can increase your damage threshold with a bonus equal to your Independent Droid level.</t>
  </si>
  <si>
    <t>Power Boost</t>
  </si>
  <si>
    <t>You channel your power surge into a boost for your locomotion system. When you initiate a power surge, you can use one of the following bonuses with your installed locomotion system: Jump +4 squares (walking or wheeled locomotion), or increase hovering height by 4 squares (hovering locomotion). You can use this talent for a number of rounds equal to one-half your level (rounded down). At the end of a power boost, you move -1 persistent step on the condition track. The penalties imposed by this condition persist until you receive repairs (using the Repair Droid application of the Mechanics skill). You can use both Power Surge and Power Boost at the same time, but you must move -2 persistent steps on the condition track. Prerequisite: Power Surge.</t>
  </si>
  <si>
    <t>SGtD 22</t>
  </si>
  <si>
    <t>SGtD 24</t>
  </si>
  <si>
    <t>SGtD 25</t>
  </si>
  <si>
    <t>Doesn't calculate DR properly if you have the Armored Mandalorian talent (KotOR p. 38)</t>
  </si>
  <si>
    <t>Ion-Shielding</t>
  </si>
  <si>
    <t>antiox breath mask</t>
  </si>
  <si>
    <t>Antiox breath mask</t>
  </si>
  <si>
    <t>antiox breath masks</t>
  </si>
  <si>
    <t>Kel Dor antiox filters (year's supply)</t>
  </si>
  <si>
    <t>years supply of Kel Dor antiox filters</t>
  </si>
  <si>
    <t>Missing Kel Dor breathing equipment</t>
  </si>
  <si>
    <t>New in 1.2</t>
  </si>
  <si>
    <t>GR8-FL Series Support Droids</t>
  </si>
  <si>
    <t>Droid Manufacturer Trait</t>
  </si>
  <si>
    <t>Droid Quirk</t>
  </si>
  <si>
    <t>Hardware</t>
  </si>
  <si>
    <t>Software</t>
  </si>
  <si>
    <t>Alien Appearance</t>
  </si>
  <si>
    <t>This droid has a truly alien appearance that attracts attention. Interaction with most species causes a -2 penalty toCharisma-based skill checks, although the droid gains a +2 bonus when using the Persuasion skill to intimidate.</t>
  </si>
  <si>
    <t>Paranoid</t>
  </si>
  <si>
    <t>The droid believes something-or possibly everything-is out to get it. Because the droid is constantly on the lookout, it getseither a +2 bonus or a -2 penalty to Perception checks, depending on the situation.</t>
  </si>
  <si>
    <t>Talkative</t>
  </si>
  <si>
    <t>The droid talks incessantly, with few information filters and at inappropriate moments.</t>
  </si>
  <si>
    <t>Overconfident</t>
  </si>
  <si>
    <t>The droid believes it (or possibly its master) is thoroughly capable of succeeding at any task it is trained in or proficient in.</t>
  </si>
  <si>
    <t>The droid does not back down from a fight unless it has direct orders from its master or is facing obviouslyoverwhelming opposition.</t>
  </si>
  <si>
    <t>Obsessive</t>
  </si>
  <si>
    <t>The droid focuses on using a single skill or piece of equipment in its arsenal.</t>
  </si>
  <si>
    <t>Morose</t>
  </si>
  <si>
    <t>The droid is morbid in conversation. This quirk is particularly disturbing when manifested by medical droids and battle droids.</t>
  </si>
  <si>
    <t>Leaky</t>
  </si>
  <si>
    <t>The droid regularly leaks hydraulic fluid, cooling gas, or a similar substance in an amount that does not significantly hinderoperations but does make a mess.</t>
  </si>
  <si>
    <t>Excitable</t>
  </si>
  <si>
    <t>The droid is high strung, speaking, moving, and working rapidly in thrilling situations.</t>
  </si>
  <si>
    <t>Possessive</t>
  </si>
  <si>
    <t>The droid latches on to possessions or other items and refuses to give an item up without extensive coaxing and reassurancethat the item will be returned, requiring an opposed Persuasion check against the droid's Will Defense.</t>
  </si>
  <si>
    <t>Vocoder Glitch</t>
  </si>
  <si>
    <t>The droid's vocoder becomes stuck, causing the droid's voice to be squeaky, deep, monosyllabic, or sing-songy.This quirk might occur for only a few seconds, or it might last for days.</t>
  </si>
  <si>
    <t>Sullen</t>
  </si>
  <si>
    <t>The droid is depressed, with a dim outlook on the future.</t>
  </si>
  <si>
    <t>Amenable</t>
  </si>
  <si>
    <t>The droid defers to others and attempts to keep all parties happy at all times, sometimes even during combat.</t>
  </si>
  <si>
    <t>Incomplete Memory Wipe</t>
  </si>
  <si>
    <t>The droid's last memory wipe was not completely successful. The droid gets confused when it remembersfragmented memories or when it attempts a skill that it was formerly trained in but now lacks complete instructions for. The droid is still considered untrained in the skill.</t>
  </si>
  <si>
    <t>Short Circuit</t>
  </si>
  <si>
    <t>The droid suffers from short circuits in its processors, which occasionally disrupt its speech, movement, or skill usefor one round.</t>
  </si>
  <si>
    <t>Visual Impairment</t>
  </si>
  <si>
    <t>The droid's visual sensors are slightly impaired. The droid might not see all colors, see only black and white, orlose sight for brief periods. This quirk is typically a hardware glitch that results in a -2 penalty to related visually based Perception checks.</t>
  </si>
  <si>
    <t>The droid does not move or process information quickly. Select one of the following penalties: -2 squares to speed, -2 to allInitiative checks, or -2 to Intelligence-based skill checks.</t>
  </si>
  <si>
    <t>Curious/Inquisitive</t>
  </si>
  <si>
    <t>The droid seeks knowledge or information about its immediate surroundings. The droid enters locations andsituations in which it is unwanted or not allowed.</t>
  </si>
  <si>
    <t>Easily Distracted</t>
  </si>
  <si>
    <t>The droid is easy to distract from a given task. The droid must resist a 1d20+5 attack against its Will Defense whenattempting tasks that take longer than a full-round action to complete. A successful attack results in the droid's jumping to the next task or becoming distracted by something in its immediate surroundings.</t>
  </si>
  <si>
    <t>Audio Glitch</t>
  </si>
  <si>
    <t>The droid's audio sensors have trouble detecting certain frequencies or become hypersensitive, causing a -2 penaltyto audio-based Perception checks.</t>
  </si>
  <si>
    <t>The droid is overly dedicated to helping its master with any task it is capable of, and it is willing to attempt tasks that it is nottrained to do.</t>
  </si>
  <si>
    <t>Locomotion Malfunction</t>
  </si>
  <si>
    <t>The droid's locomotion system malfunctions regularly, but not necessarily constantly. Examples are trouble</t>
  </si>
  <si>
    <t>stopping forward movement, limping, hovering at a lower or inconsistent level, or a sticking tread or joint. When malfunctioning, the droid loses 2 squares of speed and/or its Dexterity bonus</t>
  </si>
  <si>
    <t>Temperature Variations</t>
  </si>
  <si>
    <t>The droid runs hotter than normal, so anyone stand ing next to it or sharing an enclosed space with it becomesuncomfortable. A droid with an internal heating and cooling system might fluctuate between very hot and very cold temperatures.</t>
  </si>
  <si>
    <t>Focused</t>
  </si>
  <si>
    <t>The droid becomes fixated on a task until it is completed, even if more critical tasks appear. It takes a -2 penalty to Perceptionchecks when fixated.</t>
  </si>
  <si>
    <t>Faulty Wiring</t>
  </si>
  <si>
    <t>The droid's wiring is in bad condition. When the droid moves down the condition track as a result of damage that exceedsits damage threshold, the condition becomes persistent until repaired.</t>
  </si>
  <si>
    <t>Sprung Hatch</t>
  </si>
  <si>
    <t>One or more of the droid's maintenance panels cannot close or latch properly. Whenever the droid takes damage greaterthan its damage threshold, one of the hatches pops open. It can be closed again as a swift action, but it remains closed for only one round before popping open again. Temporarily securing the hatch requires a DC 15 Mechanics check as a full-round action, but it does not permanently remove the quirk.</t>
  </si>
  <si>
    <t>Loyal</t>
  </si>
  <si>
    <t>The droid has an unshakable loyalty to its master or another organic entity. It embarrasses its owner with its concern for his orher well-being.</t>
  </si>
  <si>
    <t>Arrogant</t>
  </si>
  <si>
    <t>The droid is extremely arrogant and condescending to its owner and everyone else.</t>
  </si>
  <si>
    <t>Honest</t>
  </si>
  <si>
    <t>The droid is honest to a fault and is incapable of lying. It cannot make Deception checks.</t>
  </si>
  <si>
    <t>Nervous</t>
  </si>
  <si>
    <t>The droid is nervous in common situations. It might be nervous about performing its function successfully, speaking toits masters, or entering combat.</t>
  </si>
  <si>
    <t>Argumentative</t>
  </si>
  <si>
    <t>The droid develops an urge to argue in any situation, often demanding the last word.</t>
  </si>
  <si>
    <t>Noisy</t>
  </si>
  <si>
    <t>The droid is unusually noisy, drawing attention to itself. The source of the racket might be a grinding locomotion system, asquealing appendage, jet-like internal cooling fans, piercing high-pitched whines from its processor, or a similar mechanical malady. The droid takes a -5 penalty to Stealth checks when the offending system is used.</t>
  </si>
  <si>
    <t>Overprotective</t>
  </si>
  <si>
    <t>The droid becomes overly protective of its master, a vehicle, an object, or another droid. It resists being away from the objectof its overprotection, and it might undertake irrational acts to ensure the object's safety.</t>
  </si>
  <si>
    <t>Alternate Personality</t>
  </si>
  <si>
    <t>The droid holds another personality as a leftover from a previous owner or because of damaged processorsor data. Alternate personalities are usually software quirks, but those caused by damaged systems are hardware quirks.</t>
  </si>
  <si>
    <t>Suspicious</t>
  </si>
  <si>
    <t>The droid doesn't trust an individual, a corporate or government entity, or some other group, no matter how much its mastersor others attempt to convince it otherwise. It treats the object of its suspicions as unfriendly at best.</t>
  </si>
  <si>
    <t>Rude</t>
  </si>
  <si>
    <t>The droid is rude to everyone-organic or mechanical-and is unpleasant to be around. It takes a -5 penalty to Persuasion checksto improve another's attitude.</t>
  </si>
  <si>
    <t>Center of Attention</t>
  </si>
  <si>
    <t>The droid insists on being the center of attention, and it attempts to dominate any conversation.</t>
  </si>
  <si>
    <t>Impulsive</t>
  </si>
  <si>
    <t>The droid makes snap judgments or decisions, thinking only in the short term, which might be as short as only a few seconds.</t>
  </si>
  <si>
    <t>Blaster Happy</t>
  </si>
  <si>
    <t>The combat-related droid tends to shoot first and listen to orders later. It also might continue to fire at a defeated enemyjust to make sure.</t>
  </si>
  <si>
    <t>Arakyd Industries</t>
  </si>
  <si>
    <t>Once per day, an Arakyd droid can make a Persuasion check or a Use Computer check against a DC equal to its own Will Defense. If the check is successful, the droid's behavioral inhibitor allows it to take prohibited actions until the forbidden action is completed. After completion, the inhibitor returns to normal functioning.</t>
  </si>
  <si>
    <t>Baktoid Combat Automata</t>
  </si>
  <si>
    <t>A character can make a Persuasion check opposed by a Baktoid droid's Perception skill to attempt to temporarily confuse it with contradictory data or brash, seemingly illogical action. If the check is successful, the droid can take no action for one round as it tries to f ind an appropriate response. If the Persuasion check is unsuccessful, the droid recognizes the ruse and proclaims it loudly while taking an immediate swift action as a reaction.</t>
  </si>
  <si>
    <t>Balmorran Arms</t>
  </si>
  <si>
    <t>When creating or purchasing a new Balmorran Arms droid, increase one ability score by 1</t>
  </si>
  <si>
    <t>Colicoid Creation Nest</t>
  </si>
  <si>
    <t>Once per encounter, a Colicoid droid can ignore all negative penalties from its location on the condition track when making an attack.</t>
  </si>
  <si>
    <t>Cybot Galactica</t>
  </si>
  <si>
    <t>Cybot systems are so commonplace that nondroid heroes with Skill Focus (Mechanics) can modify or repair Cybot droids in half the time that would be required for a normal droid</t>
  </si>
  <si>
    <t>Czerka Corporation</t>
  </si>
  <si>
    <t>A Czerka droid can use its Intelligence or Wisdom modifier instead of its Charisma modifier to determine its Persuasion skill modifier.</t>
  </si>
  <si>
    <t>Duwani Mechanical Products</t>
  </si>
  <si>
    <t>Once per encounter, when it has half or fewer of its maximum hit points, as a reaction, a Duwani droid can either gain 5 bonus hit points or add 5 to its damage threshold for one round.</t>
  </si>
  <si>
    <t>Holowan Mechanicals</t>
  </si>
  <si>
    <t>Once per encounter, a Holowan droid can add 1 die of damage to an attack.</t>
  </si>
  <si>
    <t>Imperial Department of Military Research</t>
  </si>
  <si>
    <t>Imperial droids vary greatly in mission and specifications. However, their prototypes are constructed with built-in tracking devices and recording equipment to document the droid's performance. The droids transmit the data upon command to a central reporting station or, when in the field, to the nearest Imperial installation.</t>
  </si>
  <si>
    <t>Industrial Automaton</t>
  </si>
  <si>
    <t>When assisting on a Mechanics check, an Industrial Automaton droid trained in Mechanics can add its Intelligence bonus (minimum + 1) to the normal +2 bonus.</t>
  </si>
  <si>
    <t>MerenData</t>
  </si>
  <si>
    <t>When making a Persuasion check to intimidate, a MerenData droid adds its Wi sdom bonus to the skill check. When attempting to intimidate another droid, it adds its Wisdom bonus and its Charisma bonus to the check.</t>
  </si>
  <si>
    <t>Roche</t>
  </si>
  <si>
    <t>When modifying an appendage, an accessory, a tool, a weapon, or an instrument mounted on an appendage, apply a +5 circumstance bonus to the Mechanics check.</t>
  </si>
  <si>
    <t>Tendrando Arms</t>
  </si>
  <si>
    <t>A Tendrando Arms droid gains a +2 circumstance bonus to its Reflex Defense and Will Defense against Yuuzhan Vong.</t>
  </si>
  <si>
    <t>Veril Line Systems</t>
  </si>
  <si>
    <t>Once per day, a Veriline droid can make a DC 20 Endurance check to extend its run time by 25 hours or to move + 1 step on the condition track.</t>
  </si>
  <si>
    <t>Droid Manufaturer</t>
  </si>
  <si>
    <t>Trait</t>
  </si>
  <si>
    <t>Droid Accessories</t>
  </si>
  <si>
    <t xml:space="preserve">Antitheft comlink locator </t>
  </si>
  <si>
    <t xml:space="preserve">.5 kg </t>
  </si>
  <si>
    <t xml:space="preserve">Audio enhancers </t>
  </si>
  <si>
    <t xml:space="preserve">1 kg </t>
  </si>
  <si>
    <t xml:space="preserve">Audio-radial stunner </t>
  </si>
  <si>
    <t xml:space="preserve">3 kg </t>
  </si>
  <si>
    <t xml:space="preserve">Restricted </t>
  </si>
  <si>
    <t xml:space="preserve">Automap </t>
  </si>
  <si>
    <t xml:space="preserve">2 kg </t>
  </si>
  <si>
    <t xml:space="preserve">Blaster recharge interface </t>
  </si>
  <si>
    <t xml:space="preserve">Licensed </t>
  </si>
  <si>
    <t xml:space="preserve">Collapsible construction </t>
  </si>
  <si>
    <t xml:space="preserve">2,000 x cost factor </t>
  </si>
  <si>
    <t xml:space="preserve">10x cost factor </t>
  </si>
  <si>
    <t xml:space="preserve">Concealed item </t>
  </si>
  <si>
    <t xml:space="preserve">See text </t>
  </si>
  <si>
    <t xml:space="preserve">Courier compartments </t>
  </si>
  <si>
    <t xml:space="preserve">2 x cost factor </t>
  </si>
  <si>
    <t xml:space="preserve">Credit reader </t>
  </si>
  <si>
    <t xml:space="preserve">Droid oil bath </t>
  </si>
  <si>
    <t xml:space="preserve">600 x cost factor </t>
  </si>
  <si>
    <t xml:space="preserve">Earphone binary-to-basic translator </t>
  </si>
  <si>
    <t xml:space="preserve">Electric defense grid </t>
  </si>
  <si>
    <t xml:space="preserve">3,000 x cost factor </t>
  </si>
  <si>
    <t xml:space="preserve">100 x cost factor </t>
  </si>
  <si>
    <t xml:space="preserve">Emergency oxygen supply </t>
  </si>
  <si>
    <t xml:space="preserve">Hidden holster </t>
  </si>
  <si>
    <t xml:space="preserve">500 x cost factor </t>
  </si>
  <si>
    <t xml:space="preserve">High-speed cutting torch and welder </t>
  </si>
  <si>
    <t xml:space="preserve">500 kg </t>
  </si>
  <si>
    <t xml:space="preserve">Holographic game system </t>
  </si>
  <si>
    <t xml:space="preserve">Holographic image disguiser </t>
  </si>
  <si>
    <t xml:space="preserve">20,000 x cost factor </t>
  </si>
  <si>
    <t xml:space="preserve">20 x cost factor </t>
  </si>
  <si>
    <t xml:space="preserve">ID dodge </t>
  </si>
  <si>
    <t xml:space="preserve">Illegal </t>
  </si>
  <si>
    <t xml:space="preserve">Improved coordination circuitry </t>
  </si>
  <si>
    <t>Interference generator</t>
  </si>
  <si>
    <t>1 kg</t>
  </si>
  <si>
    <t>Internal defenses</t>
  </si>
  <si>
    <t>10x cost factor</t>
  </si>
  <si>
    <t>1 x cost factor</t>
  </si>
  <si>
    <t xml:space="preserve">Internal grapple gun </t>
  </si>
  <si>
    <t xml:space="preserve">Mesh tape dispenser </t>
  </si>
  <si>
    <t xml:space="preserve">10 x cost factor </t>
  </si>
  <si>
    <t xml:space="preserve">5 kg </t>
  </si>
  <si>
    <t xml:space="preserve">Micro shield </t>
  </si>
  <si>
    <t xml:space="preserve">Multifunction apparatus </t>
  </si>
  <si>
    <t xml:space="preserve">80 x cost factor </t>
  </si>
  <si>
    <t xml:space="preserve">15 x cost factor </t>
  </si>
  <si>
    <t xml:space="preserve">Multispectrum searchlight </t>
  </si>
  <si>
    <t xml:space="preserve">Radiant heat element </t>
  </si>
  <si>
    <t xml:space="preserve">Remote viewer </t>
  </si>
  <si>
    <t xml:space="preserve">20 kg </t>
  </si>
  <si>
    <t xml:space="preserve">Rental restraining bolt </t>
  </si>
  <si>
    <t xml:space="preserve">Repulsorcam </t>
  </si>
  <si>
    <t xml:space="preserve">Scomp link </t>
  </si>
  <si>
    <t xml:space="preserve">Silence-bubble generator </t>
  </si>
  <si>
    <t xml:space="preserve">Space-beacon launcher </t>
  </si>
  <si>
    <t xml:space="preserve">10 kg </t>
  </si>
  <si>
    <t xml:space="preserve">Survival kit </t>
  </si>
  <si>
    <t>Taser</t>
  </si>
  <si>
    <t xml:space="preserve">Video screen </t>
  </si>
  <si>
    <t xml:space="preserve">1 x square mm </t>
  </si>
  <si>
    <t xml:space="preserve">1 kg + .01 kg x square mm </t>
  </si>
  <si>
    <t xml:space="preserve">Voice-print command lock </t>
  </si>
  <si>
    <t xml:space="preserve">Weapon detector </t>
  </si>
  <si>
    <t>Final Weight</t>
  </si>
  <si>
    <t>Final Cost 7</t>
  </si>
  <si>
    <t>8 Weight</t>
  </si>
  <si>
    <t>1 kg + 0.1 per mm²</t>
  </si>
  <si>
    <t>1 × mm²</t>
  </si>
  <si>
    <t>double cost of appendage or storage</t>
  </si>
  <si>
    <t>Support for Backgrounds (RECG)</t>
  </si>
  <si>
    <t>Power Attack (-1)</t>
  </si>
  <si>
    <t>Power Attack (-2)</t>
  </si>
  <si>
    <t>Power Attack (-3)</t>
  </si>
  <si>
    <t>Power Attack (-4)</t>
  </si>
  <si>
    <t>Power Attack (-5)</t>
  </si>
  <si>
    <t>Power Attack (-6)</t>
  </si>
  <si>
    <t>Power Attack (-7)</t>
  </si>
  <si>
    <t>Power Attack (-8)</t>
  </si>
  <si>
    <t>Power Attack (-9)</t>
  </si>
  <si>
    <t>Power Attack (-10)</t>
  </si>
  <si>
    <t>Power Attack (-11)</t>
  </si>
  <si>
    <t>Power Attack (-12)</t>
  </si>
  <si>
    <t>Power Attack (-13)</t>
  </si>
  <si>
    <t>Power Attack (-14)</t>
  </si>
  <si>
    <t>Power Attack (-15)</t>
  </si>
  <si>
    <t>Power Attack (-16)</t>
  </si>
  <si>
    <t>Power Attack (-17)</t>
  </si>
  <si>
    <t>Power Attack (-18)</t>
  </si>
  <si>
    <t>Power Attack (-19)</t>
  </si>
  <si>
    <t>Power Attack (-20)</t>
  </si>
  <si>
    <t>Power Blast (-1)</t>
  </si>
  <si>
    <t>Power Blast (-2)</t>
  </si>
  <si>
    <t>Power Blast (-3)</t>
  </si>
  <si>
    <t>Power Blast (-4)</t>
  </si>
  <si>
    <t>Power Blast (-5)</t>
  </si>
  <si>
    <t>Power Blast (-6)</t>
  </si>
  <si>
    <t>Power Blast (-7)</t>
  </si>
  <si>
    <t>Power Blast (-8)</t>
  </si>
  <si>
    <t>Power Blast (-9)</t>
  </si>
  <si>
    <t>Power Blast (-10)</t>
  </si>
  <si>
    <t>Power Blast (-11)</t>
  </si>
  <si>
    <t>Power Blast (-12)</t>
  </si>
  <si>
    <t>Power Blast (-13)</t>
  </si>
  <si>
    <t>Power Blast (-14)</t>
  </si>
  <si>
    <t>Power Blast (-15)</t>
  </si>
  <si>
    <t>Power Blast (-16)</t>
  </si>
  <si>
    <t>Power Blast (-17)</t>
  </si>
  <si>
    <t>Power Blast (-18)</t>
  </si>
  <si>
    <t>Power Blast (-19)</t>
  </si>
  <si>
    <t>Condition</t>
  </si>
  <si>
    <t>if opponent has not yet acted</t>
  </si>
  <si>
    <t>Action</t>
  </si>
  <si>
    <t>Standalone</t>
  </si>
  <si>
    <t>against opponent tumbled past</t>
  </si>
  <si>
    <t>affect +2 sq with burst or splash at further than PB range</t>
  </si>
  <si>
    <t>reroll lowest damage dice keeping second result</t>
  </si>
  <si>
    <t>RECS</t>
  </si>
  <si>
    <t>costs 5 shots</t>
  </si>
  <si>
    <t>after aiming</t>
  </si>
  <si>
    <t>take -2 penalty to Reflex Defense until next turn</t>
  </si>
  <si>
    <t>make free attack against adjacent target after dropping foe</t>
  </si>
  <si>
    <t>against a flat-footed enemy</t>
  </si>
  <si>
    <t>whist raging</t>
  </si>
  <si>
    <t>attack twice</t>
  </si>
  <si>
    <t>Dual Weapon Mastery</t>
  </si>
  <si>
    <t>-5 penalty to Reflex until next turn</t>
  </si>
  <si>
    <t>Ignore Bonuses</t>
  </si>
  <si>
    <t>if target is unaware of you and on first attack against them</t>
  </si>
  <si>
    <t>+1 attack and +1 damage die vs. Force Sensitive targets</t>
  </si>
  <si>
    <t>standard and swift</t>
  </si>
  <si>
    <t>standard and 2 swift</t>
  </si>
  <si>
    <t>within 12 squares</t>
  </si>
  <si>
    <t>Power Blast (-20)</t>
  </si>
  <si>
    <t>+1 attack if within short range and no allies are closer</t>
  </si>
  <si>
    <t>within 1 square of enemy</t>
  </si>
  <si>
    <t>Add</t>
  </si>
  <si>
    <t>Att</t>
  </si>
  <si>
    <t>Dam</t>
  </si>
  <si>
    <t>Dice</t>
  </si>
  <si>
    <t>Name?</t>
  </si>
  <si>
    <t>Feat/Talent/Class/Etc</t>
  </si>
  <si>
    <t>Double Attack (advanced melee)</t>
  </si>
  <si>
    <t>Double Attack (lightsabers)</t>
  </si>
  <si>
    <t>Double Attack (pistols)</t>
  </si>
  <si>
    <t>Double Attack (rifles)</t>
  </si>
  <si>
    <t>Double Attack (simple)</t>
  </si>
  <si>
    <t>W1</t>
  </si>
  <si>
    <t>W2</t>
  </si>
  <si>
    <t>W3</t>
  </si>
  <si>
    <t>W4</t>
  </si>
  <si>
    <t>W5</t>
  </si>
  <si>
    <t>W6</t>
  </si>
  <si>
    <t>Weapon Type</t>
  </si>
  <si>
    <t>full-round</t>
  </si>
  <si>
    <t>at-will</t>
  </si>
  <si>
    <t>Dam1</t>
  </si>
  <si>
    <t>Dam2</t>
  </si>
  <si>
    <t>Force, Talent</t>
  </si>
  <si>
    <t>Sort Tags</t>
  </si>
  <si>
    <t>Desc1</t>
  </si>
  <si>
    <t>Desc2</t>
  </si>
  <si>
    <t>Atk Mode</t>
  </si>
  <si>
    <t>daily</t>
  </si>
  <si>
    <t>encounter</t>
  </si>
  <si>
    <t>free action</t>
  </si>
  <si>
    <t>non [light side] Force power</t>
  </si>
  <si>
    <t>FP/DP</t>
  </si>
  <si>
    <t>successfully damage target with Force power</t>
  </si>
  <si>
    <t>area effect Force power</t>
  </si>
  <si>
    <t>non [dark side] Force power</t>
  </si>
  <si>
    <t>Force power with cone, line, or radius effect</t>
  </si>
  <si>
    <t>activate Levitate power</t>
  </si>
  <si>
    <t>DC 15 Use the Force</t>
  </si>
  <si>
    <t>DC 15/20 Use the Force</t>
  </si>
  <si>
    <t>Malacia power</t>
  </si>
  <si>
    <t>DP</t>
  </si>
  <si>
    <t>WeaponCalc</t>
  </si>
  <si>
    <t>CombatDesc</t>
  </si>
  <si>
    <t>Avoid Force detection for one hour, or a Use the Force check is made</t>
  </si>
  <si>
    <t>Attack or not</t>
  </si>
  <si>
    <t>Defense</t>
  </si>
  <si>
    <t>Other</t>
  </si>
  <si>
    <t>one ally within line of sight</t>
  </si>
  <si>
    <t>LECG 26</t>
  </si>
  <si>
    <t>40/KOTOR</t>
  </si>
  <si>
    <t>FP; encounter</t>
  </si>
  <si>
    <t>all allies within range of Battle Meditation</t>
  </si>
  <si>
    <t>ally affected by Battle Mediation is reduced to 0 hit points</t>
  </si>
  <si>
    <t>Ally can take its Second Wind as a reaction immediately (though the target still falls unconscious before the Second Wind is triggered)</t>
  </si>
  <si>
    <t>Take 10 on Persuasion checks until end of next turn</t>
  </si>
  <si>
    <t>Formatting</t>
  </si>
  <si>
    <t>&lt;/font&gt;</t>
  </si>
  <si>
    <t>&lt;font face=wingdings&gt;</t>
  </si>
  <si>
    <t>&lt;/TD&gt;</t>
  </si>
  <si>
    <t>&lt;TR&gt;&lt;TD align=left bgcolor=lightgray&gt;</t>
  </si>
  <si>
    <t>&lt;TD align=left width=33% bgcolor=lightgray&gt;</t>
  </si>
  <si>
    <t>&lt;TD width=33% bgcolor=white align=left&gt;</t>
  </si>
  <si>
    <t>&lt;font face=windings&gt;</t>
  </si>
  <si>
    <t>Stat Blocks</t>
  </si>
  <si>
    <t xml:space="preserve">&lt;html&gt;
&lt;head&gt;
&lt;style type="text/css"&gt;
body {color:black; font-family:"Agfa Rotis Sans Serif";}
h1 {color:white; font-family:"Agfa Rotis Sans Serif";}
p {color:blue}
&lt;/style&gt;
&lt;/head&gt;
&lt;body&gt;
</t>
  </si>
  <si>
    <t>&lt;/body&gt;
&lt;/html&gt;</t>
  </si>
  <si>
    <t>enemy that understands within 12 squares and line of sight</t>
  </si>
  <si>
    <t>&lt;strong&gt;</t>
  </si>
  <si>
    <t>&lt;/strong&gt;</t>
  </si>
  <si>
    <t>Recent Features</t>
  </si>
  <si>
    <t>Second Wind</t>
  </si>
  <si>
    <t>Healing</t>
  </si>
  <si>
    <t>CR 146</t>
  </si>
  <si>
    <t>All squares in a 2-square radius count as difficult terrain for enemies</t>
  </si>
  <si>
    <t>Remove one mind-affecting effect from ally</t>
  </si>
  <si>
    <t>D Force</t>
  </si>
  <si>
    <t>Force Power</t>
  </si>
  <si>
    <t>one ally</t>
  </si>
  <si>
    <t>Male</t>
  </si>
  <si>
    <t>Female</t>
  </si>
  <si>
    <t>Hermaphrodite</t>
  </si>
  <si>
    <t>Eunich</t>
  </si>
  <si>
    <t>it</t>
  </si>
  <si>
    <t>her</t>
  </si>
  <si>
    <t>all allies within 6 squares</t>
  </si>
  <si>
    <t>Allies within range gain +2 to Will Defense until the end of the encounter</t>
  </si>
  <si>
    <t>Regain all expended uses of farseeing</t>
  </si>
  <si>
    <t>its</t>
  </si>
  <si>
    <t>his</t>
  </si>
  <si>
    <t>Regain two Force powers instead of one</t>
  </si>
  <si>
    <t>Spend a full-round action to grant an ally +5 to a skill check; spend a Force Point to increase bonus to +10</t>
  </si>
  <si>
    <t>ally within line of sight</t>
  </si>
  <si>
    <t>Once per turn, you can use a swift action to designate a target. Until the start of your next turn, your movement does not provoke attacks of opportun ity from that target, provided that you end your movement adjacent to that target</t>
  </si>
  <si>
    <t>he</t>
  </si>
  <si>
    <t>she</t>
  </si>
  <si>
    <t>Negate a melee attack against an adjacent ally with the Block or Deflect talents; that ally can move up to 2 squares as a free action that does not provoke an attack of opportunity</t>
  </si>
  <si>
    <t>+1 die of damage when fighting defensively</t>
  </si>
  <si>
    <t>lightsabers, light</t>
  </si>
  <si>
    <t>Spend a Force Point to make target flat-footed</t>
  </si>
  <si>
    <t>Gain Force Point on a critical</t>
  </si>
  <si>
    <t>after ending movement adjacent to an enemy</t>
  </si>
  <si>
    <t>Move +2 steps along the condition track</t>
  </si>
  <si>
    <t>against attacks from creatures with a Dark Side Score</t>
  </si>
  <si>
    <t>+5 to all defenses vs. Force powers with the [dark side] descriptor and any Force power from a dark sider</t>
  </si>
  <si>
    <t>when damaged by a Force power</t>
  </si>
  <si>
    <t>Gain a +2 Force bonus to all defenses against further attacks from the same type of Force power until the end of the encounter</t>
  </si>
  <si>
    <t>+1 attack, +1 die of damage against beasts with a Dark Side score of 1 or higher</t>
  </si>
  <si>
    <t>GAW</t>
  </si>
  <si>
    <t>Until the end of the encounter, deal +2 damage against the creature that used the Force power</t>
  </si>
  <si>
    <t>targeted by a dark-side Force power</t>
  </si>
  <si>
    <t>Upon being targeted by a dark side power, activate a Force power</t>
  </si>
  <si>
    <t>Force, Mind-Affecting, Talent</t>
  </si>
  <si>
    <t>when making a melee attack</t>
  </si>
  <si>
    <t>Take a penalty of -1 to -5 on attack roll to add twice that value (+2 to +10) as an insight bonusto Will; lasts until beginning of next turn</t>
  </si>
  <si>
    <t>Force, Talent, Weapon</t>
  </si>
  <si>
    <t>after using Block</t>
  </si>
  <si>
    <t>after using Deflect</t>
  </si>
  <si>
    <t>when wielding a lightsaber</t>
  </si>
  <si>
    <t>Gain a temporary Force Point</t>
  </si>
  <si>
    <t>Return one mind-affecting Force power to Force suite</t>
  </si>
  <si>
    <t>Talent, Weapon</t>
  </si>
  <si>
    <t>telekinetic force power</t>
  </si>
  <si>
    <t>Return a telekinetic Force power to your suite</t>
  </si>
  <si>
    <t>natural 20 on a Use the Force check</t>
  </si>
  <si>
    <t>When using Move Object, objects of Large size or greater deal area damage</t>
  </si>
  <si>
    <t>[encounter]</t>
  </si>
  <si>
    <t>Grant an ally within 12 squares a temporary Force Point instead of regaining all spent Force powers</t>
  </si>
  <si>
    <t>successfully negate damage with negate energy</t>
  </si>
  <si>
    <t>Immediately activate any Force Power currently in Force suite</t>
  </si>
  <si>
    <t>Remove all debilitating conditions and move to top of the condition track</t>
  </si>
  <si>
    <t>Activate one Force talent that requires a Force Point to use without spending a Force Point</t>
  </si>
  <si>
    <t>Lessen the effect of the Force power one step</t>
  </si>
  <si>
    <t>fail to rebuke a Force power</t>
  </si>
  <si>
    <t>Immune to all mind-affecting effects for 1 minute</t>
  </si>
  <si>
    <t>defending against a Force power vs. Will</t>
  </si>
  <si>
    <t>Roll a Use the Force check and use the result instead, but the next round take -5 penalty to Use the Force checks</t>
  </si>
  <si>
    <t>Turn a critical hit into a normal hit</t>
  </si>
  <si>
    <t>using a Lightsaber Form power</t>
  </si>
  <si>
    <t>Return one Force power with the Lightsaber Form descriptor to suite</t>
  </si>
  <si>
    <t>Dismember a limb; the triggering attack deals half damage and the target moves -1 step down the condition track</t>
  </si>
  <si>
    <t>Dark Side, Force, Talent</t>
  </si>
  <si>
    <t>Take -5 penalty to Will to gain +2 to attacks until next turn</t>
  </si>
  <si>
    <t>Return one Force power with the [dark side] descriptor to Force suite without spending a Force Point</t>
  </si>
  <si>
    <t>FP; DSP</t>
  </si>
  <si>
    <t>DSP</t>
  </si>
  <si>
    <t>when spending a Force Point on an attack roll</t>
  </si>
  <si>
    <t>Gain +1 bonus to all defenses until the end of the encounter</t>
  </si>
  <si>
    <t>an ally of equal or higher level reduced to 0 hit points</t>
  </si>
  <si>
    <t>Gain +2 bonus to attack rolls and damage rolls for the remainder of the encounter</t>
  </si>
  <si>
    <t>Negate moving down the condition track by increasing Dark Side score</t>
  </si>
  <si>
    <t>Use a Force power of standard or move action duration as a swift action</t>
  </si>
  <si>
    <t>Upon rolling a natural 20 to activate a damaging Force Power, deal half the damage again at the beginning of the target's next turn instead of replenishing Force suite</t>
  </si>
  <si>
    <t>natural 20 on a Force power Use the Force check</t>
  </si>
  <si>
    <t>Light Energy Shields (SR 5)</t>
  </si>
  <si>
    <t>Light Energy Shields (SR 10)</t>
  </si>
  <si>
    <t>Medium Energy Shields (SR 15)</t>
  </si>
  <si>
    <t>Medium Energy Shields (SR 20)</t>
  </si>
  <si>
    <t>Anzati</t>
  </si>
  <si>
    <t>Chadra-Fan</t>
  </si>
  <si>
    <t>Ishi Tib</t>
  </si>
  <si>
    <t>Nikto</t>
  </si>
  <si>
    <t>Shistavanen</t>
  </si>
  <si>
    <t>Sluissi</t>
  </si>
  <si>
    <t>Squib</t>
  </si>
  <si>
    <t>SECR</t>
  </si>
  <si>
    <t>TFULE</t>
  </si>
  <si>
    <t>TotGKotOR</t>
  </si>
  <si>
    <t>SECRLECG</t>
  </si>
  <si>
    <t>UR</t>
  </si>
  <si>
    <t>CWCS, LECG</t>
  </si>
  <si>
    <t>Anzat</t>
  </si>
  <si>
    <t>Presence Sense</t>
  </si>
  <si>
    <t>Mesmerize</t>
  </si>
  <si>
    <t>Soup Drinking</t>
  </si>
  <si>
    <t>Tinkerer</t>
  </si>
  <si>
    <t>Tibranese</t>
  </si>
  <si>
    <t>Ecological Awareness</t>
  </si>
  <si>
    <t>beak</t>
  </si>
  <si>
    <t>Tentacles</t>
  </si>
  <si>
    <t>Great Fortitude</t>
  </si>
  <si>
    <t>Quick Reflexes</t>
  </si>
  <si>
    <t>Uncanny Tracker</t>
  </si>
  <si>
    <t>Sluissese</t>
  </si>
  <si>
    <t>Careful Worker</t>
  </si>
  <si>
    <t>Serpentine</t>
  </si>
  <si>
    <t>Squibbian</t>
  </si>
  <si>
    <t>Natural Diplomat</t>
  </si>
  <si>
    <t>Tech Savvy</t>
  </si>
  <si>
    <t>Squib tensor rifle</t>
  </si>
  <si>
    <t>Verpine Communication</t>
  </si>
  <si>
    <t>Near Human</t>
  </si>
  <si>
    <t>Removed Trait</t>
  </si>
  <si>
    <t>Ability adjustment</t>
  </si>
  <si>
    <t>Additional arms</t>
  </si>
  <si>
    <t>Biotech augmentation</t>
  </si>
  <si>
    <t>Breathe underwater</t>
  </si>
  <si>
    <t>Climate adaptation</t>
  </si>
  <si>
    <t>Conductive</t>
  </si>
  <si>
    <t>Cultural cybernetics</t>
  </si>
  <si>
    <t>Empath</t>
  </si>
  <si>
    <t>Expert swimmer</t>
  </si>
  <si>
    <t>Heightened awareness</t>
  </si>
  <si>
    <t>Low-light vision</t>
  </si>
  <si>
    <t>Naturally acrobatic</t>
  </si>
  <si>
    <t>Persistent</t>
  </si>
  <si>
    <t>Quick</t>
  </si>
  <si>
    <t>Quick healing</t>
  </si>
  <si>
    <t>Spring step</t>
  </si>
  <si>
    <t>Strength surge</t>
  </si>
  <si>
    <t>Visually striking</t>
  </si>
  <si>
    <t>Weapon familiarity</t>
  </si>
  <si>
    <t>Up to 2 additional arms. When making multiple attacks, the character can reduce the penalty to the attack roll by 2.</t>
  </si>
  <si>
    <t>Augmented with biotechnology. Select one bio-implant (see pages 67-68 of the Legacv Era Campaign Guide).</t>
  </si>
  <si>
    <t>Amphibious and cannot drawn in water. Can have gill slits or sim ilar external features.</t>
  </si>
  <si>
    <t>Culture commonly augments members with cybernetics fram birth. Select one cybernetic enhancement.</t>
  </si>
  <si>
    <t>Gain natural darkvision (see page 257 of the Saga Edition core rulebook) .</t>
  </si>
  <si>
    <t>Can reroll a Swim check. Can take 10 on Swim checks when distracted or threatened.</t>
  </si>
  <si>
    <t>Can reroll a Perception check.</t>
  </si>
  <si>
    <t>Ignore concealment (but not total concea lment) from darkness.</t>
  </si>
  <si>
    <t>Thickened skin or natural armor plates grant a natural armor bonus of + 1 to Reflex Defense.</t>
  </si>
  <si>
    <t>Considered trained in the Acrobatics skill, even if it is not normally a class skill for the character.</t>
  </si>
  <si>
    <t>Can reroll an Endurance check.</t>
  </si>
  <si>
    <t>Gain +1 to speed.</t>
  </si>
  <si>
    <t>At the end of an encounter, regain hit points equal to 1d4 + Constitution modifier (minimum 1).</t>
  </si>
  <si>
    <t>Increase one ability score by 2 and reduce another by 2 to account for emphasis in certain attributes (such as strength or intelligence).</t>
  </si>
  <si>
    <t>Resistant to a specific climate. Select one: freezing, rarefied atmosphere, searing, smoky, tropical, or watery. When challenged by an environmental factor in that climate (chosen from those listed, or others at the Gamemaster's discretion), can reroll an Endurance or a Survival check, taking the better result.</t>
  </si>
  <si>
    <t>Naturally generate a small amount of electrical energy and use as a natural weapon in an unarmed attack, dealing 1d6 points of energy damage. Character is always considered armed with a natural weapon.</t>
  </si>
  <si>
    <t>Can use the telepathy application of the Use the Force ski ll untrained, and without having the Force Sensitivity feat. Additionally, can sense the emotions of a target if the Use the Force check equals or exceeds the target's Will Defense.</t>
  </si>
  <si>
    <t>Can use natural claws in an unarmed attack, dealing 1d6 points of slashing damage instead of normal unarmed damage. Character is always considered armed with the natural weapons.</t>
  </si>
  <si>
    <t>At close range (within 10 squares), ignore concealment and cover for purposes of Perception checks, and take no penalty from poor visibility when using the Track application of the Survival skill.</t>
  </si>
  <si>
    <t>When using the High Jump or Long Jump applications of the Jump skill, reduce the number of squares required for a running start by 2.</t>
  </si>
  <si>
    <t>Once per encounter, can rerall one Strength-based ability or skill check, doubling the character's Strength modifier (minimum +1), or can add 2 to a single damage roll on a successful melee attack, when Strength normally adds to the roll. This does not apply when Weapon Finesse is used.</t>
  </si>
  <si>
    <t>Character's appearance is visually surprising or stunning. The character's Charisma bonus is doubled when using the Persuasion skill on Humans, near-Humans, and similar humanoids (such as Twi'leks).</t>
  </si>
  <si>
    <t>Character selects a single exotic weapon and treats it as a simple weapon instead. Must be commonly used by character's native culture.</t>
  </si>
  <si>
    <t>Near-Human Trait</t>
  </si>
  <si>
    <t>Ability Adjustment</t>
  </si>
  <si>
    <t>Near-Human</t>
  </si>
  <si>
    <t>Bonus Adjustment</t>
  </si>
  <si>
    <t>Penalty Adjustment</t>
  </si>
  <si>
    <t>Species Languages</t>
  </si>
  <si>
    <t>When making a Survival check to track a living creature, an Anzat gains a species bonus equal to the quarry's Force Point total.</t>
  </si>
  <si>
    <t>When a Chadra-Fan repairs or jury-rigs a droid or a device using a Mechanics check, the droid or device regains an additional 1d8 hit points.</t>
  </si>
  <si>
    <t>Due to their conscientiousness and drive to protect the natural environment of their homeworld, Ishi lib can roll twice when making a Knowledge (life sciences) check, keeping the better result.</t>
  </si>
  <si>
    <t>Knowledge (life sciences)</t>
  </si>
  <si>
    <t>Krevaaki use their two dominant tentacles like the arms and hands of a humanoid . Krevaaki ga in a +2 species bonus to Climb checks and a +2 species bonus to grapple checks.</t>
  </si>
  <si>
    <t>A Shistavanen can reroll any Initiative check, but the result of the reroll must be accepted even if it is worse.</t>
  </si>
  <si>
    <t>Survival is a class skill for Shistavanens.</t>
  </si>
  <si>
    <t>A Sluissi who takes twice the normal amount of time required to use the Mechanics skill gains a + 10 circumstance bonus to the Mechanics check.</t>
  </si>
  <si>
    <t>By coiling their serpentine bodies, Sluissi are able to make long jumps without getting a running start. Sluissi are always considered to have a running start for Jump checks. They also gain a +5 stability bonus when making grapple checks against the Trip feat.</t>
  </si>
  <si>
    <t>A Squib gains a +5 species bonus to Persuasion checks made to Haggle (see page 71 of the Saga Edition core rulebook). Additionally, Persuasion is always a class skill for Squibs.</t>
  </si>
  <si>
    <t>A Squib can reroll any Knowledge (technology) check, but the result of the reroll must be accepted even if it is worse. A Squib is not limited to common knowledge when making an untrained Knowledge (technology) check.</t>
  </si>
  <si>
    <t>A Verpine can mentally communicate with any Verpine within a 1-kilometer range.</t>
  </si>
  <si>
    <t>Exotic Weapon Listing</t>
  </si>
  <si>
    <t>Verpine shatter gun</t>
  </si>
  <si>
    <t>Defel</t>
  </si>
  <si>
    <t>Fosh</t>
  </si>
  <si>
    <t>Givin</t>
  </si>
  <si>
    <t>Gotal</t>
  </si>
  <si>
    <t>Herglic</t>
  </si>
  <si>
    <t>Mrlssi</t>
  </si>
  <si>
    <t>Partial Invisibility</t>
  </si>
  <si>
    <t>Healing Glands</t>
  </si>
  <si>
    <t>Exoskeleton</t>
  </si>
  <si>
    <t>Unique Physiology</t>
  </si>
  <si>
    <t>Energy Reading</t>
  </si>
  <si>
    <t>Sensor Cones</t>
  </si>
  <si>
    <t>Sturdy</t>
  </si>
  <si>
    <t>Mrlsstese</t>
  </si>
  <si>
    <t>Stealthy</t>
  </si>
  <si>
    <t>Whenever a Bith spends a Force Point for any reason, the Bith gains a temporary Force Point that must be spent to add to an Intelligence-based skill check. If the temporary Force Point has not been used by the end of the encounter, it is lost.</t>
  </si>
  <si>
    <t>The fur of a Defel helps bend all but ultraviolet light, rendering him or her nearly invisible. A Defel in shadowy illumination or darker conditions is treated as having total concealment. Defel are fu lly visible and gain no concealment against opponents with darkvision.</t>
  </si>
  <si>
    <t>The eyes of Defel have evolved in such a way that they can see only in the ultraviolet spectrum. Defel that leave Af'EI must wear special ultraviolet visors to see in normal light. Without such a visor, a Defel is considered blind (see "Blindness" on page 254 of the Saga Edition core rulebookJ. An ultraviolet visor costs 2,000 credits. A Defel character begins play with th is item at no cost.</t>
  </si>
  <si>
    <t>Special Equipment (Defel)</t>
  </si>
  <si>
    <t>Fosh can exude a powerful fluid from their tear ducts that can aid in the healing process for most species. A Fosh is always considered to have a medpac or medical kit for the purposes of making Treat Injury checks, and can perform Trained Only applications of the Treat Injury skill even when untrained.</t>
  </si>
  <si>
    <t>The hard shells of Givin grant them DR 2 and a +2 species bonus to Fortitude Defense.</t>
  </si>
  <si>
    <t>Deductive Reasoning</t>
  </si>
  <si>
    <t>Givin constantly evaluate data, discarding inconclusive results. A Givin can reroll any Knowledge check, but the resu lt of the reroll must be accepted, even if it is worse.</t>
  </si>
  <si>
    <t>Knowledge</t>
  </si>
  <si>
    <t>Givin have sealed exoskeletons and do not breathe in a conventional sense. They are immune to the effects of vacuum and to the effects of inhaled chemicals and poisons.</t>
  </si>
  <si>
    <t>Gotals can read the emotions of any sentient being within 6 squares. As a standard action, a Gotal can make a Perception check against a target's Will Defense. A successful check reveals the target's emotional state (such as happy, sad, nervous, or scared).</t>
  </si>
  <si>
    <t>A Gotal can use the Sense Force and Sense Surroundings applications of the Use the Force skill untrained.</t>
  </si>
  <si>
    <t>Herglics are solidly built and literally have tough skin. This trait lets them ignore punishment that might knock other beings flat. Whenever a Herglic catches a second wind, he or she regains a number of additional hit points equal to 5 + one-half its level.</t>
  </si>
  <si>
    <t>Scholarly Inclination</t>
  </si>
  <si>
    <t>At 1st level, a Mrlssi gains anyone trained Knowledge skill as a bonus skill.</t>
  </si>
  <si>
    <t>Xerrol nightstinger</t>
  </si>
  <si>
    <t>Snare pistol</t>
  </si>
  <si>
    <t>Darter</t>
  </si>
  <si>
    <t>Yes (1d4</t>
  </si>
  <si>
    <t>Fires invisible shots</t>
  </si>
  <si>
    <t>Can deliver poisons</t>
  </si>
  <si>
    <t>Can grapple, Pin and Trip</t>
  </si>
  <si>
    <t>Power Cell</t>
  </si>
  <si>
    <t>Snare Pistol Cartridge</t>
  </si>
  <si>
    <t>wrist blaster</t>
  </si>
  <si>
    <t>Blaster, wrist</t>
  </si>
  <si>
    <t>snare pistol</t>
  </si>
  <si>
    <t>darter</t>
  </si>
  <si>
    <t>Xerrol Nightstinger Gas Canister</t>
  </si>
  <si>
    <t>Electropole</t>
  </si>
  <si>
    <t>Contact stunner</t>
  </si>
  <si>
    <t>Survival knife</t>
  </si>
  <si>
    <t>vibro-saw</t>
  </si>
  <si>
    <t>blastsword</t>
  </si>
  <si>
    <t>Yes (2d8)</t>
  </si>
  <si>
    <t xml:space="preserve">Bludgeoning and Energy </t>
  </si>
  <si>
    <t>Bludgeoning or Energy</t>
  </si>
  <si>
    <t>electropole</t>
  </si>
  <si>
    <t>contact stunner</t>
  </si>
  <si>
    <t>survival knife</t>
  </si>
  <si>
    <t>survival knives</t>
  </si>
  <si>
    <t>Blastsword</t>
  </si>
  <si>
    <t>Vibro-saw</t>
  </si>
  <si>
    <t>Ignores DR</t>
  </si>
  <si>
    <t>Crossbow</t>
  </si>
  <si>
    <t>Concussion rifle</t>
  </si>
  <si>
    <t>Targeting blaster rifle</t>
  </si>
  <si>
    <t>Heavy slugthrower pistol</t>
  </si>
  <si>
    <t>Stun pistol</t>
  </si>
  <si>
    <t>Black-powder pistol</t>
  </si>
  <si>
    <t>Magna caster</t>
  </si>
  <si>
    <t>Yes (3d6)</t>
  </si>
  <si>
    <t>black-powder pistol</t>
  </si>
  <si>
    <t>stun pistol</t>
  </si>
  <si>
    <t>heavy slugthrower pistol</t>
  </si>
  <si>
    <t>targeting blaster rifle</t>
  </si>
  <si>
    <t>concussion rifle</t>
  </si>
  <si>
    <t>crossbow</t>
  </si>
  <si>
    <t>Magna Caster Bolt</t>
  </si>
  <si>
    <t>Ammo Clip</t>
  </si>
  <si>
    <t>Black-Powder Pistol Shot</t>
  </si>
  <si>
    <t>Full-round action to reload</t>
  </si>
  <si>
    <t>Silent</t>
  </si>
  <si>
    <t>Attack vs. Fortitude to knock prone</t>
  </si>
  <si>
    <t>Crossbow Bolt</t>
  </si>
  <si>
    <t xml:space="preserve">-1 penalty to attack with Double Attack, Triple Attack, or Rapid Shot </t>
  </si>
  <si>
    <t>Attack vs. Fortitude to move -1 step</t>
  </si>
  <si>
    <t>20-square range</t>
  </si>
  <si>
    <t>Increases d6s to d8s when aiming</t>
  </si>
  <si>
    <t>+1d10 on critical, disabled if damaged</t>
  </si>
  <si>
    <t>Verpine Shatter Gun Clip</t>
  </si>
  <si>
    <t>Flash suppressor/silencer</t>
  </si>
  <si>
    <t>Shield cage</t>
  </si>
  <si>
    <t>Redirection crystal</t>
  </si>
  <si>
    <t>Toxin detector</t>
  </si>
  <si>
    <t>Antitoxin patch</t>
  </si>
  <si>
    <t>Vid-vox scrambler</t>
  </si>
  <si>
    <t>Veridicator</t>
  </si>
  <si>
    <t>Surveillance tagger</t>
  </si>
  <si>
    <t>Surveillance detector</t>
  </si>
  <si>
    <t>Holo converter</t>
  </si>
  <si>
    <t>Panic ring</t>
  </si>
  <si>
    <t>Comlink, earbud</t>
  </si>
  <si>
    <t>Water extractor</t>
  </si>
  <si>
    <t>Subsonic field emitter</t>
  </si>
  <si>
    <t>Sonar mapper</t>
  </si>
  <si>
    <t>Signal wand</t>
  </si>
  <si>
    <t>Shipsuit</t>
  </si>
  <si>
    <t>Saddle, war</t>
  </si>
  <si>
    <t>Saddle, riding</t>
  </si>
  <si>
    <t>Repulsor hitch</t>
  </si>
  <si>
    <t>Repulsor boots</t>
  </si>
  <si>
    <t>Portable beacon</t>
  </si>
  <si>
    <t>Plastent</t>
  </si>
  <si>
    <t>Personal translator</t>
  </si>
  <si>
    <t>Personal multitool</t>
  </si>
  <si>
    <t>Microlab</t>
  </si>
  <si>
    <t>Hypoinjector wristband</t>
  </si>
  <si>
    <t>Fire rod</t>
  </si>
  <si>
    <t>Fire paste</t>
  </si>
  <si>
    <t>Emergency vacuum seal</t>
  </si>
  <si>
    <t>Climbing harness</t>
  </si>
  <si>
    <t>Antidote synthesizer</t>
  </si>
  <si>
    <t>ammo clip</t>
  </si>
  <si>
    <t>ammo clips</t>
  </si>
  <si>
    <t>Magna caster bolts (10)</t>
  </si>
  <si>
    <t>shots (50)</t>
  </si>
  <si>
    <t>bolts (10)</t>
  </si>
  <si>
    <t>Verpine shatter gun clip</t>
  </si>
  <si>
    <t>Xerrol nightsinger gas canister</t>
  </si>
  <si>
    <t>wrist blaster power cell</t>
  </si>
  <si>
    <t>wrist blaster power cells</t>
  </si>
  <si>
    <t>darter dart</t>
  </si>
  <si>
    <t>darter darts</t>
  </si>
  <si>
    <t>snare pistol cartridge</t>
  </si>
  <si>
    <t>snare pistol cartridges</t>
  </si>
  <si>
    <t>New in 1.3</t>
  </si>
  <si>
    <t>Support for Galaxy of Intrigue</t>
  </si>
  <si>
    <t>Support for Unknown Regions</t>
  </si>
  <si>
    <t>UR 25</t>
  </si>
  <si>
    <t xml:space="preserve">Use Basic Survival skill as if you have a medpac for Treat Injury checks. </t>
  </si>
  <si>
    <t xml:space="preserve">Trained in the Survival skill </t>
  </si>
  <si>
    <t xml:space="preserve">Wilderness First Aid </t>
  </si>
  <si>
    <t>When using the mounted charge action, attack enemies between you and your target.</t>
  </si>
  <si>
    <t xml:space="preserve">Trained in the Ride skill </t>
  </si>
  <si>
    <t xml:space="preserve">Trample </t>
  </si>
  <si>
    <t xml:space="preserve">Deal an additional 5 po ints of damage against one target within a successful area attack. </t>
  </si>
  <si>
    <t xml:space="preserve">Weapon Proficiency in selected weapon, base attack bonus +5 </t>
  </si>
  <si>
    <t xml:space="preserve">Targeted Area </t>
  </si>
  <si>
    <t xml:space="preserve">Reroll Survival checks in native enviro nment. </t>
  </si>
  <si>
    <t xml:space="preserve">Member of Nikto subspecies </t>
  </si>
  <si>
    <t xml:space="preserve">Nikto Survival </t>
  </si>
  <si>
    <t xml:space="preserve">Increase speed and avoid attacks when riding a mount. </t>
  </si>
  <si>
    <t xml:space="preserve">Mounted Combat </t>
  </si>
  <si>
    <t xml:space="preserve">Intimidate your enemies when charg ing, preventing adjacent characters from making attacks of opportunity and denying your target its Dexterity bonus. </t>
  </si>
  <si>
    <t xml:space="preserve">Maniacal Charge </t>
  </si>
  <si>
    <t xml:space="preserve">When you successfully intimidate, enemy takes -5 to skill checks and -2 to attacks for one round. </t>
  </si>
  <si>
    <t xml:space="preserve">Trained in the Persuasion skill </t>
  </si>
  <si>
    <t xml:space="preserve">Intimidator </t>
  </si>
  <si>
    <t xml:space="preserve">Spend a Force Point to increase all defenses by 2 for 1 round. </t>
  </si>
  <si>
    <t xml:space="preserve">Living character (not a droid) </t>
  </si>
  <si>
    <t xml:space="preserve">Instinctive Defense </t>
  </si>
  <si>
    <t xml:space="preserve">Spend a Force Point to reroll an attack and take the better result. </t>
  </si>
  <si>
    <t xml:space="preserve">Proficient in weapon used, living character (not a droid) </t>
  </si>
  <si>
    <t xml:space="preserve">Instinctive Attack </t>
  </si>
  <si>
    <t xml:space="preserve">Treat improvised wea ponsas simple weapons, deal +1d 6 points of damage. </t>
  </si>
  <si>
    <t xml:space="preserve">Weapon Proficiency (simple weapons) </t>
  </si>
  <si>
    <t xml:space="preserve">Improvised Weapon Mastery </t>
  </si>
  <si>
    <t xml:space="preserve">Use Deception to aid your Stealth check to use Sleight of Hand; use Stealth to draw and palm a weapon si multaneously. </t>
  </si>
  <si>
    <t xml:space="preserve">Improved Sleight of Hand </t>
  </si>
  <si>
    <t xml:space="preserve">Cut all calculation time and Use Computer penalties by half when making Use Computer checks for astrogation in the hyperspace tangle. Reduce hyperspace mapping time by half. </t>
  </si>
  <si>
    <t xml:space="preserve">Trained in the Use Computer skill </t>
  </si>
  <si>
    <t xml:space="preserve">Hyperblazer </t>
  </si>
  <si>
    <t xml:space="preserve">Delay the damage caused to a vehicle until the end of the round. </t>
  </si>
  <si>
    <t xml:space="preserve">Hold Together </t>
  </si>
  <si>
    <t xml:space="preserve">Add 1 point of damage for every 5 points rolled above the target's Refl ex Defense, plus additional benefits when you exceed the target's damage threshold. </t>
  </si>
  <si>
    <t xml:space="preserve">Weapon Focus (heavy weapons), Weapon Proficiency (heavy weapons) </t>
  </si>
  <si>
    <t xml:space="preserve">Heavy Hitter </t>
  </si>
  <si>
    <t xml:space="preserve">Knock an enemy prone after a successful attack of opportunity, immediately end target's rema ining actions when also exceeding its damage threshold . </t>
  </si>
  <si>
    <t xml:space="preserve">Trip, Weapon Focus in selected weapon, Weapon Proficiency in selected weapon, base attack bonus +8 </t>
  </si>
  <si>
    <t xml:space="preserve">Halt </t>
  </si>
  <si>
    <t xml:space="preserve">As a reaction, make a grab or grapple attack following a failed grab or grapple attack made against yo u. </t>
  </si>
  <si>
    <t xml:space="preserve">Dex 13 </t>
  </si>
  <si>
    <t xml:space="preserve">Grab Back </t>
  </si>
  <si>
    <t xml:space="preserve">When you use the cleave feat, each enemy within 6 squares and line of sig ht takes a penalty to Reflex Defense, skill checks, and attack rolls against you. </t>
  </si>
  <si>
    <t xml:space="preserve">Str 13, Cleave, Power Attack, base attack bonus +4 </t>
  </si>
  <si>
    <t xml:space="preserve">Frightening Cleave </t>
  </si>
  <si>
    <t xml:space="preserve">Substitute a Knowledge (social sciences) or (galactic lore) skill check for a Wisdom-related skill check. </t>
  </si>
  <si>
    <t xml:space="preserve">Skill Focus (Knowledge [social sciences]) or (Knowledge [galactic lore]) </t>
  </si>
  <si>
    <t xml:space="preserve">Elder's Knowledge </t>
  </si>
  <si>
    <t xml:space="preserve">Spend two swift actions to make Deception check to make enemy flat-footed. </t>
  </si>
  <si>
    <t xml:space="preserve">Trained in the Deception skill </t>
  </si>
  <si>
    <t xml:space="preserve">Combat Trickery </t>
  </si>
  <si>
    <t xml:space="preserve">When a melee attack mi sses you, move into an adjacent squa re without provoking an attack of opportunity. </t>
  </si>
  <si>
    <t xml:space="preserve">Acrobatic Dodge </t>
  </si>
  <si>
    <t xml:space="preserve">Hoist or toss an ally of your size or smal ler up to 2 sq uares. </t>
  </si>
  <si>
    <t xml:space="preserve">Dex 13, Str 13, trained in the Acrobatics skill </t>
  </si>
  <si>
    <t xml:space="preserve">Acrobatic Ally </t>
  </si>
  <si>
    <t>GoI 26</t>
  </si>
  <si>
    <t xml:space="preserve">Wield two-handed weapons in a single hand. </t>
  </si>
  <si>
    <t xml:space="preserve">Str 13 </t>
  </si>
  <si>
    <t xml:space="preserve">Wookiee Grip </t>
  </si>
  <si>
    <t xml:space="preserve">When you take damage, nearby allies attack your attacker. </t>
  </si>
  <si>
    <t xml:space="preserve">Stand Tall </t>
  </si>
  <si>
    <t xml:space="preserve">Treat a skill challenge as if it had the recovery effect. </t>
  </si>
  <si>
    <t>Skill Challenge: Recovery</t>
  </si>
  <si>
    <t xml:space="preserve">Reroll a third failed skill check during a sk ill challenge and take the better result. </t>
  </si>
  <si>
    <t>Skill Challenge: Last Resort</t>
  </si>
  <si>
    <t xml:space="preserve">Catastrophic failures in a skill challenge occur less frequently and with milder results. </t>
  </si>
  <si>
    <t>Skill Challenge: Catastrophic Avoidance</t>
  </si>
  <si>
    <t xml:space="preserve">Intimidate a creature or change its attitude as a standard action. </t>
  </si>
  <si>
    <t xml:space="preserve">Trained in Persuasion </t>
  </si>
  <si>
    <t xml:space="preserve">Silver Tongue </t>
  </si>
  <si>
    <t xml:space="preserve">Move opponents -1 step on the condition track when you deliver a coup de grace. </t>
  </si>
  <si>
    <t xml:space="preserve">Sadistic Strike </t>
  </si>
  <si>
    <t xml:space="preserve">Gain +2 or +5 to Will Defense when you fight defensively. </t>
  </si>
  <si>
    <t xml:space="preserve">Base attack bonus +1 </t>
  </si>
  <si>
    <t xml:space="preserve">Resolute Stance </t>
  </si>
  <si>
    <t xml:space="preserve">Gain extra use of a 1/encounter talent or feat. </t>
  </si>
  <si>
    <t xml:space="preserve">Recurring Success </t>
  </si>
  <si>
    <t xml:space="preserve">Sacrifice attack of opportunity to reduce target's Reflex Defense by 2. </t>
  </si>
  <si>
    <t>Combat Reflexes, Sneak Attack</t>
  </si>
  <si>
    <t xml:space="preserve">Opportunistic Trickery </t>
  </si>
  <si>
    <t xml:space="preserve">Gain cover bonus equal to opponent's cover bonus. </t>
  </si>
  <si>
    <t xml:space="preserve">Point Blank Shot, Precise Shot, base attack bonus +4 </t>
  </si>
  <si>
    <t xml:space="preserve">Meat Shield </t>
  </si>
  <si>
    <t>Gain +5 to creating a deceptive appearance or a forged document and reduce the penalty for rushing.</t>
  </si>
  <si>
    <t>Trained in Deception, Cha 13</t>
  </si>
  <si>
    <t xml:space="preserve">Master of Disguise </t>
  </si>
  <si>
    <t xml:space="preserve">Add your Charisma bonus to your Will Defense as a reaction. </t>
  </si>
  <si>
    <t xml:space="preserve">Cha 13 </t>
  </si>
  <si>
    <t xml:space="preserve">Indomitable Personality </t>
  </si>
  <si>
    <t xml:space="preserve">Sacrifice attack of opportunity to reduce target's Reflex Defense by 5. </t>
  </si>
  <si>
    <t>Combat Reflexes, Opportunistic Trickery</t>
  </si>
  <si>
    <t>Improved Opportunistic Trickery</t>
  </si>
  <si>
    <t xml:space="preserve">Reduce the target's speed instead of dealing extra damage. </t>
  </si>
  <si>
    <t>Sneak Attack, Rapid Shot, or Rapid Strike</t>
  </si>
  <si>
    <t xml:space="preserve">Hobbling Strike </t>
  </si>
  <si>
    <t xml:space="preserve">Strike two targets in direct line of sight, dealing half damage to each. </t>
  </si>
  <si>
    <t xml:space="preserve">Point Blank Shot </t>
  </si>
  <si>
    <t xml:space="preserve">Grazing Shot </t>
  </si>
  <si>
    <t xml:space="preserve">Regain one Force power when you catch a second wind. </t>
  </si>
  <si>
    <t xml:space="preserve">Force Sensitivity, Force Training </t>
  </si>
  <si>
    <t xml:space="preserve">Forceful Recovery </t>
  </si>
  <si>
    <t xml:space="preserve">When charging, turn any natural attack roll of 17+ into a critical hit. </t>
  </si>
  <si>
    <t xml:space="preserve">Fleche </t>
  </si>
  <si>
    <t xml:space="preserve">Reduce the time and cost of bribery attempts. </t>
  </si>
  <si>
    <t xml:space="preserve">Expert Briber </t>
  </si>
  <si>
    <t>Make a Deception check to move through threatened area without provoking attack of opportunity.</t>
  </si>
  <si>
    <t xml:space="preserve">Trained in Deception </t>
  </si>
  <si>
    <t xml:space="preserve">Disturbing Presence </t>
  </si>
  <si>
    <t xml:space="preserve">Make an intimidation check when you deal damage with an attack of opportunity. </t>
  </si>
  <si>
    <t xml:space="preserve">Demoralizing Strike </t>
  </si>
  <si>
    <t xml:space="preserve">Use Knowledge (bureaucracy) in place of Gather Information. </t>
  </si>
  <si>
    <t>Trained in Knowledge (bureaucracy)</t>
  </si>
  <si>
    <t xml:space="preserve">Cut the Red Tape </t>
  </si>
  <si>
    <t xml:space="preserve">Instead of raging, gain +5 to Will Defense. </t>
  </si>
  <si>
    <t xml:space="preserve">Rage species trait </t>
  </si>
  <si>
    <t xml:space="preserve">Channel Rage </t>
  </si>
  <si>
    <t xml:space="preserve">Add your Intelligence bonus to your Reflex Defense as a reaction. </t>
  </si>
  <si>
    <t xml:space="preserve">Int 13 </t>
  </si>
  <si>
    <t xml:space="preserve">Brilliant Defense </t>
  </si>
  <si>
    <t xml:space="preserve">Move damaged grappled opponent -1 step on the condition track. </t>
  </si>
  <si>
    <t xml:space="preserve">Crush, Pin </t>
  </si>
  <si>
    <t xml:space="preserve">Bone Crusher </t>
  </si>
  <si>
    <t xml:space="preserve">Gain access to an additional talent. </t>
  </si>
  <si>
    <t xml:space="preserve">Adaptable Talent </t>
  </si>
  <si>
    <t>Do not sort from this column on</t>
  </si>
  <si>
    <t xml:space="preserve">Dex 15, Skill Focus (Deception), trained in the Deception and Stealth skills </t>
  </si>
  <si>
    <t xml:space="preserve">Trained in the Mechanics skill </t>
  </si>
  <si>
    <t xml:space="preserve">Dex 13, Dodge, Mobility, Skill Focus (Acrobatics), trained in the Acrobatics skill </t>
  </si>
  <si>
    <t>Species Selections</t>
  </si>
  <si>
    <t>Ability Score</t>
  </si>
  <si>
    <t>Knowledge Skill</t>
  </si>
  <si>
    <t>Doesn't need changing</t>
  </si>
  <si>
    <t>Overcharged Shot</t>
  </si>
  <si>
    <t>+1 die dam on next atk in same turn, weapon loses 1 die dam until full round passes</t>
  </si>
  <si>
    <t>UR 29</t>
  </si>
  <si>
    <t>Fast Attack Specialist</t>
  </si>
  <si>
    <t>1/enc w/Gargantuan or smaller vehicle make full atk as stan, spend FP for 1 additional time/enc</t>
  </si>
  <si>
    <t>Shunt Damage</t>
  </si>
  <si>
    <t>1/enc when your ship takes damage, Pilot vs adjacent ally ship Ref Def to shift damage to ally</t>
  </si>
  <si>
    <t>GoI 24</t>
  </si>
  <si>
    <t>Roll Out</t>
  </si>
  <si>
    <t>reroll Pilot to disengage from dogfight, if fail gunners do not take penalties to atk</t>
  </si>
  <si>
    <t>Clip</t>
  </si>
  <si>
    <t>when ramming take damage as though your ship is 2 sizes smaller, rammed ship is normal damage</t>
  </si>
  <si>
    <t>Master Defender</t>
  </si>
  <si>
    <t>fight defensively = +5 Ref Def &amp; -2 atk or +10 Ref Def &amp; -5 atk</t>
  </si>
  <si>
    <t>Detective</t>
  </si>
  <si>
    <t>DC to locate specific person with Gather Info is -10 &amp; bribe amount &amp; time are half</t>
  </si>
  <si>
    <t>Electronic Trail</t>
  </si>
  <si>
    <t>once you've found a target w/Gather Info, 1/day gain info on target if have network or HoloNet</t>
  </si>
  <si>
    <t>Familiar Enemies</t>
  </si>
  <si>
    <t>apply familiar foe to 2nd target, spend single full-rnd observing if can see both</t>
  </si>
  <si>
    <t>Familiar Situation</t>
  </si>
  <si>
    <t>apply familiar foe to your Fort &amp; Will Def</t>
  </si>
  <si>
    <t>Quick Cuffs</t>
  </si>
  <si>
    <t>w/successful grab can bind target to you or adjacent object, you &amp; target -2 Ref Def while together</t>
  </si>
  <si>
    <t>Revealing Secrets</t>
  </si>
  <si>
    <t>DC to learn secret info from Gather Info is -10 and bribe cost is one-fifth</t>
  </si>
  <si>
    <t>GoI 25</t>
  </si>
  <si>
    <t>Master Manipulator</t>
  </si>
  <si>
    <t>w/successful persuasion check make  2nd Persuasion of any type</t>
  </si>
  <si>
    <t>Small Favor</t>
  </si>
  <si>
    <t>1/day DC25 Persuasion for informant info for +10 1 Gather Info or Knowledge w/in next 24 hours</t>
  </si>
  <si>
    <t>Attract Superior Minion</t>
  </si>
  <si>
    <t>Attract Minion with NH level = to your character level</t>
  </si>
  <si>
    <t>Contingency Plan</t>
  </si>
  <si>
    <t>1/enc move your speed when you fail an attack, skill, or opposed check</t>
  </si>
  <si>
    <t>Extended Critical Range (simple weapons)</t>
  </si>
  <si>
    <t>weapon's crit range extended by 1</t>
  </si>
  <si>
    <t>UR 30</t>
  </si>
  <si>
    <t>Extended Threat</t>
  </si>
  <si>
    <t>threaten all squares w/in 2sq radius w/ranged weapon eligible for Atk of Opp</t>
  </si>
  <si>
    <t>Multiattack Proficiency (simple weapons)</t>
  </si>
  <si>
    <t>reduce Atk penalty by 2</t>
  </si>
  <si>
    <t>Two-For-One Throw</t>
  </si>
  <si>
    <t>throw 2 weapons at same enemy or target sq w/one hand, separate atks -10 &amp; weapons must be similar, range = 8sq</t>
  </si>
  <si>
    <t>Instrument of the Force</t>
  </si>
  <si>
    <t>when successfully Search Your Feelings gain FP &amp; use before end of enc, if use w/unfavorable gain Dark Side Point, if use &amp; gain Dark Side Point gain 2 points</t>
  </si>
  <si>
    <t>Mystical Link</t>
  </si>
  <si>
    <t>Long Call</t>
  </si>
  <si>
    <t>reduce DC for telepathy by half w/willing, reroll w/unwilling &amp; keep better, FP = # of targets = Cha mod (min 2) w/single UtF check</t>
  </si>
  <si>
    <t>DC30 UtF for 1 benefit as decided by GM: 1. Force power returned, 2. 1 FP for use before end of enc, 3. +1 use of Force-related talent or feat, 4. roll +1 die w/Force check &amp; select highest die rolled</t>
  </si>
  <si>
    <t>Blazing Chain</t>
  </si>
  <si>
    <t>Force Directed Shot</t>
  </si>
  <si>
    <t>choose 1 sq w/in 12sq &amp; LOS, treat as origin sq for next ranged energy atk, must have LOS to target</t>
  </si>
  <si>
    <t>UR 33</t>
  </si>
  <si>
    <t>Negate and Redirect</t>
  </si>
  <si>
    <t>when negate energy v. ranged redirect at enemy w/in 6sq, UtF v. Fort Def for half negated dam</t>
  </si>
  <si>
    <t>Rising Anger</t>
  </si>
  <si>
    <t>1/rnd as reac to ally taking dam or down track +1 atk next atk (up to max +5)</t>
  </si>
  <si>
    <t>Rising Panic</t>
  </si>
  <si>
    <t>1/rnd as reac to ally taking dam or down track UtF v. Will Def to move target -1 track, if enemy moved to bottom of track not unconscious but must flee for 1 min until moves up track</t>
  </si>
  <si>
    <t>Damaging Disarm</t>
  </si>
  <si>
    <t>When you disarm with a ranged attack, deal half damage</t>
  </si>
  <si>
    <t>Lingering Debilitation</t>
  </si>
  <si>
    <t xml:space="preserve">1/enc target -1 down track &amp; persistent condition </t>
  </si>
  <si>
    <t>UR 31</t>
  </si>
  <si>
    <t>Pistol Duelist</t>
  </si>
  <si>
    <t>1/enc for each: 1. 1 atk target's thresh is half, 2. 1 atk as though aimed, 3. +4 Ref Def for 1 turn &amp; make 1 atk</t>
  </si>
  <si>
    <t>Retreating Fire</t>
  </si>
  <si>
    <t>away from pursuing target run or use 2 swif &amp; make single -5 atk as part of move, FP to avoid -5</t>
  </si>
  <si>
    <t>Slowing Shot</t>
  </si>
  <si>
    <t>target's spd -2 until move to normal on track or until end of enc &amp; loses Dex to Def &amp; flat-footed, spend FP for -4sq or half whichever is greater</t>
  </si>
  <si>
    <t>Swift Shot</t>
  </si>
  <si>
    <t>1/enc make single ranged atk w/handheld weapon as swif not stan, cannot use remaining for atk</t>
  </si>
  <si>
    <t>Sense Primal Force</t>
  </si>
  <si>
    <t>can use Sense Surroundings to detect targets 30sq radius, regardless of LOS</t>
  </si>
  <si>
    <t>UR 19</t>
  </si>
  <si>
    <t>Exile</t>
  </si>
  <si>
    <t>Arrogant Bluster</t>
  </si>
  <si>
    <t>Persuasion to change enemy's attitude for -5 enemy's Will Def until next turn, FP for end of enc</t>
  </si>
  <si>
    <t>Band Together</t>
  </si>
  <si>
    <t>1/enc each: 1. swif 1 enemy whenever an ally w/in 12sq hits target +1d6 dam, 2. swif grant allies w/in 12sq &amp; LOS +5 Will Def until end next turn, 3. w/Persuasion unfriendly or indifferent into ally for enc direct target as swif</t>
  </si>
  <si>
    <t>Galactic Guidance</t>
  </si>
  <si>
    <t>1/enc as reac if succeed on Know (galactic lore) enable 1 ally w/in 6sq &amp; LOS to reroll failed Int or Wis based skill check (other than Perception)</t>
  </si>
  <si>
    <t>UR 20</t>
  </si>
  <si>
    <t>Rant</t>
  </si>
  <si>
    <t>if succeed on Persuasion to intimidate enemy w/in 6sq deny enemy move instead, grant 1 ally to use move immediately</t>
  </si>
  <si>
    <t>Self-Reliant</t>
  </si>
  <si>
    <t>1/enc use 1 talent from Inspiration tree on yourself</t>
  </si>
  <si>
    <t>Coordinated Leadership</t>
  </si>
  <si>
    <t>1 talent from Leadership tree stacks w/bonuses from others</t>
  </si>
  <si>
    <t>Master of Intrigue</t>
  </si>
  <si>
    <t>GoI 20</t>
  </si>
  <si>
    <t>Done It All</t>
  </si>
  <si>
    <t>Choose two talents you meet reqs. Spend FP to gain access 1/turn until the end of your next turn</t>
  </si>
  <si>
    <t>Get into Position</t>
  </si>
  <si>
    <t>1/enc at the start of your first turn two allies in LOS and 12 sq move their speed as reac</t>
  </si>
  <si>
    <t>1/enc each: 1. ally w/in 5 sq &amp; LOS +5 up track &amp; +2 atk &amp; skills, 2. roll d20 as reac can replace enemy or ally in LOS d20 roll, 3. ally w/in 5 sq &amp; LOS can replace their def with your def as reac for next</t>
  </si>
  <si>
    <t>Advanced Planning</t>
  </si>
  <si>
    <t>Retaliation</t>
  </si>
  <si>
    <t>Skill Challenge</t>
  </si>
  <si>
    <t>Guaranteed Boon</t>
  </si>
  <si>
    <t>If you spend FP on skill roll and fail regain FP</t>
  </si>
  <si>
    <t>Leading Skill</t>
  </si>
  <si>
    <t>When you succeed with skill in skill challenge, gain +2 on different skill roll in same challenge</t>
  </si>
  <si>
    <t>Learn from Mistakes</t>
  </si>
  <si>
    <t>When you fail check in skill challenge, next ally gains +2 with different skill</t>
  </si>
  <si>
    <t>Try Your Luck</t>
  </si>
  <si>
    <t>When you fail check in skill challenge choose ally. Next use of same skill roll 2 dice &amp; keep better</t>
  </si>
  <si>
    <t>Superior Skills</t>
  </si>
  <si>
    <t>Lose competence bonuses on 1 skill to roll 2 dice keep better</t>
  </si>
  <si>
    <t>GoI 21</t>
  </si>
  <si>
    <t>Critical Skill Success</t>
  </si>
  <si>
    <t>When you roll nat 20 on a skill, choose different skill. Gain +5 before end of next turn as free</t>
  </si>
  <si>
    <t>when you roll a nat 2-7, treat as 8.</t>
  </si>
  <si>
    <t>Reliable Boon</t>
  </si>
  <si>
    <t>Reroll FP dice that show 1 on a skill check &amp; reroll until it is 2 or higher</t>
  </si>
  <si>
    <t>increase FP dice to next higher on 1 skill (d6 to d8, d8 to d10, d10 to d12)</t>
  </si>
  <si>
    <t>nat 19 or 20 gain benefit of Critical Skill Success and bonus hp = Cha mod</t>
  </si>
  <si>
    <t>When failing to get min result of check of 1 skill, gain FP only usable on that skill before end of enc</t>
  </si>
  <si>
    <t>Irregular Tactics</t>
  </si>
  <si>
    <t>after using share talent Knowledge (tactics) as free to replace DC of any talents from this tree</t>
  </si>
  <si>
    <t>any character that would benefit from shared talent: 1. DC -5, 2. +2 atk Def or dam, 3. reduce dam taken by 10</t>
  </si>
  <si>
    <t>Commander's Prerogative</t>
  </si>
  <si>
    <t>after surprise rnd take your turn before allies but must share talent (special quality, Commando, Leadership or Military Tactics), next rnd return to normal spot in Init order</t>
  </si>
  <si>
    <t>Turn the Tide</t>
  </si>
  <si>
    <t>1/enc after first round Knowledge (tactics) v. Will Def of enemies w/in 12sq &amp; LOS for enemies to reroll Init at start of next round, allies in LOS can choose to reroll</t>
  </si>
  <si>
    <t>Outsider</t>
  </si>
  <si>
    <t>Oafish</t>
  </si>
  <si>
    <t>1/enc when fail Deception or Persuasion check add +1d6 + Wis mod to check</t>
  </si>
  <si>
    <t>Outsider's Eye</t>
  </si>
  <si>
    <t>1/enc DC 20 Perception as stan gain 1 piece of info: 1 Def score of 1 character or vehicle in LOS or identify same with either lowest or highest hp or on highest or lowest on track</t>
  </si>
  <si>
    <t>Wary</t>
  </si>
  <si>
    <t>if enemy fails Stealth or Deception v. your Perception you can take move as reac, if multiple fail, your moves cannot exceed Dex mod</t>
  </si>
  <si>
    <t>UR 21</t>
  </si>
  <si>
    <t>Outsider's Query</t>
  </si>
  <si>
    <t>if fail Persuasion to change attitude, attitude does not change &amp; can attempt to change attitude one additional time per enc</t>
  </si>
  <si>
    <t>Revolutionary</t>
  </si>
  <si>
    <t>Bomb Thrower</t>
  </si>
  <si>
    <t>+5 to Mechanics checks for handling explosives &amp; create frag grenade from spare parts</t>
  </si>
  <si>
    <t>Make an Example</t>
  </si>
  <si>
    <t>when you hit with attack and damage exceeds thresh target takes -5 to hit you until end of your turn</t>
  </si>
  <si>
    <t>GoI 22</t>
  </si>
  <si>
    <t>For the Cause</t>
  </si>
  <si>
    <t>If you or ally w/in 6sq takes dam over thresh you &amp; all allies in 6 sq +2 attack 7 dam until next turn</t>
  </si>
  <si>
    <t>Revolutionary Rhetoric</t>
  </si>
  <si>
    <t>target w/in 12 sq &amp; LOS Persuasion vs Will or target can't take stan actions until your next turn</t>
  </si>
  <si>
    <t>Deep Space Raider</t>
  </si>
  <si>
    <t>1/enc each: 1. fighting aboard a starship as stan w/ranged atk if hit next turn target must move its spd to sq not adjacent or vehicle disengages from dogfight, 2. as full if pilot move vehicle spd x2 &amp; 1 atk - if hit &amp; deal dam target -2 atk v. you until end of your next turn, 3. make ranged atk w/vehicle if hit &amp; deal dam choose 1 effect until end of next turn - a. 1 weapon doesn't function, b. target's SR 0, c. target's spd reduced to 2</t>
  </si>
  <si>
    <t>Extended Ambush</t>
  </si>
  <si>
    <t>during surprise rnd if make ranged atk v. surprised aim as free</t>
  </si>
  <si>
    <t>Espionage</t>
  </si>
  <si>
    <t>Fade Out</t>
  </si>
  <si>
    <t>Stealth replaces Deception to create diversion to hide, +5 if trained in Deception</t>
  </si>
  <si>
    <t>Keep Together</t>
  </si>
  <si>
    <t>when hit or missed by attack move speed as reac &amp; must end adjacent to ally, no AoO</t>
  </si>
  <si>
    <t>Prudent Escape</t>
  </si>
  <si>
    <t>When you reduce enemy to 0 hp/uncon you &amp; 2 allies w/in 6 sq &amp; LOS move spd as reac, no AoO</t>
  </si>
  <si>
    <t>Reactive Stealth</t>
  </si>
  <si>
    <t>when missed by ranged atk &amp; have cover/conceal move half spd &amp; make Stealth check if still conceal</t>
  </si>
  <si>
    <t>Sizing Up</t>
  </si>
  <si>
    <t>1/enc Perception vs Will of target within 6 sq &amp; LOS for +2 bonus to skill &amp; attacks for enc</t>
  </si>
  <si>
    <t>GoI 23</t>
  </si>
  <si>
    <t>Silent Movement</t>
  </si>
  <si>
    <t>Mobile Scout</t>
  </si>
  <si>
    <t>Battle Mount</t>
  </si>
  <si>
    <t>1/enc each on mount: 1. if use mount as cover can make 1 atk, 2. if use mount as cover gain improved cover - if fail by 10 or more still get cover, 3. mount can make atk as swif not stan</t>
  </si>
  <si>
    <t>UR 22</t>
  </si>
  <si>
    <t>Expert Rider</t>
  </si>
  <si>
    <t>reroll Ride</t>
  </si>
  <si>
    <t>UR 23</t>
  </si>
  <si>
    <t>Mechanized Rider</t>
  </si>
  <si>
    <t>w/speeder can use Fast Mount or Dismount, Soft Fall, Stay in Saddle &amp; Use Mount as Cover of Ride</t>
  </si>
  <si>
    <t>Terrain Guidance</t>
  </si>
  <si>
    <t>DC20 Ride to negate difficult terrain</t>
  </si>
  <si>
    <t>Master Scout</t>
  </si>
  <si>
    <t>Piercing Hit</t>
  </si>
  <si>
    <t>1/enc each w/melee or ranged as stan if hit &amp; dam: 1. target loses its armor bonus to Ref Def &amp; is flat-footed, target must spend stan to adjust armor, 2. target -2 atk until end next turn &amp; all creatures etc have concealment from target, 3. target's spd -2 until end next turn</t>
  </si>
  <si>
    <t>Speedclimber</t>
  </si>
  <si>
    <t>Surprisingly Quick</t>
  </si>
  <si>
    <t>in surprise rnd if not surprised can take swif in addition to other action, if surprised can take swif</t>
  </si>
  <si>
    <t>Tripwire</t>
  </si>
  <si>
    <t>Quicktrap</t>
  </si>
  <si>
    <t>use Tripwire as move not stan</t>
  </si>
  <si>
    <t>Disarm and Engage</t>
  </si>
  <si>
    <t>When successfully disarm, make immediate free -5 atk w/ disarmed weapon or -10 if not proficient</t>
  </si>
  <si>
    <t>Entangler</t>
  </si>
  <si>
    <t>When grabbing, you take -2 to attacks not -5, target takes -5 to all attacks</t>
  </si>
  <si>
    <t>Crowd Control</t>
  </si>
  <si>
    <t>Grab 2 adjacent targets at once</t>
  </si>
  <si>
    <t>Reverse Strength</t>
  </si>
  <si>
    <t>successful grapple deals target's strength modifier as damage (min 1)</t>
  </si>
  <si>
    <t>Dedicated Protector</t>
  </si>
  <si>
    <t>1/enc designate ally within 6 sq ally &amp; ally gains +1 Ref Def while adjacent</t>
  </si>
  <si>
    <t>Coordinated Effort</t>
  </si>
  <si>
    <t>+2 damage when aiding your Dedicated Protector on an atk</t>
  </si>
  <si>
    <t>Dedicated Guardian</t>
  </si>
  <si>
    <t>1/enc each for Dedicated Protector: 1. swif to grant Evasion &amp; if has Evasion dam is 1 die less, 2. move down track for ally as reac, 3. swift to gain flank on target if you are adjacent to both</t>
  </si>
  <si>
    <t>w/Harm's Way can move into sq of ally &amp; move ally to any legal adjacent sq w/out Atk of Opp</t>
  </si>
  <si>
    <t>Warrior</t>
  </si>
  <si>
    <t>Simple Opportunity</t>
  </si>
  <si>
    <t>can make Atk of Opp when using ranged or thrown simple weapon (no area atk weapons)</t>
  </si>
  <si>
    <t>when enemy makes unarmed/melee atk for 2nd time in enc v. you make Perception as reac to gain +1 Ref &amp; Fort Def v. for rest of enc, can switch targets by not using for 1 full rnd</t>
  </si>
  <si>
    <t>1/enc each: 1. w/2nd Wind +1 track &amp; remove fear/mind effects &amp; normal, 2. when hit &amp; dam target over thresh can Disarm v. target as free, 3. w/successful unarmed or melee atk (not lightsaber) + dam = every 5 pts atk is over Ref Def</t>
  </si>
  <si>
    <t>Quick Study</t>
  </si>
  <si>
    <t>1/enc if enemy uses non-Force talent you can use same talent next turn if have same weapon/item</t>
  </si>
  <si>
    <t>Warrior's Determination</t>
  </si>
  <si>
    <t>1/enc ignore 1 non-Force effect, talent, skill or ability that exceeds Will Def, if spend FP ignore mind effect even if Force</t>
  </si>
  <si>
    <t>Assured Skill (Acrobatics)</t>
  </si>
  <si>
    <t>Assured Skill (Climb)</t>
  </si>
  <si>
    <t>Assured Skill (Deception)</t>
  </si>
  <si>
    <t>Assured Skill (Endurance)</t>
  </si>
  <si>
    <t>Assured Skill (Gather Information)</t>
  </si>
  <si>
    <t>Assured Skill (Initiative)</t>
  </si>
  <si>
    <t>Assured Skill (Jump)</t>
  </si>
  <si>
    <t>Assured Skill (Mechanics)</t>
  </si>
  <si>
    <t>Assured Skill (Perception)</t>
  </si>
  <si>
    <t>Assured Skill (Persuasion)</t>
  </si>
  <si>
    <t>Assured Skill (Pilot)</t>
  </si>
  <si>
    <t>Assured Skill (Ride)</t>
  </si>
  <si>
    <t>Assured Skill (Stealth)</t>
  </si>
  <si>
    <t>Assured Skill (Survival)</t>
  </si>
  <si>
    <t>Assured Skill (Swim)</t>
  </si>
  <si>
    <t>Assured Skill (Treat Injury)</t>
  </si>
  <si>
    <t>Assured Skill (Use Computer)</t>
  </si>
  <si>
    <t>Assured Skill (Use the Force)</t>
  </si>
  <si>
    <t>Assured Skill (Knowledge [Bureaucracy])</t>
  </si>
  <si>
    <t>Assured Skill (Knowledge [Galactic Lore])</t>
  </si>
  <si>
    <t>Assured Skill (Knowledge [Life Sciences])</t>
  </si>
  <si>
    <t>Assured Skill (Knowledge [Physical Sciences])</t>
  </si>
  <si>
    <t>Assured Skill (Knowledge [Social Sciences])</t>
  </si>
  <si>
    <t>Assured Skill (Knowledge [Tactics])</t>
  </si>
  <si>
    <t>Assured Skill (Knowledge [Technology])</t>
  </si>
  <si>
    <t>Skill Confidence (Acrobatics)</t>
  </si>
  <si>
    <t>Skill Confidence (Climb)</t>
  </si>
  <si>
    <t>Skill Confidence (Deception)</t>
  </si>
  <si>
    <t>Skill Confidence (Endurance)</t>
  </si>
  <si>
    <t>Skill Confidence (Gather Information)</t>
  </si>
  <si>
    <t>Skill Confidence (Initiative)</t>
  </si>
  <si>
    <t>Skill Confidence (Jump)</t>
  </si>
  <si>
    <t>Skill Confidence (Knowledge [Bureaucracy])</t>
  </si>
  <si>
    <t>Skill Confidence (Knowledge [Galactic Lore])</t>
  </si>
  <si>
    <t>Skill Confidence (Knowledge [Life Sciences])</t>
  </si>
  <si>
    <t>Skill Confidence (Knowledge [Physical Sciences])</t>
  </si>
  <si>
    <t>Skill Confidence (Knowledge [Social Sciences])</t>
  </si>
  <si>
    <t>Skill Confidence (Knowledge [Tactics])</t>
  </si>
  <si>
    <t>Skill Confidence (Knowledge [Technology])</t>
  </si>
  <si>
    <t>Skill Confidence (Mechanics)</t>
  </si>
  <si>
    <t>Skill Confidence (Perception)</t>
  </si>
  <si>
    <t>Skill Confidence (Persuasion)</t>
  </si>
  <si>
    <t>Skill Confidence (Pilot)</t>
  </si>
  <si>
    <t>Skill Confidence (Ride)</t>
  </si>
  <si>
    <t>Skill Confidence (Stealth)</t>
  </si>
  <si>
    <t>Skill Confidence (Survival)</t>
  </si>
  <si>
    <t>Skill Confidence (Swim)</t>
  </si>
  <si>
    <t>Skill Confidence (Treat Injury)</t>
  </si>
  <si>
    <t>Skill Confidence (Use Computer)</t>
  </si>
  <si>
    <t>Skill Confidence (Use the Force)</t>
  </si>
  <si>
    <t>Exceptional Skill (Acrobatics)</t>
  </si>
  <si>
    <t>Exceptional Skill (Climb)</t>
  </si>
  <si>
    <t>Exceptional Skill (Deception)</t>
  </si>
  <si>
    <t>Exceptional Skill (Endurance)</t>
  </si>
  <si>
    <t>Exceptional Skill (Gather Information)</t>
  </si>
  <si>
    <t>Exceptional Skill (Initiative)</t>
  </si>
  <si>
    <t>Exceptional Skill (Jump)</t>
  </si>
  <si>
    <t>Exceptional Skill (Knowledge [Bureaucracy])</t>
  </si>
  <si>
    <t>Exceptional Skill (Knowledge [Galactic Lore])</t>
  </si>
  <si>
    <t>Exceptional Skill (Knowledge [Life Sciences])</t>
  </si>
  <si>
    <t>Exceptional Skill (Knowledge [Physical Sciences])</t>
  </si>
  <si>
    <t>Exceptional Skill (Knowledge [Social Sciences])</t>
  </si>
  <si>
    <t>Exceptional Skill (Knowledge [Tactics])</t>
  </si>
  <si>
    <t>Exceptional Skill (Knowledge [Technology])</t>
  </si>
  <si>
    <t>Exceptional Skill (Mechanics)</t>
  </si>
  <si>
    <t>Exceptional Skill (Perception)</t>
  </si>
  <si>
    <t>Exceptional Skill (Persuasion)</t>
  </si>
  <si>
    <t>Exceptional Skill (Pilot)</t>
  </si>
  <si>
    <t>Exceptional Skill (Ride)</t>
  </si>
  <si>
    <t>Exceptional Skill (Stealth)</t>
  </si>
  <si>
    <t>Exceptional Skill (Survival)</t>
  </si>
  <si>
    <t>Exceptional Skill (Swim)</t>
  </si>
  <si>
    <t>Exceptional Skill (Treat Injury)</t>
  </si>
  <si>
    <t>Exceptional Skill (Use Computer)</t>
  </si>
  <si>
    <t>Exceptional Skill (Use the Force)</t>
  </si>
  <si>
    <t>Skill Boon (Acrobatics)</t>
  </si>
  <si>
    <t>Skill Boon (Climb)</t>
  </si>
  <si>
    <t>Skill Boon (Deception)</t>
  </si>
  <si>
    <t>Skill Boon (Endurance)</t>
  </si>
  <si>
    <t>Skill Boon (Gather Information)</t>
  </si>
  <si>
    <t>Skill Boon (Initiative)</t>
  </si>
  <si>
    <t>Skill Boon (Jump)</t>
  </si>
  <si>
    <t>Skill Boon (Knowledge [Bureaucracy])</t>
  </si>
  <si>
    <t>Skill Boon (Knowledge [Galactic Lore])</t>
  </si>
  <si>
    <t>Skill Boon (Knowledge [Life Sciences])</t>
  </si>
  <si>
    <t>Skill Boon (Knowledge [Physical Sciences])</t>
  </si>
  <si>
    <t>Skill Boon (Knowledge [Social Sciences])</t>
  </si>
  <si>
    <t>Skill Boon (Knowledge [Tactics])</t>
  </si>
  <si>
    <t>Skill Boon (Knowledge [Technology])</t>
  </si>
  <si>
    <t>Skill Boon (Mechanics)</t>
  </si>
  <si>
    <t>Skill Boon (Perception)</t>
  </si>
  <si>
    <t>Skill Boon (Persuasion)</t>
  </si>
  <si>
    <t>Skill Boon (Pilot)</t>
  </si>
  <si>
    <t>Skill Boon (Ride)</t>
  </si>
  <si>
    <t>Skill Boon (Stealth)</t>
  </si>
  <si>
    <t>Skill Boon (Survival)</t>
  </si>
  <si>
    <t>Skill Boon (Swim)</t>
  </si>
  <si>
    <t>Skill Boon (Treat Injury)</t>
  </si>
  <si>
    <t>Skill Boon (Use Computer)</t>
  </si>
  <si>
    <t>Skill Boon (Use the Force)</t>
  </si>
  <si>
    <t>Skillful Recovery (Acrobatics)</t>
  </si>
  <si>
    <t>Skillful Recovery (Climb)</t>
  </si>
  <si>
    <t>Skillful Recovery (Deception)</t>
  </si>
  <si>
    <t>Skillful Recovery (Endurance)</t>
  </si>
  <si>
    <t>Skillful Recovery (Gather Information)</t>
  </si>
  <si>
    <t>Skillful Recovery (Initiative)</t>
  </si>
  <si>
    <t>Skillful Recovery (Jump)</t>
  </si>
  <si>
    <t>Skillful Recovery (Knowledge [Bureaucracy])</t>
  </si>
  <si>
    <t>Skillful Recovery (Knowledge [Galactic Lore])</t>
  </si>
  <si>
    <t>Skillful Recovery (Knowledge [Life Sciences])</t>
  </si>
  <si>
    <t>Skillful Recovery (Knowledge [Physical Sciences])</t>
  </si>
  <si>
    <t>Skillful Recovery (Knowledge [Social Sciences])</t>
  </si>
  <si>
    <t>Skillful Recovery (Knowledge [Tactics])</t>
  </si>
  <si>
    <t>Skillful Recovery (Knowledge [Technology])</t>
  </si>
  <si>
    <t>Skillful Recovery (Mechanics)</t>
  </si>
  <si>
    <t>Skillful Recovery (Perception)</t>
  </si>
  <si>
    <t>Skillful Recovery (Persuasion)</t>
  </si>
  <si>
    <t>Skillful Recovery (Pilot)</t>
  </si>
  <si>
    <t>Skillful Recovery (Ride)</t>
  </si>
  <si>
    <t>Skillful Recovery (Stealth)</t>
  </si>
  <si>
    <t>Skillful Recovery (Survival)</t>
  </si>
  <si>
    <t>Skillful Recovery (Swim)</t>
  </si>
  <si>
    <t>Skillful Recovery (Treat Injury)</t>
  </si>
  <si>
    <t>Skillful Recovery (Use Computer)</t>
  </si>
  <si>
    <t>Skillful Recovery (Use the Force)</t>
  </si>
  <si>
    <t>Availability Override</t>
  </si>
  <si>
    <t>Trait/Special Quality</t>
  </si>
  <si>
    <t>Tail</t>
  </si>
  <si>
    <t>Tail Slam</t>
  </si>
  <si>
    <t>--- Beast Traits ---</t>
  </si>
  <si>
    <t>The beast deals an additional 2d6 points of damage with its natural weapons against an enemy that is flat-footed or that is denied its Dexterity bonus.</t>
  </si>
  <si>
    <t>Constrict</t>
  </si>
  <si>
    <t>If the beast successfully grapples an enemy, it can use the Crush and Pin feats as normal. When crushing, however, the beast deals damage equal to 2d6 + its Strength modifier + half its beast class level rounded down.</t>
  </si>
  <si>
    <t>Devour</t>
  </si>
  <si>
    <t>If the beast hits with its bite attack against a target two size categories or more smaller than itself, it can automatically make a grapple check with its bite attack at its full bonus (even if it has already taken a full-round action). If the grapple check is successful, the beast can begin devouring its target, and each round the target is in the beast's mouth, the beast deals damage equal to 1d8 + its Strength modifier + half its beast class level rounded down. If the target reaches 0 hit points, it is swallowed by the beast and continues to take 1d6 points of acid damage each round.</t>
  </si>
  <si>
    <t>Ferocious</t>
  </si>
  <si>
    <t>The beast can reroll a failed attack with one of its natural weapons.</t>
  </si>
  <si>
    <t>The beast gives a +4 bonus instead of a +2 bonus when using the aid another action.</t>
  </si>
  <si>
    <t>The beast delivers poison through a bite, a claw, or a sting natural weapon attack. If the beast deals damage to a living ta rget, the target is also poisoned. If the poison succeeds on an attack roll (1d20+ 10) against  the target's Fortitude Defense, the target moves -1 step along the condition track. A target moved to the bottom of the condition track by the poison is immobilized but not un conscious. The poison attacks each round until cured with a successful DC 5, 10,15, or 20 (select one) Treat Injury check.</t>
  </si>
  <si>
    <t>Pounce</t>
  </si>
  <si>
    <t>When long jumping, the beast does not require a running start for jumps of 4 squares or fewer and does not double the Jump DC when doing so (see page 68 of the Saga Edition core rulebook). lf the beast successfully jumps into or adjacent to a target enemy's square, the beast can make an immediate attack against the target. If the attack is successful, the beast can attempt to trip the target (as if using the Trip feat on page 88 of the Saga Edition core rulebook) as a free action that does not provoke attacks of opportunity.</t>
  </si>
  <si>
    <t>Tremorsense</t>
  </si>
  <si>
    <t>If the beast hits with both of its claw attacks in the same turn, it rends the enemy for an additional 2d6 points of damage.</t>
  </si>
  <si>
    <t>The beast automatically senses the location of anything that is in contact with the ground and with in 100 squares (no Perception check required).</t>
  </si>
  <si>
    <t>If the beast hits with a tail attack, it can attempt to trip an enemy (as if using the Trip feat) as a free action that does not provoke attacks of opportunity.</t>
  </si>
  <si>
    <t>The beast's natural coloration changes to mimic its surroundings. The beast ignores its size modifier when it makes Stealth checks.</t>
  </si>
  <si>
    <t>The beast automatically regains 5 (or 10 if the beast is Gargantuan or larger) hit points every round at the end of its turn, up to its normal maximum, until it is killed.</t>
  </si>
  <si>
    <t>Fast Healing</t>
  </si>
  <si>
    <t>Roar</t>
  </si>
  <si>
    <t>As a move action, the beast produces a terrifying, rumbling sound and makes a Persuasion check to intimidate (see page 71 of the Saga Edition core rulebook) any enemy target within 6 squares of it. If the attempt succeeds, the target must move away from the beast on the target's next turn, and the target moves -1 step on the condition track. Th is is a mindaffecting effect.</t>
  </si>
  <si>
    <t>The beast ignores concealment and cover when making Perception checks to notice enemies within 10 squares, and takes no penalty from poor visibility when tracking (see the Survival skill on page 73 of the Saga Edition core rulebook).</t>
  </si>
  <si>
    <t>Screech</t>
  </si>
  <si>
    <t>As a swift action, the beast produces a piercing, high-pitched sound. The beast makes an attack roll (1d20+ 10) against the Fortitude Defense of every character within 6 squares of it. If the attack succeeds, the target takes a -5 circumstance penalty against Perception checks and skill checks requiring concentration, and the target has difficulty hearing until the end of the beast's next turn.</t>
  </si>
  <si>
    <t>Aerobatics</t>
  </si>
  <si>
    <t>As part of its move action, a flying beast uses the Tumble ability of the Acrobatics skill (see page 63 of the Saga Edition core rulebook) to fly through a threatened area or the fighting space of an enemy without provoking an attack of opportunity. The beast must make a successful DC 15 Acrobatics check and is considered trained in Acrobatics for the purpose of using this special quality.</t>
  </si>
  <si>
    <t>Diving Attack</t>
  </si>
  <si>
    <t>The flying beast dives sharply to attack an enemy at a lower altitude. When making a Charge attack (see page 152 of the Saga Edition core rulebook. In addition to the competence bonus granted by the charge attack, the beast gains a + 1 circumstance bonus to its attack roll (up to a +5 total circumstance bonus) for every square the flying beast moves downward. Additionally, the beast can use a move action after resolving the charge attack. Until the end of its next turn, the beast takes a -2 penalty to its Reflex Defense because of the charge action.</t>
  </si>
  <si>
    <t>Electroshock</t>
  </si>
  <si>
    <t>When in water or underwater, the beast produces a short-range electrical jolt. As a standard action, the beast makes an area attack (1d20+ 10) centered on one of its own squares against the Fortitude Defense of all creatures in adjacent squares. If the attack is successful, the target takes 4d6 points of energy damage. If unsuccessful, the target takes half damage.</t>
  </si>
  <si>
    <t>Ink Cloud</t>
  </si>
  <si>
    <t>When in water or underwater, as a swift action, the beast produces an inky substance, which expands out from the creature in all directions at a rate of 1 square per round, up to a 3-square radius. The cloud grants concealment to characters within or behind it. Additionally, the beast makes an attack roll (1d20+5) against the Fortitude Defense of water-breathing creatures within the cloud. If the attack succeeds, the target takes 1d6 points of damage and moves -1 step on the condition track. If the attack fails, the target takes half damage and does not move on the condition track.</t>
  </si>
  <si>
    <t>Icy Shock</t>
  </si>
  <si>
    <t>When the beast succeeds with a melee attack using its natural weapon and the attack deals damage greater than the target's damage threshold, the target takes an additional 5 points of damage and moves -1 step on the condition track. Targets with the arctic species trait are immune to this special quality.</t>
  </si>
  <si>
    <t>The beast can kick up a huge cloud when in dusty, dirty, or sandy terrain. Any square the beast passes through, as well as any adjacent squares, provides concealment until the end of the beast's next turn. The beast can remain stationary, but it must expend a move action to produce the effect. Make an attack roll (1d20+5) against the Fortitude Defense of all targets within the cloud. If the attack is successful, the targets are blinded for as long as they remain in the cloud (see page 254 of the Saga Edition core rulebook).</t>
  </si>
  <si>
    <t>Dustball</t>
  </si>
  <si>
    <t>Rumble</t>
  </si>
  <si>
    <t>As a full-round action, the beast violently shakes the ground around it, making an attack roll (1d20+ 10) against the Reflex Defense of all characters on (or under) the ground within 6 squares of the beast. If the attack is successful, standing or sitting targets are knocked prone. If the attack fails, the cost of all movement on or through the ground is doubled until the end of the beast's next turn (or until it is killed or incapacitated). Underground targets caught in a successful rumble attack cannot move. Any target that is knocked prone can get up as a full-round action, but the target is subject to further rumble attacks. The rumble lasts for a number of rounds equal to the beast's Constitution bonus (minimum 21. making an attack each round. The beast can extend the duration with a successful DC 20 Endurance check.</t>
  </si>
  <si>
    <t>Underground Speed</t>
  </si>
  <si>
    <t>The beast can move underground, burrowing through dirt and rocky soil but not solid rock. Typically, the beast's speed is 3 squares when moving underground, although you can alter its speed due to the soil conditions.</t>
  </si>
  <si>
    <t>Undertow (Subterranean)</t>
  </si>
  <si>
    <t>This beast can pull its prey under the surface of the ground. As an attack action, the beast makes an attack against a target's Fortitude Defense. If the attack is successful, the target is pulled below the surface of the ground and moves -1 step on the condition track. The target is unable to take any additional actions until it succeeds on a DC 15 Climb check as a standard action.</t>
  </si>
  <si>
    <t>Naturally resistant to poisons, disease, radiation, or other hazards, gaining a +2 species bonus to Fortitude Defense. Gamemaster can restrict resistance to a single, specific hazard.</t>
  </si>
  <si>
    <t>SECOND WIND</t>
  </si>
  <si>
    <t>USES</t>
  </si>
  <si>
    <t>Background</t>
  </si>
  <si>
    <t>Bankrupt</t>
  </si>
  <si>
    <t>Conspiracy</t>
  </si>
  <si>
    <t>Crippled</t>
  </si>
  <si>
    <t>Disgraced</t>
  </si>
  <si>
    <t>Enslaved</t>
  </si>
  <si>
    <t>Exiled</t>
  </si>
  <si>
    <t>Imprisoned</t>
  </si>
  <si>
    <t>Marooned</t>
  </si>
  <si>
    <t>Orphaned</t>
  </si>
  <si>
    <t>Scarred</t>
  </si>
  <si>
    <t>Widowed</t>
  </si>
  <si>
    <t>Academic</t>
  </si>
  <si>
    <t>Celebrity</t>
  </si>
  <si>
    <t>Criminal</t>
  </si>
  <si>
    <t>Executive</t>
  </si>
  <si>
    <t>Labor</t>
  </si>
  <si>
    <t>Medical</t>
  </si>
  <si>
    <t>Politics</t>
  </si>
  <si>
    <t>Technology</t>
  </si>
  <si>
    <t>Alderaan</t>
  </si>
  <si>
    <t>Bakura</t>
  </si>
  <si>
    <t>Bespin</t>
  </si>
  <si>
    <t>Bothawui</t>
  </si>
  <si>
    <t>Cerea</t>
  </si>
  <si>
    <t>Corellia</t>
  </si>
  <si>
    <t>Coruscant</t>
  </si>
  <si>
    <t>Dorin</t>
  </si>
  <si>
    <t>Duro</t>
  </si>
  <si>
    <t>Fondor</t>
  </si>
  <si>
    <t>Gamorr</t>
  </si>
  <si>
    <t>Iridonia</t>
  </si>
  <si>
    <t>Ithor</t>
  </si>
  <si>
    <t>Naboo</t>
  </si>
  <si>
    <t>Rodia</t>
  </si>
  <si>
    <t>Ryloth</t>
  </si>
  <si>
    <t>Socorro</t>
  </si>
  <si>
    <t>Sullust</t>
  </si>
  <si>
    <t>Taris</t>
  </si>
  <si>
    <t>Tatooine</t>
  </si>
  <si>
    <t>Trandosha</t>
  </si>
  <si>
    <t>BACKGROUND</t>
  </si>
  <si>
    <t>Kashyyyk</t>
  </si>
  <si>
    <t>Law_Enforcement</t>
  </si>
  <si>
    <t>Mon_Calamari</t>
  </si>
  <si>
    <t>Nar_Shaddaa</t>
  </si>
  <si>
    <t>Law Enforcement</t>
  </si>
  <si>
    <t>Nar Shaddaa</t>
  </si>
  <si>
    <t xml:space="preserve">Background skills to add: </t>
  </si>
  <si>
    <t>Trained</t>
  </si>
  <si>
    <t>Skill Training Feat</t>
  </si>
  <si>
    <t>Notes</t>
  </si>
  <si>
    <t>Can use Survival skill to sustain yourself on urban or civilized environments</t>
  </si>
  <si>
    <t>Can reroll any Perception check made to sense Deception or influence, keeping the better result</t>
  </si>
  <si>
    <t>When you try to disguise yourself with a difficult deception, you instead treat it as a moderate deception</t>
  </si>
  <si>
    <t>You gain a +2 bonus to all grapple checks</t>
  </si>
  <si>
    <t>You can plot a safe course for hyperspace travel in half the normal time. Adittionally, if trained in Knowledge (Galactic Lore), you gain Skill Focus (Galactic Lore)</t>
  </si>
  <si>
    <t>When your Fort Def is reduced due to moving down the condition track, your damage threshold remains the same</t>
  </si>
  <si>
    <t>You can obtain black market good in half the normal time (minimum 1 day)</t>
  </si>
  <si>
    <t>No penalty to Treat Injury checks made to heal yourself (or to Mechanics checks to repair yourself, if you are a droid)</t>
  </si>
  <si>
    <t>When you spend a Force Point to add to a skill check in an untrained skill, add an extra 1d6 to the skill check</t>
  </si>
  <si>
    <t>When you make a persuasion check to intimidate you always have favorable circumstances</t>
  </si>
  <si>
    <t>You can take 20 on Gather Information checks, but it takes 20 times as long as normal to gain the information</t>
  </si>
  <si>
    <t>You gain a +2 competence bonus oto untrained skill checks with the skills in your occupation's list of relevant skills</t>
  </si>
  <si>
    <t>Language</t>
  </si>
  <si>
    <t>Old Corellian</t>
  </si>
  <si>
    <t>Shyriiwook (understand only)</t>
  </si>
  <si>
    <t>Mon Calamarian or Quarrenese</t>
  </si>
  <si>
    <t>Socorran</t>
  </si>
  <si>
    <t>Sy Bisti</t>
  </si>
  <si>
    <t>Deception, Gather Information and Survival</t>
  </si>
  <si>
    <t>Deception, Stealth and Use Computer</t>
  </si>
  <si>
    <t>Endurance, Mechanics and Treat Injury</t>
  </si>
  <si>
    <t>Deception, Gather Information and Stealth</t>
  </si>
  <si>
    <t>Climb, Endurance and Jump</t>
  </si>
  <si>
    <t>Gather Information, Knowledge (galactic lore) and Survival</t>
  </si>
  <si>
    <t>Acrobatics, Gather Information and Stealth</t>
  </si>
  <si>
    <t>Ride, Survival and Swim</t>
  </si>
  <si>
    <t>Gather Information, Survival and Treat Injury</t>
  </si>
  <si>
    <t>Deception, Persuasion and Treat Injury</t>
  </si>
  <si>
    <t>Gather Information, Knowledge (galactic lore) and Use Computer</t>
  </si>
  <si>
    <t>Knowledge (any one skill), Persuasion and Use Computer</t>
  </si>
  <si>
    <t>Deception, Gather Information and Persuasion</t>
  </si>
  <si>
    <t>Initiative, Persuasion and Use Computer</t>
  </si>
  <si>
    <t>Acrobatics, Gather Information and Knowledge (bureaucracy)</t>
  </si>
  <si>
    <t>Knowledge (life sciences), Treat Injury and Use Computer</t>
  </si>
  <si>
    <t>Endurance, Ride and Treat Injury</t>
  </si>
  <si>
    <t>Knowledge (galactic lore), Mechanics and Use Computer</t>
  </si>
  <si>
    <t>Knowledge (technology), Mechanics and Use Computer</t>
  </si>
  <si>
    <t>Knowledge (any one skill), Persuasion and Treat Injury</t>
  </si>
  <si>
    <t>Mechanics, Treat Injury and Use Computer</t>
  </si>
  <si>
    <t>Deception, Knowledge (bureaucracy) and Persuasion</t>
  </si>
  <si>
    <t>Acrobatics, Knowledge (life sciences) and Survival</t>
  </si>
  <si>
    <t>Initiative, Knowledge (technology) and Mechanics</t>
  </si>
  <si>
    <t>Gather Information, Knowledge (bureaucracy) and Knowledge (galactic lore)</t>
  </si>
  <si>
    <t>Endurance, Survival and Treat Injury</t>
  </si>
  <si>
    <t>Climb, Endurance and Survival</t>
  </si>
  <si>
    <t>Acrobatics, Endurance and Survival</t>
  </si>
  <si>
    <t>Knowledge (life sciences), Persuasion and Treat Injury</t>
  </si>
  <si>
    <t>Climb, Persuasion and Survival</t>
  </si>
  <si>
    <t>Mechanics, Persuasion and Swim</t>
  </si>
  <si>
    <t>Ride, Persuasion and Swim</t>
  </si>
  <si>
    <t>Climb, Stealth and Survival</t>
  </si>
  <si>
    <t>Deception, Persuasion and Survival</t>
  </si>
  <si>
    <t>Deception, Stealth and Survival</t>
  </si>
  <si>
    <t>Climb, Mechanics and Survival</t>
  </si>
  <si>
    <t>Deception, Mechanics and Survival</t>
  </si>
  <si>
    <t>Endurance, Ride and Survival</t>
  </si>
  <si>
    <t>Endurance, Persuasion and Survival</t>
  </si>
  <si>
    <t>New in 1.4</t>
  </si>
  <si>
    <t>Backgrounds system from RECG</t>
  </si>
  <si>
    <t>STARSHIP MANEUVERS</t>
  </si>
  <si>
    <t>New in 1.41</t>
  </si>
  <si>
    <t>Various bug fixes</t>
  </si>
  <si>
    <t>Second Wind per day now works</t>
  </si>
  <si>
    <t>Added Starship Maneuvers to front page of sheet</t>
  </si>
  <si>
    <t>Various bug fixes and things by sparky22</t>
  </si>
  <si>
    <t>Dathomiri</t>
  </si>
  <si>
    <t>Bonus Skill</t>
  </si>
  <si>
    <t>Paecian</t>
  </si>
  <si>
    <t>Improved Armor Defenses Calculation fixed.</t>
  </si>
  <si>
    <t>Near Humans attribute modifiers and natural armor fixed/ now works correctly</t>
  </si>
  <si>
    <t>Near Humans modifiers have been fixed</t>
  </si>
  <si>
    <t>New in 1.43</t>
  </si>
  <si>
    <t>File Size Reduced by 11kb</t>
  </si>
  <si>
    <t>Fixed natural armor error with Near Humans and added a clear button</t>
  </si>
  <si>
    <t>Added integrated equipment to armors, and recoded clear armor</t>
  </si>
  <si>
    <t>New in 1.42</t>
  </si>
  <si>
    <t>Maintained by Tysdas</t>
  </si>
  <si>
    <t>New in 1.44</t>
  </si>
  <si>
    <t>New in 1.45</t>
  </si>
  <si>
    <t>Fixed bonus feats list for multiclassing heros.</t>
  </si>
  <si>
    <t>Multiclassed characters now have the correct bonus feats availble</t>
  </si>
  <si>
    <t>Near Human example Dathomiri from Dathomir Field Guide fanbook</t>
  </si>
  <si>
    <t>Master Manipulator Talent requirements fixed</t>
  </si>
  <si>
    <t>Added named cells to find the talent tree of each class</t>
  </si>
  <si>
    <t>The_Force goes to Force talents</t>
  </si>
  <si>
    <t>ie Scout goes to scout talents</t>
  </si>
  <si>
    <t>Master's Orders</t>
  </si>
  <si>
    <t>When an ally uses an action  granted to him or her by you, the ally can reroll any attack or check made during that action, taking the better result.</t>
  </si>
  <si>
    <t>Added Master's Orders talent and Ssi-Ruuk</t>
  </si>
  <si>
    <t>Ssi-Ruuk</t>
  </si>
  <si>
    <t>Ss-Ruuk</t>
  </si>
  <si>
    <t>Ssi-Ruuvi</t>
  </si>
  <si>
    <t>Keen Smell</t>
  </si>
  <si>
    <t>Armored Scales</t>
  </si>
  <si>
    <t>The naturally tough scales of the Ssi-Ruuk grant them a +2 Natural Armor bonus to their Reflex Defense. A Natural Armor bonus stacks with an Armor bonus.</t>
  </si>
  <si>
    <t>Ssi-Ruuk use their keen sense of smell to detect changes in a target's emotional state. When within 6 squares of a target in the same room or open area, a Ssi-Ruuk can reroll Persuasion checks against that target, keeping the better of the two results.</t>
  </si>
  <si>
    <t>Tof</t>
  </si>
  <si>
    <t>Tofs</t>
  </si>
  <si>
    <t>Armor Proficiency (heavy)</t>
  </si>
  <si>
    <t>Fixed Skakoan race having all armor profs.</t>
  </si>
  <si>
    <t>Weapon finesse and focus combined feat implemented by icanteven1574</t>
  </si>
  <si>
    <t>Armor weight reduction/increase fixed.</t>
  </si>
  <si>
    <t>Hotwire Talent Fix by JuggernAlz</t>
  </si>
  <si>
    <t>Proficient with melee weapon used, base attack bonus +1</t>
  </si>
  <si>
    <t xml:space="preserve"> You take a either -2 or -5 penalty on your attack roll, and if your attack deals damage, the target takes a -2 or -5 penalty to Skill Checks respectively until the end of your next turn. </t>
  </si>
  <si>
    <t xml:space="preserve">Any time you deal additional damage from a Feat or Talent that grants one or more extra dice of damage, you can forgo the extra damage to move the target 2 squares per extra die sacrificed. This movement does not provoke Attacks of Opportunity. </t>
  </si>
  <si>
    <t>Gain a +1 bonus on your attack roll and deal +1 die damage when making a ranged attack against an adjacent target or a target in your fighting space.</t>
  </si>
  <si>
    <t>Fixed prerequisites for Noble fencing style and disgrace talent tree</t>
  </si>
  <si>
    <t>Fixed various feat requirements such as triple attack.</t>
  </si>
  <si>
    <t>Removed Unfinished Force Prodigy</t>
  </si>
  <si>
    <t xml:space="preserve">Conditional Formating changes for Skills </t>
  </si>
  <si>
    <t>Talents that make you trained in a skill now work correctly.</t>
  </si>
  <si>
    <t>New in 1.46</t>
  </si>
  <si>
    <t>Click for Latest Versions</t>
  </si>
  <si>
    <t>Never suffer from unfavorable circumstances from environment w/Stealth, 1/rnd w/Stealth auto aid another 1 ally</t>
  </si>
  <si>
    <t>No penalty when using Accelerated Climbing of Climb</t>
  </si>
  <si>
    <t>Set  a trap 3sq wide, DC20 Mechanics &amp; Deception to conceal, targets make a DC10 Acrobatics to avoid, select 1 option: 1. target falls prone 1d6 dam, 2. auto hit w/mine &amp; 1d20+10 v. adjacent, 3. +2 Deception &amp; fall prone</t>
  </si>
  <si>
    <t>Hyperspace Explorer Talent Tree Requirements Fixed</t>
  </si>
  <si>
    <t>Skill Attack Modifier</t>
  </si>
  <si>
    <t>Removed extra armor upgrade slots on Beskargam armors</t>
  </si>
  <si>
    <t xml:space="preserve">Dual Gear </t>
  </si>
  <si>
    <t>ArmorList</t>
  </si>
  <si>
    <t>EquipmentList</t>
  </si>
  <si>
    <t>WeaponList</t>
  </si>
  <si>
    <t>Energy Shield</t>
  </si>
  <si>
    <t>--Explosives--</t>
  </si>
  <si>
    <t>Explosive Charge</t>
  </si>
  <si>
    <t>Detonite</t>
  </si>
  <si>
    <t>Timer</t>
  </si>
  <si>
    <t>Manual Trigger</t>
  </si>
  <si>
    <t>Detonite Cord</t>
  </si>
  <si>
    <t>Place Explosive Device</t>
  </si>
  <si>
    <t>Manual Triggers</t>
  </si>
  <si>
    <t>Timers</t>
  </si>
  <si>
    <t>Detontie</t>
  </si>
  <si>
    <t>Explosive Charges</t>
  </si>
  <si>
    <t>Added Explosives in the weapons categories</t>
  </si>
  <si>
    <t>Dualgear enabled?</t>
  </si>
  <si>
    <t>Dual Gear (Type)</t>
  </si>
  <si>
    <t>Advanced Patrol, Brigand Talent Trees Requirements Fixed</t>
  </si>
  <si>
    <t>Soroccan</t>
  </si>
  <si>
    <t>Military Sign Language</t>
  </si>
  <si>
    <t>Added Verpine, Old Corellian, Sy Bisti, Military Sign language</t>
  </si>
  <si>
    <t>New in 1.47</t>
  </si>
  <si>
    <t>Fixed Medium Armor not being a Soldier starting feat</t>
  </si>
  <si>
    <t>Awareness added to Bounty Hunter Talent Tree</t>
  </si>
  <si>
    <t>Fortified Body preqreqs fixed.</t>
  </si>
  <si>
    <t>Armor doesn't affect your run speed.</t>
  </si>
  <si>
    <t>Fixed Juggernaut Description.</t>
  </si>
  <si>
    <t>Large and small droids now have the correct modifiers</t>
  </si>
  <si>
    <t>Spend a full-round action to grant an ally +5 to a skill check (or +10 with a Force Point). Mind-Affecting</t>
  </si>
  <si>
    <t>Whenever you damage an opponent with a Lightsaber attack, you can Take 10 on any Persuasion checks you make before the end of your turn, even if you would not normally be able to.</t>
  </si>
  <si>
    <t xml:space="preserve">As a Standard Action, you can weaken the resolve of one opponent with your words. The target must have an Intelligence of 3 or higher, and it must be able to see, hear, and understand you. Make a Persuasion check; if the result equals or exceeds the target's Will Defense, it moves -1 step along the Condition Track. The target gets a +5 bonus to its Will Defense if it is higher level than you. If the target reaches the end of its Condition Track, it does not fall unconscious, instead, it cannot attack you or your allies for the remainder of the encounter unless you or one of your allies attacks it or one of its allies first. This is a Mind-Affecting effect. </t>
  </si>
  <si>
    <t xml:space="preserve">You gain a +2 insight bonus to your Will Defense. Also, as a Swift Action, you can spend a Force Point to give all allies within 6 squares of you a +2 insight bonus to their Will Defense that lasts for the remainder of the encounter. This bonus does not extend to allies outside the range of the effect, even if they move within 6 squares of you later on. Allies who benefit from this Talent must remain within 6 squares of you to retain the insight bonus, and they lose it if you are knocked unconscious or killed. This is a Mind-Affecting effect. </t>
  </si>
  <si>
    <t xml:space="preserve">Once per turn as a Swift Action, you can spend a Force Point to let one adjacent ally use the Aid Another Action (As a Reaction) to assist you with a Skill Check. You must make the Skill Check before the end of your turn, or the benefit of the Aid Another Action is lost. An ally that has already used the Aid Another Action to assist you since the end of your last turn may not be targeted by this Talent. </t>
  </si>
  <si>
    <t xml:space="preserve">When you deal damage to a target by making a Lightsaber attack on your turn, you can use a Swift Action before the end of your turn to activate this Talent. If you do so, allies adjacent to the target at the time you make the attack gain a +2 circumstance bonus to melee attack rolls against the target until the start of your next turn. </t>
  </si>
  <si>
    <t xml:space="preserve">As a Reaction, you can make a Use the Force check after you or an ally within 12 squares misses with a melee or ranged attack, removing one use of the Farseeing Force Power from your active Force Power Suite (As though you had activated the Force Power). If your check result equals or exceeds the Will Defense of the target of that missed attack, the attacker can reroll the missed attack roll. This counts as using the Farseeing Force Power against the target, but this Talent replaces the normal rules and effects of Farseeing. Any attack can only be affected by this Talent once (Thus, multiple characters cannot use this Talent on the same attack to allow multiple rerolls). You take a cumulative -5 penalty on Use the Force checks until the beginning of your next turn when you use this Talent. </t>
  </si>
  <si>
    <t xml:space="preserve">As a Reaction, you can make a Use the Force check after you or an ally within 12 squares is the target of a melee or ranged attack (But before the results of the attack roll are known), removing one use of the Farseeing Force Power from your active Force Power Suite (As though you had activated the Force Power). If your check result equals or exceeds the Will Defense of the attacker, you grant the target of that attack a +5 Force bonus to their Reflex Defense against that attack. This counts as using the Farseeing Force Power against the attacker, but this Talent replaces the normal rules and effects of Farseeing. Any attack can only be affected by this Talent once (Thus, multiple characters cannot use this Talent on the same attack to allow multiple rerolls). You take a cumulative -5 penalty on Use the Force checks until the beginning of your next turn when you use this Talent. </t>
  </si>
  <si>
    <t>Jedi Consular Talent Tree prereqs and descriptions updated.</t>
  </si>
  <si>
    <t xml:space="preserve">Whenever you use a Force Power with the [Mind-Affecting] descriptor successfully against a target, until the end of your next turn you gain a +2 Force bonus on Skill Checks made to activate [Mind-Affecting] Force Powers and Force Talents against that same target. </t>
  </si>
  <si>
    <t>New in 1.48</t>
  </si>
  <si>
    <t>Interchangeable Weapon System</t>
  </si>
  <si>
    <t>Charlatan has access to Provacteur, Disgrace and Fortune Talent Trees</t>
  </si>
  <si>
    <t>Predictive Defense now propely shows as a class bonus feat</t>
  </si>
  <si>
    <t>Slashing and Bludgeoning</t>
  </si>
  <si>
    <t>All background skills are now fixed.</t>
  </si>
  <si>
    <t>Leadership Talent Tree Prequisites Fixed</t>
  </si>
  <si>
    <t>Exotic Weapons Table and List Actualized</t>
  </si>
  <si>
    <t>Bonus Feats Fixed</t>
  </si>
  <si>
    <t>Discussion</t>
  </si>
  <si>
    <t>New in 1.49.3</t>
  </si>
  <si>
    <t>Strafe Feat requirements fixed.</t>
  </si>
  <si>
    <t xml:space="preserve">Undid Background skill fix. </t>
  </si>
  <si>
    <t>Advance Patrol availibility fixed</t>
  </si>
  <si>
    <t xml:space="preserve">Pathfinder has the correct talent trees available. </t>
  </si>
  <si>
    <t>Martial Arts Master Talent Tree hotfix</t>
  </si>
  <si>
    <t>Species Feats fixed.</t>
  </si>
  <si>
    <t>New in 1.49.4</t>
  </si>
  <si>
    <t>Droid Medium size now defualts to zero instead of an empty set</t>
  </si>
  <si>
    <t xml:space="preserve">As a swift action, you can designate a single ally within your line of sight who has cover from one or more enemies. That ally is considered instead to have improved cover against those enemies until the start of your next turn as long as the ally still has cover.
</t>
  </si>
  <si>
    <t>Escort Fighter Description fixed</t>
  </si>
  <si>
    <t>Riot Shield</t>
  </si>
  <si>
    <t>Grants +5 cover bonus while fightning defensively</t>
  </si>
  <si>
    <t>riotshields</t>
  </si>
  <si>
    <t>New in 1.49.5</t>
  </si>
  <si>
    <t>Added Riot Shield</t>
  </si>
  <si>
    <t>Fixed Neutronium Reinforcement</t>
  </si>
  <si>
    <t>Clear Macros Updated</t>
  </si>
  <si>
    <t>Compartment Space</t>
  </si>
  <si>
    <t>If you are Unarmed and holding no items, you double your Strength bonus to Unarmed attack rolls.</t>
  </si>
  <si>
    <t>Laminanium heavy plating</t>
  </si>
  <si>
    <t>Jet Pack, Mandalorian</t>
  </si>
  <si>
    <t>,ToG,</t>
  </si>
  <si>
    <t>Jet Pack, but has an integrated Missile Launcher (Treated as an Inaccurate weapon), and a magnetic grappling hook (Which functions as a Liquid Cable Dispenser).</t>
  </si>
  <si>
    <t>Jet pack, Mandalorian</t>
  </si>
  <si>
    <t>Added Mando Jetpack</t>
  </si>
  <si>
    <t>Talent and Feat attack and damage modifier warning added.</t>
  </si>
  <si>
    <t>As a swift action, you and allies affected by your Battle Meditation gain +2 to Reflex Defense, and you gain a +1 bonus to Block or Deflect for each adjacent lightsaber-wielding ally</t>
  </si>
  <si>
    <t>Droid Attributes are now calculated correctly.</t>
  </si>
  <si>
    <t>Weapon Prof. (simple) Added to multiclassing</t>
  </si>
  <si>
    <t>New in 1.50.3</t>
  </si>
  <si>
    <t>Droid SR restrictions are now correct</t>
  </si>
  <si>
    <t>Mechcanical martial Arts Requirements Fixed</t>
  </si>
  <si>
    <t>Armor calculations fixed.</t>
  </si>
  <si>
    <t>Integrated Equipment fixes by mrflex</t>
  </si>
  <si>
    <t>Armor integrated equipment fixes by mrflex</t>
  </si>
  <si>
    <t>New in 1.51</t>
  </si>
  <si>
    <t>Darc's 1.5.2 Racial Focuses</t>
  </si>
  <si>
    <t>Species Focus by Darc</t>
  </si>
  <si>
    <t>Exile Talent Tree prereqs added.</t>
  </si>
  <si>
    <t>Influence Talent Tree prereqs added.</t>
  </si>
  <si>
    <t>Idealogue Talent Tree prereqs added.</t>
  </si>
  <si>
    <t>Fencing Talent Tree prereqs updated.</t>
  </si>
  <si>
    <t>Up to Loyal Protector Talent Tree prereqs added.</t>
  </si>
  <si>
    <t xml:space="preserve">As a Swift Action, you gain Total Concealment when adjacent to at least two other creatures. This benefit does not apply to attacks from adjacent creatures. </t>
  </si>
  <si>
    <t>When you move down track from dam exceeding thresh, next atk before end of next turn moves target -1 down track if it takes damage</t>
  </si>
  <si>
    <t xml:space="preserve">When you roll Initiative for combat, choose one willing ally within your line of sight. You and that ally swap Initiative results.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</si>
</sst>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quot;+&quot;#;&quot;-&quot;#;&quot;+0&quot;;&quot;&quot;"/>
    <numFmt numFmtId="166" formatCode="0.00&quot;m&quot;"/>
    <numFmt numFmtId="167" formatCode="0&quot; kg&quot;"/>
    <numFmt numFmtId="168" formatCode="0&quot; sq&quot;"/>
    <numFmt numFmtId="169" formatCode="0&quot; cr&quot;"/>
    <numFmt numFmtId="170" formatCode="0&quot; xp&quot;"/>
    <numFmt numFmtId="171" formatCode="0.0&quot; kg&quot;"/>
    <numFmt numFmtId="172" formatCode="#&quot; squares&quot;"/>
    <numFmt numFmtId="173" formatCode="#,##0&quot; cr&quot;"/>
    <numFmt numFmtId="174" formatCode="&quot;+&quot;#,##0&quot; cr&quot;"/>
    <numFmt numFmtId="175" formatCode="&quot;+&quot;#,##0&quot; cr&quot;;&quot;-&quot;#,###&quot; cr&quot;"/>
    <numFmt numFmtId="176" formatCode="#&quot; known&quot;"/>
    <numFmt numFmtId="177" formatCode="#&quot; shots&quot;;&quot;-&quot;#;&quot;&quot;;&quot;&quot;"/>
    <numFmt numFmtId="178" formatCode="##,###,##0&quot; cr&quot;"/>
    <numFmt numFmtId="179" formatCode="##,###,##0&quot; cr&quot;;##,###,##0&quot; cr&quot;;&quot;None&quot;;&quot;&quot;"/>
    <numFmt numFmtId="180" formatCode="&quot;×&quot;#;&quot;×&quot;#;&quot;&quot;;&quot;&quot;"/>
    <numFmt numFmtId="181" formatCode="0.0&quot; kg&quot;;\-0.0&quot; kg&quot;;&quot;&quot;;&quot;&quot;"/>
    <numFmt numFmtId="182" formatCode="##,###,##0&quot; cr&quot;;\-##,###,##0&quot; cr&quot;;&quot;None&quot;;&quot;&quot;"/>
    <numFmt numFmtId="183" formatCode="0.0#"/>
    <numFmt numFmtId="184" formatCode="&quot;+&quot;#;&quot;-&quot;#;&quot;+0&quot;"/>
    <numFmt numFmtId="185" formatCode="&quot;+&quot;#;&quot;-&quot;#;\-;\-"/>
  </numFmts>
  <fonts count="119">
    <font>
      <sz val="11"/>
      <color theme="1"/>
      <name val="Calibri"/>
      <family val="2"/>
      <scheme val="minor"/>
    </font>
    <font>
      <b/>
      <sz val="11"/>
      <color theme="1"/>
      <name val="Calibri"/>
      <family val="2"/>
      <scheme val="minor"/>
    </font>
    <font>
      <b/>
      <sz val="18"/>
      <color theme="1"/>
      <name val="Calibri"/>
      <family val="2"/>
      <scheme val="minor"/>
    </font>
    <font>
      <sz val="11"/>
      <name val="Calibri"/>
      <family val="2"/>
      <scheme val="minor"/>
    </font>
    <font>
      <sz val="8"/>
      <color indexed="81"/>
      <name val="Tahoma"/>
      <family val="2"/>
    </font>
    <font>
      <b/>
      <sz val="8"/>
      <color indexed="81"/>
      <name val="Tahoma"/>
      <family val="2"/>
    </font>
    <font>
      <b/>
      <sz val="16"/>
      <color theme="1"/>
      <name val="Calibri"/>
      <family val="2"/>
      <scheme val="minor"/>
    </font>
    <font>
      <sz val="11"/>
      <color theme="0" tint="-0.34998626667073579"/>
      <name val="Calibri"/>
      <family val="2"/>
      <scheme val="minor"/>
    </font>
    <font>
      <sz val="16"/>
      <name val="Arial"/>
      <family val="2"/>
    </font>
    <font>
      <b/>
      <sz val="14"/>
      <name val="Arial"/>
      <family val="2"/>
    </font>
    <font>
      <sz val="24"/>
      <name val="Arial"/>
      <family val="2"/>
    </font>
    <font>
      <b/>
      <sz val="16"/>
      <name val="Arial"/>
      <family val="2"/>
    </font>
    <font>
      <sz val="16"/>
      <color indexed="55"/>
      <name val="Arial"/>
      <family val="2"/>
    </font>
    <font>
      <b/>
      <sz val="20"/>
      <color indexed="55"/>
      <name val="Arial"/>
      <family val="2"/>
    </font>
    <font>
      <b/>
      <sz val="20"/>
      <name val="Arial"/>
      <family val="2"/>
    </font>
    <font>
      <sz val="22"/>
      <name val="Arial"/>
      <family val="2"/>
    </font>
    <font>
      <sz val="20"/>
      <name val="Jedi Solid"/>
      <family val="5"/>
    </font>
    <font>
      <sz val="16"/>
      <name val="Jedi Hollow"/>
      <family val="5"/>
    </font>
    <font>
      <b/>
      <sz val="26"/>
      <name val="Arial"/>
      <family val="2"/>
    </font>
    <font>
      <sz val="26"/>
      <name val="Arial"/>
      <family val="2"/>
    </font>
    <font>
      <b/>
      <sz val="22"/>
      <name val="Jedi Hollow"/>
      <family val="5"/>
    </font>
    <font>
      <sz val="16"/>
      <name val="Times New Roman"/>
      <family val="1"/>
    </font>
    <font>
      <b/>
      <sz val="22"/>
      <name val="Arial"/>
      <family val="2"/>
    </font>
    <font>
      <sz val="12"/>
      <name val="Arial"/>
      <family val="2"/>
    </font>
    <font>
      <b/>
      <sz val="14"/>
      <color indexed="55"/>
      <name val="Arial"/>
      <family val="2"/>
    </font>
    <font>
      <b/>
      <sz val="12"/>
      <name val="Arial"/>
      <family val="2"/>
    </font>
    <font>
      <sz val="24"/>
      <name val="Jedi Hollow"/>
      <family val="5"/>
    </font>
    <font>
      <sz val="16"/>
      <color indexed="9"/>
      <name val="Arial"/>
      <family val="2"/>
    </font>
    <font>
      <sz val="20"/>
      <name val="Arial"/>
      <family val="2"/>
    </font>
    <font>
      <sz val="14"/>
      <name val="Arial"/>
      <family val="2"/>
    </font>
    <font>
      <b/>
      <sz val="20"/>
      <color rgb="FF808080"/>
      <name val="Arial"/>
      <family val="2"/>
    </font>
    <font>
      <b/>
      <sz val="20"/>
      <color indexed="23"/>
      <name val="Arial"/>
      <family val="2"/>
    </font>
    <font>
      <sz val="18"/>
      <name val="Arial"/>
      <family val="2"/>
    </font>
    <font>
      <sz val="22"/>
      <name val="Jedi Solid"/>
      <family val="5"/>
    </font>
    <font>
      <sz val="20"/>
      <name val="Jedi Hollow"/>
      <family val="5"/>
    </font>
    <font>
      <b/>
      <sz val="24"/>
      <name val="Arial"/>
      <family val="2"/>
    </font>
    <font>
      <b/>
      <sz val="24"/>
      <name val="Jedi Hollow"/>
      <family val="5"/>
    </font>
    <font>
      <b/>
      <sz val="24"/>
      <color indexed="55"/>
      <name val="Arial"/>
      <family val="2"/>
    </font>
    <font>
      <b/>
      <sz val="14"/>
      <color theme="0" tint="-0.34998626667073579"/>
      <name val="Arial"/>
      <family val="2"/>
    </font>
    <font>
      <sz val="10"/>
      <name val="Arial"/>
      <family val="2"/>
    </font>
    <font>
      <sz val="11"/>
      <color theme="0"/>
      <name val="Calibri"/>
      <family val="2"/>
      <scheme val="minor"/>
    </font>
    <font>
      <sz val="11"/>
      <color rgb="FF00B050"/>
      <name val="Calibri"/>
      <family val="2"/>
      <scheme val="minor"/>
    </font>
    <font>
      <b/>
      <sz val="11"/>
      <name val="Calibri"/>
      <family val="2"/>
      <scheme val="minor"/>
    </font>
    <font>
      <sz val="16"/>
      <color theme="1"/>
      <name val="Calibri"/>
      <family val="2"/>
      <scheme val="minor"/>
    </font>
    <font>
      <sz val="18"/>
      <color theme="1"/>
      <name val="Calibri"/>
      <family val="2"/>
      <scheme val="minor"/>
    </font>
    <font>
      <sz val="11"/>
      <color rgb="FFFF0000"/>
      <name val="Calibri"/>
      <family val="2"/>
      <scheme val="minor"/>
    </font>
    <font>
      <b/>
      <sz val="14"/>
      <color theme="1"/>
      <name val="Calibri"/>
      <family val="2"/>
      <scheme val="minor"/>
    </font>
    <font>
      <sz val="18"/>
      <name val="Calibri"/>
      <family val="2"/>
      <scheme val="minor"/>
    </font>
    <font>
      <b/>
      <sz val="14"/>
      <color theme="0"/>
      <name val="Arial"/>
      <family val="2"/>
    </font>
    <font>
      <sz val="8"/>
      <name val="Verdana"/>
      <family val="2"/>
    </font>
    <font>
      <b/>
      <sz val="16"/>
      <name val="Calibri"/>
      <family val="2"/>
      <scheme val="minor"/>
    </font>
    <font>
      <b/>
      <sz val="16"/>
      <color theme="1"/>
      <name val="Times New Roman"/>
      <family val="1"/>
    </font>
    <font>
      <b/>
      <sz val="11"/>
      <color theme="0"/>
      <name val="Calibri"/>
      <family val="2"/>
      <scheme val="minor"/>
    </font>
    <font>
      <b/>
      <sz val="16"/>
      <color theme="0" tint="-0.249977111117893"/>
      <name val="Arial"/>
      <family val="2"/>
    </font>
    <font>
      <sz val="16"/>
      <color theme="1"/>
      <name val="Arial"/>
      <family val="2"/>
    </font>
    <font>
      <sz val="11"/>
      <color theme="0" tint="-0.24994659260841701"/>
      <name val="Arial"/>
      <family val="2"/>
    </font>
    <font>
      <sz val="11"/>
      <color theme="1"/>
      <name val="Times New Roman"/>
      <family val="1"/>
    </font>
    <font>
      <sz val="16"/>
      <color theme="0"/>
      <name val="Calibri"/>
      <family val="2"/>
      <scheme val="minor"/>
    </font>
    <font>
      <sz val="11"/>
      <color theme="6"/>
      <name val="Calibri"/>
      <family val="2"/>
      <scheme val="minor"/>
    </font>
    <font>
      <sz val="10"/>
      <color theme="1"/>
      <name val="Calibri"/>
      <family val="2"/>
      <scheme val="minor"/>
    </font>
    <font>
      <sz val="10"/>
      <color rgb="FF000000"/>
      <name val="Verdana"/>
      <family val="2"/>
    </font>
    <font>
      <sz val="9"/>
      <color theme="0"/>
      <name val="Calibri"/>
      <family val="2"/>
      <scheme val="minor"/>
    </font>
    <font>
      <sz val="16"/>
      <color theme="0"/>
      <name val="Arial"/>
      <family val="2"/>
    </font>
    <font>
      <sz val="11"/>
      <color theme="0" tint="-0.14999847407452621"/>
      <name val="Calibri"/>
      <family val="2"/>
      <scheme val="minor"/>
    </font>
    <font>
      <sz val="16"/>
      <color theme="0" tint="-0.14999847407452621"/>
      <name val="Calibri"/>
      <family val="2"/>
      <scheme val="minor"/>
    </font>
    <font>
      <sz val="8"/>
      <color theme="1"/>
      <name val="Calibri"/>
      <family val="2"/>
      <scheme val="minor"/>
    </font>
    <font>
      <b/>
      <sz val="4"/>
      <name val="Arial"/>
      <family val="2"/>
    </font>
    <font>
      <b/>
      <sz val="4"/>
      <color theme="0"/>
      <name val="Arial"/>
      <family val="2"/>
    </font>
    <font>
      <sz val="16"/>
      <name val="NedianMedium"/>
    </font>
    <font>
      <sz val="20"/>
      <name val="NedianMedium"/>
    </font>
    <font>
      <b/>
      <sz val="16"/>
      <name val="NedianMedium"/>
    </font>
    <font>
      <sz val="24"/>
      <name val="NedianMedium"/>
    </font>
    <font>
      <b/>
      <sz val="14"/>
      <name val="NedianMedium"/>
    </font>
    <font>
      <b/>
      <sz val="18"/>
      <name val="NedianMedium"/>
    </font>
    <font>
      <b/>
      <sz val="26"/>
      <name val="NedianMedium"/>
    </font>
    <font>
      <sz val="26"/>
      <name val="NedianMedium"/>
    </font>
    <font>
      <b/>
      <sz val="22"/>
      <name val="NedianMedium"/>
    </font>
    <font>
      <b/>
      <sz val="14"/>
      <color indexed="55"/>
      <name val="NedianMedium"/>
    </font>
    <font>
      <sz val="22"/>
      <name val="NedianMedium"/>
    </font>
    <font>
      <sz val="20"/>
      <name val="NedianBold"/>
    </font>
    <font>
      <b/>
      <sz val="12"/>
      <color indexed="55"/>
      <name val="NedianMedium"/>
    </font>
    <font>
      <sz val="11"/>
      <name val="NedianMedium"/>
    </font>
    <font>
      <sz val="12"/>
      <name val="NedianMedium"/>
    </font>
    <font>
      <b/>
      <sz val="9"/>
      <color indexed="55"/>
      <name val="NedianMedium"/>
    </font>
    <font>
      <sz val="14"/>
      <name val="NedianMedium"/>
    </font>
    <font>
      <sz val="14"/>
      <color indexed="55"/>
      <name val="NedianMedium"/>
    </font>
    <font>
      <b/>
      <sz val="9"/>
      <name val="NedianMedium"/>
    </font>
    <font>
      <b/>
      <sz val="12"/>
      <name val="NedianMedium"/>
    </font>
    <font>
      <b/>
      <sz val="20"/>
      <name val="NedianMedium"/>
    </font>
    <font>
      <sz val="24"/>
      <color indexed="9"/>
      <name val="NedianBold"/>
    </font>
    <font>
      <b/>
      <sz val="18"/>
      <name val="NedianBold"/>
    </font>
    <font>
      <sz val="18"/>
      <name val="Jedi Solid"/>
      <family val="5"/>
    </font>
    <font>
      <sz val="11"/>
      <color theme="1"/>
      <name val="NedianMedium"/>
    </font>
    <font>
      <b/>
      <sz val="11"/>
      <name val="NedianMedium"/>
    </font>
    <font>
      <sz val="18"/>
      <name val="NedianMedium"/>
    </font>
    <font>
      <sz val="18"/>
      <name val="NedianBold"/>
    </font>
    <font>
      <b/>
      <sz val="11"/>
      <color theme="6"/>
      <name val="Calibri"/>
      <family val="2"/>
      <scheme val="minor"/>
    </font>
    <font>
      <sz val="10"/>
      <color rgb="FFFF0000"/>
      <name val="Arial"/>
      <family val="2"/>
    </font>
    <font>
      <sz val="12"/>
      <color indexed="55"/>
      <name val="Arial"/>
      <family val="2"/>
    </font>
    <font>
      <sz val="14"/>
      <color theme="1"/>
      <name val="Calibri"/>
      <family val="2"/>
      <scheme val="minor"/>
    </font>
    <font>
      <sz val="9"/>
      <color rgb="FFFF0000"/>
      <name val="Calibri"/>
      <family val="2"/>
      <scheme val="minor"/>
    </font>
    <font>
      <sz val="36"/>
      <color theme="1"/>
      <name val="Calibri"/>
      <family val="2"/>
      <scheme val="minor"/>
    </font>
    <font>
      <u/>
      <sz val="11"/>
      <color theme="10"/>
      <name val="Calibri"/>
      <family val="2"/>
    </font>
    <font>
      <sz val="16"/>
      <color rgb="FFFF0000"/>
      <name val="Calibri"/>
      <family val="2"/>
      <scheme val="minor"/>
    </font>
    <font>
      <sz val="9"/>
      <color theme="1"/>
      <name val="Calibri"/>
      <family val="2"/>
      <scheme val="minor"/>
    </font>
    <font>
      <b/>
      <sz val="9"/>
      <color theme="1"/>
      <name val="Calibri"/>
      <family val="2"/>
      <scheme val="minor"/>
    </font>
    <font>
      <b/>
      <sz val="8"/>
      <color theme="1"/>
      <name val="Calibri"/>
      <family val="2"/>
      <scheme val="minor"/>
    </font>
    <font>
      <b/>
      <sz val="11"/>
      <color rgb="FF00B0F0"/>
      <name val="Calibri"/>
      <family val="2"/>
      <scheme val="minor"/>
    </font>
    <font>
      <sz val="20"/>
      <color theme="1"/>
      <name val="Arial"/>
      <family val="2"/>
    </font>
    <font>
      <sz val="26"/>
      <color theme="1"/>
      <name val="Calibri"/>
      <family val="2"/>
      <scheme val="minor"/>
    </font>
    <font>
      <sz val="16"/>
      <name val="Nedian"/>
    </font>
    <font>
      <sz val="11"/>
      <color theme="1"/>
      <name val="Nedian"/>
    </font>
    <font>
      <sz val="14"/>
      <name val="Nedian Medium"/>
    </font>
    <font>
      <sz val="14"/>
      <color theme="1"/>
      <name val="Nedian Medium"/>
    </font>
    <font>
      <sz val="8"/>
      <color rgb="FF000000"/>
      <name val="Tahoma"/>
      <family val="2"/>
    </font>
    <font>
      <sz val="11"/>
      <color rgb="FF9BBB59"/>
      <name val="Calibri"/>
      <family val="2"/>
      <scheme val="minor"/>
    </font>
    <font>
      <b/>
      <u/>
      <sz val="11"/>
      <name val="Calibri"/>
      <family val="2"/>
    </font>
    <font>
      <sz val="11"/>
      <color rgb="FF000000"/>
      <name val="Calibri"/>
      <family val="2"/>
    </font>
    <font>
      <sz val="8"/>
      <name val="Calibri"/>
      <family val="2"/>
      <scheme val="minor"/>
    </font>
  </fonts>
  <fills count="35">
    <fill>
      <patternFill patternType="none"/>
    </fill>
    <fill>
      <patternFill patternType="gray125"/>
    </fill>
    <fill>
      <patternFill patternType="solid">
        <fgColor theme="2" tint="-9.9978637043366805E-2"/>
        <bgColor indexed="64"/>
      </patternFill>
    </fill>
    <fill>
      <patternFill patternType="solid">
        <fgColor rgb="FFE2FEA2"/>
        <bgColor indexed="64"/>
      </patternFill>
    </fill>
    <fill>
      <patternFill patternType="solid">
        <fgColor theme="0" tint="-0.14999847407452621"/>
        <bgColor indexed="64"/>
      </patternFill>
    </fill>
    <fill>
      <patternFill patternType="solid">
        <fgColor theme="0"/>
        <bgColor indexed="64"/>
      </patternFill>
    </fill>
    <fill>
      <patternFill patternType="solid">
        <fgColor indexed="9"/>
        <bgColor indexed="64"/>
      </patternFill>
    </fill>
    <fill>
      <patternFill patternType="solid">
        <fgColor indexed="55"/>
        <bgColor indexed="64"/>
      </patternFill>
    </fill>
    <fill>
      <patternFill patternType="solid">
        <fgColor theme="1" tint="0.499984740745262"/>
        <bgColor indexed="64"/>
      </patternFill>
    </fill>
    <fill>
      <gradientFill type="path" left="1" right="1" top="1" bottom="1">
        <stop position="0">
          <color theme="0"/>
        </stop>
        <stop position="1">
          <color theme="0" tint="-0.1490218817712943"/>
        </stop>
      </gradientFill>
    </fill>
    <fill>
      <gradientFill degree="270">
        <stop position="0">
          <color theme="0"/>
        </stop>
        <stop position="1">
          <color theme="0" tint="-0.1490218817712943"/>
        </stop>
      </gradientFill>
    </fill>
    <fill>
      <patternFill patternType="solid">
        <fgColor indexed="22"/>
        <bgColor indexed="64"/>
      </patternFill>
    </fill>
    <fill>
      <gradientFill degree="180">
        <stop position="0">
          <color theme="0"/>
        </stop>
        <stop position="1">
          <color theme="0" tint="-0.1490218817712943"/>
        </stop>
      </gradientFill>
    </fill>
    <fill>
      <gradientFill type="path" left="1" right="1">
        <stop position="0">
          <color theme="0"/>
        </stop>
        <stop position="1">
          <color theme="0" tint="-0.1490218817712943"/>
        </stop>
      </gradientFill>
    </fill>
    <fill>
      <gradientFill degree="90">
        <stop position="0">
          <color theme="0"/>
        </stop>
        <stop position="1">
          <color theme="0" tint="-0.1490218817712943"/>
        </stop>
      </gradientFill>
    </fill>
    <fill>
      <patternFill patternType="solid">
        <fgColor indexed="23"/>
        <bgColor indexed="64"/>
      </patternFill>
    </fill>
    <fill>
      <patternFill patternType="solid">
        <fgColor indexed="8"/>
        <bgColor indexed="64"/>
      </patternFill>
    </fill>
    <fill>
      <gradientFill degree="270">
        <stop position="0">
          <color theme="0"/>
        </stop>
        <stop position="1">
          <color theme="1" tint="0.49803155613879818"/>
        </stop>
      </gradientFill>
    </fill>
    <fill>
      <gradientFill degree="90">
        <stop position="0">
          <color theme="0"/>
        </stop>
        <stop position="1">
          <color theme="1" tint="0.49803155613879818"/>
        </stop>
      </gradientFill>
    </fill>
    <fill>
      <gradientFill>
        <stop position="0">
          <color theme="0"/>
        </stop>
        <stop position="1">
          <color theme="0" tint="-0.34900967436750391"/>
        </stop>
      </gradientFill>
    </fill>
    <fill>
      <patternFill patternType="solid">
        <fgColor theme="0" tint="-0.34998626667073579"/>
        <bgColor indexed="64"/>
      </patternFill>
    </fill>
    <fill>
      <gradientFill degree="180">
        <stop position="0">
          <color theme="0"/>
        </stop>
        <stop position="1">
          <color theme="0" tint="-0.34900967436750391"/>
        </stop>
      </gradientFill>
    </fill>
    <fill>
      <gradientFill>
        <stop position="0">
          <color theme="0"/>
        </stop>
        <stop position="1">
          <color theme="0" tint="-0.1490218817712943"/>
        </stop>
      </gradientFill>
    </fill>
    <fill>
      <patternFill patternType="solid">
        <fgColor theme="0" tint="-4.9989318521683403E-2"/>
        <bgColor indexed="64"/>
      </patternFill>
    </fill>
    <fill>
      <patternFill patternType="solid">
        <fgColor theme="0"/>
        <bgColor indexed="16"/>
      </patternFill>
    </fill>
    <fill>
      <gradientFill degree="90">
        <stop position="0">
          <color theme="0"/>
        </stop>
        <stop position="1">
          <color theme="0" tint="-0.49803155613879818"/>
        </stop>
      </gradientFill>
    </fill>
    <fill>
      <patternFill patternType="solid">
        <fgColor theme="0" tint="-0.499984740745262"/>
        <bgColor indexed="64"/>
      </patternFill>
    </fill>
    <fill>
      <gradientFill degree="270">
        <stop position="0">
          <color theme="0"/>
        </stop>
        <stop position="1">
          <color theme="0" tint="-0.49803155613879818"/>
        </stop>
      </gradientFill>
    </fill>
    <fill>
      <patternFill patternType="solid">
        <fgColor theme="0" tint="-0.249977111117893"/>
        <bgColor indexed="64"/>
      </patternFill>
    </fill>
    <fill>
      <patternFill patternType="solid">
        <fgColor rgb="FFFFFF00"/>
        <bgColor indexed="64"/>
      </patternFill>
    </fill>
    <fill>
      <patternFill patternType="solid">
        <fgColor rgb="FFABDC52"/>
        <bgColor indexed="64"/>
      </patternFill>
    </fill>
    <fill>
      <patternFill patternType="solid">
        <fgColor rgb="FF00B0F0"/>
        <bgColor indexed="64"/>
      </patternFill>
    </fill>
    <fill>
      <patternFill patternType="solid">
        <fgColor rgb="FFFBD679"/>
        <bgColor indexed="64"/>
      </patternFill>
    </fill>
    <fill>
      <patternFill patternType="solid">
        <fgColor rgb="FFFFC000"/>
        <bgColor indexed="64"/>
      </patternFill>
    </fill>
    <fill>
      <patternFill patternType="solid">
        <fgColor theme="0"/>
        <bgColor auto="1"/>
      </patternFill>
    </fill>
  </fills>
  <borders count="228">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ck">
        <color indexed="22"/>
      </left>
      <right/>
      <top style="thick">
        <color indexed="22"/>
      </top>
      <bottom/>
      <diagonal/>
    </border>
    <border>
      <left/>
      <right/>
      <top style="thick">
        <color indexed="22"/>
      </top>
      <bottom/>
      <diagonal/>
    </border>
    <border>
      <left/>
      <right style="thick">
        <color indexed="22"/>
      </right>
      <top style="thick">
        <color indexed="22"/>
      </top>
      <bottom/>
      <diagonal/>
    </border>
    <border>
      <left style="thick">
        <color indexed="22"/>
      </left>
      <right/>
      <top/>
      <bottom/>
      <diagonal/>
    </border>
    <border>
      <left/>
      <right style="thick">
        <color indexed="22"/>
      </right>
      <top/>
      <bottom/>
      <diagonal/>
    </border>
    <border diagonalUp="1">
      <left/>
      <right/>
      <top/>
      <bottom/>
      <diagonal style="thick">
        <color indexed="22"/>
      </diagonal>
    </border>
    <border diagonalDown="1">
      <left/>
      <right/>
      <top/>
      <bottom/>
      <diagonal style="thick">
        <color indexed="22"/>
      </diagonal>
    </border>
    <border>
      <left/>
      <right/>
      <top/>
      <bottom style="thick">
        <color indexed="22"/>
      </bottom>
      <diagonal/>
    </border>
    <border>
      <left/>
      <right style="thick">
        <color indexed="22"/>
      </right>
      <top/>
      <bottom style="thick">
        <color indexed="22"/>
      </bottom>
      <diagonal/>
    </border>
    <border>
      <left style="thick">
        <color indexed="22"/>
      </left>
      <right/>
      <top/>
      <bottom style="thick">
        <color indexed="22"/>
      </bottom>
      <diagonal/>
    </border>
    <border>
      <left style="thick">
        <color indexed="55"/>
      </left>
      <right/>
      <top style="thick">
        <color indexed="55"/>
      </top>
      <bottom style="thick">
        <color indexed="55"/>
      </bottom>
      <diagonal/>
    </border>
    <border>
      <left/>
      <right/>
      <top style="thick">
        <color indexed="55"/>
      </top>
      <bottom style="thick">
        <color indexed="55"/>
      </bottom>
      <diagonal/>
    </border>
    <border>
      <left/>
      <right/>
      <top style="thick">
        <color indexed="55"/>
      </top>
      <bottom/>
      <diagonal/>
    </border>
    <border diagonalDown="1">
      <left/>
      <right/>
      <top/>
      <bottom/>
      <diagonal style="thick">
        <color indexed="55"/>
      </diagonal>
    </border>
    <border diagonalUp="1">
      <left/>
      <right/>
      <top/>
      <bottom/>
      <diagonal style="thick">
        <color indexed="64"/>
      </diagonal>
    </border>
    <border>
      <left/>
      <right/>
      <top style="thick">
        <color indexed="64"/>
      </top>
      <bottom/>
      <diagonal/>
    </border>
    <border diagonalDown="1">
      <left/>
      <right/>
      <top/>
      <bottom/>
      <diagonal style="thick">
        <color indexed="64"/>
      </diagonal>
    </border>
    <border diagonalUp="1">
      <left/>
      <right/>
      <top/>
      <bottom/>
      <diagonal style="medium">
        <color indexed="64"/>
      </diagonal>
    </border>
    <border diagonalDown="1">
      <left/>
      <right/>
      <top/>
      <bottom/>
      <diagonal style="medium">
        <color indexed="64"/>
      </diagonal>
    </border>
    <border>
      <left/>
      <right style="thick">
        <color indexed="64"/>
      </right>
      <top/>
      <bottom/>
      <diagonal/>
    </border>
    <border>
      <left style="thick">
        <color indexed="64"/>
      </left>
      <right/>
      <top/>
      <bottom/>
      <diagonal/>
    </border>
    <border>
      <left/>
      <right/>
      <top/>
      <bottom style="thick">
        <color indexed="55"/>
      </bottom>
      <diagonal/>
    </border>
    <border>
      <left/>
      <right/>
      <top/>
      <bottom style="thick">
        <color indexed="64"/>
      </bottom>
      <diagonal/>
    </border>
    <border>
      <left/>
      <right style="thick">
        <color indexed="55"/>
      </right>
      <top/>
      <bottom/>
      <diagonal/>
    </border>
    <border>
      <left/>
      <right style="thick">
        <color indexed="22"/>
      </right>
      <top style="thick">
        <color indexed="64"/>
      </top>
      <bottom/>
      <diagonal/>
    </border>
    <border>
      <left style="thick">
        <color indexed="22"/>
      </left>
      <right style="thick">
        <color indexed="22"/>
      </right>
      <top style="thick">
        <color indexed="64"/>
      </top>
      <bottom/>
      <diagonal/>
    </border>
    <border>
      <left style="thick">
        <color indexed="22"/>
      </left>
      <right/>
      <top style="thick">
        <color indexed="64"/>
      </top>
      <bottom/>
      <diagonal/>
    </border>
    <border>
      <left/>
      <right style="thick">
        <color indexed="55"/>
      </right>
      <top/>
      <bottom style="thick">
        <color indexed="55"/>
      </bottom>
      <diagonal/>
    </border>
    <border>
      <left style="thick">
        <color indexed="22"/>
      </left>
      <right style="thick">
        <color indexed="22"/>
      </right>
      <top/>
      <bottom/>
      <diagonal/>
    </border>
    <border>
      <left style="thick">
        <color indexed="8"/>
      </left>
      <right/>
      <top style="thick">
        <color indexed="8"/>
      </top>
      <bottom/>
      <diagonal/>
    </border>
    <border>
      <left/>
      <right/>
      <top style="thick">
        <color indexed="8"/>
      </top>
      <bottom/>
      <diagonal/>
    </border>
    <border diagonalUp="1">
      <left/>
      <right/>
      <top style="thick">
        <color indexed="64"/>
      </top>
      <bottom/>
      <diagonal style="thick">
        <color indexed="64"/>
      </diagonal>
    </border>
    <border>
      <left style="thick">
        <color indexed="8"/>
      </left>
      <right/>
      <top/>
      <bottom/>
      <diagonal/>
    </border>
    <border>
      <left style="thick">
        <color indexed="8"/>
      </left>
      <right/>
      <top/>
      <bottom style="thick">
        <color indexed="8"/>
      </bottom>
      <diagonal/>
    </border>
    <border>
      <left/>
      <right/>
      <top/>
      <bottom style="thick">
        <color indexed="8"/>
      </bottom>
      <diagonal/>
    </border>
    <border>
      <left style="medium">
        <color indexed="22"/>
      </left>
      <right/>
      <top style="medium">
        <color indexed="22"/>
      </top>
      <bottom/>
      <diagonal/>
    </border>
    <border>
      <left/>
      <right/>
      <top style="medium">
        <color indexed="22"/>
      </top>
      <bottom/>
      <diagonal/>
    </border>
    <border>
      <left/>
      <right style="medium">
        <color indexed="22"/>
      </right>
      <top style="medium">
        <color indexed="22"/>
      </top>
      <bottom/>
      <diagonal/>
    </border>
    <border>
      <left style="medium">
        <color indexed="22"/>
      </left>
      <right/>
      <top/>
      <bottom/>
      <diagonal/>
    </border>
    <border>
      <left/>
      <right style="medium">
        <color indexed="22"/>
      </right>
      <top/>
      <bottom/>
      <diagonal/>
    </border>
    <border diagonalUp="1">
      <left/>
      <right/>
      <top/>
      <bottom/>
      <diagonal style="medium">
        <color indexed="55"/>
      </diagonal>
    </border>
    <border>
      <left/>
      <right style="thick">
        <color indexed="55"/>
      </right>
      <top style="thick">
        <color indexed="64"/>
      </top>
      <bottom style="thick">
        <color indexed="55"/>
      </bottom>
      <diagonal/>
    </border>
    <border>
      <left style="medium">
        <color indexed="22"/>
      </left>
      <right/>
      <top/>
      <bottom style="medium">
        <color indexed="22"/>
      </bottom>
      <diagonal/>
    </border>
    <border>
      <left/>
      <right/>
      <top/>
      <bottom style="medium">
        <color indexed="22"/>
      </bottom>
      <diagonal/>
    </border>
    <border>
      <left/>
      <right style="medium">
        <color indexed="22"/>
      </right>
      <top/>
      <bottom style="medium">
        <color indexed="22"/>
      </bottom>
      <diagonal/>
    </border>
    <border diagonalUp="1">
      <left/>
      <right/>
      <top/>
      <bottom/>
      <diagonal style="mediumDashed">
        <color indexed="23"/>
      </diagonal>
    </border>
    <border>
      <left/>
      <right/>
      <top style="mediumDashed">
        <color indexed="23"/>
      </top>
      <bottom/>
      <diagonal/>
    </border>
    <border diagonalDown="1">
      <left/>
      <right/>
      <top/>
      <bottom/>
      <diagonal style="mediumDashed">
        <color indexed="23"/>
      </diagonal>
    </border>
    <border>
      <left style="mediumDashed">
        <color indexed="23"/>
      </left>
      <right/>
      <top/>
      <bottom/>
      <diagonal/>
    </border>
    <border>
      <left/>
      <right style="mediumDashed">
        <color indexed="23"/>
      </right>
      <top/>
      <bottom/>
      <diagonal/>
    </border>
    <border>
      <left/>
      <right style="mediumDashed">
        <color indexed="23"/>
      </right>
      <top/>
      <bottom style="thick">
        <color indexed="22"/>
      </bottom>
      <diagonal/>
    </border>
    <border>
      <left style="mediumDashed">
        <color indexed="23"/>
      </left>
      <right/>
      <top/>
      <bottom style="thick">
        <color indexed="22"/>
      </bottom>
      <diagonal/>
    </border>
    <border>
      <left/>
      <right/>
      <top/>
      <bottom style="mediumDashed">
        <color indexed="23"/>
      </bottom>
      <diagonal/>
    </border>
    <border>
      <left/>
      <right style="medium">
        <color indexed="64"/>
      </right>
      <top/>
      <bottom style="thick">
        <color indexed="22"/>
      </bottom>
      <diagonal/>
    </border>
    <border>
      <left/>
      <right style="thick">
        <color theme="1" tint="0.499984740745262"/>
      </right>
      <top style="thick">
        <color indexed="64"/>
      </top>
      <bottom/>
      <diagonal/>
    </border>
    <border>
      <left/>
      <right style="thick">
        <color theme="1" tint="0.499984740745262"/>
      </right>
      <top/>
      <bottom/>
      <diagonal/>
    </border>
    <border>
      <left/>
      <right style="thick">
        <color indexed="23"/>
      </right>
      <top/>
      <bottom/>
      <diagonal/>
    </border>
    <border>
      <left/>
      <right/>
      <top style="thick">
        <color indexed="22"/>
      </top>
      <bottom style="thick">
        <color indexed="22"/>
      </bottom>
      <diagonal/>
    </border>
    <border diagonalDown="1">
      <left/>
      <right style="thick">
        <color indexed="22"/>
      </right>
      <top/>
      <bottom/>
      <diagonal style="thick">
        <color indexed="22"/>
      </diagonal>
    </border>
    <border>
      <left style="thick">
        <color indexed="22"/>
      </left>
      <right style="thick">
        <color indexed="22"/>
      </right>
      <top/>
      <bottom style="thick">
        <color indexed="8"/>
      </bottom>
      <diagonal/>
    </border>
    <border>
      <left style="thick">
        <color indexed="22"/>
      </left>
      <right/>
      <top/>
      <bottom style="thick">
        <color indexed="8"/>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right style="thick">
        <color indexed="22"/>
      </right>
      <top style="thick">
        <color indexed="8"/>
      </top>
      <bottom/>
      <diagonal/>
    </border>
    <border>
      <left/>
      <right/>
      <top style="thick">
        <color indexed="22"/>
      </top>
      <bottom style="thick">
        <color indexed="55"/>
      </bottom>
      <diagonal/>
    </border>
    <border>
      <left/>
      <right style="thick">
        <color indexed="55"/>
      </right>
      <top style="thick">
        <color indexed="22"/>
      </top>
      <bottom/>
      <diagonal/>
    </border>
    <border>
      <left style="thick">
        <color indexed="55"/>
      </left>
      <right/>
      <top style="thick">
        <color indexed="55"/>
      </top>
      <bottom/>
      <diagonal/>
    </border>
    <border>
      <left/>
      <right style="thick">
        <color indexed="55"/>
      </right>
      <top style="thick">
        <color indexed="55"/>
      </top>
      <bottom/>
      <diagonal/>
    </border>
    <border>
      <left style="thick">
        <color indexed="55"/>
      </left>
      <right/>
      <top/>
      <bottom/>
      <diagonal/>
    </border>
    <border>
      <left style="thick">
        <color theme="1" tint="0.499984740745262"/>
      </left>
      <right/>
      <top/>
      <bottom/>
      <diagonal/>
    </border>
    <border>
      <left/>
      <right style="thick">
        <color indexed="22"/>
      </right>
      <top/>
      <bottom style="thick">
        <color indexed="64"/>
      </bottom>
      <diagonal/>
    </border>
    <border diagonalUp="1">
      <left/>
      <right/>
      <top/>
      <bottom/>
      <diagonal style="thick">
        <color indexed="23"/>
      </diagonal>
    </border>
    <border>
      <left/>
      <right style="thick">
        <color indexed="64"/>
      </right>
      <top style="thick">
        <color indexed="22"/>
      </top>
      <bottom/>
      <diagonal/>
    </border>
    <border diagonalUp="1">
      <left/>
      <right style="thick">
        <color indexed="23"/>
      </right>
      <top/>
      <bottom/>
      <diagonal style="thick">
        <color indexed="23"/>
      </diagonal>
    </border>
    <border diagonalUp="1">
      <left/>
      <right style="thick">
        <color indexed="55"/>
      </right>
      <top/>
      <bottom/>
      <diagonal style="thick">
        <color indexed="55"/>
      </diagonal>
    </border>
    <border>
      <left style="thick">
        <color indexed="55"/>
      </left>
      <right style="thick">
        <color indexed="22"/>
      </right>
      <top/>
      <bottom/>
      <diagonal/>
    </border>
    <border diagonalDown="1">
      <left/>
      <right style="thick">
        <color indexed="23"/>
      </right>
      <top/>
      <bottom/>
      <diagonal style="thick">
        <color indexed="23"/>
      </diagonal>
    </border>
    <border diagonalUp="1">
      <left/>
      <right/>
      <top/>
      <bottom/>
      <diagonal style="thick">
        <color indexed="55"/>
      </diagonal>
    </border>
    <border diagonalDown="1">
      <left/>
      <right style="thick">
        <color indexed="55"/>
      </right>
      <top/>
      <bottom/>
      <diagonal style="thick">
        <color indexed="55"/>
      </diagonal>
    </border>
    <border diagonalDown="1">
      <left/>
      <right/>
      <top/>
      <bottom/>
      <diagonal style="thick">
        <color indexed="23"/>
      </diagonal>
    </border>
    <border>
      <left style="thick">
        <color indexed="8"/>
      </left>
      <right style="thick">
        <color indexed="8"/>
      </right>
      <top style="thick">
        <color indexed="8"/>
      </top>
      <bottom style="thick">
        <color indexed="8"/>
      </bottom>
      <diagonal/>
    </border>
    <border diagonalDown="1">
      <left style="thick">
        <color indexed="55"/>
      </left>
      <right/>
      <top/>
      <bottom/>
      <diagonal style="thick">
        <color indexed="55"/>
      </diagonal>
    </border>
    <border>
      <left style="thick">
        <color indexed="8"/>
      </left>
      <right/>
      <top style="thick">
        <color indexed="8"/>
      </top>
      <bottom style="thin">
        <color indexed="8"/>
      </bottom>
      <diagonal/>
    </border>
    <border>
      <left/>
      <right/>
      <top style="thick">
        <color indexed="8"/>
      </top>
      <bottom style="thin">
        <color indexed="8"/>
      </bottom>
      <diagonal/>
    </border>
    <border>
      <left/>
      <right style="thick">
        <color indexed="8"/>
      </right>
      <top/>
      <bottom/>
      <diagonal/>
    </border>
    <border>
      <left/>
      <right style="thick">
        <color indexed="23"/>
      </right>
      <top/>
      <bottom style="thick">
        <color indexed="23"/>
      </bottom>
      <diagonal/>
    </border>
    <border>
      <left/>
      <right/>
      <top style="thick">
        <color indexed="23"/>
      </top>
      <bottom/>
      <diagonal/>
    </border>
    <border>
      <left/>
      <right style="thick">
        <color indexed="8"/>
      </right>
      <top/>
      <bottom style="thick">
        <color indexed="8"/>
      </bottom>
      <diagonal/>
    </border>
    <border>
      <left/>
      <right/>
      <top style="thick">
        <color theme="0" tint="-0.34998626667073579"/>
      </top>
      <bottom/>
      <diagonal/>
    </border>
    <border diagonalUp="1">
      <left/>
      <right/>
      <top/>
      <bottom style="thick">
        <color indexed="55"/>
      </bottom>
      <diagonal style="thick">
        <color indexed="55"/>
      </diagonal>
    </border>
    <border>
      <left/>
      <right/>
      <top/>
      <bottom style="thick">
        <color theme="0" tint="-0.34998626667073579"/>
      </bottom>
      <diagonal/>
    </border>
    <border>
      <left/>
      <right/>
      <top/>
      <bottom style="thick">
        <color indexed="23"/>
      </bottom>
      <diagonal/>
    </border>
    <border>
      <left style="thick">
        <color indexed="23"/>
      </left>
      <right/>
      <top/>
      <bottom/>
      <diagonal/>
    </border>
    <border>
      <left style="thick">
        <color indexed="23"/>
      </left>
      <right/>
      <top/>
      <bottom style="thick">
        <color indexed="23"/>
      </bottom>
      <diagonal/>
    </border>
    <border>
      <left/>
      <right/>
      <top style="thick">
        <color indexed="23"/>
      </top>
      <bottom style="thick">
        <color indexed="23"/>
      </bottom>
      <diagonal/>
    </border>
    <border diagonalUp="1">
      <left/>
      <right/>
      <top/>
      <bottom/>
      <diagonal style="medium">
        <color indexed="22"/>
      </diagonal>
    </border>
    <border diagonalDown="1">
      <left/>
      <right/>
      <top/>
      <bottom/>
      <diagonal style="medium">
        <color indexed="22"/>
      </diagonal>
    </border>
    <border>
      <left/>
      <right/>
      <top/>
      <bottom style="medium">
        <color indexed="55"/>
      </bottom>
      <diagonal/>
    </border>
    <border>
      <left/>
      <right/>
      <top/>
      <bottom style="medium">
        <color theme="0" tint="-0.14999847407452621"/>
      </bottom>
      <diagonal/>
    </border>
    <border>
      <left/>
      <right/>
      <top style="medium">
        <color indexed="55"/>
      </top>
      <bottom style="medium">
        <color indexed="55"/>
      </bottom>
      <diagonal/>
    </border>
    <border diagonalDown="1">
      <left/>
      <right/>
      <top/>
      <bottom/>
      <diagonal style="medium">
        <color indexed="55"/>
      </diagonal>
    </border>
    <border diagonalDown="1">
      <left/>
      <right/>
      <top/>
      <bottom/>
      <diagonal style="medium">
        <color theme="0" tint="-0.14999847407452621"/>
      </diagonal>
    </border>
    <border>
      <left/>
      <right/>
      <top style="medium">
        <color theme="0" tint="-0.14999847407452621"/>
      </top>
      <bottom/>
      <diagonal/>
    </border>
    <border>
      <left/>
      <right style="medium">
        <color theme="0" tint="-0.14999847407452621"/>
      </right>
      <top style="medium">
        <color theme="0" tint="-0.14999847407452621"/>
      </top>
      <bottom/>
      <diagonal/>
    </border>
    <border diagonalUp="1">
      <left/>
      <right/>
      <top/>
      <bottom style="medium">
        <color indexed="55"/>
      </bottom>
      <diagonal style="medium">
        <color indexed="55"/>
      </diagonal>
    </border>
    <border diagonalDown="1">
      <left/>
      <right/>
      <top/>
      <bottom style="medium">
        <color indexed="55"/>
      </bottom>
      <diagonal style="medium">
        <color indexed="55"/>
      </diagonal>
    </border>
    <border>
      <left/>
      <right style="medium">
        <color theme="0" tint="-0.14999847407452621"/>
      </right>
      <top/>
      <bottom style="medium">
        <color theme="0" tint="-0.14999847407452621"/>
      </bottom>
      <diagonal/>
    </border>
    <border>
      <left/>
      <right/>
      <top/>
      <bottom style="thick">
        <color theme="0" tint="-0.14999847407452621"/>
      </bottom>
      <diagonal/>
    </border>
    <border diagonalUp="1">
      <left/>
      <right/>
      <top/>
      <bottom style="thick">
        <color theme="0" tint="-0.34998626667073579"/>
      </bottom>
      <diagonal style="thick">
        <color theme="0" tint="-0.34998626667073579"/>
      </diagonal>
    </border>
    <border diagonalDown="1">
      <left/>
      <right/>
      <top/>
      <bottom/>
      <diagonal style="thick">
        <color theme="0" tint="-0.34998626667073579"/>
      </diagonal>
    </border>
    <border>
      <left/>
      <right/>
      <top style="thick">
        <color theme="0" tint="-0.14999847407452621"/>
      </top>
      <bottom/>
      <diagonal/>
    </border>
    <border diagonalDown="1">
      <left/>
      <right/>
      <top/>
      <bottom/>
      <diagonal style="thick">
        <color theme="0" tint="-0.14999847407452621"/>
      </diagonal>
    </border>
    <border>
      <left/>
      <right/>
      <top/>
      <bottom style="thick">
        <color theme="1" tint="0.499984740745262"/>
      </bottom>
      <diagonal/>
    </border>
    <border diagonalUp="1">
      <left/>
      <right/>
      <top/>
      <bottom/>
      <diagonal style="thick">
        <color theme="1" tint="0.499984740745262"/>
      </diagonal>
    </border>
    <border diagonalDown="1">
      <left/>
      <right/>
      <top/>
      <bottom style="thick">
        <color theme="1" tint="0.499984740745262"/>
      </bottom>
      <diagonal style="thick">
        <color theme="1" tint="0.499984740745262"/>
      </diagonal>
    </border>
    <border diagonalDown="1">
      <left/>
      <right/>
      <top/>
      <bottom style="thick">
        <color theme="0" tint="-0.34998626667073579"/>
      </bottom>
      <diagonal style="thick">
        <color theme="0" tint="-0.34998626667073579"/>
      </diagonal>
    </border>
    <border diagonalDown="1">
      <left/>
      <right/>
      <top/>
      <bottom style="thick">
        <color theme="0" tint="-0.14999847407452621"/>
      </bottom>
      <diagonal style="thick">
        <color theme="0" tint="-0.14999847407452621"/>
      </diagonal>
    </border>
    <border diagonalDown="1">
      <left/>
      <right/>
      <top/>
      <bottom style="thick">
        <color indexed="22"/>
      </bottom>
      <diagonal style="thick">
        <color indexed="22"/>
      </diagonal>
    </border>
    <border>
      <left style="thick">
        <color indexed="55"/>
      </left>
      <right style="thick">
        <color indexed="55"/>
      </right>
      <top/>
      <bottom/>
      <diagonal/>
    </border>
    <border>
      <left/>
      <right style="thick">
        <color theme="0" tint="-0.34998626667073579"/>
      </right>
      <top style="thick">
        <color theme="0" tint="-0.34998626667073579"/>
      </top>
      <bottom/>
      <diagonal/>
    </border>
    <border>
      <left/>
      <right style="thick">
        <color theme="0" tint="-0.34998626667073579"/>
      </right>
      <top/>
      <bottom/>
      <diagonal/>
    </border>
    <border>
      <left/>
      <right style="thick">
        <color theme="0" tint="-0.34998626667073579"/>
      </right>
      <top/>
      <bottom style="thick">
        <color theme="0" tint="-0.34998626667073579"/>
      </bottom>
      <diagonal/>
    </border>
    <border>
      <left/>
      <right style="thick">
        <color indexed="64"/>
      </right>
      <top/>
      <bottom style="medium">
        <color theme="0" tint="-0.14999847407452621"/>
      </bottom>
      <diagonal/>
    </border>
    <border>
      <left style="thick">
        <color indexed="64"/>
      </left>
      <right/>
      <top/>
      <bottom style="medium">
        <color theme="0" tint="-0.14999847407452621"/>
      </bottom>
      <diagonal/>
    </border>
    <border>
      <left style="thick">
        <color indexed="55"/>
      </left>
      <right/>
      <top/>
      <bottom style="thick">
        <color indexed="55"/>
      </bottom>
      <diagonal/>
    </border>
    <border>
      <left/>
      <right/>
      <top/>
      <bottom style="medium">
        <color theme="0" tint="-0.14996795556505021"/>
      </bottom>
      <diagonal/>
    </border>
    <border>
      <left/>
      <right/>
      <top style="medium">
        <color theme="0" tint="-0.14996795556505021"/>
      </top>
      <bottom/>
      <diagonal/>
    </border>
    <border diagonalUp="1">
      <left/>
      <right/>
      <top style="thick">
        <color indexed="22"/>
      </top>
      <bottom/>
      <diagonal style="thick">
        <color indexed="22"/>
      </diagonal>
    </border>
    <border>
      <left style="thick">
        <color indexed="64"/>
      </left>
      <right/>
      <top style="medium">
        <color theme="0" tint="-0.14996795556505021"/>
      </top>
      <bottom/>
      <diagonal/>
    </border>
    <border>
      <left style="thick">
        <color indexed="64"/>
      </left>
      <right/>
      <top/>
      <bottom style="medium">
        <color theme="0" tint="-0.14996795556505021"/>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theme="1" tint="0.499984740745262"/>
      </left>
      <right style="thick">
        <color indexed="23"/>
      </right>
      <top/>
      <bottom/>
      <diagonal/>
    </border>
    <border>
      <left/>
      <right/>
      <top style="thick">
        <color theme="0" tint="-0.24994659260841701"/>
      </top>
      <bottom/>
      <diagonal/>
    </border>
    <border>
      <left/>
      <right/>
      <top/>
      <bottom style="thick">
        <color theme="0" tint="-0.2499465926084170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diagonal/>
    </border>
    <border>
      <left/>
      <right/>
      <top/>
      <bottom style="hair">
        <color indexed="22"/>
      </bottom>
      <diagonal/>
    </border>
    <border>
      <left/>
      <right/>
      <top style="hair">
        <color indexed="22"/>
      </top>
      <bottom style="hair">
        <color indexed="22"/>
      </bottom>
      <diagonal/>
    </border>
    <border>
      <left/>
      <right/>
      <top style="hair">
        <color indexed="22"/>
      </top>
      <bottom/>
      <diagonal/>
    </border>
    <border>
      <left/>
      <right/>
      <top style="thick">
        <color indexed="22"/>
      </top>
      <bottom style="thick">
        <color theme="0" tint="-0.24994659260841701"/>
      </bottom>
      <diagonal/>
    </border>
    <border>
      <left style="hair">
        <color indexed="22"/>
      </left>
      <right/>
      <top style="hair">
        <color indexed="22"/>
      </top>
      <bottom/>
      <diagonal/>
    </border>
    <border>
      <left/>
      <right style="hair">
        <color indexed="22"/>
      </right>
      <top style="hair">
        <color indexed="22"/>
      </top>
      <bottom/>
      <diagonal/>
    </border>
    <border>
      <left style="hair">
        <color indexed="22"/>
      </left>
      <right/>
      <top/>
      <bottom/>
      <diagonal/>
    </border>
    <border>
      <left/>
      <right style="hair">
        <color indexed="22"/>
      </right>
      <top/>
      <bottom/>
      <diagonal/>
    </border>
    <border>
      <left style="hair">
        <color indexed="22"/>
      </left>
      <right/>
      <top/>
      <bottom style="hair">
        <color indexed="22"/>
      </bottom>
      <diagonal/>
    </border>
    <border>
      <left/>
      <right style="hair">
        <color indexed="22"/>
      </right>
      <top/>
      <bottom style="hair">
        <color indexed="22"/>
      </bottom>
      <diagonal/>
    </border>
    <border>
      <left style="hair">
        <color indexed="22"/>
      </left>
      <right/>
      <top/>
      <bottom style="thick">
        <color indexed="22"/>
      </bottom>
      <diagonal/>
    </border>
    <border>
      <left/>
      <right style="hair">
        <color indexed="22"/>
      </right>
      <top/>
      <bottom style="thick">
        <color indexed="22"/>
      </bottom>
      <diagonal/>
    </border>
    <border>
      <left style="hair">
        <color indexed="22"/>
      </left>
      <right/>
      <top style="hair">
        <color indexed="22"/>
      </top>
      <bottom style="hair">
        <color indexed="22"/>
      </bottom>
      <diagonal/>
    </border>
    <border>
      <left/>
      <right style="hair">
        <color indexed="22"/>
      </right>
      <top style="hair">
        <color indexed="22"/>
      </top>
      <bottom style="hair">
        <color indexed="22"/>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right/>
      <top style="hair">
        <color indexed="22"/>
      </top>
      <bottom style="thick">
        <color indexed="22"/>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medium">
        <color indexed="64"/>
      </top>
      <bottom/>
      <diagonal/>
    </border>
    <border>
      <left style="thin">
        <color auto="1"/>
      </left>
      <right/>
      <top/>
      <bottom style="medium">
        <color indexed="64"/>
      </bottom>
      <diagonal/>
    </border>
    <border>
      <left style="medium">
        <color auto="1"/>
      </left>
      <right/>
      <top/>
      <bottom style="thin">
        <color indexed="64"/>
      </bottom>
      <diagonal/>
    </border>
    <border>
      <left/>
      <right/>
      <top/>
      <bottom style="medium">
        <color theme="0" tint="-0.24994659260841701"/>
      </bottom>
      <diagonal/>
    </border>
    <border>
      <left/>
      <right/>
      <top style="thin">
        <color theme="0" tint="-0.34998626667073579"/>
      </top>
      <bottom style="thin">
        <color theme="0" tint="-0.34998626667073579"/>
      </bottom>
      <diagonal/>
    </border>
    <border>
      <left style="hair">
        <color indexed="22"/>
      </left>
      <right/>
      <top style="hair">
        <color indexed="22"/>
      </top>
      <bottom style="thick">
        <color indexed="22"/>
      </bottom>
      <diagonal/>
    </border>
    <border>
      <left/>
      <right style="hair">
        <color indexed="22"/>
      </right>
      <top style="hair">
        <color indexed="22"/>
      </top>
      <bottom style="thick">
        <color indexed="22"/>
      </bottom>
      <diagonal/>
    </border>
    <border>
      <left/>
      <right style="thick">
        <color auto="1"/>
      </right>
      <top/>
      <bottom/>
      <diagonal/>
    </border>
    <border>
      <left/>
      <right/>
      <top/>
      <bottom style="mediumDashed">
        <color theme="0" tint="-0.34998626667073579"/>
      </bottom>
      <diagonal/>
    </border>
    <border>
      <left style="thin">
        <color auto="1"/>
      </left>
      <right style="thin">
        <color auto="1"/>
      </right>
      <top/>
      <bottom/>
      <diagonal/>
    </border>
    <border>
      <left/>
      <right style="thin">
        <color auto="1"/>
      </right>
      <top style="medium">
        <color indexed="64"/>
      </top>
      <bottom/>
      <diagonal/>
    </border>
    <border>
      <left/>
      <right style="thin">
        <color auto="1"/>
      </right>
      <top/>
      <bottom style="medium">
        <color indexed="64"/>
      </bottom>
      <diagonal/>
    </border>
    <border>
      <left/>
      <right/>
      <top style="mediumDashed">
        <color theme="0" tint="-0.34998626667073579"/>
      </top>
      <bottom/>
      <diagonal/>
    </border>
    <border>
      <left/>
      <right/>
      <top/>
      <bottom style="thin">
        <color theme="0" tint="-0.34998626667073579"/>
      </bottom>
      <diagonal/>
    </border>
    <border>
      <left/>
      <right/>
      <top style="thin">
        <color theme="0" tint="-0.34998626667073579"/>
      </top>
      <bottom style="thin">
        <color indexed="64"/>
      </bottom>
      <diagonal/>
    </border>
    <border>
      <left/>
      <right/>
      <top style="thin">
        <color theme="0" tint="-0.34998626667073579"/>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diagonalDown="1">
      <left/>
      <right/>
      <top/>
      <bottom/>
      <diagonal style="thick">
        <color theme="0" tint="-0.24994659260841701"/>
      </diagonal>
    </border>
    <border>
      <left/>
      <right style="thick">
        <color indexed="64"/>
      </right>
      <top style="medium">
        <color theme="0" tint="-0.14996795556505021"/>
      </top>
      <bottom/>
      <diagonal/>
    </border>
    <border>
      <left/>
      <right style="thick">
        <color indexed="64"/>
      </right>
      <top/>
      <bottom style="medium">
        <color theme="0" tint="-0.1499679555650502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
    <xf numFmtId="0" fontId="0" fillId="0" borderId="0"/>
    <xf numFmtId="0" fontId="39" fillId="0" borderId="0" applyFill="0" applyBorder="0"/>
    <xf numFmtId="0" fontId="102" fillId="0" borderId="0" applyNumberFormat="0" applyFill="0" applyBorder="0" applyAlignment="0" applyProtection="0">
      <alignment vertical="top"/>
      <protection locked="0"/>
    </xf>
  </cellStyleXfs>
  <cellXfs count="2272">
    <xf numFmtId="0" fontId="0" fillId="0" borderId="0" xfId="0"/>
    <xf numFmtId="0" fontId="0" fillId="0" borderId="1" xfId="0" applyBorder="1"/>
    <xf numFmtId="0" fontId="0" fillId="0" borderId="0" xfId="0" applyAlignment="1">
      <alignment horizontal="center"/>
    </xf>
    <xf numFmtId="0" fontId="0" fillId="0" borderId="0" xfId="0" applyBorder="1"/>
    <xf numFmtId="164" fontId="0" fillId="0" borderId="0" xfId="0" applyNumberFormat="1" applyBorder="1"/>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7" xfId="0" applyBorder="1"/>
    <xf numFmtId="0" fontId="0" fillId="0" borderId="16" xfId="0" applyBorder="1"/>
    <xf numFmtId="0" fontId="0" fillId="0" borderId="17" xfId="0" applyBorder="1"/>
    <xf numFmtId="0" fontId="0" fillId="0" borderId="18" xfId="0" applyBorder="1"/>
    <xf numFmtId="0" fontId="0" fillId="0" borderId="6" xfId="0" applyBorder="1"/>
    <xf numFmtId="0" fontId="0" fillId="0" borderId="18" xfId="0" applyBorder="1" applyAlignment="1">
      <alignment horizontal="center"/>
    </xf>
    <xf numFmtId="0" fontId="0" fillId="0" borderId="7" xfId="0" applyBorder="1" applyAlignment="1">
      <alignment horizontal="center"/>
    </xf>
    <xf numFmtId="0" fontId="0" fillId="4" borderId="0" xfId="0" applyFill="1"/>
    <xf numFmtId="0" fontId="0" fillId="4" borderId="0" xfId="0" applyFill="1" applyAlignment="1">
      <alignment horizontal="center"/>
    </xf>
    <xf numFmtId="1" fontId="0" fillId="0" borderId="0" xfId="0" applyNumberFormat="1" applyBorder="1"/>
    <xf numFmtId="0" fontId="0" fillId="0" borderId="17" xfId="0" applyBorder="1" applyAlignment="1">
      <alignment horizontal="center"/>
    </xf>
    <xf numFmtId="0" fontId="0" fillId="0" borderId="0" xfId="0" applyBorder="1" applyAlignment="1">
      <alignment horizontal="center"/>
    </xf>
    <xf numFmtId="0" fontId="0" fillId="4" borderId="0" xfId="0" applyFill="1" applyBorder="1" applyAlignment="1">
      <alignment horizontal="center"/>
    </xf>
    <xf numFmtId="164" fontId="0" fillId="0" borderId="17" xfId="0" applyNumberFormat="1" applyBorder="1"/>
    <xf numFmtId="0" fontId="0" fillId="5" borderId="19" xfId="0" applyFill="1" applyBorder="1"/>
    <xf numFmtId="0" fontId="0" fillId="5" borderId="20" xfId="0" applyFill="1" applyBorder="1"/>
    <xf numFmtId="0" fontId="0" fillId="5" borderId="20" xfId="0" applyFill="1" applyBorder="1" applyAlignment="1">
      <alignment horizontal="center"/>
    </xf>
    <xf numFmtId="0" fontId="0" fillId="5" borderId="5" xfId="0" applyFill="1" applyBorder="1"/>
    <xf numFmtId="0" fontId="0" fillId="5" borderId="6" xfId="0" applyFill="1" applyBorder="1"/>
    <xf numFmtId="0" fontId="0" fillId="5" borderId="0" xfId="0" applyFill="1" applyBorder="1" applyAlignment="1">
      <alignment horizontal="center"/>
    </xf>
    <xf numFmtId="0" fontId="0" fillId="5" borderId="0" xfId="0" applyFill="1" applyBorder="1"/>
    <xf numFmtId="0" fontId="0" fillId="5" borderId="7" xfId="0" applyFill="1" applyBorder="1"/>
    <xf numFmtId="0" fontId="0" fillId="5" borderId="0" xfId="0" applyFill="1" applyBorder="1" applyAlignment="1"/>
    <xf numFmtId="0" fontId="1" fillId="5" borderId="0" xfId="0" applyFont="1" applyFill="1" applyBorder="1"/>
    <xf numFmtId="0" fontId="0" fillId="5" borderId="21" xfId="0" applyFill="1" applyBorder="1"/>
    <xf numFmtId="0" fontId="0" fillId="5" borderId="22" xfId="0" applyFill="1" applyBorder="1"/>
    <xf numFmtId="0" fontId="0" fillId="5" borderId="22" xfId="0" applyFill="1" applyBorder="1" applyAlignment="1">
      <alignment horizontal="center"/>
    </xf>
    <xf numFmtId="0" fontId="0" fillId="5" borderId="8" xfId="0" applyFill="1" applyBorder="1"/>
    <xf numFmtId="0" fontId="3" fillId="5" borderId="0" xfId="0" applyFont="1" applyFill="1" applyBorder="1" applyAlignment="1">
      <alignment horizontal="center"/>
    </xf>
    <xf numFmtId="0" fontId="1" fillId="5" borderId="0" xfId="0" applyFont="1" applyFill="1" applyBorder="1" applyAlignment="1">
      <alignment horizontal="center"/>
    </xf>
    <xf numFmtId="165" fontId="0" fillId="5" borderId="0" xfId="0" applyNumberFormat="1" applyFill="1" applyBorder="1" applyAlignment="1">
      <alignment horizontal="center"/>
    </xf>
    <xf numFmtId="165" fontId="0" fillId="5" borderId="2" xfId="0" applyNumberFormat="1" applyFill="1" applyBorder="1" applyAlignment="1">
      <alignment horizontal="center"/>
    </xf>
    <xf numFmtId="0" fontId="0" fillId="5" borderId="10" xfId="0" applyFill="1" applyBorder="1" applyAlignment="1">
      <alignment horizontal="center"/>
    </xf>
    <xf numFmtId="165" fontId="0" fillId="5" borderId="3" xfId="0" applyNumberFormat="1" applyFill="1" applyBorder="1" applyAlignment="1">
      <alignment horizontal="center"/>
    </xf>
    <xf numFmtId="0" fontId="0" fillId="5" borderId="9" xfId="0" applyFill="1" applyBorder="1" applyAlignment="1">
      <alignment horizontal="center"/>
    </xf>
    <xf numFmtId="165" fontId="0" fillId="5" borderId="4" xfId="0" applyNumberFormat="1" applyFill="1" applyBorder="1" applyAlignment="1">
      <alignment horizontal="center"/>
    </xf>
    <xf numFmtId="0" fontId="0" fillId="5" borderId="19" xfId="0" applyNumberFormat="1" applyFill="1" applyBorder="1" applyAlignment="1">
      <alignment horizontal="center"/>
    </xf>
    <xf numFmtId="0" fontId="0" fillId="5" borderId="6" xfId="0" applyNumberFormat="1" applyFill="1" applyBorder="1" applyAlignment="1">
      <alignment horizontal="center"/>
    </xf>
    <xf numFmtId="0" fontId="0" fillId="5" borderId="21" xfId="0" applyNumberFormat="1" applyFill="1" applyBorder="1" applyAlignment="1">
      <alignment horizontal="center"/>
    </xf>
    <xf numFmtId="0" fontId="0" fillId="4" borderId="0" xfId="0" applyFill="1" applyBorder="1" applyAlignment="1"/>
    <xf numFmtId="0" fontId="6" fillId="5" borderId="0" xfId="0" applyFont="1" applyFill="1" applyBorder="1"/>
    <xf numFmtId="0" fontId="1" fillId="5" borderId="1" xfId="0" applyFont="1" applyFill="1" applyBorder="1"/>
    <xf numFmtId="0" fontId="1" fillId="5" borderId="1" xfId="0" applyFont="1" applyFill="1" applyBorder="1" applyAlignment="1">
      <alignment horizontal="center"/>
    </xf>
    <xf numFmtId="164" fontId="0" fillId="5" borderId="0" xfId="0" applyNumberFormat="1" applyFill="1" applyBorder="1" applyAlignment="1">
      <alignment horizontal="center"/>
    </xf>
    <xf numFmtId="0" fontId="0" fillId="4" borderId="0" xfId="0" applyFill="1" applyAlignment="1">
      <alignment vertical="top"/>
    </xf>
    <xf numFmtId="0" fontId="0" fillId="4" borderId="0" xfId="0" applyFill="1" applyAlignment="1">
      <alignment vertical="top" wrapText="1"/>
    </xf>
    <xf numFmtId="0" fontId="0" fillId="4" borderId="0" xfId="0" applyFill="1" applyAlignment="1">
      <alignment horizontal="center" vertical="top"/>
    </xf>
    <xf numFmtId="0" fontId="0" fillId="5" borderId="19" xfId="0" applyFill="1" applyBorder="1" applyAlignment="1">
      <alignment vertical="top"/>
    </xf>
    <xf numFmtId="0" fontId="0" fillId="5" borderId="20" xfId="0" applyFill="1" applyBorder="1" applyAlignment="1">
      <alignment vertical="top"/>
    </xf>
    <xf numFmtId="0" fontId="0" fillId="5" borderId="20" xfId="0" applyFill="1" applyBorder="1" applyAlignment="1">
      <alignment vertical="top" wrapText="1"/>
    </xf>
    <xf numFmtId="0" fontId="0" fillId="5" borderId="20" xfId="0" applyFill="1" applyBorder="1" applyAlignment="1">
      <alignment horizontal="center" vertical="top"/>
    </xf>
    <xf numFmtId="0" fontId="0" fillId="5" borderId="5" xfId="0" applyFill="1" applyBorder="1" applyAlignment="1">
      <alignment vertical="top"/>
    </xf>
    <xf numFmtId="0" fontId="0" fillId="5" borderId="6" xfId="0" applyFill="1" applyBorder="1" applyAlignment="1">
      <alignment vertical="top"/>
    </xf>
    <xf numFmtId="0" fontId="0" fillId="5" borderId="0" xfId="0" applyFill="1" applyBorder="1" applyAlignment="1">
      <alignment vertical="top"/>
    </xf>
    <xf numFmtId="0" fontId="0" fillId="5" borderId="0" xfId="0" applyFill="1" applyBorder="1" applyAlignment="1">
      <alignment vertical="top" wrapText="1"/>
    </xf>
    <xf numFmtId="0" fontId="0" fillId="5" borderId="0" xfId="0" applyFill="1" applyBorder="1" applyAlignment="1">
      <alignment horizontal="center" vertical="top"/>
    </xf>
    <xf numFmtId="0" fontId="0" fillId="5" borderId="7" xfId="0" applyFill="1" applyBorder="1" applyAlignment="1">
      <alignment vertical="top"/>
    </xf>
    <xf numFmtId="0" fontId="0" fillId="5" borderId="21" xfId="0" applyFill="1" applyBorder="1" applyAlignment="1">
      <alignment vertical="top"/>
    </xf>
    <xf numFmtId="0" fontId="0" fillId="5" borderId="22" xfId="0" applyFill="1" applyBorder="1" applyAlignment="1">
      <alignment vertical="top"/>
    </xf>
    <xf numFmtId="0" fontId="0" fillId="5" borderId="22" xfId="0" applyFill="1" applyBorder="1" applyAlignment="1">
      <alignment vertical="top" wrapText="1"/>
    </xf>
    <xf numFmtId="0" fontId="0" fillId="5" borderId="22" xfId="0" applyFill="1" applyBorder="1" applyAlignment="1">
      <alignment horizontal="center" vertical="top"/>
    </xf>
    <xf numFmtId="0" fontId="0" fillId="5" borderId="8" xfId="0" applyFill="1" applyBorder="1" applyAlignment="1">
      <alignment vertical="top"/>
    </xf>
    <xf numFmtId="0" fontId="6" fillId="5" borderId="0" xfId="0" applyFont="1" applyFill="1" applyBorder="1" applyAlignment="1">
      <alignment vertical="top"/>
    </xf>
    <xf numFmtId="0" fontId="1" fillId="5" borderId="1" xfId="0" applyFont="1" applyFill="1" applyBorder="1" applyAlignment="1">
      <alignment vertical="top"/>
    </xf>
    <xf numFmtId="0" fontId="1" fillId="5" borderId="1" xfId="0" applyFont="1" applyFill="1" applyBorder="1" applyAlignment="1">
      <alignment vertical="top" wrapText="1"/>
    </xf>
    <xf numFmtId="0" fontId="1" fillId="5" borderId="1" xfId="0" applyFont="1" applyFill="1" applyBorder="1" applyAlignment="1">
      <alignment horizontal="center" vertical="top"/>
    </xf>
    <xf numFmtId="0" fontId="1" fillId="5" borderId="0" xfId="0" applyFont="1" applyFill="1" applyBorder="1" applyAlignment="1">
      <alignment horizontal="right"/>
    </xf>
    <xf numFmtId="0" fontId="0" fillId="5" borderId="1" xfId="0" applyFill="1" applyBorder="1"/>
    <xf numFmtId="0" fontId="0" fillId="3" borderId="0" xfId="0" applyFill="1" applyBorder="1" applyAlignment="1">
      <alignment horizontal="center" vertical="top"/>
    </xf>
    <xf numFmtId="0" fontId="0" fillId="5" borderId="24" xfId="0" applyFill="1" applyBorder="1" applyAlignment="1">
      <alignment horizontal="center"/>
    </xf>
    <xf numFmtId="0" fontId="1" fillId="4" borderId="0" xfId="0" applyFont="1" applyFill="1"/>
    <xf numFmtId="0" fontId="1" fillId="5" borderId="20" xfId="0" applyFont="1" applyFill="1" applyBorder="1"/>
    <xf numFmtId="0" fontId="1" fillId="5" borderId="22" xfId="0" applyFont="1" applyFill="1" applyBorder="1"/>
    <xf numFmtId="0" fontId="6" fillId="4" borderId="0" xfId="0" applyFont="1" applyFill="1" applyAlignment="1">
      <alignment vertical="top" textRotation="90"/>
    </xf>
    <xf numFmtId="0" fontId="6" fillId="5" borderId="20" xfId="0" applyFont="1" applyFill="1" applyBorder="1" applyAlignment="1">
      <alignment vertical="top" textRotation="90"/>
    </xf>
    <xf numFmtId="0" fontId="6" fillId="5" borderId="0" xfId="0" applyFont="1" applyFill="1" applyBorder="1" applyAlignment="1">
      <alignment vertical="top" textRotation="90"/>
    </xf>
    <xf numFmtId="0" fontId="6" fillId="5" borderId="1" xfId="0" applyFont="1" applyFill="1" applyBorder="1" applyAlignment="1">
      <alignment vertical="top" textRotation="90"/>
    </xf>
    <xf numFmtId="0" fontId="6" fillId="5" borderId="22" xfId="0" applyFont="1" applyFill="1" applyBorder="1" applyAlignment="1">
      <alignment vertical="top" textRotation="90"/>
    </xf>
    <xf numFmtId="0" fontId="0" fillId="3" borderId="0" xfId="0" applyFill="1" applyBorder="1" applyAlignment="1">
      <alignment horizontal="center"/>
    </xf>
    <xf numFmtId="0" fontId="8" fillId="0" borderId="0" xfId="0" applyFont="1"/>
    <xf numFmtId="0" fontId="8" fillId="0" borderId="0" xfId="0" applyFont="1" applyAlignment="1">
      <alignment horizontal="center"/>
    </xf>
    <xf numFmtId="0" fontId="8" fillId="0" borderId="0" xfId="0" applyFont="1" applyFill="1"/>
    <xf numFmtId="0" fontId="8" fillId="0" borderId="31" xfId="0" applyFont="1" applyFill="1" applyBorder="1"/>
    <xf numFmtId="0" fontId="8" fillId="0" borderId="32" xfId="0" applyFont="1" applyFill="1" applyBorder="1" applyAlignment="1">
      <alignment shrinkToFit="1"/>
    </xf>
    <xf numFmtId="0" fontId="8" fillId="0" borderId="0" xfId="0" applyFont="1" applyFill="1" applyAlignment="1">
      <alignment shrinkToFit="1"/>
    </xf>
    <xf numFmtId="0" fontId="8" fillId="0" borderId="31" xfId="0" applyFont="1" applyFill="1" applyBorder="1" applyAlignment="1">
      <alignment shrinkToFit="1"/>
    </xf>
    <xf numFmtId="0" fontId="8" fillId="0" borderId="32" xfId="0" applyFont="1" applyFill="1" applyBorder="1"/>
    <xf numFmtId="0" fontId="10" fillId="0" borderId="0" xfId="0" applyFont="1" applyFill="1" applyBorder="1" applyAlignment="1">
      <alignment vertical="center"/>
    </xf>
    <xf numFmtId="0" fontId="8" fillId="0" borderId="33" xfId="0" applyFont="1" applyFill="1" applyBorder="1"/>
    <xf numFmtId="0" fontId="8" fillId="0" borderId="34" xfId="0" applyFont="1" applyFill="1" applyBorder="1"/>
    <xf numFmtId="0" fontId="8" fillId="0" borderId="29" xfId="0" applyFont="1" applyFill="1" applyBorder="1" applyAlignment="1">
      <alignment horizontal="center"/>
    </xf>
    <xf numFmtId="0" fontId="9" fillId="0" borderId="0" xfId="0" applyFont="1" applyFill="1" applyBorder="1" applyAlignment="1">
      <alignment horizontal="left" vertical="top" shrinkToFit="1"/>
    </xf>
    <xf numFmtId="0" fontId="8" fillId="0" borderId="30" xfId="0" applyFont="1" applyFill="1" applyBorder="1" applyAlignment="1">
      <alignment shrinkToFit="1"/>
    </xf>
    <xf numFmtId="0" fontId="8" fillId="0" borderId="35" xfId="0" applyFont="1" applyFill="1" applyBorder="1" applyAlignment="1">
      <alignment shrinkToFit="1"/>
    </xf>
    <xf numFmtId="0" fontId="8" fillId="0" borderId="29" xfId="0" applyFont="1" applyFill="1" applyBorder="1" applyAlignment="1">
      <alignment horizontal="center" shrinkToFit="1"/>
    </xf>
    <xf numFmtId="0" fontId="8" fillId="0" borderId="30" xfId="0" applyFont="1" applyFill="1" applyBorder="1"/>
    <xf numFmtId="0" fontId="10" fillId="0" borderId="35" xfId="0" applyFont="1" applyFill="1" applyBorder="1" applyAlignment="1">
      <alignment vertical="center"/>
    </xf>
    <xf numFmtId="0" fontId="8" fillId="0" borderId="0" xfId="0" applyFont="1" applyFill="1" applyBorder="1" applyAlignment="1">
      <alignment shrinkToFit="1"/>
    </xf>
    <xf numFmtId="0" fontId="8" fillId="0" borderId="27" xfId="0" applyFont="1" applyFill="1" applyBorder="1" applyAlignment="1">
      <alignment shrinkToFit="1"/>
    </xf>
    <xf numFmtId="0" fontId="8" fillId="0" borderId="27" xfId="0" applyFont="1" applyBorder="1"/>
    <xf numFmtId="0" fontId="8" fillId="0" borderId="33" xfId="0" applyFont="1" applyFill="1" applyBorder="1" applyAlignment="1">
      <alignment shrinkToFit="1"/>
    </xf>
    <xf numFmtId="0" fontId="8" fillId="0" borderId="0" xfId="0" applyFont="1" applyBorder="1"/>
    <xf numFmtId="0" fontId="8" fillId="0" borderId="29" xfId="0" applyFont="1" applyFill="1" applyBorder="1"/>
    <xf numFmtId="0" fontId="8" fillId="0" borderId="0" xfId="0" applyFont="1" applyAlignment="1">
      <alignment shrinkToFit="1"/>
    </xf>
    <xf numFmtId="0" fontId="8" fillId="0" borderId="30" xfId="0" applyFont="1" applyBorder="1"/>
    <xf numFmtId="0" fontId="11" fillId="0" borderId="32" xfId="0" applyFont="1" applyFill="1" applyBorder="1" applyAlignment="1">
      <alignment vertical="top" shrinkToFit="1"/>
    </xf>
    <xf numFmtId="0" fontId="8" fillId="6" borderId="0" xfId="0" applyFont="1" applyFill="1"/>
    <xf numFmtId="0" fontId="8" fillId="6" borderId="0" xfId="0" applyFont="1" applyFill="1" applyAlignment="1">
      <alignment horizontal="center"/>
    </xf>
    <xf numFmtId="0" fontId="8" fillId="6" borderId="33" xfId="0" applyFont="1" applyFill="1" applyBorder="1"/>
    <xf numFmtId="0" fontId="8" fillId="7" borderId="0" xfId="0" applyFont="1" applyFill="1"/>
    <xf numFmtId="0" fontId="8" fillId="0" borderId="0" xfId="0" applyFont="1" applyBorder="1" applyAlignment="1">
      <alignment shrinkToFit="1"/>
    </xf>
    <xf numFmtId="0" fontId="8" fillId="6" borderId="0" xfId="0" applyFont="1" applyFill="1" applyAlignment="1"/>
    <xf numFmtId="0" fontId="8" fillId="6" borderId="0" xfId="0" applyFont="1" applyFill="1" applyBorder="1" applyAlignment="1"/>
    <xf numFmtId="0" fontId="8" fillId="6" borderId="30" xfId="0" applyFont="1" applyFill="1" applyBorder="1"/>
    <xf numFmtId="0" fontId="8" fillId="0" borderId="33" xfId="0" applyFont="1" applyBorder="1" applyAlignment="1">
      <alignment shrinkToFit="1"/>
    </xf>
    <xf numFmtId="0" fontId="12" fillId="6" borderId="31" xfId="0" applyFont="1" applyFill="1" applyBorder="1"/>
    <xf numFmtId="0" fontId="12" fillId="6" borderId="0" xfId="0" applyFont="1" applyFill="1" applyAlignment="1">
      <alignment horizontal="center"/>
    </xf>
    <xf numFmtId="0" fontId="13" fillId="6" borderId="0" xfId="0" applyFont="1" applyFill="1" applyBorder="1" applyAlignment="1">
      <alignment vertical="center"/>
    </xf>
    <xf numFmtId="0" fontId="14" fillId="6" borderId="0" xfId="0" applyFont="1" applyFill="1" applyBorder="1" applyAlignment="1">
      <alignment vertical="center"/>
    </xf>
    <xf numFmtId="0" fontId="14" fillId="6" borderId="30" xfId="0" applyFont="1" applyFill="1" applyBorder="1" applyAlignment="1">
      <alignment vertical="center"/>
    </xf>
    <xf numFmtId="0" fontId="14" fillId="0" borderId="0" xfId="0" applyFont="1" applyBorder="1" applyAlignment="1">
      <alignment vertical="center"/>
    </xf>
    <xf numFmtId="0" fontId="14" fillId="0" borderId="29" xfId="0" applyFont="1" applyFill="1" applyBorder="1" applyAlignment="1">
      <alignment vertical="center"/>
    </xf>
    <xf numFmtId="0" fontId="14" fillId="0" borderId="0" xfId="0" applyFont="1" applyFill="1" applyBorder="1" applyAlignment="1">
      <alignment vertical="center"/>
    </xf>
    <xf numFmtId="0" fontId="11" fillId="0" borderId="0" xfId="0" applyFont="1" applyFill="1" applyBorder="1" applyAlignment="1">
      <alignment vertical="top" shrinkToFit="1"/>
    </xf>
    <xf numFmtId="0" fontId="11" fillId="0" borderId="32" xfId="0" applyFont="1" applyFill="1" applyBorder="1" applyAlignment="1">
      <alignment vertical="top"/>
    </xf>
    <xf numFmtId="0" fontId="12" fillId="6" borderId="0" xfId="0" applyFont="1" applyFill="1"/>
    <xf numFmtId="0" fontId="13" fillId="6" borderId="0" xfId="0" applyFont="1" applyFill="1" applyBorder="1" applyAlignment="1">
      <alignment horizontal="left" vertical="center"/>
    </xf>
    <xf numFmtId="0" fontId="14" fillId="6" borderId="0" xfId="0" applyFont="1" applyFill="1" applyBorder="1" applyAlignment="1">
      <alignment horizontal="left" vertical="center"/>
    </xf>
    <xf numFmtId="0" fontId="14" fillId="6" borderId="30" xfId="0" applyFont="1" applyFill="1" applyBorder="1" applyAlignment="1">
      <alignment horizontal="left" vertical="center"/>
    </xf>
    <xf numFmtId="0" fontId="14" fillId="0" borderId="0" xfId="0" applyFont="1" applyBorder="1" applyAlignment="1">
      <alignment horizontal="left" vertical="center"/>
    </xf>
    <xf numFmtId="0" fontId="8" fillId="0" borderId="0" xfId="0" applyNumberFormat="1" applyFont="1" applyBorder="1" applyAlignment="1">
      <alignment shrinkToFit="1"/>
    </xf>
    <xf numFmtId="0" fontId="8" fillId="0" borderId="33" xfId="0" applyNumberFormat="1" applyFont="1" applyBorder="1" applyAlignment="1">
      <alignment shrinkToFit="1"/>
    </xf>
    <xf numFmtId="0" fontId="12" fillId="6" borderId="33" xfId="0" applyFont="1" applyFill="1" applyBorder="1"/>
    <xf numFmtId="0" fontId="12" fillId="6" borderId="33" xfId="0" applyFont="1" applyFill="1" applyBorder="1" applyAlignment="1">
      <alignment horizontal="center"/>
    </xf>
    <xf numFmtId="0" fontId="8" fillId="6" borderId="33" xfId="0" applyFont="1" applyFill="1" applyBorder="1" applyAlignment="1">
      <alignment horizontal="center"/>
    </xf>
    <xf numFmtId="0" fontId="8" fillId="6" borderId="34" xfId="0" applyFont="1" applyFill="1" applyBorder="1"/>
    <xf numFmtId="0" fontId="8" fillId="0" borderId="31" xfId="0" applyFont="1" applyBorder="1"/>
    <xf numFmtId="0" fontId="8" fillId="0" borderId="33" xfId="0" applyFont="1" applyBorder="1"/>
    <xf numFmtId="0" fontId="8" fillId="7" borderId="0" xfId="0" applyFont="1" applyFill="1" applyAlignment="1">
      <alignment horizontal="center"/>
    </xf>
    <xf numFmtId="0" fontId="8" fillId="4" borderId="0" xfId="0" applyFont="1" applyFill="1" applyAlignment="1">
      <alignment horizontal="center"/>
    </xf>
    <xf numFmtId="0" fontId="8" fillId="8" borderId="0" xfId="0" applyFont="1" applyFill="1" applyAlignment="1">
      <alignment horizontal="center"/>
    </xf>
    <xf numFmtId="0" fontId="8" fillId="8" borderId="0" xfId="0" applyFont="1" applyFill="1"/>
    <xf numFmtId="0" fontId="8" fillId="0" borderId="36" xfId="0" applyFont="1" applyBorder="1"/>
    <xf numFmtId="0" fontId="8" fillId="0" borderId="37" xfId="0" applyFont="1" applyBorder="1"/>
    <xf numFmtId="0" fontId="8" fillId="0" borderId="38" xfId="0" applyFont="1" applyBorder="1"/>
    <xf numFmtId="0" fontId="8" fillId="0" borderId="40" xfId="0" applyFont="1" applyBorder="1"/>
    <xf numFmtId="0" fontId="8" fillId="0" borderId="42" xfId="0" applyFont="1" applyBorder="1"/>
    <xf numFmtId="0" fontId="8" fillId="9" borderId="40" xfId="0" applyFont="1" applyFill="1" applyBorder="1"/>
    <xf numFmtId="0" fontId="17" fillId="10" borderId="41" xfId="0" applyFont="1" applyFill="1" applyBorder="1" applyAlignment="1">
      <alignment horizontal="right"/>
    </xf>
    <xf numFmtId="0" fontId="8" fillId="10" borderId="41" xfId="0" applyFont="1" applyFill="1" applyBorder="1"/>
    <xf numFmtId="0" fontId="8" fillId="0" borderId="43" xfId="0" applyFont="1" applyBorder="1"/>
    <xf numFmtId="0" fontId="8" fillId="0" borderId="20" xfId="0" applyFont="1" applyBorder="1"/>
    <xf numFmtId="0" fontId="8" fillId="0" borderId="44" xfId="0" applyFont="1" applyBorder="1"/>
    <xf numFmtId="0" fontId="8" fillId="11" borderId="0" xfId="0" applyFont="1" applyFill="1"/>
    <xf numFmtId="0" fontId="8" fillId="0" borderId="46" xfId="0" applyFont="1" applyBorder="1" applyAlignment="1">
      <alignment horizontal="center"/>
    </xf>
    <xf numFmtId="0" fontId="8" fillId="0" borderId="45" xfId="0" applyFont="1" applyBorder="1"/>
    <xf numFmtId="0" fontId="8" fillId="11" borderId="30" xfId="0" applyFont="1" applyFill="1" applyBorder="1"/>
    <xf numFmtId="0" fontId="8" fillId="12" borderId="46" xfId="0" applyFont="1" applyFill="1" applyBorder="1" applyAlignment="1">
      <alignment horizontal="center"/>
    </xf>
    <xf numFmtId="0" fontId="8" fillId="0" borderId="6" xfId="0" applyFont="1" applyBorder="1"/>
    <xf numFmtId="0" fontId="8" fillId="0" borderId="7" xfId="0" applyFont="1" applyBorder="1"/>
    <xf numFmtId="0" fontId="8" fillId="0" borderId="47" xfId="0" applyFont="1" applyBorder="1"/>
    <xf numFmtId="0" fontId="8" fillId="0" borderId="28" xfId="0" applyFont="1" applyBorder="1"/>
    <xf numFmtId="0" fontId="8" fillId="0" borderId="49" xfId="0" applyFont="1" applyBorder="1"/>
    <xf numFmtId="0" fontId="8" fillId="0" borderId="50" xfId="0" applyFont="1" applyBorder="1"/>
    <xf numFmtId="0" fontId="8" fillId="0" borderId="51" xfId="0" applyFont="1" applyBorder="1"/>
    <xf numFmtId="0" fontId="8" fillId="13" borderId="42" xfId="0" applyFont="1" applyFill="1" applyBorder="1"/>
    <xf numFmtId="0" fontId="8" fillId="14" borderId="48" xfId="0" applyFont="1" applyFill="1" applyBorder="1"/>
    <xf numFmtId="0" fontId="19" fillId="0" borderId="22" xfId="0" applyFont="1" applyBorder="1"/>
    <xf numFmtId="0" fontId="17" fillId="0" borderId="41" xfId="0" applyFont="1" applyBorder="1" applyAlignment="1">
      <alignment horizontal="right"/>
    </xf>
    <xf numFmtId="0" fontId="8" fillId="0" borderId="53" xfId="0" applyFont="1" applyBorder="1"/>
    <xf numFmtId="0" fontId="8" fillId="0" borderId="54" xfId="0" applyFont="1" applyBorder="1"/>
    <xf numFmtId="0" fontId="19" fillId="0" borderId="0" xfId="0" applyFont="1"/>
    <xf numFmtId="0" fontId="20" fillId="0" borderId="45" xfId="0" applyFont="1" applyBorder="1" applyAlignment="1">
      <alignment vertical="center"/>
    </xf>
    <xf numFmtId="0" fontId="8" fillId="0" borderId="0" xfId="0" applyFont="1" applyFill="1" applyBorder="1" applyAlignment="1">
      <alignment horizontal="center"/>
    </xf>
    <xf numFmtId="0" fontId="8" fillId="15" borderId="0" xfId="0" applyFont="1" applyFill="1"/>
    <xf numFmtId="0" fontId="8" fillId="0" borderId="29" xfId="0" applyFont="1" applyBorder="1"/>
    <xf numFmtId="0" fontId="19" fillId="0" borderId="20" xfId="0" applyFont="1" applyBorder="1"/>
    <xf numFmtId="0" fontId="8" fillId="0" borderId="48" xfId="0" applyFont="1" applyBorder="1" applyAlignment="1">
      <alignment horizontal="left"/>
    </xf>
    <xf numFmtId="0" fontId="8" fillId="0" borderId="35" xfId="0" applyFont="1" applyBorder="1"/>
    <xf numFmtId="0" fontId="8" fillId="0" borderId="34" xfId="0" applyFont="1" applyBorder="1"/>
    <xf numFmtId="0" fontId="21" fillId="0" borderId="0" xfId="0" applyFont="1"/>
    <xf numFmtId="0" fontId="8" fillId="0" borderId="26" xfId="0" applyFont="1" applyBorder="1"/>
    <xf numFmtId="0" fontId="8" fillId="0" borderId="41" xfId="0" applyFont="1" applyBorder="1"/>
    <xf numFmtId="0" fontId="15" fillId="0" borderId="42" xfId="0" applyFont="1" applyBorder="1"/>
    <xf numFmtId="0" fontId="8" fillId="11" borderId="61" xfId="0" applyFont="1" applyFill="1" applyBorder="1"/>
    <xf numFmtId="0" fontId="8" fillId="11" borderId="62" xfId="0" applyFont="1" applyFill="1" applyBorder="1"/>
    <xf numFmtId="0" fontId="8" fillId="11" borderId="63" xfId="0" applyFont="1" applyFill="1" applyBorder="1"/>
    <xf numFmtId="0" fontId="18" fillId="0" borderId="0" xfId="0" applyFont="1" applyBorder="1" applyAlignment="1">
      <alignment vertical="center"/>
    </xf>
    <xf numFmtId="0" fontId="8" fillId="0" borderId="46" xfId="0" applyFont="1" applyBorder="1"/>
    <xf numFmtId="0" fontId="15" fillId="0" borderId="45" xfId="0" applyFont="1" applyBorder="1"/>
    <xf numFmtId="0" fontId="8" fillId="11" borderId="64" xfId="0" applyFont="1" applyFill="1" applyBorder="1"/>
    <xf numFmtId="0" fontId="8" fillId="11" borderId="0" xfId="0" applyFont="1" applyFill="1" applyBorder="1"/>
    <xf numFmtId="0" fontId="8" fillId="11" borderId="65" xfId="0" applyFont="1" applyFill="1" applyBorder="1"/>
    <xf numFmtId="0" fontId="8" fillId="0" borderId="48" xfId="0" applyFont="1" applyBorder="1"/>
    <xf numFmtId="0" fontId="15" fillId="0" borderId="40" xfId="0" applyFont="1" applyBorder="1"/>
    <xf numFmtId="0" fontId="15" fillId="0" borderId="44" xfId="0" applyFont="1" applyBorder="1"/>
    <xf numFmtId="0" fontId="15" fillId="0" borderId="22" xfId="0" applyFont="1" applyBorder="1"/>
    <xf numFmtId="0" fontId="8" fillId="0" borderId="67" xfId="0" applyFont="1" applyBorder="1"/>
    <xf numFmtId="0" fontId="8" fillId="11" borderId="68" xfId="0" applyFont="1" applyFill="1" applyBorder="1"/>
    <xf numFmtId="0" fontId="8" fillId="11" borderId="69" xfId="0" applyFont="1" applyFill="1" applyBorder="1"/>
    <xf numFmtId="0" fontId="8" fillId="11" borderId="70" xfId="0" applyFont="1" applyFill="1" applyBorder="1"/>
    <xf numFmtId="0" fontId="8" fillId="0" borderId="71" xfId="0" applyFont="1" applyBorder="1"/>
    <xf numFmtId="0" fontId="17" fillId="0" borderId="72" xfId="0" applyFont="1" applyBorder="1" applyAlignment="1">
      <alignment horizontal="right"/>
    </xf>
    <xf numFmtId="0" fontId="8" fillId="0" borderId="73" xfId="0" applyFont="1" applyBorder="1"/>
    <xf numFmtId="0" fontId="9" fillId="0" borderId="0" xfId="0" applyFont="1" applyAlignment="1">
      <alignment wrapText="1"/>
    </xf>
    <xf numFmtId="0" fontId="8" fillId="7" borderId="61" xfId="0" applyFont="1" applyFill="1" applyBorder="1"/>
    <xf numFmtId="0" fontId="8" fillId="7" borderId="62" xfId="0" applyFont="1" applyFill="1" applyBorder="1"/>
    <xf numFmtId="0" fontId="8" fillId="7" borderId="63" xfId="0" applyFont="1" applyFill="1" applyBorder="1"/>
    <xf numFmtId="0" fontId="8" fillId="0" borderId="74" xfId="0" applyFont="1" applyBorder="1" applyAlignment="1">
      <alignment horizontal="center"/>
    </xf>
    <xf numFmtId="0" fontId="20" fillId="0" borderId="75" xfId="0" applyFont="1" applyBorder="1" applyAlignment="1">
      <alignment vertical="center"/>
    </xf>
    <xf numFmtId="0" fontId="8" fillId="7" borderId="64" xfId="0" applyFont="1" applyFill="1" applyBorder="1"/>
    <xf numFmtId="0" fontId="8" fillId="7" borderId="0" xfId="0" applyFont="1" applyFill="1" applyBorder="1"/>
    <xf numFmtId="0" fontId="8" fillId="7" borderId="65" xfId="0" applyFont="1" applyFill="1" applyBorder="1"/>
    <xf numFmtId="0" fontId="8" fillId="0" borderId="76" xfId="0" applyFont="1" applyBorder="1"/>
    <xf numFmtId="0" fontId="8" fillId="0" borderId="77" xfId="0" applyFont="1" applyBorder="1"/>
    <xf numFmtId="0" fontId="8" fillId="0" borderId="78" xfId="0" applyFont="1" applyBorder="1" applyAlignment="1">
      <alignment horizontal="left"/>
    </xf>
    <xf numFmtId="0" fontId="22" fillId="0" borderId="72" xfId="0" applyFont="1" applyBorder="1" applyAlignment="1">
      <alignment vertical="center"/>
    </xf>
    <xf numFmtId="0" fontId="22" fillId="11" borderId="72" xfId="0" applyFont="1" applyFill="1" applyBorder="1" applyAlignment="1">
      <alignment vertical="center"/>
    </xf>
    <xf numFmtId="0" fontId="22" fillId="11" borderId="0" xfId="0" applyFont="1" applyFill="1" applyAlignment="1">
      <alignment vertical="center"/>
    </xf>
    <xf numFmtId="0" fontId="8" fillId="7" borderId="68" xfId="0" applyFont="1" applyFill="1" applyBorder="1"/>
    <xf numFmtId="0" fontId="8" fillId="7" borderId="69" xfId="0" applyFont="1" applyFill="1" applyBorder="1"/>
    <xf numFmtId="0" fontId="8" fillId="7" borderId="70" xfId="0" applyFont="1" applyFill="1" applyBorder="1"/>
    <xf numFmtId="0" fontId="22" fillId="0" borderId="78" xfId="0" applyFont="1" applyBorder="1" applyAlignment="1">
      <alignment vertical="center"/>
    </xf>
    <xf numFmtId="0" fontId="22" fillId="11" borderId="78" xfId="0" applyFont="1" applyFill="1" applyBorder="1" applyAlignment="1">
      <alignment vertical="center"/>
    </xf>
    <xf numFmtId="0" fontId="9" fillId="0" borderId="29" xfId="0" applyFont="1" applyBorder="1" applyAlignment="1">
      <alignment wrapText="1"/>
    </xf>
    <xf numFmtId="0" fontId="17" fillId="0" borderId="41" xfId="0" applyFont="1" applyBorder="1" applyAlignment="1">
      <alignment horizontal="left"/>
    </xf>
    <xf numFmtId="0" fontId="11" fillId="0" borderId="0" xfId="0" applyFont="1" applyAlignment="1">
      <alignment wrapText="1"/>
    </xf>
    <xf numFmtId="0" fontId="8" fillId="0" borderId="45" xfId="0" applyNumberFormat="1" applyFont="1" applyBorder="1"/>
    <xf numFmtId="0" fontId="8" fillId="15" borderId="61" xfId="0" applyFont="1" applyFill="1" applyBorder="1"/>
    <xf numFmtId="0" fontId="8" fillId="15" borderId="62" xfId="0" applyFont="1" applyFill="1" applyBorder="1"/>
    <xf numFmtId="0" fontId="8" fillId="15" borderId="63" xfId="0" applyFont="1" applyFill="1" applyBorder="1"/>
    <xf numFmtId="0" fontId="8" fillId="14" borderId="48" xfId="0" applyFont="1" applyFill="1" applyBorder="1" applyAlignment="1">
      <alignment horizontal="center"/>
    </xf>
    <xf numFmtId="0" fontId="8" fillId="0" borderId="22" xfId="0" applyFont="1" applyBorder="1"/>
    <xf numFmtId="0" fontId="8" fillId="0" borderId="79" xfId="0" applyFont="1" applyBorder="1"/>
    <xf numFmtId="0" fontId="8" fillId="15" borderId="64" xfId="0" applyFont="1" applyFill="1" applyBorder="1"/>
    <xf numFmtId="0" fontId="8" fillId="15" borderId="0" xfId="0" applyFont="1" applyFill="1" applyBorder="1"/>
    <xf numFmtId="0" fontId="8" fillId="15" borderId="65" xfId="0" applyFont="1" applyFill="1" applyBorder="1"/>
    <xf numFmtId="0" fontId="8" fillId="0" borderId="80" xfId="0" applyFont="1" applyBorder="1" applyAlignment="1">
      <alignment horizontal="center"/>
    </xf>
    <xf numFmtId="0" fontId="8" fillId="8" borderId="80" xfId="0" applyFont="1" applyFill="1" applyBorder="1"/>
    <xf numFmtId="0" fontId="8" fillId="0" borderId="81" xfId="0" applyFont="1" applyBorder="1" applyAlignment="1">
      <alignment horizontal="center"/>
    </xf>
    <xf numFmtId="0" fontId="8" fillId="8" borderId="81" xfId="0" applyFont="1" applyFill="1" applyBorder="1"/>
    <xf numFmtId="0" fontId="8" fillId="0" borderId="82" xfId="0" applyFont="1" applyBorder="1" applyAlignment="1">
      <alignment horizontal="center"/>
    </xf>
    <xf numFmtId="0" fontId="8" fillId="15" borderId="0" xfId="0" applyFont="1" applyFill="1" applyAlignment="1">
      <alignment horizontal="center"/>
    </xf>
    <xf numFmtId="0" fontId="8" fillId="15" borderId="82" xfId="0" applyFont="1" applyFill="1" applyBorder="1"/>
    <xf numFmtId="0" fontId="8" fillId="0" borderId="0" xfId="0" applyFont="1" applyBorder="1" applyAlignment="1"/>
    <xf numFmtId="0" fontId="8" fillId="15" borderId="68" xfId="0" applyFont="1" applyFill="1" applyBorder="1"/>
    <xf numFmtId="0" fontId="8" fillId="15" borderId="69" xfId="0" applyFont="1" applyFill="1" applyBorder="1"/>
    <xf numFmtId="0" fontId="8" fillId="15" borderId="70" xfId="0" applyFont="1" applyFill="1" applyBorder="1"/>
    <xf numFmtId="0" fontId="8" fillId="0" borderId="32" xfId="0" applyFont="1" applyBorder="1"/>
    <xf numFmtId="0" fontId="8" fillId="0" borderId="83" xfId="0" applyFont="1" applyBorder="1"/>
    <xf numFmtId="0" fontId="25" fillId="15" borderId="27" xfId="0" applyFont="1" applyFill="1" applyBorder="1" applyAlignment="1">
      <alignment vertical="center" wrapText="1"/>
    </xf>
    <xf numFmtId="0" fontId="8" fillId="0" borderId="84" xfId="0" applyFont="1" applyBorder="1"/>
    <xf numFmtId="0" fontId="25" fillId="15" borderId="0" xfId="0" applyFont="1" applyFill="1" applyBorder="1" applyAlignment="1">
      <alignment vertical="center" wrapText="1"/>
    </xf>
    <xf numFmtId="0" fontId="8" fillId="0" borderId="85" xfId="0" applyFont="1" applyBorder="1"/>
    <xf numFmtId="0" fontId="8" fillId="0" borderId="86" xfId="0" applyFont="1" applyBorder="1"/>
    <xf numFmtId="0" fontId="23" fillId="15" borderId="0" xfId="0" applyFont="1" applyFill="1" applyBorder="1" applyAlignment="1">
      <alignment vertical="center" wrapText="1"/>
    </xf>
    <xf numFmtId="0" fontId="15" fillId="0" borderId="7" xfId="0" applyFont="1" applyBorder="1"/>
    <xf numFmtId="0" fontId="15" fillId="0" borderId="0" xfId="0" applyFont="1"/>
    <xf numFmtId="0" fontId="15" fillId="0" borderId="6" xfId="0" applyFont="1" applyBorder="1"/>
    <xf numFmtId="0" fontId="8" fillId="0" borderId="54" xfId="0" applyFont="1" applyBorder="1" applyAlignment="1"/>
    <xf numFmtId="0" fontId="25" fillId="15" borderId="29" xfId="0" applyFont="1" applyFill="1" applyBorder="1" applyAlignment="1">
      <alignment vertical="center" wrapText="1"/>
    </xf>
    <xf numFmtId="0" fontId="8" fillId="7" borderId="82" xfId="0" applyFont="1" applyFill="1" applyBorder="1" applyAlignment="1">
      <alignment horizontal="center"/>
    </xf>
    <xf numFmtId="0" fontId="8" fillId="15" borderId="87" xfId="0" applyFont="1" applyFill="1" applyBorder="1" applyAlignment="1">
      <alignment horizontal="center"/>
    </xf>
    <xf numFmtId="0" fontId="8" fillId="15" borderId="88" xfId="0" applyFont="1" applyFill="1" applyBorder="1"/>
    <xf numFmtId="0" fontId="8" fillId="16" borderId="0" xfId="0" applyFont="1" applyFill="1"/>
    <xf numFmtId="0" fontId="8" fillId="0" borderId="89" xfId="0" applyFont="1" applyBorder="1"/>
    <xf numFmtId="0" fontId="15" fillId="0" borderId="43" xfId="0" applyFont="1" applyBorder="1"/>
    <xf numFmtId="0" fontId="25" fillId="15" borderId="35" xfId="0" applyFont="1" applyFill="1" applyBorder="1" applyAlignment="1">
      <alignment vertical="center" wrapText="1"/>
    </xf>
    <xf numFmtId="0" fontId="25" fillId="15" borderId="33" xfId="0" applyFont="1" applyFill="1" applyBorder="1" applyAlignment="1">
      <alignment vertical="center" wrapText="1"/>
    </xf>
    <xf numFmtId="0" fontId="8" fillId="0" borderId="83" xfId="0" applyFont="1" applyBorder="1" applyAlignment="1"/>
    <xf numFmtId="0" fontId="8" fillId="0" borderId="90" xfId="0" applyFont="1" applyBorder="1"/>
    <xf numFmtId="0" fontId="8" fillId="0" borderId="91" xfId="0" applyFont="1" applyBorder="1"/>
    <xf numFmtId="0" fontId="15" fillId="0" borderId="20" xfId="0" applyFont="1" applyBorder="1"/>
    <xf numFmtId="0" fontId="26" fillId="0" borderId="30" xfId="0" applyFont="1" applyBorder="1" applyAlignment="1">
      <alignment vertical="center"/>
    </xf>
    <xf numFmtId="0" fontId="15" fillId="0" borderId="0" xfId="0" applyFont="1" applyBorder="1"/>
    <xf numFmtId="0" fontId="8" fillId="0" borderId="39" xfId="0" applyFont="1" applyBorder="1"/>
    <xf numFmtId="0" fontId="8" fillId="0" borderId="48" xfId="0" applyFont="1" applyBorder="1" applyAlignment="1">
      <alignment horizontal="center"/>
    </xf>
    <xf numFmtId="0" fontId="8" fillId="0" borderId="96" xfId="0" applyFont="1" applyBorder="1"/>
    <xf numFmtId="0" fontId="8" fillId="0" borderId="97" xfId="0" applyFont="1" applyBorder="1" applyAlignment="1">
      <alignment horizontal="center"/>
    </xf>
    <xf numFmtId="0" fontId="8" fillId="0" borderId="82" xfId="0" applyFont="1" applyBorder="1"/>
    <xf numFmtId="0" fontId="8" fillId="0" borderId="98" xfId="0" applyFont="1" applyBorder="1"/>
    <xf numFmtId="0" fontId="8" fillId="0" borderId="97" xfId="0" applyFont="1" applyBorder="1"/>
    <xf numFmtId="0" fontId="8" fillId="0" borderId="34" xfId="0" applyFont="1" applyBorder="1" applyAlignment="1">
      <alignment shrinkToFit="1"/>
    </xf>
    <xf numFmtId="0" fontId="8" fillId="0" borderId="99" xfId="0" applyFont="1" applyBorder="1"/>
    <xf numFmtId="0" fontId="8" fillId="0" borderId="31" xfId="0" applyFont="1" applyBorder="1" applyAlignment="1">
      <alignment shrinkToFit="1"/>
    </xf>
    <xf numFmtId="0" fontId="8" fillId="0" borderId="27" xfId="0" applyFont="1" applyBorder="1" applyAlignment="1">
      <alignment shrinkToFit="1"/>
    </xf>
    <xf numFmtId="0" fontId="8" fillId="0" borderId="100" xfId="0" applyFont="1" applyBorder="1" applyAlignment="1">
      <alignment horizontal="center"/>
    </xf>
    <xf numFmtId="0" fontId="9" fillId="0" borderId="27" xfId="0" applyFont="1" applyFill="1" applyBorder="1" applyAlignment="1">
      <alignment vertical="top" shrinkToFit="1"/>
    </xf>
    <xf numFmtId="0" fontId="8" fillId="0" borderId="27" xfId="0" applyFont="1" applyFill="1" applyBorder="1" applyAlignment="1">
      <alignment vertical="center" shrinkToFit="1"/>
    </xf>
    <xf numFmtId="0" fontId="8" fillId="0" borderId="32" xfId="0" applyFont="1" applyFill="1" applyBorder="1" applyAlignment="1">
      <alignment vertical="center" shrinkToFit="1"/>
    </xf>
    <xf numFmtId="0" fontId="11" fillId="0" borderId="0" xfId="0" applyFont="1" applyFill="1" applyBorder="1" applyAlignment="1">
      <alignment vertical="top"/>
    </xf>
    <xf numFmtId="0" fontId="8" fillId="0" borderId="49" xfId="0" applyFont="1" applyBorder="1" applyAlignment="1">
      <alignment horizontal="center"/>
    </xf>
    <xf numFmtId="0" fontId="8" fillId="0" borderId="30" xfId="0" applyFont="1" applyFill="1" applyBorder="1" applyAlignment="1">
      <alignment vertical="center" shrinkToFit="1"/>
    </xf>
    <xf numFmtId="0" fontId="8" fillId="0" borderId="0" xfId="0" applyFont="1" applyFill="1" applyBorder="1"/>
    <xf numFmtId="0" fontId="8" fillId="0" borderId="101" xfId="0" applyFont="1" applyBorder="1"/>
    <xf numFmtId="0" fontId="8" fillId="0" borderId="102" xfId="0" applyFont="1" applyBorder="1"/>
    <xf numFmtId="0" fontId="8" fillId="0" borderId="100" xfId="0" applyFont="1" applyBorder="1"/>
    <xf numFmtId="0" fontId="8" fillId="0" borderId="103" xfId="0" applyFont="1" applyBorder="1"/>
    <xf numFmtId="0" fontId="8" fillId="0" borderId="104" xfId="0" applyFont="1" applyBorder="1" applyAlignment="1">
      <alignment horizontal="center"/>
    </xf>
    <xf numFmtId="0" fontId="8" fillId="0" borderId="105" xfId="0" applyFont="1" applyBorder="1"/>
    <xf numFmtId="0" fontId="11" fillId="0" borderId="0" xfId="0" applyFont="1" applyBorder="1" applyAlignment="1">
      <alignment vertical="top"/>
    </xf>
    <xf numFmtId="0" fontId="8" fillId="0" borderId="107" xfId="0" applyFont="1" applyBorder="1"/>
    <xf numFmtId="0" fontId="8" fillId="0" borderId="104" xfId="0" applyFont="1" applyBorder="1"/>
    <xf numFmtId="0" fontId="8" fillId="0" borderId="0" xfId="0" applyFont="1" applyBorder="1" applyAlignment="1">
      <alignment vertical="top"/>
    </xf>
    <xf numFmtId="0" fontId="8" fillId="0" borderId="94" xfId="0" applyFont="1" applyBorder="1"/>
    <xf numFmtId="0" fontId="8" fillId="0" borderId="94" xfId="0" applyFont="1" applyFill="1" applyBorder="1"/>
    <xf numFmtId="0" fontId="26" fillId="0" borderId="0" xfId="0" applyFont="1" applyFill="1" applyBorder="1" applyAlignment="1">
      <alignment vertical="center"/>
    </xf>
    <xf numFmtId="0" fontId="28" fillId="0" borderId="94" xfId="0" applyFont="1" applyFill="1" applyBorder="1" applyAlignment="1">
      <alignment vertical="center"/>
    </xf>
    <xf numFmtId="0" fontId="8" fillId="0" borderId="111" xfId="0" applyFont="1" applyBorder="1"/>
    <xf numFmtId="0" fontId="8" fillId="0" borderId="112" xfId="0" applyFont="1" applyBorder="1"/>
    <xf numFmtId="0" fontId="28" fillId="0" borderId="39" xfId="0" applyFont="1" applyFill="1" applyBorder="1" applyAlignment="1">
      <alignment vertical="center"/>
    </xf>
    <xf numFmtId="0" fontId="28" fillId="0" borderId="0" xfId="0" applyFont="1" applyFill="1" applyBorder="1" applyAlignment="1">
      <alignment vertical="center"/>
    </xf>
    <xf numFmtId="0" fontId="8" fillId="0" borderId="39" xfId="0" applyFont="1" applyFill="1" applyBorder="1"/>
    <xf numFmtId="0" fontId="8" fillId="0" borderId="115" xfId="0" applyFont="1" applyBorder="1"/>
    <xf numFmtId="0" fontId="8" fillId="0" borderId="97" xfId="0" applyFont="1" applyFill="1" applyBorder="1"/>
    <xf numFmtId="0" fontId="11" fillId="0" borderId="105" xfId="0" applyFont="1" applyFill="1" applyBorder="1" applyAlignment="1">
      <alignment vertical="top" shrinkToFit="1"/>
    </xf>
    <xf numFmtId="0" fontId="8" fillId="0" borderId="97" xfId="0" applyFont="1" applyFill="1" applyBorder="1" applyAlignment="1">
      <alignment shrinkToFit="1"/>
    </xf>
    <xf numFmtId="0" fontId="8" fillId="0" borderId="117" xfId="0" applyFont="1" applyBorder="1"/>
    <xf numFmtId="0" fontId="8" fillId="0" borderId="118" xfId="0" applyFont="1" applyFill="1" applyBorder="1" applyAlignment="1">
      <alignment horizontal="center"/>
    </xf>
    <xf numFmtId="0" fontId="9" fillId="0" borderId="0" xfId="0" applyFont="1" applyFill="1" applyBorder="1" applyAlignment="1">
      <alignment vertical="top" shrinkToFit="1"/>
    </xf>
    <xf numFmtId="0" fontId="8" fillId="0" borderId="82" xfId="0" applyFont="1" applyFill="1" applyBorder="1" applyAlignment="1">
      <alignment shrinkToFit="1"/>
    </xf>
    <xf numFmtId="0" fontId="8" fillId="0" borderId="119" xfId="0" applyFont="1" applyBorder="1" applyAlignment="1">
      <alignment shrinkToFit="1"/>
    </xf>
    <xf numFmtId="0" fontId="8" fillId="0" borderId="111" xfId="0" applyFont="1" applyBorder="1" applyAlignment="1">
      <alignment shrinkToFit="1"/>
    </xf>
    <xf numFmtId="0" fontId="8" fillId="0" borderId="0" xfId="0" applyFont="1" applyFill="1" applyBorder="1" applyAlignment="1">
      <alignment horizontal="center" shrinkToFit="1"/>
    </xf>
    <xf numFmtId="0" fontId="8" fillId="0" borderId="117" xfId="0" applyFont="1" applyBorder="1" applyAlignment="1">
      <alignment shrinkToFit="1"/>
    </xf>
    <xf numFmtId="0" fontId="8" fillId="0" borderId="118" xfId="0" applyFont="1" applyFill="1" applyBorder="1" applyAlignment="1">
      <alignment horizontal="center" shrinkToFit="1"/>
    </xf>
    <xf numFmtId="0" fontId="8" fillId="0" borderId="105" xfId="0" applyFont="1" applyFill="1" applyBorder="1"/>
    <xf numFmtId="0" fontId="8" fillId="0" borderId="117" xfId="0" applyFont="1" applyFill="1" applyBorder="1" applyAlignment="1">
      <alignment shrinkToFit="1"/>
    </xf>
    <xf numFmtId="0" fontId="8" fillId="0" borderId="105" xfId="0" applyFont="1" applyFill="1" applyBorder="1" applyAlignment="1">
      <alignment shrinkToFit="1"/>
    </xf>
    <xf numFmtId="0" fontId="8" fillId="0" borderId="82" xfId="0" applyFont="1" applyBorder="1" applyAlignment="1">
      <alignment shrinkToFit="1"/>
    </xf>
    <xf numFmtId="0" fontId="8" fillId="0" borderId="120" xfId="0" applyFont="1" applyBorder="1" applyAlignment="1">
      <alignment shrinkToFit="1"/>
    </xf>
    <xf numFmtId="0" fontId="8" fillId="0" borderId="112" xfId="0" applyFont="1" applyBorder="1" applyAlignment="1">
      <alignment shrinkToFit="1"/>
    </xf>
    <xf numFmtId="0" fontId="29" fillId="0" borderId="118" xfId="0" applyFont="1" applyFill="1" applyBorder="1" applyAlignment="1"/>
    <xf numFmtId="0" fontId="11" fillId="0" borderId="105" xfId="0" applyFont="1" applyFill="1" applyBorder="1" applyAlignment="1">
      <alignment vertical="center" shrinkToFit="1"/>
    </xf>
    <xf numFmtId="0" fontId="8" fillId="0" borderId="118" xfId="0" applyFont="1" applyBorder="1"/>
    <xf numFmtId="0" fontId="8" fillId="0" borderId="82" xfId="0" applyFont="1" applyFill="1" applyBorder="1" applyAlignment="1">
      <alignment vertical="center" shrinkToFit="1"/>
    </xf>
    <xf numFmtId="0" fontId="8" fillId="0" borderId="97" xfId="0" applyFont="1" applyFill="1" applyBorder="1" applyAlignment="1">
      <alignment vertical="center" shrinkToFit="1"/>
    </xf>
    <xf numFmtId="0" fontId="8" fillId="0" borderId="0" xfId="0" applyFont="1" applyAlignment="1">
      <alignment vertical="center"/>
    </xf>
    <xf numFmtId="0" fontId="8" fillId="0" borderId="97" xfId="0" applyFont="1" applyFill="1" applyBorder="1" applyAlignment="1">
      <alignment vertical="center"/>
    </xf>
    <xf numFmtId="0" fontId="8" fillId="0" borderId="0" xfId="0" applyFont="1" applyAlignment="1">
      <alignment vertical="center" shrinkToFit="1"/>
    </xf>
    <xf numFmtId="0" fontId="8" fillId="0" borderId="118" xfId="0" applyFont="1" applyFill="1" applyBorder="1" applyAlignment="1">
      <alignment horizontal="center" vertical="center"/>
    </xf>
    <xf numFmtId="0" fontId="8" fillId="0" borderId="118" xfId="0" applyFont="1" applyFill="1" applyBorder="1" applyAlignment="1">
      <alignment horizontal="center" vertical="center" shrinkToFit="1"/>
    </xf>
    <xf numFmtId="0" fontId="11" fillId="0" borderId="0" xfId="0" applyFont="1" applyBorder="1" applyAlignment="1">
      <alignment shrinkToFit="1"/>
    </xf>
    <xf numFmtId="164" fontId="10" fillId="0" borderId="0" xfId="0" applyNumberFormat="1" applyFont="1" applyBorder="1" applyAlignment="1">
      <alignment vertical="center" shrinkToFit="1"/>
    </xf>
    <xf numFmtId="0" fontId="11" fillId="0" borderId="0" xfId="0" applyFont="1" applyBorder="1" applyAlignment="1">
      <alignment vertical="center" shrinkToFit="1"/>
    </xf>
    <xf numFmtId="0" fontId="11" fillId="0" borderId="117" xfId="0" applyFont="1" applyBorder="1" applyAlignment="1">
      <alignment shrinkToFit="1"/>
    </xf>
    <xf numFmtId="164" fontId="10" fillId="0" borderId="117" xfId="0" applyNumberFormat="1" applyFont="1" applyBorder="1" applyAlignment="1">
      <alignment vertical="center" shrinkToFit="1"/>
    </xf>
    <xf numFmtId="0" fontId="8" fillId="0" borderId="105" xfId="0" applyFont="1" applyFill="1" applyBorder="1" applyAlignment="1">
      <alignment vertical="center"/>
    </xf>
    <xf numFmtId="0" fontId="11" fillId="0" borderId="117" xfId="0" applyFont="1" applyBorder="1" applyAlignment="1">
      <alignment vertical="center" shrinkToFit="1"/>
    </xf>
    <xf numFmtId="0" fontId="8" fillId="0" borderId="105" xfId="0" applyFont="1" applyFill="1" applyBorder="1" applyAlignment="1">
      <alignment vertical="center" shrinkToFit="1"/>
    </xf>
    <xf numFmtId="0" fontId="8" fillId="0" borderId="121" xfId="0" applyFont="1" applyBorder="1"/>
    <xf numFmtId="0" fontId="8" fillId="0" borderId="62" xfId="0" applyFont="1" applyBorder="1"/>
    <xf numFmtId="0" fontId="8" fillId="0" borderId="62" xfId="0" applyFont="1" applyBorder="1" applyAlignment="1">
      <alignment horizontal="center"/>
    </xf>
    <xf numFmtId="0" fontId="8" fillId="0" borderId="122" xfId="0" applyFont="1" applyBorder="1"/>
    <xf numFmtId="0" fontId="8" fillId="0" borderId="64" xfId="0" applyFont="1" applyBorder="1"/>
    <xf numFmtId="0" fontId="8" fillId="0" borderId="63" xfId="0" applyFont="1" applyBorder="1" applyAlignment="1"/>
    <xf numFmtId="0" fontId="8" fillId="0" borderId="65" xfId="0" applyFont="1" applyBorder="1"/>
    <xf numFmtId="0" fontId="8" fillId="0" borderId="65" xfId="0" applyFont="1" applyBorder="1" applyAlignment="1"/>
    <xf numFmtId="0" fontId="8" fillId="0" borderId="0" xfId="0" applyFont="1" applyBorder="1" applyAlignment="1">
      <alignment horizontal="left"/>
    </xf>
    <xf numFmtId="0" fontId="8" fillId="0" borderId="0" xfId="0" applyFont="1" applyAlignment="1">
      <alignment horizontal="left"/>
    </xf>
    <xf numFmtId="0" fontId="8" fillId="0" borderId="0" xfId="0" applyFont="1" applyBorder="1" applyAlignment="1">
      <alignment horizontal="left"/>
    </xf>
    <xf numFmtId="0" fontId="11" fillId="0" borderId="0" xfId="0" applyFont="1" applyAlignment="1">
      <alignment horizontal="left"/>
    </xf>
    <xf numFmtId="0" fontId="8" fillId="0" borderId="0" xfId="0" applyFont="1" applyBorder="1" applyAlignment="1">
      <alignment horizontal="center"/>
    </xf>
    <xf numFmtId="0" fontId="8" fillId="0" borderId="69" xfId="0" applyFont="1" applyBorder="1"/>
    <xf numFmtId="0" fontId="8" fillId="0" borderId="123" xfId="0" applyFont="1" applyBorder="1"/>
    <xf numFmtId="0" fontId="8" fillId="0" borderId="124" xfId="0" applyFont="1" applyBorder="1"/>
    <xf numFmtId="0" fontId="8" fillId="0" borderId="66" xfId="0" applyFont="1" applyBorder="1"/>
    <xf numFmtId="0" fontId="8" fillId="0" borderId="125" xfId="0" applyFont="1" applyBorder="1"/>
    <xf numFmtId="0" fontId="8" fillId="0" borderId="126" xfId="0" applyFont="1" applyBorder="1"/>
    <xf numFmtId="0" fontId="8" fillId="0" borderId="127" xfId="0" applyFont="1" applyBorder="1"/>
    <xf numFmtId="0" fontId="8" fillId="0" borderId="69" xfId="0" applyFont="1" applyBorder="1" applyAlignment="1">
      <alignment horizontal="center"/>
    </xf>
    <xf numFmtId="0" fontId="8" fillId="0" borderId="130" xfId="0" applyFont="1" applyBorder="1"/>
    <xf numFmtId="0" fontId="8" fillId="0" borderId="131" xfId="0" applyFont="1" applyBorder="1"/>
    <xf numFmtId="0" fontId="0" fillId="5" borderId="0" xfId="0" applyFill="1" applyBorder="1" applyAlignment="1">
      <alignment horizontal="left"/>
    </xf>
    <xf numFmtId="0" fontId="0" fillId="0" borderId="0" xfId="0"/>
    <xf numFmtId="0" fontId="0" fillId="4" borderId="0" xfId="0" quotePrefix="1" applyFill="1"/>
    <xf numFmtId="0" fontId="8" fillId="0" borderId="0" xfId="0" applyFont="1" applyFill="1" applyBorder="1" applyAlignment="1"/>
    <xf numFmtId="0" fontId="10" fillId="0" borderId="0" xfId="0" applyFont="1" applyFill="1" applyBorder="1" applyAlignment="1">
      <alignment vertical="center" shrinkToFit="1"/>
    </xf>
    <xf numFmtId="0" fontId="8" fillId="0" borderId="116" xfId="0" applyFont="1" applyBorder="1"/>
    <xf numFmtId="0" fontId="8" fillId="0" borderId="133" xfId="0" applyFont="1" applyBorder="1"/>
    <xf numFmtId="0" fontId="8" fillId="0" borderId="134" xfId="0" applyFont="1" applyBorder="1"/>
    <xf numFmtId="0" fontId="8" fillId="0" borderId="135" xfId="0" applyFont="1" applyBorder="1"/>
    <xf numFmtId="0" fontId="8" fillId="0" borderId="137" xfId="0" applyFont="1" applyBorder="1"/>
    <xf numFmtId="0" fontId="8" fillId="0" borderId="138" xfId="0" applyFont="1" applyBorder="1"/>
    <xf numFmtId="0" fontId="34" fillId="0" borderId="38" xfId="0" applyFont="1" applyBorder="1" applyAlignment="1">
      <alignment vertical="center"/>
    </xf>
    <xf numFmtId="0" fontId="8" fillId="0" borderId="139" xfId="0" applyFont="1" applyBorder="1"/>
    <xf numFmtId="0" fontId="8" fillId="0" borderId="140" xfId="0" applyFont="1" applyBorder="1"/>
    <xf numFmtId="0" fontId="8" fillId="0" borderId="141" xfId="0" applyFont="1" applyBorder="1"/>
    <xf numFmtId="0" fontId="8" fillId="0" borderId="142" xfId="0" applyFont="1" applyBorder="1"/>
    <xf numFmtId="0" fontId="34" fillId="0" borderId="0" xfId="0" applyFont="1" applyBorder="1" applyAlignment="1">
      <alignment vertical="center"/>
    </xf>
    <xf numFmtId="0" fontId="8" fillId="0" borderId="143" xfId="0" applyFont="1" applyBorder="1"/>
    <xf numFmtId="0" fontId="34" fillId="0" borderId="47" xfId="0" applyFont="1" applyBorder="1" applyAlignment="1">
      <alignment vertical="center"/>
    </xf>
    <xf numFmtId="0" fontId="8" fillId="0" borderId="92" xfId="0" applyFont="1" applyFill="1" applyBorder="1"/>
    <xf numFmtId="0" fontId="8" fillId="0" borderId="38" xfId="0" applyFont="1" applyFill="1" applyBorder="1"/>
    <xf numFmtId="0" fontId="8" fillId="0" borderId="38" xfId="0" applyFont="1" applyFill="1" applyBorder="1" applyAlignment="1">
      <alignment horizontal="center"/>
    </xf>
    <xf numFmtId="0" fontId="8" fillId="0" borderId="93" xfId="0" applyFont="1" applyFill="1" applyBorder="1"/>
    <xf numFmtId="0" fontId="8" fillId="0" borderId="47" xfId="0" applyFont="1" applyFill="1" applyBorder="1"/>
    <xf numFmtId="0" fontId="8" fillId="0" borderId="49" xfId="0" applyFont="1" applyFill="1" applyBorder="1"/>
    <xf numFmtId="0" fontId="8" fillId="0" borderId="144" xfId="0" applyFont="1" applyFill="1" applyBorder="1"/>
    <xf numFmtId="0" fontId="8" fillId="15" borderId="144" xfId="0" applyFont="1" applyFill="1" applyBorder="1"/>
    <xf numFmtId="2" fontId="8" fillId="0" borderId="0" xfId="0" applyNumberFormat="1" applyFont="1" applyAlignment="1"/>
    <xf numFmtId="0" fontId="35" fillId="0" borderId="22" xfId="0" applyFont="1" applyBorder="1"/>
    <xf numFmtId="0" fontId="35" fillId="0" borderId="0" xfId="0" applyFont="1"/>
    <xf numFmtId="0" fontId="35" fillId="0" borderId="20" xfId="0" applyFont="1" applyBorder="1"/>
    <xf numFmtId="0" fontId="35" fillId="0" borderId="0" xfId="0" applyFont="1" applyFill="1" applyBorder="1" applyAlignment="1">
      <alignment vertical="center" shrinkToFit="1"/>
    </xf>
    <xf numFmtId="0" fontId="35" fillId="0" borderId="0" xfId="0" applyFont="1" applyFill="1" applyBorder="1" applyAlignment="1">
      <alignment shrinkToFit="1"/>
    </xf>
    <xf numFmtId="0" fontId="35" fillId="0" borderId="0" xfId="0" applyFont="1" applyFill="1" applyBorder="1"/>
    <xf numFmtId="0" fontId="34" fillId="0" borderId="0" xfId="0" applyFont="1" applyFill="1" applyBorder="1" applyAlignment="1">
      <alignment vertical="center"/>
    </xf>
    <xf numFmtId="0" fontId="36" fillId="0" borderId="0" xfId="0" applyFont="1" applyFill="1" applyBorder="1" applyAlignment="1">
      <alignment vertical="center"/>
    </xf>
    <xf numFmtId="0" fontId="18" fillId="0" borderId="0" xfId="0" applyFont="1" applyFill="1" applyBorder="1" applyAlignment="1">
      <alignment vertical="center"/>
    </xf>
    <xf numFmtId="0" fontId="35" fillId="0" borderId="0" xfId="0" applyFont="1" applyFill="1" applyBorder="1" applyAlignment="1">
      <alignment vertical="center"/>
    </xf>
    <xf numFmtId="0" fontId="8" fillId="0" borderId="0" xfId="0" applyFont="1" applyFill="1" applyBorder="1" applyAlignment="1">
      <alignment horizontal="left"/>
    </xf>
    <xf numFmtId="0" fontId="35" fillId="0" borderId="0" xfId="0" applyFont="1" applyBorder="1"/>
    <xf numFmtId="0" fontId="17" fillId="0" borderId="0" xfId="0" applyFont="1" applyFill="1" applyBorder="1" applyAlignment="1">
      <alignment horizontal="right"/>
    </xf>
    <xf numFmtId="0" fontId="36" fillId="0" borderId="0" xfId="0" applyFont="1" applyFill="1" applyBorder="1" applyAlignment="1">
      <alignment horizontal="right"/>
    </xf>
    <xf numFmtId="0" fontId="15" fillId="0" borderId="0" xfId="0" applyFont="1" applyFill="1" applyBorder="1"/>
    <xf numFmtId="0" fontId="15" fillId="0" borderId="0" xfId="0" applyNumberFormat="1" applyFont="1" applyFill="1" applyBorder="1" applyAlignment="1">
      <alignment vertical="center"/>
    </xf>
    <xf numFmtId="0" fontId="25" fillId="0" borderId="0" xfId="0" applyFont="1" applyFill="1" applyBorder="1" applyAlignment="1">
      <alignment vertical="center" wrapText="1"/>
    </xf>
    <xf numFmtId="0" fontId="9" fillId="0" borderId="0" xfId="0" applyFont="1" applyFill="1" applyBorder="1" applyAlignment="1">
      <alignment vertical="top"/>
    </xf>
    <xf numFmtId="0" fontId="9" fillId="0" borderId="0" xfId="0" applyFont="1" applyFill="1" applyBorder="1" applyAlignment="1">
      <alignment wrapText="1"/>
    </xf>
    <xf numFmtId="0" fontId="35" fillId="0" borderId="0" xfId="0" applyFont="1" applyFill="1" applyBorder="1" applyAlignment="1">
      <alignment wrapText="1"/>
    </xf>
    <xf numFmtId="0" fontId="24" fillId="0" borderId="0" xfId="0" applyFont="1" applyFill="1" applyBorder="1" applyAlignment="1">
      <alignment wrapText="1"/>
    </xf>
    <xf numFmtId="0" fontId="15" fillId="0" borderId="0" xfId="0" applyFont="1" applyFill="1" applyBorder="1" applyAlignment="1">
      <alignment vertical="center"/>
    </xf>
    <xf numFmtId="164" fontId="15" fillId="0" borderId="0" xfId="0" applyNumberFormat="1" applyFont="1" applyFill="1" applyBorder="1" applyAlignment="1">
      <alignment vertical="center"/>
    </xf>
    <xf numFmtId="0" fontId="35" fillId="0" borderId="0" xfId="0" applyFont="1" applyFill="1" applyBorder="1" applyAlignment="1">
      <alignment horizontal="left" vertical="center"/>
    </xf>
    <xf numFmtId="0" fontId="8" fillId="0" borderId="0" xfId="0" applyFont="1" applyFill="1" applyBorder="1" applyAlignment="1">
      <alignment horizontal="left" vertical="center"/>
    </xf>
    <xf numFmtId="0" fontId="24" fillId="0" borderId="0" xfId="0" applyFont="1" applyFill="1" applyBorder="1" applyAlignment="1">
      <alignment vertical="top"/>
    </xf>
    <xf numFmtId="0" fontId="37" fillId="0" borderId="0" xfId="0" applyFont="1" applyFill="1" applyBorder="1" applyAlignment="1">
      <alignment vertical="top"/>
    </xf>
    <xf numFmtId="0" fontId="11" fillId="0" borderId="0" xfId="0" applyFont="1" applyFill="1" applyBorder="1" applyAlignment="1">
      <alignment vertical="center" wrapText="1"/>
    </xf>
    <xf numFmtId="0" fontId="25" fillId="0" borderId="0" xfId="0" applyFont="1" applyFill="1" applyBorder="1" applyAlignment="1">
      <alignment vertical="top" wrapText="1"/>
    </xf>
    <xf numFmtId="164" fontId="35" fillId="0" borderId="0" xfId="0" applyNumberFormat="1" applyFont="1" applyFill="1" applyBorder="1" applyAlignment="1">
      <alignment vertical="center"/>
    </xf>
    <xf numFmtId="164" fontId="15" fillId="0" borderId="49" xfId="0" applyNumberFormat="1" applyFont="1" applyFill="1" applyBorder="1" applyAlignment="1">
      <alignment vertical="center" shrinkToFit="1"/>
    </xf>
    <xf numFmtId="164" fontId="15" fillId="0" borderId="144" xfId="0" applyNumberFormat="1" applyFont="1" applyFill="1" applyBorder="1" applyAlignment="1">
      <alignment vertical="center" shrinkToFit="1"/>
    </xf>
    <xf numFmtId="164" fontId="15" fillId="0" borderId="0" xfId="0" applyNumberFormat="1" applyFont="1" applyFill="1" applyBorder="1" applyAlignment="1">
      <alignment vertical="center" shrinkToFit="1"/>
    </xf>
    <xf numFmtId="0" fontId="15" fillId="0" borderId="0" xfId="0" applyFont="1" applyFill="1" applyBorder="1" applyAlignment="1">
      <alignment vertical="center" shrinkToFit="1"/>
    </xf>
    <xf numFmtId="0" fontId="35" fillId="0" borderId="0" xfId="0" applyFont="1" applyFill="1" applyBorder="1" applyAlignment="1">
      <alignment vertical="top" shrinkToFit="1"/>
    </xf>
    <xf numFmtId="0" fontId="8" fillId="0" borderId="49" xfId="0" applyFont="1" applyFill="1" applyBorder="1" applyAlignment="1">
      <alignment shrinkToFit="1"/>
    </xf>
    <xf numFmtId="0" fontId="11" fillId="0" borderId="49" xfId="0" applyFont="1" applyFill="1" applyBorder="1" applyAlignment="1">
      <alignment vertical="top" shrinkToFit="1"/>
    </xf>
    <xf numFmtId="0" fontId="11" fillId="0" borderId="39" xfId="0" applyFont="1" applyFill="1" applyBorder="1" applyAlignment="1">
      <alignment vertical="top" shrinkToFit="1"/>
    </xf>
    <xf numFmtId="0" fontId="11" fillId="0" borderId="47" xfId="0" applyFont="1" applyFill="1" applyBorder="1" applyAlignment="1">
      <alignment vertical="top" shrinkToFit="1"/>
    </xf>
    <xf numFmtId="0" fontId="11" fillId="0" borderId="124" xfId="0" applyFont="1" applyFill="1" applyBorder="1" applyAlignment="1">
      <alignment vertical="top" shrinkToFit="1"/>
    </xf>
    <xf numFmtId="0" fontId="8" fillId="0" borderId="124" xfId="0" applyFont="1" applyFill="1" applyBorder="1"/>
    <xf numFmtId="0" fontId="8" fillId="0" borderId="124" xfId="0" applyFont="1" applyFill="1" applyBorder="1" applyAlignment="1"/>
    <xf numFmtId="0" fontId="8" fillId="20" borderId="0" xfId="0" applyFont="1" applyFill="1" applyBorder="1" applyAlignment="1">
      <alignment shrinkToFit="1"/>
    </xf>
    <xf numFmtId="0" fontId="8" fillId="20" borderId="124" xfId="0" applyFont="1" applyFill="1" applyBorder="1" applyAlignment="1">
      <alignment shrinkToFit="1"/>
    </xf>
    <xf numFmtId="0" fontId="8" fillId="20" borderId="148" xfId="0" applyFont="1" applyFill="1" applyBorder="1" applyAlignment="1">
      <alignment shrinkToFit="1"/>
    </xf>
    <xf numFmtId="0" fontId="8" fillId="20" borderId="149" xfId="0" applyFont="1" applyFill="1" applyBorder="1" applyAlignment="1">
      <alignment shrinkToFit="1"/>
    </xf>
    <xf numFmtId="0" fontId="38" fillId="0" borderId="0" xfId="0" applyFont="1" applyAlignment="1"/>
    <xf numFmtId="0" fontId="0" fillId="0" borderId="0" xfId="0" applyAlignment="1"/>
    <xf numFmtId="0" fontId="11" fillId="0" borderId="0" xfId="0" applyFont="1" applyFill="1" applyBorder="1" applyAlignment="1">
      <alignment vertical="center" shrinkToFit="1"/>
    </xf>
    <xf numFmtId="0" fontId="8" fillId="0" borderId="0" xfId="0" applyFont="1" applyFill="1" applyBorder="1" applyAlignment="1">
      <alignment horizontal="left" shrinkToFit="1"/>
    </xf>
    <xf numFmtId="0" fontId="0" fillId="0" borderId="0" xfId="0" applyAlignment="1">
      <alignment horizontal="left"/>
    </xf>
    <xf numFmtId="0" fontId="11" fillId="0" borderId="0" xfId="0" applyFont="1" applyFill="1" applyBorder="1" applyAlignment="1">
      <alignment horizontal="left" vertical="top" shrinkToFit="1"/>
    </xf>
    <xf numFmtId="0" fontId="15" fillId="0" borderId="0" xfId="0" applyFont="1" applyFill="1" applyBorder="1" applyAlignment="1">
      <alignment horizontal="left" vertical="center" shrinkToFit="1"/>
    </xf>
    <xf numFmtId="0" fontId="8" fillId="15" borderId="49" xfId="0" applyFont="1" applyFill="1" applyBorder="1" applyAlignment="1">
      <alignment shrinkToFit="1"/>
    </xf>
    <xf numFmtId="164" fontId="15" fillId="15" borderId="49" xfId="0" applyNumberFormat="1" applyFont="1" applyFill="1" applyBorder="1" applyAlignment="1">
      <alignment vertical="center" shrinkToFit="1"/>
    </xf>
    <xf numFmtId="0" fontId="11" fillId="15" borderId="49" xfId="0" applyFont="1" applyFill="1" applyBorder="1" applyAlignment="1">
      <alignment vertical="top" shrinkToFit="1"/>
    </xf>
    <xf numFmtId="0" fontId="8" fillId="0" borderId="150" xfId="0" applyFont="1" applyFill="1" applyBorder="1"/>
    <xf numFmtId="0" fontId="8" fillId="0" borderId="47" xfId="0" applyFont="1" applyFill="1" applyBorder="1" applyAlignment="1">
      <alignment horizontal="center"/>
    </xf>
    <xf numFmtId="0" fontId="11" fillId="0" borderId="53" xfId="0" applyFont="1" applyFill="1" applyBorder="1" applyAlignment="1">
      <alignment vertical="top" shrinkToFit="1"/>
    </xf>
    <xf numFmtId="0" fontId="8" fillId="0" borderId="37" xfId="0" applyFont="1" applyBorder="1" applyAlignment="1"/>
    <xf numFmtId="0" fontId="8" fillId="15" borderId="37" xfId="0" applyFont="1" applyFill="1" applyBorder="1" applyAlignment="1"/>
    <xf numFmtId="171" fontId="8" fillId="15" borderId="37" xfId="0" applyNumberFormat="1" applyFont="1" applyFill="1" applyBorder="1" applyAlignment="1"/>
    <xf numFmtId="171" fontId="8" fillId="0" borderId="37" xfId="0" applyNumberFormat="1" applyFont="1" applyBorder="1" applyAlignment="1"/>
    <xf numFmtId="0" fontId="8" fillId="0" borderId="37" xfId="0" applyFont="1" applyFill="1" applyBorder="1" applyAlignment="1">
      <alignment shrinkToFit="1"/>
    </xf>
    <xf numFmtId="0" fontId="11" fillId="0" borderId="38" xfId="0" applyFont="1" applyFill="1" applyBorder="1" applyAlignment="1">
      <alignment vertical="center" textRotation="45"/>
    </xf>
    <xf numFmtId="0" fontId="8" fillId="0" borderId="38" xfId="0" applyFont="1" applyBorder="1" applyAlignment="1">
      <alignment textRotation="45"/>
    </xf>
    <xf numFmtId="0" fontId="8" fillId="0" borderId="103" xfId="0" applyFont="1" applyBorder="1" applyAlignment="1"/>
    <xf numFmtId="171" fontId="8" fillId="0" borderId="0" xfId="0" applyNumberFormat="1" applyFont="1" applyBorder="1" applyAlignment="1"/>
    <xf numFmtId="0" fontId="11" fillId="0" borderId="49" xfId="0" applyFont="1" applyFill="1" applyBorder="1" applyAlignment="1">
      <alignment horizontal="center" vertical="center" textRotation="45" shrinkToFit="1"/>
    </xf>
    <xf numFmtId="0" fontId="11" fillId="0" borderId="0" xfId="0" applyFont="1" applyFill="1" applyBorder="1" applyAlignment="1">
      <alignment horizontal="center" vertical="center" textRotation="45" shrinkToFit="1"/>
    </xf>
    <xf numFmtId="0" fontId="8" fillId="0" borderId="0" xfId="0" applyFont="1" applyBorder="1" applyAlignment="1">
      <alignment textRotation="45"/>
    </xf>
    <xf numFmtId="0" fontId="11" fillId="15" borderId="49" xfId="0" applyFont="1" applyFill="1" applyBorder="1" applyAlignment="1">
      <alignment horizontal="center" vertical="center" textRotation="45" shrinkToFit="1"/>
    </xf>
    <xf numFmtId="0" fontId="11" fillId="0" borderId="47" xfId="0" applyFont="1" applyFill="1" applyBorder="1" applyAlignment="1">
      <alignment vertical="center" textRotation="45"/>
    </xf>
    <xf numFmtId="171" fontId="8" fillId="0" borderId="47" xfId="0" applyNumberFormat="1" applyFont="1" applyBorder="1" applyAlignment="1"/>
    <xf numFmtId="0" fontId="8" fillId="0" borderId="47" xfId="0" applyFont="1" applyBorder="1" applyAlignment="1"/>
    <xf numFmtId="0" fontId="8" fillId="0" borderId="115" xfId="0" applyFont="1" applyBorder="1" applyAlignment="1"/>
    <xf numFmtId="0" fontId="11" fillId="0" borderId="151" xfId="0" applyFont="1" applyFill="1" applyBorder="1" applyAlignment="1">
      <alignment vertical="top" shrinkToFit="1"/>
    </xf>
    <xf numFmtId="0" fontId="11" fillId="0" borderId="30" xfId="0" applyFont="1" applyFill="1" applyBorder="1" applyAlignment="1">
      <alignment vertical="top" shrinkToFit="1"/>
    </xf>
    <xf numFmtId="0" fontId="8" fillId="0" borderId="39" xfId="0" applyFont="1" applyFill="1" applyBorder="1" applyAlignment="1">
      <alignment shrinkToFit="1"/>
    </xf>
    <xf numFmtId="0" fontId="8" fillId="0" borderId="152" xfId="0" applyFont="1" applyFill="1" applyBorder="1" applyAlignment="1">
      <alignment shrinkToFit="1"/>
    </xf>
    <xf numFmtId="0" fontId="9" fillId="0" borderId="30" xfId="0" applyFont="1" applyFill="1" applyBorder="1" applyAlignment="1">
      <alignment vertical="top" shrinkToFit="1"/>
    </xf>
    <xf numFmtId="0" fontId="9" fillId="15" borderId="0" xfId="0" applyFont="1" applyFill="1" applyBorder="1" applyAlignment="1">
      <alignment vertical="top" shrinkToFit="1"/>
    </xf>
    <xf numFmtId="0" fontId="9" fillId="15" borderId="49" xfId="0" applyFont="1" applyFill="1" applyBorder="1" applyAlignment="1">
      <alignment vertical="top" shrinkToFit="1"/>
    </xf>
    <xf numFmtId="0" fontId="8" fillId="15" borderId="0" xfId="0" applyFont="1" applyFill="1" applyBorder="1" applyAlignment="1">
      <alignment shrinkToFit="1"/>
    </xf>
    <xf numFmtId="0" fontId="11" fillId="0" borderId="0" xfId="0" applyFont="1" applyFill="1" applyBorder="1" applyAlignment="1">
      <alignment shrinkToFit="1"/>
    </xf>
    <xf numFmtId="0" fontId="8" fillId="0" borderId="150" xfId="0" applyFont="1" applyFill="1" applyBorder="1" applyAlignment="1">
      <alignment shrinkToFit="1"/>
    </xf>
    <xf numFmtId="0" fontId="8" fillId="0" borderId="47" xfId="0" applyFont="1" applyFill="1" applyBorder="1" applyAlignment="1">
      <alignment shrinkToFit="1"/>
    </xf>
    <xf numFmtId="0" fontId="8" fillId="0" borderId="83" xfId="0" applyFont="1" applyFill="1" applyBorder="1" applyAlignment="1">
      <alignment shrinkToFit="1"/>
    </xf>
    <xf numFmtId="0" fontId="8" fillId="0" borderId="153" xfId="0" applyFont="1" applyFill="1" applyBorder="1" applyAlignment="1">
      <alignment shrinkToFit="1"/>
    </xf>
    <xf numFmtId="0" fontId="11" fillId="0" borderId="48" xfId="0" applyFont="1" applyFill="1" applyBorder="1" applyAlignment="1">
      <alignment vertical="top" shrinkToFit="1"/>
    </xf>
    <xf numFmtId="0" fontId="8" fillId="0" borderId="48" xfId="0" applyFont="1" applyFill="1" applyBorder="1" applyAlignment="1">
      <alignment shrinkToFit="1"/>
    </xf>
    <xf numFmtId="164" fontId="15" fillId="0" borderId="0" xfId="0" applyNumberFormat="1" applyFont="1" applyFill="1" applyBorder="1" applyAlignment="1">
      <alignment shrinkToFit="1"/>
    </xf>
    <xf numFmtId="164" fontId="10" fillId="0" borderId="0" xfId="0" applyNumberFormat="1" applyFont="1" applyFill="1" applyBorder="1" applyAlignment="1">
      <alignment vertical="center" shrinkToFit="1"/>
    </xf>
    <xf numFmtId="169" fontId="15" fillId="0" borderId="0" xfId="0" applyNumberFormat="1" applyFont="1" applyFill="1" applyBorder="1" applyAlignment="1">
      <alignment shrinkToFit="1"/>
    </xf>
    <xf numFmtId="0" fontId="8" fillId="20" borderId="154" xfId="0" applyFont="1" applyFill="1" applyBorder="1" applyAlignment="1">
      <alignment shrinkToFit="1"/>
    </xf>
    <xf numFmtId="0" fontId="8" fillId="20" borderId="152" xfId="0" applyFont="1" applyFill="1" applyBorder="1" applyAlignment="1">
      <alignment shrinkToFit="1"/>
    </xf>
    <xf numFmtId="0" fontId="8" fillId="20" borderId="155" xfId="0" applyFont="1" applyFill="1" applyBorder="1" applyAlignment="1">
      <alignment shrinkToFit="1"/>
    </xf>
    <xf numFmtId="0" fontId="8" fillId="20" borderId="151" xfId="0" applyFont="1" applyFill="1" applyBorder="1" applyAlignment="1">
      <alignment shrinkToFit="1"/>
    </xf>
    <xf numFmtId="0" fontId="38" fillId="0" borderId="128" xfId="0" applyFont="1" applyBorder="1" applyAlignment="1"/>
    <xf numFmtId="0" fontId="0" fillId="4" borderId="0" xfId="0" applyFill="1" applyBorder="1"/>
    <xf numFmtId="0" fontId="0" fillId="4" borderId="0" xfId="0" quotePrefix="1" applyFill="1" applyAlignment="1">
      <alignment vertical="top"/>
    </xf>
    <xf numFmtId="0" fontId="0" fillId="3" borderId="0" xfId="0" applyFill="1" applyBorder="1"/>
    <xf numFmtId="0" fontId="0" fillId="5" borderId="0" xfId="0" applyFill="1"/>
    <xf numFmtId="0" fontId="40" fillId="5" borderId="0" xfId="0" applyFont="1" applyFill="1" applyBorder="1"/>
    <xf numFmtId="0" fontId="6" fillId="5" borderId="1" xfId="0" applyFont="1" applyFill="1" applyBorder="1"/>
    <xf numFmtId="0" fontId="2" fillId="5" borderId="1" xfId="0" applyFont="1" applyFill="1" applyBorder="1"/>
    <xf numFmtId="0" fontId="0" fillId="5" borderId="1" xfId="0" applyFill="1" applyBorder="1" applyAlignment="1">
      <alignment horizontal="right"/>
    </xf>
    <xf numFmtId="0" fontId="0" fillId="5" borderId="21" xfId="0" applyFill="1" applyBorder="1" applyAlignment="1"/>
    <xf numFmtId="0" fontId="0" fillId="5" borderId="22" xfId="0" applyFill="1" applyBorder="1" applyAlignment="1"/>
    <xf numFmtId="0" fontId="0" fillId="5" borderId="156" xfId="0" applyFill="1" applyBorder="1" applyAlignment="1">
      <alignment horizontal="center"/>
    </xf>
    <xf numFmtId="0" fontId="0" fillId="5" borderId="158" xfId="0" applyFill="1" applyBorder="1" applyAlignment="1">
      <alignment horizontal="center"/>
    </xf>
    <xf numFmtId="0" fontId="0" fillId="5" borderId="159" xfId="0" applyFill="1" applyBorder="1" applyAlignment="1">
      <alignment horizontal="center"/>
    </xf>
    <xf numFmtId="165" fontId="0" fillId="5" borderId="160" xfId="0" applyNumberFormat="1" applyFill="1" applyBorder="1" applyAlignment="1">
      <alignment horizontal="center"/>
    </xf>
    <xf numFmtId="165" fontId="0" fillId="5" borderId="161" xfId="0" applyNumberFormat="1" applyFill="1" applyBorder="1" applyAlignment="1">
      <alignment horizontal="center"/>
    </xf>
    <xf numFmtId="165" fontId="0" fillId="5" borderId="162" xfId="0" applyNumberFormat="1" applyFill="1" applyBorder="1" applyAlignment="1">
      <alignment horizontal="center"/>
    </xf>
    <xf numFmtId="164" fontId="15" fillId="0" borderId="0" xfId="0" applyNumberFormat="1" applyFont="1" applyBorder="1" applyAlignment="1">
      <alignment vertical="center"/>
    </xf>
    <xf numFmtId="173" fontId="0" fillId="5" borderId="0" xfId="0" applyNumberFormat="1" applyFill="1" applyBorder="1" applyAlignment="1">
      <alignment horizontal="left"/>
    </xf>
    <xf numFmtId="165" fontId="0" fillId="5" borderId="0" xfId="0" applyNumberFormat="1" applyFill="1" applyBorder="1" applyAlignment="1">
      <alignment horizontal="left"/>
    </xf>
    <xf numFmtId="172" fontId="0" fillId="5" borderId="0" xfId="0" applyNumberFormat="1" applyFill="1" applyBorder="1" applyAlignment="1">
      <alignment horizontal="left"/>
    </xf>
    <xf numFmtId="171" fontId="0" fillId="5" borderId="0" xfId="0" applyNumberFormat="1" applyFill="1" applyBorder="1" applyAlignment="1">
      <alignment horizontal="left"/>
    </xf>
    <xf numFmtId="0" fontId="1" fillId="5" borderId="0" xfId="0" applyNumberFormat="1" applyFont="1" applyFill="1" applyBorder="1" applyAlignment="1">
      <alignment horizontal="center"/>
    </xf>
    <xf numFmtId="0" fontId="6" fillId="5" borderId="0" xfId="0" applyFont="1" applyFill="1" applyBorder="1" applyAlignment="1">
      <alignment horizontal="center"/>
    </xf>
    <xf numFmtId="0" fontId="3" fillId="3" borderId="9" xfId="0" applyFont="1" applyFill="1" applyBorder="1" applyAlignment="1">
      <alignment horizontal="center"/>
    </xf>
    <xf numFmtId="165" fontId="3" fillId="3" borderId="9" xfId="0" applyNumberFormat="1" applyFont="1" applyFill="1" applyBorder="1" applyAlignment="1">
      <alignment horizontal="center"/>
    </xf>
    <xf numFmtId="174" fontId="0" fillId="5" borderId="1" xfId="0" applyNumberFormat="1" applyFill="1" applyBorder="1"/>
    <xf numFmtId="0" fontId="40" fillId="5" borderId="1" xfId="0" applyFont="1" applyFill="1" applyBorder="1"/>
    <xf numFmtId="173" fontId="6" fillId="5" borderId="0" xfId="0" applyNumberFormat="1" applyFont="1" applyFill="1" applyBorder="1" applyAlignment="1">
      <alignment horizontal="center"/>
    </xf>
    <xf numFmtId="0" fontId="0" fillId="4" borderId="0" xfId="0" applyFill="1"/>
    <xf numFmtId="0" fontId="1" fillId="5" borderId="1" xfId="0" applyFont="1" applyFill="1" applyBorder="1" applyAlignment="1"/>
    <xf numFmtId="0" fontId="0" fillId="5" borderId="0" xfId="0" applyNumberFormat="1" applyFill="1" applyBorder="1" applyAlignment="1">
      <alignment horizontal="left"/>
    </xf>
    <xf numFmtId="0" fontId="40" fillId="5" borderId="6" xfId="0" applyFont="1" applyFill="1" applyBorder="1"/>
    <xf numFmtId="0" fontId="41" fillId="5" borderId="0" xfId="0" applyFont="1" applyFill="1" applyBorder="1" applyAlignment="1">
      <alignment horizontal="center"/>
    </xf>
    <xf numFmtId="164" fontId="0" fillId="5" borderId="0" xfId="0" applyNumberFormat="1" applyFont="1" applyFill="1" applyBorder="1" applyAlignment="1">
      <alignment horizontal="center"/>
    </xf>
    <xf numFmtId="0" fontId="0" fillId="5" borderId="22" xfId="0" applyFill="1" applyBorder="1"/>
    <xf numFmtId="0" fontId="0" fillId="4" borderId="0" xfId="0" applyFill="1"/>
    <xf numFmtId="0" fontId="0" fillId="5" borderId="20" xfId="0" applyFill="1" applyBorder="1"/>
    <xf numFmtId="0" fontId="1" fillId="5" borderId="0" xfId="0" applyFont="1" applyFill="1" applyBorder="1"/>
    <xf numFmtId="0" fontId="0" fillId="5" borderId="0" xfId="0" applyFill="1" applyBorder="1"/>
    <xf numFmtId="0" fontId="6" fillId="5" borderId="0" xfId="0" applyFont="1" applyFill="1" applyBorder="1"/>
    <xf numFmtId="0" fontId="0" fillId="0" borderId="0" xfId="0"/>
    <xf numFmtId="0" fontId="1" fillId="5" borderId="0" xfId="0" applyFont="1" applyFill="1" applyBorder="1"/>
    <xf numFmtId="0" fontId="0" fillId="5" borderId="20" xfId="0" applyFill="1" applyBorder="1"/>
    <xf numFmtId="0" fontId="0" fillId="5" borderId="0" xfId="0" applyFill="1" applyBorder="1"/>
    <xf numFmtId="0" fontId="0" fillId="4" borderId="0" xfId="0" applyFill="1"/>
    <xf numFmtId="0" fontId="0" fillId="5" borderId="22" xfId="0" applyFill="1" applyBorder="1"/>
    <xf numFmtId="0" fontId="0" fillId="3" borderId="9" xfId="0" applyFill="1" applyBorder="1"/>
    <xf numFmtId="0" fontId="0" fillId="0" borderId="0" xfId="0"/>
    <xf numFmtId="0" fontId="0" fillId="4" borderId="0" xfId="0" applyFill="1" applyAlignment="1">
      <alignment horizontal="right"/>
    </xf>
    <xf numFmtId="0" fontId="0" fillId="5" borderId="0" xfId="0" applyFill="1" applyBorder="1" applyAlignment="1">
      <alignment horizontal="right"/>
    </xf>
    <xf numFmtId="0" fontId="0" fillId="5" borderId="22" xfId="0" applyFill="1" applyBorder="1" applyAlignment="1">
      <alignment horizontal="right"/>
    </xf>
    <xf numFmtId="0" fontId="0" fillId="5" borderId="20" xfId="0" applyFill="1" applyBorder="1" applyAlignment="1">
      <alignment horizontal="right"/>
    </xf>
    <xf numFmtId="0" fontId="3" fillId="5" borderId="0" xfId="0" applyFont="1" applyFill="1" applyBorder="1"/>
    <xf numFmtId="0" fontId="0" fillId="0" borderId="7" xfId="0" quotePrefix="1" applyBorder="1"/>
    <xf numFmtId="0" fontId="0" fillId="5" borderId="0" xfId="0" applyFill="1" applyBorder="1" applyAlignment="1">
      <alignment horizontal="left"/>
    </xf>
    <xf numFmtId="0" fontId="1" fillId="5" borderId="0" xfId="0" applyFont="1" applyFill="1" applyBorder="1"/>
    <xf numFmtId="0" fontId="0" fillId="4" borderId="0" xfId="0" applyFill="1"/>
    <xf numFmtId="0" fontId="0" fillId="0" borderId="0" xfId="0"/>
    <xf numFmtId="0" fontId="8" fillId="0" borderId="0" xfId="0" applyFont="1" applyBorder="1" applyAlignment="1">
      <alignment horizontal="center"/>
    </xf>
    <xf numFmtId="0" fontId="1" fillId="5" borderId="0" xfId="0" applyFont="1" applyFill="1" applyBorder="1" applyAlignment="1">
      <alignment horizontal="left"/>
    </xf>
    <xf numFmtId="165" fontId="0" fillId="5" borderId="1" xfId="0" applyNumberFormat="1" applyFill="1" applyBorder="1" applyAlignment="1">
      <alignment horizontal="left"/>
    </xf>
    <xf numFmtId="0" fontId="0" fillId="0" borderId="0" xfId="0" applyFill="1" applyBorder="1"/>
    <xf numFmtId="0" fontId="0" fillId="0" borderId="0" xfId="0" quotePrefix="1"/>
    <xf numFmtId="0" fontId="1" fillId="5" borderId="1" xfId="0" applyFont="1" applyFill="1" applyBorder="1" applyAlignment="1">
      <alignment horizontal="left"/>
    </xf>
    <xf numFmtId="0" fontId="0" fillId="5" borderId="1" xfId="0" applyFont="1" applyFill="1" applyBorder="1" applyAlignment="1">
      <alignment horizontal="left"/>
    </xf>
    <xf numFmtId="0" fontId="42" fillId="5" borderId="0" xfId="0" applyNumberFormat="1" applyFont="1" applyFill="1" applyBorder="1" applyAlignment="1">
      <alignment horizontal="left"/>
    </xf>
    <xf numFmtId="0" fontId="0" fillId="5" borderId="1" xfId="0" applyFill="1" applyBorder="1" applyAlignment="1"/>
    <xf numFmtId="0" fontId="40" fillId="5" borderId="6" xfId="0" applyFont="1" applyFill="1" applyBorder="1" applyAlignment="1">
      <alignment horizontal="left"/>
    </xf>
    <xf numFmtId="0" fontId="40" fillId="5" borderId="7" xfId="0" applyFont="1" applyFill="1" applyBorder="1"/>
    <xf numFmtId="0" fontId="3" fillId="5" borderId="1" xfId="0" applyFont="1" applyFill="1" applyBorder="1"/>
    <xf numFmtId="165" fontId="0" fillId="5" borderId="1" xfId="0" applyNumberFormat="1" applyFont="1" applyFill="1" applyBorder="1" applyAlignment="1">
      <alignment horizontal="left"/>
    </xf>
    <xf numFmtId="0" fontId="0" fillId="4" borderId="0" xfId="0" applyFill="1"/>
    <xf numFmtId="0" fontId="0" fillId="5" borderId="0" xfId="0" applyFill="1" applyBorder="1" applyAlignment="1">
      <alignment horizontal="center"/>
    </xf>
    <xf numFmtId="0" fontId="0" fillId="0" borderId="0" xfId="0"/>
    <xf numFmtId="0" fontId="1" fillId="0" borderId="16" xfId="0" applyFont="1" applyBorder="1"/>
    <xf numFmtId="0" fontId="0" fillId="5" borderId="1" xfId="0" applyFill="1" applyBorder="1" applyAlignment="1">
      <alignment horizontal="left"/>
    </xf>
    <xf numFmtId="171" fontId="3" fillId="5" borderId="0" xfId="0" applyNumberFormat="1" applyFont="1" applyFill="1" applyBorder="1" applyAlignment="1">
      <alignment horizontal="center"/>
    </xf>
    <xf numFmtId="0" fontId="40" fillId="5" borderId="0" xfId="0" applyFont="1" applyFill="1" applyBorder="1" applyAlignment="1">
      <alignment horizontal="center"/>
    </xf>
    <xf numFmtId="0" fontId="40" fillId="5" borderId="0" xfId="0" applyNumberFormat="1" applyFont="1" applyFill="1" applyBorder="1" applyAlignment="1">
      <alignment horizontal="center"/>
    </xf>
    <xf numFmtId="173" fontId="40" fillId="5" borderId="0" xfId="0" applyNumberFormat="1" applyFont="1" applyFill="1" applyBorder="1" applyAlignment="1">
      <alignment horizontal="center"/>
    </xf>
    <xf numFmtId="0" fontId="28" fillId="0" borderId="27" xfId="0" applyFont="1" applyFill="1" applyBorder="1" applyAlignment="1">
      <alignment vertical="center" shrinkToFit="1"/>
    </xf>
    <xf numFmtId="0" fontId="28" fillId="0" borderId="0" xfId="0" applyFont="1" applyFill="1" applyBorder="1" applyAlignment="1">
      <alignment vertical="center" shrinkToFit="1"/>
    </xf>
    <xf numFmtId="0" fontId="8" fillId="0" borderId="95" xfId="0" applyFont="1" applyBorder="1" applyAlignment="1">
      <alignment horizontal="center"/>
    </xf>
    <xf numFmtId="0" fontId="8" fillId="0" borderId="163" xfId="0" applyFont="1" applyBorder="1"/>
    <xf numFmtId="0" fontId="0" fillId="0" borderId="164" xfId="0" applyBorder="1"/>
    <xf numFmtId="0" fontId="28" fillId="0" borderId="164" xfId="0" applyFont="1" applyFill="1" applyBorder="1" applyAlignment="1">
      <alignment vertical="center" shrinkToFit="1"/>
    </xf>
    <xf numFmtId="0" fontId="29" fillId="0" borderId="27" xfId="0" applyFont="1" applyFill="1" applyBorder="1" applyAlignment="1">
      <alignment vertical="center" wrapText="1" shrinkToFit="1"/>
    </xf>
    <xf numFmtId="0" fontId="29" fillId="0" borderId="0" xfId="0" applyFont="1" applyFill="1" applyBorder="1" applyAlignment="1">
      <alignment vertical="center" wrapText="1" shrinkToFit="1"/>
    </xf>
    <xf numFmtId="0" fontId="8" fillId="0" borderId="0" xfId="0" applyFont="1" applyFill="1" applyBorder="1" applyAlignment="1">
      <alignment vertical="center" shrinkToFit="1"/>
    </xf>
    <xf numFmtId="0" fontId="0" fillId="0" borderId="0" xfId="0" applyBorder="1" applyAlignment="1"/>
    <xf numFmtId="164" fontId="15" fillId="0" borderId="27" xfId="0" applyNumberFormat="1" applyFont="1" applyBorder="1" applyAlignment="1">
      <alignment vertical="center" shrinkToFit="1"/>
    </xf>
    <xf numFmtId="0" fontId="15" fillId="0" borderId="27" xfId="0" applyFont="1" applyFill="1" applyBorder="1" applyAlignment="1">
      <alignment vertical="center" shrinkToFit="1"/>
    </xf>
    <xf numFmtId="0" fontId="8" fillId="0" borderId="27" xfId="0" applyFont="1" applyBorder="1" applyAlignment="1">
      <alignment vertical="center" shrinkToFit="1"/>
    </xf>
    <xf numFmtId="0" fontId="0" fillId="5" borderId="0" xfId="0" applyFill="1" applyBorder="1"/>
    <xf numFmtId="0" fontId="0" fillId="5" borderId="22" xfId="0" applyFill="1" applyBorder="1"/>
    <xf numFmtId="0" fontId="0" fillId="5" borderId="20" xfId="0" applyFill="1" applyBorder="1"/>
    <xf numFmtId="0" fontId="6" fillId="5" borderId="0" xfId="0" applyFont="1" applyFill="1" applyBorder="1"/>
    <xf numFmtId="175" fontId="0" fillId="5" borderId="1" xfId="0" applyNumberFormat="1" applyFill="1" applyBorder="1" applyAlignment="1">
      <alignment shrinkToFit="1"/>
    </xf>
    <xf numFmtId="0" fontId="0" fillId="4" borderId="6" xfId="0" applyFill="1" applyBorder="1"/>
    <xf numFmtId="0" fontId="39" fillId="5" borderId="0" xfId="0" applyFont="1" applyFill="1" applyBorder="1" applyAlignment="1">
      <alignment horizontal="center"/>
    </xf>
    <xf numFmtId="0" fontId="1" fillId="5" borderId="0" xfId="0" applyFont="1" applyFill="1" applyBorder="1" applyAlignment="1"/>
    <xf numFmtId="0" fontId="0" fillId="3" borderId="9" xfId="0" applyFill="1" applyBorder="1" applyAlignment="1">
      <alignment horizontal="center"/>
    </xf>
    <xf numFmtId="0" fontId="0" fillId="3" borderId="16" xfId="0" applyFill="1" applyBorder="1" applyAlignment="1">
      <alignment horizontal="center"/>
    </xf>
    <xf numFmtId="0" fontId="0" fillId="3" borderId="167" xfId="0" applyFill="1" applyBorder="1" applyAlignment="1">
      <alignment horizontal="center"/>
    </xf>
    <xf numFmtId="0" fontId="0" fillId="0" borderId="0" xfId="0" quotePrefix="1" applyFill="1" applyBorder="1"/>
    <xf numFmtId="0" fontId="1" fillId="0" borderId="0" xfId="0" applyFont="1"/>
    <xf numFmtId="49" fontId="1" fillId="0" borderId="0" xfId="0" applyNumberFormat="1" applyFont="1"/>
    <xf numFmtId="49" fontId="0" fillId="0" borderId="0" xfId="0" quotePrefix="1" applyNumberFormat="1" applyFill="1" applyBorder="1"/>
    <xf numFmtId="49" fontId="0" fillId="0" borderId="0" xfId="0" applyNumberFormat="1"/>
    <xf numFmtId="0" fontId="0" fillId="4" borderId="0" xfId="0" applyFill="1" applyBorder="1" applyAlignment="1">
      <alignment horizontal="center" textRotation="90"/>
    </xf>
    <xf numFmtId="0" fontId="0" fillId="5" borderId="5" xfId="0" applyFill="1" applyBorder="1" applyAlignment="1">
      <alignment horizontal="center"/>
    </xf>
    <xf numFmtId="0" fontId="0" fillId="5" borderId="7" xfId="0" applyFill="1" applyBorder="1" applyAlignment="1">
      <alignment horizontal="center"/>
    </xf>
    <xf numFmtId="0" fontId="0" fillId="5" borderId="7" xfId="0" applyFill="1" applyBorder="1" applyAlignment="1">
      <alignment horizontal="center" textRotation="90"/>
    </xf>
    <xf numFmtId="0" fontId="0" fillId="5" borderId="8" xfId="0" applyFill="1" applyBorder="1" applyAlignment="1">
      <alignment horizontal="center"/>
    </xf>
    <xf numFmtId="0" fontId="0" fillId="5" borderId="19" xfId="0" applyFill="1" applyBorder="1" applyAlignment="1">
      <alignment horizontal="center"/>
    </xf>
    <xf numFmtId="0" fontId="0" fillId="5" borderId="6" xfId="0" applyFill="1" applyBorder="1" applyAlignment="1">
      <alignment horizontal="center"/>
    </xf>
    <xf numFmtId="0" fontId="0" fillId="5" borderId="6" xfId="0" applyFill="1" applyBorder="1" applyAlignment="1">
      <alignment horizontal="center" textRotation="90"/>
    </xf>
    <xf numFmtId="0" fontId="0" fillId="5" borderId="21" xfId="0" applyFill="1" applyBorder="1" applyAlignment="1">
      <alignment horizontal="center"/>
    </xf>
    <xf numFmtId="0" fontId="39" fillId="3" borderId="9" xfId="0" applyFont="1" applyFill="1" applyBorder="1" applyAlignment="1">
      <alignment horizontal="center"/>
    </xf>
    <xf numFmtId="0" fontId="1" fillId="5" borderId="0" xfId="0" applyFont="1" applyFill="1" applyBorder="1"/>
    <xf numFmtId="0" fontId="0" fillId="5" borderId="20" xfId="0" applyFill="1" applyBorder="1"/>
    <xf numFmtId="0" fontId="0" fillId="5" borderId="0" xfId="0" applyFill="1" applyBorder="1"/>
    <xf numFmtId="0" fontId="0" fillId="4" borderId="0" xfId="0" applyFill="1"/>
    <xf numFmtId="0" fontId="6" fillId="5" borderId="1" xfId="0" applyFont="1" applyFill="1" applyBorder="1"/>
    <xf numFmtId="0" fontId="0" fillId="5" borderId="22" xfId="0" applyFill="1" applyBorder="1"/>
    <xf numFmtId="0" fontId="0" fillId="3" borderId="9" xfId="0" applyFill="1" applyBorder="1"/>
    <xf numFmtId="0" fontId="0" fillId="5" borderId="0" xfId="0" applyFill="1" applyBorder="1" applyAlignment="1">
      <alignment horizontal="center"/>
    </xf>
    <xf numFmtId="0" fontId="0" fillId="5" borderId="1" xfId="0" applyFill="1" applyBorder="1" applyAlignment="1">
      <alignment horizontal="center"/>
    </xf>
    <xf numFmtId="0" fontId="1" fillId="5" borderId="0" xfId="0" applyFont="1" applyFill="1" applyBorder="1" applyAlignment="1">
      <alignment horizontal="center"/>
    </xf>
    <xf numFmtId="0" fontId="3" fillId="5" borderId="0" xfId="0" applyFont="1" applyFill="1" applyBorder="1" applyAlignment="1">
      <alignment horizontal="left"/>
    </xf>
    <xf numFmtId="0" fontId="3" fillId="5" borderId="0" xfId="0" applyFont="1" applyFill="1" applyBorder="1"/>
    <xf numFmtId="0" fontId="1" fillId="5" borderId="0" xfId="0" applyFont="1" applyFill="1"/>
    <xf numFmtId="0" fontId="0" fillId="0" borderId="0" xfId="0"/>
    <xf numFmtId="0" fontId="9" fillId="0" borderId="0" xfId="0" applyFont="1" applyFill="1" applyBorder="1" applyAlignment="1">
      <alignment vertical="top" shrinkToFit="1"/>
    </xf>
    <xf numFmtId="0" fontId="0" fillId="4" borderId="0" xfId="0" applyFill="1"/>
    <xf numFmtId="0" fontId="8" fillId="0" borderId="0" xfId="0" applyFont="1" applyFill="1" applyBorder="1" applyAlignment="1">
      <alignment horizontal="center"/>
    </xf>
    <xf numFmtId="0" fontId="40" fillId="5" borderId="0" xfId="0" quotePrefix="1" applyFont="1" applyFill="1" applyBorder="1"/>
    <xf numFmtId="0" fontId="0" fillId="5" borderId="0" xfId="0" applyFill="1" applyAlignment="1">
      <alignment horizontal="center"/>
    </xf>
    <xf numFmtId="0" fontId="32" fillId="0" borderId="30" xfId="0" applyFont="1" applyFill="1" applyBorder="1" applyAlignment="1">
      <alignment shrinkToFit="1"/>
    </xf>
    <xf numFmtId="0" fontId="32" fillId="0" borderId="29" xfId="0" applyFont="1" applyFill="1" applyBorder="1" applyAlignment="1">
      <alignment horizontal="center" shrinkToFit="1"/>
    </xf>
    <xf numFmtId="0" fontId="32" fillId="0" borderId="31" xfId="0" applyFont="1" applyFill="1" applyBorder="1" applyAlignment="1">
      <alignment shrinkToFit="1"/>
    </xf>
    <xf numFmtId="0" fontId="32" fillId="0" borderId="32" xfId="0" applyFont="1" applyFill="1" applyBorder="1" applyAlignment="1">
      <alignment shrinkToFit="1"/>
    </xf>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8" fillId="0" borderId="0" xfId="0" applyFont="1" applyBorder="1" applyAlignment="1">
      <alignment vertical="center"/>
    </xf>
    <xf numFmtId="164" fontId="15" fillId="0" borderId="0" xfId="0" applyNumberFormat="1" applyFont="1" applyBorder="1" applyAlignment="1">
      <alignment vertical="center" shrinkToFit="1"/>
    </xf>
    <xf numFmtId="0" fontId="8" fillId="0" borderId="33" xfId="0" applyFont="1" applyFill="1" applyBorder="1" applyAlignment="1">
      <alignment vertical="center" shrinkToFit="1"/>
    </xf>
    <xf numFmtId="0" fontId="46" fillId="0" borderId="33" xfId="0" applyFont="1" applyBorder="1" applyAlignment="1">
      <alignment vertical="top"/>
    </xf>
    <xf numFmtId="0" fontId="44" fillId="0" borderId="30" xfId="0" applyFont="1" applyBorder="1" applyAlignment="1">
      <alignment vertical="top"/>
    </xf>
    <xf numFmtId="0" fontId="8" fillId="0" borderId="0" xfId="0" applyFont="1" applyFill="1" applyBorder="1" applyAlignment="1">
      <alignment vertical="top" shrinkToFit="1"/>
    </xf>
    <xf numFmtId="0" fontId="8" fillId="0" borderId="29" xfId="0" applyFont="1" applyBorder="1" applyAlignment="1">
      <alignment shrinkToFit="1"/>
    </xf>
    <xf numFmtId="0" fontId="8" fillId="0" borderId="0" xfId="0" applyFont="1" applyBorder="1" applyAlignment="1">
      <alignment vertical="top" wrapText="1"/>
    </xf>
    <xf numFmtId="0" fontId="0" fillId="4" borderId="0" xfId="0" applyFill="1" applyBorder="1" applyAlignment="1">
      <alignment vertical="top"/>
    </xf>
    <xf numFmtId="0" fontId="39" fillId="4" borderId="0" xfId="0" applyFont="1" applyFill="1" applyBorder="1" applyAlignment="1" applyProtection="1">
      <alignment horizontal="center"/>
      <protection locked="0"/>
    </xf>
    <xf numFmtId="0" fontId="39" fillId="4" borderId="0" xfId="0" applyFont="1" applyFill="1" applyBorder="1" applyAlignment="1">
      <alignment horizontal="center"/>
    </xf>
    <xf numFmtId="0" fontId="39" fillId="4" borderId="0" xfId="0" applyFont="1" applyFill="1" applyBorder="1"/>
    <xf numFmtId="0" fontId="39" fillId="4" borderId="0" xfId="0" applyNumberFormat="1" applyFont="1" applyFill="1" applyBorder="1" applyAlignment="1" applyProtection="1">
      <alignment horizontal="center"/>
      <protection locked="0"/>
    </xf>
    <xf numFmtId="0" fontId="0" fillId="5" borderId="7" xfId="0" applyNumberFormat="1" applyFill="1" applyBorder="1"/>
    <xf numFmtId="0" fontId="0" fillId="4" borderId="0" xfId="0" applyNumberFormat="1" applyFill="1"/>
    <xf numFmtId="0" fontId="0" fillId="5" borderId="6" xfId="0" applyNumberFormat="1" applyFill="1" applyBorder="1"/>
    <xf numFmtId="0" fontId="40" fillId="4" borderId="0" xfId="0" applyFont="1" applyFill="1"/>
    <xf numFmtId="0" fontId="40" fillId="5" borderId="19" xfId="0" applyFont="1" applyFill="1" applyBorder="1"/>
    <xf numFmtId="0" fontId="40" fillId="5" borderId="21" xfId="0" applyFont="1" applyFill="1" applyBorder="1"/>
    <xf numFmtId="0" fontId="0" fillId="4" borderId="0" xfId="0" applyFill="1"/>
    <xf numFmtId="0" fontId="0" fillId="23" borderId="1" xfId="0" applyFill="1" applyBorder="1"/>
    <xf numFmtId="0" fontId="0" fillId="4" borderId="0" xfId="0" applyFill="1" applyAlignment="1">
      <alignment horizontal="left"/>
    </xf>
    <xf numFmtId="0" fontId="0" fillId="23" borderId="19" xfId="0" applyFill="1" applyBorder="1"/>
    <xf numFmtId="0" fontId="0" fillId="23" borderId="20" xfId="0" applyFill="1" applyBorder="1"/>
    <xf numFmtId="0" fontId="0" fillId="23" borderId="5" xfId="0" applyFill="1" applyBorder="1"/>
    <xf numFmtId="0" fontId="0" fillId="23" borderId="6" xfId="0" applyFill="1" applyBorder="1"/>
    <xf numFmtId="0" fontId="0" fillId="23" borderId="0" xfId="0" applyFill="1" applyBorder="1"/>
    <xf numFmtId="0" fontId="0" fillId="23" borderId="7" xfId="0" applyFill="1" applyBorder="1"/>
    <xf numFmtId="0" fontId="0" fillId="23" borderId="21" xfId="0" applyFill="1" applyBorder="1"/>
    <xf numFmtId="0" fontId="0" fillId="23" borderId="22" xfId="0" applyFill="1" applyBorder="1"/>
    <xf numFmtId="0" fontId="0" fillId="23" borderId="8" xfId="0" applyFill="1" applyBorder="1"/>
    <xf numFmtId="0" fontId="0" fillId="0" borderId="6" xfId="0" quotePrefix="1" applyBorder="1"/>
    <xf numFmtId="0" fontId="0" fillId="4" borderId="0" xfId="0" quotePrefix="1" applyFill="1" applyAlignment="1">
      <alignment horizontal="left"/>
    </xf>
    <xf numFmtId="0" fontId="9" fillId="0" borderId="0" xfId="0" applyFont="1" applyFill="1" applyBorder="1" applyAlignment="1">
      <alignment vertical="top" shrinkToFit="1"/>
    </xf>
    <xf numFmtId="0" fontId="0" fillId="0" borderId="0" xfId="0"/>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0" fillId="3" borderId="0" xfId="0" applyFill="1" applyBorder="1" applyAlignment="1">
      <alignment vertical="top"/>
    </xf>
    <xf numFmtId="0" fontId="0" fillId="5" borderId="0" xfId="0" applyFill="1" applyBorder="1"/>
    <xf numFmtId="0" fontId="1" fillId="5" borderId="0"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1" fillId="5" borderId="1" xfId="0" applyFont="1" applyFill="1" applyBorder="1" applyAlignment="1">
      <alignment horizontal="center"/>
    </xf>
    <xf numFmtId="0" fontId="0" fillId="5" borderId="0" xfId="0" applyFill="1" applyBorder="1" applyAlignment="1">
      <alignment horizontal="center"/>
    </xf>
    <xf numFmtId="0" fontId="0" fillId="0" borderId="0" xfId="0"/>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9" fillId="0" borderId="0" xfId="0" applyFont="1" applyFill="1" applyBorder="1" applyAlignment="1">
      <alignment vertical="top" shrinkToFit="1"/>
    </xf>
    <xf numFmtId="0" fontId="0" fillId="0" borderId="19" xfId="0" applyBorder="1"/>
    <xf numFmtId="0" fontId="0" fillId="0" borderId="20" xfId="0" applyBorder="1"/>
    <xf numFmtId="0" fontId="0" fillId="0" borderId="20" xfId="0" applyFill="1" applyBorder="1"/>
    <xf numFmtId="0" fontId="45" fillId="5" borderId="6" xfId="0" applyFont="1" applyFill="1" applyBorder="1"/>
    <xf numFmtId="175" fontId="0" fillId="5" borderId="0" xfId="0" applyNumberFormat="1" applyFill="1" applyBorder="1" applyAlignment="1">
      <alignment horizontal="right"/>
    </xf>
    <xf numFmtId="175" fontId="0" fillId="5" borderId="0" xfId="0" applyNumberFormat="1" applyFont="1" applyFill="1" applyBorder="1" applyAlignment="1">
      <alignment horizontal="right"/>
    </xf>
    <xf numFmtId="175" fontId="43" fillId="5" borderId="0" xfId="0" applyNumberFormat="1" applyFont="1" applyFill="1" applyBorder="1" applyAlignment="1">
      <alignment horizontal="right"/>
    </xf>
    <xf numFmtId="0" fontId="8" fillId="5" borderId="0" xfId="0" applyFont="1" applyFill="1" applyBorder="1"/>
    <xf numFmtId="0" fontId="43" fillId="0" borderId="0" xfId="0" applyFont="1" applyAlignment="1"/>
    <xf numFmtId="165" fontId="0" fillId="5" borderId="1" xfId="0" applyNumberFormat="1" applyFill="1" applyBorder="1" applyAlignment="1">
      <alignment horizontal="center"/>
    </xf>
    <xf numFmtId="0" fontId="8" fillId="0" borderId="0" xfId="0" applyFont="1" applyBorder="1" applyAlignment="1">
      <alignment vertical="center" shrinkToFit="1"/>
    </xf>
    <xf numFmtId="0" fontId="0" fillId="0" borderId="165" xfId="0" applyBorder="1"/>
    <xf numFmtId="0" fontId="39" fillId="4" borderId="0" xfId="1" applyFill="1"/>
    <xf numFmtId="0" fontId="1" fillId="5" borderId="0" xfId="0" applyFont="1" applyFill="1" applyBorder="1" applyAlignment="1">
      <alignment horizontal="right" vertical="top"/>
    </xf>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5" borderId="0" xfId="0" applyFill="1" applyBorder="1"/>
    <xf numFmtId="0" fontId="1" fillId="5" borderId="0" xfId="0" applyFont="1" applyFill="1" applyBorder="1"/>
    <xf numFmtId="0" fontId="0" fillId="5" borderId="20" xfId="0" applyFill="1" applyBorder="1"/>
    <xf numFmtId="0" fontId="6" fillId="5" borderId="0" xfId="0" applyFont="1" applyFill="1" applyBorder="1"/>
    <xf numFmtId="0" fontId="0" fillId="5" borderId="22" xfId="0" applyFill="1" applyBorder="1"/>
    <xf numFmtId="0" fontId="0" fillId="3" borderId="9" xfId="0" applyFill="1" applyBorder="1"/>
    <xf numFmtId="0" fontId="0" fillId="4" borderId="0" xfId="0" applyFill="1"/>
    <xf numFmtId="0" fontId="0" fillId="5" borderId="0" xfId="0" applyFill="1" applyBorder="1" applyAlignment="1">
      <alignment horizontal="center"/>
    </xf>
    <xf numFmtId="0" fontId="0" fillId="0" borderId="0" xfId="0"/>
    <xf numFmtId="0" fontId="1" fillId="23" borderId="0" xfId="0" applyFont="1" applyFill="1" applyBorder="1"/>
    <xf numFmtId="0" fontId="6" fillId="23" borderId="1" xfId="0" applyFont="1" applyFill="1" applyBorder="1"/>
    <xf numFmtId="0" fontId="6" fillId="4" borderId="0" xfId="0" applyFont="1" applyFill="1"/>
    <xf numFmtId="0" fontId="6" fillId="5" borderId="6" xfId="0" applyFont="1" applyFill="1" applyBorder="1"/>
    <xf numFmtId="0" fontId="6" fillId="5" borderId="7" xfId="0" applyFont="1" applyFill="1" applyBorder="1"/>
    <xf numFmtId="0" fontId="0" fillId="5" borderId="0" xfId="0" applyFill="1" applyBorder="1"/>
    <xf numFmtId="0" fontId="1" fillId="5" borderId="0"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3" borderId="9" xfId="0" applyFill="1" applyBorder="1"/>
    <xf numFmtId="0" fontId="3" fillId="5" borderId="0" xfId="0" applyFont="1" applyFill="1" applyBorder="1"/>
    <xf numFmtId="0" fontId="0" fillId="0" borderId="0" xfId="0"/>
    <xf numFmtId="0" fontId="49" fillId="4" borderId="0" xfId="0" applyFont="1" applyFill="1" applyBorder="1" applyAlignment="1">
      <alignment horizontal="center"/>
    </xf>
    <xf numFmtId="0" fontId="45" fillId="5" borderId="6" xfId="0" applyFont="1" applyFill="1" applyBorder="1" applyAlignment="1">
      <alignment horizontal="left"/>
    </xf>
    <xf numFmtId="0" fontId="45" fillId="5" borderId="1" xfId="0" applyFont="1" applyFill="1" applyBorder="1"/>
    <xf numFmtId="0" fontId="0" fillId="4" borderId="9" xfId="0" applyFill="1" applyBorder="1"/>
    <xf numFmtId="0" fontId="0" fillId="4" borderId="0" xfId="0" applyFill="1"/>
    <xf numFmtId="0" fontId="1" fillId="5" borderId="0" xfId="0" applyFont="1" applyFill="1" applyBorder="1" applyAlignment="1">
      <alignment horizontal="center"/>
    </xf>
    <xf numFmtId="0" fontId="0" fillId="5" borderId="0" xfId="0" applyFont="1" applyFill="1" applyBorder="1"/>
    <xf numFmtId="179" fontId="0" fillId="5" borderId="0" xfId="0" applyNumberFormat="1" applyFill="1" applyBorder="1" applyAlignment="1">
      <alignment horizontal="left"/>
    </xf>
    <xf numFmtId="0" fontId="45" fillId="5" borderId="0" xfId="0" applyNumberFormat="1" applyFont="1" applyFill="1" applyBorder="1" applyAlignment="1">
      <alignment horizontal="center"/>
    </xf>
    <xf numFmtId="0" fontId="45" fillId="5" borderId="0" xfId="0" applyFont="1" applyFill="1" applyBorder="1"/>
    <xf numFmtId="173" fontId="45" fillId="5" borderId="0" xfId="0" applyNumberFormat="1" applyFont="1" applyFill="1" applyBorder="1" applyAlignment="1">
      <alignment horizontal="center"/>
    </xf>
    <xf numFmtId="0" fontId="45" fillId="5" borderId="0" xfId="0" applyFont="1" applyFill="1" applyBorder="1" applyAlignment="1">
      <alignment horizontal="center"/>
    </xf>
    <xf numFmtId="171" fontId="45" fillId="5" borderId="0" xfId="0" applyNumberFormat="1" applyFont="1" applyFill="1" applyBorder="1" applyAlignment="1">
      <alignment horizontal="center"/>
    </xf>
    <xf numFmtId="0" fontId="3" fillId="5" borderId="7" xfId="0" applyFont="1" applyFill="1" applyBorder="1"/>
    <xf numFmtId="0" fontId="3" fillId="5" borderId="0" xfId="0" applyFont="1" applyFill="1"/>
    <xf numFmtId="0" fontId="0" fillId="5" borderId="0" xfId="0" applyFill="1" applyBorder="1"/>
    <xf numFmtId="0" fontId="1" fillId="5" borderId="0"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1" fillId="5" borderId="1" xfId="0" applyFont="1" applyFill="1" applyBorder="1" applyAlignment="1">
      <alignment horizontal="center"/>
    </xf>
    <xf numFmtId="0" fontId="0" fillId="5" borderId="0" xfId="0" applyFill="1" applyBorder="1" applyAlignment="1">
      <alignment horizontal="center"/>
    </xf>
    <xf numFmtId="0" fontId="3" fillId="5" borderId="0" xfId="0" applyFont="1" applyFill="1" applyBorder="1"/>
    <xf numFmtId="0" fontId="0" fillId="3" borderId="9" xfId="0" applyFill="1" applyBorder="1" applyAlignment="1">
      <alignment horizontal="center"/>
    </xf>
    <xf numFmtId="0" fontId="1" fillId="5" borderId="7" xfId="0" applyFont="1" applyFill="1" applyBorder="1"/>
    <xf numFmtId="0" fontId="1" fillId="5" borderId="6" xfId="0" applyFont="1" applyFill="1" applyBorder="1"/>
    <xf numFmtId="0" fontId="1" fillId="5" borderId="1" xfId="0" applyFont="1" applyFill="1" applyBorder="1"/>
    <xf numFmtId="0" fontId="0" fillId="5" borderId="0" xfId="0" applyFill="1" applyBorder="1"/>
    <xf numFmtId="0" fontId="0" fillId="5" borderId="20" xfId="0" applyFill="1" applyBorder="1"/>
    <xf numFmtId="0" fontId="6" fillId="5" borderId="1" xfId="0" applyFont="1" applyFill="1" applyBorder="1"/>
    <xf numFmtId="0" fontId="3" fillId="4" borderId="0" xfId="0" applyFont="1" applyFill="1"/>
    <xf numFmtId="0" fontId="3" fillId="4" borderId="0" xfId="0" applyFont="1" applyFill="1" applyBorder="1"/>
    <xf numFmtId="0" fontId="50" fillId="5" borderId="0" xfId="0" applyFont="1" applyFill="1" applyBorder="1"/>
    <xf numFmtId="0" fontId="3" fillId="5" borderId="21" xfId="0" applyFont="1" applyFill="1" applyBorder="1"/>
    <xf numFmtId="0" fontId="3" fillId="5" borderId="22" xfId="0" applyFont="1" applyFill="1" applyBorder="1"/>
    <xf numFmtId="0" fontId="3" fillId="3" borderId="9" xfId="0" applyFont="1" applyFill="1" applyBorder="1"/>
    <xf numFmtId="0" fontId="0" fillId="5" borderId="189" xfId="0" applyFill="1" applyBorder="1" applyAlignment="1">
      <alignment horizontal="center"/>
    </xf>
    <xf numFmtId="0" fontId="0" fillId="5" borderId="166" xfId="0" applyFill="1" applyBorder="1" applyAlignment="1">
      <alignment horizontal="center"/>
    </xf>
    <xf numFmtId="0" fontId="0" fillId="5" borderId="190" xfId="0" applyFill="1" applyBorder="1" applyAlignment="1">
      <alignment horizontal="center"/>
    </xf>
    <xf numFmtId="0" fontId="39" fillId="3" borderId="191" xfId="0" applyFont="1" applyFill="1" applyBorder="1" applyAlignment="1">
      <alignment horizontal="center"/>
    </xf>
    <xf numFmtId="0" fontId="0" fillId="5" borderId="170" xfId="0" applyFill="1" applyBorder="1"/>
    <xf numFmtId="0" fontId="45" fillId="5" borderId="6" xfId="0" applyFont="1" applyFill="1" applyBorder="1" applyAlignment="1">
      <alignment horizontal="center"/>
    </xf>
    <xf numFmtId="0" fontId="45" fillId="5" borderId="7" xfId="0" applyFont="1" applyFill="1" applyBorder="1"/>
    <xf numFmtId="0" fontId="0" fillId="5" borderId="0" xfId="0" applyFill="1" applyBorder="1"/>
    <xf numFmtId="0" fontId="0" fillId="5" borderId="20" xfId="0" applyFill="1" applyBorder="1"/>
    <xf numFmtId="0" fontId="1" fillId="5" borderId="0" xfId="0" applyFont="1" applyFill="1" applyBorder="1"/>
    <xf numFmtId="0" fontId="0" fillId="4" borderId="0" xfId="0" applyFill="1"/>
    <xf numFmtId="0" fontId="0" fillId="5" borderId="22" xfId="0" applyFill="1" applyBorder="1"/>
    <xf numFmtId="0" fontId="6" fillId="5" borderId="1" xfId="0" applyFont="1" applyFill="1" applyBorder="1"/>
    <xf numFmtId="0" fontId="0" fillId="0" borderId="0" xfId="0"/>
    <xf numFmtId="0" fontId="0" fillId="0" borderId="0" xfId="0" quotePrefix="1" applyBorder="1"/>
    <xf numFmtId="165" fontId="0" fillId="3" borderId="9" xfId="0" applyNumberFormat="1" applyFill="1" applyBorder="1" applyAlignment="1">
      <alignment horizontal="center"/>
    </xf>
    <xf numFmtId="165" fontId="0" fillId="5" borderId="20" xfId="0" applyNumberFormat="1" applyFill="1" applyBorder="1" applyAlignment="1">
      <alignment horizontal="center"/>
    </xf>
    <xf numFmtId="165" fontId="0" fillId="5" borderId="22" xfId="0" applyNumberFormat="1" applyFill="1" applyBorder="1" applyAlignment="1">
      <alignment horizontal="center"/>
    </xf>
    <xf numFmtId="0" fontId="51" fillId="4" borderId="0" xfId="0" applyFont="1" applyFill="1"/>
    <xf numFmtId="0" fontId="0" fillId="0" borderId="0" xfId="0"/>
    <xf numFmtId="173" fontId="0" fillId="5" borderId="0" xfId="0" applyNumberFormat="1" applyFill="1" applyBorder="1"/>
    <xf numFmtId="0" fontId="43" fillId="5" borderId="6" xfId="0" applyFont="1" applyFill="1" applyBorder="1"/>
    <xf numFmtId="0" fontId="43" fillId="5" borderId="0" xfId="0" applyFont="1" applyFill="1"/>
    <xf numFmtId="0" fontId="43" fillId="5" borderId="7" xfId="0" applyFont="1" applyFill="1" applyBorder="1"/>
    <xf numFmtId="0" fontId="43" fillId="4" borderId="0" xfId="0" applyFont="1" applyFill="1"/>
    <xf numFmtId="0" fontId="43" fillId="5" borderId="1" xfId="0" applyFont="1" applyFill="1" applyBorder="1"/>
    <xf numFmtId="0" fontId="43" fillId="5" borderId="1" xfId="0" applyFont="1" applyFill="1" applyBorder="1" applyAlignment="1">
      <alignment horizontal="center"/>
    </xf>
    <xf numFmtId="173" fontId="43" fillId="5" borderId="1" xfId="0" applyNumberFormat="1" applyFont="1" applyFill="1" applyBorder="1"/>
    <xf numFmtId="0" fontId="3" fillId="5" borderId="0" xfId="0" applyFont="1" applyFill="1" applyAlignment="1">
      <alignment horizontal="left"/>
    </xf>
    <xf numFmtId="0" fontId="0" fillId="5" borderId="0" xfId="0" applyFill="1" applyBorder="1"/>
    <xf numFmtId="0" fontId="0" fillId="4" borderId="0" xfId="0" applyFill="1"/>
    <xf numFmtId="0" fontId="3" fillId="5" borderId="0" xfId="0" applyFont="1" applyFill="1" applyBorder="1"/>
    <xf numFmtId="0" fontId="0" fillId="5" borderId="0" xfId="0" applyFill="1" applyBorder="1"/>
    <xf numFmtId="0" fontId="0" fillId="5" borderId="0" xfId="0" applyFill="1" applyBorder="1" applyAlignment="1">
      <alignment horizontal="left"/>
    </xf>
    <xf numFmtId="0" fontId="0" fillId="5" borderId="20" xfId="0" applyFill="1" applyBorder="1"/>
    <xf numFmtId="0" fontId="1" fillId="5" borderId="0" xfId="0" applyFont="1" applyFill="1" applyBorder="1"/>
    <xf numFmtId="0" fontId="1" fillId="5" borderId="1" xfId="0" applyFont="1" applyFill="1" applyBorder="1"/>
    <xf numFmtId="0" fontId="0" fillId="4" borderId="0" xfId="0" applyFill="1"/>
    <xf numFmtId="0" fontId="9" fillId="0" borderId="0" xfId="0" applyFont="1" applyFill="1" applyBorder="1" applyAlignment="1">
      <alignment vertical="top" shrinkToFit="1"/>
    </xf>
    <xf numFmtId="0" fontId="0" fillId="0" borderId="0" xfId="0"/>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0" fillId="5" borderId="0" xfId="0" applyFill="1" applyBorder="1" applyAlignment="1">
      <alignment horizontal="center"/>
    </xf>
    <xf numFmtId="0" fontId="0" fillId="3" borderId="9" xfId="0" applyFill="1" applyBorder="1" applyAlignment="1">
      <alignment horizontal="left"/>
    </xf>
    <xf numFmtId="0" fontId="0" fillId="5" borderId="0" xfId="0" applyFill="1" applyBorder="1"/>
    <xf numFmtId="0" fontId="0" fillId="3" borderId="9" xfId="0" applyFill="1" applyBorder="1"/>
    <xf numFmtId="0" fontId="0" fillId="5" borderId="20" xfId="0" applyFill="1" applyBorder="1"/>
    <xf numFmtId="0" fontId="6" fillId="5" borderId="0" xfId="0" applyFont="1" applyFill="1" applyBorder="1"/>
    <xf numFmtId="0" fontId="1" fillId="5" borderId="0" xfId="0" applyFont="1" applyFill="1" applyBorder="1"/>
    <xf numFmtId="0" fontId="0" fillId="4" borderId="0" xfId="0" applyFill="1"/>
    <xf numFmtId="0" fontId="0" fillId="5" borderId="22" xfId="0" applyFill="1" applyBorder="1"/>
    <xf numFmtId="0" fontId="1" fillId="5" borderId="1" xfId="0" applyFont="1" applyFill="1" applyBorder="1"/>
    <xf numFmtId="0" fontId="0" fillId="0" borderId="0" xfId="0"/>
    <xf numFmtId="0" fontId="0" fillId="5" borderId="0" xfId="0" applyFill="1" applyBorder="1" applyAlignment="1">
      <alignment horizontal="center"/>
    </xf>
    <xf numFmtId="0" fontId="40" fillId="5" borderId="0" xfId="0" applyFont="1" applyFill="1"/>
    <xf numFmtId="0" fontId="40" fillId="5" borderId="0" xfId="0" applyFont="1" applyFill="1" applyBorder="1" applyAlignment="1">
      <alignment horizontal="left"/>
    </xf>
    <xf numFmtId="0" fontId="40" fillId="5" borderId="187" xfId="0" applyFont="1" applyFill="1" applyBorder="1" applyAlignment="1">
      <alignment horizontal="center"/>
    </xf>
    <xf numFmtId="0" fontId="40" fillId="5" borderId="0" xfId="0" quotePrefix="1" applyFont="1" applyFill="1" applyBorder="1" applyAlignment="1">
      <alignment horizontal="center"/>
    </xf>
    <xf numFmtId="0" fontId="52" fillId="5" borderId="0" xfId="0" applyFont="1" applyFill="1" applyBorder="1"/>
    <xf numFmtId="0" fontId="40" fillId="5" borderId="170" xfId="0" applyFont="1" applyFill="1" applyBorder="1"/>
    <xf numFmtId="0" fontId="8" fillId="26" borderId="94" xfId="0" applyFont="1" applyFill="1" applyBorder="1" applyAlignment="1"/>
    <xf numFmtId="0" fontId="8" fillId="26" borderId="49" xfId="0" applyFont="1" applyFill="1" applyBorder="1" applyAlignment="1"/>
    <xf numFmtId="0" fontId="1" fillId="4" borderId="187" xfId="0" applyFont="1" applyFill="1" applyBorder="1"/>
    <xf numFmtId="0" fontId="1" fillId="5" borderId="196" xfId="0" applyFont="1" applyFill="1" applyBorder="1"/>
    <xf numFmtId="0" fontId="6" fillId="5" borderId="187" xfId="0" applyFont="1" applyFill="1" applyBorder="1"/>
    <xf numFmtId="0" fontId="1" fillId="5" borderId="187" xfId="0" applyFont="1" applyFill="1" applyBorder="1"/>
    <xf numFmtId="0" fontId="1" fillId="5" borderId="194" xfId="0" applyFont="1" applyFill="1" applyBorder="1"/>
    <xf numFmtId="0" fontId="0" fillId="5" borderId="187" xfId="0" applyFont="1" applyFill="1" applyBorder="1"/>
    <xf numFmtId="0" fontId="0" fillId="5" borderId="187" xfId="0" applyFill="1" applyBorder="1"/>
    <xf numFmtId="0" fontId="52" fillId="5" borderId="187" xfId="0" applyFont="1" applyFill="1" applyBorder="1"/>
    <xf numFmtId="0" fontId="52" fillId="5" borderId="1" xfId="0" applyFont="1" applyFill="1" applyBorder="1"/>
    <xf numFmtId="0" fontId="0" fillId="0" borderId="1" xfId="0" applyBorder="1" applyAlignment="1">
      <alignment horizontal="center"/>
    </xf>
    <xf numFmtId="0" fontId="0" fillId="0" borderId="198" xfId="0" applyBorder="1"/>
    <xf numFmtId="0" fontId="0" fillId="0" borderId="0" xfId="0" quotePrefix="1" applyBorder="1" applyAlignment="1">
      <alignment horizontal="center"/>
    </xf>
    <xf numFmtId="0" fontId="0" fillId="0" borderId="0" xfId="0" applyBorder="1" applyAlignment="1">
      <alignment horizontal="left"/>
    </xf>
    <xf numFmtId="0" fontId="1" fillId="5" borderId="22" xfId="0" applyFont="1" applyFill="1" applyBorder="1" applyAlignment="1">
      <alignment horizontal="center" textRotation="90"/>
    </xf>
    <xf numFmtId="0" fontId="0" fillId="5" borderId="0" xfId="0" applyFill="1" applyBorder="1"/>
    <xf numFmtId="0" fontId="1" fillId="5" borderId="0" xfId="0" applyFont="1" applyFill="1" applyBorder="1"/>
    <xf numFmtId="0" fontId="0" fillId="3" borderId="9" xfId="0" applyFill="1" applyBorder="1" applyAlignment="1">
      <alignment horizontal="center"/>
    </xf>
    <xf numFmtId="0" fontId="0" fillId="4" borderId="0" xfId="0" applyFill="1"/>
    <xf numFmtId="0" fontId="0" fillId="0" borderId="0" xfId="0"/>
    <xf numFmtId="0" fontId="39" fillId="4" borderId="0" xfId="1" applyFill="1" applyAlignment="1">
      <alignment horizontal="center"/>
    </xf>
    <xf numFmtId="0" fontId="1" fillId="5" borderId="0" xfId="0" applyFont="1" applyFill="1" applyBorder="1" applyAlignment="1">
      <alignment horizontal="center" wrapText="1"/>
    </xf>
    <xf numFmtId="0" fontId="1" fillId="5" borderId="1" xfId="0" applyFont="1" applyFill="1" applyBorder="1" applyAlignment="1">
      <alignment horizontal="center" wrapText="1"/>
    </xf>
    <xf numFmtId="0" fontId="0" fillId="5" borderId="0" xfId="0" applyFill="1" applyBorder="1"/>
    <xf numFmtId="0" fontId="0" fillId="5" borderId="20" xfId="0" applyFill="1" applyBorder="1"/>
    <xf numFmtId="0" fontId="6" fillId="5" borderId="0" xfId="0" applyFont="1" applyFill="1" applyBorder="1"/>
    <xf numFmtId="0" fontId="1" fillId="5" borderId="0" xfId="0" applyFont="1" applyFill="1" applyBorder="1"/>
    <xf numFmtId="0" fontId="1" fillId="5" borderId="1" xfId="0" applyFont="1" applyFill="1" applyBorder="1"/>
    <xf numFmtId="0" fontId="0" fillId="4" borderId="0" xfId="0" applyFill="1"/>
    <xf numFmtId="0" fontId="1" fillId="5" borderId="1" xfId="0" applyFont="1" applyFill="1" applyBorder="1" applyAlignment="1">
      <alignment horizontal="center"/>
    </xf>
    <xf numFmtId="0" fontId="0" fillId="5" borderId="22" xfId="0" applyFill="1" applyBorder="1"/>
    <xf numFmtId="0" fontId="0" fillId="3" borderId="9" xfId="0" applyFill="1" applyBorder="1" applyAlignment="1">
      <alignment horizontal="center"/>
    </xf>
    <xf numFmtId="0" fontId="0" fillId="0" borderId="0" xfId="0"/>
    <xf numFmtId="0" fontId="11" fillId="0" borderId="0" xfId="0" applyFont="1" applyFill="1" applyBorder="1" applyAlignment="1">
      <alignment horizontal="left" vertical="center" shrinkToFit="1"/>
    </xf>
    <xf numFmtId="0" fontId="8" fillId="0" borderId="0" xfId="0" applyFont="1" applyFill="1" applyBorder="1" applyAlignment="1">
      <alignment horizontal="center" vertical="center" shrinkToFit="1"/>
    </xf>
    <xf numFmtId="0" fontId="0" fillId="5" borderId="0" xfId="0" applyFill="1" applyBorder="1" applyAlignment="1">
      <alignment horizontal="center"/>
    </xf>
    <xf numFmtId="0" fontId="1" fillId="5" borderId="0" xfId="0" applyFont="1" applyFill="1" applyBorder="1" applyAlignment="1">
      <alignment horizontal="center"/>
    </xf>
    <xf numFmtId="0" fontId="0" fillId="4" borderId="0" xfId="0" applyFill="1"/>
    <xf numFmtId="0" fontId="0" fillId="5" borderId="0" xfId="0" applyFill="1" applyBorder="1" applyAlignment="1">
      <alignment horizontal="center"/>
    </xf>
    <xf numFmtId="165" fontId="0" fillId="5" borderId="0" xfId="0" applyNumberFormat="1" applyFill="1" applyAlignment="1">
      <alignment horizontal="center"/>
    </xf>
    <xf numFmtId="165" fontId="0" fillId="5" borderId="0" xfId="0" applyNumberFormat="1" applyFont="1" applyFill="1" applyBorder="1" applyAlignment="1">
      <alignment horizontal="center"/>
    </xf>
    <xf numFmtId="165" fontId="0" fillId="5" borderId="1" xfId="0" applyNumberFormat="1" applyFont="1" applyFill="1" applyBorder="1" applyAlignment="1">
      <alignment horizontal="center"/>
    </xf>
    <xf numFmtId="0" fontId="0" fillId="3" borderId="0" xfId="0" applyFill="1" applyBorder="1" applyAlignment="1"/>
    <xf numFmtId="0" fontId="57" fillId="5" borderId="6" xfId="0" applyFont="1" applyFill="1" applyBorder="1"/>
    <xf numFmtId="0" fontId="56" fillId="5" borderId="0" xfId="0" applyNumberFormat="1" applyFont="1" applyFill="1" applyBorder="1" applyAlignment="1">
      <alignment horizontal="center"/>
    </xf>
    <xf numFmtId="180" fontId="0" fillId="5" borderId="0" xfId="0" applyNumberFormat="1" applyFill="1" applyBorder="1" applyAlignment="1">
      <alignment horizontal="center"/>
    </xf>
    <xf numFmtId="182" fontId="0" fillId="5" borderId="0" xfId="0" applyNumberFormat="1" applyFill="1" applyBorder="1" applyAlignment="1">
      <alignment horizontal="center"/>
    </xf>
    <xf numFmtId="181" fontId="0" fillId="5" borderId="0" xfId="0" applyNumberFormat="1" applyFill="1" applyBorder="1" applyAlignment="1">
      <alignment horizontal="center"/>
    </xf>
    <xf numFmtId="0" fontId="39" fillId="5" borderId="187" xfId="0" applyFont="1" applyFill="1" applyBorder="1" applyAlignment="1">
      <alignment horizontal="center"/>
    </xf>
    <xf numFmtId="0" fontId="0" fillId="0" borderId="0" xfId="0" applyAlignment="1">
      <alignment shrinkToFit="1"/>
    </xf>
    <xf numFmtId="0" fontId="0" fillId="0" borderId="0" xfId="0" applyAlignment="1">
      <alignment horizontal="left" shrinkToFit="1"/>
    </xf>
    <xf numFmtId="0" fontId="0" fillId="4" borderId="0" xfId="0" quotePrefix="1" applyFill="1" applyBorder="1" applyAlignment="1">
      <alignment horizontal="center"/>
    </xf>
    <xf numFmtId="0" fontId="58" fillId="23" borderId="0" xfId="0" applyFont="1" applyFill="1" applyBorder="1"/>
    <xf numFmtId="0" fontId="0" fillId="5" borderId="0" xfId="0" applyFill="1" applyBorder="1" applyAlignment="1">
      <alignment horizontal="center" textRotation="90"/>
    </xf>
    <xf numFmtId="0" fontId="0" fillId="5" borderId="0" xfId="0" applyFill="1" applyBorder="1"/>
    <xf numFmtId="0" fontId="0" fillId="4" borderId="0" xfId="0" applyFill="1"/>
    <xf numFmtId="0" fontId="0" fillId="5" borderId="9" xfId="0" applyFill="1" applyBorder="1" applyAlignment="1">
      <alignment horizontal="center"/>
    </xf>
    <xf numFmtId="0" fontId="0" fillId="5" borderId="0" xfId="0" applyFill="1" applyBorder="1" applyAlignment="1">
      <alignment horizontal="center"/>
    </xf>
    <xf numFmtId="0" fontId="1" fillId="5" borderId="0" xfId="0" applyFont="1" applyFill="1" applyBorder="1" applyAlignment="1">
      <alignment horizontal="center"/>
    </xf>
    <xf numFmtId="0" fontId="0" fillId="5" borderId="0" xfId="0" applyFill="1" applyBorder="1"/>
    <xf numFmtId="0" fontId="0" fillId="5" borderId="0" xfId="0" applyFill="1" applyBorder="1" applyAlignment="1">
      <alignment horizontal="left"/>
    </xf>
    <xf numFmtId="0" fontId="0" fillId="3" borderId="9" xfId="0" applyFill="1" applyBorder="1"/>
    <xf numFmtId="0" fontId="0" fillId="5" borderId="20" xfId="0" applyFill="1" applyBorder="1"/>
    <xf numFmtId="0" fontId="1" fillId="5" borderId="0" xfId="0" applyFont="1" applyFill="1" applyBorder="1"/>
    <xf numFmtId="0" fontId="0" fillId="4" borderId="0" xfId="0" applyFill="1"/>
    <xf numFmtId="0" fontId="0" fillId="5" borderId="22" xfId="0" applyFill="1" applyBorder="1"/>
    <xf numFmtId="0" fontId="6" fillId="5" borderId="1" xfId="0" applyFont="1" applyFill="1" applyBorder="1"/>
    <xf numFmtId="0" fontId="3" fillId="3" borderId="9" xfId="0" applyFont="1" applyFill="1" applyBorder="1" applyAlignment="1">
      <alignment horizontal="center"/>
    </xf>
    <xf numFmtId="0" fontId="0" fillId="3" borderId="9" xfId="0" applyFill="1" applyBorder="1" applyAlignment="1">
      <alignment horizontal="center"/>
    </xf>
    <xf numFmtId="0" fontId="0" fillId="0" borderId="0" xfId="0"/>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9" fillId="0" borderId="0" xfId="0" applyFont="1" applyFill="1" applyBorder="1" applyAlignment="1">
      <alignment vertical="top" shrinkToFit="1"/>
    </xf>
    <xf numFmtId="0" fontId="0" fillId="5" borderId="0" xfId="0" applyFill="1" applyBorder="1" applyAlignment="1">
      <alignment horizontal="center"/>
    </xf>
    <xf numFmtId="0" fontId="1" fillId="4" borderId="0" xfId="0" applyFont="1" applyFill="1" applyAlignment="1">
      <alignment vertical="top"/>
    </xf>
    <xf numFmtId="0" fontId="0" fillId="4" borderId="0" xfId="0" applyFont="1" applyFill="1" applyAlignment="1">
      <alignment horizontal="center" vertical="top"/>
    </xf>
    <xf numFmtId="0" fontId="1" fillId="5" borderId="20" xfId="0" applyFont="1" applyFill="1" applyBorder="1" applyAlignment="1">
      <alignment vertical="top"/>
    </xf>
    <xf numFmtId="0" fontId="0" fillId="4" borderId="0" xfId="0" applyFont="1" applyFill="1" applyAlignment="1">
      <alignment horizontal="center" vertical="top" textRotation="90"/>
    </xf>
    <xf numFmtId="0" fontId="1" fillId="4" borderId="0" xfId="0" applyFont="1" applyFill="1" applyAlignment="1">
      <alignment vertical="top" textRotation="90"/>
    </xf>
    <xf numFmtId="0" fontId="1" fillId="5" borderId="0" xfId="0" applyFont="1" applyFill="1" applyBorder="1" applyAlignment="1">
      <alignment vertical="top"/>
    </xf>
    <xf numFmtId="0" fontId="1" fillId="4" borderId="0" xfId="0" applyFont="1" applyFill="1" applyAlignment="1">
      <alignment horizontal="center" vertical="top"/>
    </xf>
    <xf numFmtId="0" fontId="1" fillId="5" borderId="24" xfId="0" applyFont="1" applyFill="1" applyBorder="1" applyAlignment="1">
      <alignment vertical="top"/>
    </xf>
    <xf numFmtId="0" fontId="0" fillId="5" borderId="24" xfId="0" applyFill="1" applyBorder="1" applyAlignment="1">
      <alignment vertical="top"/>
    </xf>
    <xf numFmtId="0" fontId="0" fillId="5" borderId="24" xfId="0" applyFill="1" applyBorder="1" applyAlignment="1">
      <alignment horizontal="center" vertical="top"/>
    </xf>
    <xf numFmtId="1" fontId="0" fillId="4" borderId="0" xfId="0" applyNumberFormat="1" applyFont="1" applyFill="1" applyAlignment="1">
      <alignment horizontal="center" vertical="top"/>
    </xf>
    <xf numFmtId="164" fontId="0" fillId="4" borderId="0" xfId="0" applyNumberForma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0" fontId="0" fillId="3" borderId="1" xfId="0" applyFill="1" applyBorder="1" applyAlignment="1">
      <alignment horizontal="center" vertical="top"/>
    </xf>
    <xf numFmtId="0" fontId="1" fillId="5" borderId="22" xfId="0" applyFont="1" applyFill="1" applyBorder="1" applyAlignment="1">
      <alignment vertical="top"/>
    </xf>
    <xf numFmtId="0" fontId="0" fillId="5" borderId="11" xfId="0" applyFill="1" applyBorder="1" applyAlignment="1">
      <alignment horizontal="center"/>
    </xf>
    <xf numFmtId="0" fontId="0" fillId="5" borderId="12" xfId="0" applyFill="1" applyBorder="1" applyAlignment="1">
      <alignment horizontal="center"/>
    </xf>
    <xf numFmtId="0" fontId="0" fillId="5" borderId="157" xfId="0" applyFill="1" applyBorder="1" applyAlignment="1">
      <alignment horizontal="center"/>
    </xf>
    <xf numFmtId="0" fontId="0" fillId="4" borderId="0" xfId="0" quotePrefix="1" applyFill="1" applyAlignment="1">
      <alignment horizontal="center" vertical="top"/>
    </xf>
    <xf numFmtId="0" fontId="0" fillId="0" borderId="203" xfId="0" applyFill="1" applyBorder="1"/>
    <xf numFmtId="0" fontId="0" fillId="0" borderId="203" xfId="0" applyBorder="1"/>
    <xf numFmtId="0" fontId="8" fillId="0" borderId="33" xfId="0" applyFont="1" applyFill="1" applyBorder="1" applyAlignment="1">
      <alignment vertical="top" shrinkToFit="1"/>
    </xf>
    <xf numFmtId="0" fontId="0" fillId="4" borderId="0" xfId="0" applyFill="1"/>
    <xf numFmtId="0" fontId="0" fillId="5" borderId="0" xfId="0" applyFont="1" applyFill="1" applyBorder="1" applyAlignment="1">
      <alignment horizontal="center"/>
    </xf>
    <xf numFmtId="0" fontId="3" fillId="5" borderId="187" xfId="0" applyFont="1" applyFill="1" applyBorder="1" applyAlignment="1">
      <alignment horizontal="center"/>
    </xf>
    <xf numFmtId="0" fontId="40" fillId="0" borderId="0" xfId="0" applyFont="1"/>
    <xf numFmtId="0" fontId="0" fillId="0" borderId="204" xfId="0" applyBorder="1"/>
    <xf numFmtId="0" fontId="1" fillId="5" borderId="1" xfId="0" applyFont="1" applyFill="1" applyBorder="1" applyAlignment="1">
      <alignment horizontal="right"/>
    </xf>
    <xf numFmtId="0" fontId="0" fillId="5" borderId="1" xfId="0" applyFont="1" applyFill="1" applyBorder="1" applyAlignment="1">
      <alignment horizontal="center"/>
    </xf>
    <xf numFmtId="0" fontId="60" fillId="4" borderId="0" xfId="0" applyFont="1" applyFill="1"/>
    <xf numFmtId="0" fontId="0" fillId="5" borderId="0" xfId="0" applyFont="1" applyFill="1"/>
    <xf numFmtId="0" fontId="0" fillId="5" borderId="0" xfId="0" applyFill="1" applyBorder="1"/>
    <xf numFmtId="0" fontId="0" fillId="5" borderId="20" xfId="0" applyFill="1" applyBorder="1"/>
    <xf numFmtId="0" fontId="0" fillId="4" borderId="0" xfId="0" applyFill="1"/>
    <xf numFmtId="0" fontId="0" fillId="5" borderId="22" xfId="0" applyFill="1" applyBorder="1"/>
    <xf numFmtId="0" fontId="1" fillId="5" borderId="1" xfId="0" applyFont="1" applyFill="1" applyBorder="1" applyAlignment="1">
      <alignment horizontal="center"/>
    </xf>
    <xf numFmtId="0" fontId="0" fillId="0" borderId="0" xfId="0"/>
    <xf numFmtId="0" fontId="0" fillId="0" borderId="1" xfId="0" applyFont="1" applyBorder="1"/>
    <xf numFmtId="0" fontId="0" fillId="0" borderId="0" xfId="0" applyFont="1"/>
    <xf numFmtId="0" fontId="0" fillId="0" borderId="0" xfId="0" applyFont="1" applyFill="1" applyBorder="1"/>
    <xf numFmtId="0" fontId="0" fillId="4" borderId="0" xfId="0" applyFill="1"/>
    <xf numFmtId="0" fontId="3" fillId="3" borderId="9" xfId="0" applyFont="1" applyFill="1" applyBorder="1" applyAlignment="1">
      <alignment horizontal="center"/>
    </xf>
    <xf numFmtId="0" fontId="0" fillId="0" borderId="0" xfId="0"/>
    <xf numFmtId="0" fontId="0" fillId="5" borderId="0" xfId="0" applyFill="1" applyBorder="1"/>
    <xf numFmtId="0" fontId="0" fillId="4" borderId="0" xfId="0" applyFill="1"/>
    <xf numFmtId="0" fontId="0" fillId="3" borderId="9" xfId="0" applyFill="1" applyBorder="1" applyAlignment="1">
      <alignment horizontal="center"/>
    </xf>
    <xf numFmtId="0" fontId="0" fillId="0" borderId="0" xfId="0"/>
    <xf numFmtId="0" fontId="0" fillId="5" borderId="0" xfId="0" applyFill="1" applyBorder="1" applyAlignment="1">
      <alignment horizontal="center"/>
    </xf>
    <xf numFmtId="0" fontId="3" fillId="5" borderId="0" xfId="0" applyFont="1" applyFill="1" applyBorder="1"/>
    <xf numFmtId="0" fontId="0" fillId="0" borderId="1" xfId="0" applyBorder="1" applyAlignment="1"/>
    <xf numFmtId="0" fontId="0" fillId="0" borderId="0" xfId="0" applyAlignment="1">
      <alignment vertical="center"/>
    </xf>
    <xf numFmtId="0" fontId="0" fillId="0" borderId="30" xfId="0" applyBorder="1" applyAlignment="1">
      <alignment vertical="center"/>
    </xf>
    <xf numFmtId="0" fontId="0" fillId="0" borderId="30" xfId="0" applyBorder="1" applyAlignment="1"/>
    <xf numFmtId="0" fontId="62" fillId="0" borderId="0" xfId="0" applyFont="1"/>
    <xf numFmtId="0" fontId="62" fillId="0" borderId="0" xfId="0" applyFont="1" applyAlignment="1">
      <alignment shrinkToFit="1"/>
    </xf>
    <xf numFmtId="0" fontId="62" fillId="0" borderId="33" xfId="0" applyFont="1" applyBorder="1" applyAlignment="1">
      <alignment shrinkToFit="1"/>
    </xf>
    <xf numFmtId="0" fontId="62" fillId="0" borderId="0" xfId="0" applyFont="1" applyBorder="1" applyAlignment="1">
      <alignment shrinkToFit="1"/>
    </xf>
    <xf numFmtId="0" fontId="62" fillId="0" borderId="0" xfId="0" applyFont="1" applyFill="1" applyBorder="1" applyAlignment="1">
      <alignment vertical="center" shrinkToFit="1"/>
    </xf>
    <xf numFmtId="0" fontId="40" fillId="0" borderId="29" xfId="0" applyFont="1" applyBorder="1" applyAlignment="1">
      <alignment vertical="center"/>
    </xf>
    <xf numFmtId="0" fontId="40" fillId="0" borderId="29" xfId="0" applyFont="1" applyBorder="1" applyAlignment="1"/>
    <xf numFmtId="0" fontId="40" fillId="0" borderId="0" xfId="0" applyFont="1" applyBorder="1"/>
    <xf numFmtId="0" fontId="62" fillId="0" borderId="29" xfId="0" applyFont="1" applyFill="1" applyBorder="1" applyAlignment="1">
      <alignment horizontal="center" shrinkToFit="1"/>
    </xf>
    <xf numFmtId="0" fontId="40" fillId="0" borderId="204" xfId="0" applyFont="1" applyBorder="1"/>
    <xf numFmtId="0" fontId="0" fillId="4" borderId="0" xfId="0" applyFill="1"/>
    <xf numFmtId="0" fontId="45" fillId="4" borderId="0" xfId="0" applyFont="1" applyFill="1"/>
    <xf numFmtId="0" fontId="42" fillId="5" borderId="1" xfId="0" applyFont="1" applyFill="1" applyBorder="1"/>
    <xf numFmtId="0" fontId="45" fillId="5" borderId="19" xfId="0" applyFont="1" applyFill="1" applyBorder="1"/>
    <xf numFmtId="0" fontId="45" fillId="5" borderId="20" xfId="0" applyFont="1" applyFill="1" applyBorder="1"/>
    <xf numFmtId="0" fontId="45" fillId="5" borderId="5" xfId="0" applyFont="1" applyFill="1" applyBorder="1"/>
    <xf numFmtId="0" fontId="3" fillId="3" borderId="0" xfId="0" applyFont="1" applyFill="1" applyBorder="1"/>
    <xf numFmtId="0" fontId="45" fillId="5" borderId="21" xfId="0" applyFont="1" applyFill="1" applyBorder="1"/>
    <xf numFmtId="0" fontId="45" fillId="5" borderId="8" xfId="0" applyFont="1" applyFill="1" applyBorder="1"/>
    <xf numFmtId="0" fontId="8" fillId="0" borderId="0" xfId="0" applyFont="1" applyAlignment="1">
      <alignment horizontal="center" vertical="center"/>
    </xf>
    <xf numFmtId="0" fontId="8" fillId="7" borderId="0" xfId="0" applyFont="1" applyFill="1" applyAlignment="1">
      <alignment horizontal="center" vertical="center"/>
    </xf>
    <xf numFmtId="0" fontId="63" fillId="4" borderId="0" xfId="0" applyFont="1" applyFill="1"/>
    <xf numFmtId="0" fontId="64" fillId="4" borderId="0" xfId="0" applyFont="1" applyFill="1"/>
    <xf numFmtId="0" fontId="0" fillId="5" borderId="0" xfId="0" applyFill="1" applyBorder="1"/>
    <xf numFmtId="0" fontId="0" fillId="5" borderId="0" xfId="0" applyFill="1" applyBorder="1" applyAlignment="1">
      <alignment horizontal="left"/>
    </xf>
    <xf numFmtId="0" fontId="0" fillId="5" borderId="20" xfId="0" applyFill="1" applyBorder="1"/>
    <xf numFmtId="0" fontId="6" fillId="5" borderId="0" xfId="0" applyFont="1" applyFill="1" applyBorder="1"/>
    <xf numFmtId="0" fontId="1" fillId="5" borderId="0" xfId="0" applyFont="1" applyFill="1" applyBorder="1"/>
    <xf numFmtId="0" fontId="0" fillId="4" borderId="0" xfId="0" applyFill="1"/>
    <xf numFmtId="0" fontId="0" fillId="5" borderId="22" xfId="0" applyFill="1" applyBorder="1"/>
    <xf numFmtId="0" fontId="0" fillId="0" borderId="0" xfId="0"/>
    <xf numFmtId="0" fontId="0" fillId="5" borderId="0" xfId="0" applyFill="1" applyBorder="1" applyAlignment="1">
      <alignment horizontal="center"/>
    </xf>
    <xf numFmtId="0" fontId="1" fillId="5" borderId="0" xfId="0" applyFont="1" applyFill="1" applyBorder="1" applyAlignment="1">
      <alignment horizontal="center"/>
    </xf>
    <xf numFmtId="0" fontId="45" fillId="5" borderId="22" xfId="0" applyFont="1" applyFill="1" applyBorder="1"/>
    <xf numFmtId="0" fontId="45" fillId="5" borderId="22" xfId="0" applyFont="1" applyFill="1" applyBorder="1" applyAlignment="1">
      <alignment horizontal="center"/>
    </xf>
    <xf numFmtId="0" fontId="45" fillId="5" borderId="22" xfId="0" quotePrefix="1" applyFont="1" applyFill="1" applyBorder="1"/>
    <xf numFmtId="0" fontId="52" fillId="5" borderId="0" xfId="0" quotePrefix="1" applyFont="1" applyFill="1" applyBorder="1"/>
    <xf numFmtId="164" fontId="0" fillId="0" borderId="0" xfId="0" applyNumberFormat="1" applyFill="1" applyBorder="1"/>
    <xf numFmtId="0" fontId="0" fillId="23" borderId="0" xfId="0" applyFont="1" applyFill="1" applyBorder="1"/>
    <xf numFmtId="0" fontId="0" fillId="5" borderId="0" xfId="0" applyFill="1" applyBorder="1"/>
    <xf numFmtId="0" fontId="0" fillId="4" borderId="0" xfId="0" applyFill="1"/>
    <xf numFmtId="0" fontId="3" fillId="3" borderId="9" xfId="0" applyFont="1" applyFill="1" applyBorder="1" applyAlignment="1">
      <alignment horizontal="center"/>
    </xf>
    <xf numFmtId="0" fontId="0" fillId="3" borderId="9" xfId="0" applyFill="1" applyBorder="1" applyAlignment="1">
      <alignment horizontal="center"/>
    </xf>
    <xf numFmtId="0" fontId="0" fillId="0" borderId="0" xfId="0"/>
    <xf numFmtId="0" fontId="0" fillId="5" borderId="0" xfId="0" quotePrefix="1" applyFill="1" applyBorder="1" applyAlignment="1"/>
    <xf numFmtId="0" fontId="0" fillId="28" borderId="9" xfId="0" applyFill="1" applyBorder="1" applyAlignment="1">
      <alignment horizontal="center"/>
    </xf>
    <xf numFmtId="0" fontId="40" fillId="5" borderId="20" xfId="0" applyFont="1" applyFill="1" applyBorder="1"/>
    <xf numFmtId="0" fontId="40" fillId="5" borderId="20" xfId="0" applyFont="1" applyFill="1" applyBorder="1" applyAlignment="1">
      <alignment horizontal="center"/>
    </xf>
    <xf numFmtId="0" fontId="65" fillId="4" borderId="0" xfId="0" applyFont="1" applyFill="1"/>
    <xf numFmtId="0" fontId="65" fillId="0" borderId="0" xfId="0" applyFont="1"/>
    <xf numFmtId="0" fontId="65" fillId="4" borderId="0" xfId="0" applyFont="1" applyFill="1" applyAlignment="1">
      <alignment vertical="center"/>
    </xf>
    <xf numFmtId="0" fontId="65" fillId="4" borderId="0" xfId="0" applyFont="1" applyFill="1" applyAlignment="1">
      <alignment horizontal="left" vertical="center"/>
    </xf>
    <xf numFmtId="0" fontId="65" fillId="4" borderId="0" xfId="0" quotePrefix="1" applyFont="1" applyFill="1"/>
    <xf numFmtId="0" fontId="65" fillId="4" borderId="0" xfId="0" quotePrefix="1" applyFont="1" applyFill="1" applyAlignment="1">
      <alignment vertical="center"/>
    </xf>
    <xf numFmtId="0" fontId="0" fillId="4" borderId="0" xfId="0" applyFill="1"/>
    <xf numFmtId="0" fontId="0" fillId="0" borderId="0" xfId="0"/>
    <xf numFmtId="0" fontId="0" fillId="5" borderId="0" xfId="0" applyFill="1" applyBorder="1"/>
    <xf numFmtId="0" fontId="0" fillId="4" borderId="0" xfId="0" applyFill="1"/>
    <xf numFmtId="0" fontId="0" fillId="0" borderId="0" xfId="0"/>
    <xf numFmtId="0" fontId="0" fillId="5" borderId="0" xfId="0" applyFill="1" applyBorder="1" applyAlignment="1">
      <alignment horizontal="center"/>
    </xf>
    <xf numFmtId="0" fontId="0" fillId="29" borderId="6" xfId="0" applyFill="1" applyBorder="1"/>
    <xf numFmtId="0" fontId="0" fillId="29" borderId="0" xfId="0" applyFill="1"/>
    <xf numFmtId="0" fontId="7" fillId="29" borderId="24" xfId="0" applyNumberFormat="1" applyFont="1" applyFill="1" applyBorder="1"/>
    <xf numFmtId="0" fontId="7" fillId="29" borderId="25" xfId="0" applyNumberFormat="1" applyFont="1" applyFill="1" applyBorder="1"/>
    <xf numFmtId="0" fontId="0" fillId="5" borderId="7" xfId="0" quotePrefix="1" applyFill="1" applyBorder="1"/>
    <xf numFmtId="0" fontId="0" fillId="5" borderId="0" xfId="0" applyFill="1" applyBorder="1"/>
    <xf numFmtId="0" fontId="0" fillId="5" borderId="20" xfId="0" applyFill="1" applyBorder="1"/>
    <xf numFmtId="0" fontId="1" fillId="5" borderId="1" xfId="0" applyFont="1" applyFill="1" applyBorder="1" applyAlignment="1">
      <alignment horizontal="center"/>
    </xf>
    <xf numFmtId="0" fontId="0" fillId="5" borderId="22" xfId="0" applyFill="1" applyBorder="1"/>
    <xf numFmtId="0" fontId="6" fillId="5" borderId="1" xfId="0" applyFont="1" applyFill="1" applyBorder="1"/>
    <xf numFmtId="0" fontId="0" fillId="0" borderId="0" xfId="0"/>
    <xf numFmtId="0" fontId="0" fillId="5" borderId="0" xfId="0" applyFill="1" applyBorder="1" applyAlignment="1">
      <alignment horizontal="center"/>
    </xf>
    <xf numFmtId="0" fontId="0" fillId="5" borderId="1" xfId="0" applyFill="1" applyBorder="1" applyAlignment="1">
      <alignment horizontal="center"/>
    </xf>
    <xf numFmtId="0" fontId="33" fillId="0" borderId="0" xfId="0" applyFont="1" applyBorder="1" applyAlignment="1"/>
    <xf numFmtId="0" fontId="0" fillId="5" borderId="0" xfId="0" applyFill="1" applyBorder="1"/>
    <xf numFmtId="0" fontId="0" fillId="4" borderId="0" xfId="0" applyFill="1"/>
    <xf numFmtId="0" fontId="1" fillId="4" borderId="0" xfId="0" applyFont="1" applyFill="1" applyBorder="1"/>
    <xf numFmtId="0" fontId="0" fillId="4" borderId="170" xfId="0" applyFill="1" applyBorder="1"/>
    <xf numFmtId="0" fontId="0" fillId="5" borderId="206" xfId="0" applyFill="1" applyBorder="1"/>
    <xf numFmtId="0" fontId="0" fillId="5" borderId="195" xfId="0" applyFill="1" applyBorder="1"/>
    <xf numFmtId="0" fontId="40" fillId="5" borderId="187" xfId="0" applyFont="1" applyFill="1" applyBorder="1"/>
    <xf numFmtId="0" fontId="40" fillId="5" borderId="205" xfId="0" applyFont="1" applyFill="1" applyBorder="1"/>
    <xf numFmtId="0" fontId="52" fillId="5" borderId="187" xfId="0" quotePrefix="1" applyFont="1" applyFill="1" applyBorder="1"/>
    <xf numFmtId="0" fontId="0" fillId="4" borderId="0" xfId="0" applyFill="1" applyBorder="1" applyAlignment="1">
      <alignment horizontal="right"/>
    </xf>
    <xf numFmtId="165" fontId="0" fillId="4" borderId="0" xfId="0" applyNumberFormat="1" applyFill="1" applyBorder="1"/>
    <xf numFmtId="0" fontId="0" fillId="5" borderId="0" xfId="0" applyFill="1" applyBorder="1"/>
    <xf numFmtId="0" fontId="0" fillId="3" borderId="9" xfId="0"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0" borderId="0" xfId="0"/>
    <xf numFmtId="0" fontId="40" fillId="5" borderId="22" xfId="0" applyFont="1" applyFill="1" applyBorder="1"/>
    <xf numFmtId="0" fontId="0" fillId="4" borderId="0" xfId="0" applyFill="1" applyAlignment="1">
      <alignment horizontal="center" textRotation="90"/>
    </xf>
    <xf numFmtId="0" fontId="0" fillId="5" borderId="0" xfId="0" applyFill="1" applyBorder="1"/>
    <xf numFmtId="0" fontId="0" fillId="5" borderId="0" xfId="0" applyFill="1" applyBorder="1" applyAlignment="1">
      <alignment shrinkToFit="1"/>
    </xf>
    <xf numFmtId="173" fontId="0" fillId="5" borderId="0" xfId="0" applyNumberFormat="1" applyFill="1" applyBorder="1" applyAlignment="1">
      <alignment horizontal="center"/>
    </xf>
    <xf numFmtId="0" fontId="0" fillId="3" borderId="9" xfId="0" applyFill="1" applyBorder="1"/>
    <xf numFmtId="0" fontId="1" fillId="5" borderId="0" xfId="0" applyFont="1" applyFill="1" applyBorder="1"/>
    <xf numFmtId="0" fontId="1" fillId="5" borderId="1" xfId="0" applyFont="1" applyFill="1" applyBorder="1"/>
    <xf numFmtId="0" fontId="0" fillId="5" borderId="20" xfId="0" applyFill="1" applyBorder="1"/>
    <xf numFmtId="0" fontId="0" fillId="4" borderId="0" xfId="0" applyFill="1"/>
    <xf numFmtId="0" fontId="0" fillId="5" borderId="22" xfId="0" applyFill="1" applyBorder="1"/>
    <xf numFmtId="0" fontId="6" fillId="5" borderId="1" xfId="0" applyFont="1" applyFill="1" applyBorder="1"/>
    <xf numFmtId="0" fontId="1" fillId="5" borderId="1" xfId="0" applyFont="1" applyFill="1" applyBorder="1" applyAlignment="1">
      <alignment horizontal="center"/>
    </xf>
    <xf numFmtId="0" fontId="0" fillId="0" borderId="0" xfId="0"/>
    <xf numFmtId="0" fontId="0" fillId="5" borderId="0" xfId="0" applyFill="1" applyBorder="1" applyAlignment="1">
      <alignment horizontal="center"/>
    </xf>
    <xf numFmtId="0" fontId="0" fillId="5" borderId="1" xfId="0" applyFill="1" applyBorder="1" applyAlignment="1">
      <alignment horizontal="center"/>
    </xf>
    <xf numFmtId="0" fontId="3" fillId="5" borderId="0" xfId="0" applyFont="1" applyFill="1" applyBorder="1"/>
    <xf numFmtId="0" fontId="40" fillId="4" borderId="0" xfId="0" applyFont="1" applyFill="1" applyBorder="1"/>
    <xf numFmtId="0" fontId="0" fillId="3" borderId="191" xfId="0" applyFill="1" applyBorder="1" applyAlignment="1"/>
    <xf numFmtId="0" fontId="1" fillId="0" borderId="187" xfId="0" applyFont="1" applyBorder="1"/>
    <xf numFmtId="0" fontId="0" fillId="0" borderId="170" xfId="0" applyBorder="1"/>
    <xf numFmtId="0" fontId="0" fillId="0" borderId="187" xfId="0" applyBorder="1"/>
    <xf numFmtId="0" fontId="0" fillId="0" borderId="170" xfId="0" quotePrefix="1" applyBorder="1"/>
    <xf numFmtId="0" fontId="42" fillId="5" borderId="0" xfId="0" applyFont="1" applyFill="1" applyBorder="1" applyAlignment="1">
      <alignment horizontal="left"/>
    </xf>
    <xf numFmtId="0" fontId="0" fillId="0" borderId="0" xfId="0" applyFill="1" applyBorder="1" applyAlignment="1">
      <alignment horizontal="center"/>
    </xf>
    <xf numFmtId="0" fontId="0" fillId="0" borderId="0" xfId="0" applyFill="1" applyBorder="1" applyAlignment="1">
      <alignment horizontal="left"/>
    </xf>
    <xf numFmtId="181" fontId="8" fillId="0" borderId="0" xfId="0" applyNumberFormat="1" applyFont="1" applyFill="1" applyBorder="1"/>
    <xf numFmtId="0" fontId="40" fillId="5" borderId="5" xfId="0" applyFont="1" applyFill="1" applyBorder="1"/>
    <xf numFmtId="0" fontId="57" fillId="5" borderId="7" xfId="0" applyFont="1" applyFill="1" applyBorder="1"/>
    <xf numFmtId="0" fontId="63" fillId="4" borderId="0" xfId="0" quotePrefix="1" applyFont="1" applyFill="1"/>
    <xf numFmtId="0" fontId="0" fillId="4" borderId="0" xfId="0" applyFill="1"/>
    <xf numFmtId="0" fontId="0" fillId="0" borderId="0" xfId="0"/>
    <xf numFmtId="0" fontId="9" fillId="0" borderId="0" xfId="0" applyFont="1" applyFill="1" applyBorder="1" applyAlignment="1">
      <alignment vertical="top" shrinkToFit="1"/>
    </xf>
    <xf numFmtId="0" fontId="0" fillId="5" borderId="0" xfId="0" applyFill="1" applyBorder="1"/>
    <xf numFmtId="0" fontId="0" fillId="5" borderId="0" xfId="0" applyFill="1" applyBorder="1" applyAlignment="1">
      <alignment horizontal="left"/>
    </xf>
    <xf numFmtId="0" fontId="0" fillId="5" borderId="20" xfId="0" applyFill="1" applyBorder="1"/>
    <xf numFmtId="0" fontId="6" fillId="5" borderId="0" xfId="0" applyFont="1" applyFill="1" applyBorder="1"/>
    <xf numFmtId="0" fontId="1" fillId="5" borderId="0" xfId="0" applyFont="1" applyFill="1" applyBorder="1"/>
    <xf numFmtId="0" fontId="1" fillId="5" borderId="1" xfId="0" applyFont="1" applyFill="1" applyBorder="1"/>
    <xf numFmtId="0" fontId="0" fillId="4" borderId="0" xfId="0" applyFill="1"/>
    <xf numFmtId="0" fontId="0" fillId="3" borderId="9" xfId="0" applyFill="1" applyBorder="1"/>
    <xf numFmtId="0" fontId="0" fillId="5" borderId="22" xfId="0" applyFill="1" applyBorder="1"/>
    <xf numFmtId="0" fontId="0" fillId="3" borderId="9" xfId="0" applyFill="1" applyBorder="1" applyAlignment="1">
      <alignment horizontal="center"/>
    </xf>
    <xf numFmtId="0" fontId="0" fillId="0" borderId="0" xfId="0"/>
    <xf numFmtId="0" fontId="9" fillId="0" borderId="0" xfId="0" applyFont="1" applyFill="1" applyBorder="1" applyAlignment="1">
      <alignment vertical="top" shrinkToFit="1"/>
    </xf>
    <xf numFmtId="0" fontId="0" fillId="5" borderId="0" xfId="0" applyFill="1" applyBorder="1" applyAlignment="1">
      <alignment horizontal="center"/>
    </xf>
    <xf numFmtId="0" fontId="0" fillId="3" borderId="9" xfId="0" applyFill="1" applyBorder="1" applyAlignment="1">
      <alignment horizontal="left"/>
    </xf>
    <xf numFmtId="0" fontId="40" fillId="0" borderId="164" xfId="0" applyFont="1" applyBorder="1"/>
    <xf numFmtId="165" fontId="0" fillId="0" borderId="0" xfId="0" quotePrefix="1" applyNumberFormat="1"/>
    <xf numFmtId="0" fontId="40" fillId="0" borderId="164" xfId="0" applyFont="1" applyBorder="1" applyAlignment="1">
      <alignment horizontal="center" vertical="center"/>
    </xf>
    <xf numFmtId="0" fontId="52" fillId="5" borderId="22" xfId="0" applyFont="1" applyFill="1" applyBorder="1"/>
    <xf numFmtId="0" fontId="52" fillId="5" borderId="197" xfId="0" applyFont="1" applyFill="1" applyBorder="1"/>
    <xf numFmtId="0" fontId="45" fillId="5" borderId="207" xfId="0" quotePrefix="1" applyFont="1" applyFill="1" applyBorder="1"/>
    <xf numFmtId="2" fontId="0" fillId="4" borderId="0" xfId="0" applyNumberFormat="1" applyFill="1" applyBorder="1"/>
    <xf numFmtId="1" fontId="1" fillId="5" borderId="0" xfId="0" applyNumberFormat="1" applyFont="1" applyFill="1" applyBorder="1" applyAlignment="1">
      <alignment horizontal="center"/>
    </xf>
    <xf numFmtId="0" fontId="66" fillId="0" borderId="0" xfId="0" applyFont="1" applyFill="1" applyBorder="1" applyAlignment="1">
      <alignment vertical="top"/>
    </xf>
    <xf numFmtId="0" fontId="67" fillId="0" borderId="164" xfId="0" applyFont="1" applyFill="1" applyBorder="1" applyAlignment="1">
      <alignment vertical="top"/>
    </xf>
    <xf numFmtId="0" fontId="43" fillId="0" borderId="0" xfId="0" applyFont="1" applyBorder="1" applyAlignment="1"/>
    <xf numFmtId="0" fontId="43" fillId="0" borderId="165" xfId="0" applyFont="1" applyBorder="1" applyAlignment="1"/>
    <xf numFmtId="0" fontId="1" fillId="5" borderId="1" xfId="0" applyFont="1" applyFill="1" applyBorder="1" applyAlignment="1">
      <alignment horizontal="center" wrapText="1"/>
    </xf>
    <xf numFmtId="0" fontId="0" fillId="5" borderId="0" xfId="0" applyFill="1" applyBorder="1"/>
    <xf numFmtId="0" fontId="0" fillId="5" borderId="0" xfId="0" applyFill="1" applyBorder="1" applyAlignment="1">
      <alignment horizontal="left"/>
    </xf>
    <xf numFmtId="0" fontId="0" fillId="3" borderId="0" xfId="0" applyFill="1" applyBorder="1" applyAlignment="1">
      <alignment horizontal="center"/>
    </xf>
    <xf numFmtId="0" fontId="1" fillId="5" borderId="0" xfId="0" applyFont="1" applyFill="1" applyBorder="1"/>
    <xf numFmtId="0" fontId="0" fillId="4" borderId="0" xfId="0" applyFill="1"/>
    <xf numFmtId="0" fontId="0" fillId="3" borderId="9" xfId="0" applyFill="1" applyBorder="1"/>
    <xf numFmtId="0" fontId="0" fillId="0" borderId="0" xfId="0"/>
    <xf numFmtId="0" fontId="0" fillId="5" borderId="0" xfId="0" applyFill="1" applyBorder="1" applyAlignment="1">
      <alignment horizontal="center"/>
    </xf>
    <xf numFmtId="0" fontId="1" fillId="5" borderId="0" xfId="0" applyFont="1" applyFill="1" applyBorder="1" applyAlignment="1">
      <alignment horizontal="center"/>
    </xf>
    <xf numFmtId="0" fontId="1" fillId="5" borderId="0" xfId="0" applyFont="1" applyFill="1" applyBorder="1"/>
    <xf numFmtId="0" fontId="0" fillId="4" borderId="0" xfId="0" quotePrefix="1" applyFill="1" applyBorder="1"/>
    <xf numFmtId="0" fontId="0" fillId="4" borderId="0" xfId="0" applyFont="1" applyFill="1"/>
    <xf numFmtId="0" fontId="0" fillId="4" borderId="0" xfId="0" applyFill="1"/>
    <xf numFmtId="0" fontId="0" fillId="0" borderId="0" xfId="0"/>
    <xf numFmtId="0" fontId="0" fillId="4" borderId="0" xfId="0" applyFill="1" applyAlignment="1">
      <alignment vertical="center"/>
    </xf>
    <xf numFmtId="0" fontId="0" fillId="3" borderId="9" xfId="0" applyFill="1" applyBorder="1" applyAlignment="1">
      <alignment horizontal="left"/>
    </xf>
    <xf numFmtId="0" fontId="0" fillId="4" borderId="0" xfId="0" applyFill="1"/>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0" fillId="0" borderId="0" xfId="0"/>
    <xf numFmtId="0" fontId="9" fillId="0" borderId="0" xfId="0" applyFont="1" applyFill="1" applyBorder="1" applyAlignment="1">
      <alignment vertical="top" shrinkToFit="1"/>
    </xf>
    <xf numFmtId="0" fontId="3" fillId="3" borderId="9" xfId="0" applyFont="1" applyFill="1" applyBorder="1" applyAlignment="1">
      <alignment horizontal="center"/>
    </xf>
    <xf numFmtId="0" fontId="0" fillId="5" borderId="0" xfId="0" applyFill="1" applyBorder="1"/>
    <xf numFmtId="0" fontId="0" fillId="3" borderId="9" xfId="0" applyFill="1" applyBorder="1"/>
    <xf numFmtId="0" fontId="1" fillId="5" borderId="0"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3" borderId="9" xfId="0" applyFill="1" applyBorder="1" applyAlignment="1">
      <alignment horizontal="center"/>
    </xf>
    <xf numFmtId="0" fontId="0" fillId="5" borderId="0" xfId="0" applyFill="1" applyBorder="1" applyAlignment="1">
      <alignment horizontal="center"/>
    </xf>
    <xf numFmtId="0" fontId="0" fillId="3" borderId="9" xfId="0" applyFill="1" applyBorder="1"/>
    <xf numFmtId="0" fontId="0" fillId="5" borderId="0" xfId="0" applyFill="1" applyBorder="1"/>
    <xf numFmtId="0" fontId="0" fillId="5" borderId="0" xfId="0" applyFill="1" applyBorder="1" applyAlignment="1">
      <alignment horizontal="left"/>
    </xf>
    <xf numFmtId="0" fontId="1" fillId="5" borderId="0" xfId="0" applyFont="1" applyFill="1" applyBorder="1" applyAlignment="1">
      <alignment horizontal="center"/>
    </xf>
    <xf numFmtId="0" fontId="1" fillId="5" borderId="1" xfId="0" applyFont="1" applyFill="1" applyBorder="1" applyAlignment="1">
      <alignment horizontal="center"/>
    </xf>
    <xf numFmtId="173" fontId="0" fillId="5" borderId="0" xfId="0" applyNumberFormat="1" applyFill="1" applyBorder="1" applyAlignment="1">
      <alignment horizontal="center"/>
    </xf>
    <xf numFmtId="0" fontId="1" fillId="5" borderId="1"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0" borderId="0" xfId="0"/>
    <xf numFmtId="0" fontId="8" fillId="0" borderId="0" xfId="0" applyFont="1" applyBorder="1" applyAlignment="1">
      <alignment horizontal="center"/>
    </xf>
    <xf numFmtId="0" fontId="0" fillId="5" borderId="0" xfId="0" applyFill="1" applyBorder="1" applyAlignment="1">
      <alignment horizontal="center"/>
    </xf>
    <xf numFmtId="0" fontId="0" fillId="5" borderId="1" xfId="0" applyFill="1" applyBorder="1" applyAlignment="1">
      <alignment horizontal="center"/>
    </xf>
    <xf numFmtId="0" fontId="0" fillId="29" borderId="0" xfId="0" applyFill="1" applyBorder="1"/>
    <xf numFmtId="0" fontId="0" fillId="29" borderId="0" xfId="0" applyFill="1" applyBorder="1" applyAlignment="1">
      <alignment horizontal="center"/>
    </xf>
    <xf numFmtId="0" fontId="0" fillId="29" borderId="7" xfId="0" applyFill="1" applyBorder="1"/>
    <xf numFmtId="0" fontId="0" fillId="29" borderId="203" xfId="0" applyFill="1" applyBorder="1"/>
    <xf numFmtId="0" fontId="0" fillId="29" borderId="6" xfId="0" quotePrefix="1" applyFill="1" applyBorder="1"/>
    <xf numFmtId="1" fontId="0" fillId="29" borderId="0" xfId="0" applyNumberFormat="1" applyFill="1" applyBorder="1"/>
    <xf numFmtId="164" fontId="0" fillId="0" borderId="6" xfId="0" applyNumberFormat="1" applyBorder="1"/>
    <xf numFmtId="49" fontId="0" fillId="0" borderId="20" xfId="0" applyNumberFormat="1" applyBorder="1"/>
    <xf numFmtId="49" fontId="0" fillId="0" borderId="5" xfId="0" applyNumberFormat="1" applyBorder="1"/>
    <xf numFmtId="49" fontId="0" fillId="0" borderId="0" xfId="0" applyNumberFormat="1" applyBorder="1"/>
    <xf numFmtId="49" fontId="0" fillId="0" borderId="7" xfId="0" applyNumberFormat="1" applyBorder="1"/>
    <xf numFmtId="49" fontId="0" fillId="0" borderId="0" xfId="0" quotePrefix="1" applyNumberFormat="1" applyBorder="1"/>
    <xf numFmtId="49" fontId="0" fillId="0" borderId="7" xfId="0" quotePrefix="1" applyNumberFormat="1" applyBorder="1"/>
    <xf numFmtId="0" fontId="0" fillId="0" borderId="0" xfId="0" applyNumberFormat="1" applyBorder="1"/>
    <xf numFmtId="0" fontId="0" fillId="0" borderId="5" xfId="0" applyBorder="1"/>
    <xf numFmtId="49" fontId="1" fillId="0" borderId="2" xfId="0" applyNumberFormat="1" applyFont="1" applyBorder="1"/>
    <xf numFmtId="0" fontId="0" fillId="0" borderId="3" xfId="0" applyBorder="1"/>
    <xf numFmtId="0" fontId="0" fillId="0" borderId="3" xfId="0" applyFill="1" applyBorder="1"/>
    <xf numFmtId="49" fontId="1" fillId="0" borderId="20" xfId="0" applyNumberFormat="1" applyFont="1" applyBorder="1"/>
    <xf numFmtId="0" fontId="1" fillId="0" borderId="0" xfId="0" applyFont="1" applyFill="1" applyBorder="1"/>
    <xf numFmtId="0" fontId="1" fillId="0" borderId="19" xfId="0" applyFont="1" applyBorder="1"/>
    <xf numFmtId="0" fontId="0" fillId="0" borderId="13" xfId="0" applyBorder="1"/>
    <xf numFmtId="0" fontId="0" fillId="0" borderId="14" xfId="0" applyBorder="1"/>
    <xf numFmtId="0" fontId="0" fillId="0" borderId="15" xfId="0" applyBorder="1"/>
    <xf numFmtId="0" fontId="68" fillId="0" borderId="0" xfId="0" applyFont="1" applyBorder="1"/>
    <xf numFmtId="0" fontId="68" fillId="0" borderId="0" xfId="0" applyFont="1"/>
    <xf numFmtId="0" fontId="68" fillId="0" borderId="97" xfId="0" applyFont="1" applyBorder="1"/>
    <xf numFmtId="0" fontId="68" fillId="0" borderId="40" xfId="0" applyFont="1" applyBorder="1"/>
    <xf numFmtId="0" fontId="68" fillId="0" borderId="42" xfId="0" applyFont="1" applyBorder="1"/>
    <xf numFmtId="0" fontId="68" fillId="15" borderId="0" xfId="0" applyFont="1" applyFill="1" applyBorder="1"/>
    <xf numFmtId="0" fontId="70" fillId="15" borderId="0" xfId="0" applyFont="1" applyFill="1" applyBorder="1" applyAlignment="1">
      <alignment vertical="top" shrinkToFit="1"/>
    </xf>
    <xf numFmtId="0" fontId="68" fillId="15" borderId="0" xfId="0" applyFont="1" applyFill="1"/>
    <xf numFmtId="0" fontId="68" fillId="0" borderId="46" xfId="0" applyFont="1" applyBorder="1" applyAlignment="1">
      <alignment horizontal="center"/>
    </xf>
    <xf numFmtId="0" fontId="68" fillId="0" borderId="45" xfId="0" applyFont="1" applyBorder="1"/>
    <xf numFmtId="0" fontId="68" fillId="0" borderId="47" xfId="0" applyFont="1" applyFill="1" applyBorder="1"/>
    <xf numFmtId="0" fontId="68" fillId="0" borderId="47" xfId="0" applyFont="1" applyBorder="1"/>
    <xf numFmtId="0" fontId="68" fillId="0" borderId="47" xfId="0" applyFont="1" applyFill="1" applyBorder="1" applyAlignment="1">
      <alignment shrinkToFit="1"/>
    </xf>
    <xf numFmtId="0" fontId="68" fillId="0" borderId="0" xfId="0" applyFont="1" applyFill="1" applyBorder="1" applyAlignment="1">
      <alignment shrinkToFit="1"/>
    </xf>
    <xf numFmtId="0" fontId="68" fillId="0" borderId="0" xfId="0" applyFont="1" applyFill="1" applyBorder="1"/>
    <xf numFmtId="0" fontId="68" fillId="0" borderId="0" xfId="0" applyFont="1" applyBorder="1" applyAlignment="1">
      <alignment vertical="center"/>
    </xf>
    <xf numFmtId="0" fontId="68" fillId="0" borderId="0" xfId="0" applyFont="1" applyAlignment="1">
      <alignment vertical="center"/>
    </xf>
    <xf numFmtId="0" fontId="68" fillId="0" borderId="103" xfId="0" applyFont="1" applyBorder="1" applyAlignment="1">
      <alignment vertical="center"/>
    </xf>
    <xf numFmtId="0" fontId="68" fillId="0" borderId="103" xfId="0" applyFont="1" applyBorder="1"/>
    <xf numFmtId="0" fontId="68" fillId="0" borderId="103" xfId="0" applyFont="1" applyFill="1" applyBorder="1"/>
    <xf numFmtId="0" fontId="71" fillId="0" borderId="0" xfId="0" applyFont="1" applyFill="1" applyBorder="1" applyAlignment="1">
      <alignment vertical="center" shrinkToFit="1"/>
    </xf>
    <xf numFmtId="0" fontId="72" fillId="0" borderId="0" xfId="0" applyFont="1" applyFill="1" applyBorder="1" applyAlignment="1">
      <alignment vertical="top" shrinkToFit="1"/>
    </xf>
    <xf numFmtId="0" fontId="68" fillId="0" borderId="0" xfId="0" applyFont="1" applyFill="1" applyBorder="1" applyAlignment="1"/>
    <xf numFmtId="0" fontId="69" fillId="0" borderId="0" xfId="0" applyFont="1" applyFill="1" applyBorder="1" applyAlignment="1">
      <alignment vertical="center"/>
    </xf>
    <xf numFmtId="0" fontId="73" fillId="0" borderId="0" xfId="0" applyFont="1" applyFill="1" applyBorder="1" applyAlignment="1"/>
    <xf numFmtId="0" fontId="68" fillId="0" borderId="0" xfId="0" applyFont="1" applyFill="1" applyBorder="1" applyAlignment="1">
      <alignment horizontal="center"/>
    </xf>
    <xf numFmtId="0" fontId="74" fillId="0" borderId="0" xfId="0" applyFont="1" applyFill="1" applyBorder="1" applyAlignment="1">
      <alignment vertical="center"/>
    </xf>
    <xf numFmtId="0" fontId="68" fillId="0" borderId="0" xfId="0" applyFont="1" applyBorder="1" applyAlignment="1">
      <alignment horizontal="right" vertical="center" shrinkToFit="1"/>
    </xf>
    <xf numFmtId="0" fontId="68" fillId="0" borderId="0" xfId="0" applyFont="1" applyAlignment="1">
      <alignment horizontal="right" vertical="center" shrinkToFit="1"/>
    </xf>
    <xf numFmtId="0" fontId="75" fillId="0" borderId="0" xfId="0" applyFont="1" applyFill="1" applyBorder="1" applyAlignment="1">
      <alignment vertical="center"/>
    </xf>
    <xf numFmtId="0" fontId="76" fillId="0" borderId="0" xfId="0" applyFont="1" applyFill="1" applyBorder="1" applyAlignment="1">
      <alignment vertical="center"/>
    </xf>
    <xf numFmtId="0" fontId="77" fillId="0" borderId="0" xfId="0" applyFont="1" applyFill="1" applyBorder="1" applyAlignment="1">
      <alignment vertical="top"/>
    </xf>
    <xf numFmtId="0" fontId="78" fillId="0" borderId="0" xfId="0" applyFont="1" applyFill="1" applyBorder="1"/>
    <xf numFmtId="164" fontId="78" fillId="0" borderId="0" xfId="0" applyNumberFormat="1" applyFont="1" applyFill="1" applyBorder="1" applyAlignment="1">
      <alignment vertical="center"/>
    </xf>
    <xf numFmtId="164" fontId="78" fillId="0" borderId="0" xfId="0" applyNumberFormat="1" applyFont="1" applyFill="1" applyBorder="1" applyAlignment="1">
      <alignment vertical="center" shrinkToFit="1"/>
    </xf>
    <xf numFmtId="0" fontId="70" fillId="0" borderId="0" xfId="0" applyFont="1" applyFill="1" applyBorder="1" applyAlignment="1">
      <alignment vertical="top" shrinkToFit="1"/>
    </xf>
    <xf numFmtId="0" fontId="78" fillId="0" borderId="0" xfId="0" applyFont="1" applyFill="1" applyBorder="1" applyAlignment="1">
      <alignment vertical="center" shrinkToFit="1"/>
    </xf>
    <xf numFmtId="0" fontId="68" fillId="0" borderId="39" xfId="0" applyFont="1" applyFill="1" applyBorder="1" applyAlignment="1">
      <alignment shrinkToFit="1"/>
    </xf>
    <xf numFmtId="0" fontId="70" fillId="0" borderId="39" xfId="0" applyFont="1" applyFill="1" applyBorder="1" applyAlignment="1">
      <alignment vertical="top" shrinkToFit="1"/>
    </xf>
    <xf numFmtId="0" fontId="81" fillId="0" borderId="0" xfId="0" applyFont="1"/>
    <xf numFmtId="0" fontId="82" fillId="0" borderId="0" xfId="0" applyFont="1"/>
    <xf numFmtId="0" fontId="83" fillId="0" borderId="0" xfId="0" applyFont="1" applyAlignment="1">
      <alignment vertical="top"/>
    </xf>
    <xf numFmtId="0" fontId="84" fillId="0" borderId="0" xfId="0" applyFont="1"/>
    <xf numFmtId="0" fontId="84" fillId="0" borderId="43" xfId="0" applyFont="1" applyBorder="1"/>
    <xf numFmtId="0" fontId="84" fillId="0" borderId="20" xfId="0" applyFont="1" applyBorder="1"/>
    <xf numFmtId="0" fontId="84" fillId="0" borderId="44" xfId="0" applyFont="1" applyBorder="1"/>
    <xf numFmtId="0" fontId="86" fillId="0" borderId="0" xfId="0" applyFont="1"/>
    <xf numFmtId="0" fontId="68" fillId="0" borderId="33" xfId="0" applyFont="1" applyFill="1" applyBorder="1" applyAlignment="1"/>
    <xf numFmtId="0" fontId="68" fillId="0" borderId="0" xfId="0" applyFont="1" applyAlignment="1">
      <alignment horizontal="center"/>
    </xf>
    <xf numFmtId="0" fontId="68" fillId="14" borderId="48" xfId="0" applyFont="1" applyFill="1" applyBorder="1" applyAlignment="1">
      <alignment horizontal="center"/>
    </xf>
    <xf numFmtId="0" fontId="68" fillId="14" borderId="48" xfId="0" applyFont="1" applyFill="1" applyBorder="1"/>
    <xf numFmtId="0" fontId="68" fillId="4" borderId="0" xfId="0" applyFont="1" applyFill="1" applyAlignment="1">
      <alignment horizontal="right"/>
    </xf>
    <xf numFmtId="0" fontId="68" fillId="0" borderId="0" xfId="0" applyFont="1" applyAlignment="1">
      <alignment horizontal="right"/>
    </xf>
    <xf numFmtId="0" fontId="68" fillId="8" borderId="0" xfId="0" applyFont="1" applyFill="1" applyAlignment="1">
      <alignment horizontal="right"/>
    </xf>
    <xf numFmtId="0" fontId="68" fillId="0" borderId="0" xfId="0" applyFont="1" applyFill="1" applyAlignment="1">
      <alignment horizontal="right"/>
    </xf>
    <xf numFmtId="0" fontId="68" fillId="10" borderId="41" xfId="0" applyFont="1" applyFill="1" applyBorder="1" applyAlignment="1">
      <alignment horizontal="right"/>
    </xf>
    <xf numFmtId="0" fontId="68" fillId="10" borderId="41" xfId="0" applyFont="1" applyFill="1" applyBorder="1"/>
    <xf numFmtId="0" fontId="91" fillId="0" borderId="48" xfId="0" applyFont="1" applyBorder="1" applyAlignment="1">
      <alignment horizontal="center"/>
    </xf>
    <xf numFmtId="0" fontId="91" fillId="0" borderId="40" xfId="0" applyFont="1" applyBorder="1" applyAlignment="1">
      <alignment horizontal="center"/>
    </xf>
    <xf numFmtId="0" fontId="91" fillId="0" borderId="0" xfId="0" applyFont="1" applyAlignment="1">
      <alignment horizontal="center"/>
    </xf>
    <xf numFmtId="0" fontId="91" fillId="0" borderId="41" xfId="0" applyFont="1" applyBorder="1" applyAlignment="1">
      <alignment horizontal="center"/>
    </xf>
    <xf numFmtId="0" fontId="91" fillId="0" borderId="42" xfId="0" applyFont="1" applyBorder="1" applyAlignment="1">
      <alignment horizontal="center"/>
    </xf>
    <xf numFmtId="0" fontId="77" fillId="0" borderId="0" xfId="0" applyFont="1" applyAlignment="1">
      <alignment wrapText="1"/>
    </xf>
    <xf numFmtId="0" fontId="68" fillId="0" borderId="0" xfId="0" applyFont="1" applyAlignment="1">
      <alignment horizontal="left" vertical="center"/>
    </xf>
    <xf numFmtId="0" fontId="94" fillId="11" borderId="0" xfId="0" applyFont="1" applyFill="1" applyBorder="1"/>
    <xf numFmtId="0" fontId="94" fillId="11" borderId="69" xfId="0" applyFont="1" applyFill="1" applyBorder="1"/>
    <xf numFmtId="0" fontId="94" fillId="0" borderId="33" xfId="0" applyFont="1" applyBorder="1"/>
    <xf numFmtId="0" fontId="94" fillId="0" borderId="27" xfId="0" applyFont="1" applyBorder="1"/>
    <xf numFmtId="0" fontId="94" fillId="7" borderId="62" xfId="0" applyFont="1" applyFill="1" applyBorder="1"/>
    <xf numFmtId="0" fontId="94" fillId="7" borderId="0" xfId="0" applyFont="1" applyFill="1" applyBorder="1"/>
    <xf numFmtId="0" fontId="94" fillId="7" borderId="69" xfId="0" applyFont="1" applyFill="1" applyBorder="1"/>
    <xf numFmtId="0" fontId="94" fillId="0" borderId="0" xfId="0" applyFont="1" applyBorder="1"/>
    <xf numFmtId="0" fontId="94" fillId="15" borderId="62" xfId="0" applyFont="1" applyFill="1" applyBorder="1"/>
    <xf numFmtId="170" fontId="10" fillId="0" borderId="0" xfId="0" applyNumberFormat="1" applyFont="1" applyFill="1" applyBorder="1" applyAlignment="1">
      <alignment vertical="center" shrinkToFit="1"/>
    </xf>
    <xf numFmtId="0" fontId="8" fillId="0" borderId="30" xfId="0" applyFont="1" applyBorder="1" applyAlignment="1">
      <alignment shrinkToFit="1"/>
    </xf>
    <xf numFmtId="0" fontId="1" fillId="5" borderId="0" xfId="0" applyFont="1" applyFill="1" applyBorder="1" applyAlignment="1">
      <alignment horizontal="center" vertical="center"/>
    </xf>
    <xf numFmtId="171" fontId="0" fillId="5" borderId="0" xfId="0" applyNumberFormat="1" applyFill="1" applyBorder="1" applyAlignment="1">
      <alignment horizontal="center"/>
    </xf>
    <xf numFmtId="0" fontId="1" fillId="5" borderId="0" xfId="0" applyFont="1" applyFill="1" applyBorder="1" applyAlignment="1">
      <alignment wrapText="1"/>
    </xf>
    <xf numFmtId="0" fontId="1" fillId="5" borderId="1" xfId="0" applyFont="1" applyFill="1" applyBorder="1" applyAlignment="1">
      <alignment wrapText="1"/>
    </xf>
    <xf numFmtId="0" fontId="1" fillId="4" borderId="0" xfId="0" applyFont="1" applyFill="1" applyBorder="1" applyAlignment="1">
      <alignment vertical="top" wrapText="1"/>
    </xf>
    <xf numFmtId="0" fontId="1" fillId="4" borderId="0" xfId="0" applyFont="1" applyFill="1" applyBorder="1" applyAlignment="1">
      <alignment vertical="top"/>
    </xf>
    <xf numFmtId="0" fontId="96" fillId="23" borderId="0" xfId="0" applyFont="1" applyFill="1" applyBorder="1"/>
    <xf numFmtId="0" fontId="3" fillId="3" borderId="9" xfId="0" applyFont="1" applyFill="1" applyBorder="1" applyAlignment="1">
      <alignment horizontal="center"/>
    </xf>
    <xf numFmtId="0" fontId="0" fillId="4" borderId="0" xfId="0" applyFill="1"/>
    <xf numFmtId="0" fontId="0" fillId="3" borderId="9" xfId="0" applyFill="1" applyBorder="1" applyAlignment="1">
      <alignment horizontal="center"/>
    </xf>
    <xf numFmtId="0" fontId="0" fillId="0" borderId="0" xfId="0"/>
    <xf numFmtId="0" fontId="0" fillId="5" borderId="0" xfId="0" applyFill="1" applyBorder="1"/>
    <xf numFmtId="0" fontId="1" fillId="5" borderId="0" xfId="0" applyFont="1" applyFill="1" applyBorder="1"/>
    <xf numFmtId="0" fontId="97" fillId="4" borderId="0" xfId="1" applyFont="1" applyFill="1" applyAlignment="1"/>
    <xf numFmtId="0" fontId="45" fillId="4" borderId="0" xfId="0" quotePrefix="1" applyFont="1" applyFill="1"/>
    <xf numFmtId="0" fontId="23" fillId="0" borderId="0" xfId="0" applyFont="1"/>
    <xf numFmtId="0" fontId="98" fillId="0" borderId="0" xfId="0" applyFont="1"/>
    <xf numFmtId="0" fontId="2" fillId="0" borderId="0" xfId="0" applyFont="1" applyBorder="1" applyAlignment="1">
      <alignment vertical="top"/>
    </xf>
    <xf numFmtId="0" fontId="0" fillId="0" borderId="0" xfId="0"/>
    <xf numFmtId="184" fontId="0" fillId="5" borderId="0" xfId="0" applyNumberFormat="1" applyFill="1" applyAlignment="1">
      <alignment horizontal="center"/>
    </xf>
    <xf numFmtId="0" fontId="0" fillId="0" borderId="0" xfId="0"/>
    <xf numFmtId="0" fontId="0" fillId="5" borderId="0" xfId="0" applyFill="1" applyBorder="1" applyAlignment="1">
      <alignment horizontal="center"/>
    </xf>
    <xf numFmtId="0" fontId="1" fillId="5" borderId="1" xfId="0" applyFont="1" applyFill="1" applyBorder="1" applyAlignment="1">
      <alignment horizontal="center" wrapText="1"/>
    </xf>
    <xf numFmtId="0" fontId="0" fillId="4" borderId="0" xfId="0" applyFill="1"/>
    <xf numFmtId="0" fontId="0" fillId="4" borderId="0" xfId="0" applyFill="1"/>
    <xf numFmtId="0" fontId="0" fillId="4" borderId="0" xfId="0" applyFill="1"/>
    <xf numFmtId="0" fontId="40" fillId="5" borderId="22" xfId="0" applyFont="1" applyFill="1" applyBorder="1" applyAlignment="1">
      <alignment horizontal="right"/>
    </xf>
    <xf numFmtId="0" fontId="40" fillId="5" borderId="22" xfId="0" applyFont="1" applyFill="1" applyBorder="1" applyAlignment="1">
      <alignment horizontal="center"/>
    </xf>
    <xf numFmtId="0" fontId="0" fillId="5" borderId="0" xfId="0" applyFill="1" applyBorder="1" applyAlignment="1">
      <alignment horizontal="center"/>
    </xf>
    <xf numFmtId="0" fontId="0" fillId="0" borderId="0" xfId="0"/>
    <xf numFmtId="0" fontId="0" fillId="3" borderId="9" xfId="0" applyFill="1" applyBorder="1" applyAlignment="1">
      <alignment horizontal="left"/>
    </xf>
    <xf numFmtId="49" fontId="0" fillId="5" borderId="0" xfId="0" applyNumberFormat="1" applyFill="1" applyBorder="1" applyAlignment="1">
      <alignment vertical="top"/>
    </xf>
    <xf numFmtId="0" fontId="0" fillId="5" borderId="0" xfId="0" applyFill="1" applyBorder="1"/>
    <xf numFmtId="0" fontId="1" fillId="5" borderId="0" xfId="0" applyFont="1" applyFill="1" applyBorder="1" applyAlignment="1">
      <alignment horizontal="center"/>
    </xf>
    <xf numFmtId="0" fontId="0" fillId="3" borderId="9" xfId="0" applyFill="1" applyBorder="1"/>
    <xf numFmtId="0" fontId="1" fillId="5" borderId="0" xfId="0" applyFont="1" applyFill="1" applyBorder="1"/>
    <xf numFmtId="0" fontId="0" fillId="4" borderId="0" xfId="0" applyFill="1"/>
    <xf numFmtId="0" fontId="0" fillId="3" borderId="9" xfId="0" applyFill="1" applyBorder="1" applyAlignment="1">
      <alignment horizontal="center"/>
    </xf>
    <xf numFmtId="0" fontId="0" fillId="0" borderId="0" xfId="0"/>
    <xf numFmtId="0" fontId="0" fillId="5" borderId="0" xfId="0" applyFill="1" applyBorder="1" applyAlignment="1">
      <alignment horizontal="center"/>
    </xf>
    <xf numFmtId="0" fontId="0" fillId="5" borderId="212" xfId="0" applyFill="1" applyBorder="1" applyAlignment="1">
      <alignment vertical="top"/>
    </xf>
    <xf numFmtId="0" fontId="0" fillId="5" borderId="213" xfId="0" applyFill="1" applyBorder="1" applyAlignment="1">
      <alignment vertical="top"/>
    </xf>
    <xf numFmtId="0" fontId="0" fillId="5" borderId="213" xfId="0" applyFill="1" applyBorder="1" applyAlignment="1">
      <alignment vertical="top" wrapText="1"/>
    </xf>
    <xf numFmtId="0" fontId="0" fillId="5" borderId="213" xfId="0" applyFill="1" applyBorder="1" applyAlignment="1">
      <alignment horizontal="center" vertical="top"/>
    </xf>
    <xf numFmtId="0" fontId="0" fillId="5" borderId="214" xfId="0" applyFill="1" applyBorder="1" applyAlignment="1">
      <alignment vertical="top"/>
    </xf>
    <xf numFmtId="0" fontId="0" fillId="5" borderId="215" xfId="0" applyFill="1" applyBorder="1" applyAlignment="1">
      <alignment vertical="top"/>
    </xf>
    <xf numFmtId="0" fontId="0" fillId="5" borderId="216" xfId="0" applyFill="1" applyBorder="1" applyAlignment="1">
      <alignment vertical="top"/>
    </xf>
    <xf numFmtId="0" fontId="0" fillId="5" borderId="216" xfId="0" applyFill="1" applyBorder="1" applyAlignment="1">
      <alignment vertical="top" wrapText="1"/>
    </xf>
    <xf numFmtId="0" fontId="0" fillId="5" borderId="216" xfId="0" applyFill="1" applyBorder="1" applyAlignment="1">
      <alignment horizontal="center" vertical="top"/>
    </xf>
    <xf numFmtId="0" fontId="0" fillId="5" borderId="217" xfId="0" applyFill="1" applyBorder="1" applyAlignment="1">
      <alignment vertical="top"/>
    </xf>
    <xf numFmtId="0" fontId="0" fillId="4" borderId="0" xfId="0" applyFill="1"/>
    <xf numFmtId="0" fontId="0" fillId="0" borderId="0" xfId="0"/>
    <xf numFmtId="0" fontId="0" fillId="5" borderId="0" xfId="0" applyFill="1" applyBorder="1" applyAlignment="1">
      <alignment horizontal="center"/>
    </xf>
    <xf numFmtId="49" fontId="0" fillId="5" borderId="0" xfId="0" applyNumberFormat="1" applyFont="1" applyFill="1" applyBorder="1" applyAlignment="1">
      <alignment vertical="top"/>
    </xf>
    <xf numFmtId="0" fontId="0" fillId="5" borderId="0" xfId="0" applyFont="1" applyFill="1" applyBorder="1" applyAlignment="1">
      <alignment vertical="top"/>
    </xf>
    <xf numFmtId="49" fontId="0" fillId="0" borderId="0" xfId="0" applyNumberFormat="1" applyFont="1"/>
    <xf numFmtId="0" fontId="0" fillId="20" borderId="0" xfId="0" applyFill="1" applyBorder="1" applyAlignment="1">
      <alignment horizontal="center" vertical="top"/>
    </xf>
    <xf numFmtId="0" fontId="0" fillId="0" borderId="215" xfId="0" applyBorder="1"/>
    <xf numFmtId="0" fontId="0" fillId="5" borderId="212" xfId="0" applyFill="1" applyBorder="1"/>
    <xf numFmtId="0" fontId="0" fillId="5" borderId="213" xfId="0" applyFill="1" applyBorder="1"/>
    <xf numFmtId="0" fontId="0" fillId="5" borderId="214" xfId="0" applyFill="1" applyBorder="1"/>
    <xf numFmtId="0" fontId="0" fillId="5" borderId="215" xfId="0" applyFill="1" applyBorder="1"/>
    <xf numFmtId="0" fontId="43" fillId="5" borderId="0" xfId="0" applyFont="1" applyFill="1" applyBorder="1"/>
    <xf numFmtId="0" fontId="0" fillId="5" borderId="216" xfId="0" applyFill="1" applyBorder="1"/>
    <xf numFmtId="0" fontId="0" fillId="5" borderId="217" xfId="0" applyFill="1" applyBorder="1"/>
    <xf numFmtId="0" fontId="0" fillId="0" borderId="215" xfId="0" quotePrefix="1" applyBorder="1"/>
    <xf numFmtId="0" fontId="0" fillId="0" borderId="215" xfId="0" applyFill="1" applyBorder="1"/>
    <xf numFmtId="0" fontId="0" fillId="0" borderId="215" xfId="0" quotePrefix="1" applyFill="1" applyBorder="1"/>
    <xf numFmtId="0" fontId="7" fillId="29" borderId="23" xfId="0" applyNumberFormat="1" applyFont="1" applyFill="1" applyBorder="1"/>
    <xf numFmtId="0" fontId="0" fillId="29" borderId="215" xfId="0" applyFill="1" applyBorder="1"/>
    <xf numFmtId="0" fontId="0" fillId="29" borderId="0" xfId="0" applyFont="1" applyFill="1"/>
    <xf numFmtId="0" fontId="0" fillId="29" borderId="0" xfId="0" applyFill="1" applyAlignment="1"/>
    <xf numFmtId="0" fontId="0" fillId="0" borderId="0" xfId="0" applyBorder="1" applyAlignment="1">
      <alignment horizontal="right"/>
    </xf>
    <xf numFmtId="0" fontId="7" fillId="29" borderId="23" xfId="0" applyFont="1" applyFill="1" applyBorder="1"/>
    <xf numFmtId="0" fontId="0" fillId="23" borderId="215" xfId="0" applyFill="1" applyBorder="1"/>
    <xf numFmtId="0" fontId="0" fillId="3" borderId="9" xfId="0" applyFill="1" applyBorder="1"/>
    <xf numFmtId="0" fontId="0" fillId="3" borderId="9" xfId="0" applyFill="1" applyBorder="1" applyAlignment="1">
      <alignment horizontal="center"/>
    </xf>
    <xf numFmtId="0" fontId="0" fillId="5" borderId="0" xfId="0" applyFill="1" applyBorder="1" applyAlignment="1">
      <alignment horizontal="left"/>
    </xf>
    <xf numFmtId="0" fontId="0" fillId="3" borderId="9" xfId="0" applyFill="1" applyBorder="1"/>
    <xf numFmtId="0" fontId="1" fillId="5" borderId="0" xfId="0" applyFont="1" applyFill="1" applyBorder="1"/>
    <xf numFmtId="0" fontId="0" fillId="4" borderId="0" xfId="0" applyFill="1"/>
    <xf numFmtId="0" fontId="0" fillId="4" borderId="0" xfId="0" applyFill="1"/>
    <xf numFmtId="0" fontId="0" fillId="5" borderId="0" xfId="0" applyFill="1" applyBorder="1"/>
    <xf numFmtId="0" fontId="0" fillId="3" borderId="9" xfId="0" applyFill="1" applyBorder="1"/>
    <xf numFmtId="0" fontId="1" fillId="5" borderId="0" xfId="0" applyFont="1" applyFill="1" applyBorder="1"/>
    <xf numFmtId="0" fontId="0" fillId="5" borderId="22" xfId="0" applyFill="1" applyBorder="1"/>
    <xf numFmtId="0" fontId="0" fillId="0" borderId="0" xfId="0"/>
    <xf numFmtId="0" fontId="0" fillId="3" borderId="9" xfId="0" applyFill="1" applyBorder="1"/>
    <xf numFmtId="0" fontId="6" fillId="5" borderId="0" xfId="0" applyFont="1" applyFill="1" applyBorder="1"/>
    <xf numFmtId="0" fontId="0" fillId="4" borderId="0" xfId="0" applyFill="1"/>
    <xf numFmtId="0" fontId="0" fillId="5" borderId="22" xfId="0" applyFill="1" applyBorder="1"/>
    <xf numFmtId="0" fontId="0" fillId="4" borderId="0" xfId="0" applyFill="1"/>
    <xf numFmtId="0" fontId="0" fillId="0" borderId="0" xfId="0"/>
    <xf numFmtId="0" fontId="65" fillId="5" borderId="0" xfId="0" applyFont="1" applyFill="1" applyBorder="1"/>
    <xf numFmtId="165" fontId="40" fillId="5" borderId="22" xfId="0" applyNumberFormat="1" applyFont="1" applyFill="1" applyBorder="1" applyAlignment="1">
      <alignment horizontal="center"/>
    </xf>
    <xf numFmtId="0" fontId="40" fillId="5" borderId="22" xfId="0" applyNumberFormat="1" applyFont="1" applyFill="1" applyBorder="1" applyAlignment="1">
      <alignment horizontal="center"/>
    </xf>
    <xf numFmtId="0" fontId="0" fillId="5" borderId="0" xfId="0" applyFill="1" applyBorder="1"/>
    <xf numFmtId="0" fontId="0" fillId="4" borderId="0" xfId="0" applyFill="1"/>
    <xf numFmtId="0" fontId="0" fillId="0" borderId="0" xfId="0"/>
    <xf numFmtId="0" fontId="0" fillId="23" borderId="0" xfId="0" applyFill="1"/>
    <xf numFmtId="0" fontId="102" fillId="5" borderId="0" xfId="2" applyFill="1" applyBorder="1" applyAlignment="1" applyProtection="1"/>
    <xf numFmtId="0" fontId="1" fillId="5" borderId="0" xfId="0" applyFont="1" applyFill="1" applyBorder="1" applyAlignment="1">
      <alignment vertical="top" wrapText="1"/>
    </xf>
    <xf numFmtId="183" fontId="1" fillId="5" borderId="1" xfId="0" applyNumberFormat="1" applyFont="1" applyFill="1" applyBorder="1" applyAlignment="1">
      <alignment horizontal="center"/>
    </xf>
    <xf numFmtId="0" fontId="3" fillId="3" borderId="9" xfId="0" applyFont="1" applyFill="1" applyBorder="1" applyAlignment="1">
      <alignment horizontal="center"/>
    </xf>
    <xf numFmtId="0" fontId="0" fillId="5" borderId="0" xfId="0" applyFill="1" applyBorder="1"/>
    <xf numFmtId="0" fontId="0" fillId="4" borderId="0" xfId="0" applyFill="1"/>
    <xf numFmtId="0" fontId="0" fillId="3" borderId="9" xfId="0" applyFill="1" applyBorder="1" applyAlignment="1">
      <alignment horizontal="center"/>
    </xf>
    <xf numFmtId="0" fontId="0" fillId="0" borderId="0" xfId="0"/>
    <xf numFmtId="0" fontId="0" fillId="5" borderId="0" xfId="0" applyFill="1" applyBorder="1" applyAlignment="1">
      <alignment horizontal="center"/>
    </xf>
    <xf numFmtId="0" fontId="45" fillId="0" borderId="0" xfId="0" applyFont="1"/>
    <xf numFmtId="0" fontId="3" fillId="3" borderId="9" xfId="0" applyFont="1" applyFill="1" applyBorder="1" applyAlignment="1">
      <alignment horizontal="center"/>
    </xf>
    <xf numFmtId="0" fontId="0" fillId="4" borderId="0" xfId="0" applyFill="1"/>
    <xf numFmtId="0" fontId="0" fillId="3" borderId="9" xfId="0" applyFill="1" applyBorder="1" applyAlignment="1">
      <alignment horizontal="center"/>
    </xf>
    <xf numFmtId="0" fontId="0" fillId="0" borderId="0" xfId="0"/>
    <xf numFmtId="0" fontId="0" fillId="0" borderId="0" xfId="0" applyAlignment="1">
      <alignment vertical="top" wrapText="1"/>
    </xf>
    <xf numFmtId="0" fontId="103" fillId="4" borderId="0" xfId="0" applyFont="1" applyFill="1"/>
    <xf numFmtId="0" fontId="103" fillId="4" borderId="0" xfId="0" quotePrefix="1" applyFont="1" applyFill="1"/>
    <xf numFmtId="0" fontId="0" fillId="3" borderId="9" xfId="0" applyFill="1" applyBorder="1" applyAlignment="1">
      <alignment horizontal="left"/>
    </xf>
    <xf numFmtId="0" fontId="0" fillId="5" borderId="0" xfId="0" applyFill="1" applyBorder="1"/>
    <xf numFmtId="0" fontId="1" fillId="5" borderId="1" xfId="0" applyFont="1" applyFill="1" applyBorder="1" applyAlignment="1">
      <alignment horizontal="center"/>
    </xf>
    <xf numFmtId="0" fontId="0" fillId="3" borderId="9" xfId="0" applyFill="1" applyBorder="1"/>
    <xf numFmtId="0" fontId="1" fillId="5" borderId="1" xfId="0" applyFont="1" applyFill="1" applyBorder="1"/>
    <xf numFmtId="0" fontId="0" fillId="4" borderId="0" xfId="0" applyFill="1"/>
    <xf numFmtId="0" fontId="0" fillId="5" borderId="22" xfId="0" applyFill="1" applyBorder="1"/>
    <xf numFmtId="0" fontId="0" fillId="5" borderId="9" xfId="0" applyFill="1" applyBorder="1" applyAlignment="1">
      <alignment horizontal="center"/>
    </xf>
    <xf numFmtId="0" fontId="0" fillId="5" borderId="0" xfId="0" applyFill="1" applyBorder="1" applyAlignment="1">
      <alignment horizontal="center"/>
    </xf>
    <xf numFmtId="0" fontId="0" fillId="5" borderId="1" xfId="0" applyFill="1" applyBorder="1" applyAlignment="1">
      <alignment horizontal="center"/>
    </xf>
    <xf numFmtId="0" fontId="0" fillId="0" borderId="0" xfId="0" applyAlignment="1">
      <alignment vertical="top"/>
    </xf>
    <xf numFmtId="0" fontId="0" fillId="0" borderId="0" xfId="0" applyAlignment="1">
      <alignment wrapText="1"/>
    </xf>
    <xf numFmtId="0" fontId="1" fillId="0" borderId="0" xfId="0" applyFont="1" applyAlignment="1">
      <alignment vertical="top"/>
    </xf>
    <xf numFmtId="0" fontId="0" fillId="0" borderId="0" xfId="0" quotePrefix="1" applyAlignment="1">
      <alignment vertical="top"/>
    </xf>
    <xf numFmtId="0" fontId="0" fillId="0" borderId="0" xfId="0"/>
    <xf numFmtId="185" fontId="0" fillId="5" borderId="0" xfId="0" applyNumberFormat="1" applyFill="1" applyBorder="1" applyAlignment="1">
      <alignment horizontal="center"/>
    </xf>
    <xf numFmtId="0" fontId="0" fillId="5" borderId="213" xfId="0" applyFill="1" applyBorder="1" applyAlignment="1">
      <alignment horizontal="center"/>
    </xf>
    <xf numFmtId="0" fontId="63" fillId="4" borderId="0" xfId="0" applyFont="1" applyFill="1" applyAlignment="1">
      <alignment horizontal="center"/>
    </xf>
    <xf numFmtId="0" fontId="0" fillId="5" borderId="0" xfId="0" quotePrefix="1" applyFill="1" applyBorder="1"/>
    <xf numFmtId="0" fontId="0" fillId="0" borderId="0" xfId="0"/>
    <xf numFmtId="0" fontId="1" fillId="0" borderId="0" xfId="0" applyFont="1" applyAlignment="1"/>
    <xf numFmtId="0" fontId="1" fillId="0" borderId="0" xfId="0" applyFont="1" applyAlignment="1">
      <alignment vertical="top" wrapText="1"/>
    </xf>
    <xf numFmtId="0" fontId="0" fillId="0" borderId="0" xfId="0" applyNumberFormat="1" applyAlignment="1">
      <alignment vertical="top" wrapText="1"/>
    </xf>
    <xf numFmtId="0" fontId="3" fillId="0" borderId="0" xfId="0" applyFont="1"/>
    <xf numFmtId="0" fontId="3" fillId="0" borderId="0" xfId="0" applyFont="1" applyAlignment="1">
      <alignment vertical="top" wrapText="1"/>
    </xf>
    <xf numFmtId="0" fontId="3" fillId="0" borderId="0" xfId="0" applyFont="1" applyAlignment="1"/>
    <xf numFmtId="0" fontId="0" fillId="5" borderId="0" xfId="0" applyFill="1" applyAlignment="1">
      <alignment vertical="top" wrapText="1"/>
    </xf>
    <xf numFmtId="0" fontId="0" fillId="4" borderId="0" xfId="0" applyFill="1"/>
    <xf numFmtId="0" fontId="0" fillId="3" borderId="9" xfId="0" applyFill="1" applyBorder="1" applyAlignment="1">
      <alignment horizontal="left"/>
    </xf>
    <xf numFmtId="0" fontId="3" fillId="3" borderId="9" xfId="0" applyFont="1" applyFill="1" applyBorder="1" applyAlignment="1">
      <alignment horizontal="center"/>
    </xf>
    <xf numFmtId="0" fontId="0" fillId="5" borderId="0" xfId="0" applyFill="1" applyBorder="1"/>
    <xf numFmtId="0" fontId="0" fillId="5" borderId="0" xfId="0" applyFill="1" applyBorder="1" applyAlignment="1">
      <alignment horizontal="left"/>
    </xf>
    <xf numFmtId="0" fontId="1" fillId="5" borderId="0" xfId="0" applyFont="1" applyFill="1" applyBorder="1" applyAlignment="1">
      <alignment horizontal="center"/>
    </xf>
    <xf numFmtId="0" fontId="1" fillId="5" borderId="1" xfId="0" applyFont="1" applyFill="1" applyBorder="1" applyAlignment="1">
      <alignment horizontal="center"/>
    </xf>
    <xf numFmtId="0" fontId="1" fillId="5" borderId="0" xfId="0" applyFont="1"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0" fillId="3" borderId="9" xfId="0" applyFill="1" applyBorder="1" applyAlignment="1">
      <alignment horizontal="center"/>
    </xf>
    <xf numFmtId="0" fontId="0" fillId="0" borderId="0" xfId="0"/>
    <xf numFmtId="0" fontId="0" fillId="5" borderId="0" xfId="0" applyFill="1" applyBorder="1" applyAlignment="1">
      <alignment horizontal="center"/>
    </xf>
    <xf numFmtId="0" fontId="3" fillId="5" borderId="0" xfId="0" applyFont="1" applyFill="1" applyBorder="1"/>
    <xf numFmtId="3" fontId="0" fillId="0" borderId="0" xfId="0" applyNumberFormat="1" applyBorder="1" applyAlignment="1">
      <alignment horizontal="center"/>
    </xf>
    <xf numFmtId="0" fontId="0" fillId="0" borderId="7" xfId="0" applyFill="1" applyBorder="1" applyAlignment="1">
      <alignment horizontal="left"/>
    </xf>
    <xf numFmtId="0" fontId="63" fillId="4" borderId="0" xfId="0" applyFont="1" applyFill="1" applyAlignment="1">
      <alignment horizontal="right"/>
    </xf>
    <xf numFmtId="0" fontId="64" fillId="4" borderId="0" xfId="0" quotePrefix="1" applyFont="1" applyFill="1"/>
    <xf numFmtId="0" fontId="0" fillId="5" borderId="185" xfId="0" applyFill="1" applyBorder="1" applyAlignment="1">
      <alignment horizontal="center"/>
    </xf>
    <xf numFmtId="0" fontId="0" fillId="5" borderId="0" xfId="0" applyFill="1" applyBorder="1" applyAlignment="1">
      <alignment horizontal="left" vertical="top" wrapText="1"/>
    </xf>
    <xf numFmtId="0" fontId="0" fillId="3" borderId="9" xfId="0" applyFill="1" applyBorder="1"/>
    <xf numFmtId="0" fontId="0" fillId="5" borderId="9" xfId="0" applyFill="1" applyBorder="1" applyAlignment="1">
      <alignment horizontal="center"/>
    </xf>
    <xf numFmtId="49" fontId="1" fillId="0" borderId="213" xfId="0" applyNumberFormat="1" applyFont="1" applyBorder="1"/>
    <xf numFmtId="0" fontId="0" fillId="0" borderId="0" xfId="0" applyFont="1" applyAlignment="1"/>
    <xf numFmtId="0" fontId="1" fillId="0" borderId="212" xfId="0" applyFont="1" applyBorder="1"/>
    <xf numFmtId="0" fontId="0" fillId="0" borderId="214" xfId="0" applyBorder="1"/>
    <xf numFmtId="0" fontId="0" fillId="0" borderId="7" xfId="0" applyBorder="1" applyAlignment="1"/>
    <xf numFmtId="0" fontId="0" fillId="0" borderId="7" xfId="0" applyFill="1" applyBorder="1" applyAlignment="1"/>
    <xf numFmtId="0" fontId="0" fillId="4" borderId="0" xfId="0" quotePrefix="1" applyFont="1" applyFill="1"/>
    <xf numFmtId="0" fontId="1" fillId="5" borderId="0" xfId="0" applyFont="1" applyFill="1" applyAlignment="1">
      <alignment horizontal="center"/>
    </xf>
    <xf numFmtId="0" fontId="1" fillId="5" borderId="1" xfId="0" applyNumberFormat="1" applyFont="1" applyFill="1" applyBorder="1" applyAlignment="1">
      <alignment horizontal="center"/>
    </xf>
    <xf numFmtId="181" fontId="0" fillId="3" borderId="9" xfId="0" applyNumberFormat="1" applyFill="1" applyBorder="1" applyAlignment="1">
      <alignment horizontal="center"/>
    </xf>
    <xf numFmtId="0" fontId="104" fillId="5" borderId="0" xfId="0" applyFont="1" applyFill="1" applyBorder="1" applyAlignment="1">
      <alignment horizontal="center"/>
    </xf>
    <xf numFmtId="0" fontId="104" fillId="5" borderId="0" xfId="0" applyFont="1" applyFill="1" applyBorder="1" applyAlignment="1">
      <alignment horizontal="center" wrapText="1"/>
    </xf>
    <xf numFmtId="0" fontId="105" fillId="5" borderId="0" xfId="0" applyFont="1" applyFill="1" applyBorder="1" applyAlignment="1">
      <alignment horizontal="center" wrapText="1"/>
    </xf>
    <xf numFmtId="0" fontId="105" fillId="5" borderId="0" xfId="0" applyFont="1" applyFill="1" applyBorder="1" applyAlignment="1">
      <alignment horizontal="center"/>
    </xf>
    <xf numFmtId="0" fontId="106" fillId="5" borderId="1" xfId="0" applyFont="1" applyFill="1" applyBorder="1" applyAlignment="1">
      <alignment horizontal="center"/>
    </xf>
    <xf numFmtId="0" fontId="106" fillId="5" borderId="0" xfId="0" applyFont="1" applyFill="1" applyBorder="1" applyAlignment="1">
      <alignment horizontal="center"/>
    </xf>
    <xf numFmtId="0" fontId="0" fillId="5" borderId="0" xfId="0" applyFill="1" applyBorder="1" applyAlignment="1">
      <alignment horizontal="center" shrinkToFit="1"/>
    </xf>
    <xf numFmtId="0" fontId="3" fillId="5" borderId="0" xfId="0" applyFont="1" applyFill="1" applyBorder="1" applyAlignment="1">
      <alignment horizontal="right"/>
    </xf>
    <xf numFmtId="0" fontId="0" fillId="5" borderId="0" xfId="0" applyFill="1" applyBorder="1"/>
    <xf numFmtId="0" fontId="0" fillId="5" borderId="0" xfId="0" applyFill="1" applyBorder="1" applyAlignment="1">
      <alignment horizontal="left"/>
    </xf>
    <xf numFmtId="0" fontId="1" fillId="5" borderId="0" xfId="0" applyFont="1" applyFill="1" applyBorder="1" applyAlignment="1">
      <alignment horizontal="center"/>
    </xf>
    <xf numFmtId="0" fontId="0" fillId="3" borderId="9" xfId="0" applyFill="1" applyBorder="1"/>
    <xf numFmtId="0" fontId="1" fillId="5" borderId="0" xfId="0" applyFont="1" applyFill="1" applyBorder="1"/>
    <xf numFmtId="0" fontId="0" fillId="4" borderId="0" xfId="0" applyFill="1"/>
    <xf numFmtId="0" fontId="0" fillId="3" borderId="9" xfId="0" applyFill="1" applyBorder="1" applyAlignment="1">
      <alignment horizontal="center"/>
    </xf>
    <xf numFmtId="0" fontId="0" fillId="5" borderId="0" xfId="0" applyNumberFormat="1" applyFill="1" applyBorder="1" applyAlignment="1">
      <alignment horizontal="left"/>
    </xf>
    <xf numFmtId="0" fontId="0" fillId="5" borderId="0" xfId="0" applyFill="1" applyBorder="1" applyAlignment="1">
      <alignment horizontal="center"/>
    </xf>
    <xf numFmtId="0" fontId="0" fillId="5" borderId="0" xfId="0" applyFill="1" applyAlignment="1">
      <alignment horizontal="center" vertical="top"/>
    </xf>
    <xf numFmtId="0" fontId="0" fillId="5" borderId="0" xfId="0" applyFill="1" applyAlignment="1">
      <alignment vertical="top"/>
    </xf>
    <xf numFmtId="0" fontId="0" fillId="4" borderId="187" xfId="0" applyFill="1" applyBorder="1" applyAlignment="1">
      <alignment vertical="top"/>
    </xf>
    <xf numFmtId="0" fontId="0" fillId="4" borderId="187" xfId="0" applyFill="1" applyBorder="1" applyAlignment="1">
      <alignment horizontal="center" vertical="top"/>
    </xf>
    <xf numFmtId="0" fontId="0" fillId="4" borderId="187" xfId="0" applyFill="1" applyBorder="1" applyAlignment="1">
      <alignment textRotation="90"/>
    </xf>
    <xf numFmtId="0" fontId="0" fillId="4" borderId="187" xfId="0" quotePrefix="1" applyFill="1" applyBorder="1" applyAlignment="1">
      <alignment vertical="top"/>
    </xf>
    <xf numFmtId="0" fontId="0" fillId="23" borderId="0" xfId="0" applyFill="1" applyAlignment="1">
      <alignment vertical="top"/>
    </xf>
    <xf numFmtId="0" fontId="0" fillId="23" borderId="0" xfId="0" quotePrefix="1" applyFill="1" applyAlignment="1">
      <alignment vertical="top"/>
    </xf>
    <xf numFmtId="49" fontId="0" fillId="0" borderId="0" xfId="0" applyNumberFormat="1" applyFill="1" applyBorder="1"/>
    <xf numFmtId="0" fontId="3" fillId="3" borderId="9" xfId="0" applyFont="1" applyFill="1" applyBorder="1" applyAlignment="1">
      <alignment horizontal="center"/>
    </xf>
    <xf numFmtId="0" fontId="1" fillId="0" borderId="213" xfId="0" applyFont="1" applyBorder="1"/>
    <xf numFmtId="0" fontId="1" fillId="0" borderId="214" xfId="0" applyFont="1" applyBorder="1"/>
    <xf numFmtId="0" fontId="0" fillId="0" borderId="0" xfId="0" applyNumberFormat="1" applyFill="1" applyBorder="1" applyAlignment="1">
      <alignment horizontal="center"/>
    </xf>
    <xf numFmtId="0" fontId="42" fillId="5" borderId="0" xfId="0" applyNumberFormat="1" applyFont="1" applyFill="1" applyBorder="1" applyAlignment="1">
      <alignment horizontal="center"/>
    </xf>
    <xf numFmtId="181" fontId="0" fillId="5" borderId="0" xfId="0" applyNumberFormat="1" applyFill="1" applyBorder="1" applyAlignment="1">
      <alignment horizontal="center" shrinkToFit="1"/>
    </xf>
    <xf numFmtId="0" fontId="0" fillId="3" borderId="9" xfId="0" applyFont="1" applyFill="1" applyBorder="1" applyAlignment="1">
      <alignment horizontal="center"/>
    </xf>
    <xf numFmtId="0" fontId="0" fillId="4" borderId="0" xfId="0" applyFill="1"/>
    <xf numFmtId="0" fontId="0" fillId="0" borderId="0" xfId="0"/>
    <xf numFmtId="0" fontId="0" fillId="5" borderId="0" xfId="0" applyFill="1" applyBorder="1"/>
    <xf numFmtId="0" fontId="1" fillId="5" borderId="1" xfId="0" applyFont="1" applyFill="1" applyBorder="1"/>
    <xf numFmtId="0" fontId="6" fillId="5" borderId="0" xfId="0" applyFont="1" applyFill="1" applyBorder="1"/>
    <xf numFmtId="0" fontId="0" fillId="4" borderId="0" xfId="0" applyFill="1"/>
    <xf numFmtId="0" fontId="0" fillId="5" borderId="22" xfId="0" applyFill="1" applyBorder="1"/>
    <xf numFmtId="0" fontId="6" fillId="5" borderId="1" xfId="0" applyFont="1" applyFill="1" applyBorder="1"/>
    <xf numFmtId="0" fontId="0" fillId="3" borderId="9" xfId="0" applyFill="1" applyBorder="1" applyAlignment="1">
      <alignment horizontal="center"/>
    </xf>
    <xf numFmtId="0" fontId="0" fillId="0" borderId="212" xfId="0" applyBorder="1"/>
    <xf numFmtId="0" fontId="0" fillId="0" borderId="213" xfId="0" applyBorder="1" applyAlignment="1">
      <alignment horizontal="center"/>
    </xf>
    <xf numFmtId="0" fontId="0" fillId="0" borderId="213" xfId="0" applyFill="1" applyBorder="1" applyAlignment="1">
      <alignment horizontal="center"/>
    </xf>
    <xf numFmtId="1" fontId="0" fillId="0" borderId="0" xfId="0" applyNumberFormat="1" applyBorder="1" applyAlignment="1">
      <alignment horizontal="center"/>
    </xf>
    <xf numFmtId="0" fontId="3" fillId="0" borderId="0" xfId="0" applyFont="1" applyBorder="1" applyAlignment="1">
      <alignment horizontal="left" vertical="top" wrapText="1"/>
    </xf>
    <xf numFmtId="0" fontId="3" fillId="0" borderId="0" xfId="0" applyFont="1" applyBorder="1" applyAlignment="1">
      <alignment horizontal="left" vertical="top"/>
    </xf>
    <xf numFmtId="0" fontId="3" fillId="0" borderId="0" xfId="0" applyFont="1" applyFill="1" applyBorder="1" applyAlignment="1">
      <alignment horizontal="left" vertical="top"/>
    </xf>
    <xf numFmtId="0" fontId="3" fillId="0" borderId="0" xfId="0" applyFont="1" applyFill="1" applyBorder="1" applyAlignment="1">
      <alignment horizontal="left" vertical="top" wrapText="1"/>
    </xf>
    <xf numFmtId="0" fontId="1" fillId="4" borderId="1" xfId="0" applyFont="1" applyFill="1" applyBorder="1"/>
    <xf numFmtId="0" fontId="1" fillId="4" borderId="194" xfId="0" applyFont="1" applyFill="1" applyBorder="1"/>
    <xf numFmtId="0" fontId="0" fillId="4" borderId="1" xfId="0" applyFill="1" applyBorder="1"/>
    <xf numFmtId="0" fontId="0" fillId="4" borderId="195" xfId="0" applyFill="1" applyBorder="1"/>
    <xf numFmtId="0" fontId="0" fillId="4" borderId="0" xfId="0" applyFill="1" applyBorder="1" applyAlignment="1">
      <alignment horizontal="left"/>
    </xf>
    <xf numFmtId="0" fontId="0" fillId="4" borderId="170" xfId="0" quotePrefix="1" applyFill="1" applyBorder="1"/>
    <xf numFmtId="0" fontId="3" fillId="0" borderId="187" xfId="0" applyFont="1" applyBorder="1" applyAlignment="1">
      <alignment horizontal="left" vertical="top" wrapText="1"/>
    </xf>
    <xf numFmtId="0" fontId="3" fillId="0" borderId="0" xfId="0" applyFont="1" applyAlignment="1">
      <alignment horizontal="left" vertical="top" wrapText="1"/>
    </xf>
    <xf numFmtId="0" fontId="0" fillId="0" borderId="0" xfId="0" applyFont="1" applyBorder="1"/>
    <xf numFmtId="0" fontId="3" fillId="0" borderId="0" xfId="0" applyFont="1" applyFill="1" applyAlignment="1">
      <alignment horizontal="left" vertical="top"/>
    </xf>
    <xf numFmtId="0" fontId="3" fillId="0" borderId="0" xfId="0" applyFont="1" applyFill="1" applyAlignment="1">
      <alignment horizontal="left" vertical="top" wrapText="1"/>
    </xf>
    <xf numFmtId="0" fontId="0" fillId="5" borderId="0" xfId="0" applyFill="1" applyBorder="1"/>
    <xf numFmtId="0" fontId="0" fillId="4" borderId="0" xfId="0" applyFill="1"/>
    <xf numFmtId="0" fontId="42" fillId="5" borderId="0" xfId="0" applyFont="1" applyFill="1" applyBorder="1"/>
    <xf numFmtId="0" fontId="1" fillId="0" borderId="213" xfId="0" applyFont="1" applyBorder="1" applyAlignment="1"/>
    <xf numFmtId="0" fontId="0" fillId="0" borderId="0" xfId="0" applyFill="1" applyBorder="1" applyAlignment="1"/>
    <xf numFmtId="0" fontId="0" fillId="0" borderId="0" xfId="0" applyFont="1" applyBorder="1" applyAlignment="1"/>
    <xf numFmtId="0" fontId="0" fillId="0" borderId="215" xfId="0" applyBorder="1" applyAlignment="1">
      <alignment vertical="top"/>
    </xf>
    <xf numFmtId="0" fontId="0" fillId="0" borderId="0" xfId="0" applyBorder="1" applyAlignment="1">
      <alignment vertical="top"/>
    </xf>
    <xf numFmtId="0" fontId="0" fillId="0" borderId="0" xfId="0" applyFill="1" applyBorder="1" applyAlignment="1">
      <alignment vertical="top"/>
    </xf>
    <xf numFmtId="0" fontId="65" fillId="5" borderId="22" xfId="0" applyFont="1" applyFill="1" applyBorder="1"/>
    <xf numFmtId="0" fontId="0" fillId="0" borderId="7" xfId="0" applyBorder="1" applyAlignment="1">
      <alignment vertical="top"/>
    </xf>
    <xf numFmtId="0" fontId="0" fillId="0" borderId="0" xfId="0" applyFont="1" applyBorder="1" applyAlignment="1">
      <alignment vertical="top"/>
    </xf>
    <xf numFmtId="0" fontId="0" fillId="0" borderId="0" xfId="0" applyFont="1" applyFill="1" applyBorder="1" applyAlignment="1">
      <alignment vertical="top"/>
    </xf>
    <xf numFmtId="0" fontId="0" fillId="0" borderId="7" xfId="0" applyFont="1" applyBorder="1" applyAlignment="1">
      <alignment vertical="top"/>
    </xf>
    <xf numFmtId="0" fontId="1" fillId="0" borderId="0" xfId="0" applyFont="1" applyBorder="1"/>
    <xf numFmtId="0" fontId="0" fillId="0" borderId="0" xfId="0" quotePrefix="1" applyAlignment="1"/>
    <xf numFmtId="0" fontId="0" fillId="30" borderId="0" xfId="0" applyFill="1"/>
    <xf numFmtId="0" fontId="0" fillId="31" borderId="0" xfId="0" applyFill="1"/>
    <xf numFmtId="0" fontId="0" fillId="28" borderId="0" xfId="0" applyFill="1"/>
    <xf numFmtId="0" fontId="6" fillId="5" borderId="1" xfId="0" applyFont="1" applyFill="1" applyBorder="1" applyAlignment="1">
      <alignment horizontal="center" vertical="top" textRotation="90"/>
    </xf>
    <xf numFmtId="0" fontId="0" fillId="5" borderId="0" xfId="0" applyFill="1" applyBorder="1"/>
    <xf numFmtId="0" fontId="0" fillId="4" borderId="0" xfId="0" applyFill="1"/>
    <xf numFmtId="0" fontId="0" fillId="0" borderId="0" xfId="0"/>
    <xf numFmtId="0" fontId="0" fillId="4" borderId="0" xfId="0" applyFill="1"/>
    <xf numFmtId="0" fontId="0" fillId="4" borderId="0" xfId="0" applyFill="1" applyAlignment="1"/>
    <xf numFmtId="0" fontId="0" fillId="32" borderId="0" xfId="0" applyFill="1"/>
    <xf numFmtId="0" fontId="107" fillId="5" borderId="0" xfId="0" applyFont="1" applyFill="1" applyBorder="1"/>
    <xf numFmtId="0" fontId="40" fillId="5" borderId="6" xfId="0" applyFont="1" applyFill="1" applyBorder="1" applyAlignment="1">
      <alignment vertical="top"/>
    </xf>
    <xf numFmtId="0" fontId="0" fillId="0" borderId="0" xfId="0" quotePrefix="1" applyBorder="1" applyAlignment="1"/>
    <xf numFmtId="0" fontId="3" fillId="3" borderId="9" xfId="0" applyFont="1" applyFill="1" applyBorder="1" applyAlignment="1">
      <alignment horizontal="center"/>
    </xf>
    <xf numFmtId="0" fontId="0" fillId="3" borderId="9" xfId="0" applyFill="1" applyBorder="1" applyAlignment="1">
      <alignment horizontal="center"/>
    </xf>
    <xf numFmtId="0" fontId="0" fillId="0" borderId="0" xfId="0"/>
    <xf numFmtId="0" fontId="0" fillId="5" borderId="0" xfId="0" applyFill="1" applyBorder="1" applyAlignment="1">
      <alignment horizontal="center"/>
    </xf>
    <xf numFmtId="0" fontId="3" fillId="0" borderId="215" xfId="0" applyFont="1" applyBorder="1"/>
    <xf numFmtId="0" fontId="0" fillId="4" borderId="0" xfId="0" applyFill="1"/>
    <xf numFmtId="0" fontId="0" fillId="0" borderId="0" xfId="0"/>
    <xf numFmtId="0" fontId="0" fillId="0" borderId="0" xfId="0"/>
    <xf numFmtId="0" fontId="8" fillId="0" borderId="199" xfId="0" applyFont="1" applyBorder="1"/>
    <xf numFmtId="0" fontId="0" fillId="3" borderId="9" xfId="0" applyFill="1" applyBorder="1" applyAlignment="1">
      <alignment horizontal="center"/>
    </xf>
    <xf numFmtId="0" fontId="6" fillId="5" borderId="0" xfId="0" applyFont="1" applyFill="1" applyBorder="1" applyAlignment="1">
      <alignment horizontal="center" vertical="top" textRotation="90"/>
    </xf>
    <xf numFmtId="0" fontId="0" fillId="5" borderId="0" xfId="0" applyFill="1" applyBorder="1"/>
    <xf numFmtId="0" fontId="1" fillId="5" borderId="0" xfId="0" applyFont="1" applyFill="1" applyBorder="1" applyAlignment="1">
      <alignment horizontal="center"/>
    </xf>
    <xf numFmtId="0" fontId="6" fillId="5" borderId="0" xfId="0" applyFont="1" applyFill="1" applyBorder="1"/>
    <xf numFmtId="0" fontId="1" fillId="5" borderId="0" xfId="0" applyFont="1" applyFill="1" applyBorder="1"/>
    <xf numFmtId="0" fontId="0" fillId="4" borderId="0" xfId="0" applyFill="1"/>
    <xf numFmtId="0" fontId="0" fillId="3" borderId="9" xfId="0" applyFill="1" applyBorder="1"/>
    <xf numFmtId="0" fontId="0" fillId="5" borderId="22" xfId="0" applyFill="1" applyBorder="1"/>
    <xf numFmtId="0" fontId="0" fillId="0" borderId="0" xfId="0"/>
    <xf numFmtId="0" fontId="0" fillId="5" borderId="0" xfId="0" applyFill="1" applyBorder="1" applyAlignment="1">
      <alignment horizontal="center"/>
    </xf>
    <xf numFmtId="0" fontId="3" fillId="5" borderId="0" xfId="0" applyFont="1" applyFill="1" applyBorder="1"/>
    <xf numFmtId="0" fontId="42" fillId="5" borderId="0" xfId="0" applyFont="1" applyFill="1" applyBorder="1"/>
    <xf numFmtId="0" fontId="0" fillId="4" borderId="0" xfId="0" applyFill="1"/>
    <xf numFmtId="0" fontId="0" fillId="0" borderId="0" xfId="0"/>
    <xf numFmtId="3" fontId="0" fillId="0" borderId="0" xfId="0" applyNumberFormat="1"/>
    <xf numFmtId="0" fontId="0" fillId="4" borderId="215" xfId="0" applyFill="1" applyBorder="1" applyAlignment="1">
      <alignment vertical="top"/>
    </xf>
    <xf numFmtId="0" fontId="0" fillId="4" borderId="0" xfId="0" applyFill="1" applyBorder="1" applyAlignment="1">
      <alignment horizontal="center" vertical="top"/>
    </xf>
    <xf numFmtId="0" fontId="0" fillId="4" borderId="170" xfId="0" applyFill="1" applyBorder="1" applyAlignment="1">
      <alignment horizontal="center" vertical="top"/>
    </xf>
    <xf numFmtId="0" fontId="0" fillId="4" borderId="170" xfId="0" applyFill="1" applyBorder="1" applyAlignment="1">
      <alignment vertical="top"/>
    </xf>
    <xf numFmtId="0" fontId="0" fillId="33" borderId="187" xfId="0" applyFill="1" applyBorder="1" applyAlignment="1">
      <alignment vertical="top"/>
    </xf>
    <xf numFmtId="0" fontId="0" fillId="23" borderId="156" xfId="0" applyFill="1" applyBorder="1" applyAlignment="1">
      <alignment vertical="top"/>
    </xf>
    <xf numFmtId="0" fontId="0" fillId="23" borderId="205" xfId="0" applyFill="1" applyBorder="1" applyAlignment="1">
      <alignment vertical="top"/>
    </xf>
    <xf numFmtId="0" fontId="0" fillId="23" borderId="205" xfId="0" applyFill="1" applyBorder="1"/>
    <xf numFmtId="0" fontId="1" fillId="23" borderId="0" xfId="0" applyFont="1" applyFill="1" applyAlignment="1">
      <alignment vertical="top"/>
    </xf>
    <xf numFmtId="0" fontId="0" fillId="33" borderId="205" xfId="0" applyFill="1" applyBorder="1" applyAlignment="1">
      <alignment vertical="top"/>
    </xf>
    <xf numFmtId="0" fontId="3" fillId="5" borderId="215" xfId="0" applyFont="1" applyFill="1" applyBorder="1"/>
    <xf numFmtId="0" fontId="3" fillId="5" borderId="212" xfId="0" applyFont="1" applyFill="1" applyBorder="1"/>
    <xf numFmtId="0" fontId="3" fillId="5" borderId="213" xfId="0" applyFont="1" applyFill="1" applyBorder="1"/>
    <xf numFmtId="0" fontId="3" fillId="5" borderId="214" xfId="0" applyFont="1" applyFill="1" applyBorder="1"/>
    <xf numFmtId="0" fontId="0" fillId="0" borderId="0" xfId="0" applyAlignment="1">
      <alignment horizontal="left" vertical="top"/>
    </xf>
    <xf numFmtId="0" fontId="0" fillId="32" borderId="0" xfId="0" applyFill="1" applyAlignment="1">
      <alignment vertical="top"/>
    </xf>
    <xf numFmtId="0" fontId="40" fillId="5" borderId="215" xfId="0" applyFont="1" applyFill="1" applyBorder="1" applyAlignment="1">
      <alignment vertical="top"/>
    </xf>
    <xf numFmtId="0" fontId="0" fillId="32" borderId="0" xfId="0" applyFill="1" applyAlignment="1">
      <alignment horizontal="center" vertical="top"/>
    </xf>
    <xf numFmtId="0" fontId="1" fillId="32" borderId="0" xfId="0" applyFont="1" applyFill="1" applyAlignment="1">
      <alignment horizontal="center" vertical="top"/>
    </xf>
    <xf numFmtId="0" fontId="39" fillId="32" borderId="0" xfId="0" applyFont="1" applyFill="1" applyBorder="1" applyAlignment="1" applyProtection="1">
      <alignment horizontal="center" vertical="top"/>
      <protection locked="0"/>
    </xf>
    <xf numFmtId="0" fontId="0" fillId="0" borderId="0" xfId="0" applyFill="1" applyAlignment="1"/>
    <xf numFmtId="0" fontId="8" fillId="0" borderId="0" xfId="0" applyFont="1" applyBorder="1" applyAlignment="1">
      <alignment horizontal="center"/>
    </xf>
    <xf numFmtId="0" fontId="8" fillId="0" borderId="0" xfId="0" applyFont="1" applyAlignment="1"/>
    <xf numFmtId="0" fontId="8" fillId="0" borderId="33" xfId="0" applyFont="1" applyBorder="1" applyAlignment="1"/>
    <xf numFmtId="0" fontId="8" fillId="0" borderId="30" xfId="0" applyFont="1" applyBorder="1" applyAlignment="1"/>
    <xf numFmtId="0" fontId="0" fillId="5" borderId="0" xfId="0" applyFill="1" applyBorder="1"/>
    <xf numFmtId="0" fontId="0" fillId="5" borderId="20" xfId="0" applyFill="1" applyBorder="1"/>
    <xf numFmtId="0" fontId="6" fillId="5" borderId="0" xfId="0" applyFont="1" applyFill="1" applyBorder="1"/>
    <xf numFmtId="0" fontId="0" fillId="4" borderId="0" xfId="0" applyFill="1"/>
    <xf numFmtId="0" fontId="0" fillId="5" borderId="22" xfId="0" applyFill="1" applyBorder="1"/>
    <xf numFmtId="0" fontId="87" fillId="0" borderId="0" xfId="0" applyFont="1" applyBorder="1" applyAlignment="1">
      <alignment horizontal="left" vertical="top"/>
    </xf>
    <xf numFmtId="0" fontId="0" fillId="0" borderId="0" xfId="0"/>
    <xf numFmtId="0" fontId="8" fillId="0" borderId="31" xfId="0" applyFont="1" applyFill="1" applyBorder="1" applyAlignment="1"/>
    <xf numFmtId="0" fontId="10" fillId="0" borderId="0" xfId="0" applyFont="1" applyFill="1" applyBorder="1" applyAlignment="1">
      <alignment horizontal="right" vertical="center"/>
    </xf>
    <xf numFmtId="0" fontId="8" fillId="0" borderId="0" xfId="0" applyNumberFormat="1" applyFont="1" applyBorder="1" applyAlignment="1"/>
    <xf numFmtId="0" fontId="8" fillId="0" borderId="32" xfId="0" applyFont="1" applyFill="1" applyBorder="1" applyAlignment="1"/>
    <xf numFmtId="0" fontId="8" fillId="0" borderId="33" xfId="0" applyNumberFormat="1" applyFont="1" applyBorder="1" applyAlignment="1"/>
    <xf numFmtId="0" fontId="8" fillId="0" borderId="33" xfId="0" applyFont="1" applyFill="1" applyBorder="1" applyAlignment="1"/>
    <xf numFmtId="0" fontId="10" fillId="0" borderId="33" xfId="0" applyFont="1" applyFill="1" applyBorder="1" applyAlignment="1">
      <alignment horizontal="right" vertical="center"/>
    </xf>
    <xf numFmtId="0" fontId="0" fillId="0" borderId="27" xfId="0" applyBorder="1" applyAlignment="1"/>
    <xf numFmtId="0" fontId="87" fillId="0" borderId="216" xfId="0" applyFont="1" applyBorder="1" applyAlignment="1">
      <alignment horizontal="left" vertical="top"/>
    </xf>
    <xf numFmtId="0" fontId="0" fillId="0" borderId="0" xfId="0" applyFill="1" applyBorder="1" applyAlignment="1" applyProtection="1">
      <protection locked="0"/>
    </xf>
    <xf numFmtId="0" fontId="8" fillId="0" borderId="0" xfId="0" applyFont="1" applyFill="1" applyBorder="1" applyAlignment="1" applyProtection="1">
      <protection locked="0"/>
    </xf>
    <xf numFmtId="0" fontId="8" fillId="0" borderId="0" xfId="0" applyFont="1" applyFill="1" applyBorder="1" applyAlignment="1" applyProtection="1">
      <alignment horizontal="center"/>
      <protection locked="0"/>
    </xf>
    <xf numFmtId="0" fontId="0" fillId="5" borderId="0" xfId="0" applyFill="1" applyBorder="1"/>
    <xf numFmtId="0" fontId="0" fillId="0" borderId="0" xfId="0"/>
    <xf numFmtId="0" fontId="1" fillId="0" borderId="215" xfId="0" applyFont="1" applyBorder="1" applyAlignment="1"/>
    <xf numFmtId="0" fontId="0" fillId="0" borderId="215" xfId="0" applyBorder="1" applyAlignment="1"/>
    <xf numFmtId="0" fontId="1" fillId="5" borderId="0" xfId="0" applyFont="1" applyFill="1" applyBorder="1" applyAlignment="1">
      <alignment horizontal="center" wrapText="1"/>
    </xf>
    <xf numFmtId="0" fontId="0" fillId="4" borderId="0" xfId="0" applyFill="1" applyAlignment="1">
      <alignment horizontal="center" textRotation="90"/>
    </xf>
    <xf numFmtId="0" fontId="0" fillId="5" borderId="0" xfId="0" applyFill="1" applyBorder="1"/>
    <xf numFmtId="0" fontId="0" fillId="4" borderId="0" xfId="0" applyFill="1"/>
    <xf numFmtId="0" fontId="0" fillId="0" borderId="0" xfId="0"/>
    <xf numFmtId="0" fontId="0" fillId="0" borderId="0" xfId="0" applyAlignment="1">
      <alignment horizontal="center"/>
    </xf>
    <xf numFmtId="0" fontId="0" fillId="5" borderId="0" xfId="0" applyFill="1" applyBorder="1" applyAlignment="1">
      <alignment horizontal="center"/>
    </xf>
    <xf numFmtId="0" fontId="0" fillId="5" borderId="0" xfId="0" applyFill="1" applyBorder="1" applyAlignment="1">
      <alignment horizontal="center"/>
    </xf>
    <xf numFmtId="0" fontId="1" fillId="0" borderId="0" xfId="0" applyFont="1" applyBorder="1" applyAlignment="1">
      <alignment horizontal="center" vertical="top"/>
    </xf>
    <xf numFmtId="0" fontId="0" fillId="0" borderId="0" xfId="0" applyBorder="1" applyAlignment="1">
      <alignment horizontal="center" vertical="top"/>
    </xf>
    <xf numFmtId="0" fontId="0" fillId="0" borderId="0" xfId="0" applyFill="1" applyBorder="1" applyAlignment="1">
      <alignment horizontal="center" vertical="top"/>
    </xf>
    <xf numFmtId="0" fontId="0" fillId="0" borderId="0" xfId="0" applyAlignment="1">
      <alignment horizontal="center" vertical="top"/>
    </xf>
    <xf numFmtId="0" fontId="0" fillId="5" borderId="0" xfId="0" applyFill="1" applyBorder="1" applyAlignment="1">
      <alignment horizontal="center"/>
    </xf>
    <xf numFmtId="1" fontId="0" fillId="4" borderId="0" xfId="0" applyNumberFormat="1" applyFill="1" applyAlignment="1">
      <alignment horizontal="center"/>
    </xf>
    <xf numFmtId="1" fontId="0" fillId="4" borderId="0" xfId="0" applyNumberFormat="1" applyFill="1" applyAlignment="1">
      <alignment horizontal="center" textRotation="90"/>
    </xf>
    <xf numFmtId="0" fontId="0" fillId="0" borderId="0" xfId="0"/>
    <xf numFmtId="0" fontId="0" fillId="5" borderId="0" xfId="0" applyFill="1" applyBorder="1" applyAlignment="1">
      <alignment horizontal="center"/>
    </xf>
    <xf numFmtId="0" fontId="1" fillId="5" borderId="1" xfId="0" applyFont="1" applyFill="1" applyBorder="1" applyAlignment="1">
      <alignment horizontal="center" wrapText="1"/>
    </xf>
    <xf numFmtId="0" fontId="1" fillId="5" borderId="1" xfId="0" applyFont="1" applyFill="1" applyBorder="1" applyAlignment="1">
      <alignment horizontal="center"/>
    </xf>
    <xf numFmtId="0" fontId="0" fillId="5" borderId="0" xfId="0" applyFill="1" applyBorder="1" applyAlignment="1">
      <alignment horizontal="center"/>
    </xf>
    <xf numFmtId="0" fontId="0" fillId="5" borderId="0" xfId="0" applyFill="1" applyBorder="1" applyAlignment="1">
      <alignment horizontal="center"/>
    </xf>
    <xf numFmtId="0" fontId="0" fillId="5" borderId="0" xfId="0" applyFill="1" applyBorder="1" applyAlignment="1">
      <alignment horizontal="center"/>
    </xf>
    <xf numFmtId="0" fontId="0" fillId="5" borderId="0" xfId="0" applyFill="1" applyBorder="1"/>
    <xf numFmtId="0" fontId="0" fillId="4" borderId="0" xfId="0" applyFill="1"/>
    <xf numFmtId="0" fontId="0" fillId="5" borderId="22" xfId="0" applyFill="1" applyBorder="1"/>
    <xf numFmtId="0" fontId="0" fillId="0" borderId="0" xfId="0"/>
    <xf numFmtId="0" fontId="0" fillId="5" borderId="0" xfId="0" applyFill="1" applyBorder="1" applyAlignment="1">
      <alignment horizontal="center"/>
    </xf>
    <xf numFmtId="0" fontId="1" fillId="0" borderId="0" xfId="0" applyFont="1" applyBorder="1" applyAlignment="1">
      <alignment horizontal="left" vertical="top"/>
    </xf>
    <xf numFmtId="0" fontId="0" fillId="0" borderId="0" xfId="0" applyBorder="1" applyAlignment="1">
      <alignment horizontal="left" vertical="top"/>
    </xf>
    <xf numFmtId="0" fontId="0" fillId="0" borderId="0" xfId="0" applyFill="1" applyBorder="1" applyAlignment="1">
      <alignment horizontal="left" vertical="top"/>
    </xf>
    <xf numFmtId="0" fontId="40" fillId="5" borderId="215" xfId="0" applyFont="1" applyFill="1" applyBorder="1"/>
    <xf numFmtId="0" fontId="0" fillId="5" borderId="0" xfId="0" applyFill="1" applyBorder="1"/>
    <xf numFmtId="0" fontId="0" fillId="0" borderId="0" xfId="0"/>
    <xf numFmtId="0" fontId="0" fillId="5" borderId="0" xfId="0" applyFill="1" applyBorder="1"/>
    <xf numFmtId="0" fontId="0" fillId="0" borderId="0" xfId="0"/>
    <xf numFmtId="0" fontId="0" fillId="5" borderId="0" xfId="0" applyFill="1" applyBorder="1" applyAlignment="1">
      <alignment horizontal="left"/>
    </xf>
    <xf numFmtId="0" fontId="0" fillId="5" borderId="0" xfId="0" applyFill="1" applyBorder="1" applyAlignment="1">
      <alignment horizontal="center"/>
    </xf>
    <xf numFmtId="0" fontId="0" fillId="5" borderId="7" xfId="0" applyFont="1" applyFill="1" applyBorder="1"/>
    <xf numFmtId="0" fontId="0" fillId="3" borderId="9" xfId="0" applyFill="1" applyBorder="1" applyAlignment="1">
      <alignment horizontal="left"/>
    </xf>
    <xf numFmtId="0" fontId="0" fillId="5" borderId="0" xfId="0" applyFill="1" applyBorder="1" applyAlignment="1">
      <alignment horizontal="center"/>
    </xf>
    <xf numFmtId="0" fontId="0" fillId="4" borderId="0" xfId="0" applyFill="1"/>
    <xf numFmtId="0" fontId="0" fillId="5" borderId="0" xfId="0" applyFill="1" applyBorder="1" applyAlignment="1">
      <alignment horizontal="center"/>
    </xf>
    <xf numFmtId="0" fontId="8" fillId="0" borderId="213" xfId="0" applyFont="1" applyBorder="1"/>
    <xf numFmtId="0" fontId="0" fillId="3" borderId="9" xfId="0" applyFill="1" applyBorder="1" applyAlignment="1">
      <alignment horizontal="left"/>
    </xf>
    <xf numFmtId="0" fontId="0" fillId="5" borderId="0" xfId="0" applyFill="1" applyBorder="1" applyAlignment="1">
      <alignment horizontal="center"/>
    </xf>
    <xf numFmtId="0" fontId="0" fillId="5" borderId="0" xfId="0" applyFill="1" applyBorder="1"/>
    <xf numFmtId="0" fontId="0" fillId="0" borderId="0" xfId="0" applyAlignment="1">
      <alignment horizontal="right"/>
    </xf>
    <xf numFmtId="0" fontId="1" fillId="5" borderId="0" xfId="0" applyFont="1" applyFill="1" applyBorder="1"/>
    <xf numFmtId="0" fontId="0" fillId="4" borderId="0" xfId="0" applyFill="1"/>
    <xf numFmtId="0" fontId="0" fillId="3" borderId="9" xfId="0" applyFill="1" applyBorder="1"/>
    <xf numFmtId="0" fontId="8" fillId="0" borderId="0" xfId="0" applyFont="1" applyFill="1" applyBorder="1" applyAlignment="1">
      <alignment horizontal="center"/>
    </xf>
    <xf numFmtId="0" fontId="90" fillId="0" borderId="0" xfId="0" applyFont="1" applyBorder="1" applyAlignment="1">
      <alignment horizontal="center"/>
    </xf>
    <xf numFmtId="0" fontId="8" fillId="34" borderId="0" xfId="0" applyFont="1" applyFill="1" applyBorder="1" applyAlignment="1">
      <alignment horizontal="center"/>
    </xf>
    <xf numFmtId="0" fontId="8" fillId="5" borderId="0" xfId="0" applyFont="1" applyFill="1" applyBorder="1" applyAlignment="1"/>
    <xf numFmtId="0" fontId="110" fillId="0" borderId="0" xfId="0" applyFont="1" applyBorder="1" applyAlignment="1">
      <alignment horizontal="center"/>
    </xf>
    <xf numFmtId="0" fontId="111" fillId="0" borderId="0" xfId="0" applyFont="1" applyAlignment="1">
      <alignment horizontal="center"/>
    </xf>
    <xf numFmtId="0" fontId="0" fillId="3" borderId="9" xfId="0" applyFill="1" applyBorder="1" applyAlignment="1">
      <alignment horizontal="center"/>
    </xf>
    <xf numFmtId="0" fontId="0" fillId="5" borderId="0" xfId="0" applyFill="1" applyBorder="1"/>
    <xf numFmtId="0" fontId="0" fillId="3" borderId="9" xfId="0" applyFill="1" applyBorder="1"/>
    <xf numFmtId="0" fontId="0" fillId="5" borderId="0" xfId="0" applyFill="1" applyBorder="1"/>
    <xf numFmtId="0" fontId="1" fillId="5" borderId="0" xfId="0" applyFont="1" applyFill="1" applyBorder="1"/>
    <xf numFmtId="0" fontId="0" fillId="5" borderId="22" xfId="0" applyFill="1" applyBorder="1"/>
    <xf numFmtId="0" fontId="0" fillId="0" borderId="0" xfId="0"/>
    <xf numFmtId="0" fontId="0" fillId="5" borderId="0" xfId="0" applyFill="1" applyBorder="1" applyAlignment="1">
      <alignment horizontal="center"/>
    </xf>
    <xf numFmtId="0" fontId="1" fillId="5" borderId="1" xfId="0" applyFont="1" applyFill="1" applyBorder="1" applyAlignment="1">
      <alignment horizontal="left" vertical="top"/>
    </xf>
    <xf numFmtId="0" fontId="115" fillId="23" borderId="0" xfId="0" applyFont="1" applyFill="1" applyBorder="1"/>
    <xf numFmtId="0" fontId="0" fillId="0" borderId="0" xfId="0" applyAlignment="1"/>
    <xf numFmtId="0" fontId="0" fillId="0" borderId="0" xfId="0"/>
    <xf numFmtId="0" fontId="1" fillId="5" borderId="0" xfId="0" applyFont="1" applyFill="1" applyBorder="1" applyAlignment="1">
      <alignment horizontal="left" vertical="top"/>
    </xf>
    <xf numFmtId="0" fontId="0" fillId="5" borderId="0" xfId="0" applyFill="1" applyBorder="1" applyAlignment="1">
      <alignment horizontal="left" vertical="top"/>
    </xf>
    <xf numFmtId="0" fontId="0" fillId="5" borderId="22" xfId="0" applyFill="1" applyBorder="1" applyAlignment="1">
      <alignment horizontal="left" vertical="top"/>
    </xf>
    <xf numFmtId="0" fontId="0" fillId="4" borderId="0" xfId="0" applyFill="1" applyAlignment="1">
      <alignment horizontal="left" vertical="top"/>
    </xf>
    <xf numFmtId="0" fontId="0" fillId="5" borderId="213" xfId="0" applyFill="1" applyBorder="1" applyAlignment="1">
      <alignment horizontal="left" vertical="top"/>
    </xf>
    <xf numFmtId="0" fontId="0" fillId="5" borderId="0" xfId="0" applyFill="1" applyBorder="1" applyAlignment="1">
      <alignment horizontal="left"/>
    </xf>
    <xf numFmtId="0" fontId="0" fillId="5" borderId="0" xfId="0" applyFill="1" applyBorder="1"/>
    <xf numFmtId="0" fontId="59" fillId="4" borderId="0" xfId="0" applyFont="1" applyFill="1" applyAlignment="1">
      <alignment horizontal="left" vertical="top" wrapText="1"/>
    </xf>
    <xf numFmtId="0" fontId="59" fillId="5" borderId="20" xfId="0" applyFont="1" applyFill="1" applyBorder="1" applyAlignment="1">
      <alignment horizontal="left" vertical="top" wrapText="1"/>
    </xf>
    <xf numFmtId="0" fontId="59" fillId="5" borderId="0" xfId="0" applyFont="1" applyFill="1" applyBorder="1" applyAlignment="1">
      <alignment horizontal="left" vertical="top" wrapText="1"/>
    </xf>
    <xf numFmtId="0" fontId="1" fillId="5" borderId="1" xfId="0" applyFont="1" applyFill="1" applyBorder="1" applyAlignment="1">
      <alignment horizontal="left" vertical="top" wrapText="1"/>
    </xf>
    <xf numFmtId="0" fontId="59" fillId="5" borderId="24" xfId="0" applyFont="1" applyFill="1" applyBorder="1" applyAlignment="1">
      <alignment horizontal="left" vertical="top" wrapText="1"/>
    </xf>
    <xf numFmtId="0" fontId="59" fillId="5" borderId="200" xfId="0" applyFont="1" applyFill="1" applyBorder="1" applyAlignment="1">
      <alignment horizontal="left" vertical="top" wrapText="1"/>
    </xf>
    <xf numFmtId="0" fontId="0" fillId="0" borderId="0" xfId="0" applyAlignment="1">
      <alignment horizontal="left" vertical="top" wrapText="1"/>
    </xf>
    <xf numFmtId="0" fontId="59" fillId="5" borderId="211" xfId="0" applyFont="1" applyFill="1" applyBorder="1" applyAlignment="1">
      <alignment horizontal="left" vertical="top" wrapText="1"/>
    </xf>
    <xf numFmtId="0" fontId="59" fillId="5" borderId="209" xfId="0" applyFont="1" applyFill="1" applyBorder="1" applyAlignment="1">
      <alignment horizontal="left" vertical="top" wrapText="1"/>
    </xf>
    <xf numFmtId="0" fontId="59" fillId="5" borderId="210" xfId="0" applyFont="1" applyFill="1" applyBorder="1" applyAlignment="1">
      <alignment horizontal="left" vertical="top" wrapText="1"/>
    </xf>
    <xf numFmtId="0" fontId="59" fillId="5" borderId="200" xfId="0" quotePrefix="1" applyFont="1" applyFill="1" applyBorder="1" applyAlignment="1">
      <alignment horizontal="left" vertical="top" wrapText="1"/>
    </xf>
    <xf numFmtId="0" fontId="59" fillId="5" borderId="22" xfId="0" applyFont="1" applyFill="1" applyBorder="1" applyAlignment="1">
      <alignment horizontal="left" vertical="top" wrapText="1"/>
    </xf>
    <xf numFmtId="0" fontId="0" fillId="5" borderId="0" xfId="0" applyFont="1" applyFill="1" applyBorder="1" applyAlignment="1">
      <alignment horizontal="left" vertical="top"/>
    </xf>
    <xf numFmtId="0" fontId="0" fillId="5" borderId="0" xfId="0" applyFont="1" applyFill="1" applyAlignment="1">
      <alignment vertical="top"/>
    </xf>
    <xf numFmtId="0" fontId="0" fillId="0" borderId="0" xfId="0" applyFont="1" applyAlignment="1">
      <alignment vertical="top"/>
    </xf>
    <xf numFmtId="0" fontId="0" fillId="5" borderId="0" xfId="0" applyFill="1" applyBorder="1"/>
    <xf numFmtId="0" fontId="1" fillId="5" borderId="0" xfId="0" applyFont="1" applyFill="1" applyBorder="1"/>
    <xf numFmtId="0" fontId="6" fillId="5" borderId="0" xfId="0" applyFont="1" applyFill="1" applyBorder="1"/>
    <xf numFmtId="0" fontId="0" fillId="4" borderId="0" xfId="0" applyFill="1"/>
    <xf numFmtId="0" fontId="116" fillId="5" borderId="216" xfId="2" applyFont="1" applyFill="1" applyBorder="1" applyAlignment="1" applyProtection="1"/>
    <xf numFmtId="0" fontId="0" fillId="4" borderId="0" xfId="0" applyFill="1"/>
    <xf numFmtId="0" fontId="0" fillId="0" borderId="0" xfId="0" applyAlignment="1"/>
    <xf numFmtId="0" fontId="0" fillId="0" borderId="0" xfId="0"/>
    <xf numFmtId="164" fontId="1" fillId="5" borderId="7" xfId="0" applyNumberFormat="1" applyFont="1" applyFill="1" applyBorder="1" applyAlignment="1">
      <alignment horizontal="center"/>
    </xf>
    <xf numFmtId="164" fontId="1" fillId="5" borderId="25" xfId="0" applyNumberFormat="1" applyFont="1" applyFill="1" applyBorder="1" applyAlignment="1">
      <alignment horizontal="center"/>
    </xf>
    <xf numFmtId="0" fontId="0" fillId="5" borderId="214" xfId="0" applyFill="1" applyBorder="1" applyAlignment="1">
      <alignment horizontal="center"/>
    </xf>
    <xf numFmtId="0" fontId="0" fillId="5" borderId="217" xfId="0" applyFill="1" applyBorder="1" applyAlignment="1">
      <alignment horizontal="center"/>
    </xf>
    <xf numFmtId="0" fontId="0" fillId="5" borderId="0" xfId="0" applyFill="1" applyBorder="1"/>
    <xf numFmtId="0" fontId="1" fillId="5" borderId="0" xfId="0" applyFont="1" applyFill="1" applyBorder="1"/>
    <xf numFmtId="0" fontId="0" fillId="5" borderId="215" xfId="0" applyFont="1" applyFill="1" applyBorder="1"/>
    <xf numFmtId="0" fontId="59" fillId="5" borderId="1" xfId="0" applyFont="1" applyFill="1" applyBorder="1" applyAlignment="1">
      <alignment horizontal="left" vertical="top" wrapText="1"/>
    </xf>
    <xf numFmtId="0" fontId="0" fillId="5" borderId="0" xfId="0" applyFill="1" applyBorder="1"/>
    <xf numFmtId="0" fontId="1" fillId="5" borderId="0" xfId="0" applyFont="1" applyFill="1" applyBorder="1"/>
    <xf numFmtId="0" fontId="0" fillId="5" borderId="0" xfId="0" applyFill="1" applyBorder="1"/>
    <xf numFmtId="0" fontId="0" fillId="4" borderId="0" xfId="0" applyFill="1"/>
    <xf numFmtId="0" fontId="0" fillId="5" borderId="0" xfId="0" applyFill="1" applyBorder="1" applyAlignment="1">
      <alignment horizontal="center"/>
    </xf>
    <xf numFmtId="0" fontId="3" fillId="5" borderId="0" xfId="0" applyFont="1" applyFill="1" applyBorder="1"/>
    <xf numFmtId="0" fontId="0" fillId="0" borderId="0" xfId="0"/>
    <xf numFmtId="0" fontId="3" fillId="5" borderId="216" xfId="0" applyFont="1" applyFill="1" applyBorder="1"/>
    <xf numFmtId="0" fontId="3" fillId="5" borderId="217" xfId="0" applyFont="1" applyFill="1" applyBorder="1"/>
    <xf numFmtId="0" fontId="0" fillId="5" borderId="0" xfId="0" applyFill="1" applyBorder="1"/>
    <xf numFmtId="0" fontId="1" fillId="5" borderId="0" xfId="0" applyFont="1" applyFill="1" applyBorder="1"/>
    <xf numFmtId="0" fontId="0" fillId="0" borderId="7" xfId="0" applyFill="1" applyBorder="1"/>
    <xf numFmtId="0" fontId="102" fillId="5" borderId="1" xfId="2" applyFill="1" applyBorder="1" applyAlignment="1" applyProtection="1"/>
    <xf numFmtId="0" fontId="0" fillId="5" borderId="0" xfId="0" applyFill="1" applyBorder="1"/>
    <xf numFmtId="0" fontId="1" fillId="5" borderId="0" xfId="0" applyFont="1" applyFill="1" applyBorder="1"/>
    <xf numFmtId="0" fontId="0" fillId="5" borderId="0" xfId="0" applyFill="1" applyBorder="1"/>
    <xf numFmtId="0" fontId="1" fillId="5" borderId="0" xfId="0" applyFont="1" applyFill="1" applyBorder="1"/>
    <xf numFmtId="0" fontId="0" fillId="0" borderId="0" xfId="0"/>
    <xf numFmtId="0" fontId="0" fillId="5" borderId="0" xfId="0" applyFill="1" applyBorder="1" applyAlignment="1">
      <alignment horizontal="center"/>
    </xf>
    <xf numFmtId="0" fontId="0" fillId="5" borderId="0" xfId="0" applyFill="1" applyBorder="1"/>
    <xf numFmtId="0" fontId="1" fillId="5" borderId="0" xfId="0" applyFont="1" applyFill="1" applyBorder="1"/>
    <xf numFmtId="0" fontId="0" fillId="5" borderId="0" xfId="0" applyFill="1" applyBorder="1"/>
    <xf numFmtId="0" fontId="0" fillId="5" borderId="0" xfId="0" applyFill="1" applyBorder="1"/>
    <xf numFmtId="0" fontId="1" fillId="5" borderId="0" xfId="0" applyFont="1" applyFill="1" applyBorder="1"/>
    <xf numFmtId="0" fontId="0" fillId="5" borderId="0" xfId="0" applyFill="1" applyBorder="1" applyAlignment="1">
      <alignment horizontal="center"/>
    </xf>
    <xf numFmtId="0" fontId="0" fillId="0" borderId="211" xfId="0" applyBorder="1" applyAlignment="1">
      <alignment horizontal="left" vertical="top" wrapText="1"/>
    </xf>
    <xf numFmtId="0" fontId="0" fillId="0" borderId="200" xfId="0" applyBorder="1" applyAlignment="1">
      <alignment horizontal="left" vertical="top" wrapText="1"/>
    </xf>
    <xf numFmtId="0" fontId="0" fillId="3" borderId="9" xfId="0" applyFill="1" applyBorder="1" applyAlignment="1">
      <alignment horizontal="left"/>
    </xf>
    <xf numFmtId="0" fontId="0" fillId="5" borderId="0" xfId="0" applyFill="1" applyBorder="1" applyAlignment="1">
      <alignment horizontal="left" vertical="top" wrapText="1"/>
    </xf>
    <xf numFmtId="0" fontId="3" fillId="3" borderId="9" xfId="0" applyFont="1" applyFill="1" applyBorder="1" applyAlignment="1">
      <alignment horizontal="center"/>
    </xf>
    <xf numFmtId="0" fontId="105" fillId="5" borderId="0" xfId="0" applyFont="1" applyFill="1" applyBorder="1" applyAlignment="1">
      <alignment horizontal="center" wrapText="1"/>
    </xf>
    <xf numFmtId="0" fontId="105" fillId="5" borderId="1" xfId="0" applyFont="1" applyFill="1" applyBorder="1" applyAlignment="1">
      <alignment horizontal="center"/>
    </xf>
    <xf numFmtId="0" fontId="106" fillId="5" borderId="0" xfId="0" applyFont="1" applyFill="1" applyBorder="1" applyAlignment="1">
      <alignment horizontal="center" wrapText="1"/>
    </xf>
    <xf numFmtId="0" fontId="106" fillId="5" borderId="1" xfId="0" applyFont="1" applyFill="1" applyBorder="1" applyAlignment="1">
      <alignment horizontal="center"/>
    </xf>
    <xf numFmtId="0" fontId="106" fillId="5" borderId="1" xfId="0" applyFont="1" applyFill="1" applyBorder="1" applyAlignment="1">
      <alignment horizontal="center" wrapText="1"/>
    </xf>
    <xf numFmtId="0" fontId="105" fillId="5" borderId="1" xfId="0" applyFont="1" applyFill="1" applyBorder="1" applyAlignment="1">
      <alignment horizontal="center" wrapText="1"/>
    </xf>
    <xf numFmtId="0" fontId="3" fillId="3" borderId="192" xfId="0" applyFont="1" applyFill="1" applyBorder="1" applyAlignment="1">
      <alignment horizontal="left"/>
    </xf>
    <xf numFmtId="0" fontId="3" fillId="3" borderId="185" xfId="0" applyFont="1" applyFill="1" applyBorder="1" applyAlignment="1">
      <alignment horizontal="left"/>
    </xf>
    <xf numFmtId="0" fontId="3" fillId="3" borderId="166" xfId="0" applyFont="1" applyFill="1" applyBorder="1" applyAlignment="1">
      <alignment horizontal="left"/>
    </xf>
    <xf numFmtId="0" fontId="0" fillId="5" borderId="0" xfId="0" applyFill="1" applyBorder="1" applyAlignment="1">
      <alignment horizontal="right" shrinkToFit="1"/>
    </xf>
    <xf numFmtId="0" fontId="0" fillId="3" borderId="9" xfId="0" applyFill="1" applyBorder="1" applyAlignment="1">
      <alignment horizontal="center"/>
    </xf>
    <xf numFmtId="0" fontId="0" fillId="3" borderId="192" xfId="0" applyFill="1" applyBorder="1" applyAlignment="1">
      <alignment horizontal="center"/>
    </xf>
    <xf numFmtId="0" fontId="0" fillId="3" borderId="185" xfId="0" applyFill="1" applyBorder="1" applyAlignment="1">
      <alignment horizontal="center"/>
    </xf>
    <xf numFmtId="0" fontId="0" fillId="3" borderId="166" xfId="0" applyFill="1" applyBorder="1" applyAlignment="1">
      <alignment horizontal="center"/>
    </xf>
    <xf numFmtId="0" fontId="0" fillId="2" borderId="6" xfId="0" applyFill="1" applyBorder="1" applyAlignment="1">
      <alignment horizontal="center"/>
    </xf>
    <xf numFmtId="0" fontId="0" fillId="2" borderId="0" xfId="0" applyFill="1" applyBorder="1" applyAlignment="1">
      <alignment horizontal="center"/>
    </xf>
    <xf numFmtId="0" fontId="0" fillId="3" borderId="16" xfId="0"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3" borderId="168" xfId="0" applyFill="1" applyBorder="1" applyAlignment="1">
      <alignment horizontal="center"/>
    </xf>
    <xf numFmtId="0" fontId="0" fillId="3" borderId="186" xfId="0" applyFill="1" applyBorder="1" applyAlignment="1">
      <alignment horizontal="center"/>
    </xf>
    <xf numFmtId="0" fontId="6" fillId="5" borderId="0" xfId="0" applyFont="1" applyFill="1" applyBorder="1" applyAlignment="1">
      <alignment horizontal="left"/>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23" xfId="0" applyFill="1" applyBorder="1" applyAlignment="1">
      <alignment horizontal="left" vertical="top" wrapText="1"/>
    </xf>
    <xf numFmtId="0" fontId="0" fillId="3" borderId="24" xfId="0" applyFill="1" applyBorder="1" applyAlignment="1">
      <alignment horizontal="left" vertical="top" wrapText="1"/>
    </xf>
    <xf numFmtId="0" fontId="0" fillId="3" borderId="25" xfId="0" applyFill="1" applyBorder="1" applyAlignment="1">
      <alignment horizontal="left" vertical="top" wrapText="1"/>
    </xf>
    <xf numFmtId="0" fontId="0" fillId="3" borderId="21" xfId="0" applyFill="1" applyBorder="1" applyAlignment="1">
      <alignment horizontal="left" vertical="top" wrapText="1"/>
    </xf>
    <xf numFmtId="0" fontId="0" fillId="3" borderId="22" xfId="0" applyFill="1" applyBorder="1" applyAlignment="1">
      <alignment horizontal="left" vertical="top" wrapText="1"/>
    </xf>
    <xf numFmtId="0" fontId="0" fillId="3" borderId="8" xfId="0" applyFill="1" applyBorder="1" applyAlignment="1">
      <alignment horizontal="left" vertical="top" wrapText="1"/>
    </xf>
    <xf numFmtId="0" fontId="0" fillId="3" borderId="168" xfId="0" applyFill="1" applyBorder="1" applyAlignment="1">
      <alignment horizontal="left"/>
    </xf>
    <xf numFmtId="0" fontId="0" fillId="3" borderId="1" xfId="0" applyFill="1" applyBorder="1" applyAlignment="1">
      <alignment horizontal="left"/>
    </xf>
    <xf numFmtId="0" fontId="0" fillId="3" borderId="169" xfId="0" applyFill="1" applyBorder="1" applyAlignment="1">
      <alignment horizontal="left"/>
    </xf>
    <xf numFmtId="0" fontId="0" fillId="5" borderId="0" xfId="0" applyFill="1" applyBorder="1" applyAlignment="1">
      <alignment horizontal="left"/>
    </xf>
    <xf numFmtId="0" fontId="0" fillId="3" borderId="21" xfId="0" applyFill="1" applyBorder="1" applyAlignment="1">
      <alignment horizontal="center"/>
    </xf>
    <xf numFmtId="0" fontId="0" fillId="3" borderId="22" xfId="0" applyFill="1" applyBorder="1" applyAlignment="1">
      <alignment horizontal="center"/>
    </xf>
    <xf numFmtId="0" fontId="0" fillId="3" borderId="8" xfId="0" applyFill="1" applyBorder="1" applyAlignment="1">
      <alignment horizontal="center"/>
    </xf>
    <xf numFmtId="0" fontId="1" fillId="5" borderId="0" xfId="0" applyFont="1" applyFill="1" applyBorder="1" applyAlignment="1">
      <alignment horizontal="center" vertical="top" wrapText="1"/>
    </xf>
    <xf numFmtId="0" fontId="1" fillId="5" borderId="1" xfId="0" applyFont="1" applyFill="1" applyBorder="1" applyAlignment="1">
      <alignment horizontal="center" vertical="top" wrapText="1"/>
    </xf>
    <xf numFmtId="0" fontId="0" fillId="4" borderId="0" xfId="0" applyFill="1" applyAlignment="1">
      <alignment horizontal="center" textRotation="90"/>
    </xf>
    <xf numFmtId="0" fontId="0" fillId="4" borderId="187" xfId="0" applyFill="1" applyBorder="1" applyAlignment="1">
      <alignment horizontal="center" textRotation="90"/>
    </xf>
    <xf numFmtId="0" fontId="1" fillId="5" borderId="7" xfId="0" applyFont="1" applyFill="1" applyBorder="1" applyAlignment="1">
      <alignment horizontal="center" wrapText="1"/>
    </xf>
    <xf numFmtId="0" fontId="1" fillId="5" borderId="169" xfId="0" applyFont="1" applyFill="1" applyBorder="1" applyAlignment="1">
      <alignment horizontal="center" wrapText="1"/>
    </xf>
    <xf numFmtId="0" fontId="1" fillId="5" borderId="0" xfId="0" applyFont="1" applyFill="1" applyBorder="1" applyAlignment="1">
      <alignment horizontal="center" textRotation="90" wrapText="1"/>
    </xf>
    <xf numFmtId="0" fontId="1" fillId="5" borderId="1" xfId="0" applyFont="1" applyFill="1" applyBorder="1" applyAlignment="1">
      <alignment horizontal="center" textRotation="90" wrapText="1"/>
    </xf>
    <xf numFmtId="0" fontId="1" fillId="5" borderId="0" xfId="0" applyFont="1" applyFill="1" applyBorder="1" applyAlignment="1">
      <alignment horizontal="center" wrapText="1"/>
    </xf>
    <xf numFmtId="0" fontId="1" fillId="5" borderId="1" xfId="0" applyFont="1" applyFill="1" applyBorder="1" applyAlignment="1">
      <alignment horizontal="center" wrapText="1"/>
    </xf>
    <xf numFmtId="0" fontId="1" fillId="5" borderId="0" xfId="0" applyFont="1" applyFill="1" applyBorder="1" applyAlignment="1">
      <alignment horizontal="center" vertical="top"/>
    </xf>
    <xf numFmtId="0" fontId="1" fillId="0" borderId="24" xfId="0" applyFont="1" applyBorder="1" applyAlignment="1">
      <alignment horizontal="center" vertical="top"/>
    </xf>
    <xf numFmtId="0" fontId="1" fillId="0" borderId="0" xfId="0" applyFont="1" applyBorder="1" applyAlignment="1">
      <alignment horizontal="center" vertical="top"/>
    </xf>
    <xf numFmtId="0" fontId="6" fillId="5" borderId="24" xfId="0" applyFont="1" applyFill="1" applyBorder="1" applyAlignment="1">
      <alignment horizontal="center" vertical="top" textRotation="90"/>
    </xf>
    <xf numFmtId="0" fontId="6" fillId="5" borderId="0" xfId="0" applyFont="1" applyFill="1" applyBorder="1" applyAlignment="1">
      <alignment horizontal="center" vertical="top" textRotation="90"/>
    </xf>
    <xf numFmtId="0" fontId="6" fillId="5" borderId="1" xfId="0" applyFont="1" applyFill="1" applyBorder="1" applyAlignment="1">
      <alignment horizontal="center" vertical="top" textRotation="90"/>
    </xf>
    <xf numFmtId="0" fontId="1" fillId="5" borderId="0" xfId="0" applyFont="1" applyFill="1" applyBorder="1" applyAlignment="1">
      <alignment horizontal="center" textRotation="90"/>
    </xf>
    <xf numFmtId="0" fontId="1" fillId="5" borderId="1" xfId="0" applyFont="1" applyFill="1" applyBorder="1" applyAlignment="1">
      <alignment horizontal="center" textRotation="90"/>
    </xf>
    <xf numFmtId="0" fontId="0" fillId="5" borderId="0" xfId="0" applyFill="1" applyBorder="1" applyAlignment="1">
      <alignment horizontal="center" textRotation="90"/>
    </xf>
    <xf numFmtId="0" fontId="0" fillId="5" borderId="1" xfId="0" applyFill="1" applyBorder="1" applyAlignment="1">
      <alignment horizontal="center" textRotation="90"/>
    </xf>
    <xf numFmtId="0" fontId="0" fillId="5" borderId="0" xfId="0" applyFill="1" applyBorder="1"/>
    <xf numFmtId="0" fontId="1" fillId="5" borderId="0" xfId="0" applyFont="1" applyFill="1" applyBorder="1" applyAlignment="1">
      <alignment horizontal="right"/>
    </xf>
    <xf numFmtId="0" fontId="0" fillId="0" borderId="0" xfId="0" applyAlignment="1">
      <alignment horizontal="right"/>
    </xf>
    <xf numFmtId="176" fontId="0" fillId="5" borderId="0" xfId="0" applyNumberFormat="1" applyFill="1" applyBorder="1" applyAlignment="1">
      <alignment horizontal="right"/>
    </xf>
    <xf numFmtId="0" fontId="1" fillId="5" borderId="0" xfId="0" applyFont="1" applyFill="1" applyBorder="1" applyAlignment="1">
      <alignment horizontal="center"/>
    </xf>
    <xf numFmtId="0" fontId="0" fillId="3" borderId="0" xfId="0" applyFill="1" applyBorder="1" applyAlignment="1">
      <alignment horizontal="center"/>
    </xf>
    <xf numFmtId="0" fontId="0" fillId="3" borderId="191" xfId="0" applyFill="1" applyBorder="1"/>
    <xf numFmtId="0" fontId="0" fillId="5" borderId="20" xfId="0" applyFill="1" applyBorder="1"/>
    <xf numFmtId="0" fontId="6" fillId="5" borderId="0" xfId="0" applyFont="1" applyFill="1" applyBorder="1"/>
    <xf numFmtId="0" fontId="1" fillId="5" borderId="0" xfId="0" applyNumberFormat="1" applyFont="1" applyFill="1" applyBorder="1"/>
    <xf numFmtId="0" fontId="1" fillId="5" borderId="0" xfId="0" applyFont="1" applyFill="1" applyBorder="1"/>
    <xf numFmtId="0" fontId="1" fillId="5" borderId="1" xfId="0" applyFont="1" applyFill="1" applyBorder="1"/>
    <xf numFmtId="0" fontId="0" fillId="4" borderId="0" xfId="0" applyFill="1"/>
    <xf numFmtId="0" fontId="0" fillId="3" borderId="9" xfId="0" applyFill="1" applyBorder="1"/>
    <xf numFmtId="0" fontId="1" fillId="5" borderId="1" xfId="0" applyFont="1" applyFill="1" applyBorder="1" applyAlignment="1">
      <alignment horizontal="center"/>
    </xf>
    <xf numFmtId="0" fontId="3" fillId="3" borderId="192" xfId="0" applyFont="1" applyFill="1" applyBorder="1" applyAlignment="1">
      <alignment horizontal="center"/>
    </xf>
    <xf numFmtId="0" fontId="3" fillId="3" borderId="166" xfId="0" applyFont="1" applyFill="1" applyBorder="1" applyAlignment="1">
      <alignment horizontal="center"/>
    </xf>
    <xf numFmtId="0" fontId="0" fillId="5" borderId="22" xfId="0" applyFill="1" applyBorder="1"/>
    <xf numFmtId="0" fontId="0" fillId="4" borderId="22" xfId="0" applyFill="1" applyBorder="1"/>
    <xf numFmtId="173" fontId="0" fillId="5" borderId="0" xfId="0" applyNumberFormat="1" applyFill="1" applyBorder="1" applyAlignment="1">
      <alignment horizontal="center"/>
    </xf>
    <xf numFmtId="0" fontId="0" fillId="5" borderId="24" xfId="0" applyFill="1" applyBorder="1" applyAlignment="1">
      <alignment horizontal="left"/>
    </xf>
    <xf numFmtId="0" fontId="0" fillId="5" borderId="0" xfId="0" applyNumberFormat="1" applyFill="1" applyBorder="1" applyAlignment="1">
      <alignment horizontal="left"/>
    </xf>
    <xf numFmtId="175" fontId="0" fillId="5" borderId="1" xfId="0" applyNumberFormat="1" applyFont="1" applyFill="1" applyBorder="1"/>
    <xf numFmtId="173" fontId="0" fillId="5" borderId="24" xfId="0" applyNumberFormat="1" applyFill="1" applyBorder="1" applyAlignment="1">
      <alignment horizontal="center"/>
    </xf>
    <xf numFmtId="173" fontId="0" fillId="5" borderId="170" xfId="0" applyNumberFormat="1" applyFill="1" applyBorder="1" applyAlignment="1">
      <alignment horizontal="center"/>
    </xf>
    <xf numFmtId="0" fontId="0" fillId="5" borderId="0" xfId="0" applyFill="1" applyBorder="1" applyAlignment="1">
      <alignment shrinkToFit="1"/>
    </xf>
    <xf numFmtId="0" fontId="6" fillId="5" borderId="1" xfId="0" applyFont="1" applyFill="1" applyBorder="1"/>
    <xf numFmtId="0" fontId="0" fillId="5" borderId="0" xfId="0" applyFill="1" applyBorder="1" applyAlignment="1">
      <alignment horizontal="left" shrinkToFit="1"/>
    </xf>
    <xf numFmtId="0" fontId="65" fillId="5" borderId="0" xfId="0" applyNumberFormat="1" applyFont="1" applyFill="1" applyBorder="1" applyAlignment="1">
      <alignment horizontal="left" vertical="top" wrapText="1"/>
    </xf>
    <xf numFmtId="0" fontId="3" fillId="3" borderId="9" xfId="0" applyFont="1" applyFill="1" applyBorder="1" applyAlignment="1">
      <alignment horizontal="left" vertical="top"/>
    </xf>
    <xf numFmtId="0" fontId="0" fillId="3" borderId="191" xfId="0" quotePrefix="1" applyFill="1" applyBorder="1"/>
    <xf numFmtId="0" fontId="43" fillId="5" borderId="166" xfId="0" applyFont="1" applyFill="1" applyBorder="1"/>
    <xf numFmtId="0" fontId="43" fillId="5" borderId="9" xfId="0" applyFont="1" applyFill="1" applyBorder="1"/>
    <xf numFmtId="0" fontId="43" fillId="5" borderId="192" xfId="0" applyFont="1" applyFill="1" applyBorder="1"/>
    <xf numFmtId="173" fontId="43" fillId="5" borderId="1" xfId="0" applyNumberFormat="1" applyFont="1" applyFill="1" applyBorder="1" applyAlignment="1">
      <alignment horizontal="center"/>
    </xf>
    <xf numFmtId="0" fontId="6" fillId="5" borderId="1" xfId="0" applyFont="1" applyFill="1" applyBorder="1" applyAlignment="1">
      <alignment shrinkToFit="1"/>
    </xf>
    <xf numFmtId="182" fontId="0" fillId="5" borderId="0" xfId="0" applyNumberFormat="1" applyFill="1" applyBorder="1" applyAlignment="1">
      <alignment horizontal="center"/>
    </xf>
    <xf numFmtId="182" fontId="0" fillId="5" borderId="170" xfId="0" applyNumberFormat="1" applyFill="1" applyBorder="1" applyAlignment="1">
      <alignment horizontal="center"/>
    </xf>
    <xf numFmtId="182" fontId="0" fillId="5" borderId="24" xfId="0" applyNumberFormat="1" applyFill="1" applyBorder="1" applyAlignment="1">
      <alignment horizontal="center"/>
    </xf>
    <xf numFmtId="182" fontId="0" fillId="5" borderId="190" xfId="0" applyNumberFormat="1" applyFill="1" applyBorder="1" applyAlignment="1">
      <alignment horizontal="center"/>
    </xf>
    <xf numFmtId="0" fontId="0" fillId="4" borderId="1" xfId="0" applyFill="1" applyBorder="1" applyAlignment="1">
      <alignment horizontal="left" vertical="top" wrapText="1"/>
    </xf>
    <xf numFmtId="0" fontId="0" fillId="3" borderId="193" xfId="0" applyFill="1" applyBorder="1" applyAlignment="1">
      <alignment horizontal="left" vertical="top" wrapText="1"/>
    </xf>
    <xf numFmtId="0" fontId="0" fillId="3" borderId="190" xfId="0" applyFill="1" applyBorder="1" applyAlignment="1">
      <alignment horizontal="left" vertical="top" wrapText="1"/>
    </xf>
    <xf numFmtId="0" fontId="0" fillId="3" borderId="187" xfId="0" applyFill="1" applyBorder="1" applyAlignment="1">
      <alignment horizontal="left" vertical="top" wrapText="1"/>
    </xf>
    <xf numFmtId="0" fontId="0" fillId="3" borderId="0" xfId="0" applyFill="1" applyBorder="1" applyAlignment="1">
      <alignment horizontal="left" vertical="top" wrapText="1"/>
    </xf>
    <xf numFmtId="0" fontId="0" fillId="3" borderId="170" xfId="0" applyFill="1" applyBorder="1" applyAlignment="1">
      <alignment horizontal="left" vertical="top" wrapText="1"/>
    </xf>
    <xf numFmtId="0" fontId="0" fillId="3" borderId="194" xfId="0" applyFill="1" applyBorder="1" applyAlignment="1">
      <alignment horizontal="left" vertical="top" wrapText="1"/>
    </xf>
    <xf numFmtId="0" fontId="0" fillId="3" borderId="1" xfId="0" applyFill="1" applyBorder="1" applyAlignment="1">
      <alignment horizontal="left" vertical="top" wrapText="1"/>
    </xf>
    <xf numFmtId="0" fontId="0" fillId="3" borderId="195" xfId="0" applyFill="1" applyBorder="1" applyAlignment="1">
      <alignment horizontal="left" vertical="top" wrapText="1"/>
    </xf>
    <xf numFmtId="0" fontId="0" fillId="5" borderId="166" xfId="0" applyFill="1" applyBorder="1" applyAlignment="1">
      <alignment horizontal="center"/>
    </xf>
    <xf numFmtId="0" fontId="0" fillId="5" borderId="9" xfId="0" applyFill="1" applyBorder="1" applyAlignment="1">
      <alignment horizontal="center"/>
    </xf>
    <xf numFmtId="0" fontId="0" fillId="5" borderId="192" xfId="0" applyFill="1" applyBorder="1" applyAlignment="1">
      <alignment horizontal="center"/>
    </xf>
    <xf numFmtId="0" fontId="39" fillId="4" borderId="0" xfId="1" applyFill="1" applyAlignment="1">
      <alignment horizontal="center"/>
    </xf>
    <xf numFmtId="0" fontId="0" fillId="0" borderId="0" xfId="0" applyAlignment="1"/>
    <xf numFmtId="0" fontId="95" fillId="0" borderId="41" xfId="0" applyFont="1" applyBorder="1" applyAlignment="1">
      <alignment horizontal="center" vertical="center"/>
    </xf>
    <xf numFmtId="0" fontId="95" fillId="0" borderId="0" xfId="0" applyFont="1" applyBorder="1" applyAlignment="1">
      <alignment horizontal="center" vertical="center"/>
    </xf>
    <xf numFmtId="0" fontId="95" fillId="0" borderId="48" xfId="0" applyFont="1" applyBorder="1" applyAlignment="1">
      <alignment horizontal="center" vertical="center"/>
    </xf>
    <xf numFmtId="0" fontId="8" fillId="21" borderId="152" xfId="0" applyFont="1" applyFill="1" applyBorder="1" applyAlignment="1">
      <alignment horizontal="center"/>
    </xf>
    <xf numFmtId="0" fontId="0" fillId="0" borderId="152" xfId="0" applyBorder="1" applyAlignment="1">
      <alignment horizontal="center"/>
    </xf>
    <xf numFmtId="0" fontId="0" fillId="0" borderId="151" xfId="0" applyBorder="1" applyAlignment="1">
      <alignment horizontal="center"/>
    </xf>
    <xf numFmtId="0" fontId="55" fillId="0" borderId="29" xfId="0" applyFont="1" applyBorder="1" applyAlignment="1">
      <alignment horizontal="center" vertical="center" textRotation="90"/>
    </xf>
    <xf numFmtId="0" fontId="55" fillId="0" borderId="0" xfId="0" applyFont="1" applyAlignment="1">
      <alignment horizontal="center" vertical="center" textRotation="90"/>
    </xf>
    <xf numFmtId="177" fontId="29" fillId="0" borderId="0" xfId="0" applyNumberFormat="1" applyFont="1" applyFill="1" applyBorder="1" applyAlignment="1">
      <alignment horizontal="right" vertical="top" shrinkToFit="1"/>
    </xf>
    <xf numFmtId="177" fontId="29" fillId="0" borderId="33" xfId="0" applyNumberFormat="1" applyFont="1" applyFill="1" applyBorder="1" applyAlignment="1">
      <alignment horizontal="right" vertical="top" shrinkToFit="1"/>
    </xf>
    <xf numFmtId="0" fontId="72" fillId="0" borderId="27" xfId="0" applyFont="1" applyFill="1" applyBorder="1" applyAlignment="1">
      <alignment horizontal="left" vertical="top" shrinkToFit="1"/>
    </xf>
    <xf numFmtId="0" fontId="72" fillId="0" borderId="0" xfId="0" applyFont="1" applyFill="1" applyBorder="1" applyAlignment="1">
      <alignment horizontal="left" vertical="top" shrinkToFit="1"/>
    </xf>
    <xf numFmtId="0" fontId="8" fillId="0" borderId="0" xfId="0" applyFont="1" applyFill="1" applyBorder="1" applyAlignment="1">
      <alignment horizontal="right" vertical="top" shrinkToFit="1"/>
    </xf>
    <xf numFmtId="0" fontId="8" fillId="0" borderId="33" xfId="0" applyFont="1" applyFill="1" applyBorder="1" applyAlignment="1">
      <alignment horizontal="right" vertical="top" shrinkToFit="1"/>
    </xf>
    <xf numFmtId="0" fontId="29" fillId="0" borderId="0" xfId="0" applyFont="1" applyFill="1" applyBorder="1" applyAlignment="1">
      <alignment vertical="top" shrinkToFit="1"/>
    </xf>
    <xf numFmtId="0" fontId="29" fillId="0" borderId="33" xfId="0" applyFont="1" applyFill="1" applyBorder="1" applyAlignment="1">
      <alignment vertical="top" shrinkToFit="1"/>
    </xf>
    <xf numFmtId="0" fontId="30" fillId="5" borderId="108" xfId="0" applyFont="1" applyFill="1" applyBorder="1" applyAlignment="1">
      <alignment horizontal="center" vertical="center"/>
    </xf>
    <xf numFmtId="0" fontId="31" fillId="5" borderId="56" xfId="0" applyFont="1" applyFill="1" applyBorder="1" applyAlignment="1">
      <alignment horizontal="center" vertical="center"/>
    </xf>
    <xf numFmtId="0" fontId="31" fillId="5" borderId="58" xfId="0" applyFont="1" applyFill="1" applyBorder="1" applyAlignment="1">
      <alignment horizontal="center" vertical="center"/>
    </xf>
    <xf numFmtId="0" fontId="31" fillId="5" borderId="0" xfId="0" applyFont="1" applyFill="1" applyBorder="1" applyAlignment="1">
      <alignment horizontal="center" vertical="center"/>
    </xf>
    <xf numFmtId="0" fontId="29" fillId="0" borderId="0" xfId="0" applyFont="1" applyFill="1" applyBorder="1" applyAlignment="1">
      <alignment horizontal="left" vertical="top" shrinkToFit="1"/>
    </xf>
    <xf numFmtId="0" fontId="29" fillId="0" borderId="33" xfId="0" applyFont="1" applyFill="1" applyBorder="1" applyAlignment="1">
      <alignment horizontal="left" vertical="top" shrinkToFit="1"/>
    </xf>
    <xf numFmtId="0" fontId="92" fillId="0" borderId="27" xfId="0" applyFont="1" applyBorder="1"/>
    <xf numFmtId="0" fontId="92" fillId="0" borderId="0" xfId="0" applyFont="1"/>
    <xf numFmtId="0" fontId="2" fillId="0" borderId="0" xfId="0" applyFont="1" applyBorder="1" applyAlignment="1">
      <alignment horizontal="left" vertical="top"/>
    </xf>
    <xf numFmtId="0" fontId="2" fillId="0" borderId="165" xfId="0" applyFont="1" applyBorder="1" applyAlignment="1">
      <alignment horizontal="left" vertical="top"/>
    </xf>
    <xf numFmtId="165" fontId="44" fillId="0" borderId="0" xfId="0" applyNumberFormat="1" applyFont="1" applyAlignment="1">
      <alignment horizontal="center" vertical="top"/>
    </xf>
    <xf numFmtId="165" fontId="44" fillId="0" borderId="33" xfId="0" applyNumberFormat="1" applyFont="1" applyBorder="1" applyAlignment="1">
      <alignment horizontal="center" vertical="top"/>
    </xf>
    <xf numFmtId="0" fontId="46" fillId="0" borderId="0" xfId="0" applyNumberFormat="1" applyFont="1" applyAlignment="1">
      <alignment horizontal="left" vertical="top"/>
    </xf>
    <xf numFmtId="0" fontId="79" fillId="0" borderId="41" xfId="0" applyFont="1" applyBorder="1" applyAlignment="1">
      <alignment horizontal="center" vertical="center" shrinkToFit="1"/>
    </xf>
    <xf numFmtId="0" fontId="79" fillId="0" borderId="0" xfId="0" applyFont="1" applyBorder="1" applyAlignment="1">
      <alignment horizontal="center" vertical="center" shrinkToFit="1"/>
    </xf>
    <xf numFmtId="0" fontId="79" fillId="0" borderId="48" xfId="0" applyFont="1" applyBorder="1" applyAlignment="1">
      <alignment horizontal="center" vertical="center" shrinkToFit="1"/>
    </xf>
    <xf numFmtId="0" fontId="8" fillId="0" borderId="32" xfId="0" applyFont="1" applyFill="1" applyBorder="1" applyAlignment="1">
      <alignment horizontal="center"/>
    </xf>
    <xf numFmtId="0" fontId="8" fillId="0" borderId="218" xfId="0" applyFont="1" applyBorder="1" applyAlignment="1"/>
    <xf numFmtId="0" fontId="0" fillId="0" borderId="218" xfId="0" applyBorder="1" applyAlignment="1"/>
    <xf numFmtId="0" fontId="87" fillId="0" borderId="0" xfId="0" applyFont="1" applyBorder="1" applyAlignment="1">
      <alignment horizontal="left" vertical="top" shrinkToFit="1"/>
    </xf>
    <xf numFmtId="0" fontId="0" fillId="0" borderId="0" xfId="0" applyAlignment="1">
      <alignment horizontal="left" vertical="top" shrinkToFit="1"/>
    </xf>
    <xf numFmtId="0" fontId="0" fillId="0" borderId="216" xfId="0" applyBorder="1" applyAlignment="1">
      <alignment horizontal="left" vertical="top" shrinkToFit="1"/>
    </xf>
    <xf numFmtId="0" fontId="19" fillId="0" borderId="213" xfId="0" applyFont="1" applyBorder="1" applyAlignment="1">
      <alignment horizontal="center" vertical="center"/>
    </xf>
    <xf numFmtId="0" fontId="109" fillId="0" borderId="213" xfId="0" applyFont="1" applyBorder="1" applyAlignment="1">
      <alignment horizontal="center" vertical="center"/>
    </xf>
    <xf numFmtId="0" fontId="109" fillId="0" borderId="0" xfId="0" applyFont="1" applyAlignment="1">
      <alignment horizontal="center" vertical="center"/>
    </xf>
    <xf numFmtId="0" fontId="109" fillId="0" borderId="216" xfId="0" applyFont="1" applyBorder="1" applyAlignment="1">
      <alignment horizontal="center" vertical="center"/>
    </xf>
    <xf numFmtId="0" fontId="30" fillId="5" borderId="109" xfId="0" applyFont="1" applyFill="1" applyBorder="1" applyAlignment="1">
      <alignment horizontal="center" vertical="center"/>
    </xf>
    <xf numFmtId="0" fontId="30" fillId="24" borderId="0" xfId="0" applyFont="1" applyFill="1" applyBorder="1" applyAlignment="1">
      <alignment horizontal="center" vertical="center"/>
    </xf>
    <xf numFmtId="0" fontId="8" fillId="6" borderId="26" xfId="0" applyFont="1" applyFill="1" applyBorder="1" applyAlignment="1">
      <alignment horizontal="center"/>
    </xf>
    <xf numFmtId="0" fontId="8" fillId="6" borderId="28" xfId="0" applyFont="1" applyFill="1" applyBorder="1" applyAlignment="1">
      <alignment horizontal="center"/>
    </xf>
    <xf numFmtId="0" fontId="8" fillId="6" borderId="29" xfId="0" applyFont="1" applyFill="1" applyBorder="1" applyAlignment="1">
      <alignment horizontal="center"/>
    </xf>
    <xf numFmtId="0" fontId="8" fillId="6" borderId="30" xfId="0" applyFont="1" applyFill="1" applyBorder="1" applyAlignment="1">
      <alignment horizontal="center"/>
    </xf>
    <xf numFmtId="0" fontId="94" fillId="0" borderId="0" xfId="0" applyFont="1" applyFill="1" applyBorder="1" applyAlignment="1">
      <alignment horizontal="center" vertical="center"/>
    </xf>
    <xf numFmtId="0" fontId="30" fillId="24" borderId="0" xfId="0" applyNumberFormat="1" applyFont="1" applyFill="1" applyBorder="1" applyAlignment="1">
      <alignment horizontal="center" vertical="center"/>
    </xf>
    <xf numFmtId="0" fontId="31" fillId="5" borderId="0" xfId="0" applyNumberFormat="1" applyFont="1" applyFill="1" applyBorder="1" applyAlignment="1">
      <alignment horizontal="center" vertical="center"/>
    </xf>
    <xf numFmtId="0" fontId="31" fillId="5" borderId="60" xfId="0" applyNumberFormat="1" applyFont="1" applyFill="1" applyBorder="1" applyAlignment="1">
      <alignment horizontal="center" vertical="center"/>
    </xf>
    <xf numFmtId="0" fontId="30" fillId="24" borderId="58" xfId="0" applyFont="1" applyFill="1" applyBorder="1" applyAlignment="1">
      <alignment horizontal="center" vertical="center"/>
    </xf>
    <xf numFmtId="0" fontId="31" fillId="5" borderId="59" xfId="0" applyFont="1" applyFill="1" applyBorder="1" applyAlignment="1">
      <alignment horizontal="center" vertical="center"/>
    </xf>
    <xf numFmtId="0" fontId="31" fillId="5" borderId="60" xfId="0" applyFont="1" applyFill="1" applyBorder="1" applyAlignment="1">
      <alignment horizontal="center" vertical="center"/>
    </xf>
    <xf numFmtId="0" fontId="29" fillId="0" borderId="0" xfId="0" quotePrefix="1" applyFont="1" applyBorder="1" applyAlignment="1">
      <alignment horizontal="left"/>
    </xf>
    <xf numFmtId="0" fontId="29" fillId="0" borderId="0" xfId="0" applyFont="1" applyBorder="1" applyAlignment="1">
      <alignment horizontal="left"/>
    </xf>
    <xf numFmtId="0" fontId="29" fillId="0" borderId="69" xfId="0" applyFont="1" applyBorder="1" applyAlignment="1">
      <alignment horizontal="left"/>
    </xf>
    <xf numFmtId="0" fontId="72" fillId="0" borderId="112" xfId="0" applyFont="1" applyFill="1" applyBorder="1" applyAlignment="1">
      <alignment vertical="top" shrinkToFit="1"/>
    </xf>
    <xf numFmtId="0" fontId="72" fillId="0" borderId="0" xfId="0" applyFont="1" applyFill="1" applyBorder="1" applyAlignment="1">
      <alignment vertical="top" shrinkToFit="1"/>
    </xf>
    <xf numFmtId="0" fontId="87" fillId="0" borderId="112" xfId="0" applyFont="1" applyBorder="1" applyAlignment="1">
      <alignment horizontal="left" vertical="top" wrapText="1" shrinkToFit="1"/>
    </xf>
    <xf numFmtId="0" fontId="87" fillId="0" borderId="0" xfId="0" applyFont="1" applyBorder="1" applyAlignment="1">
      <alignment horizontal="left" vertical="top" wrapText="1" shrinkToFit="1"/>
    </xf>
    <xf numFmtId="0" fontId="87" fillId="0" borderId="117" xfId="0" applyFont="1" applyBorder="1" applyAlignment="1">
      <alignment horizontal="left" vertical="top" wrapText="1" shrinkToFit="1"/>
    </xf>
    <xf numFmtId="0" fontId="79" fillId="0" borderId="41" xfId="0" applyFont="1" applyBorder="1" applyAlignment="1">
      <alignment horizontal="center" vertical="center"/>
    </xf>
    <xf numFmtId="0" fontId="79" fillId="0" borderId="0" xfId="0" applyFont="1" applyBorder="1" applyAlignment="1">
      <alignment horizontal="center" vertical="center"/>
    </xf>
    <xf numFmtId="0" fontId="79" fillId="0" borderId="48" xfId="0" applyFont="1" applyBorder="1" applyAlignment="1">
      <alignment horizontal="center" vertical="center"/>
    </xf>
    <xf numFmtId="0" fontId="54" fillId="0" borderId="0" xfId="0" applyFont="1" applyAlignment="1">
      <alignment horizontal="left" vertical="top" wrapText="1"/>
    </xf>
    <xf numFmtId="0" fontId="8" fillId="0" borderId="0" xfId="0" applyFont="1" applyFill="1" applyBorder="1" applyAlignment="1">
      <alignment horizontal="right" vertical="center" shrinkToFit="1"/>
    </xf>
    <xf numFmtId="0" fontId="8" fillId="0" borderId="33" xfId="0" applyFont="1" applyFill="1" applyBorder="1" applyAlignment="1">
      <alignment horizontal="right" vertical="center" shrinkToFit="1"/>
    </xf>
    <xf numFmtId="0" fontId="44" fillId="0" borderId="0" xfId="0" applyFont="1" applyAlignment="1">
      <alignment horizontal="right" vertical="top"/>
    </xf>
    <xf numFmtId="0" fontId="44" fillId="0" borderId="33" xfId="0" applyFont="1" applyBorder="1" applyAlignment="1">
      <alignment horizontal="right" vertical="top"/>
    </xf>
    <xf numFmtId="164" fontId="29" fillId="0" borderId="112" xfId="0" applyNumberFormat="1" applyFont="1" applyBorder="1" applyAlignment="1">
      <alignment horizontal="right" vertical="top" wrapText="1"/>
    </xf>
    <xf numFmtId="164" fontId="29" fillId="0" borderId="0" xfId="0" applyNumberFormat="1" applyFont="1" applyBorder="1" applyAlignment="1">
      <alignment horizontal="right" vertical="top" wrapText="1"/>
    </xf>
    <xf numFmtId="164" fontId="29" fillId="0" borderId="117" xfId="0" applyNumberFormat="1" applyFont="1" applyBorder="1" applyAlignment="1">
      <alignment horizontal="right" vertical="top" wrapText="1"/>
    </xf>
    <xf numFmtId="0" fontId="72" fillId="0" borderId="112" xfId="0" applyFont="1" applyBorder="1" applyAlignment="1">
      <alignment vertical="center" shrinkToFit="1"/>
    </xf>
    <xf numFmtId="0" fontId="72" fillId="0" borderId="0" xfId="0" applyFont="1" applyBorder="1" applyAlignment="1">
      <alignment vertical="center" shrinkToFit="1"/>
    </xf>
    <xf numFmtId="164" fontId="15" fillId="0" borderId="112" xfId="0" applyNumberFormat="1" applyFont="1" applyBorder="1" applyAlignment="1">
      <alignment horizontal="right" vertical="center" shrinkToFit="1"/>
    </xf>
    <xf numFmtId="164" fontId="15" fillId="0" borderId="0" xfId="0" applyNumberFormat="1" applyFont="1" applyBorder="1" applyAlignment="1">
      <alignment horizontal="right" vertical="center" shrinkToFit="1"/>
    </xf>
    <xf numFmtId="164" fontId="15" fillId="0" borderId="117" xfId="0" applyNumberFormat="1" applyFont="1" applyBorder="1" applyAlignment="1">
      <alignment horizontal="right" vertical="center" shrinkToFit="1"/>
    </xf>
    <xf numFmtId="169" fontId="15" fillId="0" borderId="112" xfId="0" applyNumberFormat="1" applyFont="1" applyBorder="1" applyAlignment="1">
      <alignment horizontal="right" vertical="center" shrinkToFit="1"/>
    </xf>
    <xf numFmtId="169" fontId="15" fillId="0" borderId="0" xfId="0" applyNumberFormat="1" applyFont="1" applyBorder="1" applyAlignment="1">
      <alignment horizontal="right" vertical="center" shrinkToFit="1"/>
    </xf>
    <xf numFmtId="169" fontId="15" fillId="0" borderId="117" xfId="0" applyNumberFormat="1" applyFont="1" applyBorder="1" applyAlignment="1">
      <alignment horizontal="right" vertical="center" shrinkToFit="1"/>
    </xf>
    <xf numFmtId="0" fontId="72" fillId="0" borderId="112" xfId="0" applyFont="1" applyBorder="1" applyAlignment="1">
      <alignment vertical="top" shrinkToFit="1"/>
    </xf>
    <xf numFmtId="0" fontId="72" fillId="0" borderId="0" xfId="0" applyFont="1" applyBorder="1" applyAlignment="1">
      <alignment vertical="top" shrinkToFit="1"/>
    </xf>
    <xf numFmtId="0" fontId="32" fillId="0" borderId="112" xfId="0" applyFont="1" applyFill="1" applyBorder="1" applyAlignment="1">
      <alignment horizontal="right" vertical="top" wrapText="1" shrinkToFit="1"/>
    </xf>
    <xf numFmtId="0" fontId="32" fillId="0" borderId="0" xfId="0" applyFont="1" applyFill="1" applyBorder="1" applyAlignment="1">
      <alignment horizontal="right" vertical="top" wrapText="1" shrinkToFit="1"/>
    </xf>
    <xf numFmtId="0" fontId="32" fillId="0" borderId="117" xfId="0" applyFont="1" applyFill="1" applyBorder="1" applyAlignment="1">
      <alignment horizontal="right" vertical="top" wrapText="1" shrinkToFit="1"/>
    </xf>
    <xf numFmtId="0" fontId="72" fillId="0" borderId="164" xfId="0" applyFont="1" applyFill="1" applyBorder="1" applyAlignment="1">
      <alignment horizontal="left" vertical="top" shrinkToFit="1"/>
    </xf>
    <xf numFmtId="0" fontId="11" fillId="0" borderId="0" xfId="0" applyFont="1" applyBorder="1" applyAlignment="1">
      <alignment horizontal="left" vertical="center"/>
    </xf>
    <xf numFmtId="0" fontId="11" fillId="0" borderId="69" xfId="0" applyFont="1" applyBorder="1" applyAlignment="1">
      <alignment horizontal="left" vertical="center"/>
    </xf>
    <xf numFmtId="0" fontId="8" fillId="22" borderId="128" xfId="0" applyFont="1" applyFill="1" applyBorder="1" applyAlignment="1">
      <alignment horizontal="center"/>
    </xf>
    <xf numFmtId="0" fontId="8" fillId="22" borderId="129" xfId="0" applyFont="1" applyFill="1" applyBorder="1" applyAlignment="1">
      <alignment horizontal="center"/>
    </xf>
    <xf numFmtId="0" fontId="8" fillId="22" borderId="124" xfId="0" applyFont="1" applyFill="1" applyBorder="1" applyAlignment="1">
      <alignment horizontal="center"/>
    </xf>
    <xf numFmtId="0" fontId="8" fillId="22" borderId="132" xfId="0" applyFont="1" applyFill="1" applyBorder="1" applyAlignment="1">
      <alignment horizontal="center"/>
    </xf>
    <xf numFmtId="0" fontId="11" fillId="0" borderId="0" xfId="0" applyFont="1" applyBorder="1" applyAlignment="1">
      <alignment horizontal="left"/>
    </xf>
    <xf numFmtId="0" fontId="11" fillId="0" borderId="69" xfId="0" applyFont="1" applyBorder="1" applyAlignment="1">
      <alignment horizontal="left"/>
    </xf>
    <xf numFmtId="0" fontId="9" fillId="0" borderId="0" xfId="0" quotePrefix="1" applyFont="1" applyBorder="1" applyAlignment="1">
      <alignment horizontal="left"/>
    </xf>
    <xf numFmtId="0" fontId="9" fillId="0" borderId="0" xfId="0" applyFont="1" applyBorder="1" applyAlignment="1">
      <alignment horizontal="left"/>
    </xf>
    <xf numFmtId="0" fontId="9" fillId="0" borderId="69" xfId="0" applyFont="1" applyBorder="1" applyAlignment="1">
      <alignment horizontal="left"/>
    </xf>
    <xf numFmtId="0" fontId="23" fillId="0" borderId="224" xfId="0" applyFont="1" applyBorder="1" applyAlignment="1">
      <alignment horizontal="left" wrapText="1" shrinkToFit="1"/>
    </xf>
    <xf numFmtId="0" fontId="0" fillId="0" borderId="0" xfId="0" applyBorder="1" applyAlignment="1">
      <alignment wrapText="1"/>
    </xf>
    <xf numFmtId="0" fontId="0" fillId="0" borderId="225" xfId="0" applyBorder="1" applyAlignment="1">
      <alignment wrapText="1"/>
    </xf>
    <xf numFmtId="0" fontId="0" fillId="0" borderId="224" xfId="0" applyBorder="1" applyAlignment="1">
      <alignment wrapText="1"/>
    </xf>
    <xf numFmtId="0" fontId="0" fillId="0" borderId="226" xfId="0" applyBorder="1" applyAlignment="1">
      <alignment wrapText="1"/>
    </xf>
    <xf numFmtId="0" fontId="0" fillId="0" borderId="199" xfId="0" applyBorder="1" applyAlignment="1">
      <alignment wrapText="1"/>
    </xf>
    <xf numFmtId="0" fontId="0" fillId="0" borderId="227" xfId="0" applyBorder="1" applyAlignment="1">
      <alignment wrapText="1"/>
    </xf>
    <xf numFmtId="0" fontId="11" fillId="0" borderId="0" xfId="0" applyFont="1" applyAlignment="1">
      <alignment horizontal="left"/>
    </xf>
    <xf numFmtId="0" fontId="1" fillId="0" borderId="0" xfId="0" applyFont="1" applyAlignment="1">
      <alignment horizontal="left"/>
    </xf>
    <xf numFmtId="0" fontId="1" fillId="0" borderId="69" xfId="0" applyFont="1" applyBorder="1" applyAlignment="1">
      <alignment horizontal="left"/>
    </xf>
    <xf numFmtId="167" fontId="15" fillId="0" borderId="112" xfId="0" applyNumberFormat="1" applyFont="1" applyBorder="1" applyAlignment="1">
      <alignment horizontal="right" vertical="center" shrinkToFit="1"/>
    </xf>
    <xf numFmtId="167" fontId="15" fillId="0" borderId="0" xfId="0" applyNumberFormat="1" applyFont="1" applyBorder="1" applyAlignment="1">
      <alignment horizontal="right" vertical="center" shrinkToFit="1"/>
    </xf>
    <xf numFmtId="167" fontId="15" fillId="0" borderId="117" xfId="0" applyNumberFormat="1" applyFont="1" applyBorder="1" applyAlignment="1">
      <alignment horizontal="right" vertical="center" shrinkToFit="1"/>
    </xf>
    <xf numFmtId="0" fontId="86" fillId="0" borderId="112" xfId="0" applyFont="1" applyBorder="1" applyAlignment="1">
      <alignment vertical="top" wrapText="1" shrinkToFit="1"/>
    </xf>
    <xf numFmtId="0" fontId="86" fillId="0" borderId="0" xfId="0" applyFont="1" applyBorder="1" applyAlignment="1">
      <alignment vertical="top" wrapText="1" shrinkToFit="1"/>
    </xf>
    <xf numFmtId="0" fontId="86" fillId="0" borderId="117" xfId="0" applyFont="1" applyBorder="1" applyAlignment="1">
      <alignment vertical="top" wrapText="1" shrinkToFit="1"/>
    </xf>
    <xf numFmtId="164" fontId="15" fillId="0" borderId="112" xfId="0" applyNumberFormat="1" applyFont="1" applyBorder="1" applyAlignment="1">
      <alignment horizontal="center" vertical="center" shrinkToFit="1"/>
    </xf>
    <xf numFmtId="164" fontId="15" fillId="0" borderId="0" xfId="0" applyNumberFormat="1" applyFont="1" applyBorder="1" applyAlignment="1">
      <alignment horizontal="center" vertical="center" shrinkToFit="1"/>
    </xf>
    <xf numFmtId="164" fontId="15" fillId="0" borderId="117" xfId="0" applyNumberFormat="1" applyFont="1" applyBorder="1" applyAlignment="1">
      <alignment horizontal="center" vertical="center" shrinkToFit="1"/>
    </xf>
    <xf numFmtId="0" fontId="8" fillId="20" borderId="114" xfId="0" applyFont="1" applyFill="1" applyBorder="1" applyAlignment="1">
      <alignment horizontal="center"/>
    </xf>
    <xf numFmtId="0" fontId="8" fillId="20" borderId="116" xfId="0" applyFont="1" applyFill="1" applyBorder="1" applyAlignment="1">
      <alignment horizontal="center"/>
    </xf>
    <xf numFmtId="0" fontId="8" fillId="21" borderId="114" xfId="0" applyFont="1" applyFill="1" applyBorder="1" applyAlignment="1">
      <alignment horizontal="center"/>
    </xf>
    <xf numFmtId="0" fontId="8" fillId="21" borderId="116" xfId="0" applyFont="1" applyFill="1" applyBorder="1" applyAlignment="1">
      <alignment horizontal="center"/>
    </xf>
    <xf numFmtId="0" fontId="15" fillId="0" borderId="112" xfId="0" applyFont="1" applyFill="1" applyBorder="1" applyAlignment="1">
      <alignment horizontal="right" vertical="center" shrinkToFit="1"/>
    </xf>
    <xf numFmtId="0" fontId="15" fillId="0" borderId="0" xfId="0" applyFont="1" applyFill="1" applyBorder="1" applyAlignment="1">
      <alignment horizontal="right" vertical="center" shrinkToFit="1"/>
    </xf>
    <xf numFmtId="0" fontId="15" fillId="0" borderId="117" xfId="0" applyFont="1" applyFill="1" applyBorder="1" applyAlignment="1">
      <alignment horizontal="right" vertical="center" shrinkToFit="1"/>
    </xf>
    <xf numFmtId="0" fontId="72" fillId="0" borderId="112" xfId="0" applyFont="1" applyFill="1" applyBorder="1" applyAlignment="1">
      <alignment horizontal="center" vertical="top" shrinkToFit="1"/>
    </xf>
    <xf numFmtId="0" fontId="72" fillId="0" borderId="0" xfId="0" applyFont="1" applyFill="1" applyBorder="1" applyAlignment="1">
      <alignment horizontal="center" vertical="top" shrinkToFit="1"/>
    </xf>
    <xf numFmtId="168" fontId="15" fillId="0" borderId="112" xfId="0" applyNumberFormat="1" applyFont="1" applyBorder="1" applyAlignment="1">
      <alignment horizontal="right" vertical="center" shrinkToFit="1"/>
    </xf>
    <xf numFmtId="168" fontId="15" fillId="0" borderId="0" xfId="0" applyNumberFormat="1" applyFont="1" applyBorder="1" applyAlignment="1">
      <alignment horizontal="right" vertical="center" shrinkToFit="1"/>
    </xf>
    <xf numFmtId="168" fontId="15" fillId="0" borderId="117" xfId="0" applyNumberFormat="1" applyFont="1" applyBorder="1" applyAlignment="1">
      <alignment horizontal="right" vertical="center" shrinkToFit="1"/>
    </xf>
    <xf numFmtId="0" fontId="8" fillId="6" borderId="92" xfId="0" applyFont="1" applyFill="1" applyBorder="1" applyAlignment="1">
      <alignment horizontal="center"/>
    </xf>
    <xf numFmtId="0" fontId="8" fillId="6" borderId="93" xfId="0" applyFont="1" applyFill="1" applyBorder="1" applyAlignment="1">
      <alignment horizontal="center"/>
    </xf>
    <xf numFmtId="0" fontId="8" fillId="6" borderId="94" xfId="0" applyFont="1" applyFill="1" applyBorder="1" applyAlignment="1">
      <alignment horizontal="center"/>
    </xf>
    <xf numFmtId="0" fontId="8" fillId="6" borderId="49" xfId="0" applyFont="1" applyFill="1" applyBorder="1" applyAlignment="1">
      <alignment horizontal="center"/>
    </xf>
    <xf numFmtId="0" fontId="8" fillId="18" borderId="95" xfId="0" applyFont="1" applyFill="1" applyBorder="1" applyAlignment="1">
      <alignment horizontal="center"/>
    </xf>
    <xf numFmtId="0" fontId="8" fillId="18" borderId="81" xfId="0" applyFont="1" applyFill="1" applyBorder="1" applyAlignment="1">
      <alignment horizontal="center"/>
    </xf>
    <xf numFmtId="164" fontId="15" fillId="0" borderId="0" xfId="0" applyNumberFormat="1" applyFont="1" applyBorder="1" applyAlignment="1">
      <alignment horizontal="center" vertical="center"/>
    </xf>
    <xf numFmtId="0" fontId="15" fillId="0" borderId="20" xfId="0" applyNumberFormat="1" applyFont="1" applyBorder="1" applyAlignment="1">
      <alignment horizontal="center" vertical="center"/>
    </xf>
    <xf numFmtId="0" fontId="15" fillId="0" borderId="0" xfId="0" applyNumberFormat="1" applyFont="1" applyBorder="1" applyAlignment="1">
      <alignment horizontal="center" vertical="center"/>
    </xf>
    <xf numFmtId="0" fontId="15" fillId="0" borderId="22" xfId="0" applyNumberFormat="1" applyFont="1" applyBorder="1" applyAlignment="1">
      <alignment horizontal="center" vertical="center"/>
    </xf>
    <xf numFmtId="0" fontId="8" fillId="27" borderId="94" xfId="0" applyFont="1" applyFill="1" applyBorder="1" applyAlignment="1">
      <alignment horizontal="center"/>
    </xf>
    <xf numFmtId="0" fontId="8" fillId="27" borderId="49" xfId="0" applyFont="1" applyFill="1" applyBorder="1" applyAlignment="1">
      <alignment horizontal="center"/>
    </xf>
    <xf numFmtId="0" fontId="8" fillId="17" borderId="95" xfId="0" applyFont="1" applyFill="1" applyBorder="1" applyAlignment="1">
      <alignment horizontal="center"/>
    </xf>
    <xf numFmtId="0" fontId="8" fillId="17" borderId="81" xfId="0" applyFont="1" applyFill="1" applyBorder="1" applyAlignment="1">
      <alignment horizontal="center"/>
    </xf>
    <xf numFmtId="0" fontId="8" fillId="0" borderId="0" xfId="0" applyFont="1" applyBorder="1" applyAlignment="1">
      <alignment horizontal="left" vertical="top" wrapText="1"/>
    </xf>
    <xf numFmtId="0" fontId="90" fillId="0" borderId="0" xfId="0" applyFont="1" applyBorder="1" applyAlignment="1">
      <alignment horizontal="center" vertical="center"/>
    </xf>
    <xf numFmtId="0" fontId="90" fillId="0" borderId="45" xfId="0" applyFont="1" applyBorder="1" applyAlignment="1">
      <alignment horizontal="center" vertical="center"/>
    </xf>
    <xf numFmtId="0" fontId="22" fillId="0" borderId="0" xfId="0" applyFont="1" applyBorder="1" applyAlignment="1">
      <alignment horizontal="center" vertical="center"/>
    </xf>
    <xf numFmtId="0" fontId="11" fillId="0" borderId="0" xfId="0" applyFont="1" applyAlignment="1">
      <alignment horizontal="center" vertical="center"/>
    </xf>
    <xf numFmtId="0" fontId="93" fillId="15" borderId="26" xfId="0" applyFont="1" applyFill="1" applyBorder="1" applyAlignment="1">
      <alignment horizontal="left" vertical="center" wrapText="1"/>
    </xf>
    <xf numFmtId="0" fontId="93" fillId="15" borderId="27" xfId="0" applyFont="1" applyFill="1" applyBorder="1" applyAlignment="1">
      <alignment horizontal="left" vertical="center" wrapText="1"/>
    </xf>
    <xf numFmtId="0" fontId="93" fillId="15" borderId="29" xfId="0" applyFont="1" applyFill="1" applyBorder="1" applyAlignment="1">
      <alignment horizontal="left" vertical="center" wrapText="1"/>
    </xf>
    <xf numFmtId="0" fontId="93" fillId="15" borderId="0" xfId="0" applyFont="1" applyFill="1" applyBorder="1" applyAlignment="1">
      <alignment horizontal="left" vertical="center" wrapText="1"/>
    </xf>
    <xf numFmtId="0" fontId="8" fillId="0" borderId="55" xfId="0" applyFont="1" applyFill="1" applyBorder="1" applyAlignment="1">
      <alignment horizontal="center"/>
    </xf>
    <xf numFmtId="0" fontId="8" fillId="0" borderId="56" xfId="0" applyFont="1" applyFill="1" applyBorder="1" applyAlignment="1">
      <alignment horizontal="center"/>
    </xf>
    <xf numFmtId="0" fontId="8" fillId="0" borderId="58" xfId="0" applyFont="1" applyFill="1" applyBorder="1" applyAlignment="1">
      <alignment horizontal="center"/>
    </xf>
    <xf numFmtId="0" fontId="8" fillId="0" borderId="0" xfId="0" applyFont="1" applyFill="1" applyBorder="1" applyAlignment="1">
      <alignment horizontal="center"/>
    </xf>
    <xf numFmtId="0" fontId="8" fillId="0" borderId="59" xfId="0" applyFont="1" applyFill="1" applyBorder="1" applyAlignment="1">
      <alignment horizontal="center"/>
    </xf>
    <xf numFmtId="0" fontId="8" fillId="0" borderId="60" xfId="0" applyFont="1" applyFill="1" applyBorder="1" applyAlignment="1">
      <alignment horizontal="center"/>
    </xf>
    <xf numFmtId="0" fontId="8" fillId="0" borderId="57" xfId="0" applyFont="1" applyBorder="1" applyAlignment="1">
      <alignment horizontal="center"/>
    </xf>
    <xf numFmtId="0" fontId="8" fillId="0" borderId="40" xfId="0" applyFont="1" applyBorder="1" applyAlignment="1">
      <alignment horizontal="center"/>
    </xf>
    <xf numFmtId="0" fontId="81" fillId="15" borderId="0" xfId="0" applyFont="1" applyFill="1" applyBorder="1" applyAlignment="1">
      <alignment horizontal="left" vertical="top" wrapText="1"/>
    </xf>
    <xf numFmtId="0" fontId="81" fillId="15" borderId="33" xfId="0" applyFont="1" applyFill="1" applyBorder="1" applyAlignment="1">
      <alignment horizontal="left" vertical="top" wrapText="1"/>
    </xf>
    <xf numFmtId="0" fontId="8" fillId="25" borderId="94" xfId="0" applyFont="1" applyFill="1" applyBorder="1" applyAlignment="1">
      <alignment horizontal="center"/>
    </xf>
    <xf numFmtId="0" fontId="8" fillId="25" borderId="49" xfId="0" applyFont="1" applyFill="1" applyBorder="1" applyAlignment="1">
      <alignment horizontal="center"/>
    </xf>
    <xf numFmtId="164" fontId="19" fillId="0" borderId="0" xfId="0" applyNumberFormat="1" applyFont="1" applyBorder="1" applyAlignment="1">
      <alignment horizontal="center" vertical="center"/>
    </xf>
    <xf numFmtId="0" fontId="22" fillId="0" borderId="0" xfId="0" applyNumberFormat="1" applyFont="1" applyBorder="1" applyAlignment="1">
      <alignment horizontal="center" vertical="center"/>
    </xf>
    <xf numFmtId="0" fontId="8" fillId="0" borderId="32" xfId="0" applyFont="1" applyBorder="1" applyAlignment="1">
      <alignment horizontal="center"/>
    </xf>
    <xf numFmtId="0" fontId="18" fillId="0" borderId="0" xfId="0" applyFont="1" applyBorder="1" applyAlignment="1">
      <alignment horizontal="center" vertical="center"/>
    </xf>
    <xf numFmtId="0" fontId="87" fillId="0" borderId="0" xfId="0" applyFont="1" applyAlignment="1">
      <alignment horizontal="left" vertical="top"/>
    </xf>
    <xf numFmtId="0" fontId="80" fillId="0" borderId="0" xfId="0" applyFont="1" applyAlignment="1">
      <alignment horizontal="center"/>
    </xf>
    <xf numFmtId="0" fontId="72" fillId="0" borderId="0" xfId="0" applyFont="1" applyAlignment="1">
      <alignment horizontal="center"/>
    </xf>
    <xf numFmtId="0" fontId="80" fillId="0" borderId="0" xfId="0" applyFont="1" applyAlignment="1">
      <alignment horizontal="center" vertical="top"/>
    </xf>
    <xf numFmtId="0" fontId="93" fillId="0" borderId="0" xfId="0" applyFont="1" applyAlignment="1">
      <alignment horizontal="left" vertical="center" wrapText="1"/>
    </xf>
    <xf numFmtId="0" fontId="81" fillId="7" borderId="62" xfId="0" applyFont="1" applyFill="1" applyBorder="1" applyAlignment="1">
      <alignment horizontal="left" vertical="center" wrapText="1"/>
    </xf>
    <xf numFmtId="0" fontId="81" fillId="7" borderId="0" xfId="0" applyFont="1" applyFill="1" applyBorder="1" applyAlignment="1">
      <alignment horizontal="left" vertical="center" wrapText="1"/>
    </xf>
    <xf numFmtId="0" fontId="81" fillId="7" borderId="69" xfId="0" applyFont="1" applyFill="1" applyBorder="1" applyAlignment="1">
      <alignment horizontal="left" vertical="center" wrapText="1"/>
    </xf>
    <xf numFmtId="164" fontId="22" fillId="0" borderId="0" xfId="0" applyNumberFormat="1" applyFont="1" applyBorder="1" applyAlignment="1">
      <alignment horizontal="center" vertical="center"/>
    </xf>
    <xf numFmtId="0" fontId="81" fillId="15" borderId="62" xfId="0" applyFont="1" applyFill="1" applyBorder="1" applyAlignment="1">
      <alignment horizontal="left" vertical="center" wrapText="1"/>
    </xf>
    <xf numFmtId="0" fontId="81" fillId="15" borderId="0" xfId="0" applyFont="1" applyFill="1" applyBorder="1" applyAlignment="1">
      <alignment horizontal="left" vertical="center" wrapText="1"/>
    </xf>
    <xf numFmtId="0" fontId="81" fillId="15" borderId="69" xfId="0" applyFont="1" applyFill="1" applyBorder="1" applyAlignment="1">
      <alignment horizontal="left" vertical="center" wrapText="1"/>
    </xf>
    <xf numFmtId="0" fontId="81" fillId="11" borderId="62" xfId="0" applyFont="1" applyFill="1" applyBorder="1" applyAlignment="1">
      <alignment horizontal="left" vertical="center" wrapText="1"/>
    </xf>
    <xf numFmtId="0" fontId="81" fillId="11" borderId="0" xfId="0" applyFont="1" applyFill="1" applyBorder="1" applyAlignment="1">
      <alignment horizontal="left" vertical="center" wrapText="1"/>
    </xf>
    <xf numFmtId="0" fontId="81" fillId="11" borderId="69" xfId="0" applyFont="1" applyFill="1" applyBorder="1" applyAlignment="1">
      <alignment horizontal="left" vertical="center" wrapText="1"/>
    </xf>
    <xf numFmtId="0" fontId="73" fillId="0" borderId="0" xfId="0" applyFont="1" applyBorder="1" applyAlignment="1">
      <alignment horizontal="center"/>
    </xf>
    <xf numFmtId="0" fontId="73" fillId="0" borderId="47" xfId="0" applyFont="1" applyBorder="1" applyAlignment="1">
      <alignment horizontal="center"/>
    </xf>
    <xf numFmtId="0" fontId="88" fillId="0" borderId="0" xfId="0" applyFont="1" applyBorder="1" applyAlignment="1">
      <alignment horizontal="right" vertical="center"/>
    </xf>
    <xf numFmtId="0" fontId="72" fillId="0" borderId="0" xfId="0" applyFont="1" applyBorder="1" applyAlignment="1">
      <alignment horizontal="left" vertical="center"/>
    </xf>
    <xf numFmtId="0" fontId="70" fillId="0" borderId="52" xfId="0" applyFont="1" applyFill="1" applyBorder="1" applyAlignment="1">
      <alignment horizontal="left" vertical="center" wrapText="1"/>
    </xf>
    <xf numFmtId="0" fontId="70" fillId="0" borderId="41" xfId="0" applyFont="1" applyFill="1" applyBorder="1" applyAlignment="1">
      <alignment horizontal="left" vertical="center" wrapText="1"/>
    </xf>
    <xf numFmtId="0" fontId="70" fillId="0" borderId="29" xfId="0" applyFont="1" applyFill="1" applyBorder="1" applyAlignment="1">
      <alignment horizontal="left" vertical="center" wrapText="1"/>
    </xf>
    <xf numFmtId="0" fontId="70" fillId="0" borderId="0" xfId="0" applyFont="1" applyFill="1" applyBorder="1" applyAlignment="1">
      <alignment horizontal="left" vertical="center" wrapText="1"/>
    </xf>
    <xf numFmtId="0" fontId="73" fillId="0" borderId="38" xfId="0" applyFont="1" applyBorder="1" applyAlignment="1">
      <alignment horizontal="center"/>
    </xf>
    <xf numFmtId="0" fontId="73" fillId="0" borderId="0" xfId="0" applyFont="1" applyAlignment="1">
      <alignment horizontal="center"/>
    </xf>
    <xf numFmtId="0" fontId="8" fillId="0" borderId="66" xfId="0" applyFont="1" applyBorder="1" applyAlignment="1">
      <alignment horizontal="center"/>
    </xf>
    <xf numFmtId="0" fontId="10" fillId="0" borderId="27" xfId="0" applyFont="1" applyFill="1" applyBorder="1" applyAlignment="1">
      <alignment horizontal="right" vertical="center" shrinkToFit="1"/>
    </xf>
    <xf numFmtId="0" fontId="10" fillId="0" borderId="0" xfId="0" applyFont="1" applyFill="1" applyBorder="1" applyAlignment="1">
      <alignment horizontal="right" vertical="center" shrinkToFit="1"/>
    </xf>
    <xf numFmtId="0" fontId="10" fillId="0" borderId="33" xfId="0" applyFont="1" applyFill="1" applyBorder="1" applyAlignment="1">
      <alignment horizontal="right" vertical="center" shrinkToFit="1"/>
    </xf>
    <xf numFmtId="165" fontId="19" fillId="0" borderId="0" xfId="0" applyNumberFormat="1" applyFont="1" applyBorder="1" applyAlignment="1">
      <alignment horizontal="center" vertical="center"/>
    </xf>
    <xf numFmtId="0" fontId="93" fillId="0" borderId="0" xfId="0" applyFont="1" applyAlignment="1">
      <alignment horizontal="left" wrapText="1"/>
    </xf>
    <xf numFmtId="0" fontId="19" fillId="0" borderId="213" xfId="0" applyNumberFormat="1" applyFont="1" applyBorder="1" applyAlignment="1">
      <alignment horizontal="center" vertical="center" shrinkToFit="1"/>
    </xf>
    <xf numFmtId="0" fontId="109" fillId="0" borderId="213" xfId="0" applyNumberFormat="1" applyFont="1" applyBorder="1" applyAlignment="1">
      <alignment shrinkToFit="1"/>
    </xf>
    <xf numFmtId="0" fontId="109" fillId="0" borderId="0" xfId="0" applyNumberFormat="1" applyFont="1" applyAlignment="1">
      <alignment shrinkToFit="1"/>
    </xf>
    <xf numFmtId="0" fontId="109" fillId="0" borderId="216" xfId="0" applyNumberFormat="1" applyFont="1" applyBorder="1" applyAlignment="1">
      <alignment shrinkToFit="1"/>
    </xf>
    <xf numFmtId="0" fontId="72" fillId="0" borderId="164" xfId="0" applyFont="1" applyFill="1" applyBorder="1" applyAlignment="1">
      <alignment horizontal="left" vertical="top"/>
    </xf>
    <xf numFmtId="0" fontId="0" fillId="0" borderId="164" xfId="0" applyBorder="1" applyAlignment="1"/>
    <xf numFmtId="0" fontId="0" fillId="0" borderId="0" xfId="0" applyBorder="1" applyAlignment="1"/>
    <xf numFmtId="0" fontId="108" fillId="0" borderId="27" xfId="0" applyFont="1" applyBorder="1" applyAlignment="1">
      <alignment horizontal="right" vertical="center" shrinkToFit="1"/>
    </xf>
    <xf numFmtId="0" fontId="108" fillId="0" borderId="0" xfId="0" applyFont="1" applyAlignment="1">
      <alignment horizontal="right" vertical="center" shrinkToFit="1"/>
    </xf>
    <xf numFmtId="0" fontId="108" fillId="0" borderId="33" xfId="0" applyFont="1" applyBorder="1" applyAlignment="1">
      <alignment horizontal="right" vertical="center" shrinkToFit="1"/>
    </xf>
    <xf numFmtId="0" fontId="8" fillId="6" borderId="0" xfId="0" applyFont="1" applyFill="1" applyBorder="1" applyAlignment="1">
      <alignment horizontal="center"/>
    </xf>
    <xf numFmtId="0" fontId="10" fillId="0" borderId="27" xfId="0" applyFont="1" applyFill="1" applyBorder="1" applyAlignment="1">
      <alignment horizontal="center" vertical="center" shrinkToFit="1"/>
    </xf>
    <xf numFmtId="0" fontId="10" fillId="0" borderId="0" xfId="0" applyFont="1" applyFill="1" applyBorder="1" applyAlignment="1">
      <alignment horizontal="center" vertical="center" shrinkToFit="1"/>
    </xf>
    <xf numFmtId="0" fontId="10" fillId="0" borderId="33" xfId="0" applyFont="1" applyFill="1" applyBorder="1" applyAlignment="1">
      <alignment horizontal="center" vertical="center" shrinkToFit="1"/>
    </xf>
    <xf numFmtId="0" fontId="8" fillId="6" borderId="31" xfId="0" applyFont="1" applyFill="1" applyBorder="1" applyAlignment="1">
      <alignment horizontal="center"/>
    </xf>
    <xf numFmtId="0" fontId="8" fillId="0" borderId="31" xfId="0" applyFont="1" applyFill="1" applyBorder="1" applyAlignment="1">
      <alignment horizontal="center"/>
    </xf>
    <xf numFmtId="166" fontId="15" fillId="0" borderId="27" xfId="0" applyNumberFormat="1" applyFont="1" applyFill="1" applyBorder="1" applyAlignment="1">
      <alignment horizontal="right" vertical="center" shrinkToFit="1"/>
    </xf>
    <xf numFmtId="166" fontId="15" fillId="0" borderId="0" xfId="0" applyNumberFormat="1" applyFont="1" applyFill="1" applyBorder="1" applyAlignment="1">
      <alignment horizontal="right" vertical="center" shrinkToFit="1"/>
    </xf>
    <xf numFmtId="166" fontId="15" fillId="0" borderId="33" xfId="0" applyNumberFormat="1" applyFont="1" applyFill="1" applyBorder="1" applyAlignment="1">
      <alignment horizontal="right" vertical="center" shrinkToFit="1"/>
    </xf>
    <xf numFmtId="167" fontId="15" fillId="0" borderId="27" xfId="0" applyNumberFormat="1" applyFont="1" applyFill="1" applyBorder="1" applyAlignment="1">
      <alignment horizontal="right" vertical="center" shrinkToFit="1"/>
    </xf>
    <xf numFmtId="167" fontId="15" fillId="0" borderId="0" xfId="0" applyNumberFormat="1" applyFont="1" applyFill="1" applyBorder="1" applyAlignment="1">
      <alignment horizontal="right" vertical="center" shrinkToFit="1"/>
    </xf>
    <xf numFmtId="167" fontId="15" fillId="0" borderId="33" xfId="0" applyNumberFormat="1" applyFont="1" applyFill="1" applyBorder="1" applyAlignment="1">
      <alignment horizontal="right" vertical="center" shrinkToFit="1"/>
    </xf>
    <xf numFmtId="0" fontId="28" fillId="0" borderId="27" xfId="0" applyFont="1" applyFill="1" applyBorder="1" applyAlignment="1">
      <alignment horizontal="right" vertical="center" shrinkToFit="1"/>
    </xf>
    <xf numFmtId="0" fontId="28" fillId="0" borderId="0" xfId="0" applyFont="1" applyFill="1" applyBorder="1" applyAlignment="1">
      <alignment horizontal="right" vertical="center" shrinkToFit="1"/>
    </xf>
    <xf numFmtId="0" fontId="28" fillId="0" borderId="33" xfId="0" applyFont="1" applyFill="1" applyBorder="1" applyAlignment="1">
      <alignment horizontal="right" vertical="center" shrinkToFit="1"/>
    </xf>
    <xf numFmtId="0" fontId="8" fillId="4" borderId="0" xfId="0" applyFont="1" applyFill="1" applyAlignment="1">
      <alignment horizontal="center"/>
    </xf>
    <xf numFmtId="0" fontId="19" fillId="0" borderId="0" xfId="0" applyFont="1" applyBorder="1" applyAlignment="1">
      <alignment horizontal="center" vertical="center"/>
    </xf>
    <xf numFmtId="0" fontId="8" fillId="0" borderId="39" xfId="0" applyFont="1" applyBorder="1" applyAlignment="1">
      <alignment horizontal="center"/>
    </xf>
    <xf numFmtId="0" fontId="31" fillId="5" borderId="110" xfId="0" applyNumberFormat="1" applyFont="1" applyFill="1" applyBorder="1" applyAlignment="1">
      <alignment horizontal="center" vertical="center"/>
    </xf>
    <xf numFmtId="0" fontId="31" fillId="5" borderId="113" xfId="0" applyNumberFormat="1" applyFont="1" applyFill="1" applyBorder="1" applyAlignment="1">
      <alignment horizontal="center" vertical="center"/>
    </xf>
    <xf numFmtId="0" fontId="8" fillId="19" borderId="114" xfId="0" applyFont="1" applyFill="1" applyBorder="1" applyAlignment="1">
      <alignment horizontal="center"/>
    </xf>
    <xf numFmtId="0" fontId="8" fillId="19" borderId="116" xfId="0" applyFont="1" applyFill="1" applyBorder="1" applyAlignment="1">
      <alignment horizontal="center"/>
    </xf>
    <xf numFmtId="0" fontId="112" fillId="0" borderId="0" xfId="0" applyFont="1" applyBorder="1" applyAlignment="1">
      <alignment horizontal="center"/>
    </xf>
    <xf numFmtId="0" fontId="113" fillId="0" borderId="0" xfId="0" applyFont="1" applyAlignment="1">
      <alignment horizontal="center"/>
    </xf>
    <xf numFmtId="0" fontId="23" fillId="0" borderId="221" xfId="0" applyFont="1" applyBorder="1" applyAlignment="1">
      <alignment horizontal="left" wrapText="1" shrinkToFit="1"/>
    </xf>
    <xf numFmtId="0" fontId="0" fillId="0" borderId="222" xfId="0" applyBorder="1" applyAlignment="1">
      <alignment wrapText="1"/>
    </xf>
    <xf numFmtId="0" fontId="0" fillId="0" borderId="223" xfId="0" applyBorder="1" applyAlignment="1">
      <alignment wrapText="1"/>
    </xf>
    <xf numFmtId="0" fontId="31" fillId="5" borderId="110" xfId="0" applyFont="1" applyFill="1" applyBorder="1" applyAlignment="1">
      <alignment horizontal="center" vertical="center"/>
    </xf>
    <xf numFmtId="0" fontId="89" fillId="15" borderId="106" xfId="0" applyFont="1" applyFill="1" applyBorder="1" applyAlignment="1">
      <alignment horizontal="center" vertical="center"/>
    </xf>
    <xf numFmtId="0" fontId="8" fillId="12" borderId="136" xfId="0" applyFont="1" applyFill="1" applyBorder="1" applyAlignment="1">
      <alignment horizontal="center"/>
    </xf>
    <xf numFmtId="0" fontId="8" fillId="12" borderId="0" xfId="0" applyFont="1" applyFill="1" applyBorder="1" applyAlignment="1">
      <alignment horizontal="center"/>
    </xf>
    <xf numFmtId="0" fontId="8" fillId="12" borderId="133" xfId="0" applyFont="1" applyFill="1" applyBorder="1" applyAlignment="1">
      <alignment horizontal="center"/>
    </xf>
    <xf numFmtId="0" fontId="79" fillId="0" borderId="38" xfId="0" applyFont="1" applyBorder="1" applyAlignment="1">
      <alignment horizontal="left" vertical="center"/>
    </xf>
    <xf numFmtId="0" fontId="79" fillId="0" borderId="0" xfId="0" applyFont="1" applyBorder="1" applyAlignment="1">
      <alignment horizontal="left" vertical="center"/>
    </xf>
    <xf numFmtId="0" fontId="79" fillId="0" borderId="47" xfId="0" applyFont="1" applyBorder="1" applyAlignment="1">
      <alignment horizontal="left" vertical="center"/>
    </xf>
    <xf numFmtId="0" fontId="16" fillId="0" borderId="38" xfId="0" applyFont="1" applyBorder="1" applyAlignment="1">
      <alignment horizontal="center" vertical="center"/>
    </xf>
    <xf numFmtId="0" fontId="16" fillId="0" borderId="0" xfId="0" applyFont="1" applyBorder="1" applyAlignment="1">
      <alignment horizontal="center" vertical="center"/>
    </xf>
    <xf numFmtId="0" fontId="16" fillId="0" borderId="47" xfId="0" applyFont="1" applyBorder="1" applyAlignment="1">
      <alignment horizontal="center" vertical="center"/>
    </xf>
    <xf numFmtId="0" fontId="83" fillId="0" borderId="0" xfId="0" applyFont="1" applyAlignment="1">
      <alignment horizontal="center" vertical="center" textRotation="90" wrapText="1"/>
    </xf>
    <xf numFmtId="0" fontId="83" fillId="0" borderId="22" xfId="0" applyFont="1" applyBorder="1" applyAlignment="1">
      <alignment horizontal="center" vertical="center" textRotation="90" wrapText="1"/>
    </xf>
    <xf numFmtId="0" fontId="85" fillId="0" borderId="0" xfId="0" applyFont="1" applyAlignment="1">
      <alignment horizontal="center" vertical="top"/>
    </xf>
    <xf numFmtId="0" fontId="68" fillId="0" borderId="0" xfId="0" applyFont="1" applyAlignment="1">
      <alignment horizontal="right" vertical="center"/>
    </xf>
    <xf numFmtId="164" fontId="35" fillId="0" borderId="0" xfId="0" applyNumberFormat="1" applyFont="1" applyBorder="1" applyAlignment="1">
      <alignment horizontal="center" vertical="center"/>
    </xf>
    <xf numFmtId="0" fontId="8" fillId="22" borderId="136" xfId="0" applyFont="1" applyFill="1" applyBorder="1" applyAlignment="1">
      <alignment horizontal="center"/>
    </xf>
    <xf numFmtId="0" fontId="8" fillId="22" borderId="0" xfId="0" applyFont="1" applyFill="1" applyAlignment="1">
      <alignment horizontal="center"/>
    </xf>
    <xf numFmtId="0" fontId="8" fillId="22" borderId="133" xfId="0" applyFont="1" applyFill="1" applyBorder="1" applyAlignment="1">
      <alignment horizontal="center"/>
    </xf>
    <xf numFmtId="0" fontId="8" fillId="4" borderId="136" xfId="0" applyFont="1" applyFill="1" applyBorder="1" applyAlignment="1">
      <alignment horizontal="center"/>
    </xf>
    <xf numFmtId="0" fontId="8" fillId="4" borderId="133" xfId="0" applyFont="1" applyFill="1" applyBorder="1" applyAlignment="1">
      <alignment horizontal="center"/>
    </xf>
    <xf numFmtId="0" fontId="8" fillId="0" borderId="0" xfId="0" applyFont="1" applyFill="1" applyBorder="1" applyAlignment="1">
      <alignment horizontal="left"/>
    </xf>
    <xf numFmtId="0" fontId="8" fillId="0" borderId="69" xfId="0" applyFont="1" applyFill="1" applyBorder="1" applyAlignment="1">
      <alignment horizontal="left"/>
    </xf>
    <xf numFmtId="181" fontId="8" fillId="0" borderId="0" xfId="0" applyNumberFormat="1" applyFont="1" applyFill="1" applyBorder="1" applyAlignment="1">
      <alignment horizontal="center"/>
    </xf>
    <xf numFmtId="181" fontId="8" fillId="0" borderId="69" xfId="0" applyNumberFormat="1" applyFont="1" applyFill="1" applyBorder="1" applyAlignment="1">
      <alignment horizontal="center"/>
    </xf>
    <xf numFmtId="0" fontId="68" fillId="19" borderId="114" xfId="0" applyFont="1" applyFill="1" applyBorder="1" applyAlignment="1">
      <alignment horizontal="center"/>
    </xf>
    <xf numFmtId="0" fontId="68" fillId="19" borderId="145" xfId="0" applyFont="1" applyFill="1" applyBorder="1" applyAlignment="1">
      <alignment horizontal="center"/>
    </xf>
    <xf numFmtId="0" fontId="68" fillId="19" borderId="0" xfId="0" applyFont="1" applyFill="1" applyBorder="1" applyAlignment="1">
      <alignment horizontal="center"/>
    </xf>
    <xf numFmtId="0" fontId="68" fillId="19" borderId="146" xfId="0" applyFont="1" applyFill="1" applyBorder="1" applyAlignment="1">
      <alignment horizontal="center"/>
    </xf>
    <xf numFmtId="0" fontId="68" fillId="19" borderId="116" xfId="0" applyFont="1" applyFill="1" applyBorder="1" applyAlignment="1">
      <alignment horizontal="center"/>
    </xf>
    <xf numFmtId="0" fontId="68" fillId="19" borderId="147" xfId="0" applyFont="1" applyFill="1" applyBorder="1" applyAlignment="1">
      <alignment horizontal="center"/>
    </xf>
    <xf numFmtId="0" fontId="85" fillId="0" borderId="0" xfId="0" applyFont="1" applyAlignment="1">
      <alignment horizont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8" xfId="0" applyFont="1" applyBorder="1" applyAlignment="1">
      <alignment horizontal="center" vertical="center"/>
    </xf>
    <xf numFmtId="0" fontId="85" fillId="0" borderId="0" xfId="0" quotePrefix="1" applyFont="1" applyAlignment="1">
      <alignment horizontal="center"/>
    </xf>
    <xf numFmtId="0" fontId="68" fillId="0" borderId="94" xfId="0" applyFont="1" applyBorder="1" applyAlignment="1">
      <alignment horizontal="right" vertical="center" shrinkToFit="1"/>
    </xf>
    <xf numFmtId="0" fontId="68" fillId="0" borderId="0" xfId="0" applyFont="1" applyAlignment="1">
      <alignment horizontal="right" vertical="center" shrinkToFit="1"/>
    </xf>
    <xf numFmtId="0" fontId="8" fillId="19" borderId="114" xfId="0" applyFont="1" applyFill="1" applyBorder="1" applyAlignment="1">
      <alignment horizontal="center" shrinkToFit="1"/>
    </xf>
    <xf numFmtId="0" fontId="0" fillId="0" borderId="114" xfId="0" applyBorder="1"/>
    <xf numFmtId="0" fontId="0" fillId="0" borderId="145" xfId="0" applyBorder="1"/>
    <xf numFmtId="0" fontId="0" fillId="0" borderId="0" xfId="0"/>
    <xf numFmtId="0" fontId="0" fillId="0" borderId="146" xfId="0" applyBorder="1"/>
    <xf numFmtId="0" fontId="0" fillId="0" borderId="116" xfId="0" applyBorder="1"/>
    <xf numFmtId="0" fontId="0" fillId="0" borderId="147" xfId="0" applyBorder="1"/>
    <xf numFmtId="0" fontId="8" fillId="21" borderId="128" xfId="0" applyFont="1" applyFill="1" applyBorder="1" applyAlignment="1">
      <alignment horizontal="center" shrinkToFit="1"/>
    </xf>
    <xf numFmtId="0" fontId="8" fillId="21" borderId="124" xfId="0" applyFont="1" applyFill="1" applyBorder="1" applyAlignment="1">
      <alignment horizontal="center" shrinkToFit="1"/>
    </xf>
    <xf numFmtId="0" fontId="38" fillId="0" borderId="0" xfId="0" applyFont="1" applyAlignment="1">
      <alignment horizontal="center"/>
    </xf>
    <xf numFmtId="0" fontId="11" fillId="0" borderId="0" xfId="0" applyFont="1" applyFill="1" applyBorder="1" applyAlignment="1">
      <alignment horizontal="left" vertical="center" shrinkToFit="1"/>
    </xf>
    <xf numFmtId="0" fontId="11" fillId="0" borderId="69" xfId="0" applyFont="1" applyFill="1" applyBorder="1" applyAlignment="1">
      <alignment horizontal="left" vertical="center" shrinkToFit="1"/>
    </xf>
    <xf numFmtId="0" fontId="8" fillId="0" borderId="0" xfId="0" applyFont="1" applyFill="1" applyBorder="1" applyAlignment="1">
      <alignment horizontal="center" vertical="center" shrinkToFit="1"/>
    </xf>
    <xf numFmtId="0" fontId="8" fillId="0" borderId="69" xfId="0" applyFont="1" applyFill="1" applyBorder="1" applyAlignment="1">
      <alignment horizontal="center" vertical="center" shrinkToFit="1"/>
    </xf>
    <xf numFmtId="0" fontId="8" fillId="0" borderId="0" xfId="0" applyFont="1" applyFill="1" applyBorder="1" applyAlignment="1">
      <alignment horizontal="left" vertical="center" shrinkToFit="1"/>
    </xf>
    <xf numFmtId="0" fontId="8" fillId="0" borderId="69" xfId="0" applyFont="1" applyFill="1" applyBorder="1" applyAlignment="1">
      <alignment horizontal="left" vertical="center" shrinkToFit="1"/>
    </xf>
    <xf numFmtId="0" fontId="70" fillId="0" borderId="92" xfId="0" applyFont="1" applyFill="1" applyBorder="1" applyAlignment="1">
      <alignment horizontal="center" vertical="center" textRotation="45" shrinkToFit="1"/>
    </xf>
    <xf numFmtId="0" fontId="70" fillId="0" borderId="38" xfId="0" applyFont="1" applyFill="1" applyBorder="1" applyAlignment="1">
      <alignment horizontal="center" vertical="center" textRotation="45" shrinkToFit="1"/>
    </xf>
    <xf numFmtId="0" fontId="70" fillId="0" borderId="94" xfId="0" applyFont="1" applyFill="1" applyBorder="1" applyAlignment="1">
      <alignment horizontal="center" vertical="center" textRotation="45" shrinkToFit="1"/>
    </xf>
    <xf numFmtId="0" fontId="70" fillId="0" borderId="0" xfId="0" applyFont="1" applyFill="1" applyBorder="1" applyAlignment="1">
      <alignment horizontal="center" vertical="center" textRotation="45" shrinkToFit="1"/>
    </xf>
    <xf numFmtId="0" fontId="70" fillId="0" borderId="150" xfId="0" applyFont="1" applyFill="1" applyBorder="1" applyAlignment="1">
      <alignment horizontal="center" vertical="center" textRotation="45" shrinkToFit="1"/>
    </xf>
    <xf numFmtId="0" fontId="70" fillId="0" borderId="47" xfId="0" applyFont="1" applyFill="1" applyBorder="1" applyAlignment="1">
      <alignment horizontal="center" vertical="center" textRotation="45" shrinkToFit="1"/>
    </xf>
    <xf numFmtId="0" fontId="70" fillId="0" borderId="93" xfId="0" applyFont="1" applyFill="1" applyBorder="1" applyAlignment="1">
      <alignment horizontal="center" vertical="center" textRotation="45" shrinkToFit="1"/>
    </xf>
    <xf numFmtId="0" fontId="70" fillId="0" borderId="49" xfId="0" applyFont="1" applyFill="1" applyBorder="1" applyAlignment="1">
      <alignment horizontal="center" vertical="center" textRotation="45" shrinkToFit="1"/>
    </xf>
    <xf numFmtId="0" fontId="70" fillId="0" borderId="53" xfId="0" applyFont="1" applyFill="1" applyBorder="1" applyAlignment="1">
      <alignment horizontal="center" vertical="center" textRotation="45" shrinkToFit="1"/>
    </xf>
    <xf numFmtId="178" fontId="28" fillId="0" borderId="0" xfId="0" applyNumberFormat="1" applyFont="1" applyBorder="1" applyAlignment="1">
      <alignment horizontal="center" vertical="center"/>
    </xf>
    <xf numFmtId="171" fontId="28" fillId="0" borderId="0" xfId="0" applyNumberFormat="1" applyFont="1" applyAlignment="1">
      <alignment horizontal="center"/>
    </xf>
    <xf numFmtId="171" fontId="27" fillId="0" borderId="0" xfId="0" applyNumberFormat="1" applyFont="1" applyBorder="1" applyAlignment="1">
      <alignment horizontal="center"/>
    </xf>
    <xf numFmtId="0" fontId="8" fillId="21" borderId="151" xfId="0" applyFont="1" applyFill="1" applyBorder="1" applyAlignment="1">
      <alignment horizontal="center"/>
    </xf>
    <xf numFmtId="171" fontId="28" fillId="0" borderId="0" xfId="0" applyNumberFormat="1" applyFont="1" applyBorder="1" applyAlignment="1">
      <alignment horizontal="center" vertical="center"/>
    </xf>
    <xf numFmtId="0" fontId="0" fillId="0" borderId="41" xfId="0" applyBorder="1"/>
    <xf numFmtId="0" fontId="0" fillId="0" borderId="48" xfId="0" applyBorder="1"/>
    <xf numFmtId="0" fontId="8" fillId="19" borderId="152" xfId="0" applyFont="1" applyFill="1" applyBorder="1" applyAlignment="1">
      <alignment horizontal="center"/>
    </xf>
    <xf numFmtId="0" fontId="0" fillId="0" borderId="152" xfId="0" applyBorder="1"/>
    <xf numFmtId="0" fontId="0" fillId="0" borderId="219" xfId="0" applyBorder="1"/>
    <xf numFmtId="0" fontId="0" fillId="0" borderId="151" xfId="0" applyBorder="1"/>
    <xf numFmtId="0" fontId="0" fillId="0" borderId="220" xfId="0" applyBorder="1"/>
    <xf numFmtId="0" fontId="8" fillId="19" borderId="151" xfId="0" applyFont="1" applyFill="1" applyBorder="1" applyAlignment="1">
      <alignment horizontal="center"/>
    </xf>
    <xf numFmtId="0" fontId="8" fillId="0" borderId="0" xfId="0" applyFont="1" applyBorder="1" applyAlignment="1">
      <alignment horizontal="left" shrinkToFit="1"/>
    </xf>
    <xf numFmtId="0" fontId="8" fillId="0" borderId="199" xfId="0" applyFont="1" applyBorder="1" applyAlignment="1">
      <alignment horizontal="left" shrinkToFit="1"/>
    </xf>
    <xf numFmtId="170" fontId="10" fillId="0" borderId="27" xfId="0" applyNumberFormat="1" applyFont="1" applyFill="1" applyBorder="1" applyAlignment="1">
      <alignment horizontal="right" vertical="center" shrinkToFit="1"/>
    </xf>
    <xf numFmtId="170" fontId="10" fillId="0" borderId="0" xfId="0" applyNumberFormat="1" applyFont="1" applyFill="1" applyBorder="1" applyAlignment="1">
      <alignment horizontal="right" vertical="center" shrinkToFit="1"/>
    </xf>
    <xf numFmtId="170" fontId="10" fillId="0" borderId="33" xfId="0" applyNumberFormat="1" applyFont="1" applyFill="1" applyBorder="1" applyAlignment="1">
      <alignment horizontal="right" vertical="center" shrinkToFit="1"/>
    </xf>
    <xf numFmtId="0" fontId="72" fillId="0" borderId="27" xfId="0" applyFont="1" applyFill="1" applyBorder="1" applyAlignment="1">
      <alignment horizontal="center" vertical="top" shrinkToFit="1"/>
    </xf>
    <xf numFmtId="0" fontId="9" fillId="0" borderId="164" xfId="0" applyFont="1" applyFill="1" applyBorder="1" applyAlignment="1">
      <alignment horizontal="left" vertical="top" shrinkToFit="1"/>
    </xf>
    <xf numFmtId="0" fontId="9" fillId="0" borderId="0" xfId="0" applyFont="1" applyFill="1" applyBorder="1" applyAlignment="1">
      <alignment horizontal="left" vertical="top" shrinkToFit="1"/>
    </xf>
    <xf numFmtId="0" fontId="61" fillId="0" borderId="0" xfId="0" applyFont="1" applyAlignment="1">
      <alignment horizontal="center" vertical="center"/>
    </xf>
    <xf numFmtId="0" fontId="9" fillId="0" borderId="27" xfId="0" applyFont="1" applyFill="1" applyBorder="1" applyAlignment="1">
      <alignment horizontal="left" vertical="top" shrinkToFit="1"/>
    </xf>
    <xf numFmtId="0" fontId="53" fillId="0" borderId="29" xfId="0" applyFont="1" applyBorder="1" applyAlignment="1">
      <alignment horizontal="center" vertical="center" textRotation="90"/>
    </xf>
    <xf numFmtId="0" fontId="53" fillId="0" borderId="0" xfId="0" applyFont="1" applyAlignment="1">
      <alignment horizontal="center" vertical="center" textRotation="90"/>
    </xf>
    <xf numFmtId="165" fontId="44" fillId="0" borderId="172" xfId="0" applyNumberFormat="1" applyFont="1" applyBorder="1" applyAlignment="1">
      <alignment horizontal="center" vertical="top" shrinkToFit="1"/>
    </xf>
    <xf numFmtId="165" fontId="44" fillId="0" borderId="188" xfId="0" applyNumberFormat="1" applyFont="1" applyBorder="1" applyAlignment="1">
      <alignment horizontal="center" vertical="top" shrinkToFit="1"/>
    </xf>
    <xf numFmtId="0" fontId="29" fillId="0" borderId="0" xfId="0" applyFont="1" applyFill="1" applyBorder="1" applyAlignment="1">
      <alignment horizontal="right" vertical="top" shrinkToFit="1"/>
    </xf>
    <xf numFmtId="0" fontId="29" fillId="0" borderId="33" xfId="0" applyFont="1" applyFill="1" applyBorder="1" applyAlignment="1">
      <alignment horizontal="right" vertical="top" shrinkToFit="1"/>
    </xf>
    <xf numFmtId="0" fontId="47" fillId="0" borderId="0" xfId="0" applyNumberFormat="1" applyFont="1" applyAlignment="1">
      <alignment horizontal="left" vertical="top"/>
    </xf>
    <xf numFmtId="0" fontId="47" fillId="0" borderId="33" xfId="0" applyNumberFormat="1" applyFont="1" applyBorder="1" applyAlignment="1">
      <alignment horizontal="left" vertical="top"/>
    </xf>
    <xf numFmtId="0" fontId="47" fillId="0" borderId="0" xfId="0" applyNumberFormat="1" applyFont="1" applyBorder="1" applyAlignment="1">
      <alignment horizontal="left" vertical="top" shrinkToFit="1"/>
    </xf>
    <xf numFmtId="0" fontId="47" fillId="0" borderId="171" xfId="0" applyNumberFormat="1" applyFont="1" applyBorder="1" applyAlignment="1">
      <alignment horizontal="left" vertical="top" shrinkToFit="1"/>
    </xf>
    <xf numFmtId="0" fontId="9" fillId="0" borderId="164" xfId="0" applyFont="1" applyFill="1" applyBorder="1" applyAlignment="1">
      <alignment horizontal="center" vertical="top" shrinkToFit="1"/>
    </xf>
    <xf numFmtId="0" fontId="9" fillId="0" borderId="171" xfId="0" applyFont="1" applyFill="1" applyBorder="1" applyAlignment="1">
      <alignment horizontal="center" vertical="top" shrinkToFit="1"/>
    </xf>
    <xf numFmtId="165" fontId="44" fillId="0" borderId="0" xfId="0" applyNumberFormat="1" applyFont="1" applyAlignment="1">
      <alignment horizontal="center" vertical="top" shrinkToFit="1"/>
    </xf>
    <xf numFmtId="165" fontId="44" fillId="0" borderId="33" xfId="0" applyNumberFormat="1" applyFont="1" applyBorder="1" applyAlignment="1">
      <alignment horizontal="center" vertical="top" shrinkToFit="1"/>
    </xf>
    <xf numFmtId="165" fontId="44" fillId="0" borderId="179" xfId="0" applyNumberFormat="1" applyFont="1" applyBorder="1" applyAlignment="1">
      <alignment horizontal="center" vertical="top" shrinkToFit="1"/>
    </xf>
    <xf numFmtId="165" fontId="44" fillId="0" borderId="171" xfId="0" applyNumberFormat="1" applyFont="1" applyBorder="1" applyAlignment="1">
      <alignment horizontal="center" vertical="top" shrinkToFit="1"/>
    </xf>
    <xf numFmtId="165" fontId="44" fillId="0" borderId="180" xfId="0" applyNumberFormat="1" applyFont="1" applyBorder="1" applyAlignment="1">
      <alignment horizontal="center" vertical="top" shrinkToFit="1"/>
    </xf>
    <xf numFmtId="165" fontId="44" fillId="0" borderId="183" xfId="0" applyNumberFormat="1" applyFont="1" applyBorder="1" applyAlignment="1">
      <alignment horizontal="center" vertical="top" shrinkToFit="1"/>
    </xf>
    <xf numFmtId="165" fontId="44" fillId="0" borderId="184" xfId="0" applyNumberFormat="1" applyFont="1" applyBorder="1" applyAlignment="1">
      <alignment horizontal="center" vertical="top" shrinkToFit="1"/>
    </xf>
    <xf numFmtId="165" fontId="44" fillId="0" borderId="201" xfId="0" applyNumberFormat="1" applyFont="1" applyBorder="1" applyAlignment="1">
      <alignment horizontal="center" vertical="top" shrinkToFit="1"/>
    </xf>
    <xf numFmtId="165" fontId="44" fillId="0" borderId="202" xfId="0" applyNumberFormat="1" applyFont="1" applyBorder="1" applyAlignment="1">
      <alignment horizontal="center" vertical="top" shrinkToFit="1"/>
    </xf>
    <xf numFmtId="0" fontId="47" fillId="0" borderId="165" xfId="0" applyNumberFormat="1" applyFont="1" applyBorder="1" applyAlignment="1">
      <alignment horizontal="left" vertical="top" shrinkToFit="1"/>
    </xf>
    <xf numFmtId="0" fontId="48" fillId="0" borderId="174" xfId="0" applyFont="1" applyFill="1" applyBorder="1" applyAlignment="1">
      <alignment horizontal="center" vertical="top" shrinkToFit="1"/>
    </xf>
    <xf numFmtId="0" fontId="46" fillId="0" borderId="0" xfId="0" applyFont="1" applyAlignment="1">
      <alignment horizontal="right" vertical="center"/>
    </xf>
    <xf numFmtId="0" fontId="44" fillId="0" borderId="172" xfId="0" applyFont="1" applyBorder="1" applyAlignment="1">
      <alignment horizontal="right" vertical="top"/>
    </xf>
    <xf numFmtId="0" fontId="0" fillId="0" borderId="27" xfId="0" applyBorder="1"/>
    <xf numFmtId="0" fontId="46" fillId="0" borderId="0" xfId="0" applyNumberFormat="1" applyFont="1" applyBorder="1" applyAlignment="1">
      <alignment horizontal="left" vertical="top"/>
    </xf>
    <xf numFmtId="0" fontId="44" fillId="0" borderId="173" xfId="0" applyNumberFormat="1" applyFont="1" applyBorder="1" applyAlignment="1">
      <alignment horizontal="center" vertical="top" shrinkToFit="1"/>
    </xf>
    <xf numFmtId="0" fontId="44" fillId="0" borderId="176" xfId="0" applyNumberFormat="1" applyFont="1" applyBorder="1" applyAlignment="1">
      <alignment horizontal="center" vertical="top" shrinkToFit="1"/>
    </xf>
    <xf numFmtId="0" fontId="44" fillId="0" borderId="0" xfId="0" applyNumberFormat="1" applyFont="1" applyBorder="1" applyAlignment="1">
      <alignment horizontal="center" vertical="top" shrinkToFit="1"/>
    </xf>
    <xf numFmtId="0" fontId="44" fillId="0" borderId="178" xfId="0" applyNumberFormat="1" applyFont="1" applyBorder="1" applyAlignment="1">
      <alignment horizontal="center" vertical="top" shrinkToFit="1"/>
    </xf>
    <xf numFmtId="0" fontId="44" fillId="0" borderId="171" xfId="0" applyNumberFormat="1" applyFont="1" applyBorder="1" applyAlignment="1">
      <alignment horizontal="center" vertical="top" shrinkToFit="1"/>
    </xf>
    <xf numFmtId="0" fontId="44" fillId="0" borderId="180" xfId="0" applyNumberFormat="1" applyFont="1" applyBorder="1" applyAlignment="1">
      <alignment horizontal="center" vertical="top" shrinkToFit="1"/>
    </xf>
    <xf numFmtId="0" fontId="2" fillId="0" borderId="0" xfId="0" applyFont="1" applyBorder="1" applyAlignment="1">
      <alignment horizontal="left" vertical="top" shrinkToFit="1"/>
    </xf>
    <xf numFmtId="0" fontId="2" fillId="0" borderId="165" xfId="0" applyFont="1" applyBorder="1" applyAlignment="1">
      <alignment horizontal="left" vertical="top" shrinkToFit="1"/>
    </xf>
    <xf numFmtId="0" fontId="44" fillId="0" borderId="188" xfId="0" applyFont="1" applyBorder="1" applyAlignment="1">
      <alignment horizontal="right" vertical="top"/>
    </xf>
    <xf numFmtId="165" fontId="44" fillId="0" borderId="173" xfId="0" applyNumberFormat="1" applyFont="1" applyBorder="1" applyAlignment="1">
      <alignment horizontal="center" vertical="top" shrinkToFit="1"/>
    </xf>
    <xf numFmtId="165" fontId="44" fillId="0" borderId="176" xfId="0" applyNumberFormat="1" applyFont="1" applyBorder="1" applyAlignment="1">
      <alignment horizontal="center" vertical="top" shrinkToFit="1"/>
    </xf>
    <xf numFmtId="165" fontId="44" fillId="0" borderId="0" xfId="0" applyNumberFormat="1" applyFont="1" applyBorder="1" applyAlignment="1">
      <alignment horizontal="center" vertical="top" shrinkToFit="1"/>
    </xf>
    <xf numFmtId="165" fontId="44" fillId="0" borderId="178" xfId="0" applyNumberFormat="1" applyFont="1" applyBorder="1" applyAlignment="1">
      <alignment horizontal="center" vertical="top" shrinkToFit="1"/>
    </xf>
    <xf numFmtId="0" fontId="44" fillId="0" borderId="33" xfId="0" applyNumberFormat="1" applyFont="1" applyBorder="1" applyAlignment="1">
      <alignment horizontal="center" vertical="top" shrinkToFit="1"/>
    </xf>
    <xf numFmtId="0" fontId="44" fillId="0" borderId="182" xfId="0" applyNumberFormat="1" applyFont="1" applyBorder="1" applyAlignment="1">
      <alignment horizontal="center" vertical="top" shrinkToFit="1"/>
    </xf>
    <xf numFmtId="165" fontId="44" fillId="0" borderId="175" xfId="0" applyNumberFormat="1" applyFont="1" applyBorder="1" applyAlignment="1">
      <alignment horizontal="center" vertical="top" shrinkToFit="1"/>
    </xf>
    <xf numFmtId="0" fontId="44" fillId="0" borderId="177" xfId="0" applyNumberFormat="1" applyFont="1" applyBorder="1" applyAlignment="1">
      <alignment horizontal="center" vertical="top" shrinkToFit="1"/>
    </xf>
    <xf numFmtId="0" fontId="44" fillId="0" borderId="181" xfId="0" applyNumberFormat="1" applyFont="1" applyBorder="1" applyAlignment="1">
      <alignment horizontal="center" vertical="top" shrinkToFit="1"/>
    </xf>
    <xf numFmtId="165" fontId="44" fillId="0" borderId="177" xfId="0" applyNumberFormat="1" applyFont="1" applyBorder="1" applyAlignment="1">
      <alignment horizontal="center" vertical="top" shrinkToFit="1"/>
    </xf>
    <xf numFmtId="0" fontId="44" fillId="0" borderId="175" xfId="0" applyNumberFormat="1" applyFont="1" applyBorder="1" applyAlignment="1">
      <alignment horizontal="center" vertical="top" shrinkToFit="1"/>
    </xf>
    <xf numFmtId="0" fontId="44" fillId="0" borderId="179" xfId="0" applyNumberFormat="1" applyFont="1" applyBorder="1" applyAlignment="1">
      <alignment horizontal="center" vertical="top" shrinkToFit="1"/>
    </xf>
    <xf numFmtId="184" fontId="44" fillId="0" borderId="175" xfId="0" applyNumberFormat="1" applyFont="1" applyBorder="1" applyAlignment="1">
      <alignment horizontal="center" vertical="top" shrinkToFit="1"/>
    </xf>
    <xf numFmtId="184" fontId="44" fillId="0" borderId="173" xfId="0" applyNumberFormat="1" applyFont="1" applyBorder="1" applyAlignment="1">
      <alignment horizontal="center" vertical="top" shrinkToFit="1"/>
    </xf>
    <xf numFmtId="184" fontId="44" fillId="0" borderId="177" xfId="0" applyNumberFormat="1" applyFont="1" applyBorder="1" applyAlignment="1">
      <alignment horizontal="center" vertical="top" shrinkToFit="1"/>
    </xf>
    <xf numFmtId="184" fontId="44" fillId="0" borderId="0" xfId="0" applyNumberFormat="1" applyFont="1" applyBorder="1" applyAlignment="1">
      <alignment horizontal="center" vertical="top" shrinkToFit="1"/>
    </xf>
    <xf numFmtId="184" fontId="44" fillId="0" borderId="179" xfId="0" applyNumberFormat="1" applyFont="1" applyBorder="1" applyAlignment="1">
      <alignment horizontal="center" vertical="top" shrinkToFit="1"/>
    </xf>
    <xf numFmtId="184" fontId="44" fillId="0" borderId="171" xfId="0" applyNumberFormat="1" applyFont="1" applyBorder="1" applyAlignment="1">
      <alignment horizontal="center" vertical="top" shrinkToFit="1"/>
    </xf>
    <xf numFmtId="0" fontId="47" fillId="0" borderId="0" xfId="0" applyFont="1" applyBorder="1" applyAlignment="1">
      <alignment horizontal="left" vertical="top" shrinkToFit="1"/>
    </xf>
    <xf numFmtId="0" fontId="47" fillId="0" borderId="171" xfId="0" applyFont="1" applyBorder="1" applyAlignment="1">
      <alignment horizontal="left" vertical="top" shrinkToFit="1"/>
    </xf>
    <xf numFmtId="0" fontId="9" fillId="0" borderId="0" xfId="0" applyFont="1" applyFill="1" applyBorder="1" applyAlignment="1">
      <alignment horizontal="center" vertical="top" shrinkToFit="1"/>
    </xf>
    <xf numFmtId="0" fontId="46" fillId="0" borderId="33" xfId="0" applyFont="1" applyBorder="1" applyAlignment="1">
      <alignment horizontal="right" vertical="center"/>
    </xf>
    <xf numFmtId="165" fontId="54" fillId="0" borderId="0" xfId="0" applyNumberFormat="1" applyFont="1" applyBorder="1" applyAlignment="1">
      <alignment horizontal="center" vertical="top" shrinkToFit="1"/>
    </xf>
    <xf numFmtId="165" fontId="54" fillId="0" borderId="165" xfId="0" applyNumberFormat="1" applyFont="1" applyBorder="1" applyAlignment="1">
      <alignment horizontal="center" vertical="top" shrinkToFit="1"/>
    </xf>
    <xf numFmtId="0" fontId="11" fillId="0" borderId="0" xfId="0" applyFont="1" applyFill="1" applyBorder="1" applyAlignment="1">
      <alignment horizontal="center" vertical="top" shrinkToFit="1"/>
    </xf>
    <xf numFmtId="0" fontId="11" fillId="0" borderId="33" xfId="0" applyFont="1" applyFill="1" applyBorder="1" applyAlignment="1">
      <alignment horizontal="center" vertical="top" shrinkToFit="1"/>
    </xf>
    <xf numFmtId="0" fontId="40" fillId="0" borderId="0" xfId="0" applyFont="1" applyAlignment="1">
      <alignment horizontal="center"/>
    </xf>
    <xf numFmtId="0" fontId="40" fillId="0" borderId="208" xfId="0" applyFont="1" applyBorder="1" applyAlignment="1">
      <alignment horizontal="center"/>
    </xf>
    <xf numFmtId="0" fontId="101" fillId="0" borderId="0" xfId="0" applyFont="1" applyAlignment="1">
      <alignment horizontal="right" shrinkToFit="1"/>
    </xf>
    <xf numFmtId="0" fontId="0" fillId="0" borderId="0" xfId="0" applyAlignment="1">
      <alignment horizontal="center"/>
    </xf>
    <xf numFmtId="0" fontId="0" fillId="0" borderId="0" xfId="0" applyAlignment="1">
      <alignment horizontal="left" shrinkToFit="1"/>
    </xf>
    <xf numFmtId="0" fontId="1" fillId="0" borderId="0" xfId="0" applyFont="1" applyAlignment="1">
      <alignment horizontal="center"/>
    </xf>
    <xf numFmtId="0" fontId="99" fillId="0" borderId="0" xfId="0" applyFont="1" applyBorder="1" applyAlignment="1">
      <alignment horizontal="left" vertical="top"/>
    </xf>
    <xf numFmtId="0" fontId="8" fillId="0" borderId="0" xfId="0" quotePrefix="1" applyFont="1" applyFill="1" applyBorder="1" applyAlignment="1">
      <alignment horizontal="right" vertical="top" shrinkToFit="1"/>
    </xf>
    <xf numFmtId="0" fontId="9" fillId="0" borderId="30" xfId="0" applyFont="1" applyFill="1" applyBorder="1" applyAlignment="1">
      <alignment horizontal="center" vertical="top" shrinkToFit="1"/>
    </xf>
    <xf numFmtId="0" fontId="9" fillId="0" borderId="33" xfId="0" applyFont="1" applyFill="1" applyBorder="1" applyAlignment="1">
      <alignment horizontal="center" vertical="top" shrinkToFit="1"/>
    </xf>
    <xf numFmtId="0" fontId="9" fillId="0" borderId="34" xfId="0" applyFont="1" applyFill="1" applyBorder="1" applyAlignment="1">
      <alignment horizontal="center" vertical="top" shrinkToFit="1"/>
    </xf>
    <xf numFmtId="0" fontId="45" fillId="0" borderId="0" xfId="0" applyFont="1" applyAlignment="1">
      <alignment horizontal="center"/>
    </xf>
    <xf numFmtId="0" fontId="100" fillId="0" borderId="0" xfId="0" applyFont="1" applyAlignment="1">
      <alignment horizontal="center" vertical="center"/>
    </xf>
    <xf numFmtId="175" fontId="44" fillId="5" borderId="0" xfId="0" applyNumberFormat="1" applyFont="1" applyFill="1" applyBorder="1" applyAlignment="1">
      <alignment horizontal="right"/>
    </xf>
    <xf numFmtId="0" fontId="0" fillId="5" borderId="0" xfId="0" applyFill="1" applyBorder="1" applyAlignment="1">
      <alignment horizontal="center"/>
    </xf>
    <xf numFmtId="0" fontId="6" fillId="5" borderId="1" xfId="0" applyFont="1" applyFill="1" applyBorder="1" applyAlignment="1">
      <alignment horizontal="center"/>
    </xf>
    <xf numFmtId="0" fontId="43" fillId="5" borderId="0" xfId="0" applyFont="1" applyFill="1" applyBorder="1" applyAlignment="1">
      <alignment horizontal="center" vertical="center"/>
    </xf>
    <xf numFmtId="0" fontId="43" fillId="5" borderId="1" xfId="0" applyFont="1" applyFill="1" applyBorder="1" applyAlignment="1">
      <alignment horizontal="center" vertical="center"/>
    </xf>
    <xf numFmtId="0" fontId="3" fillId="5" borderId="0" xfId="0" applyFont="1" applyFill="1" applyBorder="1" applyAlignment="1">
      <alignment horizontal="left" vertical="top" wrapText="1"/>
    </xf>
    <xf numFmtId="0" fontId="3" fillId="5" borderId="1" xfId="0" applyFont="1" applyFill="1" applyBorder="1" applyAlignment="1">
      <alignment horizontal="left" vertical="top" wrapText="1"/>
    </xf>
    <xf numFmtId="0" fontId="3" fillId="5" borderId="0" xfId="0" applyFont="1" applyFill="1" applyBorder="1"/>
    <xf numFmtId="0" fontId="42" fillId="5" borderId="0" xfId="0" applyFont="1" applyFill="1" applyBorder="1"/>
    <xf numFmtId="0" fontId="1" fillId="5" borderId="24" xfId="0" applyFont="1" applyFill="1" applyBorder="1"/>
    <xf numFmtId="0" fontId="3" fillId="5" borderId="0" xfId="0" applyFont="1" applyFill="1" applyBorder="1" applyAlignment="1">
      <alignment horizontal="left"/>
    </xf>
    <xf numFmtId="0" fontId="1" fillId="5" borderId="24" xfId="0" applyFont="1" applyFill="1" applyBorder="1" applyAlignment="1">
      <alignment horizontal="center"/>
    </xf>
    <xf numFmtId="165" fontId="0" fillId="5" borderId="1" xfId="0" applyNumberFormat="1" applyFill="1" applyBorder="1" applyAlignment="1">
      <alignment horizontal="center"/>
    </xf>
    <xf numFmtId="0" fontId="0" fillId="5" borderId="1" xfId="0" applyFill="1" applyBorder="1" applyAlignment="1">
      <alignment horizontal="center"/>
    </xf>
  </cellXfs>
  <cellStyles count="3">
    <cellStyle name="Hyperlink" xfId="2" builtinId="8"/>
    <cellStyle name="Normal" xfId="0" builtinId="0"/>
    <cellStyle name="Normal 2" xfId="1" xr:uid="{00000000-0005-0000-0000-000002000000}"/>
  </cellStyles>
  <dxfs count="182">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C00000"/>
      </font>
    </dxf>
    <dxf>
      <font>
        <b val="0"/>
        <i val="0"/>
      </font>
      <fill>
        <patternFill>
          <bgColor theme="3" tint="0.79998168889431442"/>
        </patternFill>
      </fill>
      <border>
        <vertical/>
        <horizontal/>
      </border>
    </dxf>
    <dxf>
      <font>
        <color theme="1"/>
      </font>
    </dxf>
    <dxf>
      <font>
        <color theme="1"/>
      </font>
    </dxf>
    <dxf>
      <font>
        <b/>
        <i val="0"/>
        <color auto="1"/>
      </font>
    </dxf>
    <dxf>
      <font>
        <color auto="1"/>
      </font>
      <fill>
        <patternFill patternType="solid">
          <bgColor theme="0"/>
        </patternFill>
      </fill>
    </dxf>
    <dxf>
      <font>
        <color theme="0" tint="-0.34998626667073579"/>
      </font>
    </dxf>
    <dxf>
      <font>
        <b/>
        <i val="0"/>
      </font>
    </dxf>
    <dxf>
      <font>
        <color rgb="FFFFFF00"/>
      </font>
      <fill>
        <patternFill patternType="solid">
          <fgColor auto="1"/>
          <bgColor rgb="FF960000"/>
        </patternFill>
      </fill>
    </dxf>
    <dxf>
      <font>
        <color theme="0" tint="-0.499984740745262"/>
      </font>
      <fill>
        <patternFill>
          <bgColor theme="0" tint="-0.24994659260841701"/>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24994659260841701"/>
        </patternFill>
      </fill>
    </dxf>
    <dxf>
      <fill>
        <patternFill>
          <bgColor theme="0" tint="-0.24994659260841701"/>
        </patternFill>
      </fill>
    </dxf>
    <dxf>
      <fill>
        <patternFill>
          <bgColor rgb="FFE2FEA2"/>
        </patternFill>
      </fill>
      <border>
        <left style="thin">
          <color auto="1"/>
        </left>
        <right style="thin">
          <color auto="1"/>
        </right>
        <top style="thin">
          <color auto="1"/>
        </top>
        <bottom style="thin">
          <color auto="1"/>
        </bottom>
      </border>
    </dxf>
    <dxf>
      <fill>
        <patternFill>
          <bgColor rgb="FFE2FEA2"/>
        </patternFill>
      </fill>
      <border>
        <left style="thin">
          <color auto="1"/>
        </left>
        <right style="thin">
          <color auto="1"/>
        </right>
        <top style="thin">
          <color auto="1"/>
        </top>
        <bottom style="thin">
          <color auto="1"/>
        </bottom>
      </border>
    </dxf>
    <dxf>
      <fill>
        <patternFill>
          <bgColor theme="0" tint="-0.24994659260841701"/>
        </patternFill>
      </fill>
    </dxf>
    <dxf>
      <fill>
        <patternFill>
          <bgColor theme="3" tint="0.79998168889431442"/>
        </patternFill>
      </fill>
    </dxf>
    <dxf>
      <fill>
        <patternFill>
          <bgColor theme="0" tint="-0.24994659260841701"/>
        </patternFill>
      </fill>
    </dxf>
    <dxf>
      <fill>
        <patternFill>
          <bgColor theme="3" tint="0.79998168889431442"/>
        </patternFill>
      </fill>
    </dxf>
    <dxf>
      <fill>
        <patternFill>
          <bgColor theme="3" tint="0.79998168889431442"/>
        </patternFill>
      </fill>
    </dxf>
    <dxf>
      <font>
        <color theme="1"/>
      </font>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ont>
        <color theme="1"/>
      </font>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3" tint="0.79998168889431442"/>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3" tint="0.79998168889431442"/>
        </patternFill>
      </fill>
    </dxf>
    <dxf>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ill>
        <patternFill>
          <bgColor rgb="FFE2FEA2"/>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ont>
        <color rgb="FF00B050"/>
      </font>
      <fill>
        <patternFill>
          <bgColor rgb="FFCCFF99"/>
        </patternFill>
      </fill>
    </dxf>
    <dxf>
      <font>
        <color rgb="FF00B050"/>
      </font>
      <fill>
        <patternFill>
          <bgColor rgb="FFCCFF99"/>
        </patternFill>
      </fill>
    </dxf>
    <dxf>
      <font>
        <color rgb="FF00B050"/>
      </font>
      <fill>
        <patternFill>
          <bgColor rgb="FFCCFF99"/>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ont>
        <color rgb="FF00B050"/>
      </font>
      <fill>
        <patternFill>
          <bgColor rgb="FFCCFF99"/>
        </patternFill>
      </fill>
    </dxf>
    <dxf>
      <font>
        <color rgb="FF00B050"/>
      </font>
      <fill>
        <patternFill>
          <bgColor rgb="FFCCFF99"/>
        </patternFill>
      </fill>
    </dxf>
    <dxf>
      <fill>
        <patternFill>
          <bgColor theme="0" tint="-0.24994659260841701"/>
        </patternFill>
      </fill>
    </dxf>
    <dxf>
      <fill>
        <patternFill>
          <bgColor theme="0" tint="-0.24994659260841701"/>
        </patternFill>
      </fill>
    </dxf>
    <dxf>
      <fill>
        <patternFill>
          <bgColor theme="3" tint="0.79998168889431442"/>
        </patternFill>
      </fill>
    </dxf>
    <dxf>
      <font>
        <color rgb="FF00B050"/>
      </font>
      <fill>
        <patternFill>
          <bgColor rgb="FFCCFF99"/>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theme="0" tint="-0.24994659260841701"/>
        </patternFill>
      </fill>
    </dxf>
    <dxf>
      <fill>
        <patternFill>
          <bgColor theme="0" tint="-0.24994659260841701"/>
        </patternFill>
      </fill>
    </dxf>
    <dxf>
      <fill>
        <patternFill>
          <bgColor theme="3" tint="0.79998168889431442"/>
        </patternFill>
      </fill>
    </dxf>
    <dxf>
      <fill>
        <patternFill>
          <bgColor rgb="FFFFC000"/>
        </patternFill>
      </fill>
    </dxf>
    <dxf>
      <font>
        <b/>
        <i val="0"/>
      </font>
    </dxf>
    <dxf>
      <fill>
        <patternFill>
          <bgColor rgb="FF92D050"/>
        </patternFill>
      </fill>
    </dxf>
    <dxf>
      <fill>
        <patternFill patternType="solid">
          <bgColor theme="0" tint="-0.34998626667073579"/>
        </patternFill>
      </fill>
    </dxf>
    <dxf>
      <fill>
        <patternFill patternType="solid">
          <bgColor theme="0" tint="-0.34998626667073579"/>
        </patternFill>
      </fill>
    </dxf>
    <dxf>
      <fill>
        <patternFill>
          <bgColor rgb="FFFFFF66"/>
        </patternFill>
      </fill>
    </dxf>
    <dxf>
      <fill>
        <patternFill>
          <bgColor theme="3" tint="0.79998168889431442"/>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patternType="none">
          <bgColor auto="1"/>
        </patternFill>
      </fill>
      <border>
        <left style="thin">
          <color rgb="FFFFFF00"/>
        </left>
        <right style="thin">
          <color rgb="FFFFFF00"/>
        </right>
        <top style="thin">
          <color rgb="FFFFFF00"/>
        </top>
        <bottom style="thin">
          <color rgb="FFFFFF00"/>
        </bottom>
      </border>
    </dxf>
    <dxf>
      <fill>
        <patternFill patternType="solid">
          <bgColor theme="0" tint="-0.34998626667073579"/>
        </patternFill>
      </fill>
    </dxf>
    <dxf>
      <fill>
        <patternFill patternType="solid">
          <bgColor theme="0" tint="-0.34998626667073579"/>
        </patternFill>
      </fill>
    </dxf>
    <dxf>
      <fill>
        <patternFill>
          <bgColor rgb="FFFFFF66"/>
        </patternFill>
      </fill>
    </dxf>
    <dxf>
      <fill>
        <patternFill>
          <bgColor theme="3" tint="0.79998168889431442"/>
        </patternFill>
      </fill>
    </dxf>
    <dxf>
      <fill>
        <patternFill>
          <bgColor rgb="FFE2FEA2"/>
        </patternFill>
      </fill>
    </dxf>
    <dxf>
      <fill>
        <patternFill patternType="solid">
          <fgColor auto="1"/>
          <bgColor rgb="FFE2FEA2"/>
        </patternFill>
      </fill>
    </dxf>
    <dxf>
      <font>
        <color theme="0" tint="-0.24994659260841701"/>
      </font>
    </dxf>
    <dxf>
      <font>
        <color theme="0" tint="-0.24994659260841701"/>
      </font>
    </dxf>
    <dxf>
      <fill>
        <patternFill>
          <bgColor rgb="FFFFFF00"/>
        </patternFill>
      </fill>
    </dxf>
    <dxf>
      <font>
        <color theme="1"/>
      </font>
      <fill>
        <patternFill>
          <bgColor theme="0" tint="-0.34998626667073579"/>
        </patternFill>
      </fill>
    </dxf>
    <dxf>
      <fill>
        <patternFill>
          <bgColor theme="0" tint="-0.34998626667073579"/>
        </patternFill>
      </fill>
    </dxf>
    <dxf>
      <fill>
        <patternFill>
          <bgColor theme="3" tint="0.79998168889431442"/>
        </patternFill>
      </fill>
    </dxf>
    <dxf>
      <fill>
        <patternFill>
          <bgColor rgb="FFFFFF00"/>
        </patternFill>
      </fill>
    </dxf>
    <dxf>
      <fill>
        <patternFill>
          <bgColor rgb="FFFFFF00"/>
        </patternFill>
      </fill>
    </dxf>
    <dxf>
      <font>
        <color theme="1"/>
      </font>
      <fill>
        <patternFill>
          <bgColor theme="0" tint="-0.34998626667073579"/>
        </patternFill>
      </fill>
    </dxf>
    <dxf>
      <fill>
        <patternFill>
          <bgColor theme="0" tint="-0.34998626667073579"/>
        </patternFill>
      </fill>
    </dxf>
    <dxf>
      <fill>
        <patternFill>
          <bgColor theme="3" tint="0.79998168889431442"/>
        </patternFill>
      </fill>
    </dxf>
    <dxf>
      <fill>
        <patternFill>
          <bgColor rgb="FFE2FEA2"/>
        </patternFill>
      </fill>
    </dxf>
    <dxf>
      <fill>
        <patternFill>
          <bgColor theme="0"/>
        </patternFill>
      </fill>
      <border>
        <left/>
        <right/>
        <top/>
        <bottom/>
      </border>
    </dxf>
    <dxf>
      <fill>
        <patternFill>
          <bgColor theme="0" tint="-0.24994659260841701"/>
        </patternFill>
      </fill>
    </dxf>
    <dxf>
      <font>
        <color theme="4"/>
      </font>
    </dxf>
    <dxf>
      <font>
        <color theme="3"/>
      </font>
    </dxf>
    <dxf>
      <font>
        <color theme="4"/>
      </font>
    </dxf>
    <dxf>
      <font>
        <color theme="3"/>
      </font>
    </dxf>
    <dxf>
      <font>
        <color theme="4"/>
      </font>
    </dxf>
    <dxf>
      <font>
        <color theme="3"/>
      </font>
    </dxf>
    <dxf>
      <font>
        <color theme="4"/>
      </font>
    </dxf>
    <dxf>
      <font>
        <color theme="3"/>
      </font>
    </dxf>
    <dxf>
      <font>
        <color theme="4"/>
      </font>
    </dxf>
    <dxf>
      <font>
        <color theme="3"/>
      </font>
    </dxf>
    <dxf>
      <font>
        <color theme="5" tint="-0.24994659260841701"/>
      </font>
    </dxf>
    <dxf>
      <font>
        <color theme="4"/>
      </font>
    </dxf>
    <dxf>
      <font>
        <color theme="3"/>
      </font>
    </dxf>
  </dxfs>
  <tableStyles count="0" defaultTableStyle="TableStyleMedium9" defaultPivotStyle="PivotStyleLight16"/>
  <colors>
    <mruColors>
      <color rgb="FF9BBB59"/>
      <color rgb="FFFFCC66"/>
      <color rgb="FFE2FEA2"/>
      <color rgb="FFFFFF66"/>
      <color rgb="FFFFFF99"/>
      <color rgb="FFE2FF8E"/>
      <color rgb="FFCCFF99"/>
      <color rgb="FFFFFF00"/>
      <color rgb="FFFBD679"/>
      <color rgb="FFABDC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ShowTalentTrees" lockText="1" noThreeD="1"/>
</file>

<file path=xl/ctrlProps/ctrlProp2.xml><?xml version="1.0" encoding="utf-8"?>
<formControlPr xmlns="http://schemas.microsoft.com/office/spreadsheetml/2009/9/main" objectType="CheckBox" fmlaLink="$K$6" lockText="1" noThreeD="1"/>
</file>

<file path=xl/ctrlProps/ctrlProp3.xml><?xml version="1.0" encoding="utf-8"?>
<formControlPr xmlns="http://schemas.microsoft.com/office/spreadsheetml/2009/9/main" objectType="CheckBox" fmlaLink="$K$7" lockText="1" noThreeD="1"/>
</file>

<file path=xl/ctrlProps/ctrlProp4.xml><?xml version="1.0" encoding="utf-8"?>
<formControlPr xmlns="http://schemas.microsoft.com/office/spreadsheetml/2009/9/main" objectType="CheckBox" fmlaLink="$K$8"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K$11"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Radio" checked="Checked" firstButton="1" fmlaLink="$L$9"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fmlaLink="$K$13" lockText="1" noThreeD="1"/>
</file>

<file path=xl/ctrlProps/ctrlProp13.xml><?xml version="1.0" encoding="utf-8"?>
<formControlPr xmlns="http://schemas.microsoft.com/office/spreadsheetml/2009/9/main" objectType="CheckBox" fmlaLink="$K$15" lockText="1" noThreeD="1"/>
</file>

<file path=xl/ctrlProps/ctrlProp14.xml><?xml version="1.0" encoding="utf-8"?>
<formControlPr xmlns="http://schemas.microsoft.com/office/spreadsheetml/2009/9/main" objectType="CheckBox" fmlaLink="$K$16" lockText="1" noThreeD="1"/>
</file>

<file path=xl/ctrlProps/ctrlProp15.xml><?xml version="1.0" encoding="utf-8"?>
<formControlPr xmlns="http://schemas.microsoft.com/office/spreadsheetml/2009/9/main" objectType="CheckBox" fmlaLink="$K$18" lockText="1" noThreeD="1"/>
</file>

<file path=xl/ctrlProps/ctrlProp16.xml><?xml version="1.0" encoding="utf-8"?>
<formControlPr xmlns="http://schemas.microsoft.com/office/spreadsheetml/2009/9/main" objectType="CheckBox" fmlaLink="$K$19" lockText="1" noThreeD="1"/>
</file>

<file path=xl/ctrlProps/ctrlProp17.xml><?xml version="1.0" encoding="utf-8"?>
<formControlPr xmlns="http://schemas.microsoft.com/office/spreadsheetml/2009/9/main" objectType="CheckBox" fmlaLink="HTML" lockText="1" noThreeD="1"/>
</file>

<file path=xl/ctrlProps/ctrlProp18.xml><?xml version="1.0" encoding="utf-8"?>
<formControlPr xmlns="http://schemas.microsoft.com/office/spreadsheetml/2009/9/main" objectType="CheckBox" fmlaLink="Tables"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Radio" firstButton="1" fmlaLink="$F$29"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checked="Checked"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CheckBox" fmlaLink="$E$28" lockText="1" noThreeD="1"/>
</file>

<file path=xl/ctrlProps/ctrlProp52.xml><?xml version="1.0" encoding="utf-8"?>
<formControlPr xmlns="http://schemas.microsoft.com/office/spreadsheetml/2009/9/main" objectType="CheckBox" fmlaLink="$C$42" lockText="1" noThreeD="1"/>
</file>

<file path=xl/ctrlProps/ctrlProp53.xml><?xml version="1.0" encoding="utf-8"?>
<formControlPr xmlns="http://schemas.microsoft.com/office/spreadsheetml/2009/9/main" objectType="CheckBox" fmlaLink="$C$43" lockText="1" noThreeD="1"/>
</file>

<file path=xl/ctrlProps/ctrlProp54.xml><?xml version="1.0" encoding="utf-8"?>
<formControlPr xmlns="http://schemas.microsoft.com/office/spreadsheetml/2009/9/main" objectType="CheckBox" fmlaLink="$C$44" lockText="1" noThreeD="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fmlaLink="H$9"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CheckBox" fmlaLink="$AB$9" lockText="1" noThreeD="1"/>
</file>

<file path=xl/ctrlProps/ctrlProp75.xml><?xml version="1.0" encoding="utf-8"?>
<formControlPr xmlns="http://schemas.microsoft.com/office/spreadsheetml/2009/9/main" objectType="CheckBox" fmlaLink="$AL$9" lockText="1" noThreeD="1"/>
</file>

<file path=xl/ctrlProps/ctrlProp76.xml><?xml version="1.0" encoding="utf-8"?>
<formControlPr xmlns="http://schemas.microsoft.com/office/spreadsheetml/2009/9/main" objectType="CheckBox" fmlaLink="$AV$9" lockText="1" noThreeD="1"/>
</file>

<file path=xl/ctrlProps/ctrlProp77.xml><?xml version="1.0" encoding="utf-8"?>
<formControlPr xmlns="http://schemas.microsoft.com/office/spreadsheetml/2009/9/main" objectType="CheckBox" fmlaLink="$BF$9" lockText="1" noThreeD="1"/>
</file>

<file path=xl/ctrlProps/ctrlProp78.xml><?xml version="1.0" encoding="utf-8"?>
<formControlPr xmlns="http://schemas.microsoft.com/office/spreadsheetml/2009/9/main" objectType="CheckBox" fmlaLink="$R$9" lockText="1" noThreeD="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Radio" checked="Checked" firstButton="1" fmlaLink="Bioimplant"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CheckBox" fmlaLink="$B$25" lockText="1" noThreeD="1"/>
</file>

<file path=xl/ctrlProps/ctrlProp94.xml><?xml version="1.0" encoding="utf-8"?>
<formControlPr xmlns="http://schemas.microsoft.com/office/spreadsheetml/2009/9/main" objectType="CheckBox" fmlaLink="$B$26" lockText="1" noThreeD="1"/>
</file>

<file path=xl/ctrlProps/ctrlProp95.xml><?xml version="1.0" encoding="utf-8"?>
<formControlPr xmlns="http://schemas.microsoft.com/office/spreadsheetml/2009/9/main" objectType="CheckBox" fmlaLink="$B$27" lockText="1" noThreeD="1"/>
</file>

<file path=xl/ctrlProps/ctrlProp96.xml><?xml version="1.0" encoding="utf-8"?>
<formControlPr xmlns="http://schemas.microsoft.com/office/spreadsheetml/2009/9/main" objectType="CheckBox" fmlaLink="$B$28" lockText="1" noThreeD="1"/>
</file>

<file path=xl/ctrlProps/ctrlProp97.xml><?xml version="1.0" encoding="utf-8"?>
<formControlPr xmlns="http://schemas.microsoft.com/office/spreadsheetml/2009/9/main" objectType="CheckBox" fmlaLink="$B$29" lockText="1" noThreeD="1"/>
</file>

<file path=xl/ctrlProps/ctrlProp98.xml><?xml version="1.0" encoding="utf-8"?>
<formControlPr xmlns="http://schemas.microsoft.com/office/spreadsheetml/2009/9/main" objectType="CheckBox" fmlaLink="$B$30" lockText="1" noThreeD="1"/>
</file>

<file path=xl/ctrlProps/ctrlProp99.xml><?xml version="1.0" encoding="utf-8"?>
<formControlPr xmlns="http://schemas.microsoft.com/office/spreadsheetml/2009/9/main" objectType="CheckBox" fmlaLink="$B$31"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_rels/vmlDrawing2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50800</xdr:colOff>
          <xdr:row>3</xdr:row>
          <xdr:rowOff>114300</xdr:rowOff>
        </xdr:from>
        <xdr:to>
          <xdr:col>11</xdr:col>
          <xdr:colOff>1308100</xdr:colOff>
          <xdr:row>5</xdr:row>
          <xdr:rowOff>12700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Show Source Talent Trees on Character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4</xdr:row>
          <xdr:rowOff>114300</xdr:rowOff>
        </xdr:from>
        <xdr:to>
          <xdr:col>11</xdr:col>
          <xdr:colOff>1308100</xdr:colOff>
          <xdr:row>6</xdr:row>
          <xdr:rowOff>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Show Force Power types on Character Sheet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5</xdr:row>
          <xdr:rowOff>114300</xdr:rowOff>
        </xdr:from>
        <xdr:to>
          <xdr:col>11</xdr:col>
          <xdr:colOff>1308100</xdr:colOff>
          <xdr:row>6</xdr:row>
          <xdr:rowOff>127000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Add divider lines in Stat Block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6</xdr:row>
          <xdr:rowOff>114300</xdr:rowOff>
        </xdr:from>
        <xdr:to>
          <xdr:col>11</xdr:col>
          <xdr:colOff>1308100</xdr:colOff>
          <xdr:row>8</xdr:row>
          <xdr:rowOff>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Use HP average based on Dice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8</xdr:row>
          <xdr:rowOff>114300</xdr:rowOff>
        </xdr:from>
        <xdr:to>
          <xdr:col>11</xdr:col>
          <xdr:colOff>1308100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0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Show Unleashed Abilities in Stat  Block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1174750</xdr:colOff>
          <xdr:row>1</xdr:row>
          <xdr:rowOff>114300</xdr:rowOff>
        </xdr:from>
        <xdr:to>
          <xdr:col>12</xdr:col>
          <xdr:colOff>450850</xdr:colOff>
          <xdr:row>2</xdr:row>
          <xdr:rowOff>165100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0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9</xdr:row>
          <xdr:rowOff>114300</xdr:rowOff>
        </xdr:from>
        <xdr:to>
          <xdr:col>12</xdr:col>
          <xdr:colOff>355600</xdr:colOff>
          <xdr:row>11</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Calculate penalty to Cloaked weapons as bonus to Conceal Item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10</xdr:row>
          <xdr:rowOff>114300</xdr:rowOff>
        </xdr:from>
        <xdr:to>
          <xdr:col>11</xdr:col>
          <xdr:colOff>1308100</xdr:colOff>
          <xdr:row>12</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0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Consider weights to be in 0-G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7</xdr:row>
          <xdr:rowOff>127000</xdr:rowOff>
        </xdr:from>
        <xdr:to>
          <xdr:col>11</xdr:col>
          <xdr:colOff>298450</xdr:colOff>
          <xdr:row>9</xdr:row>
          <xdr:rowOff>12700</xdr:rowOff>
        </xdr:to>
        <xdr:sp macro="" textlink="">
          <xdr:nvSpPr>
            <xdr:cNvPr id="6157" name="Option Button 13" hidden="1">
              <a:extLst>
                <a:ext uri="{63B3BB69-23CF-44E3-9099-C40C66FF867C}">
                  <a14:compatExt spid="_x0000_s6157"/>
                </a:ext>
                <a:ext uri="{FF2B5EF4-FFF2-40B4-BE49-F238E27FC236}">
                  <a16:creationId xmlns:a16="http://schemas.microsoft.com/office/drawing/2014/main" id="{00000000-0008-0000-00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Single Character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7</xdr:row>
          <xdr:rowOff>127000</xdr:rowOff>
        </xdr:from>
        <xdr:to>
          <xdr:col>11</xdr:col>
          <xdr:colOff>1117600</xdr:colOff>
          <xdr:row>9</xdr:row>
          <xdr:rowOff>12700</xdr:rowOff>
        </xdr:to>
        <xdr:sp macro="" textlink="">
          <xdr:nvSpPr>
            <xdr:cNvPr id="6158" name="Option Button 14" hidden="1">
              <a:extLst>
                <a:ext uri="{63B3BB69-23CF-44E3-9099-C40C66FF867C}">
                  <a14:compatExt spid="_x0000_s6158"/>
                </a:ext>
                <a:ext uri="{FF2B5EF4-FFF2-40B4-BE49-F238E27FC236}">
                  <a16:creationId xmlns:a16="http://schemas.microsoft.com/office/drawing/2014/main" id="{00000000-0008-0000-00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Squad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1238250</xdr:colOff>
          <xdr:row>7</xdr:row>
          <xdr:rowOff>127000</xdr:rowOff>
        </xdr:from>
        <xdr:to>
          <xdr:col>12</xdr:col>
          <xdr:colOff>450850</xdr:colOff>
          <xdr:row>9</xdr:row>
          <xdr:rowOff>12700</xdr:rowOff>
        </xdr:to>
        <xdr:sp macro="" textlink="">
          <xdr:nvSpPr>
            <xdr:cNvPr id="6159" name="Option Button 15" hidden="1">
              <a:extLst>
                <a:ext uri="{63B3BB69-23CF-44E3-9099-C40C66FF867C}">
                  <a14:compatExt spid="_x0000_s6159"/>
                </a:ext>
                <a:ext uri="{FF2B5EF4-FFF2-40B4-BE49-F238E27FC236}">
                  <a16:creationId xmlns:a16="http://schemas.microsoft.com/office/drawing/2014/main" id="{00000000-0008-0000-00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Unit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11</xdr:row>
          <xdr:rowOff>114300</xdr:rowOff>
        </xdr:from>
        <xdr:to>
          <xdr:col>11</xdr:col>
          <xdr:colOff>1308100</xdr:colOff>
          <xdr:row>13</xdr:row>
          <xdr:rowOff>12700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0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NPC is Padawan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13</xdr:row>
          <xdr:rowOff>114300</xdr:rowOff>
        </xdr:from>
        <xdr:to>
          <xdr:col>11</xdr:col>
          <xdr:colOff>1308100</xdr:colOff>
          <xdr:row>15</xdr:row>
          <xdr:rowOff>12700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0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Cyborg Hybrid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14</xdr:row>
          <xdr:rowOff>114300</xdr:rowOff>
        </xdr:from>
        <xdr:to>
          <xdr:col>12</xdr:col>
          <xdr:colOff>69850</xdr:colOff>
          <xdr:row>16</xdr:row>
          <xdr:rowOff>12700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0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number of Force Powers on Force Power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16</xdr:row>
          <xdr:rowOff>114300</xdr:rowOff>
        </xdr:from>
        <xdr:to>
          <xdr:col>12</xdr:col>
          <xdr:colOff>69850</xdr:colOff>
          <xdr:row>18</xdr:row>
          <xdr:rowOff>12700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0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Use New Stat Block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241300</xdr:colOff>
          <xdr:row>17</xdr:row>
          <xdr:rowOff>114300</xdr:rowOff>
        </xdr:from>
        <xdr:to>
          <xdr:col>12</xdr:col>
          <xdr:colOff>69850</xdr:colOff>
          <xdr:row>19</xdr:row>
          <xdr:rowOff>12700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0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only combat descriptions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18</xdr:row>
          <xdr:rowOff>114300</xdr:rowOff>
        </xdr:from>
        <xdr:to>
          <xdr:col>12</xdr:col>
          <xdr:colOff>69850</xdr:colOff>
          <xdr:row>20</xdr:row>
          <xdr:rowOff>12700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Output HTML instead of text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241300</xdr:colOff>
          <xdr:row>19</xdr:row>
          <xdr:rowOff>114300</xdr:rowOff>
        </xdr:from>
        <xdr:to>
          <xdr:col>12</xdr:col>
          <xdr:colOff>69850</xdr:colOff>
          <xdr:row>21</xdr:row>
          <xdr:rowOff>12700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0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Include table formatting (New Stat Block only)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19051</xdr:colOff>
      <xdr:row>1</xdr:row>
      <xdr:rowOff>9525</xdr:rowOff>
    </xdr:from>
    <xdr:to>
      <xdr:col>14</xdr:col>
      <xdr:colOff>323851</xdr:colOff>
      <xdr:row>70</xdr:row>
      <xdr:rowOff>164592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1931" y="192405"/>
          <a:ext cx="7912608" cy="127737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GB" sz="2400" b="1"/>
            <a:t>Instructions for the Lost...</a:t>
          </a:r>
        </a:p>
        <a:p>
          <a:endParaRPr lang="en-GB" sz="1100"/>
        </a:p>
        <a:p>
          <a:r>
            <a:rPr lang="en-GB" sz="1400" b="1">
              <a:solidFill>
                <a:schemeClr val="tx2">
                  <a:lumMod val="60000"/>
                  <a:lumOff val="40000"/>
                </a:schemeClr>
              </a:solidFill>
            </a:rPr>
            <a:t>Full</a:t>
          </a:r>
          <a:r>
            <a:rPr lang="en-GB" sz="1400" b="1" baseline="0">
              <a:solidFill>
                <a:schemeClr val="tx2">
                  <a:lumMod val="60000"/>
                  <a:lumOff val="40000"/>
                </a:schemeClr>
              </a:solidFill>
            </a:rPr>
            <a:t> Conversion Cyborgs</a:t>
          </a:r>
        </a:p>
        <a:p>
          <a:r>
            <a:rPr lang="en-GB" sz="1100" b="0">
              <a:solidFill>
                <a:schemeClr val="dk1"/>
              </a:solidFill>
              <a:latin typeface="+mn-lt"/>
              <a:ea typeface="+mn-ea"/>
              <a:cs typeface="+mn-cs"/>
            </a:rPr>
            <a:t>To be treated as a proper Cyborg, check</a:t>
          </a:r>
          <a:r>
            <a:rPr lang="en-GB" sz="1100" b="0" baseline="0">
              <a:solidFill>
                <a:schemeClr val="dk1"/>
              </a:solidFill>
              <a:latin typeface="+mn-lt"/>
              <a:ea typeface="+mn-ea"/>
              <a:cs typeface="+mn-cs"/>
            </a:rPr>
            <a:t> the Cyborg Hybrid checkbox on the Intro page. Use the Force penalties never exceed -5 due to Cybernetics, as said in the core rules.</a:t>
          </a:r>
          <a:endParaRPr lang="en-GB" sz="1100" b="0">
            <a:solidFill>
              <a:schemeClr val="dk1"/>
            </a:solidFill>
            <a:latin typeface="+mn-lt"/>
            <a:ea typeface="+mn-ea"/>
            <a:cs typeface="+mn-cs"/>
          </a:endParaRPr>
        </a:p>
        <a:p>
          <a:endParaRPr lang="en-GB" sz="1400" b="1">
            <a:solidFill>
              <a:schemeClr val="tx2">
                <a:lumMod val="60000"/>
                <a:lumOff val="40000"/>
              </a:schemeClr>
            </a:solidFill>
          </a:endParaRPr>
        </a:p>
        <a:p>
          <a:r>
            <a:rPr lang="en-GB" sz="1400" b="1">
              <a:solidFill>
                <a:schemeClr val="tx2">
                  <a:lumMod val="60000"/>
                  <a:lumOff val="40000"/>
                </a:schemeClr>
              </a:solidFill>
            </a:rPr>
            <a:t>Creating NPCs</a:t>
          </a:r>
        </a:p>
        <a:p>
          <a:r>
            <a:rPr lang="en-GB" sz="1100" b="0">
              <a:solidFill>
                <a:schemeClr val="tx2">
                  <a:lumMod val="60000"/>
                  <a:lumOff val="40000"/>
                </a:schemeClr>
              </a:solidFill>
            </a:rPr>
            <a:t>You should select the 'Use HP</a:t>
          </a:r>
          <a:r>
            <a:rPr lang="en-GB" sz="1100" b="0" baseline="0">
              <a:solidFill>
                <a:schemeClr val="tx2">
                  <a:lumMod val="60000"/>
                  <a:lumOff val="40000"/>
                </a:schemeClr>
              </a:solidFill>
            </a:rPr>
            <a:t> average </a:t>
          </a:r>
          <a:r>
            <a:rPr lang="en-GB" sz="1100" b="0" baseline="0">
              <a:solidFill>
                <a:schemeClr val="tx2">
                  <a:lumMod val="60000"/>
                  <a:lumOff val="40000"/>
                </a:schemeClr>
              </a:solidFill>
              <a:latin typeface="+mn-lt"/>
              <a:ea typeface="+mn-ea"/>
              <a:cs typeface="+mn-cs"/>
            </a:rPr>
            <a:t>based on H</a:t>
          </a:r>
          <a:r>
            <a:rPr lang="en-GB" sz="1100" b="0" baseline="0">
              <a:solidFill>
                <a:schemeClr val="tx2">
                  <a:lumMod val="60000"/>
                  <a:lumOff val="40000"/>
                </a:schemeClr>
              </a:solidFill>
            </a:rPr>
            <a:t>it Dice' option, this will set HP to being averaged.</a:t>
          </a:r>
        </a:p>
        <a:p>
          <a:endParaRPr lang="en-GB" sz="1100" b="0">
            <a:solidFill>
              <a:schemeClr val="tx2">
                <a:lumMod val="60000"/>
                <a:lumOff val="40000"/>
              </a:schemeClr>
            </a:solidFill>
          </a:endParaRPr>
        </a:p>
        <a:p>
          <a:r>
            <a:rPr lang="en-GB" sz="1200" b="1">
              <a:solidFill>
                <a:schemeClr val="tx2">
                  <a:lumMod val="60000"/>
                  <a:lumOff val="40000"/>
                </a:schemeClr>
              </a:solidFill>
            </a:rPr>
            <a:t>Padawan NPCs</a:t>
          </a:r>
        </a:p>
        <a:p>
          <a:pPr marL="0" marR="0" indent="0" defTabSz="914400" eaLnBrk="1" fontAlgn="auto" latinLnBrk="0" hangingPunct="1">
            <a:lnSpc>
              <a:spcPct val="100000"/>
            </a:lnSpc>
            <a:spcBef>
              <a:spcPts val="0"/>
            </a:spcBef>
            <a:spcAft>
              <a:spcPts val="0"/>
            </a:spcAft>
            <a:buClrTx/>
            <a:buSzTx/>
            <a:buFontTx/>
            <a:buNone/>
            <a:tabLst/>
            <a:defRPr/>
          </a:pPr>
          <a:r>
            <a:rPr lang="en-GB" sz="1100" b="0">
              <a:solidFill>
                <a:schemeClr val="tx2">
                  <a:lumMod val="60000"/>
                  <a:lumOff val="40000"/>
                </a:schemeClr>
              </a:solidFill>
              <a:latin typeface="+mn-lt"/>
              <a:ea typeface="+mn-ea"/>
              <a:cs typeface="+mn-cs"/>
            </a:rPr>
            <a:t>You need to manually select the</a:t>
          </a:r>
          <a:r>
            <a:rPr lang="en-GB" sz="1100" b="0" baseline="0">
              <a:solidFill>
                <a:schemeClr val="tx2">
                  <a:lumMod val="60000"/>
                  <a:lumOff val="40000"/>
                </a:schemeClr>
              </a:solidFill>
              <a:latin typeface="+mn-lt"/>
              <a:ea typeface="+mn-ea"/>
              <a:cs typeface="+mn-cs"/>
            </a:rPr>
            <a:t> Skill Training in the dropdown options on the Skill sheet for Use the Force. Additionally, bonuses to defenses  from being within 12 squares of the master are conditional bonuses, and as such, are made to show up in the Stat Block, but not on a character sheet.</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tx2">
                <a:lumMod val="60000"/>
                <a:lumOff val="40000"/>
              </a:schemeClr>
            </a:solidFill>
          </a:endParaRPr>
        </a:p>
        <a:p>
          <a:r>
            <a:rPr lang="en-GB" sz="1400" b="1">
              <a:solidFill>
                <a:schemeClr val="tx2">
                  <a:lumMod val="60000"/>
                  <a:lumOff val="40000"/>
                </a:schemeClr>
              </a:solidFill>
            </a:rPr>
            <a:t>Skills, </a:t>
          </a:r>
          <a:r>
            <a:rPr lang="en-GB" sz="1400" b="1" baseline="0">
              <a:solidFill>
                <a:schemeClr val="tx2">
                  <a:lumMod val="60000"/>
                  <a:lumOff val="40000"/>
                </a:schemeClr>
              </a:solidFill>
            </a:rPr>
            <a:t>Feats and Talents for Dummies</a:t>
          </a:r>
        </a:p>
        <a:p>
          <a:r>
            <a:rPr lang="en-GB" sz="1100" b="0">
              <a:solidFill>
                <a:schemeClr val="tx2">
                  <a:lumMod val="60000"/>
                  <a:lumOff val="40000"/>
                </a:schemeClr>
              </a:solidFill>
            </a:rPr>
            <a:t>Skills, Feats and Talents </a:t>
          </a:r>
          <a:r>
            <a:rPr lang="en-GB" sz="1100" b="0" baseline="0">
              <a:solidFill>
                <a:schemeClr val="tx2">
                  <a:lumMod val="60000"/>
                  <a:lumOff val="40000"/>
                </a:schemeClr>
              </a:solidFill>
            </a:rPr>
            <a:t>are selected by selecting 'Yes' from the dropdown lists in the appropriate columns. The exception to this rule is with Feats and Talents that can be taken multiple times, for example, Skill Focus and Skill Training, or in the case of Talents, Weapon Specialization. In these cases, enter the number of times the Feat or Talent is taken with a numerical value, i.e., 1 for one time, 2 for two times, etc.</a:t>
          </a:r>
        </a:p>
        <a:p>
          <a:endParaRPr lang="en-GB" sz="1100" b="0" baseline="0">
            <a:solidFill>
              <a:schemeClr val="tx2">
                <a:lumMod val="60000"/>
                <a:lumOff val="40000"/>
              </a:schemeClr>
            </a:solidFill>
          </a:endParaRPr>
        </a:p>
        <a:p>
          <a:r>
            <a:rPr lang="en-GB" sz="1100" b="0" baseline="0">
              <a:solidFill>
                <a:schemeClr val="tx2">
                  <a:lumMod val="60000"/>
                  <a:lumOff val="40000"/>
                </a:schemeClr>
              </a:solidFill>
            </a:rPr>
            <a:t>Skill Training and Skill Focus must be first selected on the Feats sheet, then added on the Skills sheet.</a:t>
          </a:r>
        </a:p>
        <a:p>
          <a:endParaRPr lang="en-GB" sz="1100" b="0" baseline="0">
            <a:solidFill>
              <a:schemeClr val="tx2">
                <a:lumMod val="60000"/>
                <a:lumOff val="40000"/>
              </a:schemeClr>
            </a:solidFill>
          </a:endParaRPr>
        </a:p>
        <a:p>
          <a:r>
            <a:rPr lang="en-GB" sz="1100" b="0" baseline="0">
              <a:solidFill>
                <a:schemeClr val="tx2">
                  <a:lumMod val="60000"/>
                  <a:lumOff val="40000"/>
                </a:schemeClr>
              </a:solidFill>
            </a:rPr>
            <a:t>Talents that can be taken more than once are configured on the Talents 2 sheet after they are selected on the Talents sheet.</a:t>
          </a:r>
          <a:endParaRPr lang="en-GB" sz="1100" b="0">
            <a:solidFill>
              <a:schemeClr val="tx2">
                <a:lumMod val="60000"/>
                <a:lumOff val="40000"/>
              </a:schemeClr>
            </a:solidFill>
          </a:endParaRPr>
        </a:p>
        <a:p>
          <a:endParaRPr lang="en-GB" sz="1100" b="0"/>
        </a:p>
        <a:p>
          <a:r>
            <a:rPr lang="en-GB" sz="1400" b="1"/>
            <a:t>Armor and Defenses Tab</a:t>
          </a:r>
        </a:p>
        <a:p>
          <a:r>
            <a:rPr lang="en-GB" sz="1100" b="0"/>
            <a:t>The armor and defenses tab lets you choose armor and displays how the three defenses</a:t>
          </a:r>
          <a:r>
            <a:rPr lang="en-GB" sz="1100" b="0" baseline="0"/>
            <a:t> are broken down.</a:t>
          </a:r>
        </a:p>
        <a:p>
          <a:endParaRPr lang="en-GB" sz="1100" b="0" baseline="0"/>
        </a:p>
        <a:p>
          <a:r>
            <a:rPr lang="en-GB" sz="1200" b="1" baseline="0"/>
            <a:t>Mandalorian Iron</a:t>
          </a:r>
        </a:p>
        <a:p>
          <a:r>
            <a:rPr lang="en-GB" sz="1100" b="0" baseline="0"/>
            <a:t>I have chosen to interpret the Mandalorian Iron sidebar from Threats of the Galaxy to be equivalent to a template, so to make armor that uses the qualities of Mandalorian Iron, choose it from the template list.</a:t>
          </a:r>
        </a:p>
        <a:p>
          <a:endParaRPr lang="en-GB" sz="1100" b="0" baseline="0"/>
        </a:p>
        <a:p>
          <a:r>
            <a:rPr lang="en-GB" sz="1100" b="0" baseline="0"/>
            <a:t>Beskar'gam already has the template automatically. To create Beskar'gam without Mandalorian Iron, simply override the template by typing an aposrophe in the cell.</a:t>
          </a:r>
          <a:endParaRPr lang="en-GB" sz="1100" b="0"/>
        </a:p>
        <a:p>
          <a:endParaRPr lang="en-GB" sz="1400" b="1"/>
        </a:p>
        <a:p>
          <a:r>
            <a:rPr lang="en-GB" sz="1400" b="1"/>
            <a:t>Weapons Tab</a:t>
          </a:r>
        </a:p>
        <a:p>
          <a:r>
            <a:rPr lang="en-GB" sz="1100"/>
            <a:t>The weapons tab lets you set up weapons and do most things</a:t>
          </a:r>
          <a:r>
            <a:rPr lang="en-GB" sz="1100" baseline="0"/>
            <a:t> mechanically to any weapon your character owns. Damage and attack modifiers from non base talents and feats are not included in these calculations.</a:t>
          </a:r>
        </a:p>
        <a:p>
          <a:endParaRPr lang="en-GB" sz="1100" baseline="0"/>
        </a:p>
        <a:p>
          <a:r>
            <a:rPr lang="en-GB" sz="1100" baseline="0"/>
            <a:t>A few things that are important to note.</a:t>
          </a:r>
        </a:p>
        <a:p>
          <a:endParaRPr lang="en-GB" sz="1100" baseline="0"/>
        </a:p>
        <a:p>
          <a:r>
            <a:rPr lang="en-GB" sz="1100" baseline="0"/>
            <a:t>Unless you select the relevant "Don't count on equipment list" checkbox on a weapon entry,  it will show up in the equipment list on Character Sheet 2 and under the Possessions section of the Stat Block. If you want repeat entries of a weapon, for example, to list it for Dual Wield, One-Handed or Two-Handed, be sure to use these checkboxes.</a:t>
          </a:r>
        </a:p>
        <a:p>
          <a:endParaRPr lang="en-GB" sz="1100" baseline="0"/>
        </a:p>
        <a:p>
          <a:r>
            <a:rPr lang="en-GB" sz="1200" b="1" baseline="0"/>
            <a:t>Lightsabers</a:t>
          </a:r>
        </a:p>
        <a:p>
          <a:r>
            <a:rPr lang="en-GB" sz="1100" b="0" baseline="0"/>
            <a:t>The sheet assumes that if you have the Force Sensitive feat, are trained in Use the Force, and are of 7th level or higher, that you can create your own lightsaber, and therefore, if you select a  lightsaber crystal in the accessories section, it will apply the appropriate bonuses.</a:t>
          </a:r>
        </a:p>
        <a:p>
          <a:endParaRPr lang="en-GB" sz="1100" b="0" baseline="0"/>
        </a:p>
        <a:p>
          <a:r>
            <a:rPr lang="en-GB" sz="1100" b="0" baseline="0"/>
            <a:t>The +1 bonus to attack is not automatic - you must select the appropriate lightsaber crystal from the dropdown list in the accessories. Ilum crystals and Standard Synthetic Crystals are examples of ones which provide the +1 attack bonus.</a:t>
          </a:r>
        </a:p>
        <a:p>
          <a:endParaRPr lang="en-GB" sz="1200" b="1" baseline="0"/>
        </a:p>
        <a:p>
          <a:r>
            <a:rPr lang="en-GB" sz="1200" b="1" baseline="0"/>
            <a:t>One-Handed, Two-Handed and Dual Wield</a:t>
          </a:r>
        </a:p>
        <a:p>
          <a:r>
            <a:rPr lang="en-GB" sz="1100" baseline="0"/>
            <a:t>Each weapon can be set up to be used one-handed, two-handed or as part of a dual wield (one-handed, with dual wield penalties). If you do not fill in the dropdown list, the sheet assumes the weapon is wielded as it is intended, one-handed for light and medium weapons, and two-handed for large weapons.</a:t>
          </a:r>
        </a:p>
        <a:p>
          <a:endParaRPr lang="en-GB" sz="1100" baseline="0"/>
        </a:p>
        <a:p>
          <a:r>
            <a:rPr lang="en-GB" sz="1100" b="1" baseline="0"/>
            <a:t>Dual Wield: </a:t>
          </a:r>
          <a:r>
            <a:rPr lang="en-GB" sz="1100" baseline="0"/>
            <a:t>To get dual wielding working, requires a little planning on your part. Dual Wield options will not turn up on the standard character sheet, or at least, not in full detail. They are instead shown on the Stat Block and the Weapons Cheat Sheet. Calculating dual wield settings is tricky to achieve, and so SagaForge calculates dual wield conditions in pairs. That means, it looks to pair weapon #1 with weapon #2, 3 with 4, and 5 with 6. It does not work in any other combination.</a:t>
          </a:r>
        </a:p>
        <a:p>
          <a:endParaRPr lang="en-GB" sz="1100" baseline="0"/>
        </a:p>
        <a:p>
          <a:r>
            <a:rPr lang="en-GB" sz="1100" baseline="0"/>
            <a:t>On the weapons tab, you need to make sure  you select 'Dual Wield' in the 'Wielded' dropdown lisf for both weapons. This will then turn up on the Weapons Cheat Sheet and on the Stat Block.</a:t>
          </a:r>
        </a:p>
        <a:p>
          <a:endParaRPr lang="en-GB" sz="1100" baseline="0"/>
        </a:p>
        <a:p>
          <a:r>
            <a:rPr lang="en-GB" sz="1100" b="1" baseline="0"/>
            <a:t>Rifles:</a:t>
          </a:r>
          <a:r>
            <a:rPr lang="en-GB" sz="1100" b="0" baseline="0"/>
            <a:t> The default for rifle weapons is to use them one-handed, which will impose a -5 penalty. To give the correct result, use two-handed instead.</a:t>
          </a:r>
        </a:p>
        <a:p>
          <a:endParaRPr lang="en-GB" sz="1100" b="0" baseline="0"/>
        </a:p>
        <a:p>
          <a:r>
            <a:rPr lang="en-GB" sz="1400" b="1" baseline="0">
              <a:solidFill>
                <a:schemeClr val="tx2">
                  <a:lumMod val="60000"/>
                  <a:lumOff val="40000"/>
                </a:schemeClr>
              </a:solidFill>
            </a:rPr>
            <a:t>Destinies Fulfilled</a:t>
          </a:r>
        </a:p>
        <a:p>
          <a:r>
            <a:rPr lang="en-GB" sz="1100" b="0" baseline="0">
              <a:solidFill>
                <a:schemeClr val="tx2">
                  <a:lumMod val="60000"/>
                  <a:lumOff val="40000"/>
                </a:schemeClr>
              </a:solidFill>
            </a:rPr>
            <a:t>This sheet only adds an extra line to the Stat Block denoting which destinies have been fulfilled. You still need to manually add Destiny bonuses using the Bonuses sheet to get the statistical effects.</a:t>
          </a:r>
          <a:endParaRPr lang="en-GB" sz="1100" b="1" baseline="0">
            <a:solidFill>
              <a:schemeClr val="tx2">
                <a:lumMod val="60000"/>
                <a:lumOff val="40000"/>
              </a:schemeClr>
            </a:solidFill>
          </a:endParaRPr>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133350</xdr:colOff>
          <xdr:row>1</xdr:row>
          <xdr:rowOff>95250</xdr:rowOff>
        </xdr:from>
        <xdr:to>
          <xdr:col>10</xdr:col>
          <xdr:colOff>69850</xdr:colOff>
          <xdr:row>2</xdr:row>
          <xdr:rowOff>165100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0200-0000018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336550</xdr:colOff>
          <xdr:row>1</xdr:row>
          <xdr:rowOff>95250</xdr:rowOff>
        </xdr:from>
        <xdr:to>
          <xdr:col>9</xdr:col>
          <xdr:colOff>88900</xdr:colOff>
          <xdr:row>2</xdr:row>
          <xdr:rowOff>165100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200-0000038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279400</xdr:colOff>
          <xdr:row>1</xdr:row>
          <xdr:rowOff>95250</xdr:rowOff>
        </xdr:from>
        <xdr:to>
          <xdr:col>12</xdr:col>
          <xdr:colOff>317500</xdr:colOff>
          <xdr:row>2</xdr:row>
          <xdr:rowOff>165100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300-00000A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361950</xdr:colOff>
          <xdr:row>1</xdr:row>
          <xdr:rowOff>95250</xdr:rowOff>
        </xdr:from>
        <xdr:to>
          <xdr:col>13</xdr:col>
          <xdr:colOff>457200</xdr:colOff>
          <xdr:row>2</xdr:row>
          <xdr:rowOff>165100</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300-00000B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222250</xdr:colOff>
          <xdr:row>2</xdr:row>
          <xdr:rowOff>0</xdr:rowOff>
        </xdr:from>
        <xdr:to>
          <xdr:col>12</xdr:col>
          <xdr:colOff>133350</xdr:colOff>
          <xdr:row>3</xdr:row>
          <xdr:rowOff>12700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400-000002E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2</xdr:row>
          <xdr:rowOff>19050</xdr:rowOff>
        </xdr:from>
        <xdr:to>
          <xdr:col>6</xdr:col>
          <xdr:colOff>628650</xdr:colOff>
          <xdr:row>2</xdr:row>
          <xdr:rowOff>247650</xdr:rowOff>
        </xdr:to>
        <xdr:sp macro="" textlink="">
          <xdr:nvSpPr>
            <xdr:cNvPr id="122893" name="Button 13" hidden="1">
              <a:extLst>
                <a:ext uri="{63B3BB69-23CF-44E3-9099-C40C66FF867C}">
                  <a14:compatExt spid="_x0000_s122893"/>
                </a:ext>
                <a:ext uri="{FF2B5EF4-FFF2-40B4-BE49-F238E27FC236}">
                  <a16:creationId xmlns:a16="http://schemas.microsoft.com/office/drawing/2014/main" id="{00000000-0008-0000-0400-00000DE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Near Humans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1</xdr:row>
          <xdr:rowOff>107950</xdr:rowOff>
        </xdr:from>
        <xdr:to>
          <xdr:col>14</xdr:col>
          <xdr:colOff>336550</xdr:colOff>
          <xdr:row>3</xdr:row>
          <xdr:rowOff>12700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xdr:row>
          <xdr:rowOff>107950</xdr:rowOff>
        </xdr:from>
        <xdr:to>
          <xdr:col>13</xdr:col>
          <xdr:colOff>69850</xdr:colOff>
          <xdr:row>3</xdr:row>
          <xdr:rowOff>12700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Unhide Droid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xdr:row>
          <xdr:rowOff>107950</xdr:rowOff>
        </xdr:from>
        <xdr:to>
          <xdr:col>11</xdr:col>
          <xdr:colOff>114300</xdr:colOff>
          <xdr:row>3</xdr:row>
          <xdr:rowOff>12700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5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Unhide Beast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203200</xdr:colOff>
          <xdr:row>1</xdr:row>
          <xdr:rowOff>114300</xdr:rowOff>
        </xdr:from>
        <xdr:to>
          <xdr:col>9</xdr:col>
          <xdr:colOff>76200</xdr:colOff>
          <xdr:row>3</xdr:row>
          <xdr:rowOff>19050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500-00000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Unhide Near-Human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2</xdr:row>
          <xdr:rowOff>19050</xdr:rowOff>
        </xdr:from>
        <xdr:to>
          <xdr:col>13</xdr:col>
          <xdr:colOff>241300</xdr:colOff>
          <xdr:row>3</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6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2</xdr:row>
          <xdr:rowOff>19050</xdr:rowOff>
        </xdr:from>
        <xdr:to>
          <xdr:col>4</xdr:col>
          <xdr:colOff>1212850</xdr:colOff>
          <xdr:row>3</xdr:row>
          <xdr:rowOff>57150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600-000009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Show Descriptions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xdr:row>
          <xdr:rowOff>19050</xdr:rowOff>
        </xdr:from>
        <xdr:to>
          <xdr:col>5</xdr:col>
          <xdr:colOff>1212850</xdr:colOff>
          <xdr:row>3</xdr:row>
          <xdr:rowOff>57150</xdr:rowOff>
        </xdr:to>
        <xdr:sp macro="" textlink="">
          <xdr:nvSpPr>
            <xdr:cNvPr id="27658" name="Button 10" hidden="1">
              <a:extLst>
                <a:ext uri="{63B3BB69-23CF-44E3-9099-C40C66FF867C}">
                  <a14:compatExt spid="_x0000_s27658"/>
                </a:ext>
                <a:ext uri="{FF2B5EF4-FFF2-40B4-BE49-F238E27FC236}">
                  <a16:creationId xmlns:a16="http://schemas.microsoft.com/office/drawing/2014/main" id="{00000000-0008-0000-0600-00000A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Hide Descriptions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69850</xdr:colOff>
          <xdr:row>1</xdr:row>
          <xdr:rowOff>114300</xdr:rowOff>
        </xdr:from>
        <xdr:to>
          <xdr:col>11</xdr:col>
          <xdr:colOff>209550</xdr:colOff>
          <xdr:row>3</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7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127000</xdr:colOff>
          <xdr:row>2</xdr:row>
          <xdr:rowOff>12700</xdr:rowOff>
        </xdr:from>
        <xdr:to>
          <xdr:col>14</xdr:col>
          <xdr:colOff>342900</xdr:colOff>
          <xdr:row>3</xdr:row>
          <xdr:rowOff>31750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8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107950</xdr:colOff>
          <xdr:row>4</xdr:row>
          <xdr:rowOff>38100</xdr:rowOff>
        </xdr:from>
        <xdr:to>
          <xdr:col>14</xdr:col>
          <xdr:colOff>361950</xdr:colOff>
          <xdr:row>5</xdr:row>
          <xdr:rowOff>95250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8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Show SAM</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2</xdr:row>
          <xdr:rowOff>50800</xdr:rowOff>
        </xdr:from>
        <xdr:to>
          <xdr:col>13</xdr:col>
          <xdr:colOff>298450</xdr:colOff>
          <xdr:row>3</xdr:row>
          <xdr:rowOff>69850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B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285750</xdr:colOff>
          <xdr:row>2</xdr:row>
          <xdr:rowOff>19050</xdr:rowOff>
        </xdr:from>
        <xdr:to>
          <xdr:col>8</xdr:col>
          <xdr:colOff>342900</xdr:colOff>
          <xdr:row>3</xdr:row>
          <xdr:rowOff>57150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B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Show Descriptions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xdr:row>
          <xdr:rowOff>19050</xdr:rowOff>
        </xdr:from>
        <xdr:to>
          <xdr:col>9</xdr:col>
          <xdr:colOff>1155700</xdr:colOff>
          <xdr:row>3</xdr:row>
          <xdr:rowOff>57150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B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Hide Descriptions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69850</xdr:colOff>
          <xdr:row>1</xdr:row>
          <xdr:rowOff>127000</xdr:rowOff>
        </xdr:from>
        <xdr:to>
          <xdr:col>11</xdr:col>
          <xdr:colOff>165100</xdr:colOff>
          <xdr:row>3</xdr:row>
          <xdr:rowOff>19050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C00-000003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1</xdr:row>
          <xdr:rowOff>127000</xdr:rowOff>
        </xdr:from>
        <xdr:to>
          <xdr:col>15</xdr:col>
          <xdr:colOff>165100</xdr:colOff>
          <xdr:row>3</xdr:row>
          <xdr:rowOff>19050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21</xdr:row>
          <xdr:rowOff>0</xdr:rowOff>
        </xdr:from>
        <xdr:to>
          <xdr:col>3</xdr:col>
          <xdr:colOff>438150</xdr:colOff>
          <xdr:row>23</xdr:row>
          <xdr:rowOff>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F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165100</xdr:colOff>
          <xdr:row>4</xdr:row>
          <xdr:rowOff>12700</xdr:rowOff>
        </xdr:from>
        <xdr:to>
          <xdr:col>6</xdr:col>
          <xdr:colOff>736600</xdr:colOff>
          <xdr:row>5</xdr:row>
          <xdr:rowOff>88900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1000-000003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28</xdr:row>
          <xdr:rowOff>12700</xdr:rowOff>
        </xdr:from>
        <xdr:to>
          <xdr:col>4</xdr:col>
          <xdr:colOff>0</xdr:colOff>
          <xdr:row>29</xdr:row>
          <xdr:rowOff>31750</xdr:rowOff>
        </xdr:to>
        <xdr:sp macro="" textlink="">
          <xdr:nvSpPr>
            <xdr:cNvPr id="10245" name="Option Button 5" hidden="1">
              <a:extLst>
                <a:ext uri="{63B3BB69-23CF-44E3-9099-C40C66FF867C}">
                  <a14:compatExt spid="_x0000_s10245"/>
                </a:ext>
                <a:ext uri="{FF2B5EF4-FFF2-40B4-BE49-F238E27FC236}">
                  <a16:creationId xmlns:a16="http://schemas.microsoft.com/office/drawing/2014/main" id="{00000000-0008-0000-11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Agile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29</xdr:row>
          <xdr:rowOff>0</xdr:rowOff>
        </xdr:from>
        <xdr:to>
          <xdr:col>5</xdr:col>
          <xdr:colOff>508000</xdr:colOff>
          <xdr:row>30</xdr:row>
          <xdr:rowOff>19050</xdr:rowOff>
        </xdr:to>
        <xdr:sp macro="" textlink="">
          <xdr:nvSpPr>
            <xdr:cNvPr id="10246" name="Option Button 6" hidden="1">
              <a:extLst>
                <a:ext uri="{63B3BB69-23CF-44E3-9099-C40C66FF867C}">
                  <a14:compatExt spid="_x0000_s10246"/>
                </a:ext>
                <a:ext uri="{FF2B5EF4-FFF2-40B4-BE49-F238E27FC236}">
                  <a16:creationId xmlns:a16="http://schemas.microsoft.com/office/drawing/2014/main" id="{00000000-0008-0000-11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Fortifying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30</xdr:row>
          <xdr:rowOff>0</xdr:rowOff>
        </xdr:from>
        <xdr:to>
          <xdr:col>5</xdr:col>
          <xdr:colOff>508000</xdr:colOff>
          <xdr:row>31</xdr:row>
          <xdr:rowOff>19050</xdr:rowOff>
        </xdr:to>
        <xdr:sp macro="" textlink="">
          <xdr:nvSpPr>
            <xdr:cNvPr id="10247" name="Option Button 7" hidden="1">
              <a:extLst>
                <a:ext uri="{63B3BB69-23CF-44E3-9099-C40C66FF867C}">
                  <a14:compatExt spid="_x0000_s10247"/>
                </a:ext>
                <a:ext uri="{FF2B5EF4-FFF2-40B4-BE49-F238E27FC236}">
                  <a16:creationId xmlns:a16="http://schemas.microsoft.com/office/drawing/2014/main" id="{00000000-0008-0000-11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Protective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31</xdr:row>
          <xdr:rowOff>0</xdr:rowOff>
        </xdr:from>
        <xdr:to>
          <xdr:col>5</xdr:col>
          <xdr:colOff>508000</xdr:colOff>
          <xdr:row>32</xdr:row>
          <xdr:rowOff>19050</xdr:rowOff>
        </xdr:to>
        <xdr:sp macro="" textlink="">
          <xdr:nvSpPr>
            <xdr:cNvPr id="10248" name="Option Button 8" hidden="1">
              <a:extLst>
                <a:ext uri="{63B3BB69-23CF-44E3-9099-C40C66FF867C}">
                  <a14:compatExt spid="_x0000_s10248"/>
                </a:ext>
                <a:ext uri="{FF2B5EF4-FFF2-40B4-BE49-F238E27FC236}">
                  <a16:creationId xmlns:a16="http://schemas.microsoft.com/office/drawing/2014/main" id="{00000000-0008-0000-1100-00000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Mobile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32</xdr:row>
          <xdr:rowOff>0</xdr:rowOff>
        </xdr:from>
        <xdr:to>
          <xdr:col>5</xdr:col>
          <xdr:colOff>508000</xdr:colOff>
          <xdr:row>33</xdr:row>
          <xdr:rowOff>19050</xdr:rowOff>
        </xdr:to>
        <xdr:sp macro="" textlink="">
          <xdr:nvSpPr>
            <xdr:cNvPr id="10249" name="Option Button 9" hidden="1">
              <a:extLst>
                <a:ext uri="{63B3BB69-23CF-44E3-9099-C40C66FF867C}">
                  <a14:compatExt spid="_x0000_s10249"/>
                </a:ext>
                <a:ext uri="{FF2B5EF4-FFF2-40B4-BE49-F238E27FC236}">
                  <a16:creationId xmlns:a16="http://schemas.microsoft.com/office/drawing/2014/main" id="{00000000-0008-0000-11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Reinforced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36</xdr:row>
          <xdr:rowOff>0</xdr:rowOff>
        </xdr:from>
        <xdr:to>
          <xdr:col>5</xdr:col>
          <xdr:colOff>508000</xdr:colOff>
          <xdr:row>37</xdr:row>
          <xdr:rowOff>19050</xdr:rowOff>
        </xdr:to>
        <xdr:sp macro="" textlink="">
          <xdr:nvSpPr>
            <xdr:cNvPr id="10253" name="Option Button 13" hidden="1">
              <a:extLst>
                <a:ext uri="{63B3BB69-23CF-44E3-9099-C40C66FF867C}">
                  <a14:compatExt spid="_x0000_s10253"/>
                </a:ext>
                <a:ext uri="{FF2B5EF4-FFF2-40B4-BE49-F238E27FC236}">
                  <a16:creationId xmlns:a16="http://schemas.microsoft.com/office/drawing/2014/main" id="{00000000-0008-0000-11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Tech Specialist or Superior Tech Modifications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33</xdr:row>
          <xdr:rowOff>0</xdr:rowOff>
        </xdr:from>
        <xdr:to>
          <xdr:col>5</xdr:col>
          <xdr:colOff>508000</xdr:colOff>
          <xdr:row>34</xdr:row>
          <xdr:rowOff>19050</xdr:rowOff>
        </xdr:to>
        <xdr:sp macro="" textlink="">
          <xdr:nvSpPr>
            <xdr:cNvPr id="10254" name="Option Button 14" hidden="1">
              <a:extLst>
                <a:ext uri="{63B3BB69-23CF-44E3-9099-C40C66FF867C}">
                  <a14:compatExt spid="_x0000_s10254"/>
                </a:ext>
                <a:ext uri="{FF2B5EF4-FFF2-40B4-BE49-F238E27FC236}">
                  <a16:creationId xmlns:a16="http://schemas.microsoft.com/office/drawing/2014/main" id="{00000000-0008-0000-11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Superior Agile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34</xdr:row>
          <xdr:rowOff>0</xdr:rowOff>
        </xdr:from>
        <xdr:to>
          <xdr:col>5</xdr:col>
          <xdr:colOff>508000</xdr:colOff>
          <xdr:row>35</xdr:row>
          <xdr:rowOff>19050</xdr:rowOff>
        </xdr:to>
        <xdr:sp macro="" textlink="">
          <xdr:nvSpPr>
            <xdr:cNvPr id="10255" name="Option Button 15" hidden="1">
              <a:extLst>
                <a:ext uri="{63B3BB69-23CF-44E3-9099-C40C66FF867C}">
                  <a14:compatExt spid="_x0000_s10255"/>
                </a:ext>
                <a:ext uri="{FF2B5EF4-FFF2-40B4-BE49-F238E27FC236}">
                  <a16:creationId xmlns:a16="http://schemas.microsoft.com/office/drawing/2014/main" id="{00000000-0008-0000-11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Superior Fortifying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35</xdr:row>
          <xdr:rowOff>0</xdr:rowOff>
        </xdr:from>
        <xdr:to>
          <xdr:col>5</xdr:col>
          <xdr:colOff>508000</xdr:colOff>
          <xdr:row>36</xdr:row>
          <xdr:rowOff>19050</xdr:rowOff>
        </xdr:to>
        <xdr:sp macro="" textlink="">
          <xdr:nvSpPr>
            <xdr:cNvPr id="10256" name="Option Button 16" hidden="1">
              <a:extLst>
                <a:ext uri="{63B3BB69-23CF-44E3-9099-C40C66FF867C}">
                  <a14:compatExt spid="_x0000_s10256"/>
                </a:ext>
                <a:ext uri="{FF2B5EF4-FFF2-40B4-BE49-F238E27FC236}">
                  <a16:creationId xmlns:a16="http://schemas.microsoft.com/office/drawing/2014/main" id="{00000000-0008-0000-11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Superior Protective Armor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679450</xdr:colOff>
          <xdr:row>27</xdr:row>
          <xdr:rowOff>31750</xdr:rowOff>
        </xdr:from>
        <xdr:to>
          <xdr:col>4</xdr:col>
          <xdr:colOff>95250</xdr:colOff>
          <xdr:row>28</xdr:row>
          <xdr:rowOff>0</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11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Self-Made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40</xdr:row>
          <xdr:rowOff>165100</xdr:rowOff>
        </xdr:from>
        <xdr:to>
          <xdr:col>2</xdr:col>
          <xdr:colOff>990600</xdr:colOff>
          <xdr:row>42</xdr:row>
          <xdr:rowOff>12700</xdr:rowOff>
        </xdr:to>
        <xdr:sp macro="" textlink="">
          <xdr:nvSpPr>
            <xdr:cNvPr id="10258" name="Check Box 18" hidden="1">
              <a:extLst>
                <a:ext uri="{63B3BB69-23CF-44E3-9099-C40C66FF867C}">
                  <a14:compatExt spid="_x0000_s10258"/>
                </a:ext>
                <a:ext uri="{FF2B5EF4-FFF2-40B4-BE49-F238E27FC236}">
                  <a16:creationId xmlns:a16="http://schemas.microsoft.com/office/drawing/2014/main" id="{00000000-0008-0000-1100-00001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Increase Size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41</xdr:row>
          <xdr:rowOff>114300</xdr:rowOff>
        </xdr:from>
        <xdr:to>
          <xdr:col>2</xdr:col>
          <xdr:colOff>990600</xdr:colOff>
          <xdr:row>43</xdr:row>
          <xdr:rowOff>12700</xdr:rowOff>
        </xdr:to>
        <xdr:sp macro="" textlink="">
          <xdr:nvSpPr>
            <xdr:cNvPr id="10259" name="Check Box 19" hidden="1">
              <a:extLst>
                <a:ext uri="{63B3BB69-23CF-44E3-9099-C40C66FF867C}">
                  <a14:compatExt spid="_x0000_s10259"/>
                </a:ext>
                <a:ext uri="{FF2B5EF4-FFF2-40B4-BE49-F238E27FC236}">
                  <a16:creationId xmlns:a16="http://schemas.microsoft.com/office/drawing/2014/main" id="{00000000-0008-0000-11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Strip Defensive Material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40</xdr:row>
          <xdr:rowOff>165100</xdr:rowOff>
        </xdr:from>
        <xdr:to>
          <xdr:col>4</xdr:col>
          <xdr:colOff>0</xdr:colOff>
          <xdr:row>42</xdr:row>
          <xdr:rowOff>12700</xdr:rowOff>
        </xdr:to>
        <xdr:sp macro="" textlink="">
          <xdr:nvSpPr>
            <xdr:cNvPr id="10260" name="Check Box 20" hidden="1">
              <a:extLst>
                <a:ext uri="{63B3BB69-23CF-44E3-9099-C40C66FF867C}">
                  <a14:compatExt spid="_x0000_s10260"/>
                </a:ext>
                <a:ext uri="{FF2B5EF4-FFF2-40B4-BE49-F238E27FC236}">
                  <a16:creationId xmlns:a16="http://schemas.microsoft.com/office/drawing/2014/main" id="{00000000-0008-0000-1100-00001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Strip Joint Protection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774700</xdr:colOff>
          <xdr:row>2</xdr:row>
          <xdr:rowOff>19050</xdr:rowOff>
        </xdr:from>
        <xdr:to>
          <xdr:col>3</xdr:col>
          <xdr:colOff>323850</xdr:colOff>
          <xdr:row>3</xdr:row>
          <xdr:rowOff>19050</xdr:rowOff>
        </xdr:to>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1100-000016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19050</xdr:rowOff>
        </xdr:from>
        <xdr:to>
          <xdr:col>4</xdr:col>
          <xdr:colOff>641350</xdr:colOff>
          <xdr:row>3</xdr:row>
          <xdr:rowOff>19050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200-000002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831850</xdr:colOff>
          <xdr:row>2</xdr:row>
          <xdr:rowOff>19050</xdr:rowOff>
        </xdr:from>
        <xdr:to>
          <xdr:col>2</xdr:col>
          <xdr:colOff>1422400</xdr:colOff>
          <xdr:row>3</xdr:row>
          <xdr:rowOff>19050</xdr:rowOff>
        </xdr:to>
        <xdr:sp macro="" textlink="">
          <xdr:nvSpPr>
            <xdr:cNvPr id="33803" name="Button 11" hidden="1">
              <a:extLst>
                <a:ext uri="{63B3BB69-23CF-44E3-9099-C40C66FF867C}">
                  <a14:compatExt spid="_x0000_s33803"/>
                </a:ext>
                <a:ext uri="{FF2B5EF4-FFF2-40B4-BE49-F238E27FC236}">
                  <a16:creationId xmlns:a16="http://schemas.microsoft.com/office/drawing/2014/main" id="{00000000-0008-0000-1200-00000B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2</xdr:row>
          <xdr:rowOff>19050</xdr:rowOff>
        </xdr:from>
        <xdr:to>
          <xdr:col>14</xdr:col>
          <xdr:colOff>641350</xdr:colOff>
          <xdr:row>3</xdr:row>
          <xdr:rowOff>19050</xdr:rowOff>
        </xdr:to>
        <xdr:sp macro="" textlink="">
          <xdr:nvSpPr>
            <xdr:cNvPr id="33809" name="Button 17" hidden="1">
              <a:extLst>
                <a:ext uri="{63B3BB69-23CF-44E3-9099-C40C66FF867C}">
                  <a14:compatExt spid="_x0000_s33809"/>
                </a:ext>
                <a:ext uri="{FF2B5EF4-FFF2-40B4-BE49-F238E27FC236}">
                  <a16:creationId xmlns:a16="http://schemas.microsoft.com/office/drawing/2014/main" id="{00000000-0008-0000-1200-00001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38100</xdr:colOff>
          <xdr:row>2</xdr:row>
          <xdr:rowOff>19050</xdr:rowOff>
        </xdr:from>
        <xdr:to>
          <xdr:col>24</xdr:col>
          <xdr:colOff>641350</xdr:colOff>
          <xdr:row>3</xdr:row>
          <xdr:rowOff>19050</xdr:rowOff>
        </xdr:to>
        <xdr:sp macro="" textlink="">
          <xdr:nvSpPr>
            <xdr:cNvPr id="33810" name="Button 18" hidden="1">
              <a:extLst>
                <a:ext uri="{63B3BB69-23CF-44E3-9099-C40C66FF867C}">
                  <a14:compatExt spid="_x0000_s33810"/>
                </a:ext>
                <a:ext uri="{FF2B5EF4-FFF2-40B4-BE49-F238E27FC236}">
                  <a16:creationId xmlns:a16="http://schemas.microsoft.com/office/drawing/2014/main" id="{00000000-0008-0000-1200-000012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2</xdr:row>
          <xdr:rowOff>19050</xdr:rowOff>
        </xdr:from>
        <xdr:to>
          <xdr:col>34</xdr:col>
          <xdr:colOff>641350</xdr:colOff>
          <xdr:row>3</xdr:row>
          <xdr:rowOff>19050</xdr:rowOff>
        </xdr:to>
        <xdr:sp macro="" textlink="">
          <xdr:nvSpPr>
            <xdr:cNvPr id="33811" name="Button 19" hidden="1">
              <a:extLst>
                <a:ext uri="{63B3BB69-23CF-44E3-9099-C40C66FF867C}">
                  <a14:compatExt spid="_x0000_s33811"/>
                </a:ext>
                <a:ext uri="{FF2B5EF4-FFF2-40B4-BE49-F238E27FC236}">
                  <a16:creationId xmlns:a16="http://schemas.microsoft.com/office/drawing/2014/main" id="{00000000-0008-0000-1200-000013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38100</xdr:colOff>
          <xdr:row>2</xdr:row>
          <xdr:rowOff>19050</xdr:rowOff>
        </xdr:from>
        <xdr:to>
          <xdr:col>44</xdr:col>
          <xdr:colOff>641350</xdr:colOff>
          <xdr:row>3</xdr:row>
          <xdr:rowOff>19050</xdr:rowOff>
        </xdr:to>
        <xdr:sp macro="" textlink="">
          <xdr:nvSpPr>
            <xdr:cNvPr id="33812" name="Button 20" hidden="1">
              <a:extLst>
                <a:ext uri="{63B3BB69-23CF-44E3-9099-C40C66FF867C}">
                  <a14:compatExt spid="_x0000_s33812"/>
                </a:ext>
                <a:ext uri="{FF2B5EF4-FFF2-40B4-BE49-F238E27FC236}">
                  <a16:creationId xmlns:a16="http://schemas.microsoft.com/office/drawing/2014/main" id="{00000000-0008-0000-1200-000014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38100</xdr:colOff>
          <xdr:row>2</xdr:row>
          <xdr:rowOff>19050</xdr:rowOff>
        </xdr:from>
        <xdr:to>
          <xdr:col>54</xdr:col>
          <xdr:colOff>641350</xdr:colOff>
          <xdr:row>3</xdr:row>
          <xdr:rowOff>19050</xdr:rowOff>
        </xdr:to>
        <xdr:sp macro="" textlink="">
          <xdr:nvSpPr>
            <xdr:cNvPr id="33813" name="Button 21" hidden="1">
              <a:extLst>
                <a:ext uri="{63B3BB69-23CF-44E3-9099-C40C66FF867C}">
                  <a14:compatExt spid="_x0000_s33813"/>
                </a:ext>
                <a:ext uri="{FF2B5EF4-FFF2-40B4-BE49-F238E27FC236}">
                  <a16:creationId xmlns:a16="http://schemas.microsoft.com/office/drawing/2014/main" id="{00000000-0008-0000-1200-000015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2</xdr:row>
          <xdr:rowOff>19050</xdr:rowOff>
        </xdr:from>
        <xdr:to>
          <xdr:col>14</xdr:col>
          <xdr:colOff>641350</xdr:colOff>
          <xdr:row>3</xdr:row>
          <xdr:rowOff>19050</xdr:rowOff>
        </xdr:to>
        <xdr:sp macro="" textlink="">
          <xdr:nvSpPr>
            <xdr:cNvPr id="33814" name="Button 22" hidden="1">
              <a:extLst>
                <a:ext uri="{63B3BB69-23CF-44E3-9099-C40C66FF867C}">
                  <a14:compatExt spid="_x0000_s33814"/>
                </a:ext>
                <a:ext uri="{FF2B5EF4-FFF2-40B4-BE49-F238E27FC236}">
                  <a16:creationId xmlns:a16="http://schemas.microsoft.com/office/drawing/2014/main" id="{00000000-0008-0000-1200-000016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38100</xdr:colOff>
          <xdr:row>2</xdr:row>
          <xdr:rowOff>19050</xdr:rowOff>
        </xdr:from>
        <xdr:to>
          <xdr:col>24</xdr:col>
          <xdr:colOff>641350</xdr:colOff>
          <xdr:row>3</xdr:row>
          <xdr:rowOff>19050</xdr:rowOff>
        </xdr:to>
        <xdr:sp macro="" textlink="">
          <xdr:nvSpPr>
            <xdr:cNvPr id="33815" name="Button 23" hidden="1">
              <a:extLst>
                <a:ext uri="{63B3BB69-23CF-44E3-9099-C40C66FF867C}">
                  <a14:compatExt spid="_x0000_s33815"/>
                </a:ext>
                <a:ext uri="{FF2B5EF4-FFF2-40B4-BE49-F238E27FC236}">
                  <a16:creationId xmlns:a16="http://schemas.microsoft.com/office/drawing/2014/main" id="{00000000-0008-0000-1200-000017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2</xdr:row>
          <xdr:rowOff>19050</xdr:rowOff>
        </xdr:from>
        <xdr:to>
          <xdr:col>34</xdr:col>
          <xdr:colOff>641350</xdr:colOff>
          <xdr:row>3</xdr:row>
          <xdr:rowOff>19050</xdr:rowOff>
        </xdr:to>
        <xdr:sp macro="" textlink="">
          <xdr:nvSpPr>
            <xdr:cNvPr id="33816" name="Button 24" hidden="1">
              <a:extLst>
                <a:ext uri="{63B3BB69-23CF-44E3-9099-C40C66FF867C}">
                  <a14:compatExt spid="_x0000_s33816"/>
                </a:ext>
                <a:ext uri="{FF2B5EF4-FFF2-40B4-BE49-F238E27FC236}">
                  <a16:creationId xmlns:a16="http://schemas.microsoft.com/office/drawing/2014/main" id="{00000000-0008-0000-1200-000018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38100</xdr:colOff>
          <xdr:row>2</xdr:row>
          <xdr:rowOff>19050</xdr:rowOff>
        </xdr:from>
        <xdr:to>
          <xdr:col>44</xdr:col>
          <xdr:colOff>641350</xdr:colOff>
          <xdr:row>3</xdr:row>
          <xdr:rowOff>19050</xdr:rowOff>
        </xdr:to>
        <xdr:sp macro="" textlink="">
          <xdr:nvSpPr>
            <xdr:cNvPr id="33817" name="Button 25" hidden="1">
              <a:extLst>
                <a:ext uri="{63B3BB69-23CF-44E3-9099-C40C66FF867C}">
                  <a14:compatExt spid="_x0000_s33817"/>
                </a:ext>
                <a:ext uri="{FF2B5EF4-FFF2-40B4-BE49-F238E27FC236}">
                  <a16:creationId xmlns:a16="http://schemas.microsoft.com/office/drawing/2014/main" id="{00000000-0008-0000-1200-000019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38100</xdr:colOff>
          <xdr:row>2</xdr:row>
          <xdr:rowOff>19050</xdr:rowOff>
        </xdr:from>
        <xdr:to>
          <xdr:col>54</xdr:col>
          <xdr:colOff>641350</xdr:colOff>
          <xdr:row>3</xdr:row>
          <xdr:rowOff>19050</xdr:rowOff>
        </xdr:to>
        <xdr:sp macro="" textlink="">
          <xdr:nvSpPr>
            <xdr:cNvPr id="33818" name="Button 26" hidden="1">
              <a:extLst>
                <a:ext uri="{63B3BB69-23CF-44E3-9099-C40C66FF867C}">
                  <a14:compatExt spid="_x0000_s33818"/>
                </a:ext>
                <a:ext uri="{FF2B5EF4-FFF2-40B4-BE49-F238E27FC236}">
                  <a16:creationId xmlns:a16="http://schemas.microsoft.com/office/drawing/2014/main" id="{00000000-0008-0000-1200-00001A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xdr:row>
          <xdr:rowOff>50800</xdr:rowOff>
        </xdr:from>
        <xdr:to>
          <xdr:col>12</xdr:col>
          <xdr:colOff>12700</xdr:colOff>
          <xdr:row>9</xdr:row>
          <xdr:rowOff>69850</xdr:rowOff>
        </xdr:to>
        <xdr:sp macro="" textlink="">
          <xdr:nvSpPr>
            <xdr:cNvPr id="33820" name="Check Box 28" hidden="1">
              <a:extLst>
                <a:ext uri="{63B3BB69-23CF-44E3-9099-C40C66FF867C}">
                  <a14:compatExt spid="_x0000_s33820"/>
                </a:ext>
                <a:ext uri="{FF2B5EF4-FFF2-40B4-BE49-F238E27FC236}">
                  <a16:creationId xmlns:a16="http://schemas.microsoft.com/office/drawing/2014/main" id="{00000000-0008-0000-1200-00001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38100</xdr:colOff>
          <xdr:row>2</xdr:row>
          <xdr:rowOff>19050</xdr:rowOff>
        </xdr:from>
        <xdr:to>
          <xdr:col>14</xdr:col>
          <xdr:colOff>641350</xdr:colOff>
          <xdr:row>3</xdr:row>
          <xdr:rowOff>19050</xdr:rowOff>
        </xdr:to>
        <xdr:sp macro="" textlink="">
          <xdr:nvSpPr>
            <xdr:cNvPr id="33821" name="Button 29" hidden="1">
              <a:extLst>
                <a:ext uri="{63B3BB69-23CF-44E3-9099-C40C66FF867C}">
                  <a14:compatExt spid="_x0000_s33821"/>
                </a:ext>
                <a:ext uri="{FF2B5EF4-FFF2-40B4-BE49-F238E27FC236}">
                  <a16:creationId xmlns:a16="http://schemas.microsoft.com/office/drawing/2014/main" id="{00000000-0008-0000-1200-00001D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38100</xdr:colOff>
          <xdr:row>2</xdr:row>
          <xdr:rowOff>19050</xdr:rowOff>
        </xdr:from>
        <xdr:to>
          <xdr:col>24</xdr:col>
          <xdr:colOff>641350</xdr:colOff>
          <xdr:row>3</xdr:row>
          <xdr:rowOff>19050</xdr:rowOff>
        </xdr:to>
        <xdr:sp macro="" textlink="">
          <xdr:nvSpPr>
            <xdr:cNvPr id="33822" name="Button 30" hidden="1">
              <a:extLst>
                <a:ext uri="{63B3BB69-23CF-44E3-9099-C40C66FF867C}">
                  <a14:compatExt spid="_x0000_s33822"/>
                </a:ext>
                <a:ext uri="{FF2B5EF4-FFF2-40B4-BE49-F238E27FC236}">
                  <a16:creationId xmlns:a16="http://schemas.microsoft.com/office/drawing/2014/main" id="{00000000-0008-0000-1200-00001E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2</xdr:row>
          <xdr:rowOff>19050</xdr:rowOff>
        </xdr:from>
        <xdr:to>
          <xdr:col>34</xdr:col>
          <xdr:colOff>641350</xdr:colOff>
          <xdr:row>3</xdr:row>
          <xdr:rowOff>19050</xdr:rowOff>
        </xdr:to>
        <xdr:sp macro="" textlink="">
          <xdr:nvSpPr>
            <xdr:cNvPr id="33823" name="Button 31" hidden="1">
              <a:extLst>
                <a:ext uri="{63B3BB69-23CF-44E3-9099-C40C66FF867C}">
                  <a14:compatExt spid="_x0000_s33823"/>
                </a:ext>
                <a:ext uri="{FF2B5EF4-FFF2-40B4-BE49-F238E27FC236}">
                  <a16:creationId xmlns:a16="http://schemas.microsoft.com/office/drawing/2014/main" id="{00000000-0008-0000-1200-00001F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38100</xdr:colOff>
          <xdr:row>2</xdr:row>
          <xdr:rowOff>19050</xdr:rowOff>
        </xdr:from>
        <xdr:to>
          <xdr:col>44</xdr:col>
          <xdr:colOff>641350</xdr:colOff>
          <xdr:row>3</xdr:row>
          <xdr:rowOff>19050</xdr:rowOff>
        </xdr:to>
        <xdr:sp macro="" textlink="">
          <xdr:nvSpPr>
            <xdr:cNvPr id="33824" name="Button 32" hidden="1">
              <a:extLst>
                <a:ext uri="{63B3BB69-23CF-44E3-9099-C40C66FF867C}">
                  <a14:compatExt spid="_x0000_s33824"/>
                </a:ext>
                <a:ext uri="{FF2B5EF4-FFF2-40B4-BE49-F238E27FC236}">
                  <a16:creationId xmlns:a16="http://schemas.microsoft.com/office/drawing/2014/main" id="{00000000-0008-0000-1200-000020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38100</xdr:colOff>
          <xdr:row>2</xdr:row>
          <xdr:rowOff>19050</xdr:rowOff>
        </xdr:from>
        <xdr:to>
          <xdr:col>54</xdr:col>
          <xdr:colOff>641350</xdr:colOff>
          <xdr:row>3</xdr:row>
          <xdr:rowOff>19050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200-00002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xdr:row>
          <xdr:rowOff>50800</xdr:rowOff>
        </xdr:from>
        <xdr:to>
          <xdr:col>32</xdr:col>
          <xdr:colOff>12700</xdr:colOff>
          <xdr:row>9</xdr:row>
          <xdr:rowOff>69850</xdr:rowOff>
        </xdr:to>
        <xdr:sp macro="" textlink="">
          <xdr:nvSpPr>
            <xdr:cNvPr id="33827" name="Check Box 35" hidden="1">
              <a:extLst>
                <a:ext uri="{63B3BB69-23CF-44E3-9099-C40C66FF867C}">
                  <a14:compatExt spid="_x0000_s33827"/>
                </a:ext>
                <a:ext uri="{FF2B5EF4-FFF2-40B4-BE49-F238E27FC236}">
                  <a16:creationId xmlns:a16="http://schemas.microsoft.com/office/drawing/2014/main" id="{00000000-0008-0000-1200-00002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31750</xdr:colOff>
          <xdr:row>8</xdr:row>
          <xdr:rowOff>50800</xdr:rowOff>
        </xdr:from>
        <xdr:to>
          <xdr:col>42</xdr:col>
          <xdr:colOff>12700</xdr:colOff>
          <xdr:row>9</xdr:row>
          <xdr:rowOff>69850</xdr:rowOff>
        </xdr:to>
        <xdr:sp macro="" textlink="">
          <xdr:nvSpPr>
            <xdr:cNvPr id="33828" name="Check Box 36" hidden="1">
              <a:extLst>
                <a:ext uri="{63B3BB69-23CF-44E3-9099-C40C66FF867C}">
                  <a14:compatExt spid="_x0000_s33828"/>
                </a:ext>
                <a:ext uri="{FF2B5EF4-FFF2-40B4-BE49-F238E27FC236}">
                  <a16:creationId xmlns:a16="http://schemas.microsoft.com/office/drawing/2014/main" id="{00000000-0008-0000-1200-00002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31750</xdr:colOff>
          <xdr:row>8</xdr:row>
          <xdr:rowOff>50800</xdr:rowOff>
        </xdr:from>
        <xdr:to>
          <xdr:col>52</xdr:col>
          <xdr:colOff>12700</xdr:colOff>
          <xdr:row>9</xdr:row>
          <xdr:rowOff>69850</xdr:rowOff>
        </xdr:to>
        <xdr:sp macro="" textlink="">
          <xdr:nvSpPr>
            <xdr:cNvPr id="33829" name="Check Box 37" hidden="1">
              <a:extLst>
                <a:ext uri="{63B3BB69-23CF-44E3-9099-C40C66FF867C}">
                  <a14:compatExt spid="_x0000_s33829"/>
                </a:ext>
                <a:ext uri="{FF2B5EF4-FFF2-40B4-BE49-F238E27FC236}">
                  <a16:creationId xmlns:a16="http://schemas.microsoft.com/office/drawing/2014/main" id="{00000000-0008-0000-1200-00002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31750</xdr:colOff>
          <xdr:row>8</xdr:row>
          <xdr:rowOff>50800</xdr:rowOff>
        </xdr:from>
        <xdr:to>
          <xdr:col>62</xdr:col>
          <xdr:colOff>12700</xdr:colOff>
          <xdr:row>9</xdr:row>
          <xdr:rowOff>69850</xdr:rowOff>
        </xdr:to>
        <xdr:sp macro="" textlink="">
          <xdr:nvSpPr>
            <xdr:cNvPr id="33830" name="Check Box 38" hidden="1">
              <a:extLst>
                <a:ext uri="{63B3BB69-23CF-44E3-9099-C40C66FF867C}">
                  <a14:compatExt spid="_x0000_s33830"/>
                </a:ext>
                <a:ext uri="{FF2B5EF4-FFF2-40B4-BE49-F238E27FC236}">
                  <a16:creationId xmlns:a16="http://schemas.microsoft.com/office/drawing/2014/main" id="{00000000-0008-0000-1200-00002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xdr:row>
          <xdr:rowOff>50800</xdr:rowOff>
        </xdr:from>
        <xdr:to>
          <xdr:col>22</xdr:col>
          <xdr:colOff>12700</xdr:colOff>
          <xdr:row>9</xdr:row>
          <xdr:rowOff>69850</xdr:rowOff>
        </xdr:to>
        <xdr:sp macro="" textlink="">
          <xdr:nvSpPr>
            <xdr:cNvPr id="33831" name="Check Box 39" hidden="1">
              <a:extLst>
                <a:ext uri="{63B3BB69-23CF-44E3-9099-C40C66FF867C}">
                  <a14:compatExt spid="_x0000_s33831"/>
                </a:ext>
                <a:ext uri="{FF2B5EF4-FFF2-40B4-BE49-F238E27FC236}">
                  <a16:creationId xmlns:a16="http://schemas.microsoft.com/office/drawing/2014/main" id="{00000000-0008-0000-1200-00002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Don't count on equipment list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38100</xdr:colOff>
          <xdr:row>2</xdr:row>
          <xdr:rowOff>19050</xdr:rowOff>
        </xdr:from>
        <xdr:to>
          <xdr:col>14</xdr:col>
          <xdr:colOff>641350</xdr:colOff>
          <xdr:row>3</xdr:row>
          <xdr:rowOff>19050</xdr:rowOff>
        </xdr:to>
        <xdr:sp macro="" textlink="">
          <xdr:nvSpPr>
            <xdr:cNvPr id="33834" name="Button 42" hidden="1">
              <a:extLst>
                <a:ext uri="{63B3BB69-23CF-44E3-9099-C40C66FF867C}">
                  <a14:compatExt spid="_x0000_s33834"/>
                </a:ext>
                <a:ext uri="{FF2B5EF4-FFF2-40B4-BE49-F238E27FC236}">
                  <a16:creationId xmlns:a16="http://schemas.microsoft.com/office/drawing/2014/main" id="{00000000-0008-0000-1200-00002A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38100</xdr:colOff>
          <xdr:row>2</xdr:row>
          <xdr:rowOff>19050</xdr:rowOff>
        </xdr:from>
        <xdr:to>
          <xdr:col>24</xdr:col>
          <xdr:colOff>641350</xdr:colOff>
          <xdr:row>3</xdr:row>
          <xdr:rowOff>19050</xdr:rowOff>
        </xdr:to>
        <xdr:sp macro="" textlink="">
          <xdr:nvSpPr>
            <xdr:cNvPr id="33835" name="Button 43" hidden="1">
              <a:extLst>
                <a:ext uri="{63B3BB69-23CF-44E3-9099-C40C66FF867C}">
                  <a14:compatExt spid="_x0000_s33835"/>
                </a:ext>
                <a:ext uri="{FF2B5EF4-FFF2-40B4-BE49-F238E27FC236}">
                  <a16:creationId xmlns:a16="http://schemas.microsoft.com/office/drawing/2014/main" id="{00000000-0008-0000-1200-00002B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2</xdr:row>
          <xdr:rowOff>19050</xdr:rowOff>
        </xdr:from>
        <xdr:to>
          <xdr:col>34</xdr:col>
          <xdr:colOff>641350</xdr:colOff>
          <xdr:row>3</xdr:row>
          <xdr:rowOff>19050</xdr:rowOff>
        </xdr:to>
        <xdr:sp macro="" textlink="">
          <xdr:nvSpPr>
            <xdr:cNvPr id="33836" name="Button 44" hidden="1">
              <a:extLst>
                <a:ext uri="{63B3BB69-23CF-44E3-9099-C40C66FF867C}">
                  <a14:compatExt spid="_x0000_s33836"/>
                </a:ext>
                <a:ext uri="{FF2B5EF4-FFF2-40B4-BE49-F238E27FC236}">
                  <a16:creationId xmlns:a16="http://schemas.microsoft.com/office/drawing/2014/main" id="{00000000-0008-0000-1200-00002C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38100</xdr:colOff>
          <xdr:row>2</xdr:row>
          <xdr:rowOff>19050</xdr:rowOff>
        </xdr:from>
        <xdr:to>
          <xdr:col>44</xdr:col>
          <xdr:colOff>641350</xdr:colOff>
          <xdr:row>3</xdr:row>
          <xdr:rowOff>19050</xdr:rowOff>
        </xdr:to>
        <xdr:sp macro="" textlink="">
          <xdr:nvSpPr>
            <xdr:cNvPr id="33837" name="Button 45" hidden="1">
              <a:extLst>
                <a:ext uri="{63B3BB69-23CF-44E3-9099-C40C66FF867C}">
                  <a14:compatExt spid="_x0000_s33837"/>
                </a:ext>
                <a:ext uri="{FF2B5EF4-FFF2-40B4-BE49-F238E27FC236}">
                  <a16:creationId xmlns:a16="http://schemas.microsoft.com/office/drawing/2014/main" id="{00000000-0008-0000-1200-00002D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38100</xdr:colOff>
          <xdr:row>2</xdr:row>
          <xdr:rowOff>19050</xdr:rowOff>
        </xdr:from>
        <xdr:to>
          <xdr:col>54</xdr:col>
          <xdr:colOff>641350</xdr:colOff>
          <xdr:row>3</xdr:row>
          <xdr:rowOff>19050</xdr:rowOff>
        </xdr:to>
        <xdr:sp macro="" textlink="">
          <xdr:nvSpPr>
            <xdr:cNvPr id="33838" name="Button 46" hidden="1">
              <a:extLst>
                <a:ext uri="{63B3BB69-23CF-44E3-9099-C40C66FF867C}">
                  <a14:compatExt spid="_x0000_s33838"/>
                </a:ext>
                <a:ext uri="{FF2B5EF4-FFF2-40B4-BE49-F238E27FC236}">
                  <a16:creationId xmlns:a16="http://schemas.microsoft.com/office/drawing/2014/main" id="{00000000-0008-0000-1200-00002E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260350</xdr:colOff>
          <xdr:row>2</xdr:row>
          <xdr:rowOff>0</xdr:rowOff>
        </xdr:from>
        <xdr:to>
          <xdr:col>10</xdr:col>
          <xdr:colOff>355600</xdr:colOff>
          <xdr:row>3</xdr:row>
          <xdr:rowOff>19050</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1300-000002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8</xdr:row>
          <xdr:rowOff>127000</xdr:rowOff>
        </xdr:from>
        <xdr:to>
          <xdr:col>3</xdr:col>
          <xdr:colOff>1136650</xdr:colOff>
          <xdr:row>10</xdr:row>
          <xdr:rowOff>12700</xdr:rowOff>
        </xdr:to>
        <xdr:sp macro="" textlink="">
          <xdr:nvSpPr>
            <xdr:cNvPr id="11265" name="Option Button 1" hidden="1">
              <a:extLst>
                <a:ext uri="{63B3BB69-23CF-44E3-9099-C40C66FF867C}">
                  <a14:compatExt spid="_x0000_s11265"/>
                </a:ext>
                <a:ext uri="{FF2B5EF4-FFF2-40B4-BE49-F238E27FC236}">
                  <a16:creationId xmlns:a16="http://schemas.microsoft.com/office/drawing/2014/main" id="{00000000-0008-0000-14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9</xdr:row>
          <xdr:rowOff>127000</xdr:rowOff>
        </xdr:from>
        <xdr:to>
          <xdr:col>3</xdr:col>
          <xdr:colOff>1136650</xdr:colOff>
          <xdr:row>11</xdr:row>
          <xdr:rowOff>12700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14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Bio-stabilizer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10</xdr:row>
          <xdr:rowOff>127000</xdr:rowOff>
        </xdr:from>
        <xdr:to>
          <xdr:col>3</xdr:col>
          <xdr:colOff>1136650</xdr:colOff>
          <xdr:row>12</xdr:row>
          <xdr:rowOff>12700</xdr:rowOff>
        </xdr:to>
        <xdr:sp macro="" textlink="">
          <xdr:nvSpPr>
            <xdr:cNvPr id="11268" name="Option Button 4" hidden="1">
              <a:extLst>
                <a:ext uri="{63B3BB69-23CF-44E3-9099-C40C66FF867C}">
                  <a14:compatExt spid="_x0000_s11268"/>
                </a:ext>
                <a:ext uri="{FF2B5EF4-FFF2-40B4-BE49-F238E27FC236}">
                  <a16:creationId xmlns:a16="http://schemas.microsoft.com/office/drawing/2014/main" id="{00000000-0008-0000-14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Cardio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11</xdr:row>
          <xdr:rowOff>127000</xdr:rowOff>
        </xdr:from>
        <xdr:to>
          <xdr:col>3</xdr:col>
          <xdr:colOff>1136650</xdr:colOff>
          <xdr:row>13</xdr:row>
          <xdr:rowOff>12700</xdr:rowOff>
        </xdr:to>
        <xdr:sp macro="" textlink="">
          <xdr:nvSpPr>
            <xdr:cNvPr id="11269" name="Option Button 5" hidden="1">
              <a:extLst>
                <a:ext uri="{63B3BB69-23CF-44E3-9099-C40C66FF867C}">
                  <a14:compatExt spid="_x0000_s11269"/>
                </a:ext>
                <a:ext uri="{FF2B5EF4-FFF2-40B4-BE49-F238E27FC236}">
                  <a16:creationId xmlns:a16="http://schemas.microsoft.com/office/drawing/2014/main" id="{00000000-0008-0000-14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Combat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12</xdr:row>
          <xdr:rowOff>127000</xdr:rowOff>
        </xdr:from>
        <xdr:to>
          <xdr:col>3</xdr:col>
          <xdr:colOff>1136650</xdr:colOff>
          <xdr:row>14</xdr:row>
          <xdr:rowOff>12700</xdr:rowOff>
        </xdr:to>
        <xdr:sp macro="" textlink="">
          <xdr:nvSpPr>
            <xdr:cNvPr id="11270" name="Option Button 6" hidden="1">
              <a:extLst>
                <a:ext uri="{63B3BB69-23CF-44E3-9099-C40C66FF867C}">
                  <a14:compatExt spid="_x0000_s11270"/>
                </a:ext>
                <a:ext uri="{FF2B5EF4-FFF2-40B4-BE49-F238E27FC236}">
                  <a16:creationId xmlns:a16="http://schemas.microsoft.com/office/drawing/2014/main" id="{00000000-0008-0000-1400-00000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Memory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13</xdr:row>
          <xdr:rowOff>127000</xdr:rowOff>
        </xdr:from>
        <xdr:to>
          <xdr:col>3</xdr:col>
          <xdr:colOff>1136650</xdr:colOff>
          <xdr:row>15</xdr:row>
          <xdr:rowOff>12700</xdr:rowOff>
        </xdr:to>
        <xdr:sp macro="" textlink="">
          <xdr:nvSpPr>
            <xdr:cNvPr id="11271" name="Option Button 7" hidden="1">
              <a:extLst>
                <a:ext uri="{63B3BB69-23CF-44E3-9099-C40C66FF867C}">
                  <a14:compatExt spid="_x0000_s11271"/>
                </a:ext>
                <a:ext uri="{FF2B5EF4-FFF2-40B4-BE49-F238E27FC236}">
                  <a16:creationId xmlns:a16="http://schemas.microsoft.com/office/drawing/2014/main" id="{00000000-0008-0000-14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Nerve reinforcement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14</xdr:row>
          <xdr:rowOff>127000</xdr:rowOff>
        </xdr:from>
        <xdr:to>
          <xdr:col>3</xdr:col>
          <xdr:colOff>1136650</xdr:colOff>
          <xdr:row>16</xdr:row>
          <xdr:rowOff>12700</xdr:rowOff>
        </xdr:to>
        <xdr:sp macro="" textlink="">
          <xdr:nvSpPr>
            <xdr:cNvPr id="11272" name="Option Button 8" hidden="1">
              <a:extLst>
                <a:ext uri="{63B3BB69-23CF-44E3-9099-C40C66FF867C}">
                  <a14:compatExt spid="_x0000_s11272"/>
                </a:ext>
                <a:ext uri="{FF2B5EF4-FFF2-40B4-BE49-F238E27FC236}">
                  <a16:creationId xmlns:a16="http://schemas.microsoft.com/office/drawing/2014/main" id="{00000000-0008-0000-14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Regenerative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15</xdr:row>
          <xdr:rowOff>127000</xdr:rowOff>
        </xdr:from>
        <xdr:to>
          <xdr:col>3</xdr:col>
          <xdr:colOff>1136650</xdr:colOff>
          <xdr:row>17</xdr:row>
          <xdr:rowOff>12700</xdr:rowOff>
        </xdr:to>
        <xdr:sp macro="" textlink="">
          <xdr:nvSpPr>
            <xdr:cNvPr id="11273" name="Option Button 9" hidden="1">
              <a:extLst>
                <a:ext uri="{63B3BB69-23CF-44E3-9099-C40C66FF867C}">
                  <a14:compatExt spid="_x0000_s11273"/>
                </a:ext>
                <a:ext uri="{FF2B5EF4-FFF2-40B4-BE49-F238E27FC236}">
                  <a16:creationId xmlns:a16="http://schemas.microsoft.com/office/drawing/2014/main" id="{00000000-0008-0000-14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Sensory implant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127000</xdr:rowOff>
        </xdr:from>
        <xdr:to>
          <xdr:col>3</xdr:col>
          <xdr:colOff>31750</xdr:colOff>
          <xdr:row>25</xdr:row>
          <xdr:rowOff>12700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14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127000</xdr:rowOff>
        </xdr:from>
        <xdr:to>
          <xdr:col>3</xdr:col>
          <xdr:colOff>31750</xdr:colOff>
          <xdr:row>26</xdr:row>
          <xdr:rowOff>12700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14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25</xdr:row>
          <xdr:rowOff>127000</xdr:rowOff>
        </xdr:from>
        <xdr:to>
          <xdr:col>3</xdr:col>
          <xdr:colOff>31750</xdr:colOff>
          <xdr:row>27</xdr:row>
          <xdr:rowOff>12700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1400-00000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26</xdr:row>
          <xdr:rowOff>127000</xdr:rowOff>
        </xdr:from>
        <xdr:to>
          <xdr:col>3</xdr:col>
          <xdr:colOff>31750</xdr:colOff>
          <xdr:row>28</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14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127000</xdr:rowOff>
        </xdr:from>
        <xdr:to>
          <xdr:col>3</xdr:col>
          <xdr:colOff>31750</xdr:colOff>
          <xdr:row>29</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14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28</xdr:row>
          <xdr:rowOff>127000</xdr:rowOff>
        </xdr:from>
        <xdr:to>
          <xdr:col>3</xdr:col>
          <xdr:colOff>31750</xdr:colOff>
          <xdr:row>30</xdr:row>
          <xdr:rowOff>12700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14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127000</xdr:rowOff>
        </xdr:from>
        <xdr:to>
          <xdr:col>3</xdr:col>
          <xdr:colOff>31750</xdr:colOff>
          <xdr:row>31</xdr:row>
          <xdr:rowOff>12700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1400-00001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16</xdr:row>
          <xdr:rowOff>127000</xdr:rowOff>
        </xdr:from>
        <xdr:to>
          <xdr:col>3</xdr:col>
          <xdr:colOff>1136650</xdr:colOff>
          <xdr:row>18</xdr:row>
          <xdr:rowOff>12700</xdr:rowOff>
        </xdr:to>
        <xdr:sp macro="" textlink="">
          <xdr:nvSpPr>
            <xdr:cNvPr id="11281" name="Option Button 17" hidden="1">
              <a:extLst>
                <a:ext uri="{63B3BB69-23CF-44E3-9099-C40C66FF867C}">
                  <a14:compatExt spid="_x0000_s11281"/>
                </a:ext>
                <a:ext uri="{FF2B5EF4-FFF2-40B4-BE49-F238E27FC236}">
                  <a16:creationId xmlns:a16="http://schemas.microsoft.com/office/drawing/2014/main" id="{00000000-0008-0000-14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Subelectronic converter implant</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165100</xdr:colOff>
          <xdr:row>24</xdr:row>
          <xdr:rowOff>38100</xdr:rowOff>
        </xdr:from>
        <xdr:to>
          <xdr:col>8</xdr:col>
          <xdr:colOff>342900</xdr:colOff>
          <xdr:row>25</xdr:row>
          <xdr:rowOff>127000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38100</xdr:colOff>
          <xdr:row>0</xdr:row>
          <xdr:rowOff>50800</xdr:rowOff>
        </xdr:from>
        <xdr:to>
          <xdr:col>111</xdr:col>
          <xdr:colOff>12700</xdr:colOff>
          <xdr:row>26</xdr:row>
          <xdr:rowOff>19050</xdr:rowOff>
        </xdr:to>
        <xdr:sp macro="" textlink="">
          <xdr:nvSpPr>
            <xdr:cNvPr id="17409" name="Object 1" hidden="1">
              <a:extLst>
                <a:ext uri="{63B3BB69-23CF-44E3-9099-C40C66FF867C}">
                  <a14:compatExt spid="_x0000_s17409"/>
                </a:ext>
                <a:ext uri="{FF2B5EF4-FFF2-40B4-BE49-F238E27FC236}">
                  <a16:creationId xmlns:a16="http://schemas.microsoft.com/office/drawing/2014/main" id="{00000000-0008-0000-17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12700</xdr:rowOff>
        </xdr:from>
        <xdr:to>
          <xdr:col>16</xdr:col>
          <xdr:colOff>57150</xdr:colOff>
          <xdr:row>4</xdr:row>
          <xdr:rowOff>12700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1900-000003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Feat/Talent Mods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3117850</xdr:colOff>
          <xdr:row>2</xdr:row>
          <xdr:rowOff>0</xdr:rowOff>
        </xdr:from>
        <xdr:to>
          <xdr:col>2</xdr:col>
          <xdr:colOff>3790950</xdr:colOff>
          <xdr:row>3</xdr:row>
          <xdr:rowOff>38100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A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to File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2</xdr:row>
          <xdr:rowOff>31750</xdr:rowOff>
        </xdr:from>
        <xdr:to>
          <xdr:col>5</xdr:col>
          <xdr:colOff>317500</xdr:colOff>
          <xdr:row>3</xdr:row>
          <xdr:rowOff>12700</xdr:rowOff>
        </xdr:to>
        <xdr:sp macro="" textlink="">
          <xdr:nvSpPr>
            <xdr:cNvPr id="13338" name="Button 26" hidden="1">
              <a:extLst>
                <a:ext uri="{63B3BB69-23CF-44E3-9099-C40C66FF867C}">
                  <a14:compatExt spid="_x0000_s13338"/>
                </a:ext>
                <a:ext uri="{FF2B5EF4-FFF2-40B4-BE49-F238E27FC236}">
                  <a16:creationId xmlns:a16="http://schemas.microsoft.com/office/drawing/2014/main" id="{00000000-0008-0000-1C00-00001A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hyperlink" Target="https://drive.google.com/drive/folders/1goVZENdI61gTyHy165p_ocoKpE60lk4A"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community.wizards.com/nozzlehead"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community.wizards.com/pakman"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thesagacontinues.createaforum.com/general-discussion/sagaforge-character-she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3.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6.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omments" Target="../comments7.xml"/><Relationship Id="rId3" Type="http://schemas.openxmlformats.org/officeDocument/2006/relationships/vmlDrawing" Target="../drawings/vmlDrawing15.v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 Type="http://schemas.openxmlformats.org/officeDocument/2006/relationships/drawing" Target="../drawings/drawing15.xml"/><Relationship Id="rId16" Type="http://schemas.openxmlformats.org/officeDocument/2006/relationships/ctrlProp" Target="../ctrlProps/ctrlProp54.xml"/><Relationship Id="rId1" Type="http://schemas.openxmlformats.org/officeDocument/2006/relationships/printerSettings" Target="../printerSettings/printerSettings13.bin"/><Relationship Id="rId6" Type="http://schemas.openxmlformats.org/officeDocument/2006/relationships/ctrlProp" Target="../ctrlProps/ctrlProp44.xml"/><Relationship Id="rId11" Type="http://schemas.openxmlformats.org/officeDocument/2006/relationships/ctrlProp" Target="../ctrlProps/ctrlProp49.xml"/><Relationship Id="rId5" Type="http://schemas.openxmlformats.org/officeDocument/2006/relationships/ctrlProp" Target="../ctrlProps/ctrlProp43.xml"/><Relationship Id="rId15" Type="http://schemas.openxmlformats.org/officeDocument/2006/relationships/ctrlProp" Target="../ctrlProps/ctrlProp53.xml"/><Relationship Id="rId10" Type="http://schemas.openxmlformats.org/officeDocument/2006/relationships/ctrlProp" Target="../ctrlProps/ctrlProp48.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16.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2" Type="http://schemas.openxmlformats.org/officeDocument/2006/relationships/drawing" Target="../drawings/drawing16.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ctrlProp" Target="../ctrlProps/ctrlProp81.xml"/><Relationship Id="rId1" Type="http://schemas.openxmlformats.org/officeDocument/2006/relationships/printerSettings" Target="../printerSettings/printerSettings14.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comments" Target="../comments8.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ctrlProp" Target="../ctrlProps/ctrlProp83.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ctrlProp" Target="../ctrlProps/ctrlProp82.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18" Type="http://schemas.openxmlformats.org/officeDocument/2006/relationships/ctrlProp" Target="../ctrlProps/ctrlProp100.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17" Type="http://schemas.openxmlformats.org/officeDocument/2006/relationships/ctrlProp" Target="../ctrlProps/ctrlProp99.xml"/><Relationship Id="rId2" Type="http://schemas.openxmlformats.org/officeDocument/2006/relationships/vmlDrawing" Target="../drawings/vmlDrawing18.vml"/><Relationship Id="rId16" Type="http://schemas.openxmlformats.org/officeDocument/2006/relationships/ctrlProp" Target="../ctrlProps/ctrlProp98.xml"/><Relationship Id="rId1" Type="http://schemas.openxmlformats.org/officeDocument/2006/relationships/drawing" Target="../drawings/drawing18.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5" Type="http://schemas.openxmlformats.org/officeDocument/2006/relationships/ctrlProp" Target="../ctrlProps/ctrlProp9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1.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7.bin"/><Relationship Id="rId4" Type="http://schemas.openxmlformats.org/officeDocument/2006/relationships/ctrlProp" Target="../ctrlProps/ctrlProp10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8.bin"/><Relationship Id="rId4" Type="http://schemas.openxmlformats.org/officeDocument/2006/relationships/ctrlProp" Target="../ctrlProps/ctrlProp10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5" Type="http://schemas.openxmlformats.org/officeDocument/2006/relationships/comments" Target="../comments9.xml"/><Relationship Id="rId4" Type="http://schemas.openxmlformats.org/officeDocument/2006/relationships/ctrlProp" Target="../ctrlProps/ctrlProp10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49"/>
  <sheetViews>
    <sheetView showGridLines="0" showRowColHeaders="0" tabSelected="1" zoomScale="130" zoomScaleNormal="130" workbookViewId="0">
      <selection activeCell="D21" sqref="D21"/>
    </sheetView>
  </sheetViews>
  <sheetFormatPr defaultColWidth="9.1796875" defaultRowHeight="14.5"/>
  <cols>
    <col min="1" max="1" width="2.54296875" style="15" customWidth="1"/>
    <col min="2" max="2" width="2.453125" style="15" customWidth="1"/>
    <col min="3" max="3" width="8.7265625" style="15" customWidth="1"/>
    <col min="4" max="4" width="12.453125" style="15" customWidth="1"/>
    <col min="5" max="5" width="12.81640625" style="15" customWidth="1"/>
    <col min="6" max="6" width="14.26953125" style="15" customWidth="1"/>
    <col min="7" max="7" width="12" style="15" customWidth="1"/>
    <col min="8" max="8" width="2.54296875" style="15" customWidth="1"/>
    <col min="9" max="9" width="2.7265625" style="15" customWidth="1"/>
    <col min="10" max="10" width="2.81640625" style="15" customWidth="1"/>
    <col min="11" max="11" width="9.1796875" style="15"/>
    <col min="12" max="12" width="32.54296875" style="15" customWidth="1"/>
    <col min="13" max="13" width="10.26953125" style="718" customWidth="1"/>
    <col min="14" max="14" width="3.1796875" style="15" customWidth="1"/>
    <col min="15" max="16" width="2.81640625" style="15" customWidth="1"/>
    <col min="17" max="20" width="9.1796875" style="15"/>
    <col min="21" max="21" width="41.26953125" style="15" customWidth="1"/>
    <col min="22" max="22" width="2.81640625" style="15" customWidth="1"/>
    <col min="23" max="16384" width="9.1796875" style="15"/>
  </cols>
  <sheetData>
    <row r="1" spans="2:22" ht="15" thickBot="1"/>
    <row r="2" spans="2:22">
      <c r="B2" s="22"/>
      <c r="C2" s="23"/>
      <c r="D2" s="23"/>
      <c r="E2" s="23"/>
      <c r="F2" s="23"/>
      <c r="G2" s="23"/>
      <c r="H2" s="25"/>
      <c r="J2" s="1324"/>
      <c r="K2" s="1325"/>
      <c r="L2" s="1325"/>
      <c r="M2" s="1325"/>
      <c r="N2" s="1326"/>
      <c r="P2" s="22"/>
      <c r="Q2" s="772"/>
      <c r="R2" s="772"/>
      <c r="S2" s="772"/>
      <c r="T2" s="772"/>
      <c r="U2" s="772"/>
      <c r="V2" s="25"/>
    </row>
    <row r="3" spans="2:22" ht="23.5">
      <c r="B3" s="26"/>
      <c r="C3" s="514" t="s">
        <v>2096</v>
      </c>
      <c r="D3" s="75"/>
      <c r="E3" s="1725" t="s">
        <v>8904</v>
      </c>
      <c r="F3" s="515" t="s">
        <v>2097</v>
      </c>
      <c r="G3" s="1368">
        <v>1.53</v>
      </c>
      <c r="H3" s="29"/>
      <c r="J3" s="1327"/>
      <c r="K3" s="1484" t="s">
        <v>3656</v>
      </c>
      <c r="L3" s="75"/>
      <c r="M3" s="75"/>
      <c r="N3" s="29"/>
      <c r="P3" s="26"/>
      <c r="Q3" s="773" t="s">
        <v>4350</v>
      </c>
      <c r="R3" s="75"/>
      <c r="S3" s="75"/>
      <c r="T3" s="75"/>
      <c r="U3" s="75"/>
      <c r="V3" s="29"/>
    </row>
    <row r="4" spans="2:22">
      <c r="B4" s="26"/>
      <c r="C4" s="749" t="s">
        <v>8811</v>
      </c>
      <c r="D4" s="28"/>
      <c r="E4" s="28"/>
      <c r="F4" s="28"/>
      <c r="G4" s="1018"/>
      <c r="H4" s="29"/>
      <c r="J4" s="1327"/>
      <c r="K4" s="1479"/>
      <c r="L4" s="1479"/>
      <c r="M4" s="1479"/>
      <c r="N4" s="29"/>
      <c r="P4" s="26"/>
      <c r="Q4" s="771"/>
      <c r="R4" s="771"/>
      <c r="S4" s="771"/>
      <c r="T4" s="771"/>
      <c r="U4" s="771"/>
      <c r="V4" s="29"/>
    </row>
    <row r="5" spans="2:22">
      <c r="B5" s="26"/>
      <c r="C5" s="1362" t="s">
        <v>6894</v>
      </c>
      <c r="D5" s="28"/>
      <c r="E5" s="771"/>
      <c r="F5" s="28"/>
      <c r="G5" s="28"/>
      <c r="H5" s="29"/>
      <c r="J5" s="1327"/>
      <c r="K5" s="512" t="b">
        <v>0</v>
      </c>
      <c r="L5" s="1479"/>
      <c r="M5" s="1479"/>
      <c r="N5" s="29"/>
      <c r="P5" s="26"/>
      <c r="Q5" s="771" t="s">
        <v>4351</v>
      </c>
      <c r="R5" s="771"/>
      <c r="S5" s="771"/>
      <c r="T5" s="771"/>
      <c r="U5" s="771"/>
      <c r="V5" s="29"/>
    </row>
    <row r="6" spans="2:22" ht="15" thickBot="1">
      <c r="B6" s="32"/>
      <c r="C6" s="1701" t="s">
        <v>8848</v>
      </c>
      <c r="D6" s="33"/>
      <c r="E6" s="33"/>
      <c r="F6" s="33"/>
      <c r="G6" s="33"/>
      <c r="H6" s="35"/>
      <c r="J6" s="1327"/>
      <c r="K6" s="512" t="b">
        <v>0</v>
      </c>
      <c r="L6" s="1479"/>
      <c r="M6" s="1479"/>
      <c r="N6" s="29"/>
      <c r="P6" s="26"/>
      <c r="Q6" s="1043" t="s">
        <v>6077</v>
      </c>
      <c r="R6" s="771"/>
      <c r="S6" s="771"/>
      <c r="T6" s="771"/>
      <c r="U6" s="771"/>
      <c r="V6" s="29"/>
    </row>
    <row r="7" spans="2:22" ht="15" thickBot="1">
      <c r="J7" s="1327"/>
      <c r="K7" s="512" t="b">
        <v>0</v>
      </c>
      <c r="L7" s="1479"/>
      <c r="M7" s="1479"/>
      <c r="N7" s="29"/>
      <c r="P7" s="26"/>
      <c r="Q7" s="1008" t="s">
        <v>5986</v>
      </c>
      <c r="R7" s="771"/>
      <c r="S7" s="771"/>
      <c r="T7" s="771"/>
      <c r="U7" s="771"/>
      <c r="V7" s="29"/>
    </row>
    <row r="8" spans="2:22">
      <c r="B8" s="22"/>
      <c r="C8" s="1325"/>
      <c r="D8" s="23"/>
      <c r="E8" s="23"/>
      <c r="F8" s="23"/>
      <c r="G8" s="23"/>
      <c r="H8" s="25"/>
      <c r="J8" s="1327"/>
      <c r="K8" s="512" t="b">
        <v>0</v>
      </c>
      <c r="L8" s="1479"/>
      <c r="M8" s="1479"/>
      <c r="N8" s="29"/>
      <c r="P8" s="26"/>
      <c r="Q8" s="1008" t="s">
        <v>5985</v>
      </c>
      <c r="R8" s="771"/>
      <c r="S8" s="771"/>
      <c r="T8" s="771"/>
      <c r="U8" s="771"/>
      <c r="V8" s="29"/>
    </row>
    <row r="9" spans="2:22">
      <c r="B9" s="26"/>
      <c r="C9" s="1666"/>
      <c r="D9" s="28"/>
      <c r="E9" s="28"/>
      <c r="F9" s="28"/>
      <c r="G9" s="28"/>
      <c r="H9" s="29"/>
      <c r="J9" s="1327"/>
      <c r="K9" s="512"/>
      <c r="L9" s="512">
        <v>1</v>
      </c>
      <c r="M9" s="1479"/>
      <c r="N9" s="29"/>
      <c r="P9" s="26"/>
      <c r="Q9" s="1043" t="s">
        <v>6074</v>
      </c>
      <c r="R9" s="771"/>
      <c r="S9" s="771"/>
      <c r="T9" s="771"/>
      <c r="U9" s="771"/>
      <c r="V9" s="29"/>
    </row>
    <row r="10" spans="2:22">
      <c r="B10" s="26"/>
      <c r="C10" s="28" t="s">
        <v>3663</v>
      </c>
      <c r="D10" s="28"/>
      <c r="E10" s="28"/>
      <c r="F10" s="28"/>
      <c r="G10" s="28"/>
      <c r="H10" s="29"/>
      <c r="J10" s="1327"/>
      <c r="K10" s="512" t="b">
        <v>0</v>
      </c>
      <c r="L10" s="1479"/>
      <c r="M10" s="1479"/>
      <c r="N10" s="29"/>
      <c r="P10" s="26"/>
      <c r="Q10" s="1043" t="s">
        <v>6075</v>
      </c>
      <c r="R10" s="771"/>
      <c r="S10" s="771"/>
      <c r="T10" s="771"/>
      <c r="U10" s="771"/>
      <c r="V10" s="29"/>
    </row>
    <row r="11" spans="2:22">
      <c r="B11" s="26"/>
      <c r="C11" s="28" t="s">
        <v>3664</v>
      </c>
      <c r="D11" s="28"/>
      <c r="E11" s="28"/>
      <c r="F11" s="28"/>
      <c r="G11" s="28"/>
      <c r="H11" s="29"/>
      <c r="J11" s="1327"/>
      <c r="K11" s="512" t="b">
        <v>0</v>
      </c>
      <c r="L11" s="1479"/>
      <c r="M11" s="1479"/>
      <c r="N11" s="29"/>
      <c r="P11" s="26"/>
      <c r="Q11" s="1043" t="s">
        <v>6076</v>
      </c>
      <c r="R11" s="771"/>
      <c r="S11" s="771"/>
      <c r="T11" s="771"/>
      <c r="U11" s="771"/>
      <c r="V11" s="29"/>
    </row>
    <row r="12" spans="2:22">
      <c r="B12" s="26"/>
      <c r="C12" s="28" t="s">
        <v>3665</v>
      </c>
      <c r="D12" s="691"/>
      <c r="E12" s="28"/>
      <c r="F12" s="28"/>
      <c r="G12" s="28"/>
      <c r="H12" s="29"/>
      <c r="J12" s="1327"/>
      <c r="K12" s="512" t="b">
        <v>0</v>
      </c>
      <c r="L12" s="1479"/>
      <c r="M12" s="1479"/>
      <c r="N12" s="29"/>
      <c r="P12" s="26"/>
      <c r="Q12" s="771"/>
      <c r="R12" s="771"/>
      <c r="S12" s="771"/>
      <c r="T12" s="771"/>
      <c r="U12" s="771"/>
      <c r="V12" s="29"/>
    </row>
    <row r="13" spans="2:22">
      <c r="B13" s="26"/>
      <c r="C13" s="691"/>
      <c r="D13" s="691"/>
      <c r="E13" s="28"/>
      <c r="F13" s="28"/>
      <c r="G13" s="28"/>
      <c r="H13" s="29"/>
      <c r="J13" s="1327"/>
      <c r="K13" s="512" t="b">
        <v>0</v>
      </c>
      <c r="L13" s="1479"/>
      <c r="M13" s="1479"/>
      <c r="N13" s="29"/>
      <c r="P13" s="26"/>
      <c r="Q13" s="1362" t="s">
        <v>6885</v>
      </c>
      <c r="R13" s="771"/>
      <c r="S13" s="771"/>
      <c r="T13" s="771"/>
      <c r="U13" s="771"/>
      <c r="V13" s="29"/>
    </row>
    <row r="14" spans="2:22">
      <c r="B14" s="26"/>
      <c r="C14" s="1531" t="s">
        <v>7847</v>
      </c>
      <c r="D14" s="1640"/>
      <c r="E14" s="28"/>
      <c r="F14" s="28"/>
      <c r="G14" s="28"/>
      <c r="H14" s="29"/>
      <c r="J14" s="1327"/>
      <c r="K14" s="512" t="b">
        <v>0</v>
      </c>
      <c r="L14" s="1359" t="s">
        <v>6632</v>
      </c>
      <c r="M14" s="1485">
        <v>8</v>
      </c>
      <c r="N14" s="29"/>
      <c r="P14" s="26"/>
      <c r="Q14" s="1362" t="s">
        <v>6884</v>
      </c>
      <c r="R14" s="771"/>
      <c r="S14" s="771"/>
      <c r="T14" s="771"/>
      <c r="U14" s="771"/>
      <c r="V14" s="29"/>
    </row>
    <row r="15" spans="2:22" s="1371" customFormat="1">
      <c r="B15" s="1327"/>
      <c r="C15" s="1666"/>
      <c r="D15" s="1666"/>
      <c r="E15" s="1370"/>
      <c r="F15" s="1370"/>
      <c r="G15" s="1370"/>
      <c r="H15" s="29"/>
      <c r="J15" s="1327"/>
      <c r="K15" s="512" t="b">
        <v>0</v>
      </c>
      <c r="L15" s="1359"/>
      <c r="M15" s="585"/>
      <c r="N15" s="29"/>
      <c r="P15" s="1327"/>
      <c r="Q15" s="1370"/>
      <c r="R15" s="1370"/>
      <c r="S15" s="1370"/>
      <c r="T15" s="1370"/>
      <c r="U15" s="1370"/>
      <c r="V15" s="29"/>
    </row>
    <row r="16" spans="2:22" s="1420" customFormat="1">
      <c r="B16" s="1327"/>
      <c r="C16" s="1525" t="s">
        <v>6663</v>
      </c>
      <c r="D16" s="1735" t="s">
        <v>8945</v>
      </c>
      <c r="E16" s="1666"/>
      <c r="F16" s="1666"/>
      <c r="G16" s="1413"/>
      <c r="H16" s="29"/>
      <c r="J16" s="1327"/>
      <c r="K16" s="512" t="b">
        <v>0</v>
      </c>
      <c r="L16" s="1359"/>
      <c r="M16" s="585"/>
      <c r="N16" s="29"/>
      <c r="P16" s="1327"/>
      <c r="Q16" s="1652" t="s">
        <v>8799</v>
      </c>
      <c r="R16" s="1413"/>
      <c r="S16" s="1413"/>
      <c r="T16" s="1413"/>
      <c r="U16" s="1413"/>
      <c r="V16" s="29"/>
    </row>
    <row r="17" spans="2:22" s="1506" customFormat="1">
      <c r="B17" s="1327"/>
      <c r="C17" s="749" t="s">
        <v>6663</v>
      </c>
      <c r="D17" s="1735" t="s">
        <v>8942</v>
      </c>
      <c r="E17" s="1666"/>
      <c r="F17" s="1666"/>
      <c r="G17" s="1505"/>
      <c r="H17" s="29"/>
      <c r="J17" s="1327"/>
      <c r="K17" s="1507" t="s">
        <v>7841</v>
      </c>
      <c r="L17" s="1359"/>
      <c r="M17" s="585"/>
      <c r="N17" s="29"/>
      <c r="P17" s="1327"/>
      <c r="Q17" s="1505"/>
      <c r="R17" s="1505"/>
      <c r="S17" s="1505"/>
      <c r="T17" s="1505"/>
      <c r="U17" s="1505"/>
      <c r="V17" s="29"/>
    </row>
    <row r="18" spans="2:22">
      <c r="B18" s="1327"/>
      <c r="C18" s="749" t="s">
        <v>6663</v>
      </c>
      <c r="D18" s="1735" t="s">
        <v>8944</v>
      </c>
      <c r="E18" s="749"/>
      <c r="F18" s="1479"/>
      <c r="G18" s="1479"/>
      <c r="H18" s="29"/>
      <c r="J18" s="1327"/>
      <c r="K18" s="512" t="b">
        <v>0</v>
      </c>
      <c r="L18" s="1359"/>
      <c r="M18" s="1479"/>
      <c r="N18" s="29"/>
      <c r="P18" s="1327"/>
      <c r="Q18" s="1681" t="s">
        <v>8835</v>
      </c>
      <c r="R18" s="1479"/>
      <c r="S18" s="1479"/>
      <c r="T18" s="1479"/>
      <c r="U18" s="1479"/>
      <c r="V18" s="29"/>
    </row>
    <row r="19" spans="2:22" s="1482" customFormat="1">
      <c r="B19" s="1327"/>
      <c r="C19" s="1545" t="s">
        <v>6663</v>
      </c>
      <c r="D19" s="1709" t="s">
        <v>8947</v>
      </c>
      <c r="E19" s="749"/>
      <c r="F19" s="1479"/>
      <c r="G19" s="1479"/>
      <c r="H19" s="29"/>
      <c r="J19" s="1327"/>
      <c r="K19" s="512" t="b">
        <v>0</v>
      </c>
      <c r="L19" s="1359"/>
      <c r="M19" s="1479"/>
      <c r="N19" s="29"/>
      <c r="P19" s="1327"/>
      <c r="Q19" s="1479" t="s">
        <v>8837</v>
      </c>
      <c r="R19" s="1479"/>
      <c r="S19" s="1479"/>
      <c r="T19" s="1479"/>
      <c r="U19" s="1479"/>
      <c r="V19" s="29"/>
    </row>
    <row r="20" spans="2:22" s="1506" customFormat="1">
      <c r="B20" s="1327"/>
      <c r="C20" s="1545" t="s">
        <v>6663</v>
      </c>
      <c r="D20" s="1709" t="s">
        <v>8946</v>
      </c>
      <c r="E20" s="749"/>
      <c r="F20" s="1505"/>
      <c r="G20" s="1505"/>
      <c r="H20" s="29"/>
      <c r="J20" s="1327"/>
      <c r="K20" s="512" t="b">
        <v>1</v>
      </c>
      <c r="L20" s="1359"/>
      <c r="M20" s="1505"/>
      <c r="N20" s="29"/>
      <c r="P20" s="1327"/>
      <c r="Q20" s="1505" t="s">
        <v>8939</v>
      </c>
      <c r="R20" s="1505"/>
      <c r="S20" s="1505"/>
      <c r="T20" s="1505"/>
      <c r="U20" s="1505"/>
      <c r="V20" s="29"/>
    </row>
    <row r="21" spans="2:22" s="1506" customFormat="1">
      <c r="B21" s="1327"/>
      <c r="C21" s="1545" t="s">
        <v>6663</v>
      </c>
      <c r="D21" s="1709" t="s">
        <v>8948</v>
      </c>
      <c r="E21" s="749"/>
      <c r="F21" s="1505"/>
      <c r="G21" s="1505"/>
      <c r="H21" s="29"/>
      <c r="J21" s="1327"/>
      <c r="K21" s="512" t="b">
        <v>0</v>
      </c>
      <c r="L21" s="1359"/>
      <c r="M21" s="1505"/>
      <c r="N21" s="29"/>
      <c r="P21" s="1327"/>
      <c r="Q21" s="1734" t="s">
        <v>8943</v>
      </c>
      <c r="R21" s="1505"/>
      <c r="S21" s="1505"/>
      <c r="T21" s="1505"/>
      <c r="U21" s="1505"/>
      <c r="V21" s="29"/>
    </row>
    <row r="22" spans="2:22" s="1482" customFormat="1" ht="15" thickBot="1">
      <c r="B22" s="32"/>
      <c r="C22" s="1329"/>
      <c r="D22" s="1483"/>
      <c r="E22" s="1483"/>
      <c r="F22" s="1483"/>
      <c r="G22" s="1483"/>
      <c r="H22" s="35"/>
      <c r="J22" s="32"/>
      <c r="K22" s="1061"/>
      <c r="L22" s="1514"/>
      <c r="M22" s="1483"/>
      <c r="N22" s="35"/>
      <c r="P22" s="32"/>
      <c r="Q22" s="1483"/>
      <c r="R22" s="1483"/>
      <c r="S22" s="1483"/>
      <c r="T22" s="1483"/>
      <c r="U22" s="1483"/>
      <c r="V22" s="35"/>
    </row>
    <row r="23" spans="2:22" s="1363" customFormat="1" ht="15" thickBot="1">
      <c r="B23" s="508"/>
      <c r="C23" s="508"/>
      <c r="D23" s="508"/>
      <c r="E23" s="508"/>
      <c r="F23" s="508"/>
      <c r="G23" s="508"/>
      <c r="H23" s="508"/>
      <c r="J23" s="508"/>
      <c r="M23" s="508"/>
      <c r="N23" s="508"/>
      <c r="P23" s="508"/>
      <c r="Q23" s="508"/>
      <c r="R23" s="508"/>
      <c r="S23" s="508"/>
      <c r="T23" s="508"/>
      <c r="U23" s="508"/>
      <c r="V23" s="508"/>
    </row>
    <row r="24" spans="2:22" s="1363" customFormat="1">
      <c r="B24" s="1324"/>
      <c r="C24" s="1325"/>
      <c r="D24" s="1325"/>
      <c r="E24" s="1325"/>
      <c r="F24" s="1325"/>
      <c r="G24" s="1325"/>
      <c r="H24" s="1325"/>
      <c r="I24" s="1325"/>
      <c r="J24" s="1325"/>
      <c r="K24" s="1325"/>
      <c r="L24" s="1326"/>
      <c r="M24" s="508"/>
      <c r="O24" s="508"/>
      <c r="P24" s="508"/>
      <c r="Q24" s="508"/>
      <c r="R24" s="508"/>
      <c r="S24" s="508"/>
      <c r="T24" s="508"/>
      <c r="U24" s="508"/>
    </row>
    <row r="25" spans="2:22" s="1363" customFormat="1">
      <c r="B25" s="1327"/>
      <c r="C25" s="1666"/>
      <c r="D25" s="1479"/>
      <c r="E25" s="1479"/>
      <c r="F25" s="1479"/>
      <c r="G25" s="1479"/>
      <c r="H25" s="1479"/>
      <c r="I25" s="1479"/>
      <c r="J25" s="1479"/>
      <c r="K25" s="1479"/>
      <c r="L25" s="29"/>
      <c r="M25" s="508"/>
      <c r="O25" s="508"/>
      <c r="P25" s="508"/>
      <c r="Q25" s="508"/>
      <c r="R25" s="508"/>
      <c r="S25" s="508"/>
      <c r="T25" s="508"/>
      <c r="U25" s="508"/>
    </row>
    <row r="26" spans="2:22" s="1363" customFormat="1" ht="21">
      <c r="B26" s="1327"/>
      <c r="C26" s="1481" t="s">
        <v>7527</v>
      </c>
      <c r="D26" s="1479"/>
      <c r="E26" s="1479"/>
      <c r="F26" s="1479"/>
      <c r="G26" s="1479"/>
      <c r="H26" s="1479"/>
      <c r="I26" s="1479"/>
      <c r="J26" s="1479"/>
      <c r="K26" s="1479"/>
      <c r="L26" s="29"/>
      <c r="M26" s="508"/>
      <c r="O26" s="508"/>
      <c r="P26" s="508"/>
      <c r="Q26" s="508"/>
      <c r="R26" s="508"/>
      <c r="S26" s="508"/>
      <c r="T26" s="508"/>
      <c r="U26" s="508"/>
    </row>
    <row r="27" spans="2:22" s="1363" customFormat="1">
      <c r="B27" s="1327"/>
      <c r="C27" s="1479" t="s">
        <v>6883</v>
      </c>
      <c r="D27" s="1479"/>
      <c r="E27" s="1479"/>
      <c r="F27" s="1479"/>
      <c r="G27" s="1479"/>
      <c r="H27" s="1479"/>
      <c r="I27" s="1479"/>
      <c r="J27" s="1479"/>
      <c r="K27" s="1479"/>
      <c r="L27" s="29"/>
      <c r="M27" s="508"/>
      <c r="O27" s="508"/>
      <c r="P27" s="508"/>
      <c r="Q27" s="508"/>
      <c r="R27" s="508"/>
      <c r="S27" s="508"/>
      <c r="T27" s="508"/>
      <c r="U27" s="508"/>
    </row>
    <row r="28" spans="2:22" s="1363" customFormat="1">
      <c r="B28" s="1327"/>
      <c r="C28" s="1480" t="s">
        <v>6887</v>
      </c>
      <c r="D28" s="1480" t="s">
        <v>6888</v>
      </c>
      <c r="E28" s="1480" t="s">
        <v>6889</v>
      </c>
      <c r="F28" s="1480"/>
      <c r="G28" s="1480"/>
      <c r="H28" s="1480"/>
      <c r="I28" s="1480"/>
      <c r="J28" s="1480"/>
      <c r="K28" s="1480" t="s">
        <v>6890</v>
      </c>
      <c r="L28" s="29"/>
      <c r="M28" s="508"/>
      <c r="O28" s="508"/>
      <c r="P28" s="508"/>
      <c r="Q28" s="508"/>
      <c r="R28" s="508"/>
      <c r="S28" s="508"/>
      <c r="T28" s="508"/>
      <c r="U28" s="508"/>
    </row>
    <row r="29" spans="2:22" s="1363" customFormat="1">
      <c r="B29" s="1327"/>
      <c r="C29" s="1479" t="s">
        <v>6973</v>
      </c>
      <c r="D29" s="1479" t="s">
        <v>6885</v>
      </c>
      <c r="E29" s="1366" t="s">
        <v>6886</v>
      </c>
      <c r="F29" s="1479"/>
      <c r="G29" s="1479"/>
      <c r="H29" s="1479"/>
      <c r="I29" s="1479"/>
      <c r="J29" s="1479"/>
      <c r="K29" s="1479" t="s">
        <v>6891</v>
      </c>
      <c r="L29" s="29"/>
      <c r="M29" s="508"/>
      <c r="O29" s="508"/>
      <c r="P29" s="508"/>
      <c r="Q29" s="508"/>
      <c r="R29" s="508"/>
      <c r="S29" s="508"/>
      <c r="T29" s="508"/>
      <c r="U29" s="508"/>
    </row>
    <row r="30" spans="2:22" s="1363" customFormat="1">
      <c r="B30" s="1327"/>
      <c r="C30" s="1479" t="s">
        <v>6974</v>
      </c>
      <c r="D30" s="1479" t="s">
        <v>6884</v>
      </c>
      <c r="E30" s="1366" t="s">
        <v>6893</v>
      </c>
      <c r="F30" s="1479"/>
      <c r="G30" s="1479"/>
      <c r="H30" s="1479"/>
      <c r="I30" s="1479"/>
      <c r="J30" s="1479"/>
      <c r="K30" s="1479" t="s">
        <v>6892</v>
      </c>
      <c r="L30" s="29"/>
      <c r="M30" s="508"/>
      <c r="O30" s="508"/>
      <c r="P30" s="508"/>
      <c r="Q30" s="508"/>
      <c r="R30" s="508"/>
      <c r="S30" s="508"/>
      <c r="T30" s="508"/>
      <c r="U30" s="508"/>
    </row>
    <row r="31" spans="2:22" s="1363" customFormat="1" ht="15" thickBot="1">
      <c r="B31" s="32"/>
      <c r="C31" s="1483"/>
      <c r="D31" s="1483"/>
      <c r="E31" s="1483"/>
      <c r="F31" s="1483"/>
      <c r="G31" s="1483"/>
      <c r="H31" s="1483"/>
      <c r="I31" s="1483"/>
      <c r="J31" s="1483"/>
      <c r="K31" s="1483"/>
      <c r="L31" s="35"/>
      <c r="M31" s="508"/>
      <c r="O31" s="508"/>
      <c r="P31" s="508"/>
      <c r="Q31" s="508"/>
      <c r="R31" s="508"/>
      <c r="S31" s="508"/>
      <c r="T31" s="508"/>
      <c r="U31" s="508"/>
    </row>
    <row r="32" spans="2:22" ht="15" thickBot="1"/>
    <row r="33" spans="1:22">
      <c r="B33" s="22"/>
      <c r="C33" s="1325"/>
      <c r="D33" s="23"/>
      <c r="E33" s="23"/>
      <c r="F33" s="23"/>
      <c r="G33" s="23"/>
      <c r="H33" s="25"/>
      <c r="J33" s="674"/>
      <c r="K33" s="675"/>
      <c r="L33" s="675"/>
      <c r="M33" s="675"/>
      <c r="N33" s="676"/>
      <c r="P33" s="674"/>
      <c r="Q33" s="675"/>
      <c r="R33" s="675"/>
      <c r="S33" s="675"/>
      <c r="T33" s="675"/>
      <c r="U33" s="675"/>
      <c r="V33" s="676"/>
    </row>
    <row r="34" spans="1:22" ht="21">
      <c r="B34" s="26"/>
      <c r="C34" s="513" t="s">
        <v>3666</v>
      </c>
      <c r="D34" s="75"/>
      <c r="E34" s="75"/>
      <c r="F34" s="75"/>
      <c r="G34" s="75"/>
      <c r="H34" s="29"/>
      <c r="J34" s="677"/>
      <c r="K34" s="730" t="s">
        <v>4113</v>
      </c>
      <c r="L34" s="672"/>
      <c r="M34" s="672"/>
      <c r="N34" s="679"/>
      <c r="P34" s="677"/>
      <c r="Q34" s="730" t="s">
        <v>4112</v>
      </c>
      <c r="R34" s="672"/>
      <c r="S34" s="672"/>
      <c r="T34" s="672"/>
      <c r="U34" s="672"/>
      <c r="V34" s="679"/>
    </row>
    <row r="35" spans="1:22">
      <c r="B35" s="1327"/>
      <c r="C35" s="1714"/>
      <c r="D35" s="1713"/>
      <c r="E35" s="1713"/>
      <c r="F35" s="1713"/>
      <c r="G35" s="1713"/>
      <c r="H35" s="29"/>
      <c r="J35" s="677"/>
      <c r="K35" s="678"/>
      <c r="L35" s="678"/>
      <c r="M35" s="678"/>
      <c r="N35" s="679"/>
      <c r="P35" s="677"/>
      <c r="Q35" s="678"/>
      <c r="R35" s="678"/>
      <c r="S35" s="678"/>
      <c r="T35" s="678"/>
      <c r="U35" s="678"/>
      <c r="V35" s="679"/>
    </row>
    <row r="36" spans="1:22" s="1457" customFormat="1">
      <c r="B36" s="1327"/>
      <c r="C36" s="1736" t="s">
        <v>8941</v>
      </c>
      <c r="D36" s="1735"/>
      <c r="E36" s="1735"/>
      <c r="F36" s="1735"/>
      <c r="G36" s="1735"/>
      <c r="H36" s="29"/>
      <c r="J36" s="1340"/>
      <c r="K36" s="729" t="s">
        <v>4121</v>
      </c>
      <c r="L36" s="729"/>
      <c r="M36" s="729" t="s">
        <v>4105</v>
      </c>
      <c r="N36" s="679"/>
      <c r="P36" s="1340"/>
      <c r="Q36" s="1672" t="s">
        <v>8815</v>
      </c>
      <c r="R36" s="678"/>
      <c r="S36" s="678"/>
      <c r="T36" s="678"/>
      <c r="U36" s="678"/>
      <c r="V36" s="679"/>
    </row>
    <row r="37" spans="1:22" s="1457" customFormat="1">
      <c r="B37" s="1327"/>
      <c r="C37" s="1709" t="s">
        <v>8936</v>
      </c>
      <c r="D37" s="1735"/>
      <c r="E37" s="1735"/>
      <c r="F37" s="1735"/>
      <c r="G37" s="1735"/>
      <c r="H37" s="29"/>
      <c r="J37" s="1340"/>
      <c r="K37" s="1007" t="s">
        <v>6067</v>
      </c>
      <c r="L37" s="1007"/>
      <c r="M37" s="1007" t="s">
        <v>4107</v>
      </c>
      <c r="N37" s="679"/>
      <c r="P37" s="1340"/>
      <c r="Q37" s="1672" t="s">
        <v>8804</v>
      </c>
      <c r="R37" s="678"/>
      <c r="S37" s="678"/>
      <c r="T37" s="678"/>
      <c r="U37" s="678"/>
      <c r="V37" s="679"/>
    </row>
    <row r="38" spans="1:22" s="1457" customFormat="1">
      <c r="A38" s="1410"/>
      <c r="B38" s="1327"/>
      <c r="C38" s="1709" t="s">
        <v>8938</v>
      </c>
      <c r="D38" s="1735"/>
      <c r="E38" s="1735"/>
      <c r="F38" s="1735"/>
      <c r="G38" s="1735"/>
      <c r="H38" s="29"/>
      <c r="J38" s="1340"/>
      <c r="K38" s="678" t="s">
        <v>4212</v>
      </c>
      <c r="L38" s="678"/>
      <c r="M38" s="678" t="s">
        <v>4107</v>
      </c>
      <c r="N38" s="679"/>
      <c r="P38" s="1340"/>
      <c r="Q38" s="1672" t="s">
        <v>4475</v>
      </c>
      <c r="R38" s="678"/>
      <c r="S38" s="678"/>
      <c r="T38" s="678"/>
      <c r="U38" s="678"/>
      <c r="V38" s="679"/>
    </row>
    <row r="39" spans="1:22" s="1457" customFormat="1">
      <c r="A39" s="1410"/>
      <c r="B39" s="1327"/>
      <c r="C39" s="1709" t="s">
        <v>8940</v>
      </c>
      <c r="D39" s="1735"/>
      <c r="E39" s="1735"/>
      <c r="F39" s="1735"/>
      <c r="G39" s="1735"/>
      <c r="H39" s="29"/>
      <c r="J39" s="1340"/>
      <c r="K39" s="678" t="s">
        <v>4374</v>
      </c>
      <c r="L39" s="678"/>
      <c r="M39" s="678" t="s">
        <v>4107</v>
      </c>
      <c r="N39" s="679"/>
      <c r="P39" s="1340"/>
      <c r="Q39" s="893" t="s">
        <v>6188</v>
      </c>
      <c r="R39" s="678"/>
      <c r="S39" s="678"/>
      <c r="T39" s="678"/>
      <c r="U39" s="678"/>
      <c r="V39" s="679"/>
    </row>
    <row r="40" spans="1:22" s="1410" customFormat="1">
      <c r="B40" s="1327"/>
      <c r="C40" s="1736"/>
      <c r="D40" s="1735"/>
      <c r="E40" s="1735"/>
      <c r="F40" s="1735"/>
      <c r="G40" s="1735"/>
      <c r="H40" s="29"/>
      <c r="J40" s="1340"/>
      <c r="K40" s="678" t="s">
        <v>4544</v>
      </c>
      <c r="L40" s="678"/>
      <c r="M40" s="678" t="s">
        <v>4107</v>
      </c>
      <c r="N40" s="679"/>
      <c r="P40" s="1340"/>
      <c r="Q40" s="893" t="s">
        <v>4357</v>
      </c>
      <c r="R40" s="678"/>
      <c r="S40" s="678"/>
      <c r="T40" s="678"/>
      <c r="U40" s="678"/>
      <c r="V40" s="679"/>
    </row>
    <row r="41" spans="1:22" s="1410" customFormat="1">
      <c r="B41" s="1327"/>
      <c r="C41" s="1733" t="s">
        <v>8935</v>
      </c>
      <c r="D41" s="1732"/>
      <c r="E41" s="1732"/>
      <c r="F41" s="1732"/>
      <c r="G41" s="1732"/>
      <c r="H41" s="29"/>
      <c r="J41" s="1340"/>
      <c r="K41" s="678" t="s">
        <v>4531</v>
      </c>
      <c r="L41" s="678"/>
      <c r="M41" s="678" t="s">
        <v>4107</v>
      </c>
      <c r="N41" s="679"/>
      <c r="P41" s="1340"/>
      <c r="Q41" s="893" t="s">
        <v>4718</v>
      </c>
      <c r="R41" s="678"/>
      <c r="S41" s="678"/>
      <c r="T41" s="678"/>
      <c r="U41" s="678"/>
      <c r="V41" s="679"/>
    </row>
    <row r="42" spans="1:22" s="1410" customFormat="1">
      <c r="B42" s="1327"/>
      <c r="C42" s="1732" t="s">
        <v>8920</v>
      </c>
      <c r="D42" s="1732"/>
      <c r="E42" s="1732"/>
      <c r="F42" s="1732"/>
      <c r="G42" s="1732"/>
      <c r="H42" s="29"/>
      <c r="J42" s="1340"/>
      <c r="K42" s="678" t="s">
        <v>5960</v>
      </c>
      <c r="L42" s="678"/>
      <c r="M42" s="678" t="s">
        <v>4107</v>
      </c>
      <c r="N42" s="679"/>
      <c r="P42" s="1340"/>
      <c r="Q42" s="893" t="s">
        <v>4115</v>
      </c>
      <c r="R42" s="678"/>
      <c r="S42" s="678"/>
      <c r="T42" s="678"/>
      <c r="U42" s="678"/>
      <c r="V42" s="679"/>
    </row>
    <row r="43" spans="1:22" s="1410" customFormat="1">
      <c r="A43" s="1363"/>
      <c r="B43" s="1327"/>
      <c r="C43" s="1732" t="s">
        <v>8921</v>
      </c>
      <c r="D43" s="1732"/>
      <c r="E43" s="1732"/>
      <c r="F43" s="1732"/>
      <c r="G43" s="1732"/>
      <c r="H43" s="29"/>
      <c r="J43" s="1340"/>
      <c r="K43" s="678" t="s">
        <v>4474</v>
      </c>
      <c r="L43" s="678"/>
      <c r="M43" s="678" t="s">
        <v>4107</v>
      </c>
      <c r="N43" s="679"/>
      <c r="P43" s="1340"/>
      <c r="Q43" s="893" t="s">
        <v>5782</v>
      </c>
      <c r="R43" s="678"/>
      <c r="S43" s="678"/>
      <c r="T43" s="678"/>
      <c r="U43" s="678"/>
      <c r="V43" s="679"/>
    </row>
    <row r="44" spans="1:22" s="1410" customFormat="1">
      <c r="A44" s="1363"/>
      <c r="B44" s="1327"/>
      <c r="C44" s="1732" t="s">
        <v>8922</v>
      </c>
      <c r="D44" s="1732"/>
      <c r="E44" s="1732"/>
      <c r="F44" s="1732"/>
      <c r="G44" s="1732"/>
      <c r="H44" s="29"/>
      <c r="J44" s="1340"/>
      <c r="K44" s="1007" t="s">
        <v>6008</v>
      </c>
      <c r="L44" s="1007"/>
      <c r="M44" s="678" t="s">
        <v>4107</v>
      </c>
      <c r="N44" s="679"/>
      <c r="P44" s="1340"/>
      <c r="Q44" s="893" t="s">
        <v>5718</v>
      </c>
      <c r="R44" s="678"/>
      <c r="S44" s="678"/>
      <c r="T44" s="678"/>
      <c r="U44" s="678"/>
      <c r="V44" s="679"/>
    </row>
    <row r="45" spans="1:22" s="1410" customFormat="1">
      <c r="A45" s="1363"/>
      <c r="B45" s="1327"/>
      <c r="C45" s="1732" t="s">
        <v>8930</v>
      </c>
      <c r="D45" s="1732"/>
      <c r="E45" s="1732"/>
      <c r="F45" s="1732"/>
      <c r="G45" s="1732"/>
      <c r="H45" s="29"/>
      <c r="J45" s="1340"/>
      <c r="K45" s="678" t="s">
        <v>6128</v>
      </c>
      <c r="L45" s="729"/>
      <c r="M45" s="678" t="s">
        <v>4107</v>
      </c>
      <c r="N45" s="679"/>
      <c r="P45" s="1340"/>
      <c r="Q45" s="893" t="s">
        <v>6636</v>
      </c>
      <c r="R45" s="678"/>
      <c r="S45" s="678"/>
      <c r="T45" s="678"/>
      <c r="U45" s="678"/>
      <c r="V45" s="679"/>
    </row>
    <row r="46" spans="1:22" s="1363" customFormat="1">
      <c r="B46" s="1327"/>
      <c r="C46" s="1732" t="s">
        <v>8931</v>
      </c>
      <c r="D46" s="1732"/>
      <c r="E46" s="1732"/>
      <c r="F46" s="1732"/>
      <c r="G46" s="1732"/>
      <c r="H46" s="29"/>
      <c r="J46" s="1340"/>
      <c r="K46" s="1007" t="s">
        <v>4643</v>
      </c>
      <c r="L46" s="1007"/>
      <c r="M46" s="1007" t="s">
        <v>4107</v>
      </c>
      <c r="N46" s="679"/>
      <c r="P46" s="1340"/>
      <c r="Q46" s="893" t="s">
        <v>6604</v>
      </c>
      <c r="R46" s="678"/>
      <c r="S46" s="678"/>
      <c r="T46" s="678"/>
      <c r="U46" s="678"/>
      <c r="V46" s="679"/>
    </row>
    <row r="47" spans="1:22" s="1363" customFormat="1">
      <c r="A47" s="869"/>
      <c r="B47" s="1327"/>
      <c r="C47" s="1732" t="s">
        <v>8933</v>
      </c>
      <c r="D47" s="1732"/>
      <c r="E47" s="1732"/>
      <c r="F47" s="1732"/>
      <c r="G47" s="1732"/>
      <c r="H47" s="29"/>
      <c r="J47" s="1340"/>
      <c r="K47" s="678" t="s">
        <v>5780</v>
      </c>
      <c r="L47" s="678"/>
      <c r="M47" s="678" t="s">
        <v>4107</v>
      </c>
      <c r="N47" s="679"/>
      <c r="P47" s="1340"/>
      <c r="Q47" s="893" t="s">
        <v>6653</v>
      </c>
      <c r="R47" s="678"/>
      <c r="S47" s="678"/>
      <c r="T47" s="678"/>
      <c r="U47" s="678"/>
      <c r="V47" s="679"/>
    </row>
    <row r="48" spans="1:22" s="1363" customFormat="1">
      <c r="A48" s="1357"/>
      <c r="B48" s="1327"/>
      <c r="C48" s="1732" t="s">
        <v>8934</v>
      </c>
      <c r="D48" s="1732"/>
      <c r="E48" s="1732"/>
      <c r="F48" s="1732"/>
      <c r="G48" s="1732"/>
      <c r="H48" s="29"/>
      <c r="J48" s="1340"/>
      <c r="K48" s="678" t="s">
        <v>6112</v>
      </c>
      <c r="L48" s="729"/>
      <c r="M48" s="678" t="s">
        <v>4107</v>
      </c>
      <c r="N48" s="679"/>
      <c r="P48" s="1340"/>
      <c r="Q48" s="893" t="s">
        <v>4507</v>
      </c>
      <c r="R48" s="678"/>
      <c r="S48" s="678"/>
      <c r="T48" s="678"/>
      <c r="U48" s="678"/>
      <c r="V48" s="679"/>
    </row>
    <row r="49" spans="1:22" s="1363" customFormat="1">
      <c r="A49" s="1357"/>
      <c r="B49" s="1327"/>
      <c r="C49" s="749" t="s">
        <v>8937</v>
      </c>
      <c r="D49" s="1732"/>
      <c r="E49" s="1732"/>
      <c r="F49" s="1732"/>
      <c r="G49" s="1732"/>
      <c r="H49" s="29"/>
      <c r="J49" s="1340"/>
      <c r="K49" s="678" t="s">
        <v>4378</v>
      </c>
      <c r="L49" s="678"/>
      <c r="M49" s="678" t="s">
        <v>4107</v>
      </c>
      <c r="N49" s="679"/>
      <c r="P49" s="1340"/>
      <c r="Q49" s="893" t="s">
        <v>6094</v>
      </c>
      <c r="R49" s="678"/>
      <c r="S49" s="678"/>
      <c r="T49" s="678"/>
      <c r="U49" s="678"/>
      <c r="V49" s="679"/>
    </row>
    <row r="50" spans="1:22" s="869" customFormat="1">
      <c r="A50" s="1357"/>
      <c r="B50" s="1327"/>
      <c r="C50" s="1733"/>
      <c r="D50" s="1732"/>
      <c r="E50" s="1732"/>
      <c r="F50" s="1732"/>
      <c r="G50" s="1732"/>
      <c r="H50" s="29"/>
      <c r="J50" s="677"/>
      <c r="K50" s="678" t="s">
        <v>4198</v>
      </c>
      <c r="L50" s="678"/>
      <c r="M50" s="678" t="s">
        <v>4107</v>
      </c>
      <c r="N50" s="679"/>
      <c r="P50" s="677"/>
      <c r="Q50" s="893" t="s">
        <v>6081</v>
      </c>
      <c r="R50" s="893"/>
      <c r="S50" s="893"/>
      <c r="T50" s="893"/>
      <c r="U50" s="893"/>
      <c r="V50" s="679"/>
    </row>
    <row r="51" spans="1:22" s="1357" customFormat="1">
      <c r="B51" s="1327"/>
      <c r="C51" s="1729" t="s">
        <v>8919</v>
      </c>
      <c r="D51" s="1728"/>
      <c r="E51" s="1728"/>
      <c r="F51" s="1728"/>
      <c r="G51" s="1728"/>
      <c r="H51" s="29"/>
      <c r="J51" s="1340"/>
      <c r="K51" s="678" t="s">
        <v>4379</v>
      </c>
      <c r="L51" s="678"/>
      <c r="M51" s="678" t="s">
        <v>4107</v>
      </c>
      <c r="N51" s="679"/>
      <c r="P51" s="1340"/>
      <c r="Q51" s="893" t="s">
        <v>4195</v>
      </c>
      <c r="R51" s="893"/>
      <c r="S51" s="893"/>
      <c r="T51" s="893"/>
      <c r="U51" s="893"/>
      <c r="V51" s="679"/>
    </row>
    <row r="52" spans="1:22" s="1357" customFormat="1">
      <c r="B52" s="1327"/>
      <c r="C52" s="1728" t="s">
        <v>8913</v>
      </c>
      <c r="D52" s="1728"/>
      <c r="E52" s="1728"/>
      <c r="F52" s="1728"/>
      <c r="G52" s="1728"/>
      <c r="H52" s="29"/>
      <c r="J52" s="1340"/>
      <c r="K52" s="678" t="s">
        <v>5779</v>
      </c>
      <c r="L52" s="678"/>
      <c r="M52" s="678" t="s">
        <v>4107</v>
      </c>
      <c r="N52" s="679"/>
      <c r="P52" s="1340"/>
      <c r="Q52" s="893" t="s">
        <v>6096</v>
      </c>
      <c r="R52" s="893"/>
      <c r="S52" s="893"/>
      <c r="T52" s="893"/>
      <c r="U52" s="893"/>
      <c r="V52" s="679"/>
    </row>
    <row r="53" spans="1:22" s="1357" customFormat="1">
      <c r="B53" s="1327"/>
      <c r="C53" s="1728" t="s">
        <v>8915</v>
      </c>
      <c r="D53" s="1728"/>
      <c r="E53" s="1728"/>
      <c r="F53" s="1728"/>
      <c r="G53" s="1728"/>
      <c r="H53" s="29"/>
      <c r="J53" s="1340"/>
      <c r="K53" s="678" t="s">
        <v>4192</v>
      </c>
      <c r="L53" s="678"/>
      <c r="M53" s="678" t="s">
        <v>4107</v>
      </c>
      <c r="N53" s="679"/>
      <c r="P53" s="1340"/>
      <c r="Q53" s="893" t="s">
        <v>4127</v>
      </c>
      <c r="R53" s="893"/>
      <c r="S53" s="893"/>
      <c r="T53" s="893"/>
      <c r="U53" s="893"/>
      <c r="V53" s="679"/>
    </row>
    <row r="54" spans="1:22" s="1357" customFormat="1">
      <c r="B54" s="1327"/>
      <c r="C54" s="1728"/>
      <c r="D54" s="1728"/>
      <c r="E54" s="1728"/>
      <c r="F54" s="1728"/>
      <c r="G54" s="1728"/>
      <c r="H54" s="29"/>
      <c r="J54" s="1340"/>
      <c r="K54" s="678" t="s">
        <v>4199</v>
      </c>
      <c r="L54" s="678"/>
      <c r="M54" s="678" t="s">
        <v>4107</v>
      </c>
      <c r="N54" s="679"/>
      <c r="P54" s="1340"/>
      <c r="Q54" s="893" t="s">
        <v>4123</v>
      </c>
      <c r="R54" s="893"/>
      <c r="S54" s="893"/>
      <c r="T54" s="893"/>
      <c r="U54" s="893"/>
      <c r="V54" s="679"/>
    </row>
    <row r="55" spans="1:22" s="1357" customFormat="1">
      <c r="A55" s="1346"/>
      <c r="B55" s="1327"/>
      <c r="C55" s="1727" t="s">
        <v>8912</v>
      </c>
      <c r="D55" s="1726"/>
      <c r="E55" s="1726"/>
      <c r="F55" s="1726"/>
      <c r="G55" s="1726"/>
      <c r="H55" s="29"/>
      <c r="J55" s="1340"/>
      <c r="K55" s="678" t="s">
        <v>4200</v>
      </c>
      <c r="L55" s="678"/>
      <c r="M55" s="678" t="s">
        <v>4107</v>
      </c>
      <c r="N55" s="679"/>
      <c r="P55" s="1340"/>
      <c r="Q55" s="1272" t="s">
        <v>6628</v>
      </c>
      <c r="R55" s="893"/>
      <c r="S55" s="893"/>
      <c r="T55" s="893"/>
      <c r="U55" s="893"/>
      <c r="V55" s="679"/>
    </row>
    <row r="56" spans="1:22" s="1357" customFormat="1">
      <c r="A56" s="1346"/>
      <c r="B56" s="1327"/>
      <c r="C56" s="1726" t="s">
        <v>8906</v>
      </c>
      <c r="D56" s="1726"/>
      <c r="E56" s="1726"/>
      <c r="F56" s="1726"/>
      <c r="G56" s="1726"/>
      <c r="H56" s="29"/>
      <c r="J56" s="1340"/>
      <c r="K56" s="1007" t="s">
        <v>6634</v>
      </c>
      <c r="L56" s="1007"/>
      <c r="M56" s="1007" t="s">
        <v>4107</v>
      </c>
      <c r="N56" s="679"/>
      <c r="P56" s="1340"/>
      <c r="Q56" s="893" t="s">
        <v>6093</v>
      </c>
      <c r="R56" s="893"/>
      <c r="S56" s="893"/>
      <c r="T56" s="893"/>
      <c r="U56" s="893"/>
      <c r="V56" s="679"/>
    </row>
    <row r="57" spans="1:22" s="1357" customFormat="1">
      <c r="A57" s="1346"/>
      <c r="B57" s="1327"/>
      <c r="C57" s="1726" t="s">
        <v>8907</v>
      </c>
      <c r="D57" s="1726"/>
      <c r="E57" s="1726"/>
      <c r="F57" s="1726"/>
      <c r="G57" s="1726"/>
      <c r="H57" s="29"/>
      <c r="J57" s="1340"/>
      <c r="K57" s="1365" t="s">
        <v>5817</v>
      </c>
      <c r="L57" s="1365"/>
      <c r="M57" s="1365" t="s">
        <v>4107</v>
      </c>
      <c r="N57" s="679"/>
      <c r="P57" s="1340"/>
      <c r="Q57" s="893" t="s">
        <v>6117</v>
      </c>
      <c r="R57" s="893"/>
      <c r="S57" s="893"/>
      <c r="T57" s="893"/>
      <c r="U57" s="893"/>
      <c r="V57" s="679"/>
    </row>
    <row r="58" spans="1:22" s="1346" customFormat="1">
      <c r="B58" s="1327"/>
      <c r="C58" s="1726" t="s">
        <v>8908</v>
      </c>
      <c r="D58" s="1726"/>
      <c r="E58" s="1726"/>
      <c r="F58" s="1726"/>
      <c r="G58" s="1726"/>
      <c r="H58" s="29"/>
      <c r="J58" s="1340"/>
      <c r="K58" s="678" t="s">
        <v>4356</v>
      </c>
      <c r="L58" s="678"/>
      <c r="M58" s="678" t="s">
        <v>4107</v>
      </c>
      <c r="N58" s="679"/>
      <c r="P58" s="1340"/>
      <c r="Q58" s="893" t="s">
        <v>4506</v>
      </c>
      <c r="R58" s="893"/>
      <c r="S58" s="893"/>
      <c r="T58" s="893"/>
      <c r="U58" s="893"/>
      <c r="V58" s="679"/>
    </row>
    <row r="59" spans="1:22" s="1346" customFormat="1">
      <c r="B59" s="1327"/>
      <c r="C59" s="1726" t="s">
        <v>8909</v>
      </c>
      <c r="D59" s="1726"/>
      <c r="E59" s="1726"/>
      <c r="F59" s="1726"/>
      <c r="G59" s="1726"/>
      <c r="H59" s="29"/>
      <c r="J59" s="1340"/>
      <c r="K59" s="678" t="s">
        <v>4383</v>
      </c>
      <c r="L59" s="678"/>
      <c r="M59" s="678" t="s">
        <v>4107</v>
      </c>
      <c r="N59" s="679"/>
      <c r="P59" s="1340"/>
      <c r="Q59" s="893" t="s">
        <v>6607</v>
      </c>
      <c r="R59" s="893"/>
      <c r="S59" s="893"/>
      <c r="T59" s="893"/>
      <c r="U59" s="893"/>
      <c r="V59" s="679"/>
    </row>
    <row r="60" spans="1:22" s="1346" customFormat="1">
      <c r="B60" s="1327"/>
      <c r="C60" s="1726" t="s">
        <v>8910</v>
      </c>
      <c r="D60" s="1726"/>
      <c r="E60" s="1726"/>
      <c r="F60" s="1726"/>
      <c r="G60" s="1726"/>
      <c r="H60" s="29"/>
      <c r="J60" s="1340"/>
      <c r="K60" s="678" t="s">
        <v>5827</v>
      </c>
      <c r="L60" s="678"/>
      <c r="M60" s="678" t="s">
        <v>4107</v>
      </c>
      <c r="N60" s="679"/>
      <c r="P60" s="1340"/>
      <c r="Q60" s="893" t="s">
        <v>6635</v>
      </c>
      <c r="R60" s="893"/>
      <c r="S60" s="893"/>
      <c r="T60" s="893"/>
      <c r="U60" s="893"/>
      <c r="V60" s="679"/>
    </row>
    <row r="61" spans="1:22" s="1346" customFormat="1">
      <c r="B61" s="1327"/>
      <c r="C61" s="1726" t="s">
        <v>8911</v>
      </c>
      <c r="D61" s="1726"/>
      <c r="E61" s="1726"/>
      <c r="F61" s="1726"/>
      <c r="G61" s="1726"/>
      <c r="H61" s="29"/>
      <c r="J61" s="1340"/>
      <c r="K61" s="678" t="s">
        <v>5781</v>
      </c>
      <c r="L61" s="678"/>
      <c r="M61" s="678" t="s">
        <v>4107</v>
      </c>
      <c r="N61" s="679"/>
      <c r="P61" s="1340"/>
      <c r="Q61" s="893" t="s">
        <v>4716</v>
      </c>
      <c r="R61" s="893"/>
      <c r="S61" s="893"/>
      <c r="T61" s="893"/>
      <c r="U61" s="893"/>
      <c r="V61" s="679"/>
    </row>
    <row r="62" spans="1:22" s="1346" customFormat="1">
      <c r="A62" s="1316"/>
      <c r="B62" s="1327"/>
      <c r="C62" s="1727"/>
      <c r="D62" s="1726"/>
      <c r="E62" s="1726"/>
      <c r="F62" s="1726"/>
      <c r="G62" s="1726"/>
      <c r="H62" s="29"/>
      <c r="J62" s="1340"/>
      <c r="K62" s="678" t="s">
        <v>6066</v>
      </c>
      <c r="L62" s="678"/>
      <c r="M62" s="678" t="s">
        <v>4107</v>
      </c>
      <c r="N62" s="679"/>
      <c r="P62" s="1340"/>
      <c r="Q62" s="893" t="s">
        <v>4118</v>
      </c>
      <c r="R62" s="893"/>
      <c r="S62" s="893"/>
      <c r="T62" s="893"/>
      <c r="U62" s="893"/>
      <c r="V62" s="679"/>
    </row>
    <row r="63" spans="1:22" s="1346" customFormat="1">
      <c r="A63" s="1316"/>
      <c r="B63" s="1327"/>
      <c r="C63" s="1723" t="s">
        <v>8905</v>
      </c>
      <c r="D63" s="1722"/>
      <c r="E63" s="1722"/>
      <c r="F63" s="1722"/>
      <c r="G63" s="1722"/>
      <c r="H63" s="29"/>
      <c r="J63" s="1340"/>
      <c r="K63" s="678" t="s">
        <v>4382</v>
      </c>
      <c r="L63" s="678"/>
      <c r="M63" s="678" t="s">
        <v>4107</v>
      </c>
      <c r="N63" s="679"/>
      <c r="P63" s="1340"/>
      <c r="Q63" s="893" t="s">
        <v>6654</v>
      </c>
      <c r="R63" s="893"/>
      <c r="S63" s="893"/>
      <c r="T63" s="893"/>
      <c r="U63" s="893"/>
      <c r="V63" s="679"/>
    </row>
    <row r="64" spans="1:22" s="1346" customFormat="1">
      <c r="A64" s="1316"/>
      <c r="B64" s="1327"/>
      <c r="C64" s="1722" t="s">
        <v>8903</v>
      </c>
      <c r="D64" s="1722"/>
      <c r="E64" s="1722"/>
      <c r="F64" s="1722"/>
      <c r="G64" s="1722"/>
      <c r="H64" s="29"/>
      <c r="J64" s="1340"/>
      <c r="K64" s="1007" t="s">
        <v>6160</v>
      </c>
      <c r="L64" s="1007"/>
      <c r="M64" s="1007" t="s">
        <v>4120</v>
      </c>
      <c r="N64" s="679"/>
      <c r="P64" s="1340"/>
      <c r="Q64" s="1272" t="s">
        <v>6622</v>
      </c>
      <c r="R64" s="893"/>
      <c r="S64" s="893"/>
      <c r="T64" s="893"/>
      <c r="U64" s="893"/>
      <c r="V64" s="679"/>
    </row>
    <row r="65" spans="1:22" s="1316" customFormat="1">
      <c r="B65" s="1327"/>
      <c r="C65" s="1722" t="s">
        <v>8897</v>
      </c>
      <c r="D65" s="1722"/>
      <c r="E65" s="1722"/>
      <c r="F65" s="1722"/>
      <c r="G65" s="1722"/>
      <c r="H65" s="29"/>
      <c r="J65" s="1340"/>
      <c r="K65" s="1007" t="s">
        <v>6009</v>
      </c>
      <c r="L65" s="1007"/>
      <c r="M65" s="1007" t="s">
        <v>4120</v>
      </c>
      <c r="N65" s="679"/>
      <c r="P65" s="1340"/>
      <c r="Q65" s="893" t="s">
        <v>6651</v>
      </c>
      <c r="R65" s="893"/>
      <c r="S65" s="893"/>
      <c r="T65" s="893"/>
      <c r="U65" s="893"/>
      <c r="V65" s="679"/>
    </row>
    <row r="66" spans="1:22" s="1316" customFormat="1">
      <c r="B66" s="1327"/>
      <c r="C66" s="1722" t="s">
        <v>8898</v>
      </c>
      <c r="D66" s="1722"/>
      <c r="E66" s="1722"/>
      <c r="F66" s="1722"/>
      <c r="G66" s="1722"/>
      <c r="H66" s="29"/>
      <c r="J66" s="1340"/>
      <c r="K66" s="678" t="s">
        <v>4377</v>
      </c>
      <c r="L66" s="678"/>
      <c r="M66" s="678" t="s">
        <v>4120</v>
      </c>
      <c r="N66" s="679"/>
      <c r="P66" s="1340"/>
      <c r="Q66" s="893" t="s">
        <v>6171</v>
      </c>
      <c r="R66" s="893"/>
      <c r="S66" s="893"/>
      <c r="T66" s="893"/>
      <c r="U66" s="893"/>
      <c r="V66" s="679"/>
    </row>
    <row r="67" spans="1:22" s="1316" customFormat="1">
      <c r="B67" s="1327"/>
      <c r="C67" s="1722" t="s">
        <v>8902</v>
      </c>
      <c r="D67" s="1722"/>
      <c r="E67" s="1722"/>
      <c r="F67" s="1722"/>
      <c r="G67" s="1722"/>
      <c r="H67" s="29"/>
      <c r="J67" s="1340"/>
      <c r="K67" s="678" t="s">
        <v>4114</v>
      </c>
      <c r="L67" s="678"/>
      <c r="M67" s="678" t="s">
        <v>4120</v>
      </c>
      <c r="N67" s="679"/>
      <c r="P67" s="1340"/>
      <c r="Q67" s="893" t="s">
        <v>6652</v>
      </c>
      <c r="R67" s="893"/>
      <c r="S67" s="893"/>
      <c r="T67" s="893"/>
      <c r="U67" s="893"/>
      <c r="V67" s="679"/>
    </row>
    <row r="68" spans="1:22" s="1316" customFormat="1">
      <c r="B68" s="1327"/>
      <c r="C68" s="1722" t="s">
        <v>8900</v>
      </c>
      <c r="D68" s="1722"/>
      <c r="E68" s="1722"/>
      <c r="F68" s="1722"/>
      <c r="G68" s="1722"/>
      <c r="H68" s="29"/>
      <c r="J68" s="1340"/>
      <c r="K68" s="678" t="s">
        <v>6131</v>
      </c>
      <c r="L68" s="729"/>
      <c r="M68" s="678" t="s">
        <v>4120</v>
      </c>
      <c r="N68" s="679"/>
      <c r="P68" s="1340"/>
      <c r="Q68" s="893" t="s">
        <v>6127</v>
      </c>
      <c r="R68" s="893"/>
      <c r="S68" s="893"/>
      <c r="T68" s="893"/>
      <c r="U68" s="893"/>
      <c r="V68" s="679"/>
    </row>
    <row r="69" spans="1:22" s="1316" customFormat="1">
      <c r="B69" s="1327"/>
      <c r="C69" s="1722" t="s">
        <v>8901</v>
      </c>
      <c r="D69" s="1722"/>
      <c r="E69" s="1722"/>
      <c r="F69" s="1722"/>
      <c r="G69" s="1722"/>
      <c r="H69" s="29"/>
      <c r="J69" s="1340"/>
      <c r="K69" s="678" t="s">
        <v>4380</v>
      </c>
      <c r="L69" s="678"/>
      <c r="M69" s="678" t="s">
        <v>4120</v>
      </c>
      <c r="N69" s="679"/>
      <c r="P69" s="1340"/>
      <c r="Q69" s="893" t="s">
        <v>6457</v>
      </c>
      <c r="R69" s="893"/>
      <c r="S69" s="893"/>
      <c r="T69" s="893"/>
      <c r="U69" s="893"/>
      <c r="V69" s="679"/>
    </row>
    <row r="70" spans="1:22" s="1316" customFormat="1">
      <c r="A70" s="1289"/>
      <c r="B70" s="1327"/>
      <c r="C70" s="1723"/>
      <c r="D70" s="1722"/>
      <c r="E70" s="1722"/>
      <c r="F70" s="1722"/>
      <c r="G70" s="1722"/>
      <c r="H70" s="29"/>
      <c r="J70" s="1340"/>
      <c r="K70" s="1007" t="s">
        <v>6092</v>
      </c>
      <c r="L70" s="729"/>
      <c r="M70" s="678" t="s">
        <v>4120</v>
      </c>
      <c r="N70" s="679"/>
      <c r="P70" s="1340"/>
      <c r="Q70" s="893" t="s">
        <v>4196</v>
      </c>
      <c r="R70" s="893"/>
      <c r="S70" s="893"/>
      <c r="T70" s="893"/>
      <c r="U70" s="893"/>
      <c r="V70" s="679"/>
    </row>
    <row r="71" spans="1:22" s="1316" customFormat="1">
      <c r="A71" s="1289"/>
      <c r="B71" s="1711"/>
      <c r="C71" s="1714" t="s">
        <v>8895</v>
      </c>
      <c r="D71" s="749"/>
      <c r="E71" s="749"/>
      <c r="F71" s="749"/>
      <c r="G71" s="749"/>
      <c r="H71" s="1644"/>
      <c r="J71" s="1340"/>
      <c r="K71" s="1007" t="s">
        <v>5959</v>
      </c>
      <c r="L71" s="1007"/>
      <c r="M71" s="1007" t="s">
        <v>4120</v>
      </c>
      <c r="N71" s="679"/>
      <c r="P71" s="1340"/>
      <c r="Q71" s="893" t="s">
        <v>6219</v>
      </c>
      <c r="R71" s="893"/>
      <c r="S71" s="893"/>
      <c r="T71" s="893"/>
      <c r="U71" s="893"/>
      <c r="V71" s="679"/>
    </row>
    <row r="72" spans="1:22" s="1316" customFormat="1">
      <c r="A72" s="1289"/>
      <c r="B72" s="1711"/>
      <c r="C72" s="1713" t="s">
        <v>8879</v>
      </c>
      <c r="D72" s="749"/>
      <c r="E72" s="749"/>
      <c r="F72" s="749"/>
      <c r="G72" s="749"/>
      <c r="H72" s="1644"/>
      <c r="J72" s="1340"/>
      <c r="K72" s="1007" t="s">
        <v>7712</v>
      </c>
      <c r="L72" s="1007"/>
      <c r="M72" s="1007" t="s">
        <v>4107</v>
      </c>
      <c r="N72" s="679"/>
      <c r="P72" s="1340"/>
      <c r="Q72" s="893" t="s">
        <v>6618</v>
      </c>
      <c r="R72" s="893"/>
      <c r="S72" s="893"/>
      <c r="T72" s="893"/>
      <c r="U72" s="893"/>
      <c r="V72" s="679"/>
    </row>
    <row r="73" spans="1:22" s="1289" customFormat="1">
      <c r="B73" s="1711"/>
      <c r="C73" s="1713" t="s">
        <v>8880</v>
      </c>
      <c r="D73" s="749"/>
      <c r="E73" s="749"/>
      <c r="F73" s="749"/>
      <c r="G73" s="749"/>
      <c r="H73" s="1644"/>
      <c r="J73" s="677"/>
      <c r="K73" s="678" t="s">
        <v>4197</v>
      </c>
      <c r="L73" s="678"/>
      <c r="M73" s="678" t="s">
        <v>4106</v>
      </c>
      <c r="N73" s="679"/>
      <c r="P73" s="677"/>
      <c r="Q73" s="678" t="s">
        <v>7071</v>
      </c>
      <c r="R73" s="893"/>
      <c r="S73" s="893"/>
      <c r="T73" s="893"/>
      <c r="U73" s="893"/>
      <c r="V73" s="679"/>
    </row>
    <row r="74" spans="1:22" s="1289" customFormat="1">
      <c r="B74" s="1711"/>
      <c r="C74" s="1713" t="s">
        <v>8881</v>
      </c>
      <c r="D74" s="749"/>
      <c r="E74" s="749"/>
      <c r="F74" s="749"/>
      <c r="G74" s="749"/>
      <c r="H74" s="1644"/>
      <c r="J74" s="677"/>
      <c r="K74" s="678" t="s">
        <v>5828</v>
      </c>
      <c r="L74" s="678"/>
      <c r="M74" s="678" t="s">
        <v>4106</v>
      </c>
      <c r="N74" s="679"/>
      <c r="P74" s="677"/>
      <c r="Q74" s="893" t="s">
        <v>4116</v>
      </c>
      <c r="R74" s="893"/>
      <c r="S74" s="893"/>
      <c r="T74" s="893"/>
      <c r="U74" s="893"/>
      <c r="V74" s="679"/>
    </row>
    <row r="75" spans="1:22" s="1289" customFormat="1">
      <c r="A75" s="1161"/>
      <c r="B75" s="1711"/>
      <c r="C75" s="1713" t="s">
        <v>8883</v>
      </c>
      <c r="D75" s="749"/>
      <c r="E75" s="749"/>
      <c r="F75" s="749"/>
      <c r="G75" s="749"/>
      <c r="H75" s="1644"/>
      <c r="J75" s="677"/>
      <c r="K75" s="1007" t="s">
        <v>6091</v>
      </c>
      <c r="L75" s="729"/>
      <c r="M75" s="678" t="s">
        <v>4107</v>
      </c>
      <c r="N75" s="679"/>
      <c r="P75" s="677"/>
      <c r="Q75" s="893" t="s">
        <v>6190</v>
      </c>
      <c r="R75" s="893"/>
      <c r="S75" s="893"/>
      <c r="T75" s="893"/>
      <c r="U75" s="893"/>
      <c r="V75" s="679"/>
    </row>
    <row r="76" spans="1:22" s="1289" customFormat="1">
      <c r="A76" s="1161"/>
      <c r="B76" s="1711"/>
      <c r="C76" s="1713" t="s">
        <v>8884</v>
      </c>
      <c r="D76" s="749"/>
      <c r="E76" s="749"/>
      <c r="F76" s="749"/>
      <c r="G76" s="749"/>
      <c r="H76" s="1644"/>
      <c r="J76" s="677"/>
      <c r="K76" s="1007" t="s">
        <v>6189</v>
      </c>
      <c r="L76" s="1007"/>
      <c r="M76" s="1007" t="s">
        <v>4107</v>
      </c>
      <c r="N76" s="679"/>
      <c r="P76" s="677"/>
      <c r="Q76" s="893" t="s">
        <v>4117</v>
      </c>
      <c r="R76" s="893"/>
      <c r="S76" s="893"/>
      <c r="T76" s="893"/>
      <c r="U76" s="893"/>
      <c r="V76" s="679"/>
    </row>
    <row r="77" spans="1:22" s="1289" customFormat="1">
      <c r="A77" s="1161"/>
      <c r="B77" s="1711"/>
      <c r="C77" s="1713" t="s">
        <v>8893</v>
      </c>
      <c r="D77" s="749"/>
      <c r="E77" s="749"/>
      <c r="F77" s="749"/>
      <c r="G77" s="749"/>
      <c r="H77" s="1644"/>
      <c r="J77" s="677"/>
      <c r="K77" s="678" t="s">
        <v>107</v>
      </c>
      <c r="L77" s="678"/>
      <c r="M77" s="678" t="s">
        <v>4107</v>
      </c>
      <c r="N77" s="679"/>
      <c r="P77" s="677"/>
      <c r="Q77" s="893" t="s">
        <v>6090</v>
      </c>
      <c r="R77" s="893"/>
      <c r="S77" s="893"/>
      <c r="T77" s="893"/>
      <c r="U77" s="893"/>
      <c r="V77" s="679"/>
    </row>
    <row r="78" spans="1:22" s="1161" customFormat="1">
      <c r="A78" s="1125"/>
      <c r="B78" s="1711"/>
      <c r="C78" s="1714"/>
      <c r="D78" s="749"/>
      <c r="E78" s="749"/>
      <c r="F78" s="749"/>
      <c r="G78" s="749"/>
      <c r="H78" s="1644"/>
      <c r="J78" s="677"/>
      <c r="K78" s="729" t="s">
        <v>6637</v>
      </c>
      <c r="L78" s="729"/>
      <c r="M78" s="729" t="s">
        <v>4120</v>
      </c>
      <c r="N78" s="679"/>
      <c r="P78" s="677"/>
      <c r="Q78" s="893" t="s">
        <v>6186</v>
      </c>
      <c r="R78" s="893"/>
      <c r="S78" s="893"/>
      <c r="T78" s="893"/>
      <c r="U78" s="893"/>
      <c r="V78" s="679"/>
    </row>
    <row r="79" spans="1:22" s="1161" customFormat="1" ht="15" thickBot="1">
      <c r="A79" s="1125"/>
      <c r="B79" s="1327"/>
      <c r="C79" s="1710" t="s">
        <v>8878</v>
      </c>
      <c r="D79" s="1709"/>
      <c r="E79" s="1709"/>
      <c r="F79" s="1709"/>
      <c r="G79" s="1709"/>
      <c r="H79" s="29"/>
      <c r="J79" s="680"/>
      <c r="K79" s="681"/>
      <c r="L79" s="681"/>
      <c r="M79" s="681"/>
      <c r="N79" s="682"/>
      <c r="P79" s="677"/>
      <c r="Q79" s="893" t="s">
        <v>6605</v>
      </c>
      <c r="R79" s="893"/>
      <c r="S79" s="893"/>
      <c r="T79" s="893"/>
      <c r="U79" s="893"/>
      <c r="V79" s="679"/>
    </row>
    <row r="80" spans="1:22" s="1161" customFormat="1">
      <c r="A80" s="1125"/>
      <c r="B80" s="1327"/>
      <c r="C80" s="1681" t="s">
        <v>8874</v>
      </c>
      <c r="D80" s="1709"/>
      <c r="E80" s="1709"/>
      <c r="F80" s="1709"/>
      <c r="G80" s="1709"/>
      <c r="H80" s="29"/>
      <c r="J80" s="15"/>
      <c r="K80" s="15"/>
      <c r="L80" s="15"/>
      <c r="M80" s="718"/>
      <c r="N80" s="15"/>
      <c r="P80" s="677"/>
      <c r="Q80" s="893" t="s">
        <v>5717</v>
      </c>
      <c r="R80" s="893"/>
      <c r="S80" s="893"/>
      <c r="T80" s="893"/>
      <c r="U80" s="893"/>
      <c r="V80" s="679"/>
    </row>
    <row r="81" spans="1:22" s="1125" customFormat="1">
      <c r="B81" s="1327"/>
      <c r="C81" s="1681" t="s">
        <v>8877</v>
      </c>
      <c r="D81" s="1709"/>
      <c r="E81" s="1709"/>
      <c r="F81" s="1709"/>
      <c r="G81" s="1709"/>
      <c r="H81" s="29"/>
      <c r="J81" s="1132"/>
      <c r="K81" s="945"/>
      <c r="L81" s="15"/>
      <c r="M81" s="718"/>
      <c r="N81" s="15"/>
      <c r="P81" s="677"/>
      <c r="Q81" s="678" t="s">
        <v>7072</v>
      </c>
      <c r="R81" s="893"/>
      <c r="S81" s="893"/>
      <c r="T81" s="893"/>
      <c r="U81" s="893"/>
      <c r="V81" s="679"/>
    </row>
    <row r="82" spans="1:22" s="1125" customFormat="1">
      <c r="A82" s="1091"/>
      <c r="B82" s="1327"/>
      <c r="C82" s="749" t="s">
        <v>8852</v>
      </c>
      <c r="D82" s="1709"/>
      <c r="E82" s="1709"/>
      <c r="F82" s="1709"/>
      <c r="G82" s="1709"/>
      <c r="H82" s="29"/>
      <c r="J82" s="1132"/>
      <c r="K82" s="945"/>
      <c r="L82" s="15"/>
      <c r="M82" s="718"/>
      <c r="N82" s="15"/>
      <c r="P82" s="677"/>
      <c r="Q82" s="893" t="s">
        <v>6602</v>
      </c>
      <c r="R82" s="893"/>
      <c r="S82" s="893"/>
      <c r="T82" s="893"/>
      <c r="U82" s="893"/>
      <c r="V82" s="679"/>
    </row>
    <row r="83" spans="1:22" s="1125" customFormat="1">
      <c r="A83" s="1091"/>
      <c r="B83" s="1327"/>
      <c r="C83" s="749" t="s">
        <v>8854</v>
      </c>
      <c r="D83" s="1709"/>
      <c r="E83" s="1709"/>
      <c r="F83" s="1709"/>
      <c r="G83" s="1709"/>
      <c r="H83" s="29"/>
      <c r="J83" s="1132"/>
      <c r="K83" s="945"/>
      <c r="L83" s="15"/>
      <c r="M83" s="718"/>
      <c r="N83" s="15"/>
      <c r="P83" s="677"/>
      <c r="Q83" s="893" t="s">
        <v>5816</v>
      </c>
      <c r="R83" s="893"/>
      <c r="S83" s="893"/>
      <c r="T83" s="893"/>
      <c r="U83" s="893"/>
      <c r="V83" s="679"/>
    </row>
    <row r="84" spans="1:22" s="1125" customFormat="1">
      <c r="A84" s="1091"/>
      <c r="B84" s="1327"/>
      <c r="C84" s="749" t="s">
        <v>8871</v>
      </c>
      <c r="D84" s="1709"/>
      <c r="E84" s="1709"/>
      <c r="F84" s="1709"/>
      <c r="G84" s="1709"/>
      <c r="H84" s="29"/>
      <c r="J84" s="1132"/>
      <c r="K84" s="1528"/>
      <c r="L84" s="15"/>
      <c r="M84" s="718"/>
      <c r="N84" s="15"/>
      <c r="P84" s="677"/>
      <c r="Q84" s="893" t="s">
        <v>6064</v>
      </c>
      <c r="R84" s="893"/>
      <c r="S84" s="893"/>
      <c r="T84" s="893"/>
      <c r="U84" s="893"/>
      <c r="V84" s="679"/>
    </row>
    <row r="85" spans="1:22" s="1091" customFormat="1">
      <c r="B85" s="1327"/>
      <c r="C85" s="749" t="s">
        <v>8872</v>
      </c>
      <c r="D85" s="1709"/>
      <c r="E85" s="1709"/>
      <c r="F85" s="1709"/>
      <c r="G85" s="1709"/>
      <c r="H85" s="29"/>
      <c r="J85" s="1132"/>
      <c r="K85" s="1132"/>
      <c r="L85" s="15"/>
      <c r="M85" s="718"/>
      <c r="N85" s="15"/>
      <c r="P85" s="677"/>
      <c r="Q85" s="893" t="s">
        <v>6082</v>
      </c>
      <c r="R85" s="893"/>
      <c r="S85" s="893"/>
      <c r="T85" s="893"/>
      <c r="U85" s="893"/>
      <c r="V85" s="679"/>
    </row>
    <row r="86" spans="1:22" s="1091" customFormat="1">
      <c r="B86" s="1711"/>
      <c r="C86" s="1710"/>
      <c r="D86" s="749"/>
      <c r="E86" s="749"/>
      <c r="F86" s="749"/>
      <c r="G86" s="749"/>
      <c r="H86" s="1644"/>
      <c r="J86" s="15"/>
      <c r="K86" s="15"/>
      <c r="L86" s="15"/>
      <c r="M86" s="718"/>
      <c r="N86" s="15"/>
      <c r="P86" s="677"/>
      <c r="Q86" s="893" t="s">
        <v>4473</v>
      </c>
      <c r="R86" s="893"/>
      <c r="S86" s="893"/>
      <c r="T86" s="893"/>
      <c r="U86" s="893"/>
      <c r="V86" s="679"/>
    </row>
    <row r="87" spans="1:22" s="1091" customFormat="1">
      <c r="B87" s="26"/>
      <c r="C87" s="1698" t="s">
        <v>8847</v>
      </c>
      <c r="D87" s="1697"/>
      <c r="E87" s="1697"/>
      <c r="F87" s="1697"/>
      <c r="G87" s="1697"/>
      <c r="H87" s="29"/>
      <c r="J87" s="15"/>
      <c r="K87" s="15"/>
      <c r="L87" s="15"/>
      <c r="M87" s="718"/>
      <c r="N87" s="15"/>
      <c r="P87" s="677"/>
      <c r="Q87" s="893" t="s">
        <v>6083</v>
      </c>
      <c r="R87" s="893"/>
      <c r="S87" s="893"/>
      <c r="T87" s="893"/>
      <c r="U87" s="893"/>
      <c r="V87" s="679"/>
    </row>
    <row r="88" spans="1:22" s="1091" customFormat="1">
      <c r="B88" s="1327"/>
      <c r="C88" s="1697" t="s">
        <v>8835</v>
      </c>
      <c r="D88" s="1697"/>
      <c r="E88" s="1697"/>
      <c r="F88" s="1697"/>
      <c r="G88" s="1697"/>
      <c r="H88" s="29"/>
      <c r="J88" s="15"/>
      <c r="K88" s="15"/>
      <c r="L88" s="15"/>
      <c r="M88" s="718"/>
      <c r="N88" s="15"/>
      <c r="O88" s="15"/>
      <c r="P88" s="677"/>
      <c r="Q88" s="678" t="s">
        <v>7518</v>
      </c>
      <c r="R88" s="893"/>
      <c r="S88" s="893"/>
      <c r="T88" s="893"/>
      <c r="U88" s="893"/>
      <c r="V88" s="679"/>
    </row>
    <row r="89" spans="1:22" s="1091" customFormat="1">
      <c r="B89" s="1327"/>
      <c r="C89" s="1697" t="s">
        <v>8842</v>
      </c>
      <c r="D89" s="1697"/>
      <c r="E89" s="1697"/>
      <c r="F89" s="1697"/>
      <c r="G89" s="1697"/>
      <c r="H89" s="29"/>
      <c r="J89" s="15"/>
      <c r="K89" s="15"/>
      <c r="L89" s="15"/>
      <c r="M89" s="718"/>
      <c r="N89" s="15"/>
      <c r="O89" s="15"/>
      <c r="P89" s="677"/>
      <c r="Q89" s="678" t="s">
        <v>7525</v>
      </c>
      <c r="R89" s="893"/>
      <c r="S89" s="893"/>
      <c r="T89" s="893"/>
      <c r="U89" s="893"/>
      <c r="V89" s="679"/>
    </row>
    <row r="90" spans="1:22" s="1091" customFormat="1" ht="15" thickBot="1">
      <c r="A90" s="1058"/>
      <c r="B90" s="1327"/>
      <c r="C90" s="749" t="s">
        <v>8836</v>
      </c>
      <c r="D90" s="749"/>
      <c r="E90" s="1697"/>
      <c r="F90" s="1697"/>
      <c r="G90" s="1697"/>
      <c r="H90" s="29"/>
      <c r="J90" s="15"/>
      <c r="K90" s="15"/>
      <c r="L90" s="15"/>
      <c r="M90" s="718"/>
      <c r="N90" s="15"/>
      <c r="O90" s="15"/>
      <c r="P90" s="680"/>
      <c r="Q90" s="681"/>
      <c r="R90" s="681"/>
      <c r="S90" s="681"/>
      <c r="T90" s="681"/>
      <c r="U90" s="681"/>
      <c r="V90" s="682"/>
    </row>
    <row r="91" spans="1:22" s="1091" customFormat="1">
      <c r="A91" s="1058"/>
      <c r="B91" s="1327"/>
      <c r="C91" s="749" t="s">
        <v>8845</v>
      </c>
      <c r="D91" s="749"/>
      <c r="E91" s="1697"/>
      <c r="F91" s="1697"/>
      <c r="G91" s="1697"/>
      <c r="H91" s="29"/>
      <c r="J91" s="15"/>
      <c r="K91" s="15"/>
      <c r="L91" s="15"/>
      <c r="M91" s="718"/>
      <c r="N91" s="15"/>
      <c r="O91" s="15"/>
      <c r="P91" s="15"/>
      <c r="Q91" s="15"/>
      <c r="R91" s="960"/>
      <c r="S91" s="15"/>
      <c r="T91" s="15"/>
      <c r="U91" s="15"/>
      <c r="V91" s="15"/>
    </row>
    <row r="92" spans="1:22" s="1091" customFormat="1">
      <c r="A92" s="1058"/>
      <c r="B92" s="1327"/>
      <c r="C92" s="749" t="s">
        <v>8846</v>
      </c>
      <c r="D92" s="749"/>
      <c r="E92" s="1697"/>
      <c r="F92" s="1697"/>
      <c r="G92" s="1697"/>
      <c r="H92" s="29"/>
      <c r="J92" s="15"/>
      <c r="K92" s="15"/>
      <c r="L92" s="15"/>
      <c r="M92" s="718"/>
      <c r="N92" s="15"/>
      <c r="O92" s="15"/>
      <c r="P92" s="15"/>
      <c r="Q92" s="78"/>
      <c r="R92" s="15"/>
      <c r="S92" s="15"/>
      <c r="T92" s="15"/>
      <c r="U92" s="15"/>
      <c r="V92" s="15"/>
    </row>
    <row r="93" spans="1:22" s="1058" customFormat="1">
      <c r="B93" s="1327"/>
      <c r="C93" s="749" t="s">
        <v>8843</v>
      </c>
      <c r="D93" s="749"/>
      <c r="E93" s="1697"/>
      <c r="F93" s="1697"/>
      <c r="G93" s="1697"/>
      <c r="H93" s="29"/>
      <c r="J93" s="15"/>
      <c r="K93" s="15"/>
      <c r="L93" s="15"/>
      <c r="M93" s="718"/>
      <c r="N93" s="15"/>
      <c r="O93" s="15"/>
      <c r="P93" s="15"/>
      <c r="Q93" s="956"/>
      <c r="R93" s="15"/>
      <c r="S93" s="15"/>
      <c r="T93" s="15"/>
      <c r="U93" s="15"/>
      <c r="V93" s="15"/>
    </row>
    <row r="94" spans="1:22" s="1058" customFormat="1">
      <c r="A94" s="1044"/>
      <c r="B94" s="1327"/>
      <c r="C94" s="749" t="s">
        <v>8844</v>
      </c>
      <c r="D94" s="749"/>
      <c r="E94" s="1697"/>
      <c r="F94" s="1697"/>
      <c r="G94" s="1697"/>
      <c r="H94" s="29"/>
      <c r="J94" s="15"/>
      <c r="K94" s="15"/>
      <c r="L94" s="15"/>
      <c r="M94" s="718"/>
      <c r="N94" s="15"/>
      <c r="O94" s="15"/>
      <c r="P94" s="15"/>
      <c r="Q94" s="956"/>
      <c r="R94" s="15"/>
      <c r="S94" s="15"/>
      <c r="T94" s="15"/>
      <c r="U94" s="15"/>
      <c r="V94" s="15"/>
    </row>
    <row r="95" spans="1:22" s="1058" customFormat="1" ht="21">
      <c r="A95" s="1044"/>
      <c r="B95" s="1327"/>
      <c r="C95" s="1699"/>
      <c r="D95" s="1697"/>
      <c r="E95" s="1697"/>
      <c r="F95" s="1697"/>
      <c r="G95" s="1697"/>
      <c r="H95" s="29"/>
      <c r="J95" s="15"/>
      <c r="K95" s="15"/>
      <c r="L95" s="15"/>
      <c r="M95" s="718"/>
      <c r="N95" s="15"/>
      <c r="O95" s="15"/>
      <c r="P95" s="15"/>
      <c r="Q95" s="896"/>
      <c r="R95" s="15"/>
      <c r="S95" s="15"/>
      <c r="T95" s="15"/>
      <c r="U95" s="15"/>
      <c r="V95" s="15"/>
    </row>
    <row r="96" spans="1:22" s="1058" customFormat="1">
      <c r="A96" s="1044"/>
      <c r="B96" s="1327"/>
      <c r="C96" s="1667" t="s">
        <v>8813</v>
      </c>
      <c r="D96" s="749"/>
      <c r="E96" s="749"/>
      <c r="F96" s="749"/>
      <c r="G96" s="749"/>
      <c r="H96" s="29"/>
      <c r="J96" s="15"/>
      <c r="K96" s="15"/>
      <c r="L96" s="15"/>
      <c r="M96" s="718"/>
      <c r="N96" s="15"/>
      <c r="O96" s="15"/>
      <c r="P96" s="15"/>
      <c r="Q96" s="15"/>
      <c r="R96" s="15"/>
      <c r="S96" s="15"/>
      <c r="T96" s="15"/>
      <c r="U96" s="15"/>
      <c r="V96" s="15"/>
    </row>
    <row r="97" spans="1:22" s="1044" customFormat="1">
      <c r="B97" s="1327"/>
      <c r="C97" s="1666" t="s">
        <v>8823</v>
      </c>
      <c r="D97" s="749"/>
      <c r="E97" s="749"/>
      <c r="F97" s="749"/>
      <c r="G97" s="749"/>
      <c r="H97" s="29"/>
      <c r="J97" s="15"/>
      <c r="K97" s="15"/>
      <c r="L97" s="15"/>
      <c r="M97" s="718"/>
      <c r="N97" s="15"/>
      <c r="O97" s="15"/>
      <c r="P97" s="15"/>
      <c r="Q97" s="15"/>
      <c r="R97" s="15"/>
      <c r="S97" s="15"/>
      <c r="T97" s="15"/>
      <c r="U97" s="15"/>
      <c r="V97" s="15"/>
    </row>
    <row r="98" spans="1:22" s="1044" customFormat="1">
      <c r="B98" s="1327"/>
      <c r="C98" s="1666" t="s">
        <v>8817</v>
      </c>
      <c r="D98" s="749"/>
      <c r="E98" s="749"/>
      <c r="F98" s="749"/>
      <c r="G98" s="749"/>
      <c r="H98" s="29"/>
      <c r="J98" s="15"/>
      <c r="K98" s="15"/>
      <c r="L98" s="15"/>
      <c r="M98" s="718"/>
      <c r="N98" s="15"/>
      <c r="O98" s="15"/>
      <c r="P98" s="15"/>
      <c r="Q98" s="15"/>
      <c r="R98" s="15"/>
      <c r="S98" s="15"/>
      <c r="T98" s="15"/>
      <c r="U98" s="15"/>
      <c r="V98" s="15"/>
    </row>
    <row r="99" spans="1:22" s="1044" customFormat="1">
      <c r="B99" s="1327"/>
      <c r="C99" s="1545" t="s">
        <v>8818</v>
      </c>
      <c r="D99" s="749"/>
      <c r="E99" s="749"/>
      <c r="F99" s="749"/>
      <c r="G99" s="749"/>
      <c r="H99" s="29"/>
      <c r="J99" s="15"/>
      <c r="K99" s="15"/>
      <c r="L99" s="15"/>
      <c r="M99" s="718"/>
      <c r="N99" s="15"/>
      <c r="O99" s="15"/>
      <c r="P99" s="15"/>
      <c r="Q99" s="15"/>
      <c r="R99" s="15"/>
      <c r="S99" s="15"/>
      <c r="T99" s="15"/>
      <c r="U99" s="15"/>
      <c r="V99" s="15"/>
    </row>
    <row r="100" spans="1:22" s="1044" customFormat="1">
      <c r="A100" s="997"/>
      <c r="B100" s="1327"/>
      <c r="C100" s="1545" t="s">
        <v>8820</v>
      </c>
      <c r="D100" s="749"/>
      <c r="E100" s="749"/>
      <c r="F100" s="749"/>
      <c r="G100" s="749"/>
      <c r="H100" s="29"/>
      <c r="J100" s="15"/>
      <c r="K100" s="15"/>
      <c r="L100" s="15"/>
      <c r="M100" s="718"/>
      <c r="N100" s="15"/>
      <c r="O100" s="15"/>
      <c r="P100" s="15"/>
      <c r="Q100" s="15"/>
      <c r="R100" s="15"/>
      <c r="S100" s="15"/>
      <c r="T100" s="15"/>
      <c r="U100" s="15"/>
      <c r="V100" s="15"/>
    </row>
    <row r="101" spans="1:22" s="1044" customFormat="1">
      <c r="A101" s="997"/>
      <c r="B101" s="26"/>
      <c r="C101" s="1545" t="s">
        <v>8819</v>
      </c>
      <c r="D101" s="749"/>
      <c r="E101" s="749"/>
      <c r="F101" s="749"/>
      <c r="G101" s="749"/>
      <c r="H101" s="29"/>
      <c r="J101" s="15"/>
      <c r="K101" s="15"/>
      <c r="L101" s="15"/>
      <c r="M101" s="718"/>
      <c r="N101" s="15"/>
      <c r="O101" s="15"/>
      <c r="P101" s="15"/>
      <c r="Q101" s="15"/>
      <c r="R101" s="15"/>
      <c r="S101" s="15"/>
      <c r="T101" s="15"/>
      <c r="U101" s="15"/>
      <c r="V101" s="15"/>
    </row>
    <row r="102" spans="1:22" s="1044" customFormat="1">
      <c r="A102" s="997"/>
      <c r="B102" s="1327"/>
      <c r="C102" s="1545" t="s">
        <v>8834</v>
      </c>
      <c r="D102" s="749"/>
      <c r="E102" s="749"/>
      <c r="F102" s="749"/>
      <c r="G102" s="749"/>
      <c r="H102" s="29"/>
      <c r="J102" s="15"/>
      <c r="K102" s="15"/>
      <c r="L102" s="15"/>
      <c r="M102" s="718"/>
      <c r="N102" s="15"/>
      <c r="O102" s="15"/>
      <c r="P102" s="15"/>
      <c r="Q102" s="15"/>
      <c r="R102" s="15"/>
      <c r="S102" s="15"/>
      <c r="T102" s="15"/>
      <c r="U102" s="15"/>
      <c r="V102" s="15"/>
    </row>
    <row r="103" spans="1:22" s="997" customFormat="1">
      <c r="B103" s="1327"/>
      <c r="C103" s="1681"/>
      <c r="D103" s="749"/>
      <c r="E103" s="749"/>
      <c r="F103" s="749"/>
      <c r="G103" s="749"/>
      <c r="H103" s="29"/>
      <c r="J103" s="15"/>
      <c r="K103" s="15"/>
      <c r="L103" s="15"/>
      <c r="M103" s="718"/>
      <c r="N103" s="15"/>
      <c r="O103" s="15"/>
      <c r="P103" s="15"/>
      <c r="Q103" s="15"/>
      <c r="R103" s="15"/>
      <c r="S103" s="15"/>
      <c r="T103" s="15"/>
      <c r="U103" s="15"/>
      <c r="V103" s="15"/>
    </row>
    <row r="104" spans="1:22" s="997" customFormat="1">
      <c r="B104" s="1327"/>
      <c r="C104" s="1667" t="s">
        <v>8812</v>
      </c>
      <c r="D104" s="1667"/>
      <c r="E104" s="749"/>
      <c r="F104" s="749"/>
      <c r="G104" s="749"/>
      <c r="H104" s="29"/>
      <c r="J104" s="15"/>
      <c r="K104" s="15"/>
      <c r="L104" s="15"/>
      <c r="M104" s="718"/>
      <c r="N104" s="15"/>
      <c r="O104" s="15"/>
      <c r="P104" s="15"/>
      <c r="Q104" s="15"/>
      <c r="R104" s="15"/>
      <c r="S104" s="15"/>
      <c r="T104" s="15"/>
      <c r="U104" s="15"/>
      <c r="V104" s="15"/>
    </row>
    <row r="105" spans="1:22" s="997" customFormat="1">
      <c r="B105" s="1327"/>
      <c r="C105" s="1545" t="s">
        <v>8814</v>
      </c>
      <c r="D105" s="749"/>
      <c r="E105" s="1413"/>
      <c r="F105" s="749"/>
      <c r="G105" s="749"/>
      <c r="H105" s="29"/>
      <c r="J105" s="15"/>
      <c r="K105" s="15"/>
      <c r="L105" s="15"/>
      <c r="M105" s="718"/>
      <c r="N105" s="15"/>
      <c r="O105" s="15"/>
      <c r="P105" s="15"/>
      <c r="Q105" s="15"/>
      <c r="R105" s="15"/>
      <c r="S105" s="15"/>
      <c r="T105" s="15"/>
      <c r="U105" s="15"/>
      <c r="V105" s="15"/>
    </row>
    <row r="106" spans="1:22" s="997" customFormat="1">
      <c r="B106" s="1327"/>
      <c r="C106" s="1666" t="s">
        <v>8816</v>
      </c>
      <c r="D106" s="749"/>
      <c r="E106" s="1666"/>
      <c r="F106" s="749"/>
      <c r="G106" s="749"/>
      <c r="H106" s="1644"/>
      <c r="J106" s="15"/>
      <c r="K106" s="15"/>
      <c r="L106" s="15"/>
      <c r="M106" s="718"/>
      <c r="N106" s="15"/>
      <c r="O106" s="15"/>
      <c r="P106" s="15"/>
      <c r="Q106" s="15"/>
      <c r="R106" s="15"/>
      <c r="S106" s="15"/>
      <c r="T106" s="15"/>
      <c r="U106" s="15"/>
      <c r="V106" s="15"/>
    </row>
    <row r="107" spans="1:22" s="997" customFormat="1">
      <c r="A107" s="960"/>
      <c r="B107" s="1327"/>
      <c r="C107" s="1652" t="s">
        <v>8803</v>
      </c>
      <c r="D107" s="749"/>
      <c r="E107" s="1505"/>
      <c r="F107" s="749"/>
      <c r="G107" s="749"/>
      <c r="H107" s="1644"/>
      <c r="J107" s="15"/>
      <c r="K107" s="15"/>
      <c r="L107" s="15"/>
      <c r="M107" s="718"/>
      <c r="N107" s="15"/>
      <c r="O107" s="15"/>
      <c r="P107" s="15"/>
      <c r="Q107" s="15"/>
      <c r="R107" s="15"/>
      <c r="S107" s="15"/>
      <c r="T107" s="15"/>
      <c r="U107" s="15"/>
      <c r="V107" s="15"/>
    </row>
    <row r="108" spans="1:22" s="997" customFormat="1">
      <c r="A108" s="960"/>
      <c r="B108" s="1327"/>
      <c r="C108" s="1666"/>
      <c r="D108" s="749"/>
      <c r="E108" s="1666"/>
      <c r="F108" s="749"/>
      <c r="G108" s="749"/>
      <c r="H108" s="1644"/>
      <c r="J108" s="15"/>
      <c r="K108" s="15"/>
      <c r="L108" s="15"/>
      <c r="M108" s="718"/>
      <c r="N108" s="15"/>
      <c r="O108" s="15"/>
      <c r="P108" s="15"/>
      <c r="Q108" s="15"/>
      <c r="R108" s="15"/>
      <c r="S108" s="15"/>
      <c r="T108" s="15"/>
      <c r="U108" s="15"/>
      <c r="V108" s="15"/>
    </row>
    <row r="109" spans="1:22" s="997" customFormat="1">
      <c r="A109" s="960"/>
      <c r="B109" s="1327"/>
      <c r="C109" s="1667" t="s">
        <v>8806</v>
      </c>
      <c r="D109" s="749"/>
      <c r="E109" s="749"/>
      <c r="F109" s="749"/>
      <c r="G109" s="749"/>
      <c r="H109" s="29"/>
      <c r="J109" s="15"/>
      <c r="K109" s="15"/>
      <c r="L109" s="15"/>
      <c r="M109" s="718"/>
      <c r="N109" s="15"/>
      <c r="O109" s="15"/>
      <c r="P109" s="15"/>
      <c r="Q109" s="15"/>
      <c r="R109" s="15"/>
      <c r="S109" s="15"/>
      <c r="T109" s="15"/>
      <c r="U109" s="15"/>
      <c r="V109" s="15"/>
    </row>
    <row r="110" spans="1:22" s="960" customFormat="1">
      <c r="B110" s="1327"/>
      <c r="C110" t="s">
        <v>8808</v>
      </c>
      <c r="D110" s="1652"/>
      <c r="E110" s="1652"/>
      <c r="F110" s="1652"/>
      <c r="G110" s="1652"/>
      <c r="H110" s="29"/>
      <c r="J110" s="15"/>
      <c r="K110" s="15"/>
      <c r="L110" s="15"/>
      <c r="M110" s="718"/>
      <c r="N110" s="15"/>
      <c r="O110" s="15"/>
      <c r="P110" s="15"/>
      <c r="Q110" s="15"/>
      <c r="R110" s="15"/>
      <c r="S110" s="15"/>
      <c r="T110" s="15"/>
      <c r="U110" s="15"/>
      <c r="V110" s="15"/>
    </row>
    <row r="111" spans="1:22" s="960" customFormat="1">
      <c r="B111" s="1327"/>
      <c r="C111" t="s">
        <v>8809</v>
      </c>
      <c r="D111" s="1654"/>
      <c r="E111" s="1652"/>
      <c r="F111" s="1652"/>
      <c r="G111" s="1652"/>
      <c r="H111" s="29"/>
      <c r="J111" s="15"/>
      <c r="K111" s="15"/>
      <c r="L111" s="15"/>
      <c r="M111" s="718"/>
      <c r="N111" s="15"/>
      <c r="O111" s="15"/>
      <c r="P111" s="15"/>
      <c r="Q111" s="15"/>
      <c r="R111" s="15"/>
      <c r="S111" s="15"/>
      <c r="T111" s="15"/>
      <c r="U111" s="15"/>
      <c r="V111" s="15"/>
    </row>
    <row r="112" spans="1:22" s="960" customFormat="1">
      <c r="B112" s="1327"/>
      <c r="C112" t="s">
        <v>8807</v>
      </c>
      <c r="D112" s="1654"/>
      <c r="E112" s="1652"/>
      <c r="F112" s="1652"/>
      <c r="G112" s="1652"/>
      <c r="H112" s="29"/>
      <c r="J112" s="15"/>
      <c r="K112" s="15"/>
      <c r="L112" s="15"/>
      <c r="M112" s="718"/>
      <c r="N112" s="15"/>
      <c r="O112" s="15"/>
      <c r="P112" s="15"/>
      <c r="Q112" s="15"/>
      <c r="R112" s="15"/>
      <c r="S112" s="15"/>
      <c r="T112" s="15"/>
      <c r="U112" s="15"/>
      <c r="V112" s="15"/>
    </row>
    <row r="113" spans="1:22" s="960" customFormat="1">
      <c r="A113" s="905"/>
      <c r="B113" s="1327"/>
      <c r="C113" s="1669"/>
      <c r="D113" s="1652"/>
      <c r="E113" s="1652"/>
      <c r="F113" s="1652"/>
      <c r="G113" s="1652"/>
      <c r="H113" s="29"/>
      <c r="J113" s="15"/>
      <c r="K113" s="15"/>
      <c r="L113" s="15"/>
      <c r="M113" s="718"/>
      <c r="N113" s="15"/>
      <c r="O113" s="15"/>
      <c r="P113" s="15"/>
      <c r="Q113" s="15"/>
      <c r="R113" s="15"/>
      <c r="S113" s="15"/>
      <c r="T113" s="15"/>
      <c r="U113" s="15"/>
      <c r="V113" s="15"/>
    </row>
    <row r="114" spans="1:22" s="960" customFormat="1">
      <c r="A114" s="905"/>
      <c r="B114" s="1327"/>
      <c r="C114" s="613" t="s">
        <v>8810</v>
      </c>
      <c r="D114" s="1652"/>
      <c r="E114" s="1652"/>
      <c r="F114" s="1652"/>
      <c r="G114" s="1652"/>
      <c r="H114" s="29"/>
      <c r="J114" s="15"/>
      <c r="K114" s="15"/>
      <c r="L114" s="15"/>
      <c r="M114" s="718"/>
      <c r="N114" s="15"/>
      <c r="O114" s="15"/>
      <c r="P114" s="15"/>
      <c r="Q114" s="15"/>
      <c r="R114" s="15"/>
      <c r="S114" s="15"/>
      <c r="T114" s="15"/>
      <c r="U114" s="15"/>
      <c r="V114" s="15"/>
    </row>
    <row r="115" spans="1:22" s="960" customFormat="1">
      <c r="A115" s="905"/>
      <c r="B115" s="1327"/>
      <c r="C115" s="749" t="s">
        <v>8805</v>
      </c>
      <c r="D115" s="749"/>
      <c r="E115" s="749"/>
      <c r="F115" s="749"/>
      <c r="G115" s="1652"/>
      <c r="H115" s="29"/>
      <c r="J115" s="15"/>
      <c r="K115" s="15"/>
      <c r="L115" s="15"/>
      <c r="M115" s="718"/>
      <c r="N115" s="15"/>
      <c r="O115" s="15"/>
      <c r="P115" s="15"/>
      <c r="Q115" s="15"/>
      <c r="R115" s="15"/>
      <c r="S115" s="15"/>
      <c r="T115" s="15"/>
      <c r="U115" s="15"/>
      <c r="V115" s="15"/>
    </row>
    <row r="116" spans="1:22" s="905" customFormat="1">
      <c r="B116" s="1327"/>
      <c r="C116" s="1666"/>
      <c r="D116" s="1652"/>
      <c r="E116" s="749"/>
      <c r="F116" s="749"/>
      <c r="G116" s="749"/>
      <c r="H116" s="29"/>
      <c r="J116" s="15"/>
      <c r="K116" s="15"/>
      <c r="L116" s="15"/>
      <c r="M116" s="718"/>
      <c r="N116" s="15"/>
      <c r="O116" s="15"/>
      <c r="P116" s="15"/>
      <c r="Q116" s="15"/>
      <c r="R116" s="15"/>
      <c r="S116" s="15"/>
      <c r="T116" s="15"/>
      <c r="U116" s="15"/>
      <c r="V116" s="15"/>
    </row>
    <row r="117" spans="1:22" s="905" customFormat="1">
      <c r="B117" s="1327"/>
      <c r="C117" s="1654" t="s">
        <v>8795</v>
      </c>
      <c r="D117" s="749"/>
      <c r="E117" s="749"/>
      <c r="F117" s="749"/>
      <c r="G117" s="749"/>
      <c r="H117" s="29"/>
      <c r="J117" s="15"/>
      <c r="K117" s="15"/>
      <c r="L117" s="15"/>
      <c r="M117" s="718"/>
      <c r="N117" s="15"/>
      <c r="O117" s="15"/>
      <c r="P117" s="15"/>
      <c r="Q117" s="15"/>
      <c r="R117" s="15"/>
      <c r="S117" s="15"/>
      <c r="T117" s="15"/>
      <c r="U117" s="15"/>
      <c r="V117" s="15"/>
    </row>
    <row r="118" spans="1:22" s="905" customFormat="1">
      <c r="A118" s="869"/>
      <c r="B118" s="1327"/>
      <c r="C118" s="1652" t="s">
        <v>8796</v>
      </c>
      <c r="D118" s="1652"/>
      <c r="E118" s="1652"/>
      <c r="F118" s="1652"/>
      <c r="G118" s="1652"/>
      <c r="H118" s="29"/>
      <c r="J118" s="15"/>
      <c r="K118" s="15"/>
      <c r="L118" s="15"/>
      <c r="M118" s="718"/>
      <c r="N118" s="15"/>
      <c r="O118" s="15"/>
      <c r="P118" s="15"/>
      <c r="Q118" s="15"/>
      <c r="R118" s="15"/>
      <c r="S118" s="15"/>
      <c r="T118" s="15"/>
      <c r="U118" s="15"/>
      <c r="V118" s="15"/>
    </row>
    <row r="119" spans="1:22" s="905" customFormat="1">
      <c r="A119" s="869"/>
      <c r="B119" s="1327"/>
      <c r="C119" s="1652" t="s">
        <v>8797</v>
      </c>
      <c r="D119" s="1652"/>
      <c r="E119" s="1652"/>
      <c r="F119" s="1652"/>
      <c r="G119" s="1652"/>
      <c r="H119" s="29"/>
      <c r="J119" s="15"/>
      <c r="K119" s="15"/>
      <c r="L119" s="15"/>
      <c r="M119" s="718"/>
      <c r="N119" s="15"/>
      <c r="O119" s="15"/>
      <c r="P119" s="15"/>
      <c r="Q119" s="15"/>
      <c r="R119" s="15"/>
      <c r="S119" s="15"/>
      <c r="T119" s="15"/>
      <c r="U119" s="15"/>
      <c r="V119" s="15"/>
    </row>
    <row r="120" spans="1:22" s="905" customFormat="1">
      <c r="A120" s="869"/>
      <c r="B120" s="1327"/>
      <c r="C120" s="1652" t="s">
        <v>8798</v>
      </c>
      <c r="D120" s="1652"/>
      <c r="E120" s="1652"/>
      <c r="F120" s="1652"/>
      <c r="G120" s="1652"/>
      <c r="H120" s="29"/>
      <c r="J120" s="15"/>
      <c r="K120" s="15"/>
      <c r="L120" s="15"/>
      <c r="M120" s="718"/>
      <c r="N120" s="15"/>
      <c r="O120" s="15"/>
      <c r="P120" s="15"/>
      <c r="Q120" s="15"/>
      <c r="R120" s="15"/>
      <c r="S120" s="15"/>
      <c r="T120" s="15"/>
      <c r="U120" s="15"/>
      <c r="V120" s="15"/>
    </row>
    <row r="121" spans="1:22" s="869" customFormat="1">
      <c r="B121" s="1327"/>
      <c r="C121" s="1654"/>
      <c r="D121" s="1652"/>
      <c r="E121" s="1652"/>
      <c r="F121" s="1652"/>
      <c r="G121" s="1652"/>
      <c r="H121" s="29"/>
      <c r="J121" s="15"/>
      <c r="K121" s="15"/>
      <c r="L121" s="15"/>
      <c r="M121" s="718"/>
      <c r="N121" s="15"/>
      <c r="O121" s="15"/>
      <c r="P121" s="15"/>
      <c r="Q121" s="15"/>
      <c r="R121" s="15"/>
      <c r="S121" s="15"/>
      <c r="T121" s="15"/>
      <c r="U121" s="15"/>
      <c r="V121" s="15"/>
    </row>
    <row r="122" spans="1:22" s="869" customFormat="1">
      <c r="B122" s="1327"/>
      <c r="C122" s="1654" t="s">
        <v>8792</v>
      </c>
      <c r="D122" s="1652"/>
      <c r="E122" s="1652"/>
      <c r="F122" s="1652"/>
      <c r="G122" s="1652"/>
      <c r="H122" s="29"/>
      <c r="J122" s="15"/>
      <c r="K122" s="15"/>
      <c r="L122" s="15"/>
      <c r="M122" s="718"/>
      <c r="N122" s="15"/>
      <c r="O122" s="15"/>
      <c r="P122" s="15"/>
      <c r="Q122" s="15"/>
      <c r="R122" s="15"/>
      <c r="S122" s="15"/>
      <c r="T122" s="15"/>
      <c r="U122" s="15"/>
      <c r="V122" s="15"/>
    </row>
    <row r="123" spans="1:22" s="869" customFormat="1">
      <c r="B123" s="1327"/>
      <c r="C123" s="1652" t="s">
        <v>8793</v>
      </c>
      <c r="D123" s="1652"/>
      <c r="E123" s="1652"/>
      <c r="F123" s="1652"/>
      <c r="G123" s="1652"/>
      <c r="H123" s="29"/>
      <c r="J123" s="15"/>
      <c r="K123" s="15"/>
      <c r="L123" s="15"/>
      <c r="M123" s="718"/>
      <c r="N123" s="15"/>
      <c r="O123" s="15"/>
      <c r="P123" s="15"/>
      <c r="Q123" s="15"/>
      <c r="R123" s="15"/>
      <c r="S123" s="15"/>
      <c r="T123" s="15"/>
      <c r="U123" s="15"/>
      <c r="V123" s="15"/>
    </row>
    <row r="124" spans="1:22" s="869" customFormat="1">
      <c r="A124" s="817"/>
      <c r="B124" s="1327"/>
      <c r="C124" s="1652"/>
      <c r="D124" s="1652"/>
      <c r="E124" s="1652"/>
      <c r="F124" s="1652"/>
      <c r="G124" s="1666"/>
      <c r="H124" s="29"/>
      <c r="J124" s="15"/>
      <c r="K124" s="15"/>
      <c r="L124" s="15"/>
      <c r="M124" s="718"/>
      <c r="N124" s="15"/>
      <c r="O124" s="15"/>
      <c r="P124" s="15"/>
      <c r="Q124" s="15"/>
      <c r="R124" s="15"/>
      <c r="S124" s="15"/>
      <c r="T124" s="15"/>
      <c r="U124" s="15"/>
      <c r="V124" s="15"/>
    </row>
    <row r="125" spans="1:22" s="869" customFormat="1">
      <c r="A125" s="817"/>
      <c r="B125" s="26"/>
      <c r="C125" s="1654" t="s">
        <v>8163</v>
      </c>
      <c r="D125" s="1652"/>
      <c r="E125" s="1652"/>
      <c r="F125" s="1652"/>
      <c r="G125" s="1666"/>
      <c r="H125" s="29"/>
      <c r="J125" s="15"/>
      <c r="K125" s="15"/>
      <c r="L125" s="15"/>
      <c r="M125" s="718"/>
      <c r="N125" s="15"/>
      <c r="O125" s="15"/>
      <c r="P125" s="15"/>
      <c r="Q125" s="15"/>
      <c r="R125" s="15"/>
      <c r="S125" s="15"/>
      <c r="T125" s="15"/>
      <c r="U125" s="15"/>
      <c r="V125" s="15"/>
    </row>
    <row r="126" spans="1:22" s="869" customFormat="1">
      <c r="A126" s="817"/>
      <c r="B126" s="1327"/>
      <c r="C126" s="1652" t="s">
        <v>8164</v>
      </c>
      <c r="D126" s="1652"/>
      <c r="E126" s="1652"/>
      <c r="F126" s="1652"/>
      <c r="G126" s="1666"/>
      <c r="H126" s="29"/>
      <c r="J126" s="15"/>
      <c r="K126" s="15"/>
      <c r="L126" s="15"/>
      <c r="M126" s="718"/>
      <c r="N126" s="15"/>
      <c r="O126" s="15"/>
      <c r="P126" s="15"/>
      <c r="Q126" s="15"/>
      <c r="R126" s="15"/>
      <c r="S126" s="15"/>
      <c r="T126" s="15"/>
      <c r="U126" s="15"/>
      <c r="V126" s="15"/>
    </row>
    <row r="127" spans="1:22" s="817" customFormat="1">
      <c r="B127" s="1327"/>
      <c r="C127" s="1652" t="s">
        <v>8165</v>
      </c>
      <c r="D127" s="1652"/>
      <c r="E127" s="1652"/>
      <c r="F127" s="1652"/>
      <c r="G127" s="1666"/>
      <c r="H127" s="29"/>
      <c r="J127" s="15"/>
      <c r="K127" s="15"/>
      <c r="L127" s="15"/>
      <c r="M127" s="718"/>
      <c r="N127" s="15"/>
      <c r="O127" s="15"/>
      <c r="P127" s="15"/>
      <c r="Q127" s="15"/>
      <c r="R127" s="15"/>
      <c r="S127" s="15"/>
      <c r="T127" s="15"/>
      <c r="U127" s="15"/>
      <c r="V127" s="15"/>
    </row>
    <row r="128" spans="1:22" s="817" customFormat="1">
      <c r="B128" s="1327"/>
      <c r="C128" s="1652"/>
      <c r="D128" s="1652"/>
      <c r="E128" s="1652"/>
      <c r="F128" s="1652"/>
      <c r="G128" s="1666"/>
      <c r="H128" s="29"/>
      <c r="J128" s="15"/>
      <c r="K128" s="15"/>
      <c r="L128" s="15"/>
      <c r="M128" s="718"/>
      <c r="N128" s="15"/>
      <c r="O128" s="15"/>
      <c r="P128" s="15"/>
      <c r="Q128" s="15"/>
      <c r="R128" s="15"/>
      <c r="S128" s="15"/>
      <c r="T128" s="15"/>
      <c r="U128" s="15"/>
      <c r="V128" s="15"/>
    </row>
    <row r="129" spans="1:22" s="817" customFormat="1">
      <c r="B129" s="1327"/>
      <c r="C129" s="1654" t="s">
        <v>7526</v>
      </c>
      <c r="D129" s="1652"/>
      <c r="E129" s="1652"/>
      <c r="F129" s="1652"/>
      <c r="G129" s="1666"/>
      <c r="H129" s="29"/>
      <c r="J129" s="15"/>
      <c r="K129" s="15"/>
      <c r="L129" s="15"/>
      <c r="M129" s="718"/>
      <c r="N129" s="15"/>
      <c r="O129" s="15"/>
      <c r="P129" s="15"/>
      <c r="Q129" s="15"/>
      <c r="R129" s="15"/>
      <c r="S129" s="15"/>
      <c r="T129" s="15"/>
      <c r="U129" s="15"/>
      <c r="V129" s="15"/>
    </row>
    <row r="130" spans="1:22" s="817" customFormat="1">
      <c r="B130" s="1327"/>
      <c r="C130" s="1652" t="s">
        <v>7334</v>
      </c>
      <c r="D130" s="946"/>
      <c r="E130" s="1652"/>
      <c r="F130" s="1652"/>
      <c r="G130" s="1666"/>
      <c r="H130" s="29"/>
      <c r="J130" s="15"/>
      <c r="K130" s="15"/>
      <c r="L130" s="15"/>
      <c r="M130" s="718"/>
      <c r="N130" s="15"/>
      <c r="O130" s="15"/>
      <c r="P130" s="15"/>
      <c r="Q130" s="15"/>
      <c r="R130" s="15"/>
      <c r="S130" s="15"/>
      <c r="T130" s="15"/>
      <c r="U130" s="15"/>
      <c r="V130" s="15"/>
    </row>
    <row r="131" spans="1:22" s="817" customFormat="1">
      <c r="A131" s="738"/>
      <c r="B131" s="1327"/>
      <c r="C131" s="1652" t="s">
        <v>7448</v>
      </c>
      <c r="D131" s="946"/>
      <c r="E131" s="1652"/>
      <c r="F131" s="1652"/>
      <c r="G131" s="1666"/>
      <c r="H131" s="29"/>
      <c r="J131" s="15"/>
      <c r="K131" s="15"/>
      <c r="L131" s="15"/>
      <c r="M131" s="718"/>
      <c r="N131" s="15"/>
      <c r="O131" s="15"/>
      <c r="P131" s="15"/>
      <c r="Q131" s="15"/>
      <c r="R131" s="15"/>
      <c r="S131" s="15"/>
      <c r="T131" s="15"/>
      <c r="U131" s="15"/>
      <c r="V131" s="15"/>
    </row>
    <row r="132" spans="1:22" s="817" customFormat="1">
      <c r="A132" s="738"/>
      <c r="B132" s="1327"/>
      <c r="C132" s="1652" t="s">
        <v>7449</v>
      </c>
      <c r="D132" s="946"/>
      <c r="E132" s="1652"/>
      <c r="F132" s="1652"/>
      <c r="G132" s="1666"/>
      <c r="H132" s="29"/>
      <c r="J132" s="15"/>
      <c r="K132" s="15"/>
      <c r="L132" s="15"/>
      <c r="M132" s="718"/>
      <c r="N132" s="15"/>
      <c r="O132" s="15"/>
      <c r="P132" s="15"/>
      <c r="Q132" s="15"/>
      <c r="R132" s="15"/>
      <c r="S132" s="15"/>
      <c r="T132" s="15"/>
      <c r="U132" s="15"/>
      <c r="V132" s="15"/>
    </row>
    <row r="133" spans="1:22" s="817" customFormat="1">
      <c r="A133" s="738"/>
      <c r="B133" s="1327"/>
      <c r="C133" s="1652"/>
      <c r="D133" s="946"/>
      <c r="E133" s="1652"/>
      <c r="F133" s="1652"/>
      <c r="G133" s="1666"/>
      <c r="H133" s="29"/>
      <c r="J133" s="15"/>
      <c r="K133" s="15"/>
      <c r="L133" s="15"/>
      <c r="M133" s="718"/>
      <c r="N133" s="15"/>
      <c r="O133" s="15"/>
      <c r="P133" s="15"/>
      <c r="Q133" s="15"/>
      <c r="R133" s="15"/>
      <c r="S133" s="15"/>
      <c r="T133" s="15"/>
      <c r="U133" s="15"/>
      <c r="V133" s="15"/>
    </row>
    <row r="134" spans="1:22" s="738" customFormat="1">
      <c r="B134" s="1327"/>
      <c r="C134" s="1654" t="s">
        <v>7293</v>
      </c>
      <c r="D134" s="511"/>
      <c r="E134" s="511"/>
      <c r="F134" s="511"/>
      <c r="G134" s="639" t="s">
        <v>4105</v>
      </c>
      <c r="H134" s="29"/>
      <c r="J134" s="15"/>
      <c r="K134" s="15"/>
      <c r="L134" s="15"/>
      <c r="M134" s="718"/>
      <c r="N134" s="15"/>
      <c r="O134" s="15"/>
      <c r="P134" s="15"/>
      <c r="Q134" s="15"/>
      <c r="R134" s="15"/>
      <c r="S134" s="15"/>
      <c r="T134" s="15"/>
      <c r="U134" s="15"/>
      <c r="V134" s="15"/>
    </row>
    <row r="135" spans="1:22" s="738" customFormat="1">
      <c r="A135" s="790"/>
      <c r="B135" s="1327"/>
      <c r="C135" s="1652" t="s">
        <v>7294</v>
      </c>
      <c r="D135" s="946"/>
      <c r="E135" s="946"/>
      <c r="F135" s="946"/>
      <c r="G135" s="1652"/>
      <c r="H135" s="29"/>
      <c r="J135" s="15"/>
      <c r="K135" s="15"/>
      <c r="L135" s="15"/>
      <c r="M135" s="718"/>
      <c r="N135" s="15"/>
      <c r="O135" s="15"/>
      <c r="P135" s="15"/>
      <c r="Q135" s="15"/>
      <c r="R135" s="15"/>
      <c r="S135" s="15"/>
      <c r="T135" s="15"/>
      <c r="U135" s="15"/>
      <c r="V135" s="15"/>
    </row>
    <row r="136" spans="1:22" s="738" customFormat="1">
      <c r="A136" s="718"/>
      <c r="B136" s="1327"/>
      <c r="C136" s="1652" t="s">
        <v>7295</v>
      </c>
      <c r="D136" s="946"/>
      <c r="E136" s="946"/>
      <c r="F136" s="946"/>
      <c r="G136" s="1652"/>
      <c r="H136" s="29"/>
      <c r="J136" s="15"/>
      <c r="K136" s="15"/>
      <c r="L136" s="15"/>
      <c r="M136" s="718"/>
      <c r="N136" s="15"/>
      <c r="O136" s="15"/>
      <c r="P136" s="15"/>
      <c r="Q136" s="15"/>
      <c r="R136" s="15"/>
      <c r="S136" s="15"/>
      <c r="T136" s="15"/>
      <c r="U136" s="15"/>
      <c r="V136" s="15"/>
    </row>
    <row r="137" spans="1:22" s="738" customFormat="1">
      <c r="A137" s="718"/>
      <c r="B137" s="1327"/>
      <c r="C137" s="1652" t="s">
        <v>7296</v>
      </c>
      <c r="D137" s="946"/>
      <c r="E137" s="946"/>
      <c r="F137" s="946"/>
      <c r="G137" s="1652"/>
      <c r="H137" s="29"/>
      <c r="J137" s="15"/>
      <c r="K137" s="15"/>
      <c r="L137" s="15"/>
      <c r="M137" s="718"/>
      <c r="N137" s="15"/>
      <c r="O137" s="15"/>
      <c r="P137" s="15"/>
      <c r="Q137" s="15"/>
      <c r="R137" s="15"/>
      <c r="S137" s="15"/>
      <c r="T137" s="15"/>
      <c r="U137" s="15"/>
      <c r="V137" s="15"/>
    </row>
    <row r="138" spans="1:22" s="790" customFormat="1">
      <c r="A138" s="718"/>
      <c r="B138" s="1327"/>
      <c r="C138" s="1652" t="s">
        <v>7297</v>
      </c>
      <c r="D138" s="946"/>
      <c r="E138" s="946"/>
      <c r="F138" s="946"/>
      <c r="G138" s="1652"/>
      <c r="H138" s="29"/>
      <c r="J138" s="15"/>
      <c r="K138" s="15"/>
      <c r="L138" s="15"/>
      <c r="M138" s="718"/>
      <c r="N138" s="15"/>
      <c r="O138" s="15"/>
      <c r="P138" s="15"/>
      <c r="Q138" s="15"/>
      <c r="R138" s="15"/>
      <c r="S138" s="15"/>
      <c r="T138" s="15"/>
      <c r="U138" s="15"/>
      <c r="V138" s="15"/>
    </row>
    <row r="139" spans="1:22" s="718" customFormat="1">
      <c r="A139" s="15"/>
      <c r="B139" s="1327"/>
      <c r="C139" s="1652"/>
      <c r="D139" s="946"/>
      <c r="E139" s="946"/>
      <c r="F139" s="946"/>
      <c r="G139" s="1652"/>
      <c r="H139" s="29"/>
      <c r="J139" s="15"/>
      <c r="K139" s="15"/>
      <c r="L139" s="15"/>
      <c r="N139" s="15"/>
      <c r="O139" s="15"/>
      <c r="P139" s="15"/>
      <c r="Q139" s="15"/>
      <c r="R139" s="15"/>
      <c r="S139" s="15"/>
      <c r="T139" s="15"/>
      <c r="U139" s="15"/>
      <c r="V139" s="15"/>
    </row>
    <row r="140" spans="1:22" s="718" customFormat="1">
      <c r="A140" s="15"/>
      <c r="B140" s="1327"/>
      <c r="C140" s="639" t="s">
        <v>6895</v>
      </c>
      <c r="D140" s="946"/>
      <c r="E140" s="946"/>
      <c r="F140" s="946"/>
      <c r="G140" s="639" t="s">
        <v>4105</v>
      </c>
      <c r="H140" s="29"/>
      <c r="J140" s="15"/>
      <c r="K140" s="15"/>
      <c r="L140" s="15"/>
      <c r="N140" s="15"/>
      <c r="O140" s="15"/>
      <c r="P140" s="15"/>
      <c r="Q140" s="15"/>
      <c r="R140" s="15"/>
      <c r="S140" s="15"/>
      <c r="T140" s="15"/>
      <c r="U140" s="15"/>
      <c r="V140" s="15"/>
    </row>
    <row r="141" spans="1:22" s="718" customFormat="1">
      <c r="A141" s="15"/>
      <c r="B141" s="1327"/>
      <c r="C141" s="511" t="s">
        <v>6975</v>
      </c>
      <c r="D141" s="511"/>
      <c r="E141" s="511"/>
      <c r="F141" s="511"/>
      <c r="G141" s="1652"/>
      <c r="H141" s="29"/>
      <c r="J141" s="15"/>
      <c r="K141" s="15"/>
      <c r="L141" s="15"/>
      <c r="N141" s="15"/>
      <c r="O141" s="15"/>
      <c r="P141" s="15"/>
      <c r="Q141" s="15"/>
      <c r="R141" s="15"/>
      <c r="S141" s="15"/>
      <c r="T141" s="15"/>
      <c r="U141" s="15"/>
      <c r="V141" s="15"/>
    </row>
    <row r="142" spans="1:22">
      <c r="B142" s="1327"/>
      <c r="C142" s="511" t="s">
        <v>6972</v>
      </c>
      <c r="D142" s="946"/>
      <c r="E142" s="511"/>
      <c r="F142" s="511"/>
      <c r="G142" s="1652"/>
      <c r="H142" s="29"/>
    </row>
    <row r="143" spans="1:22">
      <c r="B143" s="1327"/>
      <c r="C143" s="511"/>
      <c r="D143" s="946"/>
      <c r="E143" s="511"/>
      <c r="F143" s="511"/>
      <c r="G143" s="1652"/>
      <c r="H143" s="29"/>
    </row>
    <row r="144" spans="1:22">
      <c r="B144" s="1327"/>
      <c r="C144" s="639" t="s">
        <v>6633</v>
      </c>
      <c r="D144" s="946"/>
      <c r="E144" s="511"/>
      <c r="F144" s="511"/>
      <c r="G144" s="639" t="s">
        <v>4105</v>
      </c>
      <c r="H144" s="29"/>
    </row>
    <row r="145" spans="1:22">
      <c r="B145" s="1327"/>
      <c r="C145" s="946" t="s">
        <v>6620</v>
      </c>
      <c r="D145" s="946"/>
      <c r="E145" s="511"/>
      <c r="F145" s="511"/>
      <c r="G145" s="946" t="s">
        <v>4107</v>
      </c>
      <c r="H145" s="29"/>
    </row>
    <row r="146" spans="1:22">
      <c r="B146" s="1327"/>
      <c r="C146" s="946" t="s">
        <v>6621</v>
      </c>
      <c r="D146" s="946"/>
      <c r="E146" s="511"/>
      <c r="F146" s="511"/>
      <c r="G146" s="946"/>
      <c r="H146" s="29"/>
    </row>
    <row r="147" spans="1:22">
      <c r="B147" s="1327"/>
      <c r="C147" s="946" t="s">
        <v>6625</v>
      </c>
      <c r="D147" s="511"/>
      <c r="E147" s="511"/>
      <c r="F147" s="511"/>
      <c r="G147" s="946"/>
      <c r="H147" s="29"/>
    </row>
    <row r="148" spans="1:22">
      <c r="B148" s="26"/>
      <c r="C148" s="946" t="s">
        <v>6627</v>
      </c>
      <c r="D148" s="511"/>
      <c r="E148" s="511"/>
      <c r="F148" s="511"/>
      <c r="G148" s="946"/>
      <c r="H148" s="29"/>
    </row>
    <row r="149" spans="1:22">
      <c r="B149" s="26"/>
      <c r="C149" s="946" t="s">
        <v>6630</v>
      </c>
      <c r="D149" s="946"/>
      <c r="E149" s="946"/>
      <c r="F149" s="946"/>
      <c r="G149" s="946" t="s">
        <v>4107</v>
      </c>
      <c r="H149" s="29"/>
    </row>
    <row r="150" spans="1:22">
      <c r="A150" s="694"/>
      <c r="B150" s="26"/>
      <c r="C150" s="946"/>
      <c r="D150" s="946"/>
      <c r="E150" s="946"/>
      <c r="F150" s="946"/>
      <c r="G150" s="946"/>
      <c r="H150" s="29"/>
    </row>
    <row r="151" spans="1:22">
      <c r="A151" s="694"/>
      <c r="B151" s="26"/>
      <c r="C151" s="639" t="s">
        <v>6619</v>
      </c>
      <c r="D151" s="946"/>
      <c r="E151" s="946"/>
      <c r="F151" s="946"/>
      <c r="G151" s="639" t="s">
        <v>4105</v>
      </c>
      <c r="H151" s="29"/>
    </row>
    <row r="152" spans="1:22">
      <c r="B152" s="26"/>
      <c r="C152" s="946" t="s">
        <v>6606</v>
      </c>
      <c r="D152" s="946"/>
      <c r="E152" s="946"/>
      <c r="F152" s="946"/>
      <c r="G152" s="639"/>
      <c r="H152" s="29"/>
    </row>
    <row r="153" spans="1:22" s="694" customFormat="1">
      <c r="A153" s="15"/>
      <c r="B153" s="26"/>
      <c r="C153" s="946" t="s">
        <v>6608</v>
      </c>
      <c r="D153" s="946"/>
      <c r="E153" s="946"/>
      <c r="F153" s="946"/>
      <c r="G153" s="639"/>
      <c r="H153" s="29"/>
      <c r="J153" s="15"/>
      <c r="K153" s="15"/>
      <c r="L153" s="15"/>
      <c r="M153" s="718"/>
      <c r="N153" s="15"/>
      <c r="O153" s="15"/>
      <c r="P153" s="15"/>
      <c r="Q153" s="15"/>
      <c r="R153" s="15"/>
      <c r="S153" s="15"/>
      <c r="T153" s="15"/>
      <c r="U153" s="15"/>
      <c r="V153" s="15"/>
    </row>
    <row r="154" spans="1:22" s="694" customFormat="1">
      <c r="A154" s="15"/>
      <c r="B154" s="26"/>
      <c r="C154" s="946" t="s">
        <v>6609</v>
      </c>
      <c r="D154" s="946"/>
      <c r="E154" s="946"/>
      <c r="F154" s="946"/>
      <c r="G154" s="639"/>
      <c r="H154" s="29"/>
      <c r="J154" s="15"/>
      <c r="K154" s="15"/>
      <c r="L154" s="15"/>
      <c r="M154" s="718"/>
      <c r="N154" s="15"/>
      <c r="O154" s="15"/>
      <c r="P154" s="15"/>
      <c r="Q154" s="15"/>
      <c r="R154" s="15"/>
      <c r="S154" s="15"/>
      <c r="T154" s="15"/>
      <c r="U154" s="15"/>
      <c r="V154" s="15"/>
    </row>
    <row r="155" spans="1:22">
      <c r="B155" s="26"/>
      <c r="C155" s="946" t="s">
        <v>6616</v>
      </c>
      <c r="D155" s="946"/>
      <c r="E155" s="946"/>
      <c r="F155" s="946"/>
      <c r="G155" s="639"/>
      <c r="H155" s="29"/>
    </row>
    <row r="156" spans="1:22">
      <c r="B156" s="26"/>
      <c r="C156" s="946" t="s">
        <v>6617</v>
      </c>
      <c r="D156" s="511"/>
      <c r="E156" s="511"/>
      <c r="F156" s="511"/>
      <c r="G156" s="639"/>
      <c r="H156" s="29"/>
    </row>
    <row r="157" spans="1:22">
      <c r="B157" s="26"/>
      <c r="C157" s="639"/>
      <c r="D157" s="511"/>
      <c r="E157" s="511"/>
      <c r="F157" s="511"/>
      <c r="G157" s="639"/>
      <c r="H157" s="29"/>
      <c r="I157" s="1132"/>
    </row>
    <row r="158" spans="1:22">
      <c r="B158" s="26"/>
      <c r="C158" s="639" t="s">
        <v>6600</v>
      </c>
      <c r="D158" s="511"/>
      <c r="E158" s="511"/>
      <c r="F158" s="511"/>
      <c r="G158" s="639" t="s">
        <v>4105</v>
      </c>
      <c r="H158" s="29"/>
      <c r="I158" s="1132"/>
    </row>
    <row r="159" spans="1:22">
      <c r="B159" s="26"/>
      <c r="C159" s="946" t="s">
        <v>6217</v>
      </c>
      <c r="D159" s="511"/>
      <c r="E159" s="511"/>
      <c r="F159" s="511"/>
      <c r="G159" s="946" t="s">
        <v>4107</v>
      </c>
      <c r="H159" s="29"/>
      <c r="I159" s="1132"/>
    </row>
    <row r="160" spans="1:22">
      <c r="B160" s="26"/>
      <c r="C160" s="946" t="s">
        <v>6218</v>
      </c>
      <c r="D160" s="511"/>
      <c r="E160" s="511"/>
      <c r="F160" s="511"/>
      <c r="G160" s="946"/>
      <c r="H160" s="29"/>
      <c r="I160" s="1132"/>
    </row>
    <row r="161" spans="2:9">
      <c r="B161" s="26"/>
      <c r="C161" s="946" t="s">
        <v>6239</v>
      </c>
      <c r="D161" s="511"/>
      <c r="E161" s="511"/>
      <c r="F161" s="511"/>
      <c r="G161" s="511" t="s">
        <v>4106</v>
      </c>
      <c r="H161" s="29"/>
      <c r="I161" s="1132"/>
    </row>
    <row r="162" spans="2:9">
      <c r="B162" s="26"/>
      <c r="C162" s="946" t="s">
        <v>6456</v>
      </c>
      <c r="D162" s="511"/>
      <c r="E162" s="511"/>
      <c r="F162" s="511"/>
      <c r="G162" s="511" t="s">
        <v>4107</v>
      </c>
      <c r="H162" s="29"/>
    </row>
    <row r="163" spans="2:9">
      <c r="B163" s="26"/>
      <c r="C163" s="946" t="s">
        <v>6497</v>
      </c>
      <c r="D163" s="511"/>
      <c r="E163" s="511"/>
      <c r="F163" s="511"/>
      <c r="G163" s="511" t="s">
        <v>4106</v>
      </c>
      <c r="H163" s="29"/>
    </row>
    <row r="164" spans="2:9">
      <c r="B164" s="26"/>
      <c r="C164" s="946" t="s">
        <v>6581</v>
      </c>
      <c r="D164" s="511"/>
      <c r="E164" s="511"/>
      <c r="F164" s="511"/>
      <c r="G164" s="946" t="s">
        <v>4107</v>
      </c>
      <c r="H164" s="29"/>
    </row>
    <row r="165" spans="2:9">
      <c r="B165" s="26"/>
      <c r="C165" s="946"/>
      <c r="D165" s="946"/>
      <c r="E165" s="946"/>
      <c r="F165" s="946"/>
      <c r="G165" s="946"/>
      <c r="H165" s="29"/>
    </row>
    <row r="166" spans="2:9">
      <c r="B166" s="26"/>
      <c r="C166" s="639" t="s">
        <v>6214</v>
      </c>
      <c r="D166" s="946"/>
      <c r="E166" s="946"/>
      <c r="F166" s="946"/>
      <c r="G166" s="639" t="s">
        <v>4105</v>
      </c>
      <c r="H166" s="29"/>
    </row>
    <row r="167" spans="2:9">
      <c r="B167" s="26"/>
      <c r="C167" s="946" t="s">
        <v>6185</v>
      </c>
      <c r="D167" s="946"/>
      <c r="E167" s="946"/>
      <c r="F167" s="946"/>
      <c r="G167" s="639"/>
      <c r="H167" s="29"/>
    </row>
    <row r="168" spans="2:9">
      <c r="B168" s="26"/>
      <c r="C168" s="511" t="s">
        <v>6215</v>
      </c>
      <c r="D168" s="946"/>
      <c r="E168" s="946"/>
      <c r="F168" s="946"/>
      <c r="G168" s="639"/>
      <c r="H168" s="29"/>
    </row>
    <row r="169" spans="2:9">
      <c r="B169" s="26"/>
      <c r="C169" s="946" t="s">
        <v>6213</v>
      </c>
      <c r="D169" s="946"/>
      <c r="E169" s="946"/>
      <c r="F169" s="946"/>
      <c r="G169" s="946" t="s">
        <v>4107</v>
      </c>
      <c r="H169" s="29"/>
    </row>
    <row r="170" spans="2:9">
      <c r="B170" s="26"/>
      <c r="C170" s="639"/>
      <c r="D170" s="946"/>
      <c r="E170" s="946"/>
      <c r="F170" s="946"/>
      <c r="G170" s="639"/>
      <c r="H170" s="29"/>
    </row>
    <row r="171" spans="2:9">
      <c r="B171" s="26"/>
      <c r="C171" s="639" t="s">
        <v>6173</v>
      </c>
      <c r="D171" s="946"/>
      <c r="E171" s="946"/>
      <c r="F171" s="946"/>
      <c r="G171" s="639" t="s">
        <v>4105</v>
      </c>
      <c r="H171" s="29"/>
    </row>
    <row r="172" spans="2:9">
      <c r="B172" s="26"/>
      <c r="C172" s="946" t="s">
        <v>6172</v>
      </c>
      <c r="D172" s="946"/>
      <c r="E172" s="946"/>
      <c r="F172" s="946"/>
      <c r="G172" s="639"/>
      <c r="H172" s="29"/>
    </row>
    <row r="173" spans="2:9">
      <c r="B173" s="26"/>
      <c r="C173" s="639"/>
      <c r="D173" s="946"/>
      <c r="E173" s="946"/>
      <c r="F173" s="946"/>
      <c r="G173" s="639"/>
      <c r="H173" s="29"/>
    </row>
    <row r="174" spans="2:9">
      <c r="B174" s="26"/>
      <c r="C174" s="639" t="s">
        <v>6132</v>
      </c>
      <c r="D174" s="946"/>
      <c r="E174" s="946"/>
      <c r="F174" s="946"/>
      <c r="G174" s="639" t="s">
        <v>4105</v>
      </c>
      <c r="H174" s="29"/>
    </row>
    <row r="175" spans="2:9">
      <c r="B175" s="26"/>
      <c r="C175" s="946" t="s">
        <v>6099</v>
      </c>
      <c r="D175" s="946"/>
      <c r="E175" s="946"/>
      <c r="F175" s="946"/>
      <c r="G175" s="946" t="s">
        <v>4107</v>
      </c>
      <c r="H175" s="29"/>
    </row>
    <row r="176" spans="2:9">
      <c r="B176" s="26"/>
      <c r="C176" s="946" t="s">
        <v>6098</v>
      </c>
      <c r="D176" s="511"/>
      <c r="E176" s="511"/>
      <c r="F176" s="511"/>
      <c r="G176" s="946" t="s">
        <v>4107</v>
      </c>
      <c r="H176" s="29"/>
    </row>
    <row r="177" spans="2:8">
      <c r="B177" s="26"/>
      <c r="C177" s="946" t="s">
        <v>6130</v>
      </c>
      <c r="D177" s="511"/>
      <c r="E177" s="511"/>
      <c r="F177" s="511"/>
      <c r="G177" s="946"/>
      <c r="H177" s="29"/>
    </row>
    <row r="178" spans="2:8">
      <c r="B178" s="26"/>
      <c r="C178" s="946" t="s">
        <v>6157</v>
      </c>
      <c r="D178" s="511"/>
      <c r="E178" s="511"/>
      <c r="F178" s="511"/>
      <c r="G178" s="946"/>
      <c r="H178" s="29"/>
    </row>
    <row r="179" spans="2:8">
      <c r="B179" s="26"/>
      <c r="C179" s="946" t="s">
        <v>6097</v>
      </c>
      <c r="D179" s="511"/>
      <c r="E179" s="511"/>
      <c r="F179" s="511"/>
      <c r="G179" s="946"/>
      <c r="H179" s="29"/>
    </row>
    <row r="180" spans="2:8">
      <c r="B180" s="26"/>
      <c r="C180" s="946" t="s">
        <v>6113</v>
      </c>
      <c r="D180" s="511"/>
      <c r="E180" s="511"/>
      <c r="F180" s="511"/>
      <c r="G180" s="946"/>
      <c r="H180" s="29"/>
    </row>
    <row r="181" spans="2:8">
      <c r="B181" s="26"/>
      <c r="C181" s="946" t="s">
        <v>6158</v>
      </c>
      <c r="D181" s="946"/>
      <c r="E181" s="946"/>
      <c r="F181" s="946"/>
      <c r="G181" s="946" t="s">
        <v>4107</v>
      </c>
      <c r="H181" s="29"/>
    </row>
    <row r="182" spans="2:8">
      <c r="B182" s="26"/>
      <c r="C182" s="946" t="s">
        <v>6126</v>
      </c>
      <c r="D182" s="946"/>
      <c r="E182" s="946"/>
      <c r="F182" s="946"/>
      <c r="G182" s="946"/>
      <c r="H182" s="29"/>
    </row>
    <row r="183" spans="2:8">
      <c r="B183" s="26"/>
      <c r="C183" s="946" t="s">
        <v>6155</v>
      </c>
      <c r="D183" s="946"/>
      <c r="E183" s="946"/>
      <c r="F183" s="946"/>
      <c r="G183" s="946" t="s">
        <v>4107</v>
      </c>
      <c r="H183" s="29"/>
    </row>
    <row r="184" spans="2:8">
      <c r="B184" s="26"/>
      <c r="C184" s="946" t="s">
        <v>6156</v>
      </c>
      <c r="D184" s="946"/>
      <c r="E184" s="946"/>
      <c r="F184" s="946"/>
      <c r="G184" s="946" t="s">
        <v>4107</v>
      </c>
      <c r="H184" s="29"/>
    </row>
    <row r="185" spans="2:8">
      <c r="B185" s="26"/>
      <c r="C185" s="946"/>
      <c r="D185" s="511"/>
      <c r="E185" s="511"/>
      <c r="F185" s="511"/>
      <c r="G185" s="946"/>
      <c r="H185" s="29"/>
    </row>
    <row r="186" spans="2:8">
      <c r="B186" s="26"/>
      <c r="C186" s="639" t="s">
        <v>6084</v>
      </c>
      <c r="D186" s="511"/>
      <c r="E186" s="511"/>
      <c r="F186" s="511"/>
      <c r="G186" s="639" t="s">
        <v>4105</v>
      </c>
      <c r="H186" s="29"/>
    </row>
    <row r="187" spans="2:8">
      <c r="B187" s="26"/>
      <c r="C187" s="946" t="s">
        <v>6085</v>
      </c>
      <c r="D187" s="946"/>
      <c r="E187" s="946"/>
      <c r="F187" s="946"/>
      <c r="G187" s="639"/>
      <c r="H187" s="29"/>
    </row>
    <row r="188" spans="2:8">
      <c r="B188" s="26"/>
      <c r="C188" s="511" t="s">
        <v>6086</v>
      </c>
      <c r="D188" s="946"/>
      <c r="E188" s="946"/>
      <c r="F188" s="946"/>
      <c r="G188" s="639"/>
      <c r="H188" s="29"/>
    </row>
    <row r="189" spans="2:8">
      <c r="B189" s="26"/>
      <c r="C189" s="639"/>
      <c r="D189" s="946"/>
      <c r="E189" s="946"/>
      <c r="F189" s="946"/>
      <c r="G189" s="639"/>
      <c r="H189" s="29"/>
    </row>
    <row r="190" spans="2:8">
      <c r="B190" s="26"/>
      <c r="C190" s="639" t="s">
        <v>6073</v>
      </c>
      <c r="D190" s="946"/>
      <c r="E190" s="946"/>
      <c r="F190" s="946"/>
      <c r="G190" s="639" t="s">
        <v>4105</v>
      </c>
      <c r="H190" s="29"/>
    </row>
    <row r="191" spans="2:8">
      <c r="B191" s="26"/>
      <c r="C191" s="946" t="s">
        <v>5963</v>
      </c>
      <c r="D191" s="946"/>
      <c r="E191" s="946"/>
      <c r="F191" s="946"/>
      <c r="G191" s="946" t="s">
        <v>4106</v>
      </c>
      <c r="H191" s="29"/>
    </row>
    <row r="192" spans="2:8">
      <c r="B192" s="26"/>
      <c r="C192" s="946" t="s">
        <v>6010</v>
      </c>
      <c r="D192" s="946"/>
      <c r="E192" s="946"/>
      <c r="F192" s="946"/>
      <c r="G192" s="946" t="s">
        <v>4106</v>
      </c>
      <c r="H192" s="29"/>
    </row>
    <row r="193" spans="2:8">
      <c r="B193" s="26"/>
      <c r="C193" s="946" t="s">
        <v>6065</v>
      </c>
      <c r="D193" s="511"/>
      <c r="E193" s="511"/>
      <c r="F193" s="511"/>
      <c r="G193" s="946" t="s">
        <v>4107</v>
      </c>
      <c r="H193" s="29"/>
    </row>
    <row r="194" spans="2:8">
      <c r="B194" s="26"/>
      <c r="C194" s="946" t="s">
        <v>6072</v>
      </c>
      <c r="D194" s="946"/>
      <c r="E194" s="946"/>
      <c r="F194" s="946"/>
      <c r="G194" s="946"/>
      <c r="H194" s="29"/>
    </row>
    <row r="195" spans="2:8">
      <c r="B195" s="26"/>
      <c r="C195" s="639"/>
      <c r="D195" s="946"/>
      <c r="E195" s="946"/>
      <c r="F195" s="946"/>
      <c r="G195" s="639"/>
      <c r="H195" s="29"/>
    </row>
    <row r="196" spans="2:8">
      <c r="B196" s="26"/>
      <c r="C196" s="639" t="s">
        <v>5962</v>
      </c>
      <c r="D196" s="946"/>
      <c r="E196" s="946"/>
      <c r="F196" s="946"/>
      <c r="G196" s="639" t="s">
        <v>4105</v>
      </c>
      <c r="H196" s="29"/>
    </row>
    <row r="197" spans="2:8">
      <c r="B197" s="26"/>
      <c r="C197" s="946" t="s">
        <v>5955</v>
      </c>
      <c r="D197" s="946"/>
      <c r="E197" s="946"/>
      <c r="F197" s="946"/>
      <c r="G197" s="946" t="s">
        <v>4107</v>
      </c>
      <c r="H197" s="29"/>
    </row>
    <row r="198" spans="2:8">
      <c r="B198" s="26"/>
      <c r="C198" s="946" t="s">
        <v>5956</v>
      </c>
      <c r="D198" s="511"/>
      <c r="E198" s="511"/>
      <c r="F198" s="511"/>
      <c r="G198" s="946" t="s">
        <v>4107</v>
      </c>
      <c r="H198" s="29"/>
    </row>
    <row r="199" spans="2:8">
      <c r="B199" s="26"/>
      <c r="C199" s="946" t="s">
        <v>5957</v>
      </c>
      <c r="D199" s="511"/>
      <c r="E199" s="511"/>
      <c r="F199" s="511"/>
      <c r="G199" s="946" t="s">
        <v>4107</v>
      </c>
      <c r="H199" s="29"/>
    </row>
    <row r="200" spans="2:8">
      <c r="B200" s="26"/>
      <c r="C200" s="946" t="s">
        <v>5958</v>
      </c>
      <c r="D200" s="946"/>
      <c r="E200" s="946"/>
      <c r="F200" s="946"/>
      <c r="G200" s="946" t="s">
        <v>4107</v>
      </c>
      <c r="H200" s="29"/>
    </row>
    <row r="201" spans="2:8">
      <c r="B201" s="26"/>
      <c r="C201" s="946" t="s">
        <v>5961</v>
      </c>
      <c r="D201" s="946"/>
      <c r="E201" s="946"/>
      <c r="F201" s="946"/>
      <c r="G201" s="946" t="s">
        <v>4107</v>
      </c>
      <c r="H201" s="29"/>
    </row>
    <row r="202" spans="2:8">
      <c r="B202" s="26"/>
      <c r="C202" s="946"/>
      <c r="D202" s="946"/>
      <c r="E202" s="946"/>
      <c r="F202" s="946"/>
      <c r="G202" s="946"/>
      <c r="H202" s="29"/>
    </row>
    <row r="203" spans="2:8">
      <c r="B203" s="26"/>
      <c r="C203" s="639" t="s">
        <v>5830</v>
      </c>
      <c r="D203" s="511"/>
      <c r="E203" s="511"/>
      <c r="F203" s="511"/>
      <c r="G203" s="639" t="s">
        <v>4105</v>
      </c>
      <c r="H203" s="29"/>
    </row>
    <row r="204" spans="2:8">
      <c r="B204" s="26"/>
      <c r="C204" s="946" t="s">
        <v>5824</v>
      </c>
      <c r="D204" s="511"/>
      <c r="E204" s="511"/>
      <c r="F204" s="511"/>
      <c r="G204" s="946" t="s">
        <v>4107</v>
      </c>
      <c r="H204" s="29"/>
    </row>
    <row r="205" spans="2:8">
      <c r="B205" s="26"/>
      <c r="C205" s="946" t="s">
        <v>5823</v>
      </c>
      <c r="D205" s="511"/>
      <c r="E205" s="511"/>
      <c r="F205" s="511"/>
      <c r="G205" s="946" t="s">
        <v>4107</v>
      </c>
      <c r="H205" s="29"/>
    </row>
    <row r="206" spans="2:8">
      <c r="B206" s="26"/>
      <c r="C206" s="946" t="s">
        <v>5825</v>
      </c>
      <c r="D206" s="511"/>
      <c r="E206" s="511"/>
      <c r="F206" s="511"/>
      <c r="G206" s="946" t="s">
        <v>4107</v>
      </c>
      <c r="H206" s="29"/>
    </row>
    <row r="207" spans="2:8">
      <c r="B207" s="26"/>
      <c r="C207" s="946" t="s">
        <v>5826</v>
      </c>
      <c r="D207" s="511"/>
      <c r="E207" s="511"/>
      <c r="F207" s="511"/>
      <c r="G207" s="946" t="s">
        <v>4107</v>
      </c>
      <c r="H207" s="29"/>
    </row>
    <row r="208" spans="2:8">
      <c r="B208" s="26"/>
      <c r="C208" s="639"/>
      <c r="D208" s="511"/>
      <c r="E208" s="511"/>
      <c r="F208" s="511"/>
      <c r="G208" s="639"/>
      <c r="H208" s="29"/>
    </row>
    <row r="209" spans="2:8">
      <c r="B209" s="26"/>
      <c r="C209" s="639" t="s">
        <v>5778</v>
      </c>
      <c r="D209" s="511"/>
      <c r="E209" s="511"/>
      <c r="F209" s="511"/>
      <c r="G209" s="639" t="s">
        <v>4105</v>
      </c>
      <c r="H209" s="29"/>
    </row>
    <row r="210" spans="2:8">
      <c r="B210" s="26"/>
      <c r="C210" s="946" t="s">
        <v>5720</v>
      </c>
      <c r="D210" s="1652"/>
      <c r="E210" s="1652"/>
      <c r="F210" s="1652"/>
      <c r="G210" s="946" t="s">
        <v>4107</v>
      </c>
      <c r="H210" s="29"/>
    </row>
    <row r="211" spans="2:8">
      <c r="B211" s="26"/>
      <c r="C211" s="946" t="s">
        <v>5721</v>
      </c>
      <c r="D211" s="1652"/>
      <c r="E211" s="1652"/>
      <c r="F211" s="1652"/>
      <c r="G211" s="946" t="s">
        <v>4107</v>
      </c>
      <c r="H211" s="29"/>
    </row>
    <row r="212" spans="2:8">
      <c r="B212" s="26"/>
      <c r="C212" s="946" t="s">
        <v>5722</v>
      </c>
      <c r="D212" s="1652"/>
      <c r="E212" s="1652"/>
      <c r="F212" s="1652"/>
      <c r="G212" s="946" t="s">
        <v>4107</v>
      </c>
      <c r="H212" s="29"/>
    </row>
    <row r="213" spans="2:8">
      <c r="B213" s="26"/>
      <c r="C213" s="639"/>
      <c r="D213" s="1652"/>
      <c r="E213" s="1652"/>
      <c r="F213" s="1652"/>
      <c r="G213" s="639"/>
      <c r="H213" s="29"/>
    </row>
    <row r="214" spans="2:8">
      <c r="B214" s="26"/>
      <c r="C214" s="639" t="s">
        <v>4539</v>
      </c>
      <c r="D214" s="1652"/>
      <c r="E214" s="1652"/>
      <c r="F214" s="1652"/>
      <c r="G214" s="639" t="s">
        <v>4105</v>
      </c>
      <c r="H214" s="29"/>
    </row>
    <row r="215" spans="2:8">
      <c r="B215" s="26"/>
      <c r="C215" s="511" t="s">
        <v>4527</v>
      </c>
      <c r="D215" s="1652"/>
      <c r="E215" s="1652"/>
      <c r="F215" s="1652"/>
      <c r="G215" s="511" t="s">
        <v>4107</v>
      </c>
      <c r="H215" s="29"/>
    </row>
    <row r="216" spans="2:8">
      <c r="B216" s="26"/>
      <c r="C216" s="511" t="s">
        <v>4528</v>
      </c>
      <c r="D216" s="1652"/>
      <c r="E216" s="1652"/>
      <c r="F216" s="1652"/>
      <c r="G216" s="511" t="s">
        <v>4107</v>
      </c>
      <c r="H216" s="29"/>
    </row>
    <row r="217" spans="2:8">
      <c r="B217" s="26"/>
      <c r="C217" s="511" t="s">
        <v>4532</v>
      </c>
      <c r="D217" s="1652"/>
      <c r="E217" s="1652"/>
      <c r="F217" s="1652"/>
      <c r="G217" s="511" t="s">
        <v>4107</v>
      </c>
      <c r="H217" s="29"/>
    </row>
    <row r="218" spans="2:8">
      <c r="B218" s="26"/>
      <c r="C218" s="511" t="s">
        <v>4642</v>
      </c>
      <c r="D218" s="1652"/>
      <c r="E218" s="1652"/>
      <c r="F218" s="1652"/>
      <c r="G218" s="511" t="s">
        <v>4106</v>
      </c>
      <c r="H218" s="29"/>
    </row>
    <row r="219" spans="2:8">
      <c r="B219" s="26"/>
      <c r="C219" s="511" t="s">
        <v>4717</v>
      </c>
      <c r="D219" s="1652"/>
      <c r="E219" s="1652"/>
      <c r="F219" s="1652"/>
      <c r="G219" s="511" t="s">
        <v>4107</v>
      </c>
      <c r="H219" s="29"/>
    </row>
    <row r="220" spans="2:8">
      <c r="B220" s="26"/>
      <c r="C220" s="1652"/>
      <c r="D220" s="1652"/>
      <c r="E220" s="1652"/>
      <c r="F220" s="1652"/>
      <c r="G220" s="1652"/>
      <c r="H220" s="29"/>
    </row>
    <row r="221" spans="2:8">
      <c r="B221" s="26"/>
      <c r="C221" s="639" t="s">
        <v>4375</v>
      </c>
      <c r="D221" s="1652"/>
      <c r="E221" s="1652"/>
      <c r="F221" s="1652"/>
      <c r="G221" s="1654" t="s">
        <v>4105</v>
      </c>
      <c r="H221" s="29"/>
    </row>
    <row r="222" spans="2:8">
      <c r="B222" s="26"/>
      <c r="C222" s="511" t="s">
        <v>4381</v>
      </c>
      <c r="D222" s="1652"/>
      <c r="E222" s="1652"/>
      <c r="F222" s="1652"/>
      <c r="G222" s="1652" t="s">
        <v>4107</v>
      </c>
      <c r="H222" s="29"/>
    </row>
    <row r="223" spans="2:8">
      <c r="B223" s="26"/>
      <c r="C223" s="511" t="s">
        <v>4376</v>
      </c>
      <c r="D223" s="1654"/>
      <c r="E223" s="1654"/>
      <c r="F223" s="1654"/>
      <c r="G223" s="1652" t="s">
        <v>4106</v>
      </c>
      <c r="H223" s="29"/>
    </row>
    <row r="224" spans="2:8">
      <c r="B224" s="26"/>
      <c r="C224" s="511" t="s">
        <v>4504</v>
      </c>
      <c r="D224" s="1652"/>
      <c r="E224" s="1652"/>
      <c r="F224" s="1652"/>
      <c r="G224" s="1652" t="s">
        <v>4106</v>
      </c>
      <c r="H224" s="29"/>
    </row>
    <row r="225" spans="2:8">
      <c r="B225" s="26"/>
      <c r="C225" s="511" t="s">
        <v>4505</v>
      </c>
      <c r="D225" s="1652"/>
      <c r="E225" s="1652"/>
      <c r="F225" s="1652"/>
      <c r="G225" s="1652" t="s">
        <v>4107</v>
      </c>
      <c r="H225" s="29"/>
    </row>
    <row r="226" spans="2:8">
      <c r="B226" s="26"/>
      <c r="C226" s="511" t="s">
        <v>4373</v>
      </c>
      <c r="D226" s="1652"/>
      <c r="E226" s="1652"/>
      <c r="F226" s="1652"/>
      <c r="G226" s="1652" t="s">
        <v>4106</v>
      </c>
      <c r="H226" s="29"/>
    </row>
    <row r="227" spans="2:8">
      <c r="B227" s="26"/>
      <c r="C227" s="1652"/>
      <c r="D227" s="1652"/>
      <c r="E227" s="1652"/>
      <c r="F227" s="1652"/>
      <c r="G227" s="1652"/>
      <c r="H227" s="29"/>
    </row>
    <row r="228" spans="2:8">
      <c r="B228" s="1327"/>
      <c r="C228" s="1654" t="s">
        <v>4193</v>
      </c>
      <c r="D228" s="1652"/>
      <c r="E228" s="1652"/>
      <c r="F228" s="1652"/>
      <c r="G228" s="1654" t="s">
        <v>4105</v>
      </c>
      <c r="H228" s="29"/>
    </row>
    <row r="229" spans="2:8">
      <c r="B229" s="1327"/>
      <c r="C229" s="1652" t="s">
        <v>4194</v>
      </c>
      <c r="D229" s="1652"/>
      <c r="E229" s="1652"/>
      <c r="F229" s="1652"/>
      <c r="G229" s="1652" t="s">
        <v>4106</v>
      </c>
      <c r="H229" s="29"/>
    </row>
    <row r="230" spans="2:8">
      <c r="B230" s="1327"/>
      <c r="C230" s="1652" t="s">
        <v>4213</v>
      </c>
      <c r="D230" s="1652"/>
      <c r="E230" s="1652"/>
      <c r="F230" s="1652"/>
      <c r="G230" s="1652" t="s">
        <v>4276</v>
      </c>
      <c r="H230" s="29"/>
    </row>
    <row r="231" spans="2:8">
      <c r="B231" s="1327"/>
      <c r="C231" s="1652" t="s">
        <v>4355</v>
      </c>
      <c r="D231" s="1652"/>
      <c r="E231" s="1652"/>
      <c r="F231" s="1652"/>
      <c r="G231" s="1652"/>
      <c r="H231" s="29"/>
    </row>
    <row r="232" spans="2:8">
      <c r="B232" s="1327"/>
      <c r="C232" s="1652"/>
      <c r="D232" s="1652"/>
      <c r="E232" s="1652"/>
      <c r="F232" s="1652"/>
      <c r="G232" s="1652"/>
      <c r="H232" s="29"/>
    </row>
    <row r="233" spans="2:8">
      <c r="B233" s="1327"/>
      <c r="C233" s="1654" t="s">
        <v>4110</v>
      </c>
      <c r="D233" s="1652"/>
      <c r="E233" s="1652"/>
      <c r="F233" s="1652"/>
      <c r="G233" s="1654" t="s">
        <v>4105</v>
      </c>
      <c r="H233" s="29"/>
    </row>
    <row r="234" spans="2:8">
      <c r="B234" s="1327"/>
      <c r="C234" s="1652" t="s">
        <v>4111</v>
      </c>
      <c r="D234" s="1652"/>
      <c r="E234" s="1652"/>
      <c r="F234" s="1652"/>
      <c r="G234" s="1652" t="s">
        <v>4106</v>
      </c>
      <c r="H234" s="29"/>
    </row>
    <row r="235" spans="2:8">
      <c r="B235" s="1327"/>
      <c r="C235" s="1652"/>
      <c r="D235" s="1652"/>
      <c r="E235" s="1652"/>
      <c r="F235" s="1652"/>
      <c r="G235" s="1652"/>
      <c r="H235" s="29"/>
    </row>
    <row r="236" spans="2:8">
      <c r="B236" s="1327"/>
      <c r="C236" s="1654" t="s">
        <v>4047</v>
      </c>
      <c r="D236" s="1652"/>
      <c r="E236" s="1652"/>
      <c r="F236" s="1652"/>
      <c r="G236" s="1654" t="s">
        <v>4105</v>
      </c>
      <c r="H236" s="29"/>
    </row>
    <row r="237" spans="2:8">
      <c r="B237" s="1327"/>
      <c r="C237" s="1652" t="s">
        <v>3804</v>
      </c>
      <c r="D237" s="1652"/>
      <c r="E237" s="1652"/>
      <c r="F237" s="1652"/>
      <c r="G237" s="1652" t="s">
        <v>4106</v>
      </c>
      <c r="H237" s="29"/>
    </row>
    <row r="238" spans="2:8">
      <c r="B238" s="1327"/>
      <c r="C238" s="1652" t="s">
        <v>4104</v>
      </c>
      <c r="D238" s="1666"/>
      <c r="E238" s="1666"/>
      <c r="F238" s="1666"/>
      <c r="G238" s="1652" t="s">
        <v>4106</v>
      </c>
      <c r="H238" s="29"/>
    </row>
    <row r="239" spans="2:8">
      <c r="B239" s="1327"/>
      <c r="C239" s="1652" t="s">
        <v>4049</v>
      </c>
      <c r="D239" s="1666"/>
      <c r="E239" s="1666"/>
      <c r="F239" s="1666"/>
      <c r="G239" s="1652" t="s">
        <v>4106</v>
      </c>
      <c r="H239" s="29"/>
    </row>
    <row r="240" spans="2:8">
      <c r="B240" s="1327"/>
      <c r="C240" s="1652" t="s">
        <v>3651</v>
      </c>
      <c r="D240" s="1666"/>
      <c r="E240" s="1666"/>
      <c r="F240" s="1666"/>
      <c r="G240" s="1652" t="s">
        <v>4107</v>
      </c>
      <c r="H240" s="29"/>
    </row>
    <row r="241" spans="2:8">
      <c r="B241" s="1327"/>
      <c r="C241" s="1652" t="s">
        <v>3805</v>
      </c>
      <c r="D241" s="1666"/>
      <c r="E241" s="1666"/>
      <c r="F241" s="1666"/>
      <c r="G241" s="1652" t="s">
        <v>4107</v>
      </c>
      <c r="H241" s="29"/>
    </row>
    <row r="242" spans="2:8">
      <c r="B242" s="1327"/>
      <c r="C242" s="1652" t="s">
        <v>4072</v>
      </c>
      <c r="D242" s="1666"/>
      <c r="E242" s="1666"/>
      <c r="F242" s="1666"/>
      <c r="G242" s="1652" t="s">
        <v>4106</v>
      </c>
      <c r="H242" s="29"/>
    </row>
    <row r="243" spans="2:8">
      <c r="B243" s="1327"/>
      <c r="C243" s="1652" t="s">
        <v>3649</v>
      </c>
      <c r="D243" s="1666"/>
      <c r="E243" s="1666"/>
      <c r="F243" s="1666"/>
      <c r="G243" s="1652" t="s">
        <v>4107</v>
      </c>
      <c r="H243" s="29"/>
    </row>
    <row r="244" spans="2:8">
      <c r="B244" s="1327"/>
      <c r="C244" s="1652" t="s">
        <v>4048</v>
      </c>
      <c r="D244" s="1666"/>
      <c r="E244" s="1666"/>
      <c r="F244" s="1666"/>
      <c r="G244" s="1652" t="s">
        <v>4106</v>
      </c>
      <c r="H244" s="29"/>
    </row>
    <row r="245" spans="2:8">
      <c r="B245" s="1327"/>
      <c r="C245" s="1666" t="s">
        <v>3648</v>
      </c>
      <c r="D245" s="1666"/>
      <c r="E245" s="1666"/>
      <c r="F245" s="1666"/>
      <c r="G245" s="1652" t="s">
        <v>4107</v>
      </c>
      <c r="H245" s="29"/>
    </row>
    <row r="246" spans="2:8">
      <c r="B246" s="1327"/>
      <c r="C246" s="1666" t="s">
        <v>3650</v>
      </c>
      <c r="D246" s="1666"/>
      <c r="E246" s="1666"/>
      <c r="F246" s="1666"/>
      <c r="G246" s="1652" t="s">
        <v>4106</v>
      </c>
      <c r="H246" s="29"/>
    </row>
    <row r="247" spans="2:8">
      <c r="B247" s="1327"/>
      <c r="C247" s="511" t="s">
        <v>4108</v>
      </c>
      <c r="D247" s="1666"/>
      <c r="E247" s="1666"/>
      <c r="F247" s="1666"/>
      <c r="G247" s="1652" t="s">
        <v>4106</v>
      </c>
      <c r="H247" s="29"/>
    </row>
    <row r="248" spans="2:8">
      <c r="B248" s="1327"/>
      <c r="C248" s="511" t="s">
        <v>4109</v>
      </c>
      <c r="D248" s="1666"/>
      <c r="E248" s="1666"/>
      <c r="F248" s="1666"/>
      <c r="G248" s="1666" t="s">
        <v>4106</v>
      </c>
      <c r="H248" s="29"/>
    </row>
    <row r="249" spans="2:8" ht="15" thickBot="1">
      <c r="B249" s="32"/>
      <c r="C249" s="1329"/>
      <c r="D249" s="1668"/>
      <c r="E249" s="1668"/>
      <c r="F249" s="1668"/>
      <c r="G249" s="1668"/>
      <c r="H249" s="35"/>
    </row>
  </sheetData>
  <sortState xmlns:xlrd2="http://schemas.microsoft.com/office/spreadsheetml/2017/richdata2" ref="P30:P86">
    <sortCondition ref="P30"/>
  </sortState>
  <conditionalFormatting sqref="G119:G120 D249:G249 G139:G248 G123:G136">
    <cfRule type="expression" dxfId="181" priority="13">
      <formula>$G119="Functional"</formula>
    </cfRule>
    <cfRule type="expression" dxfId="180" priority="14">
      <formula>$G119="Works"</formula>
    </cfRule>
  </conditionalFormatting>
  <conditionalFormatting sqref="K37:M79">
    <cfRule type="expression" dxfId="179" priority="10">
      <formula>$M37="Not In"</formula>
    </cfRule>
    <cfRule type="expression" dxfId="178" priority="11">
      <formula>$M37="Functional"</formula>
    </cfRule>
    <cfRule type="expression" dxfId="177" priority="12">
      <formula>$M37="Works"</formula>
    </cfRule>
  </conditionalFormatting>
  <conditionalFormatting sqref="D239:F248">
    <cfRule type="expression" dxfId="176" priority="100">
      <formula>#REF!="Functional"</formula>
    </cfRule>
    <cfRule type="expression" dxfId="175" priority="101">
      <formula>#REF!="Works"</formula>
    </cfRule>
  </conditionalFormatting>
  <conditionalFormatting sqref="C249">
    <cfRule type="expression" dxfId="174" priority="102">
      <formula>#REF!="Functional"</formula>
    </cfRule>
    <cfRule type="expression" dxfId="173" priority="103">
      <formula>#REF!="Works"</formula>
    </cfRule>
  </conditionalFormatting>
  <conditionalFormatting sqref="D129:F238">
    <cfRule type="expression" dxfId="172" priority="136">
      <formula>$G139="Functional"</formula>
    </cfRule>
    <cfRule type="expression" dxfId="171" priority="137">
      <formula>$G139="Works"</formula>
    </cfRule>
  </conditionalFormatting>
  <conditionalFormatting sqref="C139:C248">
    <cfRule type="expression" dxfId="170" priority="1">
      <formula>$G139="Functional"</formula>
    </cfRule>
    <cfRule type="expression" dxfId="169" priority="2">
      <formula>$G139="Works"</formula>
    </cfRule>
  </conditionalFormatting>
  <hyperlinks>
    <hyperlink ref="E29" r:id="rId1" xr:uid="{00000000-0004-0000-0000-000000000000}"/>
    <hyperlink ref="E30" r:id="rId2" xr:uid="{00000000-0004-0000-0000-000001000000}"/>
    <hyperlink ref="C6" r:id="rId3" xr:uid="{76D0CA89-A982-40D6-9CE5-7D466D4B3ECB}"/>
    <hyperlink ref="E3" r:id="rId4" xr:uid="{CD0C7B77-3E69-4AF1-81BA-950A98E83B4D}"/>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6147" r:id="rId8" name="Check Box 3">
              <controlPr defaultSize="0" autoFill="0" autoLine="0" autoPict="0">
                <anchor moveWithCells="1">
                  <from>
                    <xdr:col>10</xdr:col>
                    <xdr:colOff>50800</xdr:colOff>
                    <xdr:row>3</xdr:row>
                    <xdr:rowOff>114300</xdr:rowOff>
                  </from>
                  <to>
                    <xdr:col>11</xdr:col>
                    <xdr:colOff>1308100</xdr:colOff>
                    <xdr:row>5</xdr:row>
                    <xdr:rowOff>12700</xdr:rowOff>
                  </to>
                </anchor>
              </controlPr>
            </control>
          </mc:Choice>
        </mc:AlternateContent>
        <mc:AlternateContent xmlns:mc="http://schemas.openxmlformats.org/markup-compatibility/2006">
          <mc:Choice Requires="x14">
            <control shapeId="6148" r:id="rId9" name="Check Box 4">
              <controlPr defaultSize="0" autoFill="0" autoLine="0" autoPict="0">
                <anchor moveWithCells="1">
                  <from>
                    <xdr:col>10</xdr:col>
                    <xdr:colOff>50800</xdr:colOff>
                    <xdr:row>4</xdr:row>
                    <xdr:rowOff>114300</xdr:rowOff>
                  </from>
                  <to>
                    <xdr:col>11</xdr:col>
                    <xdr:colOff>1308100</xdr:colOff>
                    <xdr:row>6</xdr:row>
                    <xdr:rowOff>0</xdr:rowOff>
                  </to>
                </anchor>
              </controlPr>
            </control>
          </mc:Choice>
        </mc:AlternateContent>
        <mc:AlternateContent xmlns:mc="http://schemas.openxmlformats.org/markup-compatibility/2006">
          <mc:Choice Requires="x14">
            <control shapeId="6149" r:id="rId10" name="Check Box 5">
              <controlPr defaultSize="0" autoFill="0" autoLine="0" autoPict="0">
                <anchor moveWithCells="1">
                  <from>
                    <xdr:col>10</xdr:col>
                    <xdr:colOff>50800</xdr:colOff>
                    <xdr:row>5</xdr:row>
                    <xdr:rowOff>114300</xdr:rowOff>
                  </from>
                  <to>
                    <xdr:col>11</xdr:col>
                    <xdr:colOff>1308100</xdr:colOff>
                    <xdr:row>6</xdr:row>
                    <xdr:rowOff>127000</xdr:rowOff>
                  </to>
                </anchor>
              </controlPr>
            </control>
          </mc:Choice>
        </mc:AlternateContent>
        <mc:AlternateContent xmlns:mc="http://schemas.openxmlformats.org/markup-compatibility/2006">
          <mc:Choice Requires="x14">
            <control shapeId="6150" r:id="rId11" name="Check Box 6">
              <controlPr defaultSize="0" autoFill="0" autoLine="0" autoPict="0">
                <anchor moveWithCells="1">
                  <from>
                    <xdr:col>10</xdr:col>
                    <xdr:colOff>50800</xdr:colOff>
                    <xdr:row>6</xdr:row>
                    <xdr:rowOff>114300</xdr:rowOff>
                  </from>
                  <to>
                    <xdr:col>11</xdr:col>
                    <xdr:colOff>1308100</xdr:colOff>
                    <xdr:row>8</xdr:row>
                    <xdr:rowOff>0</xdr:rowOff>
                  </to>
                </anchor>
              </controlPr>
            </control>
          </mc:Choice>
        </mc:AlternateContent>
        <mc:AlternateContent xmlns:mc="http://schemas.openxmlformats.org/markup-compatibility/2006">
          <mc:Choice Requires="x14">
            <control shapeId="6152" r:id="rId12" name="Check Box 8">
              <controlPr defaultSize="0" autoFill="0" autoLine="0" autoPict="0">
                <anchor moveWithCells="1">
                  <from>
                    <xdr:col>10</xdr:col>
                    <xdr:colOff>50800</xdr:colOff>
                    <xdr:row>8</xdr:row>
                    <xdr:rowOff>114300</xdr:rowOff>
                  </from>
                  <to>
                    <xdr:col>11</xdr:col>
                    <xdr:colOff>1308100</xdr:colOff>
                    <xdr:row>10</xdr:row>
                    <xdr:rowOff>12700</xdr:rowOff>
                  </to>
                </anchor>
              </controlPr>
            </control>
          </mc:Choice>
        </mc:AlternateContent>
        <mc:AlternateContent xmlns:mc="http://schemas.openxmlformats.org/markup-compatibility/2006">
          <mc:Choice Requires="x14">
            <control shapeId="6153" r:id="rId13" name="Button 9">
              <controlPr defaultSize="0" print="0" autoFill="0" autoPict="0" macro="[0]!ClearAll">
                <anchor moveWithCells="1" sizeWithCells="1">
                  <from>
                    <xdr:col>11</xdr:col>
                    <xdr:colOff>1174750</xdr:colOff>
                    <xdr:row>1</xdr:row>
                    <xdr:rowOff>114300</xdr:rowOff>
                  </from>
                  <to>
                    <xdr:col>12</xdr:col>
                    <xdr:colOff>450850</xdr:colOff>
                    <xdr:row>2</xdr:row>
                    <xdr:rowOff>165100</xdr:rowOff>
                  </to>
                </anchor>
              </controlPr>
            </control>
          </mc:Choice>
        </mc:AlternateContent>
        <mc:AlternateContent xmlns:mc="http://schemas.openxmlformats.org/markup-compatibility/2006">
          <mc:Choice Requires="x14">
            <control shapeId="6154" r:id="rId14" name="Check Box 10">
              <controlPr defaultSize="0" autoFill="0" autoLine="0" autoPict="0">
                <anchor moveWithCells="1">
                  <from>
                    <xdr:col>10</xdr:col>
                    <xdr:colOff>50800</xdr:colOff>
                    <xdr:row>9</xdr:row>
                    <xdr:rowOff>114300</xdr:rowOff>
                  </from>
                  <to>
                    <xdr:col>12</xdr:col>
                    <xdr:colOff>355600</xdr:colOff>
                    <xdr:row>11</xdr:row>
                    <xdr:rowOff>12700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10</xdr:col>
                    <xdr:colOff>50800</xdr:colOff>
                    <xdr:row>10</xdr:row>
                    <xdr:rowOff>114300</xdr:rowOff>
                  </from>
                  <to>
                    <xdr:col>11</xdr:col>
                    <xdr:colOff>1308100</xdr:colOff>
                    <xdr:row>12</xdr:row>
                    <xdr:rowOff>12700</xdr:rowOff>
                  </to>
                </anchor>
              </controlPr>
            </control>
          </mc:Choice>
        </mc:AlternateContent>
        <mc:AlternateContent xmlns:mc="http://schemas.openxmlformats.org/markup-compatibility/2006">
          <mc:Choice Requires="x14">
            <control shapeId="6157" r:id="rId16" name="Option Button 13">
              <controlPr defaultSize="0" autoFill="0" autoLine="0" autoPict="0">
                <anchor moveWithCells="1">
                  <from>
                    <xdr:col>10</xdr:col>
                    <xdr:colOff>50800</xdr:colOff>
                    <xdr:row>7</xdr:row>
                    <xdr:rowOff>127000</xdr:rowOff>
                  </from>
                  <to>
                    <xdr:col>11</xdr:col>
                    <xdr:colOff>298450</xdr:colOff>
                    <xdr:row>9</xdr:row>
                    <xdr:rowOff>12700</xdr:rowOff>
                  </to>
                </anchor>
              </controlPr>
            </control>
          </mc:Choice>
        </mc:AlternateContent>
        <mc:AlternateContent xmlns:mc="http://schemas.openxmlformats.org/markup-compatibility/2006">
          <mc:Choice Requires="x14">
            <control shapeId="6158" r:id="rId17" name="Option Button 14">
              <controlPr defaultSize="0" autoFill="0" autoLine="0" autoPict="0">
                <anchor moveWithCells="1">
                  <from>
                    <xdr:col>11</xdr:col>
                    <xdr:colOff>457200</xdr:colOff>
                    <xdr:row>7</xdr:row>
                    <xdr:rowOff>127000</xdr:rowOff>
                  </from>
                  <to>
                    <xdr:col>11</xdr:col>
                    <xdr:colOff>1117600</xdr:colOff>
                    <xdr:row>9</xdr:row>
                    <xdr:rowOff>12700</xdr:rowOff>
                  </to>
                </anchor>
              </controlPr>
            </control>
          </mc:Choice>
        </mc:AlternateContent>
        <mc:AlternateContent xmlns:mc="http://schemas.openxmlformats.org/markup-compatibility/2006">
          <mc:Choice Requires="x14">
            <control shapeId="6159" r:id="rId18" name="Option Button 15">
              <controlPr defaultSize="0" autoFill="0" autoLine="0" autoPict="0">
                <anchor moveWithCells="1">
                  <from>
                    <xdr:col>11</xdr:col>
                    <xdr:colOff>1238250</xdr:colOff>
                    <xdr:row>7</xdr:row>
                    <xdr:rowOff>127000</xdr:rowOff>
                  </from>
                  <to>
                    <xdr:col>12</xdr:col>
                    <xdr:colOff>450850</xdr:colOff>
                    <xdr:row>9</xdr:row>
                    <xdr:rowOff>12700</xdr:rowOff>
                  </to>
                </anchor>
              </controlPr>
            </control>
          </mc:Choice>
        </mc:AlternateContent>
        <mc:AlternateContent xmlns:mc="http://schemas.openxmlformats.org/markup-compatibility/2006">
          <mc:Choice Requires="x14">
            <control shapeId="6161" r:id="rId19" name="Check Box 17">
              <controlPr defaultSize="0" autoFill="0" autoLine="0" autoPict="0">
                <anchor moveWithCells="1">
                  <from>
                    <xdr:col>10</xdr:col>
                    <xdr:colOff>50800</xdr:colOff>
                    <xdr:row>11</xdr:row>
                    <xdr:rowOff>114300</xdr:rowOff>
                  </from>
                  <to>
                    <xdr:col>11</xdr:col>
                    <xdr:colOff>1308100</xdr:colOff>
                    <xdr:row>13</xdr:row>
                    <xdr:rowOff>12700</xdr:rowOff>
                  </to>
                </anchor>
              </controlPr>
            </control>
          </mc:Choice>
        </mc:AlternateContent>
        <mc:AlternateContent xmlns:mc="http://schemas.openxmlformats.org/markup-compatibility/2006">
          <mc:Choice Requires="x14">
            <control shapeId="6162" r:id="rId20" name="Check Box 18">
              <controlPr defaultSize="0" autoFill="0" autoLine="0" autoPict="0">
                <anchor moveWithCells="1">
                  <from>
                    <xdr:col>10</xdr:col>
                    <xdr:colOff>50800</xdr:colOff>
                    <xdr:row>13</xdr:row>
                    <xdr:rowOff>114300</xdr:rowOff>
                  </from>
                  <to>
                    <xdr:col>11</xdr:col>
                    <xdr:colOff>1308100</xdr:colOff>
                    <xdr:row>15</xdr:row>
                    <xdr:rowOff>12700</xdr:rowOff>
                  </to>
                </anchor>
              </controlPr>
            </control>
          </mc:Choice>
        </mc:AlternateContent>
        <mc:AlternateContent xmlns:mc="http://schemas.openxmlformats.org/markup-compatibility/2006">
          <mc:Choice Requires="x14">
            <control shapeId="6163" r:id="rId21" name="Check Box 19">
              <controlPr defaultSize="0" autoFill="0" autoLine="0" autoPict="0">
                <anchor moveWithCells="1">
                  <from>
                    <xdr:col>10</xdr:col>
                    <xdr:colOff>50800</xdr:colOff>
                    <xdr:row>14</xdr:row>
                    <xdr:rowOff>114300</xdr:rowOff>
                  </from>
                  <to>
                    <xdr:col>12</xdr:col>
                    <xdr:colOff>69850</xdr:colOff>
                    <xdr:row>16</xdr:row>
                    <xdr:rowOff>12700</xdr:rowOff>
                  </to>
                </anchor>
              </controlPr>
            </control>
          </mc:Choice>
        </mc:AlternateContent>
        <mc:AlternateContent xmlns:mc="http://schemas.openxmlformats.org/markup-compatibility/2006">
          <mc:Choice Requires="x14">
            <control shapeId="6164" r:id="rId22" name="Check Box 20">
              <controlPr defaultSize="0" autoFill="0" autoLine="0" autoPict="0">
                <anchor moveWithCells="1">
                  <from>
                    <xdr:col>10</xdr:col>
                    <xdr:colOff>50800</xdr:colOff>
                    <xdr:row>16</xdr:row>
                    <xdr:rowOff>114300</xdr:rowOff>
                  </from>
                  <to>
                    <xdr:col>12</xdr:col>
                    <xdr:colOff>69850</xdr:colOff>
                    <xdr:row>18</xdr:row>
                    <xdr:rowOff>12700</xdr:rowOff>
                  </to>
                </anchor>
              </controlPr>
            </control>
          </mc:Choice>
        </mc:AlternateContent>
        <mc:AlternateContent xmlns:mc="http://schemas.openxmlformats.org/markup-compatibility/2006">
          <mc:Choice Requires="x14">
            <control shapeId="6165" r:id="rId23" name="Check Box 21">
              <controlPr defaultSize="0" autoFill="0" autoLine="0" autoPict="0">
                <anchor moveWithCells="1">
                  <from>
                    <xdr:col>10</xdr:col>
                    <xdr:colOff>241300</xdr:colOff>
                    <xdr:row>17</xdr:row>
                    <xdr:rowOff>114300</xdr:rowOff>
                  </from>
                  <to>
                    <xdr:col>12</xdr:col>
                    <xdr:colOff>69850</xdr:colOff>
                    <xdr:row>19</xdr:row>
                    <xdr:rowOff>12700</xdr:rowOff>
                  </to>
                </anchor>
              </controlPr>
            </control>
          </mc:Choice>
        </mc:AlternateContent>
        <mc:AlternateContent xmlns:mc="http://schemas.openxmlformats.org/markup-compatibility/2006">
          <mc:Choice Requires="x14">
            <control shapeId="6166" r:id="rId24" name="Check Box 22">
              <controlPr defaultSize="0" autoFill="0" autoLine="0" autoPict="0">
                <anchor moveWithCells="1">
                  <from>
                    <xdr:col>10</xdr:col>
                    <xdr:colOff>50800</xdr:colOff>
                    <xdr:row>18</xdr:row>
                    <xdr:rowOff>114300</xdr:rowOff>
                  </from>
                  <to>
                    <xdr:col>12</xdr:col>
                    <xdr:colOff>69850</xdr:colOff>
                    <xdr:row>20</xdr:row>
                    <xdr:rowOff>12700</xdr:rowOff>
                  </to>
                </anchor>
              </controlPr>
            </control>
          </mc:Choice>
        </mc:AlternateContent>
        <mc:AlternateContent xmlns:mc="http://schemas.openxmlformats.org/markup-compatibility/2006">
          <mc:Choice Requires="x14">
            <control shapeId="6168" r:id="rId25" name="Check Box 24">
              <controlPr defaultSize="0" autoFill="0" autoLine="0" autoPict="0">
                <anchor moveWithCells="1">
                  <from>
                    <xdr:col>10</xdr:col>
                    <xdr:colOff>241300</xdr:colOff>
                    <xdr:row>19</xdr:row>
                    <xdr:rowOff>114300</xdr:rowOff>
                  </from>
                  <to>
                    <xdr:col>12</xdr:col>
                    <xdr:colOff>69850</xdr:colOff>
                    <xdr:row>21</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dimension ref="A1"/>
  <sheetViews>
    <sheetView showGridLines="0" showRowColHeaders="0" workbookViewId="0"/>
  </sheetViews>
  <sheetFormatPr defaultColWidth="9.1796875" defaultRowHeight="14.5"/>
  <cols>
    <col min="1" max="1" width="2.81640625" style="1009" customWidth="1"/>
    <col min="2" max="16384" width="9.1796875" style="1009"/>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6"/>
  <dimension ref="B1:K46"/>
  <sheetViews>
    <sheetView showRowColHeaders="0" zoomScaleNormal="100" workbookViewId="0">
      <selection activeCell="E6" sqref="E6"/>
    </sheetView>
  </sheetViews>
  <sheetFormatPr defaultColWidth="9.1796875" defaultRowHeight="14.5"/>
  <cols>
    <col min="1" max="2" width="2.81640625" style="1302" customWidth="1"/>
    <col min="3" max="3" width="16.26953125" style="1302" customWidth="1"/>
    <col min="4" max="4" width="9.1796875" style="1302"/>
    <col min="5" max="5" width="18" style="1302" customWidth="1"/>
    <col min="6" max="6" width="2.1796875" style="1302" customWidth="1"/>
    <col min="7" max="7" width="5.54296875" style="1302" customWidth="1"/>
    <col min="8" max="8" width="9.1796875" style="1302"/>
    <col min="9" max="9" width="9.1796875" style="1302" customWidth="1"/>
    <col min="10" max="10" width="14.1796875" style="1302" customWidth="1"/>
    <col min="11" max="12" width="2.81640625" style="1302" customWidth="1"/>
    <col min="13" max="13" width="9.1796875" style="1302"/>
    <col min="14" max="14" width="30.1796875" style="1302" customWidth="1"/>
    <col min="15" max="16384" width="9.1796875" style="1302"/>
  </cols>
  <sheetData>
    <row r="1" spans="2:11" ht="15" thickBot="1"/>
    <row r="2" spans="2:11">
      <c r="B2" s="1324"/>
      <c r="C2" s="1325"/>
      <c r="D2" s="1325"/>
      <c r="E2" s="1325"/>
      <c r="F2" s="1325"/>
      <c r="G2" s="1325"/>
      <c r="H2" s="1325"/>
      <c r="I2" s="1325"/>
      <c r="J2" s="1325"/>
      <c r="K2" s="1326"/>
    </row>
    <row r="3" spans="2:11" ht="21">
      <c r="B3" s="1327"/>
      <c r="C3" s="1328" t="s">
        <v>6568</v>
      </c>
      <c r="D3" s="1298"/>
      <c r="E3" s="1298"/>
      <c r="F3" s="1298"/>
      <c r="G3" s="1298"/>
      <c r="H3" s="1298"/>
      <c r="I3" s="1298"/>
      <c r="J3" s="1298"/>
      <c r="K3" s="29"/>
    </row>
    <row r="4" spans="2:11" ht="58.4" customHeight="1">
      <c r="B4" s="1327"/>
      <c r="C4" s="1741" t="s">
        <v>6626</v>
      </c>
      <c r="D4" s="1741"/>
      <c r="E4" s="1741"/>
      <c r="F4" s="1741"/>
      <c r="G4" s="1741"/>
      <c r="H4" s="1741"/>
      <c r="I4" s="1741"/>
      <c r="J4" s="1741"/>
      <c r="K4" s="29"/>
    </row>
    <row r="5" spans="2:11">
      <c r="B5" s="1327"/>
      <c r="C5" s="1298"/>
      <c r="D5" s="1298"/>
      <c r="E5" s="1298"/>
      <c r="F5" s="1298"/>
      <c r="G5" s="1298"/>
      <c r="H5" s="1298"/>
      <c r="I5" s="1298"/>
      <c r="J5" s="1298"/>
      <c r="K5" s="29"/>
    </row>
    <row r="6" spans="2:11">
      <c r="B6" s="1327"/>
      <c r="C6" s="1301" t="s">
        <v>6567</v>
      </c>
      <c r="D6" s="1298"/>
      <c r="E6" s="1344"/>
      <c r="F6" s="1298"/>
      <c r="G6" s="1298"/>
      <c r="H6" s="1350" t="s">
        <v>29</v>
      </c>
      <c r="I6" s="1298"/>
      <c r="J6" s="1349"/>
      <c r="K6" s="29"/>
    </row>
    <row r="7" spans="2:11">
      <c r="B7" s="1327"/>
      <c r="C7" s="1301"/>
      <c r="D7" s="1298"/>
      <c r="E7" s="1298"/>
      <c r="F7" s="1298"/>
      <c r="G7" s="1298"/>
      <c r="H7" s="1350" t="s">
        <v>30</v>
      </c>
      <c r="I7" s="1298"/>
      <c r="J7" s="1349"/>
      <c r="K7" s="29"/>
    </row>
    <row r="8" spans="2:11">
      <c r="B8" s="1327"/>
      <c r="C8" s="1301" t="s">
        <v>2225</v>
      </c>
      <c r="D8" s="1298"/>
      <c r="E8" s="1303"/>
      <c r="F8" s="1298"/>
      <c r="G8" s="1298"/>
      <c r="H8" s="1350" t="s">
        <v>31</v>
      </c>
      <c r="I8" s="1298"/>
      <c r="J8" s="1349"/>
      <c r="K8" s="29"/>
    </row>
    <row r="9" spans="2:11">
      <c r="B9" s="1327"/>
      <c r="C9" s="1298"/>
      <c r="D9" s="1298"/>
      <c r="E9" s="1298"/>
      <c r="F9" s="1298"/>
      <c r="G9" s="1298"/>
      <c r="H9" s="1298"/>
      <c r="I9" s="1298"/>
      <c r="J9" s="1298"/>
      <c r="K9" s="29"/>
    </row>
    <row r="10" spans="2:11">
      <c r="B10" s="1327"/>
      <c r="C10" s="1298"/>
      <c r="D10" s="1298"/>
      <c r="E10" s="1298"/>
      <c r="F10" s="1298"/>
      <c r="G10" s="1298"/>
      <c r="H10" s="1299" t="s">
        <v>6556</v>
      </c>
      <c r="I10" s="1299" t="s">
        <v>4206</v>
      </c>
      <c r="J10" s="1298"/>
      <c r="K10" s="29"/>
    </row>
    <row r="11" spans="2:11">
      <c r="B11" s="1327"/>
      <c r="C11" s="1301" t="s">
        <v>6550</v>
      </c>
      <c r="D11" s="1298"/>
      <c r="E11" s="1300"/>
      <c r="F11" s="1298"/>
      <c r="G11" s="1298"/>
      <c r="H11" s="38">
        <f>INDEX(BeastSizeAbilitiesTable,BeastSize,2)</f>
        <v>0</v>
      </c>
      <c r="I11" s="38">
        <f t="shared" ref="I11:I16" si="0">H11+E11</f>
        <v>0</v>
      </c>
      <c r="J11" s="1298"/>
      <c r="K11" s="29"/>
    </row>
    <row r="12" spans="2:11">
      <c r="B12" s="1327"/>
      <c r="C12" s="1301" t="s">
        <v>6551</v>
      </c>
      <c r="D12" s="1298"/>
      <c r="E12" s="1300"/>
      <c r="F12" s="1298"/>
      <c r="G12" s="1298"/>
      <c r="H12" s="38">
        <f>INDEX(BeastSizeAbilitiesTable,BeastSize,4)</f>
        <v>0</v>
      </c>
      <c r="I12" s="38">
        <f t="shared" si="0"/>
        <v>0</v>
      </c>
      <c r="J12" s="1298"/>
      <c r="K12" s="29"/>
    </row>
    <row r="13" spans="2:11">
      <c r="B13" s="1327"/>
      <c r="C13" s="1301" t="s">
        <v>6552</v>
      </c>
      <c r="D13" s="1298"/>
      <c r="E13" s="1300"/>
      <c r="F13" s="1298"/>
      <c r="G13" s="1298"/>
      <c r="H13" s="38">
        <f>INDEX(BeastSizeAbilitiesTable,BeastSize,3)</f>
        <v>0</v>
      </c>
      <c r="I13" s="38">
        <f t="shared" si="0"/>
        <v>0</v>
      </c>
      <c r="J13" s="1298"/>
      <c r="K13" s="29"/>
    </row>
    <row r="14" spans="2:11">
      <c r="B14" s="1327"/>
      <c r="C14" s="1345" t="s">
        <v>6603</v>
      </c>
      <c r="D14" s="1298"/>
      <c r="E14" s="1300"/>
      <c r="F14" s="1298"/>
      <c r="G14" s="1298"/>
      <c r="H14" s="38"/>
      <c r="I14" s="38">
        <f t="shared" si="0"/>
        <v>0</v>
      </c>
      <c r="J14" s="1298"/>
      <c r="K14" s="29"/>
    </row>
    <row r="15" spans="2:11">
      <c r="B15" s="1327"/>
      <c r="C15" s="1301" t="s">
        <v>6553</v>
      </c>
      <c r="D15" s="1298"/>
      <c r="E15" s="1300"/>
      <c r="F15" s="1298"/>
      <c r="G15" s="1298"/>
      <c r="H15" s="38"/>
      <c r="I15" s="38">
        <f t="shared" si="0"/>
        <v>0</v>
      </c>
      <c r="J15" s="1298"/>
      <c r="K15" s="29"/>
    </row>
    <row r="16" spans="2:11">
      <c r="B16" s="1327"/>
      <c r="C16" s="1301" t="s">
        <v>6554</v>
      </c>
      <c r="D16" s="1298"/>
      <c r="E16" s="1300"/>
      <c r="F16" s="1298"/>
      <c r="G16" s="1298"/>
      <c r="H16" s="38"/>
      <c r="I16" s="38">
        <f t="shared" si="0"/>
        <v>0</v>
      </c>
      <c r="J16" s="1298"/>
      <c r="K16" s="29"/>
    </row>
    <row r="17" spans="2:11">
      <c r="B17" s="1327"/>
      <c r="C17" s="1298"/>
      <c r="D17" s="1298"/>
      <c r="E17" s="1298"/>
      <c r="F17" s="1298"/>
      <c r="G17" s="1298"/>
      <c r="H17" s="1298"/>
      <c r="I17" s="1298"/>
      <c r="J17" s="1298"/>
      <c r="K17" s="29"/>
    </row>
    <row r="18" spans="2:11">
      <c r="B18" s="1327"/>
      <c r="C18" s="1298"/>
      <c r="D18" s="1298"/>
      <c r="E18" s="1298"/>
      <c r="F18" s="1298"/>
      <c r="G18" s="1299" t="s">
        <v>6569</v>
      </c>
      <c r="H18" s="1299" t="s">
        <v>3773</v>
      </c>
      <c r="I18" s="1299" t="s">
        <v>3721</v>
      </c>
      <c r="J18" s="1301" t="s">
        <v>48</v>
      </c>
      <c r="K18" s="29"/>
    </row>
    <row r="19" spans="2:11">
      <c r="B19" s="1327"/>
      <c r="C19" s="1301" t="s">
        <v>6496</v>
      </c>
      <c r="D19" s="1298"/>
      <c r="E19" s="1300"/>
      <c r="F19" s="1298"/>
      <c r="G19" s="1298" t="str">
        <f>IF(BeastNA1&lt;&gt;"",INDEX(TableNaturalAttackDieNum,MIN(9,BeastSize+UnarmedDieIncreases),INDEX(TableNaturalAttack,MATCH(E19,NaturalAttackList,0),2)),"")</f>
        <v/>
      </c>
      <c r="H19" s="511" t="str">
        <f>IF(E19&lt;&gt;"",INDEX(TableNaturalAttackDieSize,MIN(9,BeastSize+UnarmedDieIncreases),INDEX(TableNaturalAttack,MATCH(E19,NaturalAttackList,0),2)),"")</f>
        <v/>
      </c>
      <c r="I19" s="1305" t="str">
        <f>IF(E19&lt;&gt;"",G19&amp;IF(H19&lt;&gt;1,"d"&amp;H19,""),"")</f>
        <v/>
      </c>
      <c r="J19" s="1298" t="str">
        <f>IF(E19&lt;&gt;"",INDEX(TableNaturalAttack,MATCH(E19,NaturalAttackList,0),3),"")</f>
        <v/>
      </c>
      <c r="K19" s="29"/>
    </row>
    <row r="20" spans="2:11">
      <c r="B20" s="1327"/>
      <c r="C20" s="1301" t="s">
        <v>6496</v>
      </c>
      <c r="D20" s="1298"/>
      <c r="E20" s="1300"/>
      <c r="F20" s="1298"/>
      <c r="G20" s="1298" t="str">
        <f>IF(BeastNA2&lt;&gt;"",INDEX(TableNaturalAttackDieNum,MIN(9,BeastSize+UnarmedDieIncreases),INDEX(TableNaturalAttack,MATCH(E20,NaturalAttackList,0),2)),"")</f>
        <v/>
      </c>
      <c r="H20" s="511" t="str">
        <f>IF(E20&lt;&gt;"",INDEX(TableNaturalAttackDieSize,MIN(9,BeastSize+UnarmedDieIncreases),INDEX(TableNaturalAttack,MATCH(E20,NaturalAttackList,0),2)),"")</f>
        <v/>
      </c>
      <c r="I20" s="1305" t="str">
        <f>IF(E20&lt;&gt;"",G20&amp;IF(H20&lt;&gt;1,"d"&amp;H20,""),"")</f>
        <v/>
      </c>
      <c r="J20" s="1298" t="str">
        <f>IF(E20&lt;&gt;"",INDEX(TableNaturalAttack,MATCH(E20,NaturalAttackList,0),3),"")</f>
        <v/>
      </c>
      <c r="K20" s="29"/>
    </row>
    <row r="21" spans="2:11">
      <c r="B21" s="1327"/>
      <c r="C21" s="1301" t="s">
        <v>6496</v>
      </c>
      <c r="D21" s="1298"/>
      <c r="E21" s="1300"/>
      <c r="F21" s="1298"/>
      <c r="G21" s="1298" t="str">
        <f>IF(BeastNA3&lt;&gt;"",INDEX(TableNaturalAttackDieNum,MIN(9,BeastSize+UnarmedDieIncreases),INDEX(TableNaturalAttack,MATCH(E21,NaturalAttackList,0),2)),"")</f>
        <v/>
      </c>
      <c r="H21" s="511" t="str">
        <f>IF(E21&lt;&gt;"",INDEX(TableNaturalAttackDieSize,MIN(9,BeastSize+UnarmedDieIncreases),INDEX(TableNaturalAttack,MATCH(E21,NaturalAttackList,0),2)),"")</f>
        <v/>
      </c>
      <c r="I21" s="1305" t="str">
        <f>IF(E21&lt;&gt;"",G21&amp;IF(H21&lt;&gt;1,"d"&amp;H21,""),"")</f>
        <v/>
      </c>
      <c r="J21" s="1298" t="str">
        <f>IF(E21&lt;&gt;"",INDEX(TableNaturalAttack,MATCH(E21,NaturalAttackList,0),3),"")</f>
        <v/>
      </c>
      <c r="K21" s="29"/>
    </row>
    <row r="22" spans="2:11">
      <c r="B22" s="1327"/>
      <c r="C22" s="1301" t="s">
        <v>6496</v>
      </c>
      <c r="D22" s="1298"/>
      <c r="E22" s="1300"/>
      <c r="F22" s="1298"/>
      <c r="G22" s="1298" t="str">
        <f>IF(BeastNA4&lt;&gt;"",INDEX(TableNaturalAttackDieNum,BeastSize,INDEX(TableNaturalAttack,MATCH(E22,NaturalAttackList,0),2)),"")</f>
        <v/>
      </c>
      <c r="H22" s="511" t="str">
        <f>IF(E22&lt;&gt;"",INDEX(TableNaturalAttackDieSize,BeastSize,INDEX(TableNaturalAttack,MATCH(E22,NaturalAttackList,0),2)),"")</f>
        <v/>
      </c>
      <c r="I22" s="1305" t="str">
        <f>IF(E22&lt;&gt;"",G22&amp;IF(H22&lt;&gt;1,"d"&amp;H22,""),"")</f>
        <v/>
      </c>
      <c r="J22" s="1298" t="str">
        <f>IF(E22&lt;&gt;"",INDEX(TableNaturalAttack,MATCH(E22,NaturalAttackList,0),3),"")</f>
        <v/>
      </c>
      <c r="K22" s="29"/>
    </row>
    <row r="23" spans="2:11">
      <c r="B23" s="1327"/>
      <c r="C23" s="1301" t="s">
        <v>6496</v>
      </c>
      <c r="D23" s="1298"/>
      <c r="E23" s="1300"/>
      <c r="F23" s="1298"/>
      <c r="G23" s="1298" t="str">
        <f>IF(BeastNA5&lt;&gt;"",INDEX(TableNaturalAttackDieNum,BeastSize,INDEX(TableNaturalAttack,MATCH(E23,NaturalAttackList,0),2)),"")</f>
        <v/>
      </c>
      <c r="H23" s="511" t="str">
        <f>IF(E23&lt;&gt;"",INDEX(TableNaturalAttackDieSize,BeastSize,INDEX(TableNaturalAttack,MATCH(E23,NaturalAttackList,0),2)),"")</f>
        <v/>
      </c>
      <c r="I23" s="1305" t="str">
        <f>IF(E23&lt;&gt;"",G23&amp;IF(H23&lt;&gt;1,"d"&amp;H23,""),"")</f>
        <v/>
      </c>
      <c r="J23" s="1298" t="str">
        <f>IF(E23&lt;&gt;"",INDEX(TableNaturalAttack,MATCH(E23,NaturalAttackList,0),3),"")</f>
        <v/>
      </c>
      <c r="K23" s="29"/>
    </row>
    <row r="24" spans="2:11">
      <c r="B24" s="1327"/>
      <c r="C24" s="1298"/>
      <c r="D24" s="1298"/>
      <c r="E24" s="1298"/>
      <c r="F24" s="1298"/>
      <c r="G24" s="1298"/>
      <c r="H24" s="1298"/>
      <c r="I24" s="1298"/>
      <c r="J24" s="1298"/>
      <c r="K24" s="29"/>
    </row>
    <row r="25" spans="2:11">
      <c r="B25" s="1327"/>
      <c r="C25" s="1301" t="s">
        <v>11</v>
      </c>
      <c r="D25" s="1298"/>
      <c r="E25" s="1300"/>
      <c r="F25" s="1298"/>
      <c r="G25" s="1298"/>
      <c r="H25" s="512">
        <f>IF(E25&lt;&gt;"",INDEX(SizeTable,MATCH(E25,SizeList,0),3),5)</f>
        <v>5</v>
      </c>
      <c r="I25" s="1298"/>
      <c r="J25" s="1298"/>
      <c r="K25" s="29"/>
    </row>
    <row r="26" spans="2:11">
      <c r="B26" s="1327"/>
      <c r="C26" s="1298"/>
      <c r="D26" s="1298"/>
      <c r="E26" s="1298"/>
      <c r="F26" s="1298"/>
      <c r="G26" s="1298"/>
      <c r="H26" s="567" t="s">
        <v>1036</v>
      </c>
      <c r="I26" s="1298"/>
      <c r="J26" s="1349"/>
      <c r="K26" s="29"/>
    </row>
    <row r="27" spans="2:11">
      <c r="B27" s="1327"/>
      <c r="C27" s="1301" t="s">
        <v>3669</v>
      </c>
      <c r="D27" s="1298"/>
      <c r="E27" s="1303"/>
      <c r="F27" s="1298"/>
      <c r="G27" s="1298"/>
      <c r="H27" s="567" t="s">
        <v>1036</v>
      </c>
      <c r="I27" s="1298"/>
      <c r="J27" s="1349"/>
      <c r="K27" s="29"/>
    </row>
    <row r="28" spans="2:11">
      <c r="B28" s="1327"/>
      <c r="C28" s="1301" t="s">
        <v>6498</v>
      </c>
      <c r="D28" s="1298"/>
      <c r="E28" s="1303"/>
      <c r="F28" s="1298"/>
      <c r="G28" s="1298"/>
      <c r="H28" s="567" t="s">
        <v>1036</v>
      </c>
      <c r="I28" s="1298"/>
      <c r="J28" s="1349"/>
      <c r="K28" s="29"/>
    </row>
    <row r="29" spans="2:11">
      <c r="B29" s="1327"/>
      <c r="C29" s="1301" t="s">
        <v>6499</v>
      </c>
      <c r="D29" s="1298"/>
      <c r="E29" s="1303"/>
      <c r="F29" s="1298"/>
      <c r="G29" s="1298"/>
      <c r="H29" s="511"/>
      <c r="I29" s="511"/>
      <c r="J29" s="511"/>
      <c r="K29" s="29"/>
    </row>
    <row r="30" spans="2:11">
      <c r="B30" s="1327"/>
      <c r="C30" s="1301" t="s">
        <v>6500</v>
      </c>
      <c r="D30" s="1298"/>
      <c r="E30" s="1303"/>
      <c r="F30" s="1298"/>
      <c r="G30" s="1298"/>
      <c r="H30" s="1350" t="s">
        <v>2485</v>
      </c>
      <c r="I30" s="1298"/>
      <c r="J30" s="1349"/>
      <c r="K30" s="29"/>
    </row>
    <row r="31" spans="2:11">
      <c r="B31" s="1327"/>
      <c r="C31" s="1298"/>
      <c r="D31" s="1298"/>
      <c r="E31" s="1298"/>
      <c r="F31" s="1298"/>
      <c r="G31" s="1298"/>
      <c r="H31" s="1350" t="s">
        <v>2485</v>
      </c>
      <c r="I31" s="1298"/>
      <c r="J31" s="1349"/>
      <c r="K31" s="29"/>
    </row>
    <row r="32" spans="2:11">
      <c r="B32" s="1327"/>
      <c r="C32" s="1548" t="s">
        <v>8635</v>
      </c>
      <c r="D32" s="1298"/>
      <c r="E32" s="1300"/>
      <c r="F32" s="1298"/>
      <c r="G32" s="1298"/>
      <c r="H32" s="1350" t="s">
        <v>2485</v>
      </c>
      <c r="I32" s="1298"/>
      <c r="J32" s="1349"/>
      <c r="K32" s="29"/>
    </row>
    <row r="33" spans="2:11">
      <c r="B33" s="1327"/>
      <c r="C33" s="1548" t="s">
        <v>8635</v>
      </c>
      <c r="D33" s="1298"/>
      <c r="E33" s="1300"/>
      <c r="F33" s="1298"/>
      <c r="G33" s="1298"/>
      <c r="H33" s="511"/>
      <c r="I33" s="1298"/>
      <c r="J33" s="1298"/>
      <c r="K33" s="29"/>
    </row>
    <row r="34" spans="2:11">
      <c r="B34" s="1327"/>
      <c r="C34" s="1548" t="s">
        <v>8635</v>
      </c>
      <c r="D34" s="1298"/>
      <c r="E34" s="1300"/>
      <c r="F34" s="1298"/>
      <c r="G34" s="1298"/>
      <c r="H34" s="1350" t="s">
        <v>111</v>
      </c>
      <c r="I34" s="1298"/>
      <c r="J34" s="1349"/>
      <c r="K34" s="29"/>
    </row>
    <row r="35" spans="2:11">
      <c r="B35" s="1327"/>
      <c r="C35" s="1548" t="s">
        <v>8635</v>
      </c>
      <c r="D35" s="1298"/>
      <c r="E35" s="1300"/>
      <c r="F35" s="1298"/>
      <c r="G35" s="1298"/>
      <c r="H35" s="1350" t="s">
        <v>111</v>
      </c>
      <c r="I35" s="1298"/>
      <c r="J35" s="1349"/>
      <c r="K35" s="29"/>
    </row>
    <row r="36" spans="2:11">
      <c r="B36" s="1327"/>
      <c r="C36" s="1548" t="s">
        <v>8635</v>
      </c>
      <c r="D36" s="1298"/>
      <c r="E36" s="1300"/>
      <c r="F36" s="1298"/>
      <c r="G36" s="1298"/>
      <c r="H36" s="1350" t="s">
        <v>111</v>
      </c>
      <c r="I36" s="1298"/>
      <c r="J36" s="1349"/>
      <c r="K36" s="29"/>
    </row>
    <row r="37" spans="2:11" ht="15" thickBot="1">
      <c r="B37" s="32"/>
      <c r="C37" s="1329"/>
      <c r="D37" s="1329"/>
      <c r="E37" s="1329"/>
      <c r="F37" s="1329"/>
      <c r="G37" s="1329"/>
      <c r="H37" s="1329"/>
      <c r="I37" s="1329"/>
      <c r="J37" s="1329"/>
      <c r="K37" s="1330"/>
    </row>
    <row r="38" spans="2:11" ht="15" thickBot="1"/>
    <row r="39" spans="2:11">
      <c r="B39" s="1324"/>
      <c r="C39" s="1325"/>
      <c r="D39" s="1325"/>
      <c r="E39" s="1325"/>
      <c r="F39" s="1325"/>
      <c r="G39" s="1325"/>
      <c r="H39" s="1325"/>
      <c r="I39" s="1325"/>
      <c r="J39" s="1325"/>
      <c r="K39" s="1326"/>
    </row>
    <row r="40" spans="2:11">
      <c r="B40" s="1327"/>
      <c r="C40" s="1350" t="s">
        <v>6624</v>
      </c>
      <c r="D40" s="1348"/>
      <c r="E40" s="1348"/>
      <c r="F40" s="1348"/>
      <c r="G40" s="1348"/>
      <c r="H40" s="1348"/>
      <c r="I40" s="1348"/>
      <c r="J40" s="1348"/>
      <c r="K40" s="29"/>
    </row>
    <row r="41" spans="2:11">
      <c r="B41" s="1327"/>
      <c r="C41" s="1349"/>
      <c r="D41" s="1348"/>
      <c r="E41" s="1740"/>
      <c r="F41" s="1740"/>
      <c r="G41" s="1740"/>
      <c r="H41" s="1740"/>
      <c r="I41" s="1740"/>
      <c r="J41" s="1740"/>
      <c r="K41" s="29"/>
    </row>
    <row r="42" spans="2:11">
      <c r="B42" s="1327"/>
      <c r="C42" s="1349"/>
      <c r="D42" s="1348"/>
      <c r="E42" s="1740"/>
      <c r="F42" s="1740"/>
      <c r="G42" s="1740"/>
      <c r="H42" s="1740"/>
      <c r="I42" s="1740"/>
      <c r="J42" s="1740"/>
      <c r="K42" s="29"/>
    </row>
    <row r="43" spans="2:11">
      <c r="B43" s="1327"/>
      <c r="C43" s="1349"/>
      <c r="D43" s="1348"/>
      <c r="E43" s="1740"/>
      <c r="F43" s="1740"/>
      <c r="G43" s="1740"/>
      <c r="H43" s="1740"/>
      <c r="I43" s="1740"/>
      <c r="J43" s="1740"/>
      <c r="K43" s="29"/>
    </row>
    <row r="44" spans="2:11">
      <c r="B44" s="1327"/>
      <c r="C44" s="1349"/>
      <c r="D44" s="1348"/>
      <c r="E44" s="1740"/>
      <c r="F44" s="1740"/>
      <c r="G44" s="1740"/>
      <c r="H44" s="1740"/>
      <c r="I44" s="1740"/>
      <c r="J44" s="1740"/>
      <c r="K44" s="29"/>
    </row>
    <row r="45" spans="2:11">
      <c r="B45" s="1327"/>
      <c r="C45" s="1349"/>
      <c r="D45" s="1348"/>
      <c r="E45" s="1740"/>
      <c r="F45" s="1740"/>
      <c r="G45" s="1740"/>
      <c r="H45" s="1740"/>
      <c r="I45" s="1740"/>
      <c r="J45" s="1740"/>
      <c r="K45" s="29"/>
    </row>
    <row r="46" spans="2:11" ht="15" thickBot="1">
      <c r="B46" s="32"/>
      <c r="C46" s="1351"/>
      <c r="D46" s="1351"/>
      <c r="E46" s="1351"/>
      <c r="F46" s="1351"/>
      <c r="G46" s="1351"/>
      <c r="H46" s="1351"/>
      <c r="I46" s="1351"/>
      <c r="J46" s="1351"/>
      <c r="K46" s="35"/>
    </row>
  </sheetData>
  <mergeCells count="6">
    <mergeCell ref="E45:J45"/>
    <mergeCell ref="C4:J4"/>
    <mergeCell ref="E41:J41"/>
    <mergeCell ref="E42:J42"/>
    <mergeCell ref="E43:J43"/>
    <mergeCell ref="E44:J44"/>
  </mergeCells>
  <dataValidations count="4">
    <dataValidation type="list" allowBlank="1" showInputMessage="1" showErrorMessage="1" sqref="E19:E23" xr:uid="{00000000-0002-0000-0200-000000000000}">
      <formula1>NaturalAttackList</formula1>
    </dataValidation>
    <dataValidation type="list" allowBlank="1" showInputMessage="1" showErrorMessage="1" sqref="E25" xr:uid="{00000000-0002-0000-0200-000001000000}">
      <formula1>SizeList</formula1>
    </dataValidation>
    <dataValidation type="list" allowBlank="1" showInputMessage="1" showErrorMessage="1" sqref="E32:E36" xr:uid="{00000000-0002-0000-0200-000002000000}">
      <formula1>RacialAbilitiesList</formula1>
    </dataValidation>
    <dataValidation type="list" allowBlank="1" showInputMessage="1" showErrorMessage="1" sqref="J26:J28 J30:J32" xr:uid="{00000000-0002-0000-0200-000003000000}">
      <formula1>SkillList</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HideBeasts">
                <anchor moveWithCells="1" sizeWithCells="1">
                  <from>
                    <xdr:col>9</xdr:col>
                    <xdr:colOff>133350</xdr:colOff>
                    <xdr:row>1</xdr:row>
                    <xdr:rowOff>95250</xdr:rowOff>
                  </from>
                  <to>
                    <xdr:col>10</xdr:col>
                    <xdr:colOff>69850</xdr:colOff>
                    <xdr:row>2</xdr:row>
                    <xdr:rowOff>165100</xdr:rowOff>
                  </to>
                </anchor>
              </controlPr>
            </control>
          </mc:Choice>
        </mc:AlternateContent>
        <mc:AlternateContent xmlns:mc="http://schemas.openxmlformats.org/markup-compatibility/2006">
          <mc:Choice Requires="x14">
            <control shapeId="100355" r:id="rId5" name="Button 3">
              <controlPr defaultSize="0" print="0" autoFill="0" autoPict="0" macro="[0]!ClearBeasts">
                <anchor moveWithCells="1" sizeWithCells="1">
                  <from>
                    <xdr:col>7</xdr:col>
                    <xdr:colOff>336550</xdr:colOff>
                    <xdr:row>1</xdr:row>
                    <xdr:rowOff>95250</xdr:rowOff>
                  </from>
                  <to>
                    <xdr:col>9</xdr:col>
                    <xdr:colOff>88900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dimension ref="B1:AP128"/>
  <sheetViews>
    <sheetView showGridLines="0" showRowColHeaders="0" zoomScaleNormal="100" workbookViewId="0">
      <selection activeCell="G5" sqref="G5"/>
    </sheetView>
  </sheetViews>
  <sheetFormatPr defaultColWidth="9.1796875" defaultRowHeight="14.5"/>
  <cols>
    <col min="1" max="2" width="2.81640625" style="869" customWidth="1"/>
    <col min="3" max="3" width="9.1796875" style="869"/>
    <col min="4" max="4" width="10.26953125" style="869" customWidth="1"/>
    <col min="5" max="5" width="10.453125" style="869" customWidth="1"/>
    <col min="6" max="6" width="1.54296875" style="869" customWidth="1"/>
    <col min="7" max="7" width="22.54296875" style="869" customWidth="1"/>
    <col min="8" max="8" width="11.1796875" style="16" customWidth="1"/>
    <col min="9" max="13" width="7.81640625" style="16" customWidth="1"/>
    <col min="14" max="14" width="7.81640625" style="869" customWidth="1"/>
    <col min="15" max="16" width="7.81640625" style="1420" customWidth="1"/>
    <col min="17" max="17" width="3" style="869" customWidth="1"/>
    <col min="18" max="18" width="9.1796875" style="1132" hidden="1" customWidth="1"/>
    <col min="19" max="19" width="29.1796875" style="1132" hidden="1" customWidth="1"/>
    <col min="20" max="38" width="9.1796875" style="1132" hidden="1" customWidth="1"/>
    <col min="39" max="40" width="2.81640625" style="869" customWidth="1"/>
    <col min="41" max="41" width="34.453125" style="869" customWidth="1"/>
    <col min="42" max="42" width="2.81640625" style="869" customWidth="1"/>
    <col min="43" max="16384" width="9.1796875" style="869"/>
  </cols>
  <sheetData>
    <row r="1" spans="2:42" ht="15" thickBot="1"/>
    <row r="2" spans="2:42">
      <c r="B2" s="22"/>
      <c r="C2" s="865"/>
      <c r="D2" s="865"/>
      <c r="E2" s="865"/>
      <c r="F2" s="865"/>
      <c r="G2" s="865"/>
      <c r="H2" s="24"/>
      <c r="I2" s="24"/>
      <c r="J2" s="24"/>
      <c r="K2" s="24"/>
      <c r="L2" s="24"/>
      <c r="M2" s="24"/>
      <c r="N2" s="865"/>
      <c r="O2" s="1325"/>
      <c r="P2" s="1325"/>
      <c r="Q2" s="25"/>
      <c r="AN2" s="1324"/>
      <c r="AO2" s="1325"/>
      <c r="AP2" s="1326"/>
    </row>
    <row r="3" spans="2:42" ht="21">
      <c r="B3" s="26"/>
      <c r="C3" s="866" t="s">
        <v>4545</v>
      </c>
      <c r="D3" s="864"/>
      <c r="E3" s="864"/>
      <c r="F3" s="864"/>
      <c r="G3" s="512" t="b">
        <f>IF(AND(DroidDegree&lt;&gt;"",DroidDegree&lt;&gt;"Cyborg Hybrid"),TRUE,FALSE)</f>
        <v>0</v>
      </c>
      <c r="H3" s="876"/>
      <c r="I3" s="876"/>
      <c r="J3" s="876"/>
      <c r="K3" s="876"/>
      <c r="L3" s="876"/>
      <c r="M3" s="876"/>
      <c r="N3" s="864"/>
      <c r="O3" s="1413"/>
      <c r="P3" s="1413"/>
      <c r="Q3" s="29"/>
      <c r="AN3" s="1327"/>
      <c r="AO3" s="1419" t="s">
        <v>7411</v>
      </c>
      <c r="AP3" s="29"/>
    </row>
    <row r="4" spans="2:42">
      <c r="B4" s="26"/>
      <c r="C4" s="864"/>
      <c r="D4" s="864"/>
      <c r="E4" s="864"/>
      <c r="F4" s="864"/>
      <c r="G4" s="1424" t="str">
        <f>Race&amp;IF(Cyborg," Cyborg Hybrid","")</f>
        <v/>
      </c>
      <c r="H4" s="876"/>
      <c r="I4" s="870" t="s">
        <v>4552</v>
      </c>
      <c r="J4" s="870" t="s">
        <v>4553</v>
      </c>
      <c r="K4" s="870" t="s">
        <v>4576</v>
      </c>
      <c r="L4" s="870" t="s">
        <v>4554</v>
      </c>
      <c r="M4" s="870" t="s">
        <v>4555</v>
      </c>
      <c r="N4" s="870" t="s">
        <v>4556</v>
      </c>
      <c r="O4" s="1415"/>
      <c r="P4" s="1415"/>
      <c r="Q4" s="29"/>
      <c r="U4" s="1132" t="s">
        <v>4560</v>
      </c>
      <c r="V4" s="1132" t="s">
        <v>4561</v>
      </c>
      <c r="W4" s="1132" t="s">
        <v>4562</v>
      </c>
      <c r="X4" s="1132" t="s">
        <v>4564</v>
      </c>
      <c r="Y4" s="1132" t="s">
        <v>6182</v>
      </c>
      <c r="Z4" s="1132" t="s">
        <v>7073</v>
      </c>
      <c r="AA4" s="1132" t="s">
        <v>7074</v>
      </c>
      <c r="AN4" s="1327"/>
      <c r="AO4" s="1413"/>
      <c r="AP4" s="29"/>
    </row>
    <row r="5" spans="2:42">
      <c r="B5" s="26"/>
      <c r="C5" s="867" t="s">
        <v>4546</v>
      </c>
      <c r="D5" s="864"/>
      <c r="E5" s="864"/>
      <c r="F5" s="864"/>
      <c r="G5" s="872"/>
      <c r="H5" s="876"/>
      <c r="I5" s="38">
        <f>IF(DroidDegree&lt;&gt;"",INDEX(DroidDegreeTable,MATCH(DroidDegree,DroidDegreeList,0),2)+I6+IF(DroidSize="Small",-2,0),0)</f>
        <v>0</v>
      </c>
      <c r="J5" s="38">
        <f>IF(DroidDegree&lt;&gt;"",INDEX(DroidDegreeTable,MATCH(DroidDegree,DroidDegreeList,0),3)+J6+IF(DroidSize="Small",2,0),0)</f>
        <v>0</v>
      </c>
      <c r="K5" s="885" t="s">
        <v>4577</v>
      </c>
      <c r="L5" s="38">
        <f>IF(DroidDegree&lt;&gt;"",INDEX(DroidDegreeTable,MATCH(DroidDegree,DroidDegreeList,0),4)+L6,0)</f>
        <v>0</v>
      </c>
      <c r="M5" s="38">
        <f>IF(DroidDegree&lt;&gt;"",INDEX(DroidDegreeTable,MATCH(DroidDegree,DroidDegreeList,0),5)+M6,0)</f>
        <v>0</v>
      </c>
      <c r="N5" s="38">
        <f>IF(DroidDegree&lt;&gt;"",INDEX(DroidDegreeTable,MATCH(DroidDegree,DroidDegreeList,0),6)+N6,0)</f>
        <v>0</v>
      </c>
      <c r="O5" s="38"/>
      <c r="P5" s="38"/>
      <c r="Q5" s="29"/>
      <c r="S5" s="1132" t="s">
        <v>4641</v>
      </c>
      <c r="T5" s="78">
        <f ca="1">MAX(IF(ISERROR(U5),0,U5),IF(ISERROR(V5),0,V5),IF(ISERROR(W5),0,W5),0)</f>
        <v>0</v>
      </c>
      <c r="U5" s="1132" t="e">
        <f ca="1">IF(NOT(ISERROR(INDEX(LocomotionTakenTable,MATCH("Walking",LocomotionTakenList,0),2))),INDEX(LocomotionTakenTable,MATCH("Walking",LocomotionTakenList,0),2),INDEX(RaceListTable,RaceIndex,19))</f>
        <v>#N/A</v>
      </c>
      <c r="V5" s="1132">
        <f>IF(NOT(ISERROR(INDEX(LocomotionTakenTable,MATCH("Wheeled",LocomotionTakenList,0),2))),INDEX(LocomotionTakenTable,MATCH("Wheeled",LocomotionTakenList,0),2),0)</f>
        <v>0</v>
      </c>
      <c r="W5" s="1132">
        <f>IF(NOT(ISERROR(INDEX(LocomotionTakenTable,MATCH("Tracked",LocomotionTakenList,0),2))),INDEX(LocomotionTakenTable,MATCH("Tracked",LocomotionTakenList,0),2),0)</f>
        <v>0</v>
      </c>
      <c r="X5" s="1132">
        <f>IF(NOT(ISERROR(INDEX(LocomotionTakenTable,MATCH("Flying",LocomotionTakenList,0),2))),INDEX(LocomotionTakenTable,MATCH("Flying",LocomotionTakenList,0),2),0)</f>
        <v>0</v>
      </c>
      <c r="Y5" s="1132">
        <f>IF(NOT(ISERROR(INDEX(LocomotionTakenTable,MATCH("Hovering",LocomotionTakenList,0),2))),INDEX(LocomotionTakenTable,MATCH("Hovering",LocomotionTakenList,0),2),0)</f>
        <v>0</v>
      </c>
      <c r="Z5" s="1132">
        <f>IF(NOT(ISERROR(INDEX(LocomotionTakenTable,MATCH("Burrow",LocomotionTakenList,0),2))),INDEX(LocomotionTakenTable,MATCH("Burrow",LocomotionTakenList,0),2),0)</f>
        <v>0</v>
      </c>
      <c r="AA5" s="1132">
        <f>IF(NOT(ISERROR(INDEX(LocomotionTakenTable,MATCH("Underwater",LocomotionTakenList,0),2))),INDEX(LocomotionTakenTable,MATCH("Underwater",LocomotionTakenList,0),2),0)</f>
        <v>0</v>
      </c>
      <c r="AN5" s="1327"/>
      <c r="AO5" s="1741" t="str">
        <f>IF(NOT(ISERROR(FIND("Chassis",G4,1))),INDEX(DroidChassisTable,MATCH(G4,DroidChassisList,0),2)&amp;"
"&amp;AO35,IF(Cyborg,"As a cyborg hybrid, you can use any type of droid system except a processor. Your cyborg hybrid chassis includes a life support system, making you immune to atmospheric and inhaled poison hazards.",""))</f>
        <v/>
      </c>
      <c r="AP5" s="29"/>
    </row>
    <row r="6" spans="2:42">
      <c r="B6" s="26"/>
      <c r="C6" s="1413"/>
      <c r="D6" s="864"/>
      <c r="E6" s="864"/>
      <c r="F6" s="864"/>
      <c r="G6" s="1424" t="str">
        <f>OutputSize</f>
        <v/>
      </c>
      <c r="H6" s="36"/>
      <c r="I6" s="36">
        <f>IF($L$7&lt;&gt;"",IF(AND(LEFT($L$7,15)="Tech Specialist",MID($L$7,18,3)=I4),2,IF(MID($L$7,16,3)=I4,4,0)),0)+IF(BalmorranArms=I4,1,0)</f>
        <v>0</v>
      </c>
      <c r="J6" s="36">
        <f>IF($L$7&lt;&gt;"",IF(AND(LEFT($L$7,15)="Tech Specialist",MID($L$7,18,3)=J4),2,IF(MID($L$7,16,3)=J4,4,0)),0)+IF(BalmorranArms=J4,1,0)</f>
        <v>0</v>
      </c>
      <c r="K6" s="36"/>
      <c r="L6" s="36">
        <f>IF($L$7&lt;&gt;"",IF(AND(LEFT($L$7,15)="Tech Specialist",MID($L$7,18,3)=L4),2,IF(MID($L$7,16,3)=L4,4,0)),0)+IF(BalmorranArms=L4,1,0)</f>
        <v>0</v>
      </c>
      <c r="M6" s="36">
        <f>IF($L$7&lt;&gt;"",IF(AND(LEFT($L$7,15)="Tech Specialist",MID($L$7,18,3)=M4),2,IF(MID($L$7,16,3)=M4,4,0)),0)+IF(BalmorranArms=M4,1,0)</f>
        <v>0</v>
      </c>
      <c r="N6" s="36">
        <f>IF($L$7&lt;&gt;"",IF(AND(LEFT($L$7,15)="Tech Specialist",MID($L$7,18,3)=N4),2,IF(MID($L$7,16,3)=N4,4,0)),0)+IF(BalmorranArms=N4,1,0)</f>
        <v>0</v>
      </c>
      <c r="O6" s="36"/>
      <c r="P6" s="36"/>
      <c r="Q6" s="29"/>
      <c r="AN6" s="1327"/>
      <c r="AO6" s="1741"/>
      <c r="AP6" s="29"/>
    </row>
    <row r="7" spans="2:42">
      <c r="B7" s="26"/>
      <c r="C7" s="867" t="s">
        <v>4557</v>
      </c>
      <c r="D7" s="864"/>
      <c r="E7" s="864"/>
      <c r="F7" s="864"/>
      <c r="G7" s="1663"/>
      <c r="H7" s="36"/>
      <c r="I7" s="1084"/>
      <c r="J7" s="36"/>
      <c r="K7" s="1451" t="s">
        <v>6114</v>
      </c>
      <c r="L7" s="1742"/>
      <c r="M7" s="1742"/>
      <c r="N7" s="1742"/>
      <c r="O7" s="36"/>
      <c r="P7" s="36"/>
      <c r="Q7" s="29"/>
      <c r="S7" s="1132" t="str">
        <f>DroidLocomotionOutput&amp;IF(DroidAppendageOutput&lt;&gt;"",", "&amp;DroidAppendageOutput,"")&amp;IF(DroidAccessoriesOutput&lt;&gt;"",", "&amp;DroidAccessoriesOutput,"")</f>
        <v/>
      </c>
      <c r="AC7" s="1132" t="s">
        <v>2098</v>
      </c>
      <c r="AD7" s="1132" t="s">
        <v>2401</v>
      </c>
      <c r="AE7" s="1132" t="str">
        <f>AD7&amp;" ("&amp;AC7&amp;")"</f>
        <v>Tech Specialist (Strength)</v>
      </c>
      <c r="AN7" s="1327"/>
      <c r="AO7" s="1741"/>
      <c r="AP7" s="29"/>
    </row>
    <row r="8" spans="2:42">
      <c r="B8" s="26"/>
      <c r="C8" s="867" t="s">
        <v>4559</v>
      </c>
      <c r="D8" s="864"/>
      <c r="E8" s="864"/>
      <c r="F8" s="864"/>
      <c r="G8" s="886">
        <f>IF(DroidSize&lt;&gt;"",IF(DroidSize&lt;&gt;"Medium",2,1),IF(G6&lt;&gt;"Medium",2,1))</f>
        <v>2</v>
      </c>
      <c r="H8" s="585">
        <f>IF(DroidSize="Small",2/DroidCostFactor,DroidCostFactor)</f>
        <v>2</v>
      </c>
      <c r="I8" s="36"/>
      <c r="J8" s="36"/>
      <c r="K8" s="36"/>
      <c r="L8" s="36"/>
      <c r="M8" s="36"/>
      <c r="N8" s="1077"/>
      <c r="O8" s="1425"/>
      <c r="P8" s="1425"/>
      <c r="Q8" s="29"/>
      <c r="AC8" s="1132" t="s">
        <v>2099</v>
      </c>
      <c r="AD8" s="1132" t="s">
        <v>2401</v>
      </c>
      <c r="AE8" s="1132" t="str">
        <f>AD8&amp;" ("&amp;AC8&amp;")"</f>
        <v>Tech Specialist (Dexterity)</v>
      </c>
      <c r="AN8" s="1327"/>
      <c r="AO8" s="1741"/>
      <c r="AP8" s="29"/>
    </row>
    <row r="9" spans="2:42">
      <c r="B9" s="26"/>
      <c r="C9" s="867" t="s">
        <v>4634</v>
      </c>
      <c r="D9" s="864"/>
      <c r="E9" s="864"/>
      <c r="F9" s="864"/>
      <c r="G9" s="887">
        <f>SUM(I19:I87,J13:J17)</f>
        <v>0</v>
      </c>
      <c r="H9" s="585">
        <f>IF(G21&lt;&gt;"",1.5,1)</f>
        <v>1</v>
      </c>
      <c r="I9" s="36"/>
      <c r="J9" s="36"/>
      <c r="K9" s="1451" t="s">
        <v>7528</v>
      </c>
      <c r="L9" s="1749"/>
      <c r="M9" s="1750"/>
      <c r="N9" s="1751"/>
      <c r="O9" s="1425"/>
      <c r="P9" s="1425"/>
      <c r="Q9" s="29"/>
      <c r="AC9" s="1132" t="s">
        <v>2101</v>
      </c>
      <c r="AD9" s="1132" t="s">
        <v>2401</v>
      </c>
      <c r="AE9" s="1132" t="str">
        <f t="shared" ref="AE9:AE16" si="0">AD9&amp;" ("&amp;AC9&amp;")"</f>
        <v>Tech Specialist (Intelligence)</v>
      </c>
      <c r="AN9" s="1327"/>
      <c r="AO9" s="1741"/>
      <c r="AP9" s="29"/>
    </row>
    <row r="10" spans="2:42">
      <c r="B10" s="26"/>
      <c r="C10" s="867" t="s">
        <v>4635</v>
      </c>
      <c r="D10" s="864"/>
      <c r="E10" s="864"/>
      <c r="F10" s="864"/>
      <c r="G10" s="888">
        <f>SUM(J20:J87)</f>
        <v>0</v>
      </c>
      <c r="H10" s="36"/>
      <c r="I10" s="36"/>
      <c r="J10" s="36"/>
      <c r="K10" s="1451" t="str">
        <f>IF(DroidManufacturer="Balmorran Arms","Increased Ability","")</f>
        <v/>
      </c>
      <c r="L10" s="1470"/>
      <c r="M10" s="36"/>
      <c r="N10" s="1077"/>
      <c r="O10" s="1425"/>
      <c r="P10" s="1425"/>
      <c r="Q10" s="29"/>
      <c r="AC10" s="1132" t="s">
        <v>2102</v>
      </c>
      <c r="AD10" s="1132" t="s">
        <v>2401</v>
      </c>
      <c r="AE10" s="1132" t="str">
        <f t="shared" si="0"/>
        <v>Tech Specialist (Wisdom)</v>
      </c>
      <c r="AN10" s="1327"/>
      <c r="AO10" s="1741"/>
      <c r="AP10" s="29"/>
    </row>
    <row r="11" spans="2:42">
      <c r="B11" s="26"/>
      <c r="C11" s="864"/>
      <c r="D11" s="864"/>
      <c r="E11" s="864"/>
      <c r="F11" s="864"/>
      <c r="G11" s="864"/>
      <c r="H11" s="876"/>
      <c r="I11" s="876"/>
      <c r="J11" s="876"/>
      <c r="K11" s="876"/>
      <c r="L11" s="876"/>
      <c r="M11" s="876"/>
      <c r="N11" s="864"/>
      <c r="O11" s="1413"/>
      <c r="P11" s="1413"/>
      <c r="Q11" s="29"/>
      <c r="Y11" s="1440" t="s">
        <v>195</v>
      </c>
      <c r="AC11" s="1132" t="s">
        <v>2103</v>
      </c>
      <c r="AD11" s="1132" t="s">
        <v>2401</v>
      </c>
      <c r="AE11" s="1132" t="str">
        <f t="shared" si="0"/>
        <v>Tech Specialist (Charisma)</v>
      </c>
      <c r="AN11" s="1327"/>
      <c r="AO11" s="1741"/>
      <c r="AP11" s="29"/>
    </row>
    <row r="12" spans="2:42">
      <c r="B12" s="26"/>
      <c r="C12" s="864"/>
      <c r="D12" s="864"/>
      <c r="E12" s="864"/>
      <c r="F12" s="864"/>
      <c r="G12" s="877" t="s">
        <v>48</v>
      </c>
      <c r="H12" s="877" t="s">
        <v>3669</v>
      </c>
      <c r="I12" s="877" t="s">
        <v>4572</v>
      </c>
      <c r="J12" s="877" t="s">
        <v>3691</v>
      </c>
      <c r="K12" s="1441" t="s">
        <v>106</v>
      </c>
      <c r="L12" s="1447" t="s">
        <v>4569</v>
      </c>
      <c r="M12" s="1447" t="s">
        <v>285</v>
      </c>
      <c r="N12" s="864"/>
      <c r="O12" s="1413"/>
      <c r="P12" s="1413"/>
      <c r="Q12" s="29"/>
      <c r="U12" s="1132" t="str">
        <f>U13&amp;IF(DroidLocomotionAccessoriesOutput&lt;&gt;"",", "&amp;DroidLocomotionAccessoriesOutput,"")</f>
        <v/>
      </c>
      <c r="Z12" s="1132" t="str">
        <f>Z13</f>
        <v/>
      </c>
      <c r="AC12" s="1132" t="s">
        <v>2098</v>
      </c>
      <c r="AD12" s="1132" t="s">
        <v>2499</v>
      </c>
      <c r="AE12" s="1132" t="str">
        <f t="shared" si="0"/>
        <v>Superior Tech (Strength)</v>
      </c>
      <c r="AN12" s="1327"/>
      <c r="AO12" s="1741"/>
      <c r="AP12" s="29"/>
    </row>
    <row r="13" spans="2:42">
      <c r="B13" s="26"/>
      <c r="C13" s="867" t="s">
        <v>4558</v>
      </c>
      <c r="D13" s="864"/>
      <c r="E13" s="557" t="s">
        <v>3658</v>
      </c>
      <c r="F13" s="864"/>
      <c r="G13" s="872"/>
      <c r="H13" s="872"/>
      <c r="I13" s="876" t="str">
        <f>IF(G13&lt;&gt;"",INDEX(DroidLocomotionTable,MATCH(G13,DroidLocomotionList,0),IF(DroidSize="Medium",3,IF(DroidSize="Large",4,2))),"")</f>
        <v/>
      </c>
      <c r="J13" s="876" t="str">
        <f>IF(AND(G13&lt;&gt;"",H13&lt;&gt;""),(H13*H13*INDEX(DroidLocomotionTable,MATCH(G13,DroidLocomotionList,0),5)*DroidCostFactor)/IF(L13&lt;&gt;"",10,1)/IF(M13&lt;&gt;"",10,1),"")</f>
        <v/>
      </c>
      <c r="K13" s="645"/>
      <c r="L13" s="872"/>
      <c r="M13" s="872"/>
      <c r="N13" s="864"/>
      <c r="O13" s="1413"/>
      <c r="P13" s="1413"/>
      <c r="Q13" s="29"/>
      <c r="S13" s="1132" t="str">
        <f>IF(G13&lt;&gt;"",LOWER(G13)&amp;" locomotion"&amp;IF(OR(L13&lt;&gt;"",M13&lt;&gt;"")," ("&amp;IF(L13&lt;&gt;"",LOWER(L$12),"")&amp;IF(AND(L13&lt;&gt;"",M13&lt;&gt;""),", ","")&amp;IF(M13&lt;&gt;"",LOWER(M$12),"")&amp;")",""),"")</f>
        <v/>
      </c>
      <c r="U13" s="1132" t="str">
        <f>IF(S13&lt;&gt;"",IF(U14&lt;&gt;"",S13&amp;", "&amp;U14,S13),U14)</f>
        <v/>
      </c>
      <c r="W13" s="1132" t="str">
        <f>IF(G13="","",G13)</f>
        <v/>
      </c>
      <c r="X13" s="1132" t="str">
        <f>IF(W13&lt;&gt;"",INDEX(LocomotionTakenTable,MATCH(W13,LocomotionTakenList,0),2)+IF(AND(Talents!$M$464&gt;0,OR(G13="Walking",G13="Flying")),2,0),"")</f>
        <v/>
      </c>
      <c r="Y13" s="1132" t="str">
        <f>IF(X13&lt;&gt;"",X13&amp;" squares ("&amp;LOWER(W13)&amp;")"&amp;IF(AND(W13="Walking",G22&lt;&gt;""),", "&amp;INT(X13/2)&amp;" squares (climbing)",""),"")</f>
        <v/>
      </c>
      <c r="Z13" s="1132" t="str">
        <f>IF(Y13&lt;&gt;"",Y13&amp;IF(Z14&lt;&gt;"",", "&amp;Z14,""),Z14)</f>
        <v/>
      </c>
      <c r="AC13" s="1132" t="s">
        <v>2099</v>
      </c>
      <c r="AD13" s="1132" t="s">
        <v>2499</v>
      </c>
      <c r="AE13" s="1132" t="str">
        <f t="shared" si="0"/>
        <v>Superior Tech (Dexterity)</v>
      </c>
      <c r="AN13" s="1327"/>
      <c r="AO13" s="1741"/>
      <c r="AP13" s="29"/>
    </row>
    <row r="14" spans="2:42">
      <c r="B14" s="26"/>
      <c r="C14" s="864"/>
      <c r="D14" s="864"/>
      <c r="E14" s="557" t="s">
        <v>4565</v>
      </c>
      <c r="F14" s="864"/>
      <c r="G14" s="872"/>
      <c r="H14" s="872"/>
      <c r="I14" s="1374" t="str">
        <f>IF(G14&lt;&gt;"",INDEX(DroidLocomotionTable,MATCH(G14,DroidLocomotionList,0),IF(DroidSize="Medium",3,IF(DroidSize="Large",4,2))),"")</f>
        <v/>
      </c>
      <c r="J14" s="876" t="str">
        <f>IF(AND(G14&lt;&gt;"",H14&lt;&gt;""),(H14*H14*INDEX(DroidLocomotionTable,MATCH(G14,DroidLocomotionList,0),5)*DroidCostFactor+500*DroidCostFactor)/IF(L14&lt;&gt;"",10,1)/IF(M14&lt;&gt;"",10,1),"")</f>
        <v/>
      </c>
      <c r="K14" s="645"/>
      <c r="L14" s="1372"/>
      <c r="M14" s="872"/>
      <c r="N14" s="864"/>
      <c r="O14" s="1413"/>
      <c r="P14" s="1413"/>
      <c r="Q14" s="29"/>
      <c r="S14" s="1132" t="str">
        <f>IF(G14&lt;&gt;"",LOWER(G14)&amp;" locomotion"&amp;IF(OR(L14&lt;&gt;"",M14&lt;&gt;"")," ("&amp;IF(L14&lt;&gt;"",LOWER(L$12),"")&amp;IF(AND(L14&lt;&gt;"",M14&lt;&gt;""),", ","")&amp;IF(M14&lt;&gt;"",LOWER(M$12),"")&amp;")",""),"")</f>
        <v/>
      </c>
      <c r="U14" s="1132" t="str">
        <f>IF(S14&lt;&gt;"",IF(U15&lt;&gt;"",S14&amp;", "&amp;U15,S14),U15)</f>
        <v/>
      </c>
      <c r="W14" s="1132" t="str">
        <f>IF(G14="","",G14)</f>
        <v/>
      </c>
      <c r="X14" s="1132" t="str">
        <f>IF(W14&lt;&gt;"",INDEX(LocomotionTakenTable,MATCH(W14,LocomotionTakenList,0),2)+IF(AND(Talents!$M$464&gt;0,OR(G14="Walking",G14="Flying")),2,0),"")</f>
        <v/>
      </c>
      <c r="Y14" s="1132" t="str">
        <f>IF(X14&lt;&gt;"",X14&amp;" squares ("&amp;LOWER(W14)&amp;")"&amp;IF(AND(W14="Walking",G23&lt;&gt;""),", "&amp;INT(X14/2)&amp;" squares (climbing)",""),"")</f>
        <v/>
      </c>
      <c r="Z14" s="1132" t="str">
        <f>IF(Y14&lt;&gt;"",Y14&amp;IF(Z15&lt;&gt;"",", "&amp;Z15,""),Z15)</f>
        <v/>
      </c>
      <c r="AC14" s="1132" t="s">
        <v>2101</v>
      </c>
      <c r="AD14" s="1132" t="s">
        <v>2499</v>
      </c>
      <c r="AE14" s="1132" t="str">
        <f t="shared" si="0"/>
        <v>Superior Tech (Intelligence)</v>
      </c>
      <c r="AN14" s="1327"/>
      <c r="AO14" s="1741"/>
      <c r="AP14" s="29"/>
    </row>
    <row r="15" spans="2:42">
      <c r="B15" s="26"/>
      <c r="C15" s="864"/>
      <c r="D15" s="864"/>
      <c r="E15" s="557" t="s">
        <v>4566</v>
      </c>
      <c r="F15" s="864"/>
      <c r="G15" s="872"/>
      <c r="H15" s="872"/>
      <c r="I15" s="1374" t="str">
        <f>IF(G15&lt;&gt;"",INDEX(DroidLocomotionTable,MATCH(G15,DroidLocomotionList,0),IF(DroidSize="Medium",3,IF(DroidSize="Large",4,2))),"")</f>
        <v/>
      </c>
      <c r="J15" s="876" t="str">
        <f>IF(AND(G15&lt;&gt;"",H15&lt;&gt;""),(H15*H15*INDEX(DroidLocomotionTable,MATCH(G15,DroidLocomotionList,0),5)*DroidCostFactor+1000*DroidCostFactor)/IF(L15&lt;&gt;"",10,1)/IF(M15&lt;&gt;"",10,1),"")</f>
        <v/>
      </c>
      <c r="K15" s="645"/>
      <c r="L15" s="872"/>
      <c r="M15" s="872"/>
      <c r="N15" s="864"/>
      <c r="O15" s="1413"/>
      <c r="P15" s="1413"/>
      <c r="Q15" s="29"/>
      <c r="S15" s="1132" t="str">
        <f>IF(G15&lt;&gt;"",LOWER(G15)&amp;" locomotion"&amp;IF(OR(L15&lt;&gt;"",M15&lt;&gt;"")," ("&amp;IF(L15&lt;&gt;"",LOWER(L$12),"")&amp;IF(AND(L15&lt;&gt;"",M15&lt;&gt;""),", ","")&amp;IF(M15&lt;&gt;"",LOWER(M$12),"")&amp;")",""),"")</f>
        <v/>
      </c>
      <c r="U15" s="1132" t="str">
        <f>IF(S15&lt;&gt;"",IF(U16&lt;&gt;"",S15&amp;", "&amp;U16,S15),U16)</f>
        <v/>
      </c>
      <c r="W15" s="1132" t="str">
        <f>IF(G15="","",G15)</f>
        <v/>
      </c>
      <c r="X15" s="1132" t="str">
        <f>IF(W15&lt;&gt;"",INDEX(LocomotionTakenTable,MATCH(W15,LocomotionTakenList,0),2)+IF(AND(Talents!$M$464&gt;0,OR(G15="Walking",G15="Flying")),2,0),"")</f>
        <v/>
      </c>
      <c r="Y15" s="1132" t="str">
        <f>IF(X15&lt;&gt;"",X15&amp;" squares ("&amp;LOWER(W15)&amp;")"&amp;IF(AND(W15="Walking",G25&lt;&gt;""),", "&amp;INT(X15/2)&amp;" squares (climbing)",""),"")</f>
        <v/>
      </c>
      <c r="Z15" s="1132" t="str">
        <f>IF(Y15&lt;&gt;"",Y15&amp;IF(Z16&lt;&gt;"",", "&amp;Z16,""),Z16)</f>
        <v/>
      </c>
      <c r="AC15" s="1132" t="s">
        <v>2102</v>
      </c>
      <c r="AD15" s="1132" t="s">
        <v>2499</v>
      </c>
      <c r="AE15" s="1132" t="str">
        <f t="shared" si="0"/>
        <v>Superior Tech (Wisdom)</v>
      </c>
      <c r="AN15" s="1327"/>
      <c r="AO15" s="1741"/>
      <c r="AP15" s="29"/>
    </row>
    <row r="16" spans="2:42">
      <c r="B16" s="26"/>
      <c r="C16" s="864"/>
      <c r="D16" s="864"/>
      <c r="E16" s="557" t="s">
        <v>4568</v>
      </c>
      <c r="F16" s="864"/>
      <c r="G16" s="872"/>
      <c r="H16" s="872"/>
      <c r="I16" s="1374" t="str">
        <f>IF(G16&lt;&gt;"",INDEX(DroidLocomotionTable,MATCH(G16,DroidLocomotionList,0),IF(DroidSize="Medium",3,IF(DroidSize="Large",4,2))),"")</f>
        <v/>
      </c>
      <c r="J16" s="876" t="str">
        <f>IF(AND(G16&lt;&gt;"",H16&lt;&gt;""),(H16*H16*INDEX(DroidLocomotionTable,MATCH(G16,DroidLocomotionList,0),5)*DroidCostFactor+2000*DroidCostFactor)/IF(L16&lt;&gt;"",10,1)/IF(M16&lt;&gt;"",10,1),"")</f>
        <v/>
      </c>
      <c r="K16" s="645"/>
      <c r="L16" s="872"/>
      <c r="M16" s="872"/>
      <c r="N16" s="864"/>
      <c r="O16" s="1413"/>
      <c r="P16" s="1413"/>
      <c r="Q16" s="29"/>
      <c r="S16" s="1132" t="str">
        <f>IF(G16&lt;&gt;"",LOWER(G16)&amp;" locomotion"&amp;IF(OR(L16&lt;&gt;"",M16&lt;&gt;"")," ("&amp;IF(L16&lt;&gt;"",LOWER(L$12),"")&amp;IF(AND(L16&lt;&gt;"",M16&lt;&gt;""),", ","")&amp;IF(M16&lt;&gt;"",LOWER(M$12),"")&amp;")",""),"")</f>
        <v/>
      </c>
      <c r="U16" s="1132" t="str">
        <f>IF(S16&lt;&gt;"",IF(U17&lt;&gt;"",S16&amp;", "&amp;U17,S16),U17)</f>
        <v/>
      </c>
      <c r="W16" s="1132" t="str">
        <f>IF(G16="","",G16)</f>
        <v/>
      </c>
      <c r="X16" s="1132" t="str">
        <f>IF(W16&lt;&gt;"",INDEX(LocomotionTakenTable,MATCH(W16,LocomotionTakenList,0),2)+IF(AND(Talents!$M$464&gt;0,OR(G16="Walking",G16="Flying")),2,0),"")</f>
        <v/>
      </c>
      <c r="Y16" s="1132" t="str">
        <f>IF(X16&lt;&gt;"",X16&amp;" squares ("&amp;LOWER(W16)&amp;")"&amp;IF(AND(W16="Walking",G26&lt;&gt;""),", "&amp;INT(X16/2)&amp;" squares (climbing)",""),"")</f>
        <v/>
      </c>
      <c r="Z16" s="1132" t="str">
        <f>IF(Y16&lt;&gt;"",Y16&amp;IF(Z17&lt;&gt;"",", "&amp;Z17,""),Z17)</f>
        <v/>
      </c>
      <c r="AC16" s="1132" t="s">
        <v>2103</v>
      </c>
      <c r="AD16" s="1132" t="s">
        <v>2499</v>
      </c>
      <c r="AE16" s="1132" t="str">
        <f t="shared" si="0"/>
        <v>Superior Tech (Charisma)</v>
      </c>
      <c r="AN16" s="1327"/>
      <c r="AO16" s="1741"/>
      <c r="AP16" s="29"/>
    </row>
    <row r="17" spans="2:42">
      <c r="B17" s="26"/>
      <c r="C17" s="864"/>
      <c r="D17" s="864"/>
      <c r="E17" s="557" t="s">
        <v>4567</v>
      </c>
      <c r="F17" s="864"/>
      <c r="G17" s="872"/>
      <c r="H17" s="872"/>
      <c r="I17" s="1374" t="str">
        <f>IF(G17&lt;&gt;"",INDEX(DroidLocomotionTable,MATCH(G17,DroidLocomotionList,0),IF(DroidSize="Medium",3,IF(DroidSize="Large",4,2))),"")</f>
        <v/>
      </c>
      <c r="J17" s="876" t="str">
        <f>IF(AND(G17&lt;&gt;"",H17&lt;&gt;""),(H17*H17*INDEX(DroidLocomotionTable,MATCH(G17,DroidLocomotionList,0),5)*DroidCostFactor+5000*DroidCostFactor)/IF(L17&lt;&gt;"",10,1)/IF(M17&lt;&gt;"",10,1),"")</f>
        <v/>
      </c>
      <c r="K17" s="645"/>
      <c r="L17" s="872"/>
      <c r="M17" s="872"/>
      <c r="N17" s="864"/>
      <c r="O17" s="1413"/>
      <c r="P17" s="1413"/>
      <c r="Q17" s="29"/>
      <c r="S17" s="1132" t="str">
        <f>IF(G17&lt;&gt;"",LOWER(G17)&amp;" locomotion"&amp;IF(OR(L17&lt;&gt;"",M17&lt;&gt;"")," ("&amp;IF(L17&lt;&gt;"",LOWER(L$12),"")&amp;IF(AND(L17&lt;&gt;"",M17&lt;&gt;""),", ","")&amp;IF(M17&lt;&gt;"",LOWER(M$12),"")&amp;")",""),"")</f>
        <v/>
      </c>
      <c r="U17" s="1132" t="str">
        <f>IF(S17&lt;&gt;"",IF(U18&lt;&gt;"",S17&amp;", "&amp;U18,S17),U18)</f>
        <v/>
      </c>
      <c r="W17" s="1132" t="str">
        <f>IF(G17="","",G17)</f>
        <v/>
      </c>
      <c r="X17" s="1132" t="str">
        <f>IF(W17&lt;&gt;"",INDEX(LocomotionTakenTable,MATCH(W17,LocomotionTakenList,0),2)+IF(AND(Talents!$M$464&gt;0,OR(G17="Walking",G17="Flying")),2,0),"")</f>
        <v/>
      </c>
      <c r="Y17" s="1132" t="str">
        <f>IF(X17&lt;&gt;"",X17&amp;" squares ("&amp;LOWER(W17)&amp;")"&amp;IF(AND(W17="Walking",G27&lt;&gt;""),", "&amp;INT(X17/2)&amp;" squares (climbing)",""),"")</f>
        <v/>
      </c>
      <c r="Z17" s="1132" t="str">
        <f>IF(Y17&lt;&gt;"",Y17&amp;IF(Z18&lt;&gt;"",", "&amp;Z18,""),Z18)</f>
        <v/>
      </c>
      <c r="AN17" s="1327"/>
      <c r="AO17" s="1741"/>
      <c r="AP17" s="29"/>
    </row>
    <row r="18" spans="2:42">
      <c r="B18" s="26"/>
      <c r="C18" s="864"/>
      <c r="D18" s="864"/>
      <c r="E18" s="864"/>
      <c r="F18" s="864"/>
      <c r="G18" s="864"/>
      <c r="H18" s="876"/>
      <c r="I18" s="876"/>
      <c r="J18" s="876"/>
      <c r="K18" s="876"/>
      <c r="L18" s="876"/>
      <c r="M18" s="876"/>
      <c r="N18" s="864"/>
      <c r="O18" s="1413"/>
      <c r="P18" s="1413"/>
      <c r="Q18" s="29"/>
      <c r="U18" s="1440" t="s">
        <v>195</v>
      </c>
      <c r="Z18" s="1440" t="s">
        <v>195</v>
      </c>
      <c r="AN18" s="1327"/>
      <c r="AO18" s="1741"/>
      <c r="AP18" s="29"/>
    </row>
    <row r="19" spans="2:42">
      <c r="B19" s="26"/>
      <c r="C19" s="864"/>
      <c r="D19" s="864"/>
      <c r="E19" s="864"/>
      <c r="F19" s="864"/>
      <c r="G19" s="877" t="s">
        <v>4574</v>
      </c>
      <c r="H19" s="877" t="s">
        <v>4573</v>
      </c>
      <c r="I19" s="877" t="s">
        <v>3691</v>
      </c>
      <c r="J19" s="877" t="s">
        <v>106</v>
      </c>
      <c r="K19" s="876"/>
      <c r="L19" s="876"/>
      <c r="M19" s="876"/>
      <c r="N19" s="864"/>
      <c r="O19" s="1413"/>
      <c r="P19" s="1413"/>
      <c r="Q19" s="29"/>
      <c r="U19" s="1132" t="str">
        <f>U20</f>
        <v/>
      </c>
      <c r="AN19" s="1327"/>
      <c r="AO19" s="1741"/>
      <c r="AP19" s="29"/>
    </row>
    <row r="20" spans="2:42">
      <c r="B20" s="26"/>
      <c r="C20" s="864"/>
      <c r="D20" s="864"/>
      <c r="E20" s="557" t="s">
        <v>302</v>
      </c>
      <c r="F20" s="557"/>
      <c r="G20" s="1275"/>
      <c r="H20" s="876" t="str">
        <f>IF(COUNTIF(G$13:G$17,"Walking")&gt;0,"Yes","No")</f>
        <v>No</v>
      </c>
      <c r="I20" s="876" t="str">
        <f>IF(AND(G20="Yes",H20="Yes"),IF(ISERROR(MATCH("Walking",LocomotionTakenList,0)),"",INDEX(LocomotionTakenTable,MATCH("Walking",LocomotionTakenList,0),4)),"")</f>
        <v/>
      </c>
      <c r="J20" s="888"/>
      <c r="K20" s="876"/>
      <c r="L20" s="876"/>
      <c r="M20" s="876"/>
      <c r="N20" s="864"/>
      <c r="O20" s="1413"/>
      <c r="P20" s="1413"/>
      <c r="Q20" s="29"/>
      <c r="S20" s="1132" t="str">
        <f>IF(G20&lt;&gt;"",LOWER(E20),"")</f>
        <v/>
      </c>
      <c r="U20" s="1132" t="str">
        <f>IF(S20&lt;&gt;"",IF(U21&lt;&gt;"",S20&amp;", "&amp;U21,S20),U21)</f>
        <v/>
      </c>
      <c r="AN20" s="1327"/>
      <c r="AO20" s="1741"/>
      <c r="AP20" s="29"/>
    </row>
    <row r="21" spans="2:42">
      <c r="B21" s="26"/>
      <c r="C21" s="864"/>
      <c r="D21" s="864"/>
      <c r="E21" s="557" t="s">
        <v>4570</v>
      </c>
      <c r="F21" s="557"/>
      <c r="G21" s="961"/>
      <c r="H21" s="876" t="str">
        <f>IF(COUNTIF(G$13:G$17,"Walking")&gt;0,"Yes","No")</f>
        <v>No</v>
      </c>
      <c r="I21" s="876" t="str">
        <f>IF(G21&lt;&gt;"",IF(ISERROR(MATCH("Walking",LocomotionTakenList,0)),"",INDEX(LocomotionTakenTable,MATCH("Walking",LocomotionTakenList,0),4)),"")</f>
        <v/>
      </c>
      <c r="J21" s="888"/>
      <c r="K21" s="876"/>
      <c r="L21" s="876"/>
      <c r="M21" s="876"/>
      <c r="N21" s="864"/>
      <c r="O21" s="1413"/>
      <c r="P21" s="1413"/>
      <c r="Q21" s="29"/>
      <c r="S21" s="1132" t="str">
        <f>IF(G21&lt;&gt;"",LOWER(E21),"")</f>
        <v/>
      </c>
      <c r="U21" s="1132" t="str">
        <f>IF(S21&lt;&gt;"",IF(U22&lt;&gt;"",S21&amp;", "&amp;U22,S21),U22)</f>
        <v/>
      </c>
      <c r="AN21" s="1327"/>
      <c r="AO21" s="1741"/>
      <c r="AP21" s="29"/>
    </row>
    <row r="22" spans="2:42">
      <c r="B22" s="26"/>
      <c r="C22" s="864"/>
      <c r="D22" s="864"/>
      <c r="E22" s="557" t="s">
        <v>971</v>
      </c>
      <c r="F22" s="557"/>
      <c r="G22" s="1372"/>
      <c r="H22" s="876" t="str">
        <f>IF(COUNTIF(G$13:G$17,"Walking")&gt;0,"Yes","No")</f>
        <v>No</v>
      </c>
      <c r="I22" s="876" t="str">
        <f>IF(G22&lt;&gt;"",IF(ISERROR(MATCH("Walking",LocomotionTakenList,0)),"",INDEX(LocomotionTakenTable,MATCH("Walking",LocomotionTakenList,0),4)),"")</f>
        <v/>
      </c>
      <c r="J22" s="888" t="str">
        <f>IF(AND(H22&lt;&gt;"No",G22&lt;&gt;""),2*DroidWeightModifier,"")</f>
        <v/>
      </c>
      <c r="K22" s="876"/>
      <c r="L22" s="876"/>
      <c r="M22" s="876"/>
      <c r="N22" s="864"/>
      <c r="O22" s="1413"/>
      <c r="P22" s="1413"/>
      <c r="Q22" s="29"/>
      <c r="S22" s="1132" t="str">
        <f>IF(G22&lt;&gt;"",LOWER(E22),"")</f>
        <v/>
      </c>
      <c r="U22" s="1132" t="str">
        <f>IF(S22&lt;&gt;"",IF(U23&lt;&gt;"",S22&amp;", "&amp;U23,S22),U23)</f>
        <v/>
      </c>
      <c r="AN22" s="1327"/>
      <c r="AO22" s="1741"/>
      <c r="AP22" s="29"/>
    </row>
    <row r="23" spans="2:42">
      <c r="B23" s="26"/>
      <c r="C23" s="864"/>
      <c r="D23" s="864"/>
      <c r="E23" s="557" t="s">
        <v>4571</v>
      </c>
      <c r="F23" s="557"/>
      <c r="G23" s="1372"/>
      <c r="H23" s="876" t="str">
        <f>IF(OR(COUNTIF(G$13:G$17,"Walking")&gt;0,COUNTIF(G$13:G$17,"Wheeled")&gt;0,COUNTIF(G$13:G$17,"Tracked")&gt;0),"Yes","No")</f>
        <v>No</v>
      </c>
      <c r="I23" s="876" t="str">
        <f>IF(G23&lt;&gt;"",IF(ISERROR(MATCH("Walking",LocomotionTakenList,0)),"",INDEX(LocomotionTakenTable,MATCH("Walking",LocomotionTakenList,0),4)),"")</f>
        <v/>
      </c>
      <c r="J23" s="888"/>
      <c r="K23" s="876"/>
      <c r="L23" s="876"/>
      <c r="M23" s="876"/>
      <c r="N23" s="864"/>
      <c r="O23" s="1413"/>
      <c r="P23" s="1413"/>
      <c r="Q23" s="29"/>
      <c r="S23" s="1132" t="str">
        <f>IF(G23&lt;&gt;"",LOWER(E23),"")</f>
        <v/>
      </c>
      <c r="U23" s="1132" t="str">
        <f>IF(S23&lt;&gt;"",IF(U25&lt;&gt;"",S23&amp;", "&amp;U25,S23),U25)</f>
        <v/>
      </c>
      <c r="AN23" s="1327"/>
      <c r="AO23" s="1741"/>
      <c r="AP23" s="29"/>
    </row>
    <row r="24" spans="2:42" s="1420" customFormat="1">
      <c r="B24" s="1327"/>
      <c r="C24" s="1413"/>
      <c r="D24" s="1413"/>
      <c r="E24" s="557" t="s">
        <v>7435</v>
      </c>
      <c r="F24" s="557"/>
      <c r="G24" s="1422"/>
      <c r="H24" s="1424" t="s">
        <v>202</v>
      </c>
      <c r="I24" s="1424" t="str">
        <f>IF(G24&lt;&gt;"",H13*H13*2*DroidCostFactor,"")</f>
        <v/>
      </c>
      <c r="J24" s="888" t="str">
        <f>IF(G24&lt;&gt;"",4*DroidWeightModifier,"")</f>
        <v/>
      </c>
      <c r="K24" s="1424"/>
      <c r="L24" s="1424"/>
      <c r="M24" s="1424"/>
      <c r="N24" s="1413"/>
      <c r="O24" s="1413"/>
      <c r="P24" s="1413"/>
      <c r="Q24" s="29"/>
      <c r="R24" s="1132"/>
      <c r="S24" s="1132" t="str">
        <f>IF(G24&lt;&gt;"",LOWER(E24),"")</f>
        <v/>
      </c>
      <c r="T24" s="1132"/>
      <c r="U24" s="1132"/>
      <c r="V24" s="1132"/>
      <c r="W24" s="1132"/>
      <c r="X24" s="1132"/>
      <c r="Y24" s="1132"/>
      <c r="Z24" s="1132"/>
      <c r="AA24" s="1132"/>
      <c r="AB24" s="1132"/>
      <c r="AC24" s="1132"/>
      <c r="AD24" s="1132"/>
      <c r="AE24" s="1132"/>
      <c r="AF24" s="1132"/>
      <c r="AG24" s="1132"/>
      <c r="AH24" s="1132"/>
      <c r="AI24" s="1132"/>
      <c r="AJ24" s="1132"/>
      <c r="AK24" s="1132"/>
      <c r="AL24" s="1132"/>
      <c r="AN24" s="1327"/>
      <c r="AO24" s="1741"/>
      <c r="AP24" s="29"/>
    </row>
    <row r="25" spans="2:42">
      <c r="B25" s="26"/>
      <c r="C25" s="864"/>
      <c r="D25" s="864"/>
      <c r="E25" s="864"/>
      <c r="F25" s="864"/>
      <c r="G25" s="864"/>
      <c r="H25" s="876"/>
      <c r="I25" s="876"/>
      <c r="J25" s="888"/>
      <c r="K25" s="876"/>
      <c r="L25" s="876"/>
      <c r="M25" s="876"/>
      <c r="N25" s="864"/>
      <c r="O25" s="1413"/>
      <c r="P25" s="1413"/>
      <c r="Q25" s="29"/>
      <c r="U25" s="1440" t="s">
        <v>195</v>
      </c>
      <c r="AN25" s="1327"/>
      <c r="AO25" s="1741"/>
      <c r="AP25" s="29"/>
    </row>
    <row r="26" spans="2:42">
      <c r="B26" s="26"/>
      <c r="C26" s="867" t="s">
        <v>86</v>
      </c>
      <c r="D26" s="864"/>
      <c r="E26" s="864"/>
      <c r="F26" s="864"/>
      <c r="G26" s="877" t="s">
        <v>4574</v>
      </c>
      <c r="H26" s="1416" t="s">
        <v>48</v>
      </c>
      <c r="I26" s="1416" t="s">
        <v>3691</v>
      </c>
      <c r="J26" s="1442" t="s">
        <v>106</v>
      </c>
      <c r="K26" s="1416" t="s">
        <v>29</v>
      </c>
      <c r="L26" s="1416" t="s">
        <v>3659</v>
      </c>
      <c r="M26" s="1416" t="s">
        <v>3676</v>
      </c>
      <c r="N26" s="1416" t="s">
        <v>118</v>
      </c>
      <c r="O26" s="1415"/>
      <c r="P26" s="1415"/>
      <c r="Q26" s="29"/>
      <c r="AN26" s="1327"/>
      <c r="AO26" s="1741"/>
      <c r="AP26" s="29"/>
    </row>
    <row r="27" spans="2:42">
      <c r="B27" s="26"/>
      <c r="C27" s="864"/>
      <c r="D27" s="864"/>
      <c r="E27" s="557" t="s">
        <v>4632</v>
      </c>
      <c r="F27" s="864"/>
      <c r="G27" s="872"/>
      <c r="H27" s="876" t="str">
        <f>IF(ISERROR(MATCH($G$27,DroidArmorList,0)),"",INDEX(DroidArmorTable,MATCH($G$27,DroidArmorList,0),8))</f>
        <v/>
      </c>
      <c r="I27" s="876" t="str">
        <f>IF(ISERROR(MATCH($G$27,DroidArmorList,0)),"",INDEX(DroidArmorTable,MATCH($G$27,DroidArmorList,0),2)*DroidCostFactor)</f>
        <v/>
      </c>
      <c r="J27" s="876" t="str">
        <f>IF(ISERROR(MATCH($G$27,DroidArmorList,0)),"",INDEX(DroidArmorTable,MATCH($G$27,DroidArmorList,0),5)*DroidWeightModifier)</f>
        <v/>
      </c>
      <c r="K27" s="38" t="str">
        <f>IF(ISERROR(MATCH($G$27,DroidArmorList,0)),"",INDEX(DroidArmorTable,MATCH($G$27,DroidArmorList,0),3))</f>
        <v/>
      </c>
      <c r="L27" s="38" t="str">
        <f>IF(ISERROR(MATCH($G$27,DroidArmorList,0)),"",INDEX(DroidArmorTable,MATCH($G$27,DroidArmorList,0),4))</f>
        <v/>
      </c>
      <c r="M27" s="1450" t="str">
        <f>IF(ISERROR(MATCH($G$27,DroidArmorList,0)),"",INDEX(AvailabilityTable,MATCH(INDEX(DroidArmorTable,MATCH(DroidArmorName,DroidArmorList,0),6),AvailList,0),2))</f>
        <v/>
      </c>
      <c r="N27" s="876" t="str">
        <f>IF(ISERROR(MATCH($G$27,DroidArmorList,0)),"",IF(INDEX(DroidArmorTable,MATCH($G$27,DroidArmorList,0),7)&lt;&gt;"","Rare",""))</f>
        <v/>
      </c>
      <c r="O27" s="1424"/>
      <c r="P27" s="1424"/>
      <c r="Q27" s="29"/>
      <c r="S27" s="1132" t="str">
        <f>IF(DroidArmorName&lt;&gt;"",DroidArmorName,"")</f>
        <v/>
      </c>
      <c r="AN27" s="1327"/>
      <c r="AO27" s="1741"/>
      <c r="AP27" s="29"/>
    </row>
    <row r="28" spans="2:42">
      <c r="B28" s="26"/>
      <c r="C28" s="864"/>
      <c r="D28" s="864"/>
      <c r="E28" s="864"/>
      <c r="F28" s="864"/>
      <c r="G28" s="864"/>
      <c r="H28" s="876"/>
      <c r="I28" s="876"/>
      <c r="J28" s="888"/>
      <c r="K28" s="1444"/>
      <c r="L28" s="1444"/>
      <c r="M28" s="1444"/>
      <c r="N28" s="1445"/>
      <c r="O28" s="1743" t="s">
        <v>7433</v>
      </c>
      <c r="P28" s="1446"/>
      <c r="Q28" s="29"/>
      <c r="AN28" s="1327"/>
      <c r="AO28" s="1741"/>
      <c r="AP28" s="29"/>
    </row>
    <row r="29" spans="2:42" ht="14.5" customHeight="1">
      <c r="B29" s="26"/>
      <c r="C29" s="867" t="s">
        <v>4575</v>
      </c>
      <c r="D29" s="864"/>
      <c r="E29" s="557" t="s">
        <v>5719</v>
      </c>
      <c r="F29" s="864"/>
      <c r="G29" s="898" t="e">
        <f ca="1">IF(D32&lt;&gt;"",D32&amp;" ","")&amp;UnarmedDieNumber&amp;"d"&amp;UnarmedDieSize</f>
        <v>#N/A</v>
      </c>
      <c r="H29" s="876"/>
      <c r="I29" s="876"/>
      <c r="J29" s="888"/>
      <c r="K29" s="1745" t="s">
        <v>7430</v>
      </c>
      <c r="L29" s="1449" t="s">
        <v>4582</v>
      </c>
      <c r="M29" s="1743" t="s">
        <v>7431</v>
      </c>
      <c r="N29" s="1745" t="s">
        <v>7432</v>
      </c>
      <c r="O29" s="1743"/>
      <c r="P29" s="1743" t="s">
        <v>7434</v>
      </c>
      <c r="Q29" s="29"/>
      <c r="S29" s="1132" t="e">
        <f ca="1">IF(G29&lt;&gt;"",G29,"")</f>
        <v>#N/A</v>
      </c>
      <c r="AN29" s="1327"/>
      <c r="AO29" s="1741"/>
      <c r="AP29" s="29"/>
    </row>
    <row r="30" spans="2:42">
      <c r="B30" s="26"/>
      <c r="C30" s="864"/>
      <c r="D30" s="864"/>
      <c r="E30" s="864"/>
      <c r="F30" s="864"/>
      <c r="G30" s="895" t="str">
        <f>"Appendages ("&amp;COUNTIF(E31:E43,"Installed:")&amp;" total)"</f>
        <v>Appendages (0 total)</v>
      </c>
      <c r="H30" s="876"/>
      <c r="I30" s="877" t="s">
        <v>3691</v>
      </c>
      <c r="J30" s="529" t="s">
        <v>106</v>
      </c>
      <c r="K30" s="1746"/>
      <c r="L30" s="1448" t="s">
        <v>7422</v>
      </c>
      <c r="M30" s="1744"/>
      <c r="N30" s="1747"/>
      <c r="O30" s="1748"/>
      <c r="P30" s="1748"/>
      <c r="Q30" s="29"/>
      <c r="Z30" s="1132" t="str">
        <f>Z31</f>
        <v/>
      </c>
      <c r="AN30" s="1327"/>
      <c r="AO30" s="1741"/>
      <c r="AP30" s="29"/>
    </row>
    <row r="31" spans="2:42">
      <c r="B31" s="26"/>
      <c r="C31" s="512">
        <f t="shared" ref="C31:C40" si="1">IF(G31&lt;&gt;"",INDEX(DroidAppendagesTable,MATCH(G31,DroidAppendages,0),2)*DroidCostFactor,0)</f>
        <v>0</v>
      </c>
      <c r="D31" s="512">
        <f>IF(COUNTIF(G31:G40,"")=10,-1,IF(COUNTIF(G31:G40,"Claw")&gt;0,0,IF(OR(COUNTIF(G31:G40,"Tool")&gt;0,COUNTIF(G31:G40,"Hand")&gt;0),-1,-2)))</f>
        <v>-1</v>
      </c>
      <c r="E31" s="864" t="str">
        <f>IF(G31&lt;&gt;"","Installed:","")</f>
        <v/>
      </c>
      <c r="F31" s="864"/>
      <c r="G31" s="872"/>
      <c r="H31" s="585">
        <f t="shared" ref="H31:H40" si="2">IF(G31&lt;&gt;"",INDEX(DroidAppendagesTable,MATCH(G31,DroidAppendages,0),3)*DroidWeightModifier,0)</f>
        <v>0</v>
      </c>
      <c r="I31" s="876" t="str">
        <f t="shared" ref="I31:I40" si="3">IF(AND(E31&lt;&gt;"",G31&lt;&gt;""),IF(K31&lt;&gt;"",5*C31,0)+IF(L31&lt;&gt;"",2*C31,0)+IF(M31&lt;&gt;"",C31*2,0)+IF(N31&lt;&gt;"",C31*2,0)+IF(O31&lt;&gt;"",IF(G31&lt;&gt;"Tool",DroidCostFactor*50,DroidCostFactor*10),0)+IF(P31&lt;&gt;"",C31*4,0),"")</f>
        <v/>
      </c>
      <c r="J31" s="888" t="str">
        <f>IF(AND(E31&lt;&gt;"",G31&lt;&gt;""),IF(K31&lt;&gt;"",5*H31,0)+IF(L31&lt;&gt;"",2*H31,0)+IF(M31&lt;&gt;"",2*H31,0)+IF(N31&lt;&gt;"",2*H31,0)+IF(O31&lt;&gt;"",IF(G31&lt;&gt;"Tool",5*H31,2*H31),0)+IF(P31&lt;&gt;"",2*H31,0),"")</f>
        <v/>
      </c>
      <c r="K31" s="1422"/>
      <c r="L31" s="1422"/>
      <c r="M31" s="1422"/>
      <c r="N31" s="1422"/>
      <c r="O31" s="1422"/>
      <c r="P31" s="1422"/>
      <c r="Q31" s="29"/>
      <c r="R31" s="1132" t="str">
        <f>IF(G31&lt;&gt;"",LOWER(G31)&amp;IF(OR(K31&lt;&gt;"",L31&lt;&gt;"",M31&lt;&gt;"",N31&lt;&gt;"",O31&lt;&gt;"",P31&lt;&gt;"")," ("&amp;IF(K31&lt;&gt;"","stabilized, ","")&amp;IF(L31&lt;&gt;"","telescopic, ","")&amp;IF(M31&lt;&gt;"","magnetic, ","")&amp;IF(N31&lt;&gt;"","projectile, ","")&amp;IF(O31&lt;&gt;"","quick release coupling, ","")&amp;IF(P31&lt;&gt;"","rocket, ","")&amp;")",""),"")</f>
        <v/>
      </c>
      <c r="S31" s="774" t="str">
        <f>IF(R31&lt;&gt;"",IF(COUNTIF(K31:P31,"Yes")&gt;0,LEFT(R31,LEN(R31)-3)&amp;")",R31),"")</f>
        <v/>
      </c>
      <c r="T31" s="1132" t="str">
        <f>IF(S31&lt;&gt;"",COUNTIF(S$31:S$40,S31),"")</f>
        <v/>
      </c>
      <c r="U31" s="1132" t="str">
        <f t="shared" ref="U31:U40" si="4">IF(S31&lt;&gt;"",IF(T31&gt;1,T31&amp;" "&amp;S31&amp;" appendages",T31&amp;" "&amp;S31&amp;" appendage"),"")</f>
        <v/>
      </c>
      <c r="W31" s="1132" t="b">
        <f>COUNTIF($U$31:U31,U31)=1</f>
        <v>1</v>
      </c>
      <c r="X31" s="1132" t="str">
        <f>IF(W31,U31,"")</f>
        <v/>
      </c>
      <c r="Z31" s="1132" t="str">
        <f t="shared" ref="Z31:Z39" si="5">IF(X31&lt;&gt;"",IF(Z32&lt;&gt;"",X31&amp;", "&amp;Z32,X31),Z32)</f>
        <v/>
      </c>
      <c r="AN31" s="1327"/>
      <c r="AO31" s="1741"/>
      <c r="AP31" s="29"/>
    </row>
    <row r="32" spans="2:42">
      <c r="B32" s="26"/>
      <c r="C32" s="512">
        <f t="shared" si="1"/>
        <v>0</v>
      </c>
      <c r="D32" s="512" t="str">
        <f>IF(COUNTIF(G31:G40,"Claw")&gt;0,"claw",IF(COUNTIF(G31:G40,"Hand")&gt;0,"",IF(COUNTIF(G31:G40,"Tool")&gt;0,"tool",IF(COUNTIF(G31:G40,"Instrument")&gt;0,"instrument",""))))</f>
        <v/>
      </c>
      <c r="E32" s="895" t="str">
        <f t="shared" ref="E32:E40" si="6">IF(G32&lt;&gt;"","Installed:","")</f>
        <v/>
      </c>
      <c r="F32" s="864"/>
      <c r="G32" s="872"/>
      <c r="H32" s="585">
        <f t="shared" si="2"/>
        <v>0</v>
      </c>
      <c r="I32" s="1424" t="str">
        <f t="shared" si="3"/>
        <v/>
      </c>
      <c r="J32" s="888" t="str">
        <f t="shared" ref="J32:J40" si="7">IF(AND(E32&lt;&gt;"",G32&lt;&gt;""),IF(K32&lt;&gt;"",5*H32,0)+IF(L32&lt;&gt;"",2*H32,0)+IF(M32&lt;&gt;"",2*H32,0)+IF(N32&lt;&gt;"",2*H32,0)+IF(O32&lt;&gt;"",IF(G32&lt;&gt;"Tool",5*H32,2*H32),0)+IF(P32&lt;&gt;"",2*H32,0),"")</f>
        <v/>
      </c>
      <c r="K32" s="1342"/>
      <c r="L32" s="1422"/>
      <c r="M32" s="1422"/>
      <c r="N32" s="1422"/>
      <c r="O32" s="1422"/>
      <c r="P32" s="1422"/>
      <c r="Q32" s="29"/>
      <c r="R32" s="1132" t="str">
        <f t="shared" ref="R32:R40" si="8">IF(G32&lt;&gt;"",LOWER(G32)&amp;IF(OR(K32&lt;&gt;"",L32&lt;&gt;"",M32&lt;&gt;"",N32&lt;&gt;"",O32&lt;&gt;"",P32&lt;&gt;"")," ("&amp;IF(K32&lt;&gt;"","stabilized, ","")&amp;IF(L32&lt;&gt;"","telescopic, ","")&amp;IF(M32&lt;&gt;"","magnetic, ","")&amp;IF(N32&lt;&gt;"","projectile, ","")&amp;IF(O32&lt;&gt;"","quick release coupling, ","")&amp;IF(P32&lt;&gt;"","rocket, ","")&amp;")",""),"")</f>
        <v/>
      </c>
      <c r="S32" s="774" t="str">
        <f t="shared" ref="S32:S40" si="9">IF(R32&lt;&gt;"",IF(COUNTIF(K32:P32,"Yes")&gt;0,LEFT(R32,LEN(R32)-3)&amp;")",R32),"")</f>
        <v/>
      </c>
      <c r="T32" s="1132" t="str">
        <f t="shared" ref="T32:T40" si="10">IF(S32&lt;&gt;"",COUNTIF(S$31:S$40,S32),"")</f>
        <v/>
      </c>
      <c r="U32" s="1132" t="str">
        <f t="shared" si="4"/>
        <v/>
      </c>
      <c r="W32" s="1132" t="b">
        <f>COUNTIF($U$31:U32,U32)=1</f>
        <v>0</v>
      </c>
      <c r="X32" s="1132" t="str">
        <f t="shared" ref="X32:X40" si="11">IF(W32,U32,"")</f>
        <v/>
      </c>
      <c r="Z32" s="1132" t="str">
        <f t="shared" si="5"/>
        <v/>
      </c>
      <c r="AN32" s="1327"/>
      <c r="AO32" s="1741"/>
      <c r="AP32" s="29"/>
    </row>
    <row r="33" spans="2:42">
      <c r="B33" s="26"/>
      <c r="C33" s="512">
        <f t="shared" si="1"/>
        <v>0</v>
      </c>
      <c r="D33" s="512"/>
      <c r="E33" s="895" t="str">
        <f t="shared" si="6"/>
        <v/>
      </c>
      <c r="F33" s="864"/>
      <c r="G33" s="872"/>
      <c r="H33" s="585">
        <f t="shared" si="2"/>
        <v>0</v>
      </c>
      <c r="I33" s="1424" t="str">
        <f t="shared" si="3"/>
        <v/>
      </c>
      <c r="J33" s="888" t="str">
        <f t="shared" si="7"/>
        <v/>
      </c>
      <c r="K33" s="872"/>
      <c r="L33" s="872"/>
      <c r="M33" s="1422"/>
      <c r="N33" s="1422"/>
      <c r="O33" s="1422"/>
      <c r="P33" s="1422"/>
      <c r="Q33" s="29"/>
      <c r="R33" s="1132" t="str">
        <f t="shared" si="8"/>
        <v/>
      </c>
      <c r="S33" s="774" t="str">
        <f t="shared" si="9"/>
        <v/>
      </c>
      <c r="T33" s="1132" t="str">
        <f t="shared" si="10"/>
        <v/>
      </c>
      <c r="U33" s="1132" t="str">
        <f t="shared" si="4"/>
        <v/>
      </c>
      <c r="W33" s="1132" t="b">
        <f>COUNTIF($U$31:U33,U33)=1</f>
        <v>0</v>
      </c>
      <c r="X33" s="1132" t="str">
        <f t="shared" si="11"/>
        <v/>
      </c>
      <c r="Z33" s="1132" t="str">
        <f t="shared" si="5"/>
        <v/>
      </c>
      <c r="AN33" s="1327"/>
      <c r="AO33" s="1741"/>
      <c r="AP33" s="29"/>
    </row>
    <row r="34" spans="2:42" ht="15" thickBot="1">
      <c r="B34" s="26"/>
      <c r="C34" s="512">
        <f t="shared" si="1"/>
        <v>0</v>
      </c>
      <c r="D34" s="512"/>
      <c r="E34" s="895" t="str">
        <f t="shared" si="6"/>
        <v/>
      </c>
      <c r="F34" s="864"/>
      <c r="G34" s="872"/>
      <c r="H34" s="585">
        <f t="shared" si="2"/>
        <v>0</v>
      </c>
      <c r="I34" s="1424" t="str">
        <f t="shared" si="3"/>
        <v/>
      </c>
      <c r="J34" s="888" t="str">
        <f t="shared" si="7"/>
        <v/>
      </c>
      <c r="K34" s="872"/>
      <c r="L34" s="872"/>
      <c r="M34" s="1422"/>
      <c r="N34" s="1422"/>
      <c r="O34" s="1422"/>
      <c r="P34" s="1422"/>
      <c r="Q34" s="29"/>
      <c r="R34" s="1132" t="str">
        <f t="shared" si="8"/>
        <v/>
      </c>
      <c r="S34" s="774" t="str">
        <f t="shared" si="9"/>
        <v/>
      </c>
      <c r="T34" s="1132" t="str">
        <f t="shared" si="10"/>
        <v/>
      </c>
      <c r="U34" s="1132" t="str">
        <f t="shared" si="4"/>
        <v/>
      </c>
      <c r="W34" s="1132" t="b">
        <f>COUNTIF($U$31:U34,U34)=1</f>
        <v>0</v>
      </c>
      <c r="X34" s="1132" t="str">
        <f t="shared" si="11"/>
        <v/>
      </c>
      <c r="Z34" s="1132" t="str">
        <f t="shared" si="5"/>
        <v/>
      </c>
      <c r="AN34" s="32"/>
      <c r="AO34" s="1421"/>
      <c r="AP34" s="35"/>
    </row>
    <row r="35" spans="2:42">
      <c r="B35" s="26"/>
      <c r="C35" s="512">
        <f t="shared" si="1"/>
        <v>0</v>
      </c>
      <c r="D35" s="512"/>
      <c r="E35" s="895" t="str">
        <f t="shared" si="6"/>
        <v/>
      </c>
      <c r="F35" s="864"/>
      <c r="G35" s="872"/>
      <c r="H35" s="585">
        <f t="shared" si="2"/>
        <v>0</v>
      </c>
      <c r="I35" s="1424" t="str">
        <f t="shared" si="3"/>
        <v/>
      </c>
      <c r="J35" s="888" t="str">
        <f t="shared" si="7"/>
        <v/>
      </c>
      <c r="K35" s="872"/>
      <c r="L35" s="872"/>
      <c r="M35" s="1422"/>
      <c r="N35" s="1422"/>
      <c r="O35" s="1422"/>
      <c r="P35" s="1422"/>
      <c r="Q35" s="29"/>
      <c r="R35" s="1132" t="str">
        <f t="shared" si="8"/>
        <v/>
      </c>
      <c r="S35" s="774" t="str">
        <f t="shared" si="9"/>
        <v/>
      </c>
      <c r="T35" s="1132" t="str">
        <f t="shared" si="10"/>
        <v/>
      </c>
      <c r="U35" s="1132" t="str">
        <f t="shared" si="4"/>
        <v/>
      </c>
      <c r="W35" s="1132" t="b">
        <f>COUNTIF($U$31:U35,U35)=1</f>
        <v>0</v>
      </c>
      <c r="X35" s="1132" t="str">
        <f t="shared" si="11"/>
        <v/>
      </c>
      <c r="Z35" s="1132" t="str">
        <f t="shared" si="5"/>
        <v/>
      </c>
      <c r="AO35" s="990" t="s">
        <v>7420</v>
      </c>
    </row>
    <row r="36" spans="2:42">
      <c r="B36" s="26"/>
      <c r="C36" s="512">
        <f t="shared" si="1"/>
        <v>0</v>
      </c>
      <c r="D36" s="512"/>
      <c r="E36" s="895" t="str">
        <f t="shared" si="6"/>
        <v/>
      </c>
      <c r="F36" s="864"/>
      <c r="G36" s="872"/>
      <c r="H36" s="585">
        <f t="shared" si="2"/>
        <v>0</v>
      </c>
      <c r="I36" s="1424" t="str">
        <f t="shared" si="3"/>
        <v/>
      </c>
      <c r="J36" s="888" t="str">
        <f t="shared" si="7"/>
        <v/>
      </c>
      <c r="K36" s="872"/>
      <c r="L36" s="872"/>
      <c r="M36" s="1422"/>
      <c r="N36" s="1422"/>
      <c r="O36" s="1422"/>
      <c r="P36" s="1422"/>
      <c r="Q36" s="29"/>
      <c r="R36" s="1132" t="str">
        <f t="shared" si="8"/>
        <v/>
      </c>
      <c r="S36" s="774" t="str">
        <f t="shared" si="9"/>
        <v/>
      </c>
      <c r="T36" s="1132" t="str">
        <f t="shared" si="10"/>
        <v/>
      </c>
      <c r="U36" s="1132" t="str">
        <f t="shared" si="4"/>
        <v/>
      </c>
      <c r="W36" s="1132" t="b">
        <f>COUNTIF($U$31:U36,U36)=1</f>
        <v>0</v>
      </c>
      <c r="X36" s="1132" t="str">
        <f t="shared" si="11"/>
        <v/>
      </c>
      <c r="Z36" s="1132" t="str">
        <f t="shared" si="5"/>
        <v/>
      </c>
    </row>
    <row r="37" spans="2:42">
      <c r="B37" s="26"/>
      <c r="C37" s="512">
        <f t="shared" si="1"/>
        <v>0</v>
      </c>
      <c r="D37" s="512"/>
      <c r="E37" s="895" t="str">
        <f t="shared" si="6"/>
        <v/>
      </c>
      <c r="F37" s="864"/>
      <c r="G37" s="872"/>
      <c r="H37" s="585">
        <f t="shared" si="2"/>
        <v>0</v>
      </c>
      <c r="I37" s="1424" t="str">
        <f t="shared" si="3"/>
        <v/>
      </c>
      <c r="J37" s="888" t="str">
        <f t="shared" si="7"/>
        <v/>
      </c>
      <c r="K37" s="872"/>
      <c r="L37" s="872"/>
      <c r="M37" s="1422"/>
      <c r="N37" s="1422"/>
      <c r="O37" s="1422"/>
      <c r="P37" s="1422"/>
      <c r="Q37" s="29"/>
      <c r="R37" s="1132" t="str">
        <f t="shared" si="8"/>
        <v/>
      </c>
      <c r="S37" s="774" t="str">
        <f t="shared" si="9"/>
        <v/>
      </c>
      <c r="T37" s="1132" t="str">
        <f t="shared" si="10"/>
        <v/>
      </c>
      <c r="U37" s="1132" t="str">
        <f t="shared" si="4"/>
        <v/>
      </c>
      <c r="W37" s="1132" t="b">
        <f>COUNTIF($U$31:U37,U37)=1</f>
        <v>0</v>
      </c>
      <c r="X37" s="1132" t="str">
        <f t="shared" si="11"/>
        <v/>
      </c>
      <c r="Z37" s="1132" t="str">
        <f t="shared" si="5"/>
        <v/>
      </c>
    </row>
    <row r="38" spans="2:42">
      <c r="B38" s="26"/>
      <c r="C38" s="512">
        <f t="shared" si="1"/>
        <v>0</v>
      </c>
      <c r="D38" s="512"/>
      <c r="E38" s="895" t="str">
        <f t="shared" si="6"/>
        <v/>
      </c>
      <c r="F38" s="864"/>
      <c r="G38" s="872"/>
      <c r="H38" s="585">
        <f t="shared" si="2"/>
        <v>0</v>
      </c>
      <c r="I38" s="1424" t="str">
        <f t="shared" si="3"/>
        <v/>
      </c>
      <c r="J38" s="888" t="str">
        <f t="shared" si="7"/>
        <v/>
      </c>
      <c r="K38" s="872"/>
      <c r="L38" s="872"/>
      <c r="M38" s="1422"/>
      <c r="N38" s="1422"/>
      <c r="O38" s="1422"/>
      <c r="P38" s="1422"/>
      <c r="Q38" s="29"/>
      <c r="R38" s="1132" t="str">
        <f t="shared" si="8"/>
        <v/>
      </c>
      <c r="S38" s="774" t="str">
        <f t="shared" si="9"/>
        <v/>
      </c>
      <c r="T38" s="1132" t="str">
        <f t="shared" si="10"/>
        <v/>
      </c>
      <c r="U38" s="1132" t="str">
        <f t="shared" si="4"/>
        <v/>
      </c>
      <c r="W38" s="1132" t="b">
        <f>COUNTIF($U$31:U38,U38)=1</f>
        <v>0</v>
      </c>
      <c r="X38" s="1132" t="str">
        <f t="shared" si="11"/>
        <v/>
      </c>
      <c r="Z38" s="1132" t="str">
        <f t="shared" si="5"/>
        <v/>
      </c>
    </row>
    <row r="39" spans="2:42">
      <c r="B39" s="26"/>
      <c r="C39" s="512">
        <f t="shared" si="1"/>
        <v>0</v>
      </c>
      <c r="D39" s="512"/>
      <c r="E39" s="895" t="str">
        <f t="shared" si="6"/>
        <v/>
      </c>
      <c r="F39" s="864"/>
      <c r="G39" s="872"/>
      <c r="H39" s="585">
        <f t="shared" si="2"/>
        <v>0</v>
      </c>
      <c r="I39" s="1424" t="str">
        <f t="shared" si="3"/>
        <v/>
      </c>
      <c r="J39" s="888" t="str">
        <f t="shared" si="7"/>
        <v/>
      </c>
      <c r="K39" s="872"/>
      <c r="L39" s="872"/>
      <c r="M39" s="1422"/>
      <c r="N39" s="1422"/>
      <c r="O39" s="1422"/>
      <c r="P39" s="1422"/>
      <c r="Q39" s="29"/>
      <c r="R39" s="1132" t="str">
        <f t="shared" si="8"/>
        <v/>
      </c>
      <c r="S39" s="774" t="str">
        <f t="shared" si="9"/>
        <v/>
      </c>
      <c r="T39" s="1132" t="str">
        <f t="shared" si="10"/>
        <v/>
      </c>
      <c r="U39" s="1132" t="str">
        <f t="shared" si="4"/>
        <v/>
      </c>
      <c r="W39" s="1132" t="b">
        <f>COUNTIF($U$31:U39,U39)=1</f>
        <v>0</v>
      </c>
      <c r="X39" s="1132" t="str">
        <f t="shared" si="11"/>
        <v/>
      </c>
      <c r="Z39" s="1132" t="str">
        <f t="shared" si="5"/>
        <v/>
      </c>
    </row>
    <row r="40" spans="2:42">
      <c r="B40" s="26"/>
      <c r="C40" s="512">
        <f t="shared" si="1"/>
        <v>0</v>
      </c>
      <c r="D40" s="512"/>
      <c r="E40" s="895" t="str">
        <f t="shared" si="6"/>
        <v/>
      </c>
      <c r="F40" s="864"/>
      <c r="G40" s="872"/>
      <c r="H40" s="585">
        <f t="shared" si="2"/>
        <v>0</v>
      </c>
      <c r="I40" s="1424" t="str">
        <f t="shared" si="3"/>
        <v/>
      </c>
      <c r="J40" s="888" t="str">
        <f t="shared" si="7"/>
        <v/>
      </c>
      <c r="K40" s="872"/>
      <c r="L40" s="872"/>
      <c r="M40" s="1422"/>
      <c r="N40" s="1422"/>
      <c r="O40" s="1422"/>
      <c r="P40" s="1422"/>
      <c r="Q40" s="29"/>
      <c r="R40" s="1132" t="str">
        <f t="shared" si="8"/>
        <v/>
      </c>
      <c r="S40" s="774" t="str">
        <f t="shared" si="9"/>
        <v/>
      </c>
      <c r="T40" s="1132" t="str">
        <f t="shared" si="10"/>
        <v/>
      </c>
      <c r="U40" s="1132" t="str">
        <f t="shared" si="4"/>
        <v/>
      </c>
      <c r="W40" s="1132" t="b">
        <f>COUNTIF($U$31:U40,U40)=1</f>
        <v>0</v>
      </c>
      <c r="X40" s="1132" t="str">
        <f t="shared" si="11"/>
        <v/>
      </c>
      <c r="Z40" s="1132" t="str">
        <f>IF(X40&lt;&gt;"",IF(Z43&lt;&gt;"",X40&amp;", "&amp;Z43,X40),Z43)</f>
        <v/>
      </c>
    </row>
    <row r="41" spans="2:42" s="1420" customFormat="1">
      <c r="B41" s="1327"/>
      <c r="C41" s="1413"/>
      <c r="D41" s="512"/>
      <c r="E41" s="1413"/>
      <c r="F41" s="1413"/>
      <c r="G41" s="1424"/>
      <c r="H41" s="1424"/>
      <c r="I41" s="1424"/>
      <c r="J41" s="888"/>
      <c r="K41" s="1424"/>
      <c r="L41" s="1424"/>
      <c r="M41" s="1424"/>
      <c r="N41" s="1424"/>
      <c r="O41" s="1424"/>
      <c r="P41" s="1424"/>
      <c r="Q41" s="29"/>
      <c r="R41" s="1132"/>
      <c r="S41" s="774"/>
      <c r="T41" s="1132"/>
      <c r="U41" s="1132"/>
      <c r="V41" s="1132"/>
      <c r="W41" s="1132"/>
      <c r="X41" s="1132"/>
      <c r="Y41" s="1132"/>
      <c r="Z41" s="1132"/>
      <c r="AA41" s="1132"/>
      <c r="AB41" s="1132"/>
      <c r="AC41" s="1132"/>
      <c r="AD41" s="1132"/>
      <c r="AE41" s="1132"/>
      <c r="AF41" s="1132"/>
      <c r="AG41" s="1132"/>
      <c r="AH41" s="1132"/>
      <c r="AI41" s="1132"/>
      <c r="AJ41" s="1132"/>
      <c r="AK41" s="1132"/>
      <c r="AL41" s="1132"/>
    </row>
    <row r="42" spans="2:42" s="1420" customFormat="1">
      <c r="B42" s="1327"/>
      <c r="C42" s="1413"/>
      <c r="D42" s="512"/>
      <c r="E42" s="557" t="s">
        <v>7421</v>
      </c>
      <c r="F42" s="1413"/>
      <c r="G42" s="1422"/>
      <c r="H42" s="1424"/>
      <c r="I42" s="1424" t="str">
        <f>IF(G42="Basic",1500,IF(G42="Deluxe",6000,""))</f>
        <v/>
      </c>
      <c r="J42" s="888"/>
      <c r="K42" s="1424"/>
      <c r="L42" s="1424"/>
      <c r="M42" s="1424"/>
      <c r="N42" s="1424"/>
      <c r="O42" s="1424"/>
      <c r="P42" s="1424"/>
      <c r="Q42" s="29"/>
      <c r="R42" s="1132"/>
      <c r="S42" s="774"/>
      <c r="T42" s="1132"/>
      <c r="U42" s="1132"/>
      <c r="V42" s="1132"/>
      <c r="W42" s="1132"/>
      <c r="X42" s="1132"/>
      <c r="Y42" s="1132"/>
      <c r="Z42" s="1132"/>
      <c r="AA42" s="1132"/>
      <c r="AB42" s="1132"/>
      <c r="AC42" s="1132"/>
      <c r="AD42" s="1132"/>
      <c r="AE42" s="1132"/>
      <c r="AF42" s="1132"/>
      <c r="AG42" s="1132"/>
      <c r="AH42" s="1132"/>
      <c r="AI42" s="1132"/>
      <c r="AJ42" s="1132"/>
      <c r="AK42" s="1132"/>
      <c r="AL42" s="1132"/>
    </row>
    <row r="43" spans="2:42">
      <c r="B43" s="26"/>
      <c r="C43" s="864"/>
      <c r="D43" s="864"/>
      <c r="E43" s="864"/>
      <c r="F43" s="864"/>
      <c r="G43" s="864"/>
      <c r="H43" s="876"/>
      <c r="I43" s="876"/>
      <c r="J43" s="888"/>
      <c r="K43" s="876"/>
      <c r="L43" s="876"/>
      <c r="M43" s="876"/>
      <c r="N43" s="864"/>
      <c r="O43" s="1413"/>
      <c r="P43" s="1413"/>
      <c r="Q43" s="29"/>
      <c r="S43" s="774"/>
      <c r="Z43" s="1440" t="s">
        <v>195</v>
      </c>
    </row>
    <row r="44" spans="2:42">
      <c r="B44" s="26"/>
      <c r="C44" s="867" t="s">
        <v>4585</v>
      </c>
      <c r="D44" s="864"/>
      <c r="E44" s="864"/>
      <c r="F44" s="864"/>
      <c r="G44" s="877" t="s">
        <v>4574</v>
      </c>
      <c r="H44" s="876"/>
      <c r="I44" s="877" t="s">
        <v>3691</v>
      </c>
      <c r="J44" s="529" t="s">
        <v>106</v>
      </c>
      <c r="K44" s="876"/>
      <c r="L44" s="876"/>
      <c r="M44" s="876"/>
      <c r="N44" s="864"/>
      <c r="O44" s="1413"/>
      <c r="P44" s="1413"/>
      <c r="Q44" s="29"/>
      <c r="S44" s="774"/>
      <c r="U44" s="1132" t="str">
        <f>U45</f>
        <v/>
      </c>
    </row>
    <row r="45" spans="2:42">
      <c r="B45" s="26"/>
      <c r="C45" s="864"/>
      <c r="D45" s="864"/>
      <c r="E45" s="557" t="s">
        <v>4586</v>
      </c>
      <c r="F45" s="864"/>
      <c r="G45" s="1422"/>
      <c r="H45" s="876"/>
      <c r="I45" s="876" t="str">
        <f>IF(G45&lt;&gt;"",250,"")</f>
        <v/>
      </c>
      <c r="J45" s="888" t="str">
        <f>IF(G45&lt;&gt;"",0.1,"")</f>
        <v/>
      </c>
      <c r="K45" s="876"/>
      <c r="L45" s="876"/>
      <c r="M45" s="876"/>
      <c r="N45" s="864"/>
      <c r="O45" s="1413"/>
      <c r="P45" s="1413"/>
      <c r="Q45" s="29"/>
      <c r="S45" s="774" t="str">
        <f>IF(G45&lt;&gt;"","internal comlink","")</f>
        <v/>
      </c>
      <c r="U45" s="1132" t="str">
        <f>IF(S45&lt;&gt;"",IF(U46&lt;&gt;"",S45&amp;", "&amp;U46,S45),U46)</f>
        <v/>
      </c>
    </row>
    <row r="46" spans="2:42">
      <c r="B46" s="26"/>
      <c r="C46" s="864"/>
      <c r="D46" s="864"/>
      <c r="E46" s="557" t="s">
        <v>7426</v>
      </c>
      <c r="F46" s="864"/>
      <c r="G46" s="1422"/>
      <c r="H46" s="876"/>
      <c r="I46" s="1424" t="str">
        <f>IF(G46&lt;&gt;"",1000,"")</f>
        <v/>
      </c>
      <c r="J46" s="888" t="str">
        <f>IF(G46&lt;&gt;"",3,"")</f>
        <v/>
      </c>
      <c r="K46" s="876"/>
      <c r="L46" s="876"/>
      <c r="M46" s="876"/>
      <c r="N46" s="864"/>
      <c r="O46" s="1413"/>
      <c r="P46" s="1413"/>
      <c r="Q46" s="29"/>
      <c r="S46" s="774" t="str">
        <f t="shared" ref="S46:S52" si="12">IF(G46&lt;&gt;"",LOWER(E46),"")</f>
        <v/>
      </c>
      <c r="U46" s="1132" t="str">
        <f t="shared" ref="U46:U86" si="13">IF(S46&lt;&gt;"",IF(U47&lt;&gt;"",S46&amp;", "&amp;U47,S46),U47)</f>
        <v/>
      </c>
    </row>
    <row r="47" spans="2:42">
      <c r="B47" s="26"/>
      <c r="C47" s="864"/>
      <c r="D47" s="864"/>
      <c r="E47" s="557" t="s">
        <v>7427</v>
      </c>
      <c r="F47" s="864"/>
      <c r="G47" s="1422"/>
      <c r="H47" s="876"/>
      <c r="I47" s="1424" t="str">
        <f>IF(G47&lt;&gt;"",5000,"")</f>
        <v/>
      </c>
      <c r="J47" s="888" t="str">
        <f>IF(G47&lt;&gt;"",5,"")</f>
        <v/>
      </c>
      <c r="K47" s="876"/>
      <c r="L47" s="876"/>
      <c r="M47" s="876"/>
      <c r="N47" s="864"/>
      <c r="O47" s="1413"/>
      <c r="P47" s="1413"/>
      <c r="Q47" s="29"/>
      <c r="S47" s="774" t="str">
        <f t="shared" si="12"/>
        <v/>
      </c>
      <c r="U47" s="1132" t="str">
        <f t="shared" si="13"/>
        <v/>
      </c>
    </row>
    <row r="48" spans="2:42">
      <c r="B48" s="26"/>
      <c r="C48" s="864"/>
      <c r="D48" s="864"/>
      <c r="E48" s="557" t="s">
        <v>4588</v>
      </c>
      <c r="F48" s="864"/>
      <c r="G48" s="1422"/>
      <c r="H48" s="876"/>
      <c r="I48" s="876" t="str">
        <f>IF(G48&lt;&gt;"",250,"")</f>
        <v/>
      </c>
      <c r="J48" s="888" t="str">
        <f>IF(G48&lt;&gt;"",4,"")</f>
        <v/>
      </c>
      <c r="K48" s="876"/>
      <c r="L48" s="876"/>
      <c r="M48" s="876"/>
      <c r="N48" s="864"/>
      <c r="O48" s="1413"/>
      <c r="P48" s="1413"/>
      <c r="Q48" s="29"/>
      <c r="S48" s="774" t="str">
        <f t="shared" si="12"/>
        <v/>
      </c>
      <c r="U48" s="1132" t="str">
        <f>IF(S48&lt;&gt;"",IF(U49&lt;&gt;"",S48&amp;", "&amp;U49,S48),U49)</f>
        <v/>
      </c>
    </row>
    <row r="49" spans="2:38" s="1420" customFormat="1">
      <c r="B49" s="1327"/>
      <c r="C49" s="1413"/>
      <c r="D49" s="1413"/>
      <c r="E49" s="557" t="s">
        <v>1281</v>
      </c>
      <c r="F49" s="1413"/>
      <c r="G49" s="1422"/>
      <c r="H49" s="1424"/>
      <c r="I49" s="1424" t="str">
        <f>IF(G49&lt;&gt;"",10,"")</f>
        <v/>
      </c>
      <c r="J49" s="888" t="str">
        <f>IF(G49&lt;&gt;"",0.2,"")</f>
        <v/>
      </c>
      <c r="K49" s="1424"/>
      <c r="L49" s="1424"/>
      <c r="M49" s="1424"/>
      <c r="N49" s="1413"/>
      <c r="O49" s="1413"/>
      <c r="P49" s="1413"/>
      <c r="Q49" s="29"/>
      <c r="R49" s="1132"/>
      <c r="S49" s="774" t="str">
        <f t="shared" si="12"/>
        <v/>
      </c>
      <c r="T49" s="1132"/>
      <c r="U49" s="1132" t="str">
        <f>IF(S49&lt;&gt;"",IF(U50&lt;&gt;"",S49&amp;", "&amp;U50,S49),U50)</f>
        <v/>
      </c>
      <c r="V49" s="1132"/>
      <c r="W49" s="1132"/>
      <c r="X49" s="1132"/>
      <c r="Y49" s="1132"/>
      <c r="Z49" s="1132"/>
      <c r="AA49" s="1132"/>
      <c r="AB49" s="1132"/>
      <c r="AC49" s="1132"/>
      <c r="AD49" s="1132"/>
      <c r="AE49" s="1132"/>
      <c r="AF49" s="1132"/>
      <c r="AG49" s="1132"/>
      <c r="AH49" s="1132"/>
      <c r="AI49" s="1132"/>
      <c r="AJ49" s="1132"/>
      <c r="AK49" s="1132"/>
      <c r="AL49" s="1132"/>
    </row>
    <row r="50" spans="2:38" s="1420" customFormat="1">
      <c r="B50" s="1327"/>
      <c r="C50" s="1413"/>
      <c r="D50" s="1413"/>
      <c r="E50" s="557" t="s">
        <v>7428</v>
      </c>
      <c r="F50" s="1413"/>
      <c r="G50" s="1422"/>
      <c r="H50" s="1424"/>
      <c r="I50" s="1424" t="str">
        <f>IF(G50&lt;&gt;"",2000,"")</f>
        <v/>
      </c>
      <c r="J50" s="888" t="str">
        <f>IF(G50&lt;&gt;"",2,"")</f>
        <v/>
      </c>
      <c r="K50" s="1424"/>
      <c r="L50" s="1424"/>
      <c r="M50" s="1424"/>
      <c r="N50" s="1413"/>
      <c r="O50" s="1413"/>
      <c r="P50" s="1413"/>
      <c r="Q50" s="29"/>
      <c r="R50" s="1132"/>
      <c r="S50" s="774" t="str">
        <f t="shared" si="12"/>
        <v/>
      </c>
      <c r="T50" s="1132"/>
      <c r="U50" s="1132" t="str">
        <f>IF(S50&lt;&gt;"",IF(U51&lt;&gt;"",S50&amp;", "&amp;U51,S50),U51)</f>
        <v/>
      </c>
      <c r="V50" s="1132"/>
      <c r="W50" s="1132"/>
      <c r="X50" s="1132"/>
      <c r="Y50" s="1132"/>
      <c r="Z50" s="1132"/>
      <c r="AA50" s="1132"/>
      <c r="AB50" s="1132"/>
      <c r="AC50" s="1132"/>
      <c r="AD50" s="1132"/>
      <c r="AE50" s="1132"/>
      <c r="AF50" s="1132"/>
      <c r="AG50" s="1132"/>
      <c r="AH50" s="1132"/>
      <c r="AI50" s="1132"/>
      <c r="AJ50" s="1132"/>
      <c r="AK50" s="1132"/>
      <c r="AL50" s="1132"/>
    </row>
    <row r="51" spans="2:38" s="1420" customFormat="1">
      <c r="B51" s="1327"/>
      <c r="C51" s="1413"/>
      <c r="D51" s="1413"/>
      <c r="E51" s="557" t="s">
        <v>7429</v>
      </c>
      <c r="F51" s="1413"/>
      <c r="G51" s="1422"/>
      <c r="H51" s="1424"/>
      <c r="I51" s="1424" t="str">
        <f>IF(G51&lt;&gt;"",500,"")</f>
        <v/>
      </c>
      <c r="J51" s="888" t="str">
        <f>IF(G51&lt;&gt;"",2,"")</f>
        <v/>
      </c>
      <c r="K51" s="1424"/>
      <c r="L51" s="1424"/>
      <c r="M51" s="1424"/>
      <c r="N51" s="1413"/>
      <c r="O51" s="1413"/>
      <c r="P51" s="1413"/>
      <c r="Q51" s="29"/>
      <c r="R51" s="1132"/>
      <c r="S51" s="774" t="str">
        <f t="shared" si="12"/>
        <v/>
      </c>
      <c r="T51" s="1132"/>
      <c r="U51" s="1132" t="str">
        <f>IF(S51&lt;&gt;"",IF(U52&lt;&gt;"",S51&amp;", "&amp;U52,S51),U52)</f>
        <v/>
      </c>
      <c r="V51" s="1132"/>
      <c r="W51" s="1132"/>
      <c r="X51" s="1132"/>
      <c r="Y51" s="1132"/>
      <c r="Z51" s="1132"/>
      <c r="AA51" s="1132"/>
      <c r="AB51" s="1132"/>
      <c r="AC51" s="1132"/>
      <c r="AD51" s="1132"/>
      <c r="AE51" s="1132"/>
      <c r="AF51" s="1132"/>
      <c r="AG51" s="1132"/>
      <c r="AH51" s="1132"/>
      <c r="AI51" s="1132"/>
      <c r="AJ51" s="1132"/>
      <c r="AK51" s="1132"/>
      <c r="AL51" s="1132"/>
    </row>
    <row r="52" spans="2:38" s="1420" customFormat="1">
      <c r="B52" s="1327"/>
      <c r="C52" s="1413"/>
      <c r="D52" s="1413"/>
      <c r="E52" s="557" t="s">
        <v>4587</v>
      </c>
      <c r="F52" s="1413"/>
      <c r="G52" s="1422"/>
      <c r="H52" s="1424"/>
      <c r="I52" s="1424" t="str">
        <f>IF(G52&lt;&gt;"",50,"")</f>
        <v/>
      </c>
      <c r="J52" s="888" t="str">
        <f>IF(G52&lt;&gt;"",0.5,"")</f>
        <v/>
      </c>
      <c r="K52" s="1424"/>
      <c r="L52" s="1424"/>
      <c r="M52" s="1424"/>
      <c r="N52" s="1413"/>
      <c r="O52" s="1413"/>
      <c r="P52" s="1413"/>
      <c r="Q52" s="29"/>
      <c r="R52" s="1132"/>
      <c r="S52" s="774" t="str">
        <f t="shared" si="12"/>
        <v/>
      </c>
      <c r="T52" s="1132"/>
      <c r="U52" s="1132" t="str">
        <f>IF(S52&lt;&gt;"",IF(U55&lt;&gt;"",S52&amp;", "&amp;U55,S52),U55)</f>
        <v/>
      </c>
      <c r="V52" s="1132"/>
      <c r="W52" s="1132"/>
      <c r="X52" s="1132"/>
      <c r="Y52" s="1132"/>
      <c r="Z52" s="1132"/>
      <c r="AA52" s="1132"/>
      <c r="AB52" s="1132"/>
      <c r="AC52" s="1132"/>
      <c r="AD52" s="1132"/>
      <c r="AE52" s="1132"/>
      <c r="AF52" s="1132"/>
      <c r="AG52" s="1132"/>
      <c r="AH52" s="1132"/>
      <c r="AI52" s="1132"/>
      <c r="AJ52" s="1132"/>
      <c r="AK52" s="1132"/>
      <c r="AL52" s="1132"/>
    </row>
    <row r="53" spans="2:38">
      <c r="B53" s="26"/>
      <c r="C53" s="864"/>
      <c r="D53" s="864"/>
      <c r="E53" s="864"/>
      <c r="F53" s="864"/>
      <c r="G53" s="864"/>
      <c r="H53" s="876"/>
      <c r="I53" s="876"/>
      <c r="J53" s="888"/>
      <c r="K53" s="876"/>
      <c r="L53" s="876"/>
      <c r="M53" s="876"/>
      <c r="N53" s="864"/>
      <c r="O53" s="1413"/>
      <c r="P53" s="1413"/>
      <c r="Q53" s="29"/>
      <c r="S53" s="774" t="str">
        <f>IF(G53&lt;&gt;"",G53,"")</f>
        <v/>
      </c>
      <c r="U53" s="1132" t="str">
        <f t="shared" si="13"/>
        <v/>
      </c>
    </row>
    <row r="54" spans="2:38">
      <c r="B54" s="26"/>
      <c r="C54" s="867" t="s">
        <v>4589</v>
      </c>
      <c r="D54" s="864"/>
      <c r="E54" s="864"/>
      <c r="F54" s="864"/>
      <c r="G54" s="877" t="s">
        <v>4574</v>
      </c>
      <c r="H54" s="876"/>
      <c r="I54" s="877" t="s">
        <v>3691</v>
      </c>
      <c r="J54" s="529" t="s">
        <v>106</v>
      </c>
      <c r="K54" s="876"/>
      <c r="L54" s="876"/>
      <c r="M54" s="876"/>
      <c r="N54" s="864"/>
      <c r="O54" s="1413"/>
      <c r="P54" s="1413"/>
      <c r="Q54" s="29"/>
      <c r="S54" s="774"/>
      <c r="U54" s="1132" t="str">
        <f t="shared" si="13"/>
        <v/>
      </c>
    </row>
    <row r="55" spans="2:38">
      <c r="B55" s="26"/>
      <c r="C55" s="864"/>
      <c r="D55" s="864"/>
      <c r="E55" s="557" t="s">
        <v>8923</v>
      </c>
      <c r="F55" s="864"/>
      <c r="G55" s="872"/>
      <c r="H55" s="876"/>
      <c r="I55" s="876" t="str">
        <f>IF(G55&lt;&gt;"",G55*50,"")</f>
        <v/>
      </c>
      <c r="J55" s="888"/>
      <c r="K55" s="876"/>
      <c r="L55" s="876"/>
      <c r="M55" s="876"/>
      <c r="N55" s="864"/>
      <c r="O55" s="1413"/>
      <c r="P55" s="1413"/>
      <c r="Q55" s="29"/>
      <c r="S55" s="774" t="str">
        <f>IF(G55&lt;&gt;"",LOWER(E55)&amp;" ("&amp;G55&amp;" kg)","")</f>
        <v/>
      </c>
      <c r="U55" s="1132" t="str">
        <f t="shared" si="13"/>
        <v/>
      </c>
    </row>
    <row r="56" spans="2:38">
      <c r="B56" s="26"/>
      <c r="C56" s="864"/>
      <c r="D56" s="864"/>
      <c r="E56" s="557" t="s">
        <v>4590</v>
      </c>
      <c r="F56" s="864"/>
      <c r="G56" s="872"/>
      <c r="H56" s="876"/>
      <c r="I56" s="876" t="str">
        <f>IF(G56&lt;&gt;"",150,"")</f>
        <v/>
      </c>
      <c r="J56" s="888" t="str">
        <f>IF(G56&lt;&gt;"",3,"")</f>
        <v/>
      </c>
      <c r="K56" s="876"/>
      <c r="L56" s="876"/>
      <c r="M56" s="876"/>
      <c r="N56" s="864"/>
      <c r="O56" s="1413"/>
      <c r="P56" s="1413"/>
      <c r="Q56" s="29"/>
      <c r="S56" s="774" t="str">
        <f>IF(G56&lt;&gt;"",LOWER(E56),"")</f>
        <v/>
      </c>
      <c r="U56" s="1132" t="str">
        <f t="shared" si="13"/>
        <v/>
      </c>
    </row>
    <row r="57" spans="2:38">
      <c r="B57" s="26"/>
      <c r="C57" s="864"/>
      <c r="D57" s="864"/>
      <c r="E57" s="557" t="s">
        <v>4591</v>
      </c>
      <c r="F57" s="864"/>
      <c r="G57" s="872"/>
      <c r="H57" s="876"/>
      <c r="I57" s="876" t="str">
        <f>IF(G57&lt;&gt;"",50,"")</f>
        <v/>
      </c>
      <c r="J57" s="888"/>
      <c r="K57" s="876"/>
      <c r="L57" s="876"/>
      <c r="M57" s="876"/>
      <c r="N57" s="864"/>
      <c r="O57" s="1413"/>
      <c r="P57" s="1413"/>
      <c r="Q57" s="29"/>
      <c r="S57" s="774" t="str">
        <f>IF(G57&lt;&gt;"",LOWER(E57),"")</f>
        <v/>
      </c>
      <c r="U57" s="1132" t="str">
        <f t="shared" si="13"/>
        <v/>
      </c>
    </row>
    <row r="58" spans="2:38">
      <c r="B58" s="26"/>
      <c r="C58" s="864"/>
      <c r="D58" s="864"/>
      <c r="E58" s="864"/>
      <c r="F58" s="864"/>
      <c r="G58" s="864"/>
      <c r="H58" s="876"/>
      <c r="I58" s="876"/>
      <c r="J58" s="888"/>
      <c r="K58" s="876"/>
      <c r="L58" s="876"/>
      <c r="M58" s="876"/>
      <c r="N58" s="864"/>
      <c r="O58" s="1413"/>
      <c r="P58" s="1413"/>
      <c r="Q58" s="29"/>
      <c r="S58" s="774" t="str">
        <f>IF(G58&lt;&gt;"",G58,"")</f>
        <v/>
      </c>
      <c r="U58" s="1132" t="str">
        <f t="shared" si="13"/>
        <v/>
      </c>
    </row>
    <row r="59" spans="2:38">
      <c r="B59" s="26"/>
      <c r="C59" s="867" t="s">
        <v>4592</v>
      </c>
      <c r="D59" s="864"/>
      <c r="E59" s="864"/>
      <c r="F59" s="864"/>
      <c r="G59" s="877" t="s">
        <v>4574</v>
      </c>
      <c r="H59" s="876"/>
      <c r="I59" s="877" t="s">
        <v>3691</v>
      </c>
      <c r="J59" s="529" t="s">
        <v>106</v>
      </c>
      <c r="K59" s="876"/>
      <c r="L59" s="876"/>
      <c r="M59" s="876"/>
      <c r="N59" s="864"/>
      <c r="O59" s="1413"/>
      <c r="P59" s="1413"/>
      <c r="Q59" s="29"/>
      <c r="S59" s="774"/>
      <c r="U59" s="1132" t="str">
        <f t="shared" si="13"/>
        <v/>
      </c>
    </row>
    <row r="60" spans="2:38">
      <c r="B60" s="26"/>
      <c r="C60" s="864"/>
      <c r="D60" s="864"/>
      <c r="E60" s="557" t="s">
        <v>4593</v>
      </c>
      <c r="F60" s="864"/>
      <c r="G60" s="1342"/>
      <c r="H60" s="876"/>
      <c r="I60" s="876" t="str">
        <f>IF(G60&lt;&gt;"",2000,"")</f>
        <v/>
      </c>
      <c r="J60" s="888" t="str">
        <f>IF(G60&lt;&gt;"",5,"")</f>
        <v/>
      </c>
      <c r="K60" s="876"/>
      <c r="L60" s="876"/>
      <c r="M60" s="876"/>
      <c r="N60" s="864"/>
      <c r="O60" s="1413"/>
      <c r="P60" s="1413"/>
      <c r="Q60" s="29"/>
      <c r="S60" s="774" t="str">
        <f t="shared" ref="S60:S73" si="14">IF(G60&lt;&gt;"",LOWER(E60),"")</f>
        <v/>
      </c>
      <c r="U60" s="1132" t="str">
        <f t="shared" si="13"/>
        <v/>
      </c>
    </row>
    <row r="61" spans="2:38">
      <c r="B61" s="26"/>
      <c r="C61" s="864"/>
      <c r="D61" s="864"/>
      <c r="E61" s="557" t="s">
        <v>4594</v>
      </c>
      <c r="F61" s="864"/>
      <c r="G61" s="872"/>
      <c r="H61" s="876"/>
      <c r="I61" s="876" t="str">
        <f>IF(ISERROR(MATCH(G61,RemoteProcessorList,0)),"",INDEX(RemoteProcessorTable,MATCH(G61,RemoteProcessorList,0),2))</f>
        <v/>
      </c>
      <c r="J61" s="888" t="str">
        <f>IF(ISERROR(MATCH(G61,RemoteProcessorList,0)),"",INDEX(RemoteProcessorTable,MATCH(G61,RemoteProcessorList,0),3))</f>
        <v/>
      </c>
      <c r="K61" s="876"/>
      <c r="L61" s="876"/>
      <c r="M61" s="876"/>
      <c r="N61" s="864"/>
      <c r="O61" s="1413"/>
      <c r="P61" s="1413"/>
      <c r="Q61" s="29"/>
      <c r="S61" s="774" t="str">
        <f>IF(G61&lt;&gt;"",LOWER(E61)&amp;" ("&amp;G61&amp;")","")</f>
        <v/>
      </c>
      <c r="U61" s="1132" t="str">
        <f t="shared" si="13"/>
        <v/>
      </c>
    </row>
    <row r="62" spans="2:38">
      <c r="B62" s="26"/>
      <c r="C62" s="864"/>
      <c r="D62" s="864"/>
      <c r="E62" s="557" t="s">
        <v>4595</v>
      </c>
      <c r="F62" s="864"/>
      <c r="G62" s="872"/>
      <c r="H62" s="876"/>
      <c r="I62" s="876" t="str">
        <f>IF(G62&lt;&gt;"",-500,"")</f>
        <v/>
      </c>
      <c r="J62" s="888" t="str">
        <f>IF(G62&lt;&gt;"",1,"")</f>
        <v/>
      </c>
      <c r="K62" s="876"/>
      <c r="L62" s="876"/>
      <c r="M62" s="876"/>
      <c r="N62" s="864"/>
      <c r="O62" s="1413"/>
      <c r="P62" s="1413"/>
      <c r="Q62" s="29"/>
      <c r="S62" s="774" t="str">
        <f t="shared" si="14"/>
        <v/>
      </c>
      <c r="U62" s="1132" t="str">
        <f t="shared" si="13"/>
        <v/>
      </c>
    </row>
    <row r="63" spans="2:38">
      <c r="B63" s="26"/>
      <c r="C63" s="864"/>
      <c r="D63" s="864"/>
      <c r="E63" s="557" t="s">
        <v>4596</v>
      </c>
      <c r="F63" s="864"/>
      <c r="G63" s="872"/>
      <c r="H63" s="876"/>
      <c r="I63" s="876" t="str">
        <f>IF(G63&lt;&gt;"",100,"")</f>
        <v/>
      </c>
      <c r="J63" s="888"/>
      <c r="K63" s="876"/>
      <c r="L63" s="876"/>
      <c r="M63" s="876"/>
      <c r="N63" s="864"/>
      <c r="O63" s="1413"/>
      <c r="P63" s="1413"/>
      <c r="Q63" s="29"/>
      <c r="S63" s="774" t="str">
        <f t="shared" si="14"/>
        <v/>
      </c>
      <c r="U63" s="1132" t="str">
        <f t="shared" si="13"/>
        <v/>
      </c>
    </row>
    <row r="64" spans="2:38">
      <c r="B64" s="26"/>
      <c r="C64" s="864"/>
      <c r="D64" s="864"/>
      <c r="E64" s="557" t="s">
        <v>4597</v>
      </c>
      <c r="F64" s="864"/>
      <c r="G64" s="872"/>
      <c r="H64" s="876"/>
      <c r="I64" s="876" t="str">
        <f>IF(G64&lt;&gt;"",150,"")</f>
        <v/>
      </c>
      <c r="J64" s="888" t="str">
        <f>IF(G64&lt;&gt;"",1,"")</f>
        <v/>
      </c>
      <c r="K64" s="876"/>
      <c r="L64" s="876"/>
      <c r="M64" s="876"/>
      <c r="N64" s="864"/>
      <c r="O64" s="1413"/>
      <c r="P64" s="1413"/>
      <c r="Q64" s="29"/>
      <c r="S64" s="774" t="str">
        <f t="shared" si="14"/>
        <v/>
      </c>
      <c r="U64" s="1132" t="str">
        <f t="shared" si="13"/>
        <v/>
      </c>
    </row>
    <row r="65" spans="2:38">
      <c r="B65" s="26"/>
      <c r="C65" s="864"/>
      <c r="D65" s="864"/>
      <c r="E65" s="557" t="s">
        <v>1692</v>
      </c>
      <c r="F65" s="864"/>
      <c r="G65" s="1342"/>
      <c r="H65" s="876"/>
      <c r="I65" s="876" t="str">
        <f>IF(G65&lt;&gt;"",5,"")</f>
        <v/>
      </c>
      <c r="J65" s="888"/>
      <c r="K65" s="876"/>
      <c r="L65" s="876"/>
      <c r="M65" s="876"/>
      <c r="N65" s="864"/>
      <c r="O65" s="1413"/>
      <c r="P65" s="1413"/>
      <c r="Q65" s="29"/>
      <c r="S65" s="774" t="str">
        <f t="shared" si="14"/>
        <v/>
      </c>
      <c r="U65" s="1132" t="str">
        <f t="shared" si="13"/>
        <v/>
      </c>
    </row>
    <row r="66" spans="2:38">
      <c r="B66" s="26"/>
      <c r="C66" s="864"/>
      <c r="D66" s="864"/>
      <c r="E66" s="557" t="s">
        <v>4598</v>
      </c>
      <c r="F66" s="864"/>
      <c r="G66" s="872"/>
      <c r="H66" s="876"/>
      <c r="I66" s="876" t="str">
        <f>IF(G66&lt;&gt;"",400,"")</f>
        <v/>
      </c>
      <c r="J66" s="888" t="str">
        <f>IF(G66&lt;&gt;"",4,"")</f>
        <v/>
      </c>
      <c r="K66" s="876"/>
      <c r="L66" s="876"/>
      <c r="M66" s="876"/>
      <c r="N66" s="864"/>
      <c r="O66" s="1413"/>
      <c r="P66" s="1413"/>
      <c r="Q66" s="29"/>
      <c r="S66" s="774" t="str">
        <f t="shared" si="14"/>
        <v/>
      </c>
      <c r="U66" s="1132" t="str">
        <f t="shared" si="13"/>
        <v/>
      </c>
    </row>
    <row r="67" spans="2:38">
      <c r="B67" s="26"/>
      <c r="C67" s="864"/>
      <c r="D67" s="864"/>
      <c r="E67" s="557" t="s">
        <v>4599</v>
      </c>
      <c r="F67" s="864"/>
      <c r="G67" s="1342"/>
      <c r="H67" s="876"/>
      <c r="I67" s="876" t="str">
        <f>IF(G67&lt;&gt;"",IF(DroidSize="Small",24,36)*20,"")</f>
        <v/>
      </c>
      <c r="J67" s="888" t="str">
        <f>IF(G67&lt;&gt;"",IF(DroidSize="Small",24,36)*0.1,"")</f>
        <v/>
      </c>
      <c r="K67" s="876"/>
      <c r="L67" s="876"/>
      <c r="M67" s="876"/>
      <c r="N67" s="864"/>
      <c r="O67" s="1413"/>
      <c r="P67" s="1413"/>
      <c r="Q67" s="29"/>
      <c r="S67" s="774" t="str">
        <f>IF(G67&lt;&gt;"",LOWER(E67)&amp;" ("&amp;I67/20/6&amp;"d6)","")</f>
        <v/>
      </c>
      <c r="U67" s="1132" t="str">
        <f t="shared" si="13"/>
        <v/>
      </c>
    </row>
    <row r="68" spans="2:38" s="1420" customFormat="1">
      <c r="B68" s="1327"/>
      <c r="C68" s="1413"/>
      <c r="D68" s="1413"/>
      <c r="E68" s="557" t="s">
        <v>7436</v>
      </c>
      <c r="F68" s="1413"/>
      <c r="G68" s="1422"/>
      <c r="H68" s="1424"/>
      <c r="I68" s="1424" t="str">
        <f>IF(G68&lt;&gt;"",500,"")</f>
        <v/>
      </c>
      <c r="J68" s="888" t="str">
        <f>IF(G68&lt;&gt;"",0.5,"")</f>
        <v/>
      </c>
      <c r="K68" s="1424"/>
      <c r="L68" s="1424"/>
      <c r="M68" s="1424"/>
      <c r="N68" s="1413"/>
      <c r="O68" s="1413"/>
      <c r="P68" s="1413"/>
      <c r="Q68" s="29"/>
      <c r="R68" s="1132"/>
      <c r="S68" s="774" t="str">
        <f t="shared" si="14"/>
        <v/>
      </c>
      <c r="T68" s="1132"/>
      <c r="U68" s="1132" t="str">
        <f t="shared" si="13"/>
        <v/>
      </c>
      <c r="V68" s="1132"/>
      <c r="W68" s="1132"/>
      <c r="X68" s="1132"/>
      <c r="Y68" s="1132"/>
      <c r="Z68" s="1132"/>
      <c r="AA68" s="1132"/>
      <c r="AB68" s="1132"/>
      <c r="AC68" s="1132"/>
      <c r="AD68" s="1132"/>
      <c r="AE68" s="1132"/>
      <c r="AF68" s="1132"/>
      <c r="AG68" s="1132"/>
      <c r="AH68" s="1132"/>
      <c r="AI68" s="1132"/>
      <c r="AJ68" s="1132"/>
      <c r="AK68" s="1132"/>
      <c r="AL68" s="1132"/>
    </row>
    <row r="69" spans="2:38" s="1420" customFormat="1">
      <c r="B69" s="1327"/>
      <c r="C69" s="1413"/>
      <c r="D69" s="1413"/>
      <c r="E69" s="557" t="s">
        <v>7437</v>
      </c>
      <c r="F69" s="1413"/>
      <c r="G69" s="1422"/>
      <c r="H69" s="1424"/>
      <c r="I69" s="1424" t="str">
        <f>IF(G69&lt;&gt;"",200,"")</f>
        <v/>
      </c>
      <c r="J69" s="888" t="str">
        <f>IF(G69&lt;&gt;"",1,"")</f>
        <v/>
      </c>
      <c r="K69" s="1424"/>
      <c r="L69" s="1424"/>
      <c r="M69" s="1424"/>
      <c r="N69" s="1413"/>
      <c r="O69" s="1413"/>
      <c r="P69" s="1413"/>
      <c r="Q69" s="29"/>
      <c r="R69" s="1132"/>
      <c r="S69" s="774" t="str">
        <f t="shared" si="14"/>
        <v/>
      </c>
      <c r="T69" s="1132"/>
      <c r="U69" s="1132" t="str">
        <f t="shared" si="13"/>
        <v/>
      </c>
      <c r="V69" s="1132"/>
      <c r="W69" s="1132"/>
      <c r="X69" s="1132"/>
      <c r="Y69" s="1132"/>
      <c r="Z69" s="1132"/>
      <c r="AA69" s="1132"/>
      <c r="AB69" s="1132"/>
      <c r="AC69" s="1132"/>
      <c r="AD69" s="1132"/>
      <c r="AE69" s="1132"/>
      <c r="AF69" s="1132"/>
      <c r="AG69" s="1132"/>
      <c r="AH69" s="1132"/>
      <c r="AI69" s="1132"/>
      <c r="AJ69" s="1132"/>
      <c r="AK69" s="1132"/>
      <c r="AL69" s="1132"/>
    </row>
    <row r="70" spans="2:38" s="1420" customFormat="1">
      <c r="B70" s="1327"/>
      <c r="C70" s="1413"/>
      <c r="D70" s="1413"/>
      <c r="E70" s="557" t="s">
        <v>7438</v>
      </c>
      <c r="F70" s="1413"/>
      <c r="G70" s="1422"/>
      <c r="H70" s="557" t="s">
        <v>7443</v>
      </c>
      <c r="I70" s="1422"/>
      <c r="J70" s="1443"/>
      <c r="K70" s="1414" t="s">
        <v>7442</v>
      </c>
      <c r="L70" s="1424"/>
      <c r="M70" s="1424"/>
      <c r="N70" s="1413"/>
      <c r="O70" s="1413"/>
      <c r="P70" s="1413"/>
      <c r="Q70" s="29"/>
      <c r="R70" s="1132"/>
      <c r="S70" s="774" t="str">
        <f t="shared" si="14"/>
        <v/>
      </c>
      <c r="T70" s="1132"/>
      <c r="U70" s="1132" t="str">
        <f t="shared" si="13"/>
        <v/>
      </c>
      <c r="V70" s="1132"/>
      <c r="W70" s="1132"/>
      <c r="X70" s="1132"/>
      <c r="Y70" s="1132"/>
      <c r="Z70" s="1132"/>
      <c r="AA70" s="1132"/>
      <c r="AB70" s="1132"/>
      <c r="AC70" s="1132"/>
      <c r="AD70" s="1132"/>
      <c r="AE70" s="1132"/>
      <c r="AF70" s="1132"/>
      <c r="AG70" s="1132"/>
      <c r="AH70" s="1132"/>
      <c r="AI70" s="1132"/>
      <c r="AJ70" s="1132"/>
      <c r="AK70" s="1132"/>
      <c r="AL70" s="1132"/>
    </row>
    <row r="71" spans="2:38" s="1420" customFormat="1">
      <c r="B71" s="1327"/>
      <c r="C71" s="1413"/>
      <c r="D71" s="1413"/>
      <c r="E71" s="557" t="s">
        <v>7439</v>
      </c>
      <c r="F71" s="1413"/>
      <c r="G71" s="1422"/>
      <c r="H71" s="1424"/>
      <c r="I71" s="1424" t="str">
        <f>IF(G71&lt;&gt;"",50,"")</f>
        <v/>
      </c>
      <c r="J71" s="888" t="str">
        <f>IF(G71&lt;&gt;"",2,"")</f>
        <v/>
      </c>
      <c r="K71" s="1424"/>
      <c r="L71" s="1424"/>
      <c r="M71" s="1424"/>
      <c r="N71" s="1413"/>
      <c r="O71" s="1413"/>
      <c r="P71" s="1413"/>
      <c r="Q71" s="29"/>
      <c r="R71" s="1132"/>
      <c r="S71" s="774" t="str">
        <f t="shared" si="14"/>
        <v/>
      </c>
      <c r="T71" s="1132"/>
      <c r="U71" s="1132" t="str">
        <f t="shared" si="13"/>
        <v/>
      </c>
      <c r="V71" s="1132"/>
      <c r="W71" s="1132"/>
      <c r="X71" s="1132"/>
      <c r="Y71" s="1132"/>
      <c r="Z71" s="1132"/>
      <c r="AA71" s="1132"/>
      <c r="AB71" s="1132"/>
      <c r="AC71" s="1132"/>
      <c r="AD71" s="1132"/>
      <c r="AE71" s="1132"/>
      <c r="AF71" s="1132"/>
      <c r="AG71" s="1132"/>
      <c r="AH71" s="1132"/>
      <c r="AI71" s="1132"/>
      <c r="AJ71" s="1132"/>
      <c r="AK71" s="1132"/>
      <c r="AL71" s="1132"/>
    </row>
    <row r="72" spans="2:38" s="1420" customFormat="1">
      <c r="B72" s="1327"/>
      <c r="C72" s="1413"/>
      <c r="D72" s="1413"/>
      <c r="E72" s="557" t="s">
        <v>7440</v>
      </c>
      <c r="F72" s="1413"/>
      <c r="G72" s="1422"/>
      <c r="H72" s="1424"/>
      <c r="I72" s="1424" t="str">
        <f>IF(G72&lt;&gt;"",1000,"")</f>
        <v/>
      </c>
      <c r="J72" s="888" t="str">
        <f>IF(G72&lt;&gt;"",2,"")</f>
        <v/>
      </c>
      <c r="K72" s="1424"/>
      <c r="L72" s="1424"/>
      <c r="M72" s="1424"/>
      <c r="N72" s="1413"/>
      <c r="O72" s="1413"/>
      <c r="P72" s="1413"/>
      <c r="Q72" s="29"/>
      <c r="R72" s="1132"/>
      <c r="S72" s="774" t="str">
        <f t="shared" si="14"/>
        <v/>
      </c>
      <c r="T72" s="1132"/>
      <c r="U72" s="1132" t="str">
        <f t="shared" si="13"/>
        <v/>
      </c>
      <c r="V72" s="1132"/>
      <c r="W72" s="1132"/>
      <c r="X72" s="1132"/>
      <c r="Y72" s="1132"/>
      <c r="Z72" s="1132"/>
      <c r="AA72" s="1132"/>
      <c r="AB72" s="1132"/>
      <c r="AC72" s="1132"/>
      <c r="AD72" s="1132"/>
      <c r="AE72" s="1132"/>
      <c r="AF72" s="1132"/>
      <c r="AG72" s="1132"/>
      <c r="AH72" s="1132"/>
      <c r="AI72" s="1132"/>
      <c r="AJ72" s="1132"/>
      <c r="AK72" s="1132"/>
      <c r="AL72" s="1132"/>
    </row>
    <row r="73" spans="2:38" s="1420" customFormat="1">
      <c r="B73" s="1327"/>
      <c r="C73" s="1413"/>
      <c r="D73" s="1413"/>
      <c r="E73" s="557" t="s">
        <v>7441</v>
      </c>
      <c r="F73" s="1413"/>
      <c r="G73" s="1422"/>
      <c r="H73" s="1424"/>
      <c r="I73" s="1424" t="str">
        <f>IF(G73&lt;&gt;"",5000,"")</f>
        <v/>
      </c>
      <c r="J73" s="888" t="str">
        <f>IF(G73&lt;&gt;"",10,"")</f>
        <v/>
      </c>
      <c r="K73" s="1424"/>
      <c r="L73" s="1424"/>
      <c r="M73" s="1424"/>
      <c r="N73" s="1413"/>
      <c r="O73" s="1413"/>
      <c r="P73" s="1413"/>
      <c r="Q73" s="29"/>
      <c r="R73" s="1132"/>
      <c r="S73" s="774" t="str">
        <f t="shared" si="14"/>
        <v/>
      </c>
      <c r="T73" s="1132"/>
      <c r="U73" s="1132" t="str">
        <f t="shared" si="13"/>
        <v/>
      </c>
      <c r="V73" s="1132"/>
      <c r="W73" s="1132"/>
      <c r="X73" s="1132"/>
      <c r="Y73" s="1132"/>
      <c r="Z73" s="1132"/>
      <c r="AA73" s="1132"/>
      <c r="AB73" s="1132"/>
      <c r="AC73" s="1132"/>
      <c r="AD73" s="1132"/>
      <c r="AE73" s="1132"/>
      <c r="AF73" s="1132"/>
      <c r="AG73" s="1132"/>
      <c r="AH73" s="1132"/>
      <c r="AI73" s="1132"/>
      <c r="AJ73" s="1132"/>
      <c r="AK73" s="1132"/>
      <c r="AL73" s="1132"/>
    </row>
    <row r="74" spans="2:38">
      <c r="B74" s="26"/>
      <c r="C74" s="864"/>
      <c r="D74" s="864"/>
      <c r="E74" s="864"/>
      <c r="F74" s="864"/>
      <c r="G74" s="864"/>
      <c r="H74" s="876"/>
      <c r="I74" s="876"/>
      <c r="J74" s="888"/>
      <c r="K74" s="876"/>
      <c r="L74" s="876"/>
      <c r="M74" s="876"/>
      <c r="N74" s="864"/>
      <c r="O74" s="1413"/>
      <c r="P74" s="1413"/>
      <c r="Q74" s="29"/>
      <c r="S74" s="774" t="str">
        <f>IF(G74&lt;&gt;"",G74,"")</f>
        <v/>
      </c>
      <c r="U74" s="1132" t="str">
        <f t="shared" si="13"/>
        <v/>
      </c>
    </row>
    <row r="75" spans="2:38">
      <c r="B75" s="26"/>
      <c r="C75" s="867" t="s">
        <v>4605</v>
      </c>
      <c r="D75" s="864"/>
      <c r="E75" s="864"/>
      <c r="F75" s="864"/>
      <c r="G75" s="877" t="s">
        <v>4574</v>
      </c>
      <c r="H75" s="876"/>
      <c r="I75" s="877" t="s">
        <v>3691</v>
      </c>
      <c r="J75" s="529" t="s">
        <v>106</v>
      </c>
      <c r="K75" s="876"/>
      <c r="L75" s="876"/>
      <c r="M75" s="876"/>
      <c r="N75" s="864"/>
      <c r="O75" s="1413"/>
      <c r="P75" s="1413"/>
      <c r="Q75" s="29"/>
      <c r="S75" s="774"/>
      <c r="U75" s="1132" t="str">
        <f t="shared" si="13"/>
        <v/>
      </c>
    </row>
    <row r="76" spans="2:38">
      <c r="B76" s="26"/>
      <c r="C76" s="864"/>
      <c r="D76" s="864"/>
      <c r="E76" s="557" t="s">
        <v>4606</v>
      </c>
      <c r="F76" s="864"/>
      <c r="G76" s="1422"/>
      <c r="H76" s="876"/>
      <c r="I76" s="876" t="str">
        <f>IF(G76&lt;&gt;"",200,"")</f>
        <v/>
      </c>
      <c r="J76" s="888" t="str">
        <f>IF(G76&lt;&gt;"",2.5,"")</f>
        <v/>
      </c>
      <c r="K76" s="876"/>
      <c r="L76" s="876"/>
      <c r="M76" s="876"/>
      <c r="N76" s="864"/>
      <c r="O76" s="1413"/>
      <c r="P76" s="1413"/>
      <c r="Q76" s="29"/>
      <c r="S76" s="774" t="str">
        <f t="shared" ref="S76:S81" si="15">IF(G76&lt;&gt;"",LOWER(E76),"")</f>
        <v/>
      </c>
      <c r="U76" s="1132" t="str">
        <f t="shared" si="13"/>
        <v/>
      </c>
    </row>
    <row r="77" spans="2:38">
      <c r="B77" s="26"/>
      <c r="C77" s="864"/>
      <c r="D77" s="864"/>
      <c r="E77" s="557" t="s">
        <v>517</v>
      </c>
      <c r="F77" s="864"/>
      <c r="G77" s="1372"/>
      <c r="H77" s="876"/>
      <c r="I77" s="876" t="str">
        <f>IF(G77&lt;&gt;"",150,"")</f>
        <v/>
      </c>
      <c r="J77" s="888" t="str">
        <f>IF(G77&lt;&gt;"",1.5,"")</f>
        <v/>
      </c>
      <c r="K77" s="876"/>
      <c r="L77" s="876"/>
      <c r="M77" s="876"/>
      <c r="N77" s="864"/>
      <c r="O77" s="1413"/>
      <c r="P77" s="1413"/>
      <c r="Q77" s="29"/>
      <c r="S77" s="774" t="str">
        <f t="shared" si="15"/>
        <v/>
      </c>
      <c r="U77" s="1132" t="str">
        <f t="shared" si="13"/>
        <v/>
      </c>
    </row>
    <row r="78" spans="2:38" s="1420" customFormat="1">
      <c r="B78" s="1327"/>
      <c r="C78" s="1413"/>
      <c r="D78" s="1413"/>
      <c r="E78" s="557" t="s">
        <v>7444</v>
      </c>
      <c r="F78" s="1413"/>
      <c r="G78" s="1422"/>
      <c r="H78" s="585">
        <v>200</v>
      </c>
      <c r="I78" s="1424" t="str">
        <f>IF(G78&lt;&gt;"",H78,"")</f>
        <v/>
      </c>
      <c r="J78" s="1424" t="str">
        <f>IF(G78&lt;&gt;"",K78,"")</f>
        <v/>
      </c>
      <c r="K78" s="585">
        <v>5</v>
      </c>
      <c r="L78" s="1424"/>
      <c r="M78" s="1424"/>
      <c r="N78" s="1413"/>
      <c r="O78" s="1413"/>
      <c r="P78" s="1413"/>
      <c r="Q78" s="29"/>
      <c r="R78" s="1132"/>
      <c r="S78" s="774" t="str">
        <f t="shared" si="15"/>
        <v/>
      </c>
      <c r="T78" s="1132"/>
      <c r="U78" s="1132" t="str">
        <f t="shared" si="13"/>
        <v/>
      </c>
      <c r="V78" s="1132"/>
      <c r="W78" s="1132"/>
      <c r="X78" s="1132"/>
      <c r="Y78" s="1132"/>
      <c r="Z78" s="1132"/>
      <c r="AA78" s="1132"/>
      <c r="AB78" s="1132"/>
      <c r="AC78" s="1132"/>
      <c r="AD78" s="1132"/>
      <c r="AE78" s="1132"/>
      <c r="AF78" s="1132"/>
      <c r="AG78" s="1132"/>
      <c r="AH78" s="1132"/>
      <c r="AI78" s="1132"/>
      <c r="AJ78" s="1132"/>
      <c r="AK78" s="1132"/>
      <c r="AL78" s="1132"/>
    </row>
    <row r="79" spans="2:38" s="1420" customFormat="1">
      <c r="B79" s="1327"/>
      <c r="C79" s="1413"/>
      <c r="D79" s="1413"/>
      <c r="E79" s="557" t="s">
        <v>7445</v>
      </c>
      <c r="F79" s="1413"/>
      <c r="G79" s="1422"/>
      <c r="H79" s="585">
        <v>1000</v>
      </c>
      <c r="I79" s="1424" t="str">
        <f>IF(G79&lt;&gt;"",H79,"")</f>
        <v/>
      </c>
      <c r="J79" s="1424" t="str">
        <f>IF(G79&lt;&gt;"",K79,"")</f>
        <v/>
      </c>
      <c r="K79" s="585">
        <v>2</v>
      </c>
      <c r="L79" s="1424"/>
      <c r="M79" s="1424"/>
      <c r="N79" s="1413"/>
      <c r="O79" s="1413"/>
      <c r="P79" s="1413"/>
      <c r="Q79" s="29"/>
      <c r="R79" s="1132"/>
      <c r="S79" s="774" t="str">
        <f t="shared" si="15"/>
        <v/>
      </c>
      <c r="T79" s="1132"/>
      <c r="U79" s="1132" t="str">
        <f t="shared" si="13"/>
        <v/>
      </c>
      <c r="V79" s="1132"/>
      <c r="W79" s="1132"/>
      <c r="X79" s="1132"/>
      <c r="Y79" s="1132"/>
      <c r="Z79" s="1132"/>
      <c r="AA79" s="1132"/>
      <c r="AB79" s="1132"/>
      <c r="AC79" s="1132"/>
      <c r="AD79" s="1132"/>
      <c r="AE79" s="1132"/>
      <c r="AF79" s="1132"/>
      <c r="AG79" s="1132"/>
      <c r="AH79" s="1132"/>
      <c r="AI79" s="1132"/>
      <c r="AJ79" s="1132"/>
      <c r="AK79" s="1132"/>
      <c r="AL79" s="1132"/>
    </row>
    <row r="80" spans="2:38" s="1420" customFormat="1">
      <c r="B80" s="1327"/>
      <c r="C80" s="1413"/>
      <c r="D80" s="1413"/>
      <c r="E80" s="557" t="s">
        <v>7446</v>
      </c>
      <c r="F80" s="1413"/>
      <c r="G80" s="1422"/>
      <c r="H80" s="585">
        <v>1000</v>
      </c>
      <c r="I80" s="1424" t="str">
        <f>IF(G80&lt;&gt;"",H80,"")</f>
        <v/>
      </c>
      <c r="J80" s="1424" t="str">
        <f>IF(G80&lt;&gt;"",K80,"")</f>
        <v/>
      </c>
      <c r="K80" s="585">
        <v>3</v>
      </c>
      <c r="L80" s="1424"/>
      <c r="M80" s="1424"/>
      <c r="N80" s="1413"/>
      <c r="O80" s="1413"/>
      <c r="P80" s="1413"/>
      <c r="Q80" s="29"/>
      <c r="R80" s="1132"/>
      <c r="S80" s="774" t="str">
        <f t="shared" si="15"/>
        <v/>
      </c>
      <c r="T80" s="1132"/>
      <c r="U80" s="1132" t="str">
        <f t="shared" si="13"/>
        <v/>
      </c>
      <c r="V80" s="1132"/>
      <c r="W80" s="1132"/>
      <c r="X80" s="1132"/>
      <c r="Y80" s="1132"/>
      <c r="Z80" s="1132"/>
      <c r="AA80" s="1132"/>
      <c r="AB80" s="1132"/>
      <c r="AC80" s="1132"/>
      <c r="AD80" s="1132"/>
      <c r="AE80" s="1132"/>
      <c r="AF80" s="1132"/>
      <c r="AG80" s="1132"/>
      <c r="AH80" s="1132"/>
      <c r="AI80" s="1132"/>
      <c r="AJ80" s="1132"/>
      <c r="AK80" s="1132"/>
      <c r="AL80" s="1132"/>
    </row>
    <row r="81" spans="2:38">
      <c r="B81" s="26"/>
      <c r="C81" s="864"/>
      <c r="D81" s="864"/>
      <c r="E81" s="864"/>
      <c r="F81" s="864"/>
      <c r="G81" s="864"/>
      <c r="H81" s="876"/>
      <c r="I81" s="876"/>
      <c r="J81" s="888"/>
      <c r="K81" s="876"/>
      <c r="L81" s="876"/>
      <c r="M81" s="876"/>
      <c r="N81" s="864"/>
      <c r="O81" s="1413"/>
      <c r="P81" s="1413"/>
      <c r="Q81" s="29"/>
      <c r="S81" s="774" t="str">
        <f t="shared" si="15"/>
        <v/>
      </c>
      <c r="U81" s="1132" t="str">
        <f t="shared" si="13"/>
        <v/>
      </c>
    </row>
    <row r="82" spans="2:38">
      <c r="B82" s="26"/>
      <c r="C82" s="867" t="s">
        <v>4607</v>
      </c>
      <c r="D82" s="864"/>
      <c r="E82" s="864"/>
      <c r="F82" s="864"/>
      <c r="G82" s="877" t="s">
        <v>4574</v>
      </c>
      <c r="H82" s="877" t="s">
        <v>4573</v>
      </c>
      <c r="I82" s="877" t="s">
        <v>3691</v>
      </c>
      <c r="J82" s="529" t="s">
        <v>106</v>
      </c>
      <c r="K82" s="876"/>
      <c r="L82" s="876"/>
      <c r="M82" s="876"/>
      <c r="N82" s="864"/>
      <c r="O82" s="1413"/>
      <c r="P82" s="1413"/>
      <c r="Q82" s="29"/>
      <c r="S82" s="774"/>
      <c r="U82" s="1132" t="str">
        <f t="shared" si="13"/>
        <v/>
      </c>
    </row>
    <row r="83" spans="2:38">
      <c r="B83" s="26"/>
      <c r="C83" s="864"/>
      <c r="D83" s="864"/>
      <c r="E83" s="557" t="s">
        <v>3609</v>
      </c>
      <c r="F83" s="864"/>
      <c r="G83" s="872"/>
      <c r="H83" s="876" t="str">
        <f>IF(G83&lt;&gt;"",IF(INDEX(DroidSRTable,MATCH(G83,DroidSRList,0),4)&lt;=INDEX(SizeTable,MATCH(INDEX(RaceListTable,RaceIndex,13),SizeAbrList,0),3),"Yes","No"),"")</f>
        <v/>
      </c>
      <c r="I83" s="876" t="str">
        <f>IF(ISERROR(MATCH(G83,DroidSRList,0)),"",INDEX(DroidSRTable,MATCH(G83,DroidSRList,0),2)*DroidCostFactor)</f>
        <v/>
      </c>
      <c r="J83" s="888" t="str">
        <f>IF(ISERROR(MATCH(G83,DroidSRList,0)),"",INDEX(DroidSRTable,MATCH(G83,DroidSRList,0),3)*DroidWeightModifier)</f>
        <v/>
      </c>
      <c r="K83" s="876"/>
      <c r="L83" s="876"/>
      <c r="M83" s="876"/>
      <c r="N83" s="864"/>
      <c r="O83" s="1413"/>
      <c r="P83" s="1413"/>
      <c r="Q83" s="29"/>
      <c r="S83" s="774" t="str">
        <f>IF(G83&lt;&gt;"","shield generator (SR "&amp;G83&amp;")","")</f>
        <v/>
      </c>
      <c r="U83" s="1132" t="str">
        <f t="shared" si="13"/>
        <v/>
      </c>
    </row>
    <row r="84" spans="2:38" s="1420" customFormat="1">
      <c r="B84" s="1327"/>
      <c r="C84" s="1413"/>
      <c r="D84" s="1413"/>
      <c r="E84" s="557" t="s">
        <v>7447</v>
      </c>
      <c r="F84" s="1413"/>
      <c r="G84" s="1422"/>
      <c r="H84" s="1424" t="str">
        <f>IF(G84&lt;&gt;"",IF(H83="Yes","Yes","No"),"")</f>
        <v/>
      </c>
      <c r="I84" s="1424" t="str">
        <f>IF(G84&lt;&gt;"",DroidShield*50*DroidCostFactor,"")</f>
        <v/>
      </c>
      <c r="J84" s="888" t="str">
        <f>IF(G84&lt;&gt;"",DroidShield*2*DroidWeightModifier,"")</f>
        <v/>
      </c>
      <c r="K84" s="1424"/>
      <c r="L84" s="1424"/>
      <c r="M84" s="1424"/>
      <c r="N84" s="1413"/>
      <c r="O84" s="1413"/>
      <c r="P84" s="1413"/>
      <c r="Q84" s="29"/>
      <c r="R84" s="1132"/>
      <c r="S84" s="774" t="str">
        <f>IF(G84&lt;&gt;"",LOWER(E84),"")</f>
        <v/>
      </c>
      <c r="T84" s="1132"/>
      <c r="U84" s="1132" t="str">
        <f t="shared" si="13"/>
        <v/>
      </c>
      <c r="V84" s="1132"/>
      <c r="W84" s="1132"/>
      <c r="X84" s="1132"/>
      <c r="Y84" s="1132"/>
      <c r="Z84" s="1132"/>
      <c r="AA84" s="1132"/>
      <c r="AB84" s="1132"/>
      <c r="AC84" s="1132"/>
      <c r="AD84" s="1132"/>
      <c r="AE84" s="1132"/>
      <c r="AF84" s="1132"/>
      <c r="AG84" s="1132"/>
      <c r="AH84" s="1132"/>
      <c r="AI84" s="1132"/>
      <c r="AJ84" s="1132"/>
      <c r="AK84" s="1132"/>
      <c r="AL84" s="1132"/>
    </row>
    <row r="85" spans="2:38">
      <c r="B85" s="26"/>
      <c r="C85" s="864"/>
      <c r="D85" s="864"/>
      <c r="E85" s="864"/>
      <c r="F85" s="864"/>
      <c r="G85" s="864"/>
      <c r="H85" s="876"/>
      <c r="I85" s="876"/>
      <c r="J85" s="888"/>
      <c r="K85" s="876"/>
      <c r="L85" s="876"/>
      <c r="M85" s="876"/>
      <c r="N85" s="864"/>
      <c r="O85" s="1413"/>
      <c r="P85" s="1413"/>
      <c r="Q85" s="29"/>
      <c r="S85" s="774" t="str">
        <f>IF(G85&lt;&gt;"",G85,"")</f>
        <v/>
      </c>
      <c r="U85" s="1132" t="str">
        <f t="shared" si="13"/>
        <v/>
      </c>
    </row>
    <row r="86" spans="2:38">
      <c r="B86" s="26"/>
      <c r="C86" s="867" t="s">
        <v>4610</v>
      </c>
      <c r="D86" s="864"/>
      <c r="E86" s="864"/>
      <c r="F86" s="864"/>
      <c r="G86" s="877" t="s">
        <v>4574</v>
      </c>
      <c r="H86" s="877"/>
      <c r="I86" s="877" t="s">
        <v>3691</v>
      </c>
      <c r="J86" s="529" t="s">
        <v>106</v>
      </c>
      <c r="K86" s="876"/>
      <c r="L86" s="876"/>
      <c r="M86" s="876"/>
      <c r="N86" s="864"/>
      <c r="O86" s="1413"/>
      <c r="P86" s="1413"/>
      <c r="Q86" s="29"/>
      <c r="S86" s="774"/>
      <c r="U86" s="1132" t="str">
        <f t="shared" si="13"/>
        <v/>
      </c>
    </row>
    <row r="87" spans="2:38">
      <c r="B87" s="26"/>
      <c r="C87" s="864"/>
      <c r="D87" s="864"/>
      <c r="E87" s="557" t="s">
        <v>3678</v>
      </c>
      <c r="F87" s="864"/>
      <c r="G87" s="872"/>
      <c r="H87" s="876"/>
      <c r="I87" s="876" t="str">
        <f>IF(ISERROR(MATCH(G87,DroidTranslatorList,0)),"",INDEX(DroidTranslatorTable,MATCH(G87,DroidTranslatorList,0),2))</f>
        <v/>
      </c>
      <c r="J87" s="888" t="str">
        <f>IF(ISERROR(MATCH(G87,DroidTranslatorList,0)),"",INDEX(DroidTranslatorTable,MATCH(G87,DroidTranslatorList,0),3)*DroidWeightModifier)</f>
        <v/>
      </c>
      <c r="K87" s="876"/>
      <c r="L87" s="876"/>
      <c r="M87" s="876"/>
      <c r="N87" s="864"/>
      <c r="O87" s="1413"/>
      <c r="P87" s="1413"/>
      <c r="Q87" s="29"/>
      <c r="S87" s="774" t="str">
        <f>IF(G87&lt;&gt;"","translator unit (DC "&amp;G87&amp;")","")</f>
        <v/>
      </c>
      <c r="U87" s="1132" t="str">
        <f>IF(S87&lt;&gt;"",IF(U90&lt;&gt;"",S87&amp;", "&amp;U90,S87),U90)</f>
        <v/>
      </c>
    </row>
    <row r="88" spans="2:38" s="1457" customFormat="1">
      <c r="B88" s="1327"/>
      <c r="C88" s="1452"/>
      <c r="D88" s="1452"/>
      <c r="E88" s="557"/>
      <c r="F88" s="1452"/>
      <c r="G88" s="1460"/>
      <c r="H88" s="1460"/>
      <c r="I88" s="1460"/>
      <c r="J88" s="888"/>
      <c r="K88" s="1460"/>
      <c r="L88" s="1460"/>
      <c r="M88" s="1460"/>
      <c r="N88" s="1452"/>
      <c r="O88" s="1452"/>
      <c r="P88" s="1452"/>
      <c r="Q88" s="29"/>
      <c r="R88" s="1132"/>
      <c r="S88" s="774"/>
      <c r="T88" s="1132"/>
      <c r="U88" s="1132"/>
      <c r="V88" s="1132"/>
      <c r="W88" s="1132"/>
      <c r="X88" s="1132"/>
      <c r="Y88" s="1132"/>
      <c r="Z88" s="1132"/>
      <c r="AA88" s="1132"/>
      <c r="AB88" s="1132"/>
      <c r="AC88" s="1132"/>
      <c r="AD88" s="1132"/>
      <c r="AE88" s="1132"/>
      <c r="AF88" s="1132"/>
      <c r="AG88" s="1132"/>
      <c r="AH88" s="1132"/>
      <c r="AI88" s="1132"/>
      <c r="AJ88" s="1132"/>
      <c r="AK88" s="1132"/>
      <c r="AL88" s="1132"/>
    </row>
    <row r="89" spans="2:38" s="1457" customFormat="1">
      <c r="B89" s="1327"/>
      <c r="C89" s="1456" t="s">
        <v>7638</v>
      </c>
      <c r="D89" s="1452"/>
      <c r="E89" s="557"/>
      <c r="F89" s="1452"/>
      <c r="G89" s="1460"/>
      <c r="H89" s="1460"/>
      <c r="I89" s="1454" t="s">
        <v>3691</v>
      </c>
      <c r="J89" s="1474" t="s">
        <v>106</v>
      </c>
      <c r="K89" s="1460"/>
      <c r="L89" s="1460"/>
      <c r="M89" s="1460"/>
      <c r="N89" s="1452"/>
      <c r="O89" s="1452"/>
      <c r="P89" s="1452"/>
      <c r="Q89" s="29"/>
      <c r="R89" s="1132"/>
      <c r="S89" s="774"/>
      <c r="T89" s="1132"/>
      <c r="U89" s="1132"/>
      <c r="V89" s="1132"/>
      <c r="W89" s="1132"/>
      <c r="X89" s="1132"/>
      <c r="Y89" s="1132"/>
      <c r="Z89" s="1132"/>
      <c r="AA89" s="1132"/>
      <c r="AB89" s="1132"/>
      <c r="AC89" s="1132"/>
      <c r="AD89" s="1132"/>
      <c r="AE89" s="1132"/>
      <c r="AF89" s="1132"/>
      <c r="AG89" s="1132"/>
      <c r="AH89" s="1132"/>
      <c r="AI89" s="1132"/>
      <c r="AJ89" s="1132"/>
      <c r="AK89" s="1132"/>
      <c r="AL89" s="1132"/>
    </row>
    <row r="90" spans="2:38" s="1457" customFormat="1">
      <c r="B90" s="1327"/>
      <c r="C90" s="1752" t="s">
        <v>7639</v>
      </c>
      <c r="D90" s="1752"/>
      <c r="E90" s="1752"/>
      <c r="F90" s="1452"/>
      <c r="G90" s="1458"/>
      <c r="H90" s="1460"/>
      <c r="I90" s="1460" t="str">
        <f t="shared" ref="I90:I95" si="16">IF(G90&lt;&gt;"",INDEX(DroidAccessoriesTable,MATCH(C90,DroidAccessoriesList,0),7),"")</f>
        <v/>
      </c>
      <c r="J90" s="888" t="str">
        <f t="shared" ref="J90:J95" si="17">IF(G90&lt;&gt;"",INDEX(DroidAccessoriesTable,MATCH(C90,DroidAccessoriesList,0),10),"")</f>
        <v/>
      </c>
      <c r="K90" s="1460"/>
      <c r="L90" s="1460"/>
      <c r="M90" s="1460"/>
      <c r="N90" s="1452"/>
      <c r="O90" s="1452"/>
      <c r="P90" s="1452"/>
      <c r="Q90" s="29"/>
      <c r="R90" s="1132"/>
      <c r="S90" s="774" t="str">
        <f t="shared" ref="S90:S103" si="18">IF(G90&lt;&gt;"",LOWER(C90),"")</f>
        <v/>
      </c>
      <c r="T90" s="1132"/>
      <c r="U90" s="1132" t="str">
        <f t="shared" ref="U90:U127" si="19">IF(S90&lt;&gt;"",IF(U91&lt;&gt;"",S90&amp;", "&amp;U91,S90),U91)</f>
        <v/>
      </c>
      <c r="V90" s="1132"/>
      <c r="W90" s="1132"/>
      <c r="X90" s="1132"/>
      <c r="Y90" s="1132"/>
      <c r="Z90" s="1132"/>
      <c r="AA90" s="1132"/>
      <c r="AB90" s="1132"/>
      <c r="AC90" s="1132"/>
      <c r="AD90" s="1132"/>
      <c r="AE90" s="1132"/>
      <c r="AF90" s="1132"/>
      <c r="AG90" s="1132"/>
      <c r="AH90" s="1132"/>
      <c r="AI90" s="1132"/>
      <c r="AJ90" s="1132"/>
      <c r="AK90" s="1132"/>
      <c r="AL90" s="1132"/>
    </row>
    <row r="91" spans="2:38" s="1457" customFormat="1">
      <c r="B91" s="1327"/>
      <c r="C91" s="1752" t="s">
        <v>7641</v>
      </c>
      <c r="D91" s="1752"/>
      <c r="E91" s="1752"/>
      <c r="F91" s="1452"/>
      <c r="G91" s="1458"/>
      <c r="H91" s="1460"/>
      <c r="I91" s="1460" t="str">
        <f t="shared" si="16"/>
        <v/>
      </c>
      <c r="J91" s="888" t="str">
        <f t="shared" si="17"/>
        <v/>
      </c>
      <c r="K91" s="1460"/>
      <c r="L91" s="1460"/>
      <c r="M91" s="1460"/>
      <c r="N91" s="1452"/>
      <c r="O91" s="1452"/>
      <c r="P91" s="1452"/>
      <c r="Q91" s="29"/>
      <c r="R91" s="1132"/>
      <c r="S91" s="774" t="str">
        <f t="shared" si="18"/>
        <v/>
      </c>
      <c r="T91" s="1132"/>
      <c r="U91" s="1132" t="str">
        <f t="shared" si="19"/>
        <v/>
      </c>
      <c r="V91" s="1132"/>
      <c r="W91" s="1132"/>
      <c r="X91" s="1132"/>
      <c r="Y91" s="1132"/>
      <c r="Z91" s="1132"/>
      <c r="AA91" s="1132"/>
      <c r="AB91" s="1132"/>
      <c r="AC91" s="1132"/>
      <c r="AD91" s="1132"/>
      <c r="AE91" s="1132"/>
      <c r="AF91" s="1132"/>
      <c r="AG91" s="1132"/>
      <c r="AH91" s="1132"/>
      <c r="AI91" s="1132"/>
      <c r="AJ91" s="1132"/>
      <c r="AK91" s="1132"/>
      <c r="AL91" s="1132"/>
    </row>
    <row r="92" spans="2:38" s="1457" customFormat="1">
      <c r="B92" s="1327"/>
      <c r="C92" s="1752" t="s">
        <v>7643</v>
      </c>
      <c r="D92" s="1752"/>
      <c r="E92" s="1752"/>
      <c r="F92" s="1452"/>
      <c r="G92" s="1458"/>
      <c r="H92" s="1460"/>
      <c r="I92" s="1460" t="str">
        <f t="shared" si="16"/>
        <v/>
      </c>
      <c r="J92" s="888" t="str">
        <f t="shared" si="17"/>
        <v/>
      </c>
      <c r="K92" s="1460"/>
      <c r="L92" s="1460"/>
      <c r="M92" s="1460"/>
      <c r="N92" s="1452"/>
      <c r="O92" s="1452"/>
      <c r="P92" s="1452"/>
      <c r="Q92" s="29"/>
      <c r="R92" s="1132"/>
      <c r="S92" s="774" t="str">
        <f t="shared" si="18"/>
        <v/>
      </c>
      <c r="T92" s="1132"/>
      <c r="U92" s="1132" t="str">
        <f t="shared" si="19"/>
        <v/>
      </c>
      <c r="V92" s="1132"/>
      <c r="W92" s="1132"/>
      <c r="X92" s="1132"/>
      <c r="Y92" s="1132"/>
      <c r="Z92" s="1132"/>
      <c r="AA92" s="1132"/>
      <c r="AB92" s="1132"/>
      <c r="AC92" s="1132"/>
      <c r="AD92" s="1132"/>
      <c r="AE92" s="1132"/>
      <c r="AF92" s="1132"/>
      <c r="AG92" s="1132"/>
      <c r="AH92" s="1132"/>
      <c r="AI92" s="1132"/>
      <c r="AJ92" s="1132"/>
      <c r="AK92" s="1132"/>
      <c r="AL92" s="1132"/>
    </row>
    <row r="93" spans="2:38" s="1457" customFormat="1">
      <c r="B93" s="1327"/>
      <c r="C93" s="1752" t="s">
        <v>7646</v>
      </c>
      <c r="D93" s="1752"/>
      <c r="E93" s="1752"/>
      <c r="F93" s="1452"/>
      <c r="G93" s="1458"/>
      <c r="H93" s="1460"/>
      <c r="I93" s="1460" t="str">
        <f t="shared" si="16"/>
        <v/>
      </c>
      <c r="J93" s="888" t="str">
        <f t="shared" si="17"/>
        <v/>
      </c>
      <c r="K93" s="1460"/>
      <c r="L93" s="1460"/>
      <c r="M93" s="1460"/>
      <c r="N93" s="1452"/>
      <c r="O93" s="1452"/>
      <c r="P93" s="1452"/>
      <c r="Q93" s="29"/>
      <c r="R93" s="1132"/>
      <c r="S93" s="774" t="str">
        <f t="shared" si="18"/>
        <v/>
      </c>
      <c r="T93" s="1132"/>
      <c r="U93" s="1132" t="str">
        <f t="shared" si="19"/>
        <v/>
      </c>
      <c r="V93" s="1132"/>
      <c r="W93" s="1132"/>
      <c r="X93" s="1132"/>
      <c r="Y93" s="1132"/>
      <c r="Z93" s="1132"/>
      <c r="AA93" s="1132"/>
      <c r="AB93" s="1132"/>
      <c r="AC93" s="1132"/>
      <c r="AD93" s="1132"/>
      <c r="AE93" s="1132"/>
      <c r="AF93" s="1132"/>
      <c r="AG93" s="1132"/>
      <c r="AH93" s="1132"/>
      <c r="AI93" s="1132"/>
      <c r="AJ93" s="1132"/>
      <c r="AK93" s="1132"/>
      <c r="AL93" s="1132"/>
    </row>
    <row r="94" spans="2:38" s="1457" customFormat="1">
      <c r="B94" s="1327"/>
      <c r="C94" s="1752" t="s">
        <v>7648</v>
      </c>
      <c r="D94" s="1752"/>
      <c r="E94" s="1752"/>
      <c r="F94" s="1452"/>
      <c r="G94" s="1458"/>
      <c r="H94" s="1460"/>
      <c r="I94" s="1460" t="str">
        <f t="shared" si="16"/>
        <v/>
      </c>
      <c r="J94" s="888" t="str">
        <f t="shared" si="17"/>
        <v/>
      </c>
      <c r="K94" s="1460"/>
      <c r="L94" s="1460"/>
      <c r="M94" s="1460"/>
      <c r="N94" s="1452"/>
      <c r="O94" s="1452"/>
      <c r="P94" s="1452"/>
      <c r="Q94" s="29"/>
      <c r="R94" s="1132"/>
      <c r="S94" s="774" t="str">
        <f t="shared" si="18"/>
        <v/>
      </c>
      <c r="T94" s="1132"/>
      <c r="U94" s="1132" t="str">
        <f t="shared" si="19"/>
        <v/>
      </c>
      <c r="V94" s="1132"/>
      <c r="W94" s="1132"/>
      <c r="X94" s="1132"/>
      <c r="Y94" s="1132"/>
      <c r="Z94" s="1132"/>
      <c r="AA94" s="1132"/>
      <c r="AB94" s="1132"/>
      <c r="AC94" s="1132"/>
      <c r="AD94" s="1132"/>
      <c r="AE94" s="1132"/>
      <c r="AF94" s="1132"/>
      <c r="AG94" s="1132"/>
      <c r="AH94" s="1132"/>
      <c r="AI94" s="1132"/>
      <c r="AJ94" s="1132"/>
      <c r="AK94" s="1132"/>
      <c r="AL94" s="1132"/>
    </row>
    <row r="95" spans="2:38" s="1457" customFormat="1">
      <c r="B95" s="1327"/>
      <c r="C95" s="1752" t="s">
        <v>7650</v>
      </c>
      <c r="D95" s="1752"/>
      <c r="E95" s="1752"/>
      <c r="F95" s="1452"/>
      <c r="G95" s="1458"/>
      <c r="H95" s="1460"/>
      <c r="I95" s="1460" t="str">
        <f t="shared" si="16"/>
        <v/>
      </c>
      <c r="J95" s="888" t="str">
        <f t="shared" si="17"/>
        <v/>
      </c>
      <c r="K95" s="1460"/>
      <c r="L95" s="1460"/>
      <c r="M95" s="1460"/>
      <c r="N95" s="1452"/>
      <c r="O95" s="1452"/>
      <c r="P95" s="1452"/>
      <c r="Q95" s="29"/>
      <c r="R95" s="1132"/>
      <c r="S95" s="774" t="str">
        <f t="shared" si="18"/>
        <v/>
      </c>
      <c r="T95" s="1132"/>
      <c r="U95" s="1132" t="str">
        <f t="shared" si="19"/>
        <v/>
      </c>
      <c r="V95" s="1132"/>
      <c r="W95" s="1132"/>
      <c r="X95" s="1132"/>
      <c r="Y95" s="1132"/>
      <c r="Z95" s="1132"/>
      <c r="AA95" s="1132"/>
      <c r="AB95" s="1132"/>
      <c r="AC95" s="1132"/>
      <c r="AD95" s="1132"/>
      <c r="AE95" s="1132"/>
      <c r="AF95" s="1132"/>
      <c r="AG95" s="1132"/>
      <c r="AH95" s="1132"/>
      <c r="AI95" s="1132"/>
      <c r="AJ95" s="1132"/>
      <c r="AK95" s="1132"/>
      <c r="AL95" s="1132"/>
    </row>
    <row r="96" spans="2:38" s="1457" customFormat="1">
      <c r="B96" s="1327"/>
      <c r="C96" s="1752" t="s">
        <v>7653</v>
      </c>
      <c r="D96" s="1752"/>
      <c r="E96" s="1752"/>
      <c r="F96" s="1452"/>
      <c r="G96" s="1458"/>
      <c r="H96" s="1460"/>
      <c r="I96" s="1476"/>
      <c r="J96" s="1459"/>
      <c r="K96" s="1459" t="s">
        <v>7711</v>
      </c>
      <c r="L96" s="1460"/>
      <c r="M96" s="1460"/>
      <c r="N96" s="1452"/>
      <c r="O96" s="1452"/>
      <c r="P96" s="1452"/>
      <c r="Q96" s="29"/>
      <c r="R96" s="1132"/>
      <c r="S96" s="774" t="str">
        <f t="shared" si="18"/>
        <v/>
      </c>
      <c r="T96" s="1132"/>
      <c r="U96" s="1132" t="str">
        <f t="shared" si="19"/>
        <v/>
      </c>
      <c r="V96" s="1132"/>
      <c r="W96" s="1132"/>
      <c r="X96" s="1132"/>
      <c r="Y96" s="1132"/>
      <c r="Z96" s="1132"/>
      <c r="AA96" s="1132"/>
      <c r="AB96" s="1132"/>
      <c r="AC96" s="1132"/>
      <c r="AD96" s="1132"/>
      <c r="AE96" s="1132"/>
      <c r="AF96" s="1132"/>
      <c r="AG96" s="1132"/>
      <c r="AH96" s="1132"/>
      <c r="AI96" s="1132"/>
      <c r="AJ96" s="1132"/>
      <c r="AK96" s="1132"/>
      <c r="AL96" s="1132"/>
    </row>
    <row r="97" spans="2:38" s="1457" customFormat="1">
      <c r="B97" s="1327"/>
      <c r="C97" s="1752" t="s">
        <v>7655</v>
      </c>
      <c r="D97" s="1752"/>
      <c r="E97" s="1752"/>
      <c r="F97" s="1452"/>
      <c r="G97" s="1458"/>
      <c r="H97" s="1460"/>
      <c r="I97" s="1460" t="str">
        <f t="shared" ref="I97:I124" si="20">IF(G97&lt;&gt;"",INDEX(DroidAccessoriesTable,MATCH(C97,DroidAccessoriesList,0),7),"")</f>
        <v/>
      </c>
      <c r="J97" s="888" t="str">
        <f t="shared" ref="J97:J124" si="21">IF(G97&lt;&gt;"",INDEX(DroidAccessoriesTable,MATCH(C97,DroidAccessoriesList,0),10),"")</f>
        <v/>
      </c>
      <c r="K97" s="1460"/>
      <c r="L97" s="1460"/>
      <c r="M97" s="1460"/>
      <c r="N97" s="1452"/>
      <c r="O97" s="1452"/>
      <c r="P97" s="1452"/>
      <c r="Q97" s="29"/>
      <c r="R97" s="1132"/>
      <c r="S97" s="774" t="str">
        <f t="shared" si="18"/>
        <v/>
      </c>
      <c r="T97" s="1132"/>
      <c r="U97" s="1132" t="str">
        <f t="shared" si="19"/>
        <v/>
      </c>
      <c r="V97" s="1132"/>
      <c r="W97" s="1132"/>
      <c r="X97" s="1132"/>
      <c r="Y97" s="1132"/>
      <c r="Z97" s="1132"/>
      <c r="AA97" s="1132"/>
      <c r="AB97" s="1132"/>
      <c r="AC97" s="1132"/>
      <c r="AD97" s="1132"/>
      <c r="AE97" s="1132"/>
      <c r="AF97" s="1132"/>
      <c r="AG97" s="1132"/>
      <c r="AH97" s="1132"/>
      <c r="AI97" s="1132"/>
      <c r="AJ97" s="1132"/>
      <c r="AK97" s="1132"/>
      <c r="AL97" s="1132"/>
    </row>
    <row r="98" spans="2:38" s="1457" customFormat="1">
      <c r="B98" s="1327"/>
      <c r="C98" s="1752" t="s">
        <v>7657</v>
      </c>
      <c r="D98" s="1752"/>
      <c r="E98" s="1752"/>
      <c r="F98" s="1452"/>
      <c r="G98" s="1458"/>
      <c r="H98" s="1460"/>
      <c r="I98" s="1460" t="str">
        <f t="shared" si="20"/>
        <v/>
      </c>
      <c r="J98" s="888" t="str">
        <f t="shared" si="21"/>
        <v/>
      </c>
      <c r="K98" s="1460"/>
      <c r="L98" s="1460"/>
      <c r="M98" s="1460"/>
      <c r="N98" s="1452"/>
      <c r="O98" s="1452"/>
      <c r="P98" s="1452"/>
      <c r="Q98" s="29"/>
      <c r="R98" s="1132"/>
      <c r="S98" s="774" t="str">
        <f t="shared" si="18"/>
        <v/>
      </c>
      <c r="T98" s="1132"/>
      <c r="U98" s="1132" t="str">
        <f t="shared" si="19"/>
        <v/>
      </c>
      <c r="V98" s="1132"/>
      <c r="W98" s="1132"/>
      <c r="X98" s="1132"/>
      <c r="Y98" s="1132"/>
      <c r="Z98" s="1132"/>
      <c r="AA98" s="1132"/>
      <c r="AB98" s="1132"/>
      <c r="AC98" s="1132"/>
      <c r="AD98" s="1132"/>
      <c r="AE98" s="1132"/>
      <c r="AF98" s="1132"/>
      <c r="AG98" s="1132"/>
      <c r="AH98" s="1132"/>
      <c r="AI98" s="1132"/>
      <c r="AJ98" s="1132"/>
      <c r="AK98" s="1132"/>
      <c r="AL98" s="1132"/>
    </row>
    <row r="99" spans="2:38" s="1457" customFormat="1">
      <c r="B99" s="1327"/>
      <c r="C99" s="1752" t="s">
        <v>7658</v>
      </c>
      <c r="D99" s="1752"/>
      <c r="E99" s="1752"/>
      <c r="F99" s="1452"/>
      <c r="G99" s="1458"/>
      <c r="H99" s="1460"/>
      <c r="I99" s="1460" t="str">
        <f t="shared" si="20"/>
        <v/>
      </c>
      <c r="J99" s="1475" t="str">
        <f t="shared" si="21"/>
        <v/>
      </c>
      <c r="K99" s="1460"/>
      <c r="L99" s="1460"/>
      <c r="M99" s="1460"/>
      <c r="N99" s="1452"/>
      <c r="O99" s="1452"/>
      <c r="P99" s="1452"/>
      <c r="Q99" s="29"/>
      <c r="R99" s="1132"/>
      <c r="S99" s="774" t="str">
        <f t="shared" si="18"/>
        <v/>
      </c>
      <c r="T99" s="1132"/>
      <c r="U99" s="1132" t="str">
        <f t="shared" si="19"/>
        <v/>
      </c>
      <c r="V99" s="1132"/>
      <c r="W99" s="1132"/>
      <c r="X99" s="1132"/>
      <c r="Y99" s="1132"/>
      <c r="Z99" s="1132"/>
      <c r="AA99" s="1132"/>
      <c r="AB99" s="1132"/>
      <c r="AC99" s="1132"/>
      <c r="AD99" s="1132"/>
      <c r="AE99" s="1132"/>
      <c r="AF99" s="1132"/>
      <c r="AG99" s="1132"/>
      <c r="AH99" s="1132"/>
      <c r="AI99" s="1132"/>
      <c r="AJ99" s="1132"/>
      <c r="AK99" s="1132"/>
      <c r="AL99" s="1132"/>
    </row>
    <row r="100" spans="2:38" s="1457" customFormat="1">
      <c r="B100" s="1327"/>
      <c r="C100" s="1752" t="s">
        <v>7660</v>
      </c>
      <c r="D100" s="1752"/>
      <c r="E100" s="1752"/>
      <c r="F100" s="1452"/>
      <c r="G100" s="1458"/>
      <c r="H100" s="1460"/>
      <c r="I100" s="1460" t="str">
        <f t="shared" si="20"/>
        <v/>
      </c>
      <c r="J100" s="888" t="str">
        <f t="shared" si="21"/>
        <v/>
      </c>
      <c r="K100" s="1460"/>
      <c r="L100" s="1460"/>
      <c r="M100" s="1460"/>
      <c r="N100" s="1452"/>
      <c r="O100" s="1452"/>
      <c r="P100" s="1452"/>
      <c r="Q100" s="29"/>
      <c r="R100" s="1132"/>
      <c r="S100" s="774" t="str">
        <f t="shared" si="18"/>
        <v/>
      </c>
      <c r="T100" s="1132"/>
      <c r="U100" s="1132" t="str">
        <f t="shared" si="19"/>
        <v/>
      </c>
      <c r="V100" s="1132"/>
      <c r="W100" s="1132"/>
      <c r="X100" s="1132"/>
      <c r="Y100" s="1132"/>
      <c r="Z100" s="1132"/>
      <c r="AA100" s="1132"/>
      <c r="AB100" s="1132"/>
      <c r="AC100" s="1132"/>
      <c r="AD100" s="1132"/>
      <c r="AE100" s="1132"/>
      <c r="AF100" s="1132"/>
      <c r="AG100" s="1132"/>
      <c r="AH100" s="1132"/>
      <c r="AI100" s="1132"/>
      <c r="AJ100" s="1132"/>
      <c r="AK100" s="1132"/>
      <c r="AL100" s="1132"/>
    </row>
    <row r="101" spans="2:38" s="1457" customFormat="1">
      <c r="B101" s="1327"/>
      <c r="C101" s="1752" t="s">
        <v>7661</v>
      </c>
      <c r="D101" s="1752"/>
      <c r="E101" s="1752"/>
      <c r="F101" s="1452"/>
      <c r="G101" s="1458"/>
      <c r="H101" s="1460"/>
      <c r="I101" s="1460" t="str">
        <f t="shared" si="20"/>
        <v/>
      </c>
      <c r="J101" s="888" t="str">
        <f t="shared" si="21"/>
        <v/>
      </c>
      <c r="K101" s="1460"/>
      <c r="L101" s="1460"/>
      <c r="M101" s="1460"/>
      <c r="N101" s="1452"/>
      <c r="O101" s="1452"/>
      <c r="P101" s="1452"/>
      <c r="Q101" s="29"/>
      <c r="R101" s="1132"/>
      <c r="S101" s="774" t="str">
        <f t="shared" si="18"/>
        <v/>
      </c>
      <c r="T101" s="1132"/>
      <c r="U101" s="1132" t="str">
        <f t="shared" si="19"/>
        <v/>
      </c>
      <c r="V101" s="1132"/>
      <c r="W101" s="1132"/>
      <c r="X101" s="1132"/>
      <c r="Y101" s="1132"/>
      <c r="Z101" s="1132"/>
      <c r="AA101" s="1132"/>
      <c r="AB101" s="1132"/>
      <c r="AC101" s="1132"/>
      <c r="AD101" s="1132"/>
      <c r="AE101" s="1132"/>
      <c r="AF101" s="1132"/>
      <c r="AG101" s="1132"/>
      <c r="AH101" s="1132"/>
      <c r="AI101" s="1132"/>
      <c r="AJ101" s="1132"/>
      <c r="AK101" s="1132"/>
      <c r="AL101" s="1132"/>
    </row>
    <row r="102" spans="2:38" s="1457" customFormat="1">
      <c r="B102" s="1327"/>
      <c r="C102" s="1752" t="s">
        <v>7664</v>
      </c>
      <c r="D102" s="1752"/>
      <c r="E102" s="1752"/>
      <c r="F102" s="1452"/>
      <c r="G102" s="1458"/>
      <c r="H102" s="1460"/>
      <c r="I102" s="1460" t="str">
        <f t="shared" si="20"/>
        <v/>
      </c>
      <c r="J102" s="888" t="str">
        <f t="shared" si="21"/>
        <v/>
      </c>
      <c r="K102" s="1460"/>
      <c r="L102" s="1460"/>
      <c r="M102" s="1460"/>
      <c r="N102" s="1452"/>
      <c r="O102" s="1452"/>
      <c r="P102" s="1452"/>
      <c r="Q102" s="29"/>
      <c r="R102" s="1132"/>
      <c r="S102" s="774" t="str">
        <f t="shared" si="18"/>
        <v/>
      </c>
      <c r="T102" s="1132"/>
      <c r="U102" s="1132" t="str">
        <f t="shared" si="19"/>
        <v/>
      </c>
      <c r="V102" s="1132"/>
      <c r="W102" s="1132"/>
      <c r="X102" s="1132"/>
      <c r="Y102" s="1132"/>
      <c r="Z102" s="1132"/>
      <c r="AA102" s="1132"/>
      <c r="AB102" s="1132"/>
      <c r="AC102" s="1132"/>
      <c r="AD102" s="1132"/>
      <c r="AE102" s="1132"/>
      <c r="AF102" s="1132"/>
      <c r="AG102" s="1132"/>
      <c r="AH102" s="1132"/>
      <c r="AI102" s="1132"/>
      <c r="AJ102" s="1132"/>
      <c r="AK102" s="1132"/>
      <c r="AL102" s="1132"/>
    </row>
    <row r="103" spans="2:38" s="1457" customFormat="1">
      <c r="B103" s="1327"/>
      <c r="C103" s="1752" t="s">
        <v>7665</v>
      </c>
      <c r="D103" s="1752"/>
      <c r="E103" s="1752"/>
      <c r="F103" s="1452"/>
      <c r="G103" s="1458"/>
      <c r="H103" s="1460"/>
      <c r="I103" s="1460" t="str">
        <f t="shared" si="20"/>
        <v/>
      </c>
      <c r="J103" s="888" t="str">
        <f t="shared" si="21"/>
        <v/>
      </c>
      <c r="K103" s="1460"/>
      <c r="L103" s="1460"/>
      <c r="M103" s="1460"/>
      <c r="N103" s="1452"/>
      <c r="O103" s="1452"/>
      <c r="P103" s="1452"/>
      <c r="Q103" s="29"/>
      <c r="R103" s="1132"/>
      <c r="S103" s="774" t="str">
        <f t="shared" si="18"/>
        <v/>
      </c>
      <c r="T103" s="1132"/>
      <c r="U103" s="1132" t="str">
        <f t="shared" si="19"/>
        <v/>
      </c>
      <c r="V103" s="1132"/>
      <c r="W103" s="1132"/>
      <c r="X103" s="1132"/>
      <c r="Y103" s="1132"/>
      <c r="Z103" s="1132"/>
      <c r="AA103" s="1132"/>
      <c r="AB103" s="1132"/>
      <c r="AC103" s="1132"/>
      <c r="AD103" s="1132"/>
      <c r="AE103" s="1132"/>
      <c r="AF103" s="1132"/>
      <c r="AG103" s="1132"/>
      <c r="AH103" s="1132"/>
      <c r="AI103" s="1132"/>
      <c r="AJ103" s="1132"/>
      <c r="AK103" s="1132"/>
      <c r="AL103" s="1132"/>
    </row>
    <row r="104" spans="2:38" s="1457" customFormat="1">
      <c r="B104" s="1327"/>
      <c r="C104" s="1752" t="s">
        <v>7667</v>
      </c>
      <c r="D104" s="1752"/>
      <c r="E104" s="1752"/>
      <c r="F104" s="1452"/>
      <c r="G104" s="1458"/>
      <c r="H104" s="1460"/>
      <c r="I104" s="1460" t="str">
        <f t="shared" si="20"/>
        <v/>
      </c>
      <c r="J104" s="888" t="str">
        <f t="shared" si="21"/>
        <v/>
      </c>
      <c r="K104" s="1460"/>
      <c r="L104" s="1460"/>
      <c r="M104" s="1460"/>
      <c r="N104" s="1452"/>
      <c r="O104" s="1452"/>
      <c r="P104" s="1452"/>
      <c r="Q104" s="29"/>
      <c r="R104" s="1132"/>
      <c r="S104" s="774" t="str">
        <f>IF(G104&lt;&gt;"",LOWER(C104),"")</f>
        <v/>
      </c>
      <c r="T104" s="1132"/>
      <c r="U104" s="1132" t="str">
        <f t="shared" si="19"/>
        <v/>
      </c>
      <c r="V104" s="1132"/>
      <c r="W104" s="1132"/>
      <c r="X104" s="1132"/>
      <c r="Y104" s="1132"/>
      <c r="Z104" s="1132"/>
      <c r="AA104" s="1132"/>
      <c r="AB104" s="1132"/>
      <c r="AC104" s="1132"/>
      <c r="AD104" s="1132"/>
      <c r="AE104" s="1132"/>
      <c r="AF104" s="1132"/>
      <c r="AG104" s="1132"/>
      <c r="AH104" s="1132"/>
      <c r="AI104" s="1132"/>
      <c r="AJ104" s="1132"/>
      <c r="AK104" s="1132"/>
      <c r="AL104" s="1132"/>
    </row>
    <row r="105" spans="2:38" s="1457" customFormat="1">
      <c r="B105" s="1327"/>
      <c r="C105" s="1752" t="s">
        <v>7669</v>
      </c>
      <c r="D105" s="1752"/>
      <c r="E105" s="1752"/>
      <c r="F105" s="1452"/>
      <c r="G105" s="1458"/>
      <c r="H105" s="1460"/>
      <c r="I105" s="1460" t="str">
        <f t="shared" si="20"/>
        <v/>
      </c>
      <c r="J105" s="888" t="str">
        <f t="shared" si="21"/>
        <v/>
      </c>
      <c r="K105" s="1460"/>
      <c r="L105" s="1460"/>
      <c r="M105" s="1460"/>
      <c r="N105" s="1452"/>
      <c r="O105" s="1452"/>
      <c r="P105" s="1452"/>
      <c r="Q105" s="29"/>
      <c r="R105" s="1132"/>
      <c r="S105" s="774" t="str">
        <f t="shared" ref="S105:S127" si="22">IF(G105&lt;&gt;"",LOWER(C105),"")</f>
        <v/>
      </c>
      <c r="T105" s="1132"/>
      <c r="U105" s="1132" t="str">
        <f t="shared" si="19"/>
        <v/>
      </c>
      <c r="V105" s="1132"/>
      <c r="W105" s="1132"/>
      <c r="X105" s="1132"/>
      <c r="Y105" s="1132"/>
      <c r="Z105" s="1132"/>
      <c r="AA105" s="1132"/>
      <c r="AB105" s="1132"/>
      <c r="AC105" s="1132"/>
      <c r="AD105" s="1132"/>
      <c r="AE105" s="1132"/>
      <c r="AF105" s="1132"/>
      <c r="AG105" s="1132"/>
      <c r="AH105" s="1132"/>
      <c r="AI105" s="1132"/>
      <c r="AJ105" s="1132"/>
      <c r="AK105" s="1132"/>
      <c r="AL105" s="1132"/>
    </row>
    <row r="106" spans="2:38" s="1457" customFormat="1">
      <c r="B106" s="1327"/>
      <c r="C106" s="1752" t="s">
        <v>7670</v>
      </c>
      <c r="D106" s="1752"/>
      <c r="E106" s="1752"/>
      <c r="F106" s="1452"/>
      <c r="G106" s="1458"/>
      <c r="H106" s="1460"/>
      <c r="I106" s="1460" t="str">
        <f t="shared" si="20"/>
        <v/>
      </c>
      <c r="J106" s="888" t="str">
        <f t="shared" si="21"/>
        <v/>
      </c>
      <c r="K106" s="1460"/>
      <c r="L106" s="1460"/>
      <c r="M106" s="1460"/>
      <c r="N106" s="1452"/>
      <c r="O106" s="1452"/>
      <c r="P106" s="1452"/>
      <c r="Q106" s="29"/>
      <c r="R106" s="1132"/>
      <c r="S106" s="774" t="str">
        <f t="shared" si="22"/>
        <v/>
      </c>
      <c r="T106" s="1132"/>
      <c r="U106" s="1132" t="str">
        <f t="shared" si="19"/>
        <v/>
      </c>
      <c r="V106" s="1132"/>
      <c r="W106" s="1132"/>
      <c r="X106" s="1132"/>
      <c r="Y106" s="1132"/>
      <c r="Z106" s="1132"/>
      <c r="AA106" s="1132"/>
      <c r="AB106" s="1132"/>
      <c r="AC106" s="1132"/>
      <c r="AD106" s="1132"/>
      <c r="AE106" s="1132"/>
      <c r="AF106" s="1132"/>
      <c r="AG106" s="1132"/>
      <c r="AH106" s="1132"/>
      <c r="AI106" s="1132"/>
      <c r="AJ106" s="1132"/>
      <c r="AK106" s="1132"/>
      <c r="AL106" s="1132"/>
    </row>
    <row r="107" spans="2:38" s="1457" customFormat="1">
      <c r="B107" s="1327"/>
      <c r="C107" s="1752" t="s">
        <v>7673</v>
      </c>
      <c r="D107" s="1752"/>
      <c r="E107" s="1752"/>
      <c r="F107" s="1452"/>
      <c r="G107" s="1458"/>
      <c r="H107" s="1460"/>
      <c r="I107" s="1460" t="str">
        <f t="shared" si="20"/>
        <v/>
      </c>
      <c r="J107" s="888" t="str">
        <f t="shared" si="21"/>
        <v/>
      </c>
      <c r="K107" s="1460"/>
      <c r="L107" s="1460"/>
      <c r="M107" s="1460"/>
      <c r="N107" s="1452"/>
      <c r="O107" s="1452"/>
      <c r="P107" s="1452"/>
      <c r="Q107" s="29"/>
      <c r="R107" s="1132"/>
      <c r="S107" s="774" t="str">
        <f t="shared" si="22"/>
        <v/>
      </c>
      <c r="T107" s="1132"/>
      <c r="U107" s="1132" t="str">
        <f t="shared" si="19"/>
        <v/>
      </c>
      <c r="V107" s="1132"/>
      <c r="W107" s="1132"/>
      <c r="X107" s="1132"/>
      <c r="Y107" s="1132"/>
      <c r="Z107" s="1132"/>
      <c r="AA107" s="1132"/>
      <c r="AB107" s="1132"/>
      <c r="AC107" s="1132"/>
      <c r="AD107" s="1132"/>
      <c r="AE107" s="1132"/>
      <c r="AF107" s="1132"/>
      <c r="AG107" s="1132"/>
      <c r="AH107" s="1132"/>
      <c r="AI107" s="1132"/>
      <c r="AJ107" s="1132"/>
      <c r="AK107" s="1132"/>
      <c r="AL107" s="1132"/>
    </row>
    <row r="108" spans="2:38" s="1457" customFormat="1">
      <c r="B108" s="1327"/>
      <c r="C108" s="1752" t="s">
        <v>7675</v>
      </c>
      <c r="D108" s="1752"/>
      <c r="E108" s="1752"/>
      <c r="F108" s="1452"/>
      <c r="G108" s="1458"/>
      <c r="H108" s="1460"/>
      <c r="I108" s="1460" t="str">
        <f t="shared" si="20"/>
        <v/>
      </c>
      <c r="J108" s="888" t="str">
        <f t="shared" si="21"/>
        <v/>
      </c>
      <c r="K108" s="1460"/>
      <c r="L108" s="1460"/>
      <c r="M108" s="1460"/>
      <c r="N108" s="1452"/>
      <c r="O108" s="1452"/>
      <c r="P108" s="1452"/>
      <c r="Q108" s="29"/>
      <c r="R108" s="1132"/>
      <c r="S108" s="774" t="str">
        <f t="shared" si="22"/>
        <v/>
      </c>
      <c r="T108" s="1132"/>
      <c r="U108" s="1132" t="str">
        <f t="shared" si="19"/>
        <v/>
      </c>
      <c r="V108" s="1132"/>
      <c r="W108" s="1132"/>
      <c r="X108" s="1132"/>
      <c r="Y108" s="1132"/>
      <c r="Z108" s="1132"/>
      <c r="AA108" s="1132"/>
      <c r="AB108" s="1132"/>
      <c r="AC108" s="1132"/>
      <c r="AD108" s="1132"/>
      <c r="AE108" s="1132"/>
      <c r="AF108" s="1132"/>
      <c r="AG108" s="1132"/>
      <c r="AH108" s="1132"/>
      <c r="AI108" s="1132"/>
      <c r="AJ108" s="1132"/>
      <c r="AK108" s="1132"/>
      <c r="AL108" s="1132"/>
    </row>
    <row r="109" spans="2:38" s="1457" customFormat="1">
      <c r="B109" s="1327"/>
      <c r="C109" s="1752" t="s">
        <v>7676</v>
      </c>
      <c r="D109" s="1752"/>
      <c r="E109" s="1752"/>
      <c r="F109" s="1452"/>
      <c r="G109" s="1458"/>
      <c r="H109" s="1460"/>
      <c r="I109" s="1460" t="str">
        <f t="shared" si="20"/>
        <v/>
      </c>
      <c r="J109" s="888" t="str">
        <f t="shared" si="21"/>
        <v/>
      </c>
      <c r="K109" s="1460"/>
      <c r="L109" s="1460"/>
      <c r="M109" s="1460"/>
      <c r="N109" s="1452"/>
      <c r="O109" s="1452"/>
      <c r="P109" s="1452"/>
      <c r="Q109" s="29"/>
      <c r="R109" s="1132"/>
      <c r="S109" s="774" t="str">
        <f t="shared" si="22"/>
        <v/>
      </c>
      <c r="T109" s="1132"/>
      <c r="U109" s="1132" t="str">
        <f t="shared" si="19"/>
        <v/>
      </c>
      <c r="V109" s="1132"/>
      <c r="W109" s="1132"/>
      <c r="X109" s="1132"/>
      <c r="Y109" s="1132"/>
      <c r="Z109" s="1132"/>
      <c r="AA109" s="1132"/>
      <c r="AB109" s="1132"/>
      <c r="AC109" s="1132"/>
      <c r="AD109" s="1132"/>
      <c r="AE109" s="1132"/>
      <c r="AF109" s="1132"/>
      <c r="AG109" s="1132"/>
      <c r="AH109" s="1132"/>
      <c r="AI109" s="1132"/>
      <c r="AJ109" s="1132"/>
      <c r="AK109" s="1132"/>
      <c r="AL109" s="1132"/>
    </row>
    <row r="110" spans="2:38" s="1457" customFormat="1">
      <c r="B110" s="1327"/>
      <c r="C110" s="1752" t="s">
        <v>7678</v>
      </c>
      <c r="D110" s="1752"/>
      <c r="E110" s="1752"/>
      <c r="F110" s="1452"/>
      <c r="G110" s="1458"/>
      <c r="H110" s="1460"/>
      <c r="I110" s="1460" t="str">
        <f t="shared" si="20"/>
        <v/>
      </c>
      <c r="J110" s="888" t="str">
        <f t="shared" si="21"/>
        <v/>
      </c>
      <c r="K110" s="1460"/>
      <c r="L110" s="1460"/>
      <c r="M110" s="1460"/>
      <c r="N110" s="1452"/>
      <c r="O110" s="1452"/>
      <c r="P110" s="1452"/>
      <c r="Q110" s="29"/>
      <c r="R110" s="1132"/>
      <c r="S110" s="774" t="str">
        <f t="shared" si="22"/>
        <v/>
      </c>
      <c r="T110" s="1132"/>
      <c r="U110" s="1132" t="str">
        <f t="shared" si="19"/>
        <v/>
      </c>
      <c r="V110" s="1132"/>
      <c r="W110" s="1132"/>
      <c r="X110" s="1132"/>
      <c r="Y110" s="1132"/>
      <c r="Z110" s="1132"/>
      <c r="AA110" s="1132"/>
      <c r="AB110" s="1132"/>
      <c r="AC110" s="1132"/>
      <c r="AD110" s="1132"/>
      <c r="AE110" s="1132"/>
      <c r="AF110" s="1132"/>
      <c r="AG110" s="1132"/>
      <c r="AH110" s="1132"/>
      <c r="AI110" s="1132"/>
      <c r="AJ110" s="1132"/>
      <c r="AK110" s="1132"/>
      <c r="AL110" s="1132"/>
    </row>
    <row r="111" spans="2:38" s="1457" customFormat="1">
      <c r="B111" s="1327"/>
      <c r="C111" s="1752" t="s">
        <v>7681</v>
      </c>
      <c r="D111" s="1752"/>
      <c r="E111" s="1752"/>
      <c r="F111" s="1452"/>
      <c r="G111" s="1458"/>
      <c r="H111" s="1460"/>
      <c r="I111" s="1460" t="str">
        <f t="shared" si="20"/>
        <v/>
      </c>
      <c r="J111" s="888" t="str">
        <f t="shared" si="21"/>
        <v/>
      </c>
      <c r="K111" s="1460"/>
      <c r="L111" s="1460"/>
      <c r="M111" s="1460"/>
      <c r="N111" s="1452"/>
      <c r="O111" s="1452"/>
      <c r="P111" s="1452"/>
      <c r="Q111" s="29"/>
      <c r="R111" s="1132"/>
      <c r="S111" s="774" t="str">
        <f t="shared" si="22"/>
        <v/>
      </c>
      <c r="T111" s="1132"/>
      <c r="U111" s="1132" t="str">
        <f t="shared" si="19"/>
        <v/>
      </c>
      <c r="V111" s="1132"/>
      <c r="W111" s="1132"/>
      <c r="X111" s="1132"/>
      <c r="Y111" s="1132"/>
      <c r="Z111" s="1132"/>
      <c r="AA111" s="1132"/>
      <c r="AB111" s="1132"/>
      <c r="AC111" s="1132"/>
      <c r="AD111" s="1132"/>
      <c r="AE111" s="1132"/>
      <c r="AF111" s="1132"/>
      <c r="AG111" s="1132"/>
      <c r="AH111" s="1132"/>
      <c r="AI111" s="1132"/>
      <c r="AJ111" s="1132"/>
      <c r="AK111" s="1132"/>
      <c r="AL111" s="1132"/>
    </row>
    <row r="112" spans="2:38" s="1457" customFormat="1">
      <c r="B112" s="1327"/>
      <c r="C112" s="1752" t="s">
        <v>7682</v>
      </c>
      <c r="D112" s="1752"/>
      <c r="E112" s="1752"/>
      <c r="F112" s="1452"/>
      <c r="G112" s="1458"/>
      <c r="H112" s="1460"/>
      <c r="I112" s="1460" t="str">
        <f t="shared" si="20"/>
        <v/>
      </c>
      <c r="J112" s="888" t="str">
        <f t="shared" si="21"/>
        <v/>
      </c>
      <c r="K112" s="1460"/>
      <c r="L112" s="1460"/>
      <c r="M112" s="1460"/>
      <c r="N112" s="1452"/>
      <c r="O112" s="1452"/>
      <c r="P112" s="1452"/>
      <c r="Q112" s="29"/>
      <c r="R112" s="1132"/>
      <c r="S112" s="774" t="str">
        <f t="shared" si="22"/>
        <v/>
      </c>
      <c r="T112" s="1132"/>
      <c r="U112" s="1132" t="str">
        <f t="shared" si="19"/>
        <v/>
      </c>
      <c r="V112" s="1132"/>
      <c r="W112" s="1132"/>
      <c r="X112" s="1132"/>
      <c r="Y112" s="1132"/>
      <c r="Z112" s="1132"/>
      <c r="AA112" s="1132"/>
      <c r="AB112" s="1132"/>
      <c r="AC112" s="1132"/>
      <c r="AD112" s="1132"/>
      <c r="AE112" s="1132"/>
      <c r="AF112" s="1132"/>
      <c r="AG112" s="1132"/>
      <c r="AH112" s="1132"/>
      <c r="AI112" s="1132"/>
      <c r="AJ112" s="1132"/>
      <c r="AK112" s="1132"/>
      <c r="AL112" s="1132"/>
    </row>
    <row r="113" spans="2:38" s="1457" customFormat="1">
      <c r="B113" s="1327"/>
      <c r="C113" s="1752" t="s">
        <v>7685</v>
      </c>
      <c r="D113" s="1752"/>
      <c r="E113" s="1752"/>
      <c r="F113" s="1452"/>
      <c r="G113" s="1458"/>
      <c r="H113" s="1460"/>
      <c r="I113" s="1460" t="str">
        <f t="shared" si="20"/>
        <v/>
      </c>
      <c r="J113" s="888" t="str">
        <f t="shared" si="21"/>
        <v/>
      </c>
      <c r="K113" s="1460"/>
      <c r="L113" s="1460"/>
      <c r="M113" s="1460"/>
      <c r="N113" s="1452"/>
      <c r="O113" s="1452"/>
      <c r="P113" s="1452"/>
      <c r="Q113" s="29"/>
      <c r="R113" s="1132"/>
      <c r="S113" s="774" t="str">
        <f t="shared" si="22"/>
        <v/>
      </c>
      <c r="T113" s="1132"/>
      <c r="U113" s="1132" t="str">
        <f t="shared" si="19"/>
        <v/>
      </c>
      <c r="V113" s="1132"/>
      <c r="W113" s="1132"/>
      <c r="X113" s="1132"/>
      <c r="Y113" s="1132"/>
      <c r="Z113" s="1132"/>
      <c r="AA113" s="1132"/>
      <c r="AB113" s="1132"/>
      <c r="AC113" s="1132"/>
      <c r="AD113" s="1132"/>
      <c r="AE113" s="1132"/>
      <c r="AF113" s="1132"/>
      <c r="AG113" s="1132"/>
      <c r="AH113" s="1132"/>
      <c r="AI113" s="1132"/>
      <c r="AJ113" s="1132"/>
      <c r="AK113" s="1132"/>
      <c r="AL113" s="1132"/>
    </row>
    <row r="114" spans="2:38" s="1457" customFormat="1">
      <c r="B114" s="1327"/>
      <c r="C114" s="1752" t="s">
        <v>7686</v>
      </c>
      <c r="D114" s="1752"/>
      <c r="E114" s="1752"/>
      <c r="F114" s="1452"/>
      <c r="G114" s="1458"/>
      <c r="H114" s="1460"/>
      <c r="I114" s="1460" t="str">
        <f t="shared" si="20"/>
        <v/>
      </c>
      <c r="J114" s="888" t="str">
        <f t="shared" si="21"/>
        <v/>
      </c>
      <c r="K114" s="1460"/>
      <c r="L114" s="1460"/>
      <c r="M114" s="1460"/>
      <c r="N114" s="1452"/>
      <c r="O114" s="1452"/>
      <c r="P114" s="1452"/>
      <c r="Q114" s="29"/>
      <c r="R114" s="1132"/>
      <c r="S114" s="774" t="str">
        <f t="shared" si="22"/>
        <v/>
      </c>
      <c r="T114" s="1132"/>
      <c r="U114" s="1132" t="str">
        <f t="shared" si="19"/>
        <v/>
      </c>
      <c r="V114" s="1132"/>
      <c r="W114" s="1132"/>
      <c r="X114" s="1132"/>
      <c r="Y114" s="1132"/>
      <c r="Z114" s="1132"/>
      <c r="AA114" s="1132"/>
      <c r="AB114" s="1132"/>
      <c r="AC114" s="1132"/>
      <c r="AD114" s="1132"/>
      <c r="AE114" s="1132"/>
      <c r="AF114" s="1132"/>
      <c r="AG114" s="1132"/>
      <c r="AH114" s="1132"/>
      <c r="AI114" s="1132"/>
      <c r="AJ114" s="1132"/>
      <c r="AK114" s="1132"/>
      <c r="AL114" s="1132"/>
    </row>
    <row r="115" spans="2:38" s="1457" customFormat="1">
      <c r="B115" s="1327"/>
      <c r="C115" s="1752" t="s">
        <v>7689</v>
      </c>
      <c r="D115" s="1752"/>
      <c r="E115" s="1752"/>
      <c r="F115" s="1452"/>
      <c r="G115" s="1458"/>
      <c r="H115" s="1460"/>
      <c r="I115" s="1460" t="str">
        <f t="shared" si="20"/>
        <v/>
      </c>
      <c r="J115" s="888" t="str">
        <f t="shared" si="21"/>
        <v/>
      </c>
      <c r="K115" s="1460"/>
      <c r="L115" s="1460"/>
      <c r="M115" s="1460"/>
      <c r="N115" s="1452"/>
      <c r="O115" s="1452"/>
      <c r="P115" s="1452"/>
      <c r="Q115" s="29"/>
      <c r="R115" s="1132"/>
      <c r="S115" s="774" t="str">
        <f t="shared" si="22"/>
        <v/>
      </c>
      <c r="T115" s="1132"/>
      <c r="U115" s="1132" t="str">
        <f t="shared" si="19"/>
        <v/>
      </c>
      <c r="V115" s="1132"/>
      <c r="W115" s="1132"/>
      <c r="X115" s="1132"/>
      <c r="Y115" s="1132"/>
      <c r="Z115" s="1132"/>
      <c r="AA115" s="1132"/>
      <c r="AB115" s="1132"/>
      <c r="AC115" s="1132"/>
      <c r="AD115" s="1132"/>
      <c r="AE115" s="1132"/>
      <c r="AF115" s="1132"/>
      <c r="AG115" s="1132"/>
      <c r="AH115" s="1132"/>
      <c r="AI115" s="1132"/>
      <c r="AJ115" s="1132"/>
      <c r="AK115" s="1132"/>
      <c r="AL115" s="1132"/>
    </row>
    <row r="116" spans="2:38" s="1457" customFormat="1">
      <c r="B116" s="1327"/>
      <c r="C116" s="1752" t="s">
        <v>7690</v>
      </c>
      <c r="D116" s="1752"/>
      <c r="E116" s="1752"/>
      <c r="F116" s="1452"/>
      <c r="G116" s="1458"/>
      <c r="H116" s="1460"/>
      <c r="I116" s="1460" t="str">
        <f t="shared" si="20"/>
        <v/>
      </c>
      <c r="J116" s="888" t="str">
        <f t="shared" si="21"/>
        <v/>
      </c>
      <c r="K116" s="1460"/>
      <c r="L116" s="1460"/>
      <c r="M116" s="1460"/>
      <c r="N116" s="1452"/>
      <c r="O116" s="1452"/>
      <c r="P116" s="1452"/>
      <c r="Q116" s="29"/>
      <c r="R116" s="1132"/>
      <c r="S116" s="774" t="str">
        <f t="shared" si="22"/>
        <v/>
      </c>
      <c r="T116" s="1132"/>
      <c r="U116" s="1132" t="str">
        <f t="shared" si="19"/>
        <v/>
      </c>
      <c r="V116" s="1132"/>
      <c r="W116" s="1132"/>
      <c r="X116" s="1132"/>
      <c r="Y116" s="1132"/>
      <c r="Z116" s="1132"/>
      <c r="AA116" s="1132"/>
      <c r="AB116" s="1132"/>
      <c r="AC116" s="1132"/>
      <c r="AD116" s="1132"/>
      <c r="AE116" s="1132"/>
      <c r="AF116" s="1132"/>
      <c r="AG116" s="1132"/>
      <c r="AH116" s="1132"/>
      <c r="AI116" s="1132"/>
      <c r="AJ116" s="1132"/>
      <c r="AK116" s="1132"/>
      <c r="AL116" s="1132"/>
    </row>
    <row r="117" spans="2:38" s="1457" customFormat="1">
      <c r="B117" s="1327"/>
      <c r="C117" s="1752" t="s">
        <v>7691</v>
      </c>
      <c r="D117" s="1752"/>
      <c r="E117" s="1752"/>
      <c r="F117" s="1452"/>
      <c r="G117" s="1458"/>
      <c r="H117" s="1460"/>
      <c r="I117" s="1460" t="str">
        <f t="shared" si="20"/>
        <v/>
      </c>
      <c r="J117" s="888" t="str">
        <f t="shared" si="21"/>
        <v/>
      </c>
      <c r="K117" s="1460"/>
      <c r="L117" s="1460"/>
      <c r="M117" s="1460"/>
      <c r="N117" s="1452"/>
      <c r="O117" s="1452"/>
      <c r="P117" s="1452"/>
      <c r="Q117" s="29"/>
      <c r="R117" s="1132"/>
      <c r="S117" s="774" t="str">
        <f t="shared" si="22"/>
        <v/>
      </c>
      <c r="T117" s="1132"/>
      <c r="U117" s="1132" t="str">
        <f t="shared" si="19"/>
        <v/>
      </c>
      <c r="V117" s="1132"/>
      <c r="W117" s="1132"/>
      <c r="X117" s="1132"/>
      <c r="Y117" s="1132"/>
      <c r="Z117" s="1132"/>
      <c r="AA117" s="1132"/>
      <c r="AB117" s="1132"/>
      <c r="AC117" s="1132"/>
      <c r="AD117" s="1132"/>
      <c r="AE117" s="1132"/>
      <c r="AF117" s="1132"/>
      <c r="AG117" s="1132"/>
      <c r="AH117" s="1132"/>
      <c r="AI117" s="1132"/>
      <c r="AJ117" s="1132"/>
      <c r="AK117" s="1132"/>
      <c r="AL117" s="1132"/>
    </row>
    <row r="118" spans="2:38" s="1457" customFormat="1">
      <c r="B118" s="1327"/>
      <c r="C118" s="1752" t="s">
        <v>7693</v>
      </c>
      <c r="D118" s="1752"/>
      <c r="E118" s="1752"/>
      <c r="F118" s="1452"/>
      <c r="G118" s="1458"/>
      <c r="H118" s="1460"/>
      <c r="I118" s="1460" t="str">
        <f t="shared" si="20"/>
        <v/>
      </c>
      <c r="J118" s="888" t="str">
        <f t="shared" si="21"/>
        <v/>
      </c>
      <c r="K118" s="1460"/>
      <c r="L118" s="1460"/>
      <c r="M118" s="1460"/>
      <c r="N118" s="1452"/>
      <c r="O118" s="1452"/>
      <c r="P118" s="1452"/>
      <c r="Q118" s="29"/>
      <c r="R118" s="1132"/>
      <c r="S118" s="774" t="str">
        <f t="shared" si="22"/>
        <v/>
      </c>
      <c r="T118" s="1132"/>
      <c r="U118" s="1132" t="str">
        <f t="shared" si="19"/>
        <v/>
      </c>
      <c r="V118" s="1132"/>
      <c r="W118" s="1132"/>
      <c r="X118" s="1132"/>
      <c r="Y118" s="1132"/>
      <c r="Z118" s="1132"/>
      <c r="AA118" s="1132"/>
      <c r="AB118" s="1132"/>
      <c r="AC118" s="1132"/>
      <c r="AD118" s="1132"/>
      <c r="AE118" s="1132"/>
      <c r="AF118" s="1132"/>
      <c r="AG118" s="1132"/>
      <c r="AH118" s="1132"/>
      <c r="AI118" s="1132"/>
      <c r="AJ118" s="1132"/>
      <c r="AK118" s="1132"/>
      <c r="AL118" s="1132"/>
    </row>
    <row r="119" spans="2:38" s="1457" customFormat="1">
      <c r="B119" s="1327"/>
      <c r="C119" s="1752" t="s">
        <v>7694</v>
      </c>
      <c r="D119" s="1752"/>
      <c r="E119" s="1752"/>
      <c r="F119" s="1452"/>
      <c r="G119" s="1458"/>
      <c r="H119" s="1460"/>
      <c r="I119" s="1460" t="str">
        <f t="shared" si="20"/>
        <v/>
      </c>
      <c r="J119" s="888" t="str">
        <f t="shared" si="21"/>
        <v/>
      </c>
      <c r="K119" s="1460"/>
      <c r="L119" s="1460"/>
      <c r="M119" s="1460"/>
      <c r="N119" s="1452"/>
      <c r="O119" s="1452"/>
      <c r="P119" s="1452"/>
      <c r="Q119" s="29"/>
      <c r="R119" s="1132"/>
      <c r="S119" s="774" t="str">
        <f t="shared" si="22"/>
        <v/>
      </c>
      <c r="T119" s="1132"/>
      <c r="U119" s="1132" t="str">
        <f t="shared" si="19"/>
        <v/>
      </c>
      <c r="V119" s="1132"/>
      <c r="W119" s="1132"/>
      <c r="X119" s="1132"/>
      <c r="Y119" s="1132"/>
      <c r="Z119" s="1132"/>
      <c r="AA119" s="1132"/>
      <c r="AB119" s="1132"/>
      <c r="AC119" s="1132"/>
      <c r="AD119" s="1132"/>
      <c r="AE119" s="1132"/>
      <c r="AF119" s="1132"/>
      <c r="AG119" s="1132"/>
      <c r="AH119" s="1132"/>
      <c r="AI119" s="1132"/>
      <c r="AJ119" s="1132"/>
      <c r="AK119" s="1132"/>
      <c r="AL119" s="1132"/>
    </row>
    <row r="120" spans="2:38" s="1457" customFormat="1">
      <c r="B120" s="1327"/>
      <c r="C120" s="1752" t="s">
        <v>7695</v>
      </c>
      <c r="D120" s="1752"/>
      <c r="E120" s="1752"/>
      <c r="F120" s="1452"/>
      <c r="G120" s="1458"/>
      <c r="H120" s="1460"/>
      <c r="I120" s="1460" t="str">
        <f t="shared" si="20"/>
        <v/>
      </c>
      <c r="J120" s="888" t="str">
        <f t="shared" si="21"/>
        <v/>
      </c>
      <c r="K120" s="1460"/>
      <c r="L120" s="1460"/>
      <c r="M120" s="1460"/>
      <c r="N120" s="1452"/>
      <c r="O120" s="1452"/>
      <c r="P120" s="1452"/>
      <c r="Q120" s="29"/>
      <c r="R120" s="1132"/>
      <c r="S120" s="774" t="str">
        <f t="shared" si="22"/>
        <v/>
      </c>
      <c r="T120" s="1132"/>
      <c r="U120" s="1132" t="str">
        <f t="shared" si="19"/>
        <v/>
      </c>
      <c r="V120" s="1132"/>
      <c r="W120" s="1132"/>
      <c r="X120" s="1132"/>
      <c r="Y120" s="1132"/>
      <c r="Z120" s="1132"/>
      <c r="AA120" s="1132"/>
      <c r="AB120" s="1132"/>
      <c r="AC120" s="1132"/>
      <c r="AD120" s="1132"/>
      <c r="AE120" s="1132"/>
      <c r="AF120" s="1132"/>
      <c r="AG120" s="1132"/>
      <c r="AH120" s="1132"/>
      <c r="AI120" s="1132"/>
      <c r="AJ120" s="1132"/>
      <c r="AK120" s="1132"/>
      <c r="AL120" s="1132"/>
    </row>
    <row r="121" spans="2:38" s="1457" customFormat="1">
      <c r="B121" s="1327"/>
      <c r="C121" s="1752" t="s">
        <v>7696</v>
      </c>
      <c r="D121" s="1752"/>
      <c r="E121" s="1752"/>
      <c r="F121" s="1452"/>
      <c r="G121" s="1458"/>
      <c r="H121" s="1460"/>
      <c r="I121" s="1460" t="str">
        <f t="shared" si="20"/>
        <v/>
      </c>
      <c r="J121" s="888" t="str">
        <f t="shared" si="21"/>
        <v/>
      </c>
      <c r="K121" s="1460"/>
      <c r="L121" s="1460"/>
      <c r="M121" s="1460"/>
      <c r="N121" s="1452"/>
      <c r="O121" s="1452"/>
      <c r="P121" s="1452"/>
      <c r="Q121" s="29"/>
      <c r="R121" s="1132"/>
      <c r="S121" s="774" t="str">
        <f t="shared" si="22"/>
        <v/>
      </c>
      <c r="T121" s="1132"/>
      <c r="U121" s="1132" t="str">
        <f t="shared" si="19"/>
        <v/>
      </c>
      <c r="V121" s="1132"/>
      <c r="W121" s="1132"/>
      <c r="X121" s="1132"/>
      <c r="Y121" s="1132"/>
      <c r="Z121" s="1132"/>
      <c r="AA121" s="1132"/>
      <c r="AB121" s="1132"/>
      <c r="AC121" s="1132"/>
      <c r="AD121" s="1132"/>
      <c r="AE121" s="1132"/>
      <c r="AF121" s="1132"/>
      <c r="AG121" s="1132"/>
      <c r="AH121" s="1132"/>
      <c r="AI121" s="1132"/>
      <c r="AJ121" s="1132"/>
      <c r="AK121" s="1132"/>
      <c r="AL121" s="1132"/>
    </row>
    <row r="122" spans="2:38" s="1457" customFormat="1">
      <c r="B122" s="1327"/>
      <c r="C122" s="1752" t="s">
        <v>7697</v>
      </c>
      <c r="D122" s="1752"/>
      <c r="E122" s="1752"/>
      <c r="F122" s="1452"/>
      <c r="G122" s="1458"/>
      <c r="H122" s="1460"/>
      <c r="I122" s="1460" t="str">
        <f t="shared" si="20"/>
        <v/>
      </c>
      <c r="J122" s="888" t="str">
        <f t="shared" si="21"/>
        <v/>
      </c>
      <c r="K122" s="1460"/>
      <c r="L122" s="1460"/>
      <c r="M122" s="1460"/>
      <c r="N122" s="1452"/>
      <c r="O122" s="1452"/>
      <c r="P122" s="1452"/>
      <c r="Q122" s="29"/>
      <c r="R122" s="1132"/>
      <c r="S122" s="774" t="str">
        <f t="shared" si="22"/>
        <v/>
      </c>
      <c r="T122" s="1132"/>
      <c r="U122" s="1132" t="str">
        <f t="shared" si="19"/>
        <v/>
      </c>
      <c r="V122" s="1132"/>
      <c r="W122" s="1132"/>
      <c r="X122" s="1132"/>
      <c r="Y122" s="1132"/>
      <c r="Z122" s="1132"/>
      <c r="AA122" s="1132"/>
      <c r="AB122" s="1132"/>
      <c r="AC122" s="1132"/>
      <c r="AD122" s="1132"/>
      <c r="AE122" s="1132"/>
      <c r="AF122" s="1132"/>
      <c r="AG122" s="1132"/>
      <c r="AH122" s="1132"/>
      <c r="AI122" s="1132"/>
      <c r="AJ122" s="1132"/>
      <c r="AK122" s="1132"/>
      <c r="AL122" s="1132"/>
    </row>
    <row r="123" spans="2:38" s="1457" customFormat="1">
      <c r="B123" s="1327"/>
      <c r="C123" s="1752" t="s">
        <v>7699</v>
      </c>
      <c r="D123" s="1752"/>
      <c r="E123" s="1752"/>
      <c r="F123" s="1452"/>
      <c r="G123" s="1458"/>
      <c r="H123" s="1460"/>
      <c r="I123" s="1460" t="str">
        <f t="shared" si="20"/>
        <v/>
      </c>
      <c r="J123" s="888" t="str">
        <f t="shared" si="21"/>
        <v/>
      </c>
      <c r="K123" s="1460"/>
      <c r="L123" s="1460"/>
      <c r="M123" s="1460"/>
      <c r="N123" s="1452"/>
      <c r="O123" s="1452"/>
      <c r="P123" s="1452"/>
      <c r="Q123" s="29"/>
      <c r="R123" s="1132"/>
      <c r="S123" s="774" t="str">
        <f t="shared" si="22"/>
        <v/>
      </c>
      <c r="T123" s="1132"/>
      <c r="U123" s="1132" t="str">
        <f t="shared" si="19"/>
        <v/>
      </c>
      <c r="V123" s="1132"/>
      <c r="W123" s="1132"/>
      <c r="X123" s="1132"/>
      <c r="Y123" s="1132"/>
      <c r="Z123" s="1132"/>
      <c r="AA123" s="1132"/>
      <c r="AB123" s="1132"/>
      <c r="AC123" s="1132"/>
      <c r="AD123" s="1132"/>
      <c r="AE123" s="1132"/>
      <c r="AF123" s="1132"/>
      <c r="AG123" s="1132"/>
      <c r="AH123" s="1132"/>
      <c r="AI123" s="1132"/>
      <c r="AJ123" s="1132"/>
      <c r="AK123" s="1132"/>
      <c r="AL123" s="1132"/>
    </row>
    <row r="124" spans="2:38" s="1457" customFormat="1">
      <c r="B124" s="1327"/>
      <c r="C124" s="1752" t="s">
        <v>7700</v>
      </c>
      <c r="D124" s="1752"/>
      <c r="E124" s="1752"/>
      <c r="F124" s="1452"/>
      <c r="G124" s="1458"/>
      <c r="H124" s="1460"/>
      <c r="I124" s="1460" t="str">
        <f t="shared" si="20"/>
        <v/>
      </c>
      <c r="J124" s="888" t="str">
        <f t="shared" si="21"/>
        <v/>
      </c>
      <c r="K124" s="1460"/>
      <c r="L124" s="1460"/>
      <c r="M124" s="1460"/>
      <c r="N124" s="1452"/>
      <c r="O124" s="1452"/>
      <c r="P124" s="1452"/>
      <c r="Q124" s="29"/>
      <c r="R124" s="1132"/>
      <c r="S124" s="774" t="str">
        <f t="shared" si="22"/>
        <v/>
      </c>
      <c r="T124" s="1132"/>
      <c r="U124" s="1132" t="str">
        <f t="shared" si="19"/>
        <v/>
      </c>
      <c r="V124" s="1132"/>
      <c r="W124" s="1132"/>
      <c r="X124" s="1132"/>
      <c r="Y124" s="1132"/>
      <c r="Z124" s="1132"/>
      <c r="AA124" s="1132"/>
      <c r="AB124" s="1132"/>
      <c r="AC124" s="1132"/>
      <c r="AD124" s="1132"/>
      <c r="AE124" s="1132"/>
      <c r="AF124" s="1132"/>
      <c r="AG124" s="1132"/>
      <c r="AH124" s="1132"/>
      <c r="AI124" s="1132"/>
      <c r="AJ124" s="1132"/>
      <c r="AK124" s="1132"/>
      <c r="AL124" s="1132"/>
    </row>
    <row r="125" spans="2:38" s="1457" customFormat="1">
      <c r="B125" s="1327"/>
      <c r="C125" s="1752" t="s">
        <v>7701</v>
      </c>
      <c r="D125" s="1752"/>
      <c r="E125" s="1752"/>
      <c r="F125" s="1452"/>
      <c r="G125" s="1458"/>
      <c r="H125" s="557" t="s">
        <v>7710</v>
      </c>
      <c r="I125" s="1458"/>
      <c r="J125" s="1443"/>
      <c r="K125" s="1453" t="s">
        <v>7709</v>
      </c>
      <c r="L125" s="1460"/>
      <c r="M125" s="1460"/>
      <c r="N125" s="1452"/>
      <c r="O125" s="1452"/>
      <c r="P125" s="1452"/>
      <c r="Q125" s="29"/>
      <c r="R125" s="1132"/>
      <c r="S125" s="774" t="str">
        <f t="shared" si="22"/>
        <v/>
      </c>
      <c r="T125" s="1132"/>
      <c r="U125" s="1132" t="str">
        <f t="shared" si="19"/>
        <v/>
      </c>
      <c r="V125" s="1132"/>
      <c r="W125" s="1132"/>
      <c r="X125" s="1132"/>
      <c r="Y125" s="1132"/>
      <c r="Z125" s="1132"/>
      <c r="AA125" s="1132"/>
      <c r="AB125" s="1132"/>
      <c r="AC125" s="1132"/>
      <c r="AD125" s="1132"/>
      <c r="AE125" s="1132"/>
      <c r="AF125" s="1132"/>
      <c r="AG125" s="1132"/>
      <c r="AH125" s="1132"/>
      <c r="AI125" s="1132"/>
      <c r="AJ125" s="1132"/>
      <c r="AK125" s="1132"/>
      <c r="AL125" s="1132"/>
    </row>
    <row r="126" spans="2:38" s="1457" customFormat="1">
      <c r="B126" s="1327"/>
      <c r="C126" s="1752" t="s">
        <v>7704</v>
      </c>
      <c r="D126" s="1752"/>
      <c r="E126" s="1752"/>
      <c r="F126" s="1452"/>
      <c r="G126" s="1458"/>
      <c r="H126" s="1460"/>
      <c r="I126" s="1460" t="str">
        <f>IF(G126&lt;&gt;"",INDEX(DroidAccessoriesTable,MATCH(C126,DroidAccessoriesList,0),7),"")</f>
        <v/>
      </c>
      <c r="J126" s="888" t="str">
        <f>IF(G126&lt;&gt;"",INDEX(DroidAccessoriesTable,MATCH(C126,DroidAccessoriesList,0),10),"")</f>
        <v/>
      </c>
      <c r="K126" s="1460"/>
      <c r="L126" s="1460"/>
      <c r="M126" s="1460"/>
      <c r="N126" s="1452"/>
      <c r="O126" s="1452"/>
      <c r="P126" s="1452"/>
      <c r="Q126" s="29"/>
      <c r="R126" s="1132"/>
      <c r="S126" s="774" t="str">
        <f t="shared" si="22"/>
        <v/>
      </c>
      <c r="T126" s="1132"/>
      <c r="U126" s="1132" t="str">
        <f t="shared" si="19"/>
        <v/>
      </c>
      <c r="V126" s="1132"/>
      <c r="W126" s="1132"/>
      <c r="X126" s="1132"/>
      <c r="Y126" s="1132"/>
      <c r="Z126" s="1132"/>
      <c r="AA126" s="1132"/>
      <c r="AB126" s="1132"/>
      <c r="AC126" s="1132"/>
      <c r="AD126" s="1132"/>
      <c r="AE126" s="1132"/>
      <c r="AF126" s="1132"/>
      <c r="AG126" s="1132"/>
      <c r="AH126" s="1132"/>
      <c r="AI126" s="1132"/>
      <c r="AJ126" s="1132"/>
      <c r="AK126" s="1132"/>
      <c r="AL126" s="1132"/>
    </row>
    <row r="127" spans="2:38" s="1457" customFormat="1">
      <c r="B127" s="1327"/>
      <c r="C127" s="1752" t="s">
        <v>7705</v>
      </c>
      <c r="D127" s="1752"/>
      <c r="E127" s="1752"/>
      <c r="F127" s="1452"/>
      <c r="G127" s="1458"/>
      <c r="H127" s="1460"/>
      <c r="I127" s="1460" t="str">
        <f>IF(G127&lt;&gt;"",INDEX(DroidAccessoriesTable,MATCH(C127,DroidAccessoriesList,0),7),"")</f>
        <v/>
      </c>
      <c r="J127" s="888" t="str">
        <f>IF(G127&lt;&gt;"",INDEX(DroidAccessoriesTable,MATCH(C127,DroidAccessoriesList,0),10),"")</f>
        <v/>
      </c>
      <c r="K127" s="1460"/>
      <c r="L127" s="1460"/>
      <c r="M127" s="1460"/>
      <c r="N127" s="1452"/>
      <c r="O127" s="1452"/>
      <c r="P127" s="1452"/>
      <c r="Q127" s="29"/>
      <c r="R127" s="1132"/>
      <c r="S127" s="774" t="str">
        <f t="shared" si="22"/>
        <v/>
      </c>
      <c r="T127" s="1132"/>
      <c r="U127" s="1132" t="str">
        <f t="shared" si="19"/>
        <v/>
      </c>
      <c r="V127" s="1132"/>
      <c r="W127" s="1132"/>
      <c r="X127" s="1132"/>
      <c r="Y127" s="1132"/>
      <c r="Z127" s="1132"/>
      <c r="AA127" s="1132"/>
      <c r="AB127" s="1132"/>
      <c r="AC127" s="1132"/>
      <c r="AD127" s="1132"/>
      <c r="AE127" s="1132"/>
      <c r="AF127" s="1132"/>
      <c r="AG127" s="1132"/>
      <c r="AH127" s="1132"/>
      <c r="AI127" s="1132"/>
      <c r="AJ127" s="1132"/>
      <c r="AK127" s="1132"/>
      <c r="AL127" s="1132"/>
    </row>
    <row r="128" spans="2:38" ht="15" thickBot="1">
      <c r="B128" s="32"/>
      <c r="C128" s="871"/>
      <c r="D128" s="871"/>
      <c r="E128" s="871"/>
      <c r="F128" s="871"/>
      <c r="G128" s="871"/>
      <c r="H128" s="34"/>
      <c r="I128" s="34"/>
      <c r="J128" s="34"/>
      <c r="K128" s="34"/>
      <c r="L128" s="34"/>
      <c r="M128" s="34"/>
      <c r="N128" s="871"/>
      <c r="O128" s="1421"/>
      <c r="P128" s="1421"/>
      <c r="Q128" s="35"/>
      <c r="R128" s="1440" t="s">
        <v>195</v>
      </c>
      <c r="S128" s="1440" t="s">
        <v>195</v>
      </c>
      <c r="T128" s="1440" t="s">
        <v>195</v>
      </c>
      <c r="U128" s="383" t="s">
        <v>195</v>
      </c>
      <c r="V128" s="1440" t="s">
        <v>195</v>
      </c>
      <c r="W128" s="1440" t="s">
        <v>195</v>
      </c>
    </row>
  </sheetData>
  <sortState xmlns:xlrd2="http://schemas.microsoft.com/office/spreadsheetml/2017/richdata2" ref="E45:J52">
    <sortCondition ref="E45:E52"/>
  </sortState>
  <mergeCells count="46">
    <mergeCell ref="C125:E125"/>
    <mergeCell ref="C126:E126"/>
    <mergeCell ref="C127:E127"/>
    <mergeCell ref="C120:E120"/>
    <mergeCell ref="C121:E121"/>
    <mergeCell ref="C122:E122"/>
    <mergeCell ref="C123:E123"/>
    <mergeCell ref="C124:E124"/>
    <mergeCell ref="C115:E115"/>
    <mergeCell ref="C116:E116"/>
    <mergeCell ref="C117:E117"/>
    <mergeCell ref="C118:E118"/>
    <mergeCell ref="C119:E119"/>
    <mergeCell ref="C110:E110"/>
    <mergeCell ref="C111:E111"/>
    <mergeCell ref="C112:E112"/>
    <mergeCell ref="C113:E113"/>
    <mergeCell ref="C114:E114"/>
    <mergeCell ref="C105:E105"/>
    <mergeCell ref="C106:E106"/>
    <mergeCell ref="C107:E107"/>
    <mergeCell ref="C108:E108"/>
    <mergeCell ref="C109:E109"/>
    <mergeCell ref="C100:E100"/>
    <mergeCell ref="C101:E101"/>
    <mergeCell ref="C102:E102"/>
    <mergeCell ref="C103:E103"/>
    <mergeCell ref="C104:E104"/>
    <mergeCell ref="C95:E95"/>
    <mergeCell ref="C96:E96"/>
    <mergeCell ref="C97:E97"/>
    <mergeCell ref="C98:E98"/>
    <mergeCell ref="C99:E99"/>
    <mergeCell ref="C90:E90"/>
    <mergeCell ref="C91:E91"/>
    <mergeCell ref="C92:E92"/>
    <mergeCell ref="C93:E93"/>
    <mergeCell ref="C94:E94"/>
    <mergeCell ref="L7:N7"/>
    <mergeCell ref="AO5:AO33"/>
    <mergeCell ref="M29:M30"/>
    <mergeCell ref="K29:K30"/>
    <mergeCell ref="N29:N30"/>
    <mergeCell ref="O28:O30"/>
    <mergeCell ref="P29:P30"/>
    <mergeCell ref="L9:N9"/>
  </mergeCells>
  <conditionalFormatting sqref="C60:P74">
    <cfRule type="expression" dxfId="168" priority="2">
      <formula>Cyborg</formula>
    </cfRule>
  </conditionalFormatting>
  <conditionalFormatting sqref="L10">
    <cfRule type="expression" dxfId="167" priority="1">
      <formula>$K$10=""</formula>
    </cfRule>
  </conditionalFormatting>
  <dataValidations count="13">
    <dataValidation type="list" allowBlank="1" showInputMessage="1" showErrorMessage="1" sqref="L13:M17 G84 G76:G80 G62:G73 G60 G56:G57 G45:G52 K31:P42 G20:G24 G90:G127" xr:uid="{00000000-0002-0000-0300-000000000000}">
      <formula1>"Yes"</formula1>
    </dataValidation>
    <dataValidation type="list" allowBlank="1" showInputMessage="1" showErrorMessage="1" sqref="G31:G41" xr:uid="{00000000-0002-0000-0300-000001000000}">
      <formula1>DroidAppendages</formula1>
    </dataValidation>
    <dataValidation type="list" allowBlank="1" showInputMessage="1" showErrorMessage="1" sqref="G61" xr:uid="{00000000-0002-0000-0300-000002000000}">
      <formula1>RemoteProcessorList</formula1>
    </dataValidation>
    <dataValidation type="list" allowBlank="1" showInputMessage="1" showErrorMessage="1" sqref="G83" xr:uid="{00000000-0002-0000-0300-000003000000}">
      <formula1>DroidSRList</formula1>
    </dataValidation>
    <dataValidation type="list" allowBlank="1" showInputMessage="1" showErrorMessage="1" sqref="G87" xr:uid="{00000000-0002-0000-0300-000004000000}">
      <formula1>DroidTranslatorList</formula1>
    </dataValidation>
    <dataValidation type="list" allowBlank="1" showInputMessage="1" showErrorMessage="1" promptTitle="Droid or Cyborg" prompt="If you are a playing a normal droid, select your degree; if a cyborg 'Cyborg Hybrid', and if a Droid Chasis type or Replica Droid, 'Stock Droid Chassis'" sqref="G5" xr:uid="{00000000-0002-0000-0300-000005000000}">
      <formula1>DroidDegreeList</formula1>
    </dataValidation>
    <dataValidation type="list" allowBlank="1" showInputMessage="1" showErrorMessage="1" sqref="G7" xr:uid="{00000000-0002-0000-0300-000006000000}">
      <formula1>"Medium,Small,Large"</formula1>
    </dataValidation>
    <dataValidation type="list" allowBlank="1" showInputMessage="1" showErrorMessage="1" sqref="G13:G17" xr:uid="{00000000-0002-0000-0300-000007000000}">
      <formula1>DroidLocomotionList</formula1>
    </dataValidation>
    <dataValidation type="list" allowBlank="1" showInputMessage="1" showErrorMessage="1" sqref="G27" xr:uid="{00000000-0002-0000-0300-000008000000}">
      <formula1>DroidArmorList</formula1>
    </dataValidation>
    <dataValidation type="list" allowBlank="1" showInputMessage="1" showErrorMessage="1" sqref="L7:P7" xr:uid="{00000000-0002-0000-0300-000009000000}">
      <formula1>DroidTechList</formula1>
    </dataValidation>
    <dataValidation type="list" allowBlank="1" showInputMessage="1" showErrorMessage="1" sqref="G42" xr:uid="{00000000-0002-0000-0300-00000A000000}">
      <formula1>"Basic,Deluxe"</formula1>
    </dataValidation>
    <dataValidation type="list" allowBlank="1" showInputMessage="1" showErrorMessage="1" sqref="L9:N9" xr:uid="{00000000-0002-0000-0300-00000B000000}">
      <formula1>DroidManufacturerList</formula1>
    </dataValidation>
    <dataValidation type="list" allowBlank="1" showInputMessage="1" showErrorMessage="1" sqref="L10" xr:uid="{00000000-0002-0000-0300-00000C000000}">
      <formula1>"Str,Dex,Int,Wis,Cha"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HideDroids">
                <anchor moveWithCells="1" sizeWithCells="1">
                  <from>
                    <xdr:col>10</xdr:col>
                    <xdr:colOff>279400</xdr:colOff>
                    <xdr:row>1</xdr:row>
                    <xdr:rowOff>95250</xdr:rowOff>
                  </from>
                  <to>
                    <xdr:col>12</xdr:col>
                    <xdr:colOff>317500</xdr:colOff>
                    <xdr:row>2</xdr:row>
                    <xdr:rowOff>165100</xdr:rowOff>
                  </to>
                </anchor>
              </controlPr>
            </control>
          </mc:Choice>
        </mc:AlternateContent>
        <mc:AlternateContent xmlns:mc="http://schemas.openxmlformats.org/markup-compatibility/2006">
          <mc:Choice Requires="x14">
            <control shapeId="47115" r:id="rId5" name="Button 11">
              <controlPr defaultSize="0" print="0" autoFill="0" autoPict="0" macro="[0]!ClearDroid">
                <anchor moveWithCells="1" sizeWithCells="1">
                  <from>
                    <xdr:col>12</xdr:col>
                    <xdr:colOff>361950</xdr:colOff>
                    <xdr:row>1</xdr:row>
                    <xdr:rowOff>95250</xdr:rowOff>
                  </from>
                  <to>
                    <xdr:col>13</xdr:col>
                    <xdr:colOff>457200</xdr:colOff>
                    <xdr:row>2</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dimension ref="B1:U34"/>
  <sheetViews>
    <sheetView showGridLines="0" showRowColHeaders="0" workbookViewId="0"/>
  </sheetViews>
  <sheetFormatPr defaultColWidth="9.1796875" defaultRowHeight="14.5"/>
  <cols>
    <col min="1" max="2" width="2.81640625" style="1539" customWidth="1"/>
    <col min="3" max="13" width="9.1796875" style="1539"/>
    <col min="14" max="14" width="2.81640625" style="1539" customWidth="1"/>
    <col min="15" max="15" width="9.1796875" style="1539"/>
    <col min="16" max="16" width="22.26953125" style="1539" hidden="1" customWidth="1"/>
    <col min="17" max="21" width="9.1796875" style="1539" hidden="1" customWidth="1"/>
    <col min="22" max="23" width="9.1796875" style="1539" customWidth="1"/>
    <col min="24" max="16384" width="9.1796875" style="1539"/>
  </cols>
  <sheetData>
    <row r="1" spans="2:17" ht="15" thickBot="1"/>
    <row r="2" spans="2:17">
      <c r="B2" s="1324"/>
      <c r="C2" s="1325"/>
      <c r="D2" s="1325"/>
      <c r="E2" s="1325"/>
      <c r="F2" s="1325"/>
      <c r="G2" s="1325"/>
      <c r="H2" s="1325"/>
      <c r="I2" s="1325"/>
      <c r="J2" s="1325"/>
      <c r="K2" s="1325"/>
      <c r="L2" s="1325"/>
      <c r="M2" s="1325"/>
      <c r="N2" s="1326"/>
    </row>
    <row r="3" spans="2:17" ht="21">
      <c r="B3" s="1327"/>
      <c r="C3" s="1547" t="s">
        <v>8014</v>
      </c>
      <c r="D3" s="1545"/>
      <c r="E3" s="1545"/>
      <c r="F3" s="1545"/>
      <c r="G3" s="1545"/>
      <c r="H3" s="1545"/>
      <c r="I3" s="1545"/>
      <c r="J3" s="1545"/>
      <c r="K3" s="1545"/>
      <c r="L3" s="1545"/>
      <c r="M3" s="1545"/>
      <c r="N3" s="29"/>
    </row>
    <row r="4" spans="2:17">
      <c r="B4" s="1327"/>
      <c r="C4" s="1545"/>
      <c r="D4" s="1545"/>
      <c r="E4" s="1545"/>
      <c r="F4" s="1545"/>
      <c r="G4" s="1545"/>
      <c r="H4" s="1545"/>
      <c r="I4" s="1545"/>
      <c r="J4" s="1545"/>
      <c r="K4" s="1545"/>
      <c r="L4" s="1545"/>
      <c r="M4" s="1545"/>
      <c r="N4" s="29"/>
      <c r="P4" s="1539" t="s">
        <v>7970</v>
      </c>
      <c r="Q4" s="1539" t="s">
        <v>8002</v>
      </c>
    </row>
    <row r="5" spans="2:17">
      <c r="B5" s="1327"/>
      <c r="C5" s="1548" t="s">
        <v>6567</v>
      </c>
      <c r="D5" s="1545"/>
      <c r="E5" s="1753" t="s">
        <v>8800</v>
      </c>
      <c r="F5" s="1753"/>
      <c r="G5" s="1753"/>
      <c r="H5" s="1545"/>
      <c r="I5" s="1548" t="s">
        <v>8017</v>
      </c>
      <c r="J5" s="1545"/>
      <c r="K5" s="1753" t="s">
        <v>273</v>
      </c>
      <c r="L5" s="1753"/>
      <c r="M5" s="1753"/>
      <c r="N5" s="29"/>
      <c r="P5" s="1539" t="s">
        <v>7971</v>
      </c>
      <c r="Q5" s="1539" t="s">
        <v>7989</v>
      </c>
    </row>
    <row r="6" spans="2:17">
      <c r="B6" s="1327"/>
      <c r="C6" s="1545"/>
      <c r="D6" s="1545"/>
      <c r="E6" s="1545"/>
      <c r="F6" s="1545"/>
      <c r="G6" s="1545"/>
      <c r="H6" s="1545"/>
      <c r="I6" s="1545"/>
      <c r="J6" s="1545"/>
      <c r="K6" s="1753" t="s">
        <v>8802</v>
      </c>
      <c r="L6" s="1753"/>
      <c r="M6" s="1753"/>
      <c r="N6" s="29"/>
      <c r="P6" s="1539" t="s">
        <v>7972</v>
      </c>
      <c r="Q6" s="1539" t="s">
        <v>7990</v>
      </c>
    </row>
    <row r="7" spans="2:17">
      <c r="B7" s="1327"/>
      <c r="C7" s="1548" t="s">
        <v>7969</v>
      </c>
      <c r="D7" s="1545"/>
      <c r="E7" s="1753" t="s">
        <v>8801</v>
      </c>
      <c r="F7" s="1753"/>
      <c r="G7" s="1753"/>
      <c r="H7" s="1545"/>
      <c r="I7" s="1545"/>
      <c r="J7" s="1545"/>
      <c r="K7" s="1753" t="s">
        <v>2090</v>
      </c>
      <c r="L7" s="1753"/>
      <c r="M7" s="1753"/>
      <c r="N7" s="29"/>
      <c r="P7" s="1539" t="s">
        <v>7973</v>
      </c>
      <c r="Q7" s="1539" t="s">
        <v>7991</v>
      </c>
    </row>
    <row r="8" spans="2:17">
      <c r="B8" s="1327"/>
      <c r="C8" s="1545"/>
      <c r="D8" s="1545"/>
      <c r="E8" s="1545"/>
      <c r="F8" s="1545"/>
      <c r="G8" s="1545"/>
      <c r="H8" s="1545"/>
      <c r="I8" s="1545"/>
      <c r="J8" s="1545"/>
      <c r="K8" s="1545"/>
      <c r="L8" s="1545"/>
      <c r="M8" s="1545"/>
      <c r="N8" s="29"/>
      <c r="P8" s="1539" t="s">
        <v>7974</v>
      </c>
      <c r="Q8" s="1539" t="s">
        <v>8003</v>
      </c>
    </row>
    <row r="9" spans="2:17">
      <c r="B9" s="1327"/>
      <c r="C9" s="1548" t="s">
        <v>8012</v>
      </c>
      <c r="D9" s="1545"/>
      <c r="E9" s="1753" t="s">
        <v>7979</v>
      </c>
      <c r="F9" s="1753"/>
      <c r="G9" s="1753"/>
      <c r="H9" s="1545"/>
      <c r="I9" s="1545"/>
      <c r="J9" s="1545"/>
      <c r="K9" s="1545"/>
      <c r="L9" s="1545"/>
      <c r="M9" s="1545"/>
      <c r="N9" s="29"/>
      <c r="P9" s="1539" t="s">
        <v>7975</v>
      </c>
      <c r="Q9" s="1539" t="s">
        <v>8004</v>
      </c>
    </row>
    <row r="10" spans="2:17">
      <c r="B10" s="1327"/>
      <c r="C10" s="1545"/>
      <c r="D10" s="1545"/>
      <c r="E10" s="1545"/>
      <c r="F10" s="1545"/>
      <c r="G10" s="1545"/>
      <c r="H10" s="1545"/>
      <c r="I10" s="1545"/>
      <c r="J10" s="1545"/>
      <c r="K10" s="1545"/>
      <c r="L10" s="1545"/>
      <c r="M10" s="1545"/>
      <c r="N10" s="29"/>
      <c r="P10" s="1539" t="s">
        <v>7976</v>
      </c>
      <c r="Q10" s="1539" t="s">
        <v>7992</v>
      </c>
    </row>
    <row r="11" spans="2:17">
      <c r="B11" s="1327"/>
      <c r="C11" s="1545" t="s">
        <v>8013</v>
      </c>
      <c r="D11" s="1545"/>
      <c r="E11" s="1545"/>
      <c r="F11" s="1545"/>
      <c r="G11" s="1545"/>
      <c r="H11" s="1545"/>
      <c r="I11" s="1545"/>
      <c r="J11" s="1545"/>
      <c r="K11" s="1545"/>
      <c r="L11" s="1545"/>
      <c r="M11" s="1545"/>
      <c r="N11" s="29"/>
      <c r="P11" s="1539" t="s">
        <v>517</v>
      </c>
      <c r="Q11" s="1539" t="s">
        <v>7993</v>
      </c>
    </row>
    <row r="12" spans="2:17">
      <c r="B12" s="1327"/>
      <c r="C12" s="1545"/>
      <c r="D12" s="1545" t="s">
        <v>8015</v>
      </c>
      <c r="E12" s="1545"/>
      <c r="F12" s="1545"/>
      <c r="G12" s="1550"/>
      <c r="H12" s="1545"/>
      <c r="I12" s="1545"/>
      <c r="J12" s="1545"/>
      <c r="K12" s="1545"/>
      <c r="L12" s="1545"/>
      <c r="M12" s="1545"/>
      <c r="N12" s="29"/>
      <c r="P12" s="1539" t="s">
        <v>7977</v>
      </c>
      <c r="Q12" s="1539" t="s">
        <v>8005</v>
      </c>
    </row>
    <row r="13" spans="2:17">
      <c r="B13" s="1327"/>
      <c r="C13" s="1545"/>
      <c r="D13" s="1545" t="s">
        <v>8016</v>
      </c>
      <c r="E13" s="1545"/>
      <c r="F13" s="1545"/>
      <c r="G13" s="1550"/>
      <c r="H13" s="1545"/>
      <c r="I13" s="1545"/>
      <c r="J13" s="1545"/>
      <c r="K13" s="1545"/>
      <c r="L13" s="1545"/>
      <c r="M13" s="1545"/>
      <c r="N13" s="29"/>
      <c r="P13" s="1539" t="s">
        <v>7978</v>
      </c>
      <c r="Q13" s="1539" t="s">
        <v>7994</v>
      </c>
    </row>
    <row r="14" spans="2:17">
      <c r="B14" s="1327"/>
      <c r="C14" s="1545"/>
      <c r="D14" s="1545"/>
      <c r="E14" s="1545"/>
      <c r="F14" s="1545"/>
      <c r="G14" s="1545"/>
      <c r="H14" s="1545"/>
      <c r="I14" s="1545"/>
      <c r="J14" s="1545"/>
      <c r="K14" s="1545"/>
      <c r="L14" s="1545"/>
      <c r="M14" s="1545"/>
      <c r="N14" s="29"/>
      <c r="P14" s="1539" t="s">
        <v>7979</v>
      </c>
      <c r="Q14" s="1539" t="s">
        <v>7995</v>
      </c>
    </row>
    <row r="15" spans="2:17">
      <c r="B15" s="1327"/>
      <c r="C15" s="1545" t="s">
        <v>1652</v>
      </c>
      <c r="D15" s="1545"/>
      <c r="E15" s="1545"/>
      <c r="F15" s="1545"/>
      <c r="G15" s="1545"/>
      <c r="H15" s="1545"/>
      <c r="I15" s="1545"/>
      <c r="J15" s="1545"/>
      <c r="K15" s="1545"/>
      <c r="L15" s="1545"/>
      <c r="M15" s="1545"/>
      <c r="N15" s="29"/>
      <c r="P15" s="1539" t="s">
        <v>7980</v>
      </c>
      <c r="Q15" s="1539" t="s">
        <v>7996</v>
      </c>
    </row>
    <row r="16" spans="2:17">
      <c r="B16" s="1327"/>
      <c r="C16" s="1545"/>
      <c r="D16" s="1545" t="s">
        <v>4185</v>
      </c>
      <c r="E16" s="1754"/>
      <c r="F16" s="1755"/>
      <c r="G16" s="1756"/>
      <c r="H16" s="1545"/>
      <c r="I16" s="1545"/>
      <c r="J16" s="1545"/>
      <c r="K16" s="1545"/>
      <c r="L16" s="1545"/>
      <c r="M16" s="1545"/>
      <c r="N16" s="29"/>
      <c r="P16" s="1539" t="s">
        <v>4029</v>
      </c>
      <c r="Q16" s="1539" t="s">
        <v>7997</v>
      </c>
    </row>
    <row r="17" spans="2:17">
      <c r="B17" s="1327"/>
      <c r="C17" s="1545"/>
      <c r="D17" s="1545" t="s">
        <v>111</v>
      </c>
      <c r="E17" s="1754"/>
      <c r="F17" s="1755"/>
      <c r="G17" s="1756"/>
      <c r="H17" s="1545"/>
      <c r="I17" s="1545"/>
      <c r="J17" s="1545"/>
      <c r="K17" s="1545"/>
      <c r="L17" s="1545"/>
      <c r="M17" s="1545"/>
      <c r="N17" s="29"/>
      <c r="P17" s="1539" t="s">
        <v>4030</v>
      </c>
      <c r="Q17" s="1539" t="s">
        <v>8006</v>
      </c>
    </row>
    <row r="18" spans="2:17" ht="15" thickBot="1">
      <c r="B18" s="32"/>
      <c r="C18" s="1551"/>
      <c r="D18" s="1551"/>
      <c r="E18" s="1551"/>
      <c r="F18" s="1551"/>
      <c r="G18" s="1551"/>
      <c r="H18" s="1551"/>
      <c r="I18" s="1551"/>
      <c r="J18" s="1551"/>
      <c r="K18" s="1551"/>
      <c r="L18" s="1551"/>
      <c r="M18" s="1551"/>
      <c r="N18" s="35"/>
      <c r="P18" s="1539" t="s">
        <v>7981</v>
      </c>
      <c r="Q18" s="1539" t="s">
        <v>7998</v>
      </c>
    </row>
    <row r="19" spans="2:17">
      <c r="B19" s="1549"/>
      <c r="C19" s="1549"/>
      <c r="D19" s="1549"/>
      <c r="E19" s="1549"/>
      <c r="F19" s="1549"/>
      <c r="G19" s="1549"/>
      <c r="H19" s="1549"/>
      <c r="I19" s="1549"/>
      <c r="J19" s="1549"/>
      <c r="K19" s="1549"/>
      <c r="L19" s="1549"/>
      <c r="M19" s="1549"/>
      <c r="N19" s="1549"/>
      <c r="P19" s="1539" t="s">
        <v>7982</v>
      </c>
      <c r="Q19" s="1539" t="s">
        <v>7999</v>
      </c>
    </row>
    <row r="20" spans="2:17">
      <c r="B20" s="1549"/>
      <c r="C20" s="1549"/>
      <c r="D20" s="1549"/>
      <c r="E20" s="1549"/>
      <c r="F20" s="1549"/>
      <c r="G20" s="1549"/>
      <c r="H20" s="1549"/>
      <c r="I20" s="1549"/>
      <c r="J20" s="1549"/>
      <c r="K20" s="1549"/>
      <c r="L20" s="1549"/>
      <c r="M20" s="1549"/>
      <c r="N20" s="1549"/>
      <c r="P20" s="1539" t="s">
        <v>7983</v>
      </c>
      <c r="Q20" s="1539" t="s">
        <v>8000</v>
      </c>
    </row>
    <row r="21" spans="2:17">
      <c r="B21" s="1549"/>
      <c r="C21" s="1549"/>
      <c r="D21" s="1549"/>
      <c r="E21" s="1549"/>
      <c r="F21" s="1549"/>
      <c r="G21" s="1549"/>
      <c r="H21" s="1549"/>
      <c r="I21" s="1549"/>
      <c r="J21" s="1549"/>
      <c r="K21" s="1549"/>
      <c r="L21" s="1549"/>
      <c r="M21" s="1549"/>
      <c r="N21" s="1549"/>
      <c r="P21" s="1539" t="s">
        <v>7984</v>
      </c>
      <c r="Q21" s="1539" t="s">
        <v>8001</v>
      </c>
    </row>
    <row r="22" spans="2:17">
      <c r="B22" s="1549"/>
      <c r="C22" s="1549"/>
      <c r="D22" s="1549"/>
      <c r="E22" s="1549"/>
      <c r="F22" s="1549"/>
      <c r="G22" s="1549"/>
      <c r="H22" s="1549"/>
      <c r="I22" s="1549"/>
      <c r="J22" s="1549"/>
      <c r="K22" s="1549"/>
      <c r="L22" s="1549"/>
      <c r="M22" s="1549"/>
      <c r="N22" s="1549"/>
      <c r="P22" s="1539" t="s">
        <v>1596</v>
      </c>
      <c r="Q22" s="1556" t="s">
        <v>8680</v>
      </c>
    </row>
    <row r="23" spans="2:17">
      <c r="B23" s="1549"/>
      <c r="C23" s="1549"/>
      <c r="D23" s="1549"/>
      <c r="E23" s="1549"/>
      <c r="F23" s="1549"/>
      <c r="G23" s="1549"/>
      <c r="H23" s="1549"/>
      <c r="I23" s="1549"/>
      <c r="J23" s="1549"/>
      <c r="K23" s="1549"/>
      <c r="L23" s="1549"/>
      <c r="M23" s="1549"/>
      <c r="N23" s="1549"/>
      <c r="P23" s="1539" t="s">
        <v>484</v>
      </c>
      <c r="Q23" s="1539" t="s">
        <v>8007</v>
      </c>
    </row>
    <row r="24" spans="2:17">
      <c r="B24" s="1549"/>
      <c r="C24" s="1549"/>
      <c r="D24" s="1549"/>
      <c r="E24" s="1549"/>
      <c r="F24" s="1549"/>
      <c r="G24" s="1549"/>
      <c r="H24" s="1549"/>
      <c r="I24" s="1549"/>
      <c r="J24" s="1549"/>
      <c r="K24" s="1549"/>
      <c r="L24" s="1549"/>
      <c r="M24" s="1549"/>
      <c r="N24" s="1549"/>
      <c r="P24" s="1539" t="s">
        <v>7985</v>
      </c>
      <c r="Q24" s="1539" t="s">
        <v>8008</v>
      </c>
    </row>
    <row r="25" spans="2:17">
      <c r="B25" s="1549"/>
      <c r="C25" s="1549"/>
      <c r="D25" s="1549"/>
      <c r="E25" s="1549"/>
      <c r="F25" s="1549"/>
      <c r="G25" s="1549"/>
      <c r="H25" s="1549"/>
      <c r="I25" s="1549"/>
      <c r="J25" s="1549"/>
      <c r="K25" s="1549"/>
      <c r="L25" s="1549"/>
      <c r="M25" s="1549"/>
      <c r="N25" s="1549"/>
      <c r="P25" s="1539" t="s">
        <v>7986</v>
      </c>
      <c r="Q25" s="1539" t="s">
        <v>8009</v>
      </c>
    </row>
    <row r="26" spans="2:17">
      <c r="B26" s="1549"/>
      <c r="C26" s="1549"/>
      <c r="D26" s="1549"/>
      <c r="E26" s="1549"/>
      <c r="F26" s="1549"/>
      <c r="G26" s="1549"/>
      <c r="H26" s="1549"/>
      <c r="I26" s="1549"/>
      <c r="J26" s="1549"/>
      <c r="K26" s="1549"/>
      <c r="L26" s="1549"/>
      <c r="M26" s="1549"/>
      <c r="N26" s="1549"/>
      <c r="P26" s="1539" t="s">
        <v>7987</v>
      </c>
      <c r="Q26" s="1539" t="s">
        <v>8010</v>
      </c>
    </row>
    <row r="27" spans="2:17">
      <c r="B27" s="1549"/>
      <c r="C27" s="1549"/>
      <c r="D27" s="1549"/>
      <c r="E27" s="1549"/>
      <c r="F27" s="1549"/>
      <c r="G27" s="1549"/>
      <c r="H27" s="1549"/>
      <c r="I27" s="1549"/>
      <c r="J27" s="1549"/>
      <c r="K27" s="1549"/>
      <c r="L27" s="1549"/>
      <c r="M27" s="1549"/>
      <c r="N27" s="1549"/>
      <c r="P27" s="1539" t="s">
        <v>7988</v>
      </c>
      <c r="Q27" s="1539" t="s">
        <v>8011</v>
      </c>
    </row>
    <row r="28" spans="2:17">
      <c r="B28" s="1549"/>
      <c r="C28" s="1549"/>
      <c r="D28" s="1549"/>
      <c r="E28" s="1549"/>
      <c r="F28" s="1549"/>
      <c r="G28" s="1549"/>
      <c r="H28" s="1549"/>
      <c r="I28" s="1549"/>
      <c r="J28" s="1549"/>
      <c r="K28" s="1549"/>
      <c r="L28" s="1549"/>
      <c r="M28" s="1549"/>
      <c r="N28" s="1549"/>
    </row>
    <row r="29" spans="2:17">
      <c r="B29" s="1549"/>
      <c r="C29" s="1549"/>
      <c r="D29" s="1549"/>
      <c r="E29" s="1549"/>
      <c r="F29" s="1549"/>
      <c r="G29" s="1549"/>
      <c r="H29" s="1549"/>
      <c r="I29" s="1549"/>
      <c r="J29" s="1549"/>
      <c r="K29" s="1549"/>
      <c r="L29" s="1549"/>
      <c r="M29" s="1549"/>
      <c r="N29" s="1549"/>
    </row>
    <row r="30" spans="2:17">
      <c r="B30" s="1549"/>
      <c r="C30" s="1549"/>
      <c r="D30" s="1549"/>
      <c r="E30" s="1549"/>
      <c r="F30" s="1549"/>
      <c r="G30" s="1549"/>
      <c r="H30" s="1549"/>
      <c r="I30" s="1549"/>
      <c r="J30" s="1549"/>
      <c r="K30" s="1549"/>
      <c r="L30" s="1549"/>
      <c r="M30" s="1549"/>
      <c r="N30" s="1549"/>
    </row>
    <row r="31" spans="2:17">
      <c r="B31" s="1549"/>
      <c r="C31" s="1549"/>
      <c r="D31" s="1549"/>
      <c r="E31" s="1549"/>
      <c r="F31" s="1549"/>
      <c r="G31" s="1549"/>
      <c r="H31" s="1549"/>
      <c r="I31" s="1549"/>
      <c r="J31" s="1549"/>
      <c r="K31" s="1549"/>
      <c r="L31" s="1549"/>
      <c r="M31" s="1549"/>
      <c r="N31" s="1549"/>
    </row>
    <row r="32" spans="2:17">
      <c r="B32" s="1549"/>
      <c r="C32" s="1549"/>
      <c r="D32" s="1549"/>
      <c r="E32" s="1549"/>
      <c r="F32" s="1549"/>
      <c r="G32" s="1549"/>
      <c r="H32" s="1549"/>
      <c r="I32" s="1549"/>
      <c r="J32" s="1549"/>
      <c r="K32" s="1549"/>
      <c r="L32" s="1549"/>
      <c r="M32" s="1549"/>
      <c r="N32" s="1549"/>
    </row>
    <row r="33" spans="2:14">
      <c r="B33" s="1549"/>
      <c r="C33" s="1549"/>
      <c r="D33" s="1549"/>
      <c r="E33" s="1549"/>
      <c r="F33" s="1549"/>
      <c r="G33" s="1549"/>
      <c r="H33" s="1549"/>
      <c r="I33" s="1549"/>
      <c r="J33" s="1549"/>
      <c r="K33" s="1549"/>
      <c r="L33" s="1549"/>
      <c r="M33" s="1549"/>
      <c r="N33" s="1549"/>
    </row>
    <row r="34" spans="2:14">
      <c r="B34" s="1549"/>
      <c r="C34" s="1549"/>
      <c r="D34" s="1549"/>
      <c r="E34" s="1549"/>
      <c r="F34" s="1549"/>
      <c r="G34" s="1549"/>
      <c r="H34" s="1549"/>
      <c r="I34" s="1549"/>
      <c r="J34" s="1549"/>
      <c r="K34" s="1549"/>
      <c r="L34" s="1549"/>
      <c r="M34" s="1549"/>
      <c r="N34" s="1549"/>
    </row>
  </sheetData>
  <mergeCells count="8">
    <mergeCell ref="K5:M5"/>
    <mergeCell ref="K6:M6"/>
    <mergeCell ref="K7:M7"/>
    <mergeCell ref="E17:G17"/>
    <mergeCell ref="E16:G16"/>
    <mergeCell ref="E5:G5"/>
    <mergeCell ref="E7:G7"/>
    <mergeCell ref="E9:G9"/>
  </mergeCells>
  <dataValidations count="5">
    <dataValidation type="list" allowBlank="1" showInputMessage="1" showErrorMessage="1" sqref="E16:G16" xr:uid="{00000000-0002-0000-0400-000000000000}">
      <formula1>ExoticWeaponList</formula1>
    </dataValidation>
    <dataValidation type="list" allowBlank="1" showInputMessage="1" showErrorMessage="1" sqref="E7:G7" xr:uid="{00000000-0002-0000-0400-000001000000}">
      <formula1>"Bonus Feat,Bonus Skill"</formula1>
    </dataValidation>
    <dataValidation type="list" allowBlank="1" showInputMessage="1" showErrorMessage="1" sqref="E9:G9" xr:uid="{00000000-0002-0000-0400-000002000000}">
      <formula1>NearHumanList</formula1>
    </dataValidation>
    <dataValidation type="list" allowBlank="1" showInputMessage="1" showErrorMessage="1" sqref="G12:G13" xr:uid="{00000000-0002-0000-0400-000003000000}">
      <formula1>"STR,DEX,CON,INT,WIS,CHA"</formula1>
    </dataValidation>
    <dataValidation type="list" allowBlank="1" showInputMessage="1" showErrorMessage="1" sqref="E17:G17" xr:uid="{00000000-0002-0000-0400-000004000000}">
      <formula1>"Advanced Melee,Heavy,Lightsabers,Pistols,Rifles,Simple"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2" r:id="rId4" name="Button 2">
              <controlPr defaultSize="0" print="0" autoFill="0" autoPict="0" macro="[0]!HideNearHumans">
                <anchor moveWithCells="1" sizeWithCells="1">
                  <from>
                    <xdr:col>10</xdr:col>
                    <xdr:colOff>222250</xdr:colOff>
                    <xdr:row>2</xdr:row>
                    <xdr:rowOff>0</xdr:rowOff>
                  </from>
                  <to>
                    <xdr:col>12</xdr:col>
                    <xdr:colOff>133350</xdr:colOff>
                    <xdr:row>3</xdr:row>
                    <xdr:rowOff>12700</xdr:rowOff>
                  </to>
                </anchor>
              </controlPr>
            </control>
          </mc:Choice>
        </mc:AlternateContent>
        <mc:AlternateContent xmlns:mc="http://schemas.openxmlformats.org/markup-compatibility/2006">
          <mc:Choice Requires="x14">
            <control shapeId="122893" r:id="rId5" name="Button 13">
              <controlPr defaultSize="0" print="0" autoFill="0" autoPict="0" macro="[0]!ClearNearHumans">
                <anchor moveWithCells="1" sizeWithCells="1">
                  <from>
                    <xdr:col>4</xdr:col>
                    <xdr:colOff>628650</xdr:colOff>
                    <xdr:row>2</xdr:row>
                    <xdr:rowOff>19050</xdr:rowOff>
                  </from>
                  <to>
                    <xdr:col>6</xdr:col>
                    <xdr:colOff>628650</xdr:colOff>
                    <xdr:row>2</xdr:row>
                    <xdr:rowOff>247650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X103"/>
  <sheetViews>
    <sheetView showGridLines="0" zoomScaleNormal="100" workbookViewId="0">
      <selection activeCell="D5" sqref="D5:H5"/>
    </sheetView>
  </sheetViews>
  <sheetFormatPr defaultRowHeight="14.5"/>
  <cols>
    <col min="1" max="1" width="3.453125" style="15" customWidth="1"/>
    <col min="2" max="2" width="3.453125" customWidth="1"/>
    <col min="3" max="3" width="13.1796875" customWidth="1"/>
    <col min="4" max="4" width="9.1796875" style="2"/>
    <col min="5" max="5" width="5.1796875" style="2" customWidth="1"/>
    <col min="6" max="6" width="5" style="2" customWidth="1"/>
    <col min="7" max="7" width="9.1796875" style="2"/>
    <col min="8" max="10" width="6.7265625" style="2" customWidth="1"/>
    <col min="11" max="11" width="7.1796875" customWidth="1"/>
    <col min="12" max="12" width="6.7265625" customWidth="1"/>
    <col min="14" max="14" width="9.1796875" style="2"/>
    <col min="16" max="16" width="2.81640625" customWidth="1"/>
    <col min="17" max="17" width="3.453125" style="15" customWidth="1"/>
    <col min="18" max="18" width="3.26953125" style="15" customWidth="1"/>
    <col min="19" max="19" width="19.7265625" style="15" customWidth="1"/>
    <col min="20" max="20" width="28.7265625" style="15" customWidth="1"/>
    <col min="21" max="21" width="12.7265625" style="15" customWidth="1"/>
    <col min="22" max="22" width="3.26953125" style="1716" customWidth="1"/>
    <col min="23" max="23" width="3.453125" style="15" customWidth="1"/>
    <col min="24" max="34" width="5.7265625" style="15" hidden="1" customWidth="1"/>
    <col min="35" max="35" width="5.7265625" style="15" customWidth="1"/>
    <col min="36" max="36" width="64.7265625" style="15" customWidth="1"/>
    <col min="37" max="37" width="2.81640625" style="15" customWidth="1"/>
    <col min="38" max="38" width="0" style="1058" hidden="1" customWidth="1"/>
    <col min="39" max="50" width="9.1796875" style="1058"/>
  </cols>
  <sheetData>
    <row r="1" spans="1:50" ht="15" thickBot="1">
      <c r="B1" s="15"/>
      <c r="C1" s="15"/>
      <c r="D1" s="16"/>
      <c r="E1" s="16"/>
      <c r="F1" s="16"/>
      <c r="G1" s="16"/>
      <c r="H1" s="16"/>
      <c r="I1" s="16"/>
      <c r="J1" s="16"/>
      <c r="K1" s="15"/>
      <c r="L1" s="15"/>
      <c r="M1" s="15"/>
      <c r="N1" s="16"/>
      <c r="O1" s="15"/>
      <c r="P1" s="15"/>
      <c r="V1" s="508"/>
      <c r="Y1" s="1274" t="e">
        <f>IF(ArmorSpeed&lt;&gt;"",ArmorSpeed&amp;" squares",Y6)&amp;IF(Z6&lt;&gt;"",", ","")&amp;Z1</f>
        <v>#VALUE!</v>
      </c>
      <c r="Z1" s="1274" t="str">
        <f t="shared" ref="Z1:AE1" si="0">Z6&amp;IF(AA6&lt;&gt;"",", ","")&amp;AA1</f>
        <v/>
      </c>
      <c r="AA1" s="1274" t="str">
        <f t="shared" si="0"/>
        <v/>
      </c>
      <c r="AB1" s="1274" t="str">
        <f t="shared" si="0"/>
        <v/>
      </c>
      <c r="AC1" s="1274" t="str">
        <f t="shared" si="0"/>
        <v/>
      </c>
      <c r="AD1" s="1274" t="str">
        <f t="shared" si="0"/>
        <v/>
      </c>
      <c r="AE1" s="15" t="str">
        <f t="shared" si="0"/>
        <v/>
      </c>
      <c r="AF1" s="15" t="str">
        <f>AF6</f>
        <v/>
      </c>
    </row>
    <row r="2" spans="1:50">
      <c r="B2" s="22"/>
      <c r="C2" s="23"/>
      <c r="D2" s="24"/>
      <c r="E2" s="24"/>
      <c r="F2" s="24"/>
      <c r="G2" s="24"/>
      <c r="H2" s="24"/>
      <c r="I2" s="24"/>
      <c r="J2" s="24"/>
      <c r="K2" s="23"/>
      <c r="L2" s="23"/>
      <c r="M2" s="23"/>
      <c r="N2" s="24"/>
      <c r="O2" s="23"/>
      <c r="P2" s="25"/>
      <c r="R2" s="22"/>
      <c r="S2" s="23"/>
      <c r="T2" s="23"/>
      <c r="U2" s="1325"/>
      <c r="V2" s="1326"/>
      <c r="Y2" s="1274" t="s">
        <v>6180</v>
      </c>
      <c r="Z2" s="1274" t="s">
        <v>228</v>
      </c>
      <c r="AA2" s="1274" t="s">
        <v>6181</v>
      </c>
      <c r="AB2" s="1274" t="s">
        <v>816</v>
      </c>
      <c r="AC2" s="1274" t="s">
        <v>6182</v>
      </c>
      <c r="AD2" s="1274" t="s">
        <v>4561</v>
      </c>
      <c r="AE2" s="1274" t="s">
        <v>4562</v>
      </c>
      <c r="AF2" s="1274" t="s">
        <v>6183</v>
      </c>
      <c r="AG2" s="1410" t="s">
        <v>7073</v>
      </c>
      <c r="AI2" s="22"/>
      <c r="AJ2" s="1056"/>
      <c r="AK2" s="25"/>
    </row>
    <row r="3" spans="1:50" ht="21">
      <c r="B3" s="26"/>
      <c r="C3" s="1764" t="s">
        <v>2242</v>
      </c>
      <c r="D3" s="1764"/>
      <c r="E3" s="1764"/>
      <c r="F3" s="1764"/>
      <c r="G3" s="1764"/>
      <c r="H3" s="27"/>
      <c r="I3" s="27"/>
      <c r="J3" s="27"/>
      <c r="K3" s="28"/>
      <c r="L3" s="28"/>
      <c r="M3" s="28"/>
      <c r="N3" s="27"/>
      <c r="O3" s="28"/>
      <c r="P3" s="29"/>
      <c r="R3" s="26"/>
      <c r="S3" s="48" t="s">
        <v>3667</v>
      </c>
      <c r="T3" s="28"/>
      <c r="U3" s="1715"/>
      <c r="V3" s="29"/>
      <c r="X3" s="1274" t="s">
        <v>6179</v>
      </c>
      <c r="Y3" s="16" t="e">
        <f t="shared" ref="Y3:AE3" si="1">IF(Y5&lt;&gt;0,Y5+Y4,0)</f>
        <v>#VALUE!</v>
      </c>
      <c r="Z3" s="16">
        <f t="shared" si="1"/>
        <v>0</v>
      </c>
      <c r="AA3" s="16">
        <f t="shared" si="1"/>
        <v>0</v>
      </c>
      <c r="AB3" s="16">
        <f t="shared" si="1"/>
        <v>0</v>
      </c>
      <c r="AC3" s="16">
        <f t="shared" si="1"/>
        <v>0</v>
      </c>
      <c r="AD3" s="16">
        <f t="shared" si="1"/>
        <v>0</v>
      </c>
      <c r="AE3" s="16">
        <f t="shared" si="1"/>
        <v>0</v>
      </c>
      <c r="AF3" s="16">
        <f>AF5</f>
        <v>0</v>
      </c>
      <c r="AG3" s="16">
        <f>IF(AG5&lt;&gt;0,AG5+AG4,0)</f>
        <v>0</v>
      </c>
      <c r="AI3" s="26"/>
      <c r="AJ3" s="1057" t="s">
        <v>4383</v>
      </c>
      <c r="AK3" s="29"/>
    </row>
    <row r="4" spans="1:50" ht="15" thickBot="1">
      <c r="B4" s="26"/>
      <c r="C4" s="30"/>
      <c r="D4" s="30"/>
      <c r="E4" s="27"/>
      <c r="F4" s="27"/>
      <c r="G4" s="27"/>
      <c r="H4" s="27"/>
      <c r="I4" s="27"/>
      <c r="J4" s="27"/>
      <c r="K4" s="28"/>
      <c r="L4" s="28"/>
      <c r="M4" s="28"/>
      <c r="N4" s="27"/>
      <c r="O4" s="28"/>
      <c r="P4" s="29"/>
      <c r="R4" s="26"/>
      <c r="S4" s="28"/>
      <c r="T4" s="28"/>
      <c r="U4" s="1715"/>
      <c r="V4" s="29"/>
      <c r="Y4" s="16">
        <f>IF(AND(Talents!$M$464&gt;0,ArmorType&lt;&gt;"Heavy",ArmorType&lt;&gt;"Medium"),2,0)</f>
        <v>0</v>
      </c>
      <c r="Z4" s="16">
        <f>IF(AND(Talents!$M$464&gt;0,ArmorType&lt;&gt;"Heavy",ArmorType&lt;&gt;"Medium"),2,0)</f>
        <v>0</v>
      </c>
      <c r="AA4" s="16">
        <f>IF(AND(Talents!$M$464&gt;0,ArmorType&lt;&gt;"Heavy",ArmorType&lt;&gt;"Medium"),2,0)</f>
        <v>0</v>
      </c>
      <c r="AB4" s="16">
        <f>IF(AND(Talents!$M$464&gt;0,ArmorType&lt;&gt;"Heavy",ArmorType&lt;&gt;"Medium"),2,0)</f>
        <v>0</v>
      </c>
      <c r="AC4" s="16"/>
      <c r="AD4" s="16"/>
      <c r="AE4" s="16"/>
      <c r="AF4" s="16" t="str">
        <f>IF(NOT(ISERROR(FIND("Jet Pack",PossessionsStatBlock,1))),"Yes",IF(NOT(ISERROR(FIND("jet pack",PossessionsStatBlock,1))),"Yes","No"))</f>
        <v>No</v>
      </c>
      <c r="AG4" s="16"/>
      <c r="AI4" s="26"/>
      <c r="AJ4" s="1055"/>
      <c r="AK4" s="29" t="str">
        <f>IF(AJ4&lt;&gt;"",INDEX(SizeTable,MATCH(AJ4,SizeList,0),1),"")</f>
        <v/>
      </c>
    </row>
    <row r="5" spans="1:50" ht="15" thickBot="1">
      <c r="B5" s="26"/>
      <c r="C5" s="31" t="s">
        <v>7</v>
      </c>
      <c r="D5" s="1765"/>
      <c r="E5" s="1766"/>
      <c r="F5" s="1766"/>
      <c r="G5" s="1766"/>
      <c r="H5" s="1767"/>
      <c r="I5" s="585" t="e">
        <f ca="1">MATCH(Race,RaceList,0)</f>
        <v>#N/A</v>
      </c>
      <c r="J5" s="608" t="s">
        <v>3953</v>
      </c>
      <c r="K5" s="30"/>
      <c r="L5" s="30"/>
      <c r="M5" s="611"/>
      <c r="N5" s="580" t="str">
        <f>"(of "&amp;INDEX(ClassTable,MATCH(CurrentClass,ClassList,0),10)+INT(CharacterLevel/2)&amp;")"</f>
        <v>(of 0)</v>
      </c>
      <c r="O5" s="30"/>
      <c r="P5" s="29"/>
      <c r="R5" s="26"/>
      <c r="S5" s="31" t="s">
        <v>3668</v>
      </c>
      <c r="T5" s="28" t="str">
        <f>IF(COUNTIF(G21:G26,0)&lt;&gt;6,IF(PositiveAbilityMods&lt;&gt;"",PositiveAbilityMods,NegativeAbilityMods),"None")</f>
        <v>None</v>
      </c>
      <c r="U5" s="1715"/>
      <c r="V5" s="29"/>
      <c r="X5" s="15" t="e">
        <f ca="1">INDEX(RaceListTable,RaceIndex,3)</f>
        <v>#N/A</v>
      </c>
      <c r="Y5" s="16" t="str">
        <f>IF(Race&lt;&gt;"",IF(OR(NOT(ISERROR(FIND("Droid",INDEX(RaceListTable,RaceIndex,19),1))),Cyborg),DroidWalkSpeed,INDEX(RaceListTable,RaceIndex,19)),"")</f>
        <v/>
      </c>
      <c r="Z5" s="16">
        <f>MAX(IF(OR(NOT(ISERROR(FIND("Droid",Race,1))),Cyborg),IF(Droids!G20&lt;&gt;"",INT(DroidWalkSpeed/2),0),0),IF(AND(Race="Beast",BeastClimb&lt;&gt;""),BeastClimb,IF(AND(Race="Sullustan",Feats!M407&gt;0),4,0)),0)</f>
        <v>0</v>
      </c>
      <c r="AA5" s="16">
        <f>MAX(IF(OR(NOT(ISERROR(FIND("Droid",Race,1))),Cyborg),DroidFlySpeed,IF(NOT(ISERROR(FIND("Fly Speed (",SpeciesTraitsList,1))),MID(SpeciesTraitsList,FIND("Fly Speed (",SpeciesTraitsList,1)+11,1),0)),IF(AND(Race="Beast",BeastFly&lt;&gt;""),BeastFly,0),0)</f>
        <v>0</v>
      </c>
      <c r="AB5" s="16">
        <f>MAX(IF(NOT(ISERROR(FIND("Swim Speed (",SpeciesTraitsList,1))),MID(SpeciesTraitsList,FIND("Swim Speed (",SpeciesTraitsList,1)+12,1),0),IF(AND(Race="Beast",BeastSwim&lt;&gt;""),BeastSwim,0),0)</f>
        <v>0</v>
      </c>
      <c r="AC5" s="16">
        <f>IF(OR(NOT(ISERROR(FIND("Droid",Race,1))),Cyborg),DroidHoverSpeed,0)</f>
        <v>0</v>
      </c>
      <c r="AD5" s="16">
        <f>IF(OR(NOT(ISERROR(FIND("Droid",Race,1))),Cyborg),DroidWheeledSpeed,0)</f>
        <v>0</v>
      </c>
      <c r="AE5" s="16">
        <f>IF(OR(NOT(ISERROR(FIND("Droid",Race,1))),Cyborg),DroidTrackedSpeed,0)</f>
        <v>0</v>
      </c>
      <c r="AF5" s="16">
        <f>IF(AF4&lt;&gt;"No",IF(ArmorWorn&lt;&gt;"",JetpackSpeed,6),0)</f>
        <v>0</v>
      </c>
      <c r="AG5" s="16">
        <f>IF(OR(NOT(ISERROR(FIND("Droid",Race,1))),Cyborg),DroidBurrowSpeed,0)</f>
        <v>0</v>
      </c>
      <c r="AI5" s="32"/>
      <c r="AJ5" s="1059"/>
      <c r="AK5" s="35"/>
    </row>
    <row r="6" spans="1:50" ht="15" thickBot="1">
      <c r="B6" s="26"/>
      <c r="C6" s="28"/>
      <c r="D6" s="27"/>
      <c r="E6" s="27"/>
      <c r="F6" s="27"/>
      <c r="G6" s="27"/>
      <c r="H6" s="27"/>
      <c r="I6" s="27"/>
      <c r="J6" s="608"/>
      <c r="K6" s="30"/>
      <c r="L6" s="30"/>
      <c r="M6" s="30"/>
      <c r="N6" s="30"/>
      <c r="O6" s="30"/>
      <c r="P6" s="29"/>
      <c r="R6" s="26"/>
      <c r="S6" s="28"/>
      <c r="T6" s="28" t="str">
        <f>IF(COUNTIF(G22:G27,0)&lt;&gt;6,IF(T5=PositiveAbilityMods,NegativeAbilityMods,""),"None")</f>
        <v/>
      </c>
      <c r="U6" s="1715"/>
      <c r="V6" s="29"/>
      <c r="W6" s="980"/>
      <c r="X6" s="980"/>
      <c r="Y6" s="980" t="e">
        <f>IF(Y3&lt;&gt;0,Y3&amp;" squares","")</f>
        <v>#VALUE!</v>
      </c>
      <c r="Z6" s="980" t="str">
        <f>IF(Z3&lt;&gt;0,"climb "&amp;Z3&amp;" squares","")</f>
        <v/>
      </c>
      <c r="AA6" s="980" t="str">
        <f>IF(AA3&lt;&gt;0,"fly "&amp;AA3&amp;" squares","")</f>
        <v/>
      </c>
      <c r="AB6" s="980" t="str">
        <f>IF(AB3&lt;&gt;0,"swim "&amp;AB3&amp;" squares","")</f>
        <v/>
      </c>
      <c r="AC6" s="980" t="str">
        <f>IF(AC3&lt;&gt;0,"hover "&amp;AC3&amp;" squares","")</f>
        <v/>
      </c>
      <c r="AD6" s="980" t="str">
        <f>IF(AD3&lt;&gt;0,"wheeled "&amp;AD3&amp;" squares","")</f>
        <v/>
      </c>
      <c r="AE6" s="980" t="str">
        <f>IF(AE3&lt;&gt;0,"tracked "&amp;AE3&amp;" squares","")</f>
        <v/>
      </c>
      <c r="AF6" s="980" t="str">
        <f>IF(AF3&lt;&gt;0,"fly "&amp;AF3&amp;" squares (jet pack)","")</f>
        <v/>
      </c>
      <c r="AG6" s="980"/>
      <c r="AH6" s="980"/>
      <c r="AI6" s="980"/>
      <c r="AJ6" s="980"/>
      <c r="AK6" s="980"/>
      <c r="AL6" s="980"/>
      <c r="AM6" s="980"/>
      <c r="AN6" s="980"/>
      <c r="AO6" s="980"/>
      <c r="AP6" s="980"/>
      <c r="AQ6" s="980"/>
    </row>
    <row r="7" spans="1:50" ht="15" thickBot="1">
      <c r="B7" s="26"/>
      <c r="C7" s="31" t="s">
        <v>9</v>
      </c>
      <c r="D7" s="1759"/>
      <c r="E7" s="1760"/>
      <c r="F7" s="1760"/>
      <c r="G7" s="1760"/>
      <c r="H7" s="1761"/>
      <c r="I7" s="27"/>
      <c r="J7" s="608" t="s">
        <v>3954</v>
      </c>
      <c r="K7" s="30"/>
      <c r="L7" s="30"/>
      <c r="M7" s="610"/>
      <c r="N7" s="516"/>
      <c r="O7" s="517"/>
      <c r="P7" s="29"/>
      <c r="R7" s="26"/>
      <c r="S7" s="31" t="s">
        <v>11</v>
      </c>
      <c r="T7" s="381" t="str">
        <f>IF(Race&lt;&gt;"",IF(AJ4&lt;&gt;"",AJ4,IF(ArmorWorn="Zero-g stormtrooper armor","Large",INDEX(SizeTable,IF(NPCType=3,9,MATCH(INDEX(RaceListTable,RaceIndex,13),SizeAbrList,0)+IF(NPCType=2,1,0)),2))),"")</f>
        <v/>
      </c>
      <c r="U7" s="1715"/>
      <c r="V7" s="29"/>
      <c r="W7" s="980"/>
      <c r="X7" s="980" t="b">
        <f>COUNTIF(T9:T15,"Primitive")&gt;0</f>
        <v>0</v>
      </c>
      <c r="Y7" s="980"/>
      <c r="Z7" s="980"/>
      <c r="AA7" s="980"/>
      <c r="AB7" s="980"/>
      <c r="AC7" s="980"/>
      <c r="AD7" s="980"/>
      <c r="AE7" s="980"/>
      <c r="AF7" s="980"/>
      <c r="AG7" s="980"/>
      <c r="AH7" s="980"/>
      <c r="AI7" s="22"/>
      <c r="AJ7" s="1585"/>
      <c r="AK7" s="25"/>
      <c r="AL7" s="980"/>
      <c r="AM7" s="980"/>
      <c r="AN7" s="980"/>
      <c r="AO7" s="980"/>
      <c r="AP7" s="980"/>
      <c r="AQ7" s="980"/>
    </row>
    <row r="8" spans="1:50" ht="21">
      <c r="B8" s="26"/>
      <c r="C8" s="31" t="s">
        <v>2131</v>
      </c>
      <c r="D8" s="1762"/>
      <c r="E8" s="1755"/>
      <c r="F8" s="1755"/>
      <c r="G8" s="1755"/>
      <c r="H8" s="1763"/>
      <c r="I8" s="27"/>
      <c r="J8" s="608" t="s">
        <v>3955</v>
      </c>
      <c r="K8" s="30"/>
      <c r="L8" s="30"/>
      <c r="M8" s="1774"/>
      <c r="N8" s="1775"/>
      <c r="O8" s="1776"/>
      <c r="P8" s="29"/>
      <c r="R8" s="26"/>
      <c r="S8" s="31" t="s">
        <v>3669</v>
      </c>
      <c r="T8" s="381" t="str">
        <f>IF(Race&lt;&gt;"",IF(NOT(ISERROR(FIND("Droid",Race,1))),MAX(Y3,AD3,AE3),Y3),"")</f>
        <v/>
      </c>
      <c r="U8" s="1715"/>
      <c r="V8" s="29"/>
      <c r="W8" s="980"/>
      <c r="X8" s="980"/>
      <c r="Y8" s="980"/>
      <c r="Z8" s="980"/>
      <c r="AA8" s="980"/>
      <c r="AB8" s="980"/>
      <c r="AC8" s="980"/>
      <c r="AD8" s="980"/>
      <c r="AE8" s="980"/>
      <c r="AF8" s="980"/>
      <c r="AG8" s="980"/>
      <c r="AH8" s="980"/>
      <c r="AI8" s="26"/>
      <c r="AJ8" s="1586" t="s">
        <v>8683</v>
      </c>
      <c r="AK8" s="29"/>
      <c r="AL8" s="980"/>
      <c r="AM8" s="980"/>
      <c r="AN8" s="980"/>
      <c r="AO8" s="980"/>
      <c r="AP8" s="980"/>
      <c r="AQ8" s="980"/>
    </row>
    <row r="9" spans="1:50">
      <c r="B9" s="26"/>
      <c r="C9" s="31" t="s">
        <v>2238</v>
      </c>
      <c r="D9" s="1762"/>
      <c r="E9" s="1755"/>
      <c r="F9" s="1755"/>
      <c r="G9" s="1755"/>
      <c r="H9" s="1763"/>
      <c r="I9" s="27"/>
      <c r="J9" s="608" t="s">
        <v>2517</v>
      </c>
      <c r="K9" s="30"/>
      <c r="L9" s="30"/>
      <c r="M9" s="1768"/>
      <c r="N9" s="1769"/>
      <c r="O9" s="1770"/>
      <c r="P9" s="29"/>
      <c r="R9" s="26"/>
      <c r="S9" s="31" t="s">
        <v>3670</v>
      </c>
      <c r="T9" s="28" t="str">
        <f t="shared" ref="T9:T14" si="2">IF(Race="","",IF(NOT(ISERROR(Y9)),MID(SpeciesTraitsList,Y8+1,Y9-Y8-1),""))</f>
        <v/>
      </c>
      <c r="U9" s="1715"/>
      <c r="V9" s="29"/>
      <c r="W9" s="980"/>
      <c r="X9" s="1279">
        <v>1</v>
      </c>
      <c r="Y9" s="1279" t="e">
        <f>FIND(";",SpeciesTraitsList,1)</f>
        <v>#VALUE!</v>
      </c>
      <c r="Z9" s="980" t="str">
        <f t="shared" ref="Z9:Z14" si="3">T9</f>
        <v/>
      </c>
      <c r="AA9" s="980" t="str">
        <f t="shared" ref="AA9:AA14" si="4">IF(Z9&lt;&gt;"",Z9&amp;IF(AA10&lt;&gt;", ",""),AA10)</f>
        <v/>
      </c>
      <c r="AB9" s="980"/>
      <c r="AC9" s="980"/>
      <c r="AD9" s="980"/>
      <c r="AE9" s="980"/>
      <c r="AF9" s="980"/>
      <c r="AG9" s="980"/>
      <c r="AH9" s="980"/>
      <c r="AI9" s="26"/>
      <c r="AJ9" s="1665" t="s">
        <v>154</v>
      </c>
      <c r="AK9" s="29"/>
      <c r="AL9" s="980" t="str">
        <f>IF(Background&lt;&gt;"None",MATCH(Background,BackgroundList,0),"")</f>
        <v/>
      </c>
      <c r="AM9" s="980"/>
      <c r="AN9" s="980"/>
      <c r="AO9" s="980"/>
      <c r="AP9" s="980"/>
      <c r="AQ9" s="980"/>
    </row>
    <row r="10" spans="1:50" ht="15" thickBot="1">
      <c r="B10" s="26"/>
      <c r="C10" s="31" t="s">
        <v>106</v>
      </c>
      <c r="D10" s="1762"/>
      <c r="E10" s="1755"/>
      <c r="F10" s="1755"/>
      <c r="G10" s="1755"/>
      <c r="H10" s="1763"/>
      <c r="I10" s="27"/>
      <c r="J10" s="608"/>
      <c r="K10" s="30"/>
      <c r="L10" s="30"/>
      <c r="M10" s="1771"/>
      <c r="N10" s="1772"/>
      <c r="O10" s="1773"/>
      <c r="P10" s="29"/>
      <c r="R10" s="26"/>
      <c r="S10" s="28"/>
      <c r="T10" s="28" t="str">
        <f>IF(Race="","",IF(NOT(ISERROR(Y10)),MID(SpeciesTraitsList,Y9+1,Y10-Y9-1),""))</f>
        <v/>
      </c>
      <c r="U10" s="1715"/>
      <c r="V10" s="29"/>
      <c r="W10" s="980"/>
      <c r="X10" s="1279">
        <f>X9+1</f>
        <v>2</v>
      </c>
      <c r="Y10" s="1279" t="e">
        <f>FIND(";",SpeciesTraitsList,Y9+1)</f>
        <v>#VALUE!</v>
      </c>
      <c r="Z10" s="980" t="str">
        <f t="shared" si="3"/>
        <v/>
      </c>
      <c r="AA10" s="980" t="str">
        <f t="shared" si="4"/>
        <v/>
      </c>
      <c r="AB10" s="980"/>
      <c r="AC10" s="980"/>
      <c r="AD10" s="980"/>
      <c r="AE10" s="980"/>
      <c r="AF10" s="980"/>
      <c r="AG10" s="980"/>
      <c r="AH10" s="980"/>
      <c r="AI10" s="26"/>
      <c r="AJ10" s="1584"/>
      <c r="AK10" s="29"/>
      <c r="AL10" s="980"/>
      <c r="AM10" s="980"/>
      <c r="AN10" s="980"/>
      <c r="AO10" s="980"/>
      <c r="AP10" s="980"/>
      <c r="AQ10" s="980"/>
    </row>
    <row r="11" spans="1:50" ht="15" thickBot="1">
      <c r="B11" s="26"/>
      <c r="C11" s="31" t="s">
        <v>2239</v>
      </c>
      <c r="D11" s="1762"/>
      <c r="E11" s="1755"/>
      <c r="F11" s="1755"/>
      <c r="G11" s="1755"/>
      <c r="H11" s="1763"/>
      <c r="I11" s="27"/>
      <c r="J11" s="608"/>
      <c r="K11" s="30"/>
      <c r="L11" s="30"/>
      <c r="M11" s="562"/>
      <c r="N11" s="30"/>
      <c r="O11" s="30"/>
      <c r="P11" s="29"/>
      <c r="R11" s="26"/>
      <c r="S11" s="28"/>
      <c r="T11" s="28" t="str">
        <f t="shared" si="2"/>
        <v/>
      </c>
      <c r="U11" s="1715"/>
      <c r="V11" s="29"/>
      <c r="W11" s="980"/>
      <c r="X11" s="1279">
        <f>X10+1</f>
        <v>3</v>
      </c>
      <c r="Y11" s="1279" t="e">
        <f>FIND(";",SpeciesTraitsList,Y10+1)</f>
        <v>#VALUE!</v>
      </c>
      <c r="Z11" s="980" t="str">
        <f t="shared" si="3"/>
        <v/>
      </c>
      <c r="AA11" s="980" t="str">
        <f t="shared" si="4"/>
        <v/>
      </c>
      <c r="AB11" s="980"/>
      <c r="AC11" s="980"/>
      <c r="AD11" s="980"/>
      <c r="AE11" s="980"/>
      <c r="AF11" s="980"/>
      <c r="AG11" s="980"/>
      <c r="AH11" s="980"/>
      <c r="AI11" s="26"/>
      <c r="AJ11" s="1603" t="str">
        <f>IF(Background&lt;&gt;"None","Additional class skill choices are:","")</f>
        <v/>
      </c>
      <c r="AK11" s="29"/>
      <c r="AL11" s="980"/>
      <c r="AM11" s="980"/>
      <c r="AN11" s="980"/>
      <c r="AO11" s="980"/>
      <c r="AP11" s="980"/>
      <c r="AQ11" s="980"/>
    </row>
    <row r="12" spans="1:50" ht="15" thickBot="1">
      <c r="B12" s="26"/>
      <c r="C12" s="31" t="s">
        <v>2240</v>
      </c>
      <c r="D12" s="1762"/>
      <c r="E12" s="1755"/>
      <c r="F12" s="1755"/>
      <c r="G12" s="1755"/>
      <c r="H12" s="1763"/>
      <c r="I12" s="27"/>
      <c r="J12" s="608" t="s">
        <v>3956</v>
      </c>
      <c r="K12" s="30"/>
      <c r="L12" s="30"/>
      <c r="M12" s="611"/>
      <c r="N12" s="30"/>
      <c r="O12" s="30"/>
      <c r="P12" s="29"/>
      <c r="R12" s="26"/>
      <c r="S12" s="28"/>
      <c r="T12" s="28" t="str">
        <f t="shared" si="2"/>
        <v/>
      </c>
      <c r="U12" s="1715"/>
      <c r="V12" s="29"/>
      <c r="W12" s="980"/>
      <c r="X12" s="1279">
        <f>X11+1</f>
        <v>4</v>
      </c>
      <c r="Y12" s="1279" t="e">
        <f>FIND(";",SpeciesTraitsList,Y11+1)</f>
        <v>#VALUE!</v>
      </c>
      <c r="Z12" s="980" t="str">
        <f t="shared" si="3"/>
        <v/>
      </c>
      <c r="AA12" s="980" t="str">
        <f t="shared" si="4"/>
        <v/>
      </c>
      <c r="AB12" s="980"/>
      <c r="AC12" s="980"/>
      <c r="AD12" s="980"/>
      <c r="AE12" s="980"/>
      <c r="AF12" s="980"/>
      <c r="AG12" s="980"/>
      <c r="AH12" s="980"/>
      <c r="AI12" s="26"/>
      <c r="AJ12" s="1638" t="str">
        <f>IF(Background&lt;&gt;"None",INDEX(BackgroundData,MATCH(Background,BackgroundList,0),5),"")</f>
        <v/>
      </c>
      <c r="AK12" s="29"/>
      <c r="AL12" s="980"/>
      <c r="AM12" s="980"/>
      <c r="AN12" s="980"/>
      <c r="AO12" s="980"/>
      <c r="AP12" s="980"/>
      <c r="AQ12" s="980"/>
    </row>
    <row r="13" spans="1:50" ht="15" thickBot="1">
      <c r="B13" s="26"/>
      <c r="C13" s="691" t="s">
        <v>4101</v>
      </c>
      <c r="D13" s="1778"/>
      <c r="E13" s="1779"/>
      <c r="F13" s="1779"/>
      <c r="G13" s="1779"/>
      <c r="H13" s="1780"/>
      <c r="I13" s="27"/>
      <c r="J13" s="608"/>
      <c r="K13" s="30"/>
      <c r="L13" s="30"/>
      <c r="M13" s="30"/>
      <c r="N13" s="30"/>
      <c r="O13" s="30"/>
      <c r="P13" s="29"/>
      <c r="R13" s="26"/>
      <c r="S13" s="28"/>
      <c r="T13" s="28" t="str">
        <f t="shared" si="2"/>
        <v/>
      </c>
      <c r="U13" s="1715"/>
      <c r="V13" s="29"/>
      <c r="W13" s="980"/>
      <c r="X13" s="1279">
        <f>X12+1</f>
        <v>5</v>
      </c>
      <c r="Y13" s="1279" t="e">
        <f>FIND(";",SpeciesTraitsList,Y12+1)</f>
        <v>#VALUE!</v>
      </c>
      <c r="Z13" s="980" t="str">
        <f t="shared" si="3"/>
        <v/>
      </c>
      <c r="AA13" s="980" t="str">
        <f t="shared" si="4"/>
        <v/>
      </c>
      <c r="AB13" s="980"/>
      <c r="AC13" s="980"/>
      <c r="AD13" s="980"/>
      <c r="AE13" s="980"/>
      <c r="AF13" s="980"/>
      <c r="AG13" s="980"/>
      <c r="AH13" s="980"/>
      <c r="AI13" s="26"/>
      <c r="AJ13" s="1584"/>
      <c r="AK13" s="29"/>
      <c r="AL13" s="980"/>
      <c r="AM13" s="980"/>
      <c r="AN13" s="980"/>
      <c r="AO13" s="980"/>
      <c r="AP13" s="980"/>
      <c r="AQ13" s="980"/>
    </row>
    <row r="14" spans="1:50" ht="15" thickBot="1">
      <c r="B14" s="26"/>
      <c r="C14" s="31" t="s">
        <v>2251</v>
      </c>
      <c r="D14" s="1765"/>
      <c r="E14" s="1766"/>
      <c r="F14" s="1766"/>
      <c r="G14" s="1766"/>
      <c r="H14" s="1767"/>
      <c r="I14" s="27"/>
      <c r="J14" s="608" t="s">
        <v>3957</v>
      </c>
      <c r="K14" s="30"/>
      <c r="L14" s="30"/>
      <c r="M14" s="611">
        <v>0</v>
      </c>
      <c r="N14" s="30"/>
      <c r="O14" s="30"/>
      <c r="P14" s="29"/>
      <c r="R14" s="26"/>
      <c r="S14" s="28"/>
      <c r="T14" s="28" t="str">
        <f t="shared" si="2"/>
        <v/>
      </c>
      <c r="U14" s="1715"/>
      <c r="V14" s="29"/>
      <c r="W14" s="980"/>
      <c r="X14" s="1279">
        <f>X13+1</f>
        <v>6</v>
      </c>
      <c r="Y14" s="1279" t="e">
        <f>FIND(";",SpeciesTraitsList,Y13+1)</f>
        <v>#VALUE!</v>
      </c>
      <c r="Z14" s="980" t="str">
        <f t="shared" si="3"/>
        <v/>
      </c>
      <c r="AA14" s="980" t="str">
        <f t="shared" si="4"/>
        <v/>
      </c>
      <c r="AB14" s="980"/>
      <c r="AC14" s="980"/>
      <c r="AD14" s="980"/>
      <c r="AE14" s="980"/>
      <c r="AF14" s="980"/>
      <c r="AG14" s="980"/>
      <c r="AH14" s="980"/>
      <c r="AI14" s="26"/>
      <c r="AJ14" s="1584"/>
      <c r="AK14" s="29"/>
      <c r="AL14" s="980"/>
      <c r="AM14" s="980"/>
      <c r="AN14" s="980"/>
      <c r="AO14" s="980"/>
      <c r="AP14" s="980"/>
      <c r="AQ14" s="980"/>
    </row>
    <row r="15" spans="1:50" s="548" customFormat="1" ht="15" thickBot="1">
      <c r="A15" s="543"/>
      <c r="B15" s="26"/>
      <c r="C15" s="545" t="s">
        <v>3706</v>
      </c>
      <c r="D15" s="1765"/>
      <c r="E15" s="1766"/>
      <c r="F15" s="1766"/>
      <c r="G15" s="1766"/>
      <c r="H15" s="1767"/>
      <c r="I15" s="27"/>
      <c r="J15" s="608" t="s">
        <v>3958</v>
      </c>
      <c r="K15" s="30"/>
      <c r="L15" s="30"/>
      <c r="M15" s="1777" t="str">
        <f>IF(M14=0,"Untainted",IF(AND(M14&gt;0,M14&lt;Wisdom),"Tainted","Dark Side"))</f>
        <v>Untainted</v>
      </c>
      <c r="N15" s="1777"/>
      <c r="O15" s="30"/>
      <c r="P15" s="29"/>
      <c r="Q15" s="543"/>
      <c r="R15" s="26"/>
      <c r="S15" s="546"/>
      <c r="T15" s="546"/>
      <c r="U15" s="1715"/>
      <c r="V15" s="29"/>
      <c r="W15" s="980"/>
      <c r="X15" s="1279"/>
      <c r="Y15" s="1279"/>
      <c r="Z15" s="980"/>
      <c r="AA15" s="1280" t="s">
        <v>195</v>
      </c>
      <c r="AB15" s="980"/>
      <c r="AC15" s="980"/>
      <c r="AD15" s="980"/>
      <c r="AE15" s="980"/>
      <c r="AF15" s="980"/>
      <c r="AG15" s="980"/>
      <c r="AH15" s="980"/>
      <c r="AI15" s="26"/>
      <c r="AJ15" s="1584"/>
      <c r="AK15" s="29"/>
      <c r="AL15" s="980"/>
      <c r="AM15" s="980"/>
      <c r="AN15" s="980"/>
      <c r="AO15" s="980"/>
      <c r="AP15" s="980"/>
      <c r="AQ15" s="980"/>
      <c r="AR15" s="1058"/>
      <c r="AS15" s="1058"/>
      <c r="AT15" s="1058"/>
      <c r="AU15" s="1058"/>
      <c r="AV15" s="1058"/>
      <c r="AW15" s="1058"/>
      <c r="AX15" s="1058"/>
    </row>
    <row r="16" spans="1:50" ht="15" thickBot="1">
      <c r="B16" s="32"/>
      <c r="C16" s="33"/>
      <c r="D16" s="34"/>
      <c r="E16" s="34"/>
      <c r="F16" s="34"/>
      <c r="G16" s="34"/>
      <c r="H16" s="34"/>
      <c r="I16" s="34"/>
      <c r="J16" s="34"/>
      <c r="K16" s="33"/>
      <c r="L16" s="33"/>
      <c r="M16" s="33"/>
      <c r="N16" s="34"/>
      <c r="O16" s="33"/>
      <c r="P16" s="35"/>
      <c r="R16" s="32"/>
      <c r="S16" s="33"/>
      <c r="T16" s="33"/>
      <c r="U16" s="1329"/>
      <c r="V16" s="1330"/>
      <c r="W16" s="980"/>
      <c r="X16" s="1279">
        <f>X14+1</f>
        <v>7</v>
      </c>
      <c r="Y16" s="1279" t="e">
        <f>FIND(";",SpeciesTraitsList,Y14+1)</f>
        <v>#VALUE!</v>
      </c>
      <c r="Z16" s="980"/>
      <c r="AA16" s="980"/>
      <c r="AB16" s="980"/>
      <c r="AC16" s="980"/>
      <c r="AD16" s="980"/>
      <c r="AE16" s="980"/>
      <c r="AF16" s="980"/>
      <c r="AG16" s="980"/>
      <c r="AH16" s="980"/>
      <c r="AI16" s="32"/>
      <c r="AJ16" s="1588"/>
      <c r="AK16" s="35"/>
      <c r="AL16" s="980"/>
      <c r="AM16" s="980"/>
      <c r="AN16" s="980"/>
      <c r="AO16" s="980"/>
      <c r="AP16" s="980"/>
      <c r="AQ16" s="980"/>
    </row>
    <row r="17" spans="2:43" ht="15" thickBot="1">
      <c r="B17" s="15"/>
      <c r="C17" s="15"/>
      <c r="D17" s="16"/>
      <c r="E17" s="16"/>
      <c r="F17" s="16"/>
      <c r="G17" s="16"/>
      <c r="H17" s="16"/>
      <c r="I17" s="16"/>
      <c r="J17" s="16"/>
      <c r="K17" s="15"/>
      <c r="L17" s="15"/>
      <c r="M17" s="15"/>
      <c r="N17" s="16"/>
      <c r="O17" s="15"/>
      <c r="P17" s="15"/>
      <c r="W17" s="980"/>
      <c r="X17" s="980"/>
      <c r="Y17" s="980"/>
      <c r="Z17" s="980"/>
      <c r="AA17" s="980"/>
      <c r="AB17" s="980"/>
      <c r="AC17" s="980"/>
      <c r="AD17" s="980"/>
      <c r="AE17" s="980"/>
      <c r="AF17" s="980"/>
      <c r="AG17" s="980"/>
      <c r="AH17" s="980"/>
      <c r="AI17" s="980"/>
      <c r="AJ17" s="980"/>
      <c r="AK17" s="980"/>
      <c r="AL17" s="980"/>
      <c r="AM17" s="980"/>
      <c r="AN17" s="980"/>
      <c r="AO17" s="980"/>
      <c r="AP17" s="980"/>
      <c r="AQ17" s="980"/>
    </row>
    <row r="18" spans="2:43">
      <c r="B18" s="22"/>
      <c r="C18" s="23"/>
      <c r="D18" s="24"/>
      <c r="E18" s="24"/>
      <c r="F18" s="24"/>
      <c r="G18" s="24"/>
      <c r="H18" s="24"/>
      <c r="I18" s="24"/>
      <c r="J18" s="24"/>
      <c r="K18" s="23"/>
      <c r="L18" s="23"/>
      <c r="M18" s="23"/>
      <c r="N18" s="24"/>
      <c r="O18" s="23"/>
      <c r="P18" s="25"/>
      <c r="R18" s="1570"/>
      <c r="S18" s="1571"/>
      <c r="T18" s="1571"/>
      <c r="U18" s="1571"/>
      <c r="V18" s="1572"/>
      <c r="W18" s="980"/>
      <c r="X18" s="980"/>
      <c r="Y18" s="980"/>
      <c r="Z18" s="980"/>
      <c r="AA18" s="980"/>
      <c r="AB18" s="980"/>
      <c r="AC18" s="980"/>
      <c r="AD18" s="980"/>
      <c r="AE18" s="980"/>
      <c r="AF18" s="980"/>
      <c r="AG18" s="980"/>
      <c r="AH18" s="980"/>
      <c r="AI18" s="980"/>
      <c r="AJ18" s="980"/>
      <c r="AK18" s="980"/>
      <c r="AL18" s="980"/>
      <c r="AM18" s="980"/>
      <c r="AN18" s="980"/>
      <c r="AO18" s="980"/>
      <c r="AP18" s="980"/>
      <c r="AQ18" s="980"/>
    </row>
    <row r="19" spans="2:43" ht="21">
      <c r="B19" s="26"/>
      <c r="C19" s="1764" t="s">
        <v>2241</v>
      </c>
      <c r="D19" s="1764"/>
      <c r="E19" s="1764"/>
      <c r="F19" s="1764"/>
      <c r="G19" s="1764"/>
      <c r="H19" s="27"/>
      <c r="I19" s="27"/>
      <c r="J19" s="27"/>
      <c r="K19" s="28"/>
      <c r="L19" s="28"/>
      <c r="M19" s="28"/>
      <c r="N19" s="27"/>
      <c r="O19" s="28"/>
      <c r="P19" s="29"/>
      <c r="R19" s="1569"/>
      <c r="S19" s="776" t="s">
        <v>8298</v>
      </c>
      <c r="T19" s="1554"/>
      <c r="U19" s="1718"/>
      <c r="V19" s="756"/>
      <c r="W19" s="980"/>
      <c r="X19" s="980"/>
      <c r="Y19" s="980"/>
      <c r="Z19" s="980"/>
      <c r="AA19" s="980"/>
      <c r="AB19" s="980"/>
      <c r="AC19" s="980"/>
      <c r="AD19" s="980"/>
      <c r="AE19" s="980"/>
      <c r="AF19" s="980"/>
      <c r="AG19" s="980"/>
      <c r="AH19" s="980"/>
      <c r="AI19" s="980"/>
      <c r="AJ19" s="980"/>
      <c r="AK19" s="980"/>
      <c r="AL19" s="980"/>
      <c r="AM19" s="980"/>
      <c r="AN19" s="980"/>
      <c r="AO19" s="980"/>
      <c r="AP19" s="980"/>
      <c r="AQ19" s="980"/>
    </row>
    <row r="20" spans="2:43" ht="15" thickBot="1">
      <c r="B20" s="26"/>
      <c r="C20" s="28"/>
      <c r="D20" s="37" t="s">
        <v>1107</v>
      </c>
      <c r="E20" s="37"/>
      <c r="F20" s="37"/>
      <c r="G20" s="37" t="s">
        <v>2106</v>
      </c>
      <c r="H20" s="37" t="s">
        <v>2108</v>
      </c>
      <c r="I20" s="37" t="s">
        <v>2109</v>
      </c>
      <c r="J20" s="37" t="s">
        <v>2110</v>
      </c>
      <c r="K20" s="37" t="s">
        <v>2111</v>
      </c>
      <c r="L20" s="37" t="s">
        <v>2112</v>
      </c>
      <c r="M20" s="37" t="s">
        <v>2113</v>
      </c>
      <c r="N20" s="37" t="s">
        <v>2114</v>
      </c>
      <c r="O20" s="37" t="s">
        <v>2105</v>
      </c>
      <c r="P20" s="29"/>
      <c r="R20" s="1569"/>
      <c r="S20" s="1555" t="s">
        <v>548</v>
      </c>
      <c r="T20" s="1554"/>
      <c r="U20" s="1718"/>
      <c r="V20" s="756"/>
      <c r="W20" s="980"/>
      <c r="X20" s="980"/>
      <c r="Y20" s="980"/>
      <c r="Z20" s="980"/>
      <c r="AA20" s="980"/>
      <c r="AB20" s="980"/>
      <c r="AC20" s="980"/>
      <c r="AD20" s="980"/>
      <c r="AE20" s="980"/>
      <c r="AF20" s="980"/>
      <c r="AG20" s="980"/>
      <c r="AH20" s="980"/>
      <c r="AI20" s="980"/>
      <c r="AJ20" s="980"/>
      <c r="AK20" s="980"/>
      <c r="AL20" s="980"/>
      <c r="AM20" s="980"/>
      <c r="AN20" s="980"/>
      <c r="AO20" s="980"/>
      <c r="AP20" s="980"/>
      <c r="AQ20" s="980"/>
    </row>
    <row r="21" spans="2:43">
      <c r="B21" s="539">
        <v>4</v>
      </c>
      <c r="C21" s="31" t="s">
        <v>2098</v>
      </c>
      <c r="D21" s="5">
        <v>8</v>
      </c>
      <c r="E21" s="1757">
        <f t="shared" ref="E21:E26" si="5">LOOKUP(D21,PointBuyScore,PointBuyCost)</f>
        <v>0</v>
      </c>
      <c r="F21" s="1758"/>
      <c r="G21" s="521">
        <f>IF(Race="Feeorin",FeeorinStrAgeMod+IF(OR(Cyborg,NOT(ISERROR(FIND("Droid",Race,1)))),DroidStr,0)+INDEX(RaceListTable,RaceIndex,B21)+IF(T$21&lt;&gt;"",IF(T$21=C21,2,0),0)+IF(T$25&lt;&gt;"",IF(T$25=C21,2,0),0),IF(Race&lt;&gt;"",StrAgeMod+IF(OR(Cyborg,NOT(ISERROR(FIND("Droid",Race,1)))),DroidStr,0)+INDEX(RaceListTable,RaceIndex,B21)+IF(T$21&lt;&gt;"",IF(T$21=C21,2,0),0)+IF(T$25&lt;&gt;"",IF(T$25=C21,2,0),0),0))</f>
        <v>0</v>
      </c>
      <c r="H21" s="780"/>
      <c r="I21" s="40"/>
      <c r="J21" s="40"/>
      <c r="K21" s="40"/>
      <c r="L21" s="931"/>
      <c r="M21" s="796">
        <f>StrengthBonus+IF(ArmorStengthBonus&lt;&gt;"",ArmorStengthBonus,0)</f>
        <v>0</v>
      </c>
      <c r="N21" s="44" t="str">
        <f>IF(Race&lt;&gt;"",D21+G21+SUM(H21:L21)+M21,"")</f>
        <v/>
      </c>
      <c r="O21" s="39" t="str">
        <f t="shared" ref="O21:O26" si="6">IF(Race&lt;&gt;"",INT(N21/2)-5,"")</f>
        <v/>
      </c>
      <c r="P21" s="29"/>
      <c r="R21" s="1569"/>
      <c r="S21" s="1554" t="s">
        <v>8299</v>
      </c>
      <c r="T21" s="779"/>
      <c r="U21" s="1718"/>
      <c r="V21" s="756"/>
      <c r="W21" s="980"/>
      <c r="X21" s="980"/>
      <c r="Y21" s="980"/>
      <c r="Z21" s="980"/>
      <c r="AA21" s="980"/>
      <c r="AB21" s="980"/>
      <c r="AC21" s="980"/>
      <c r="AD21" s="980"/>
      <c r="AE21" s="980"/>
      <c r="AF21" s="980"/>
      <c r="AG21" s="980"/>
      <c r="AH21" s="980"/>
      <c r="AI21" s="980"/>
      <c r="AJ21" s="980"/>
      <c r="AK21" s="980"/>
      <c r="AL21" s="980"/>
      <c r="AM21" s="980"/>
      <c r="AN21" s="980"/>
      <c r="AO21" s="980"/>
      <c r="AP21" s="980"/>
      <c r="AQ21" s="980"/>
    </row>
    <row r="22" spans="2:43">
      <c r="B22" s="539">
        <v>5</v>
      </c>
      <c r="C22" s="31" t="s">
        <v>2099</v>
      </c>
      <c r="D22" s="6">
        <v>8</v>
      </c>
      <c r="E22" s="1757">
        <f t="shared" si="5"/>
        <v>0</v>
      </c>
      <c r="F22" s="1758"/>
      <c r="G22" s="522">
        <f>IF(Race="Feeorin",FeeorinDexAgeMod+IF(OR(Cyborg,NOT(ISERROR(FIND("Droid",Race,1)))),DroidStr,0)+INDEX(RaceListTable,RaceIndex,B22)+IF(T$21&lt;&gt;"",IF(T$21=C22,2,0),0)+IF(T$25&lt;&gt;"",IF(T$25=C22,2,0),0),IF(Race&lt;&gt;"",DexAgeMod+IF(OR(Cyborg,NOT(ISERROR(FIND("Droid",Race,1)))),DroidDex,0)+INDEX(RaceListTable,RaceIndex,B22)+IF(T$21&lt;&gt;"",IF(T$21=C22,2,0),0)+IF(T$25&lt;&gt;"",IF(T$25=C22,2,0),0),0))</f>
        <v>0</v>
      </c>
      <c r="H22" s="781"/>
      <c r="I22" s="42"/>
      <c r="J22" s="42"/>
      <c r="K22" s="897"/>
      <c r="L22" s="932"/>
      <c r="M22" s="38">
        <f>DexterityBonus+IF(ArmorDexterityBonus&lt;&gt;"",ArmorDexterityBonus,0)</f>
        <v>0</v>
      </c>
      <c r="N22" s="45" t="str">
        <f>IF(Race&lt;&gt;"",D22+G22+SUM(H22:L22)+M22,"")</f>
        <v/>
      </c>
      <c r="O22" s="41" t="str">
        <f t="shared" si="6"/>
        <v/>
      </c>
      <c r="P22" s="29"/>
      <c r="R22" s="1569"/>
      <c r="S22" s="1554" t="s">
        <v>1036</v>
      </c>
      <c r="T22" s="779"/>
      <c r="U22" s="1718"/>
      <c r="V22" s="756"/>
      <c r="AJ22" s="1549"/>
      <c r="AL22" s="980"/>
    </row>
    <row r="23" spans="2:43">
      <c r="B23" s="539">
        <v>6</v>
      </c>
      <c r="C23" s="31" t="s">
        <v>2100</v>
      </c>
      <c r="D23" s="6">
        <v>8</v>
      </c>
      <c r="E23" s="1757">
        <f t="shared" si="5"/>
        <v>0</v>
      </c>
      <c r="F23" s="1758"/>
      <c r="G23" s="522">
        <f>IF(Race="Feeorin",FeeorinConAgeMod+INDEX(RaceListTable,RaceIndex,B23)+IF(T$21&lt;&gt;"",IF(T$21=C23,2,0),0)+IF(T$25&lt;&gt;"",IF(T$25=C23,2,0),0),IF(Race&lt;&gt;"",ConAgeMod+INDEX(RaceListTable,RaceIndex,B23)+IF(T$21&lt;&gt;"",IF(T$21=C23,2,0),0)+IF(T$25&lt;&gt;"",IF(T$25=C23,2,0),0),0))</f>
        <v>0</v>
      </c>
      <c r="H23" s="781"/>
      <c r="I23" s="42"/>
      <c r="J23" s="42"/>
      <c r="K23" s="897"/>
      <c r="L23" s="932"/>
      <c r="M23" s="38">
        <f>ConstitutionBonus+IF(ArmorConstitutionBonus&lt;&gt;"",ArmorConstitutionBonus,0)</f>
        <v>0</v>
      </c>
      <c r="N23" s="45" t="str">
        <f>IF(Race&lt;&gt;"",IF(ISERROR(FIND("Droid",Race,1)),D23+G23+SUM(H23:L23)+M23,"─"),"")</f>
        <v/>
      </c>
      <c r="O23" s="41" t="str">
        <f>IF(Race&lt;&gt;"",IF(Constitution="─",0,INT(N23/2)-5),"")</f>
        <v/>
      </c>
      <c r="P23" s="29"/>
      <c r="R23" s="1569"/>
      <c r="S23" s="511"/>
      <c r="T23" s="511"/>
      <c r="U23" s="1718"/>
      <c r="V23" s="756"/>
      <c r="AJ23" s="1549"/>
      <c r="AL23" s="980"/>
    </row>
    <row r="24" spans="2:43">
      <c r="B24" s="539">
        <v>7</v>
      </c>
      <c r="C24" s="31" t="s">
        <v>2101</v>
      </c>
      <c r="D24" s="6">
        <v>8</v>
      </c>
      <c r="E24" s="1757">
        <f t="shared" si="5"/>
        <v>0</v>
      </c>
      <c r="F24" s="1758"/>
      <c r="G24" s="522">
        <f>IF(Race="Feeorin",FeeorinIntAgeMod+IF(OR(Cyborg,NOT(ISERROR(FIND("Droid",Race,1)))),DroidStr,0)+INDEX(RaceListTable,RaceIndex,B24)+IF(T$21&lt;&gt;"",IF(T$21=C24,2,0),0)+IF(T$25&lt;&gt;"",IF(T$25=C24,2,0),0),IF(Race&lt;&gt;"",IntAgeMod+IF(OR(Cyborg,NOT(ISERROR(FIND("Droid",Race,1)))),DroidInt,0)+INDEX(RaceListTable,RaceIndex,B24)+IF(T$21&lt;&gt;"",IF(T$21=C24,2,0),0)+IF(T$25&lt;&gt;"",IF(T$25=C24,2,0),0),0))</f>
        <v>0</v>
      </c>
      <c r="H24" s="781"/>
      <c r="I24" s="42"/>
      <c r="J24" s="42"/>
      <c r="K24" s="897"/>
      <c r="L24" s="932"/>
      <c r="M24" s="38">
        <f>IntelligenceBonus+IF(ArmorIntelligenceBonus&lt;&gt;"",ArmorIntelligenceBonus,0)</f>
        <v>0</v>
      </c>
      <c r="N24" s="45" t="str">
        <f>IF(Race&lt;&gt;"",D24+G24+SUM(H24:L24)+M24,"")</f>
        <v/>
      </c>
      <c r="O24" s="41" t="str">
        <f t="shared" si="6"/>
        <v/>
      </c>
      <c r="P24" s="29"/>
      <c r="R24" s="1569"/>
      <c r="S24" s="1555" t="s">
        <v>1119</v>
      </c>
      <c r="T24" s="511"/>
      <c r="U24" s="1718"/>
      <c r="V24" s="756"/>
      <c r="AJ24" s="1549"/>
      <c r="AL24" s="980"/>
    </row>
    <row r="25" spans="2:43">
      <c r="B25" s="539">
        <v>8</v>
      </c>
      <c r="C25" s="31" t="s">
        <v>2102</v>
      </c>
      <c r="D25" s="6">
        <v>8</v>
      </c>
      <c r="E25" s="1757">
        <f t="shared" si="5"/>
        <v>0</v>
      </c>
      <c r="F25" s="1758"/>
      <c r="G25" s="522">
        <f>IF(Race="Feeorin",FeeorinWisAgeMod+IF(OR(Cyborg,NOT(ISERROR(FIND("Droid",Race,1)))),DroidStr,0)+INDEX(RaceListTable,RaceIndex,B25)+IF(T$21&lt;&gt;"",IF(T$21=C25,2,0),0)+IF(T$25&lt;&gt;"",IF(T$25=C25,2,0),0),IF(Race&lt;&gt;"",WisAgeMod+IF(OR(Cyborg,NOT(ISERROR(FIND("Droid",Race,1)))),DroidWis,0)+INDEX(RaceListTable,RaceIndex,B25)+IF(T$21&lt;&gt;"",IF(T$21=C25,2,0),0)+IF(T$25&lt;&gt;"",IF(T$25=C25,2,0),0),0))</f>
        <v>0</v>
      </c>
      <c r="H25" s="781"/>
      <c r="I25" s="42"/>
      <c r="J25" s="42"/>
      <c r="K25" s="897"/>
      <c r="L25" s="932"/>
      <c r="M25" s="38">
        <f>WisdomBonus+IF(ArmorWisdomBonus&lt;&gt;"",ArmorWisdomBonus,0)</f>
        <v>0</v>
      </c>
      <c r="N25" s="45" t="str">
        <f>IF(Race&lt;&gt;"",D25+G25+SUM(H25:L25)+M25,"")</f>
        <v/>
      </c>
      <c r="O25" s="41" t="str">
        <f t="shared" si="6"/>
        <v/>
      </c>
      <c r="P25" s="29"/>
      <c r="R25" s="1569"/>
      <c r="S25" s="1554" t="s">
        <v>8299</v>
      </c>
      <c r="T25" s="779"/>
      <c r="U25" s="1718"/>
      <c r="V25" s="756"/>
      <c r="AJ25" s="1549"/>
      <c r="AL25" s="980"/>
    </row>
    <row r="26" spans="2:43" ht="15" thickBot="1">
      <c r="B26" s="539">
        <v>9</v>
      </c>
      <c r="C26" s="31" t="s">
        <v>2103</v>
      </c>
      <c r="D26" s="7">
        <v>8</v>
      </c>
      <c r="E26" s="1757">
        <f t="shared" si="5"/>
        <v>0</v>
      </c>
      <c r="F26" s="1758"/>
      <c r="G26" s="523">
        <f>IF(Race="Feeorin",FeeorinChaAgeMod+IF(OR(Cyborg,NOT(ISERROR(FIND("Droid",Race,1)))),DroidStr,0)+INDEX(RaceListTable,RaceIndex,B26)+IF(T$21&lt;&gt;"",IF(T$21=C26,2,0),0)+IF(T$25&lt;&gt;"",IF(T$25=C26,2,0),0),IF(Race&lt;&gt;"",ChaAgeMod+IF(OR(Cyborg,NOT(ISERROR(FIND("Droid",Race,1)))),DroidCha,0)+INDEX(RaceListTable,RaceIndex,B26)+IF(T$21&lt;&gt;"",IF(T$21=C26,2,0),0)+IF(T$25&lt;&gt;"",IF(T$25=C26,2,0),0),0))</f>
        <v>0</v>
      </c>
      <c r="H26" s="782"/>
      <c r="I26" s="518"/>
      <c r="J26" s="518"/>
      <c r="K26" s="518"/>
      <c r="L26" s="933"/>
      <c r="M26" s="797">
        <f>CharismaBonus+IF(ArmorCharismaBonus&lt;&gt;"",ArmorCharismaBonus,0)</f>
        <v>0</v>
      </c>
      <c r="N26" s="46" t="str">
        <f>IF(Race&lt;&gt;"",D26+G26+SUM(H26:L26)+M26,"")</f>
        <v/>
      </c>
      <c r="O26" s="43" t="str">
        <f t="shared" si="6"/>
        <v/>
      </c>
      <c r="P26" s="29"/>
      <c r="R26" s="1569"/>
      <c r="S26" s="1554"/>
      <c r="T26" s="1554"/>
      <c r="U26" s="1718"/>
      <c r="V26" s="756"/>
      <c r="AJ26" s="1549"/>
      <c r="AL26" s="980"/>
    </row>
    <row r="27" spans="2:43" ht="15" thickBot="1">
      <c r="B27" s="26"/>
      <c r="C27" s="28"/>
      <c r="D27" s="27"/>
      <c r="E27" s="27"/>
      <c r="F27" s="27"/>
      <c r="G27" s="38"/>
      <c r="H27" s="519" t="str">
        <f>SUM(H21:H26)&amp;"/"&amp;IF(CharacterLevel&gt;=4,IF(OR(FirstClass="Nonheroic",FirstClass="Beast",HeroIsNPC),1,2),0)</f>
        <v>0/0</v>
      </c>
      <c r="I27" s="520" t="str">
        <f>SUM(I21:I26)&amp;"/"&amp;IF(CharacterLevel&gt;=8,IF(OR(COUNTIF(Class!D10:D13,"Nonheroic")&gt;0,COUNTIF(Class!D10:D13,"Beast")&gt;0),1,2),0)</f>
        <v>0/0</v>
      </c>
      <c r="J27" s="520" t="str">
        <f>SUM(J21:J26)&amp;"/"&amp;IF(CharacterLevel&gt;=12,IF(OR(COUNTIF(Class!D14:D17,"Nonheroic")&gt;0,COUNTIF(Class!D14:D17,"Beast")&gt;0),1,2),0)</f>
        <v>0/0</v>
      </c>
      <c r="K27" s="520" t="str">
        <f>SUM(K21:K26)&amp;"/"&amp;IF(CharacterLevel&gt;=16,IF(OR(COUNTIF(Class!D18:D21,"Nonheroic")&gt;0,COUNTIF(Class!D18:D21,"Beast")&gt;0),1,2),0)</f>
        <v>0/0</v>
      </c>
      <c r="L27" s="520" t="str">
        <f>SUM(L21:L26)&amp;"/"&amp;IF(CharacterLevel&gt;=20,IF(OR(COUNTIF(Class!D22:D25,"Nonheroic")&gt;0,COUNTIF(Class!D22:D25,"Beast")&gt;0),1,2),0)</f>
        <v>0/0</v>
      </c>
      <c r="M27" s="28"/>
      <c r="N27" s="27"/>
      <c r="O27" s="28"/>
      <c r="P27" s="29"/>
      <c r="R27" s="1569"/>
      <c r="S27" s="1555" t="s">
        <v>8037</v>
      </c>
      <c r="T27" s="1554"/>
      <c r="U27" s="1718"/>
      <c r="V27" s="756"/>
      <c r="AJ27" s="1549"/>
      <c r="AL27" s="980"/>
    </row>
    <row r="28" spans="2:43">
      <c r="B28" s="26"/>
      <c r="C28" s="31" t="s">
        <v>2104</v>
      </c>
      <c r="D28" s="27" t="str">
        <f>SUM(E21:F26)&amp;IF(Campaign="Dawn of Defiance",IF(Race&lt;&gt;"Droid","/"&amp;28,"/"&amp;25),"")</f>
        <v>0</v>
      </c>
      <c r="E28" s="27"/>
      <c r="F28" s="27"/>
      <c r="G28" s="27"/>
      <c r="H28" s="27"/>
      <c r="I28" s="27"/>
      <c r="J28" s="27"/>
      <c r="K28" s="28"/>
      <c r="L28" s="28"/>
      <c r="M28" s="28"/>
      <c r="N28" s="27"/>
      <c r="O28" s="28"/>
      <c r="P28" s="29"/>
      <c r="R28" s="1569"/>
      <c r="S28" s="1545" t="s">
        <v>8300</v>
      </c>
      <c r="T28" s="779"/>
      <c r="U28" s="1718"/>
      <c r="V28" s="756"/>
    </row>
    <row r="29" spans="2:43" ht="15" thickBot="1">
      <c r="B29" s="32"/>
      <c r="C29" s="33"/>
      <c r="D29" s="34"/>
      <c r="E29" s="34"/>
      <c r="F29" s="34"/>
      <c r="G29" s="34"/>
      <c r="H29" s="34"/>
      <c r="I29" s="34"/>
      <c r="J29" s="34"/>
      <c r="K29" s="33"/>
      <c r="L29" s="33"/>
      <c r="M29" s="33"/>
      <c r="N29" s="34"/>
      <c r="O29" s="33"/>
      <c r="P29" s="35"/>
      <c r="R29" s="777"/>
      <c r="S29" s="778"/>
      <c r="T29" s="778"/>
      <c r="U29" s="1720"/>
      <c r="V29" s="1721"/>
    </row>
    <row r="30" spans="2:43">
      <c r="B30" s="15"/>
      <c r="C30" s="15"/>
      <c r="D30" s="16"/>
      <c r="E30" s="20"/>
      <c r="F30" s="20"/>
      <c r="G30" s="20"/>
      <c r="H30" s="20"/>
      <c r="I30" s="16"/>
      <c r="J30" s="16"/>
      <c r="K30" s="15"/>
      <c r="L30" s="15"/>
      <c r="M30" s="15"/>
      <c r="N30" s="16"/>
      <c r="O30" s="15"/>
      <c r="P30" s="15"/>
    </row>
    <row r="31" spans="2:43" hidden="1">
      <c r="B31" s="15"/>
      <c r="C31" s="15"/>
      <c r="D31" s="16"/>
      <c r="E31" s="20"/>
      <c r="F31" s="20"/>
      <c r="G31" s="47"/>
      <c r="H31" s="47"/>
      <c r="I31" s="16"/>
      <c r="J31" s="16"/>
      <c r="K31" s="15"/>
      <c r="L31" s="15"/>
      <c r="M31" s="15"/>
      <c r="N31" s="16"/>
      <c r="O31" s="15"/>
      <c r="P31" s="15"/>
    </row>
    <row r="32" spans="2:43" hidden="1">
      <c r="B32" s="15"/>
      <c r="C32" s="15"/>
      <c r="D32" s="16"/>
      <c r="E32" s="20">
        <v>1</v>
      </c>
      <c r="F32" s="20">
        <v>0</v>
      </c>
      <c r="G32" s="47"/>
      <c r="H32" s="47"/>
      <c r="I32" s="16"/>
      <c r="J32" s="16"/>
      <c r="K32" s="15"/>
      <c r="L32" s="15"/>
      <c r="M32" s="15" t="str">
        <f>M33</f>
        <v/>
      </c>
      <c r="N32" s="16"/>
      <c r="O32" s="15" t="str">
        <f>O33</f>
        <v/>
      </c>
      <c r="P32" s="15"/>
    </row>
    <row r="33" spans="2:18" hidden="1">
      <c r="B33" s="15"/>
      <c r="C33" s="15"/>
      <c r="D33" s="16"/>
      <c r="E33" s="20">
        <v>2</v>
      </c>
      <c r="F33" s="20">
        <v>0</v>
      </c>
      <c r="G33" s="47"/>
      <c r="H33" s="47"/>
      <c r="I33" s="16"/>
      <c r="J33" s="16"/>
      <c r="K33" s="15"/>
      <c r="L33" s="15" t="str">
        <f t="shared" ref="L33:L38" si="7">IF(G21&gt;0,"+"&amp;G21&amp;" "&amp;C21,"")</f>
        <v/>
      </c>
      <c r="M33" s="47" t="str">
        <f t="shared" ref="M33:M38" si="8">IF(L33&lt;&gt;"",L33&amp;IF(M34&lt;&gt;"",", "&amp;M34,""),M34)</f>
        <v/>
      </c>
      <c r="N33" s="15" t="str">
        <f t="shared" ref="N33:N38" si="9">IF(G21&lt;0,G21&amp;" "&amp;C21,"")</f>
        <v/>
      </c>
      <c r="O33" s="47" t="str">
        <f t="shared" ref="O33:O38" si="10">IF(N33&lt;&gt;"",N33&amp;IF(O34&lt;&gt;"",", "&amp;O34,""),O34)</f>
        <v/>
      </c>
      <c r="P33" s="15"/>
    </row>
    <row r="34" spans="2:18" hidden="1">
      <c r="B34" s="15"/>
      <c r="C34" s="15"/>
      <c r="D34" s="16"/>
      <c r="E34" s="20">
        <v>3</v>
      </c>
      <c r="F34" s="20">
        <v>0</v>
      </c>
      <c r="G34" s="47"/>
      <c r="H34" s="47"/>
      <c r="I34" s="16"/>
      <c r="J34" s="16"/>
      <c r="K34" s="15"/>
      <c r="L34" s="15" t="str">
        <f t="shared" si="7"/>
        <v/>
      </c>
      <c r="M34" s="47" t="str">
        <f t="shared" si="8"/>
        <v/>
      </c>
      <c r="N34" s="15" t="str">
        <f t="shared" si="9"/>
        <v/>
      </c>
      <c r="O34" s="47" t="str">
        <f t="shared" si="10"/>
        <v/>
      </c>
      <c r="P34" s="15"/>
    </row>
    <row r="35" spans="2:18" hidden="1">
      <c r="B35" s="15"/>
      <c r="C35" s="15"/>
      <c r="D35" s="16"/>
      <c r="E35" s="20">
        <v>4</v>
      </c>
      <c r="F35" s="20">
        <v>0</v>
      </c>
      <c r="G35" s="47"/>
      <c r="H35" s="47"/>
      <c r="I35" s="16"/>
      <c r="J35" s="16"/>
      <c r="K35" s="15"/>
      <c r="L35" s="15" t="str">
        <f t="shared" si="7"/>
        <v/>
      </c>
      <c r="M35" s="47" t="str">
        <f t="shared" si="8"/>
        <v/>
      </c>
      <c r="N35" s="15" t="str">
        <f t="shared" si="9"/>
        <v/>
      </c>
      <c r="O35" s="47" t="str">
        <f t="shared" si="10"/>
        <v/>
      </c>
      <c r="P35" s="15"/>
    </row>
    <row r="36" spans="2:18" hidden="1">
      <c r="B36" s="15"/>
      <c r="C36" s="15"/>
      <c r="D36" s="16"/>
      <c r="E36" s="20">
        <v>5</v>
      </c>
      <c r="F36" s="20">
        <v>0</v>
      </c>
      <c r="G36" s="47"/>
      <c r="H36" s="47"/>
      <c r="I36" s="16"/>
      <c r="J36" s="16"/>
      <c r="K36" s="15"/>
      <c r="L36" s="15" t="str">
        <f t="shared" si="7"/>
        <v/>
      </c>
      <c r="M36" s="47" t="str">
        <f t="shared" si="8"/>
        <v/>
      </c>
      <c r="N36" s="15" t="str">
        <f t="shared" si="9"/>
        <v/>
      </c>
      <c r="O36" s="47" t="str">
        <f t="shared" si="10"/>
        <v/>
      </c>
      <c r="P36" s="15"/>
    </row>
    <row r="37" spans="2:18" hidden="1">
      <c r="B37" s="15"/>
      <c r="C37" s="15"/>
      <c r="D37" s="16"/>
      <c r="E37" s="20">
        <v>6</v>
      </c>
      <c r="F37" s="20">
        <v>0</v>
      </c>
      <c r="G37" s="20"/>
      <c r="H37" s="20"/>
      <c r="I37" s="16"/>
      <c r="J37" s="16"/>
      <c r="K37" s="15"/>
      <c r="L37" s="15" t="str">
        <f t="shared" si="7"/>
        <v/>
      </c>
      <c r="M37" s="47" t="str">
        <f t="shared" si="8"/>
        <v/>
      </c>
      <c r="N37" s="15" t="str">
        <f t="shared" si="9"/>
        <v/>
      </c>
      <c r="O37" s="47" t="str">
        <f t="shared" si="10"/>
        <v/>
      </c>
      <c r="P37" s="15"/>
    </row>
    <row r="38" spans="2:18" hidden="1">
      <c r="B38" s="15"/>
      <c r="C38" s="15"/>
      <c r="D38" s="16"/>
      <c r="E38" s="20">
        <v>7</v>
      </c>
      <c r="F38" s="20">
        <v>0</v>
      </c>
      <c r="G38" s="20"/>
      <c r="H38" s="20"/>
      <c r="I38" s="16"/>
      <c r="J38" s="16"/>
      <c r="K38" s="15"/>
      <c r="L38" s="15" t="str">
        <f t="shared" si="7"/>
        <v/>
      </c>
      <c r="M38" s="47" t="str">
        <f t="shared" si="8"/>
        <v/>
      </c>
      <c r="N38" s="15" t="str">
        <f t="shared" si="9"/>
        <v/>
      </c>
      <c r="O38" s="47" t="str">
        <f t="shared" si="10"/>
        <v/>
      </c>
      <c r="P38" s="15"/>
    </row>
    <row r="39" spans="2:18" hidden="1">
      <c r="B39" s="15"/>
      <c r="C39" s="15"/>
      <c r="D39" s="16"/>
      <c r="E39" s="20">
        <v>8</v>
      </c>
      <c r="F39" s="20">
        <v>0</v>
      </c>
      <c r="G39" s="20"/>
      <c r="H39" s="20"/>
      <c r="I39" s="16"/>
      <c r="J39" s="16"/>
      <c r="K39" s="15"/>
      <c r="L39" s="383" t="s">
        <v>195</v>
      </c>
      <c r="M39" s="383" t="s">
        <v>195</v>
      </c>
      <c r="N39" s="16"/>
      <c r="O39" s="383" t="s">
        <v>195</v>
      </c>
      <c r="P39" s="15"/>
    </row>
    <row r="40" spans="2:18" hidden="1">
      <c r="B40" s="15"/>
      <c r="C40" s="15"/>
      <c r="D40" s="16"/>
      <c r="E40" s="20">
        <v>9</v>
      </c>
      <c r="F40" s="20">
        <v>1</v>
      </c>
      <c r="G40" s="20"/>
      <c r="H40" s="20"/>
      <c r="I40" s="16"/>
      <c r="J40" s="16"/>
      <c r="K40" s="15"/>
      <c r="L40" s="15"/>
      <c r="M40" s="15"/>
      <c r="N40" s="16"/>
      <c r="O40" s="15"/>
      <c r="P40" s="15"/>
    </row>
    <row r="41" spans="2:18" hidden="1">
      <c r="B41" s="15"/>
      <c r="C41" s="15"/>
      <c r="D41" s="16"/>
      <c r="E41" s="20">
        <v>10</v>
      </c>
      <c r="F41" s="20">
        <v>2</v>
      </c>
      <c r="G41" s="20"/>
      <c r="H41" s="20"/>
      <c r="I41" s="16"/>
      <c r="J41" s="16"/>
      <c r="K41" s="15" t="str">
        <f>K42</f>
        <v/>
      </c>
      <c r="L41" s="15"/>
      <c r="M41" s="15"/>
      <c r="N41" s="16"/>
      <c r="O41" s="15"/>
      <c r="P41" s="15"/>
    </row>
    <row r="42" spans="2:18" hidden="1">
      <c r="B42" s="15"/>
      <c r="C42" s="15"/>
      <c r="D42" s="16"/>
      <c r="E42" s="20">
        <v>11</v>
      </c>
      <c r="F42" s="20">
        <v>3</v>
      </c>
      <c r="G42" s="20"/>
      <c r="H42" s="47" t="str">
        <f>IF(Race&lt;&gt;"",IF(INDEX(RaceListTable,RaceIndex,20)&lt;&gt;"",INDEX(RaceListTable,RaceIndex,20),""),"")</f>
        <v/>
      </c>
      <c r="I42" s="47"/>
      <c r="J42" s="47"/>
      <c r="K42" s="15" t="str">
        <f t="shared" ref="K42:K49" si="11">IF(H42&lt;&gt;"",H42&amp;";"&amp;K43,K43)</f>
        <v/>
      </c>
      <c r="L42" s="47" t="str">
        <f t="shared" ref="L42:L48" si="12">IF($H42&lt;&gt;"",IF(INDEX(RacialAbilitiesTable,MATCH($H42,RacialAbilitiesList,0),2)&lt;&gt;"",INDEX(RacialAbilitiesTable,MATCH($H42,RacialAbilitiesList,0),2),""),"")</f>
        <v/>
      </c>
      <c r="M42" s="47" t="str">
        <f t="shared" ref="M42:M48" si="13">IF($H42&lt;&gt;"",IF(INDEX(RacialAbilitiesTable,MATCH($H42,RacialAbilitiesList,0),3)&lt;&gt;"",INDEX(RacialAbilitiesTable,MATCH($H42,RacialAbilitiesList,0),3),""),"")</f>
        <v/>
      </c>
      <c r="N42" s="47" t="str">
        <f t="shared" ref="N42:N48" si="14">IF($H42&lt;&gt;"",IF(INDEX(RacialAbilitiesTable,MATCH($H42,RacialAbilitiesList,0),4)&lt;&gt;"",INDEX(RacialAbilitiesTable,MATCH($H42,RacialAbilitiesList,0),4),""),"")</f>
        <v/>
      </c>
      <c r="O42" s="47" t="str">
        <f t="shared" ref="O42:O48" si="15">IF($H42&lt;&gt;"",IF(INDEX(RacialAbilitiesTable,MATCH($H42,RacialAbilitiesList,0),5)&lt;&gt;"",INDEX(RacialAbilitiesTable,MATCH($H42,RacialAbilitiesList,0),5),""),"")</f>
        <v/>
      </c>
      <c r="P42" s="47" t="str">
        <f t="shared" ref="P42:P48" si="16">IF($H42&lt;&gt;"",IF(INDEX(RacialAbilitiesTable,MATCH($H42,RacialAbilitiesList,0),6)&lt;&gt;"",INDEX(RacialAbilitiesTable,MATCH($H42,RacialAbilitiesList,0),6),""),"")</f>
        <v/>
      </c>
      <c r="Q42" s="47" t="str">
        <f t="shared" ref="Q42:Q48" si="17">IF($H42&lt;&gt;"",IF(INDEX(RacialAbilitiesTable,MATCH($H42,RacialAbilitiesList,0),7)&lt;&gt;"",INDEX(RacialAbilitiesTable,MATCH($H42,RacialAbilitiesList,0),7),""),"")</f>
        <v/>
      </c>
      <c r="R42" s="47"/>
    </row>
    <row r="43" spans="2:18" hidden="1">
      <c r="B43" s="15"/>
      <c r="C43" s="15"/>
      <c r="D43" s="16"/>
      <c r="E43" s="20">
        <v>12</v>
      </c>
      <c r="F43" s="20">
        <v>4</v>
      </c>
      <c r="G43" s="20"/>
      <c r="H43" s="47" t="str">
        <f>IF(Race&lt;&gt;"",IF(INDEX(RaceListTable,RaceIndex,21)&lt;&gt;"",INDEX(RaceListTable,RaceIndex,21),""),"")</f>
        <v/>
      </c>
      <c r="I43" s="47"/>
      <c r="J43" s="47"/>
      <c r="K43" s="15" t="str">
        <f t="shared" si="11"/>
        <v/>
      </c>
      <c r="L43" s="47" t="str">
        <f t="shared" si="12"/>
        <v/>
      </c>
      <c r="M43" s="47" t="str">
        <f t="shared" si="13"/>
        <v/>
      </c>
      <c r="N43" s="47" t="str">
        <f t="shared" si="14"/>
        <v/>
      </c>
      <c r="O43" s="47" t="str">
        <f t="shared" si="15"/>
        <v/>
      </c>
      <c r="P43" s="47" t="str">
        <f t="shared" si="16"/>
        <v/>
      </c>
      <c r="Q43" s="47" t="str">
        <f t="shared" si="17"/>
        <v/>
      </c>
    </row>
    <row r="44" spans="2:18" hidden="1">
      <c r="B44" s="15"/>
      <c r="C44" s="15"/>
      <c r="D44" s="16"/>
      <c r="E44" s="20">
        <v>13</v>
      </c>
      <c r="F44" s="20">
        <v>5</v>
      </c>
      <c r="G44" s="20"/>
      <c r="H44" s="47" t="str">
        <f>IF(Race&lt;&gt;"",IF(INDEX(RaceListTable,RaceIndex,22)&lt;&gt;"",INDEX(RaceListTable,RaceIndex,22),""),"")</f>
        <v/>
      </c>
      <c r="I44" s="47"/>
      <c r="J44" s="47"/>
      <c r="K44" s="15" t="str">
        <f t="shared" si="11"/>
        <v/>
      </c>
      <c r="L44" s="47" t="str">
        <f t="shared" si="12"/>
        <v/>
      </c>
      <c r="M44" s="47" t="str">
        <f t="shared" si="13"/>
        <v/>
      </c>
      <c r="N44" s="47" t="str">
        <f t="shared" si="14"/>
        <v/>
      </c>
      <c r="O44" s="47" t="str">
        <f t="shared" si="15"/>
        <v/>
      </c>
      <c r="P44" s="47" t="str">
        <f t="shared" si="16"/>
        <v/>
      </c>
      <c r="Q44" s="47" t="str">
        <f t="shared" si="17"/>
        <v/>
      </c>
    </row>
    <row r="45" spans="2:18" hidden="1">
      <c r="B45" s="15"/>
      <c r="C45" s="15"/>
      <c r="D45" s="16"/>
      <c r="E45" s="20">
        <v>14</v>
      </c>
      <c r="F45" s="20">
        <v>6</v>
      </c>
      <c r="G45" s="20"/>
      <c r="H45" s="47" t="str">
        <f>IF(Race&lt;&gt;"",IF(INDEX(RaceListTable,RaceIndex,23)&lt;&gt;"",INDEX(RaceListTable,RaceIndex,23),""),"")</f>
        <v/>
      </c>
      <c r="I45" s="47"/>
      <c r="J45" s="47"/>
      <c r="K45" s="15" t="str">
        <f t="shared" si="11"/>
        <v/>
      </c>
      <c r="L45" s="47" t="str">
        <f t="shared" si="12"/>
        <v/>
      </c>
      <c r="M45" s="47" t="str">
        <f t="shared" si="13"/>
        <v/>
      </c>
      <c r="N45" s="47" t="str">
        <f t="shared" si="14"/>
        <v/>
      </c>
      <c r="O45" s="47" t="str">
        <f t="shared" si="15"/>
        <v/>
      </c>
      <c r="P45" s="47" t="str">
        <f t="shared" si="16"/>
        <v/>
      </c>
      <c r="Q45" s="47" t="str">
        <f t="shared" si="17"/>
        <v/>
      </c>
    </row>
    <row r="46" spans="2:18" hidden="1">
      <c r="B46" s="15"/>
      <c r="C46" s="15"/>
      <c r="D46" s="16"/>
      <c r="E46" s="20">
        <v>15</v>
      </c>
      <c r="F46" s="20">
        <v>8</v>
      </c>
      <c r="G46" s="20"/>
      <c r="H46" s="47" t="str">
        <f>IF(Race&lt;&gt;"",IF(INDEX(RaceListTable,RaceIndex,24)&lt;&gt;"",INDEX(RaceListTable,RaceIndex,24),""),"")</f>
        <v/>
      </c>
      <c r="I46" s="47"/>
      <c r="J46" s="47"/>
      <c r="K46" s="15" t="str">
        <f t="shared" si="11"/>
        <v/>
      </c>
      <c r="L46" s="47" t="str">
        <f t="shared" si="12"/>
        <v/>
      </c>
      <c r="M46" s="47" t="str">
        <f t="shared" si="13"/>
        <v/>
      </c>
      <c r="N46" s="47" t="str">
        <f t="shared" si="14"/>
        <v/>
      </c>
      <c r="O46" s="47" t="str">
        <f t="shared" si="15"/>
        <v/>
      </c>
      <c r="P46" s="47" t="str">
        <f t="shared" si="16"/>
        <v/>
      </c>
      <c r="Q46" s="47" t="str">
        <f t="shared" si="17"/>
        <v/>
      </c>
    </row>
    <row r="47" spans="2:18" hidden="1">
      <c r="B47" s="15"/>
      <c r="C47" s="15"/>
      <c r="D47" s="16"/>
      <c r="E47" s="20">
        <v>16</v>
      </c>
      <c r="F47" s="20">
        <v>10</v>
      </c>
      <c r="G47" s="20"/>
      <c r="H47" s="47" t="str">
        <f>IF(Race&lt;&gt;"",IF(INDEX(RaceListTable,RaceIndex,25)&lt;&gt;"","Skill Focus "&amp;INDEX(RaceListTable,RaceIndex,25)&amp;" if trained",""),"")</f>
        <v/>
      </c>
      <c r="I47" s="16"/>
      <c r="J47" s="16"/>
      <c r="K47" s="15" t="str">
        <f>IF(H47&lt;&gt;"",H47&amp;";"&amp;K48,K48)</f>
        <v/>
      </c>
      <c r="L47" s="47" t="str">
        <f t="shared" si="12"/>
        <v/>
      </c>
      <c r="M47" s="47" t="str">
        <f t="shared" si="13"/>
        <v/>
      </c>
      <c r="N47" s="47" t="str">
        <f t="shared" si="14"/>
        <v/>
      </c>
      <c r="O47" s="47" t="str">
        <f t="shared" si="15"/>
        <v/>
      </c>
      <c r="P47" s="47" t="str">
        <f t="shared" si="16"/>
        <v/>
      </c>
      <c r="Q47" s="47" t="str">
        <f t="shared" si="17"/>
        <v/>
      </c>
    </row>
    <row r="48" spans="2:18" hidden="1">
      <c r="B48" s="15"/>
      <c r="C48" s="15"/>
      <c r="D48" s="16"/>
      <c r="E48" s="20">
        <v>17</v>
      </c>
      <c r="F48" s="20">
        <v>13</v>
      </c>
      <c r="G48" s="20"/>
      <c r="H48" s="47" t="str">
        <f>IF(Race&lt;&gt;"",IF(INDEX(RaceListTable,RaceIndex,28)&lt;&gt;"",INDEX(RaceListTable,RaceIndex,28)&amp;" is a class skill",""),"")</f>
        <v/>
      </c>
      <c r="I48" s="16"/>
      <c r="J48" s="16"/>
      <c r="K48" s="949" t="str">
        <f t="shared" si="11"/>
        <v/>
      </c>
      <c r="L48" s="47" t="str">
        <f t="shared" si="12"/>
        <v/>
      </c>
      <c r="M48" s="47" t="str">
        <f t="shared" si="13"/>
        <v/>
      </c>
      <c r="N48" s="47" t="str">
        <f t="shared" si="14"/>
        <v/>
      </c>
      <c r="O48" s="47" t="str">
        <f t="shared" si="15"/>
        <v/>
      </c>
      <c r="P48" s="47" t="str">
        <f t="shared" si="16"/>
        <v/>
      </c>
      <c r="Q48" s="47" t="str">
        <f t="shared" si="17"/>
        <v/>
      </c>
    </row>
    <row r="49" spans="2:16" hidden="1">
      <c r="B49" s="15"/>
      <c r="C49" s="15"/>
      <c r="D49" s="16"/>
      <c r="E49" s="16">
        <v>18</v>
      </c>
      <c r="F49" s="16">
        <v>16</v>
      </c>
      <c r="G49" s="16"/>
      <c r="H49" s="47" t="str">
        <f>IF(Race&lt;&gt;"",IF(INDEX(RaceListTable,RaceIndex,29)&lt;&gt;"",INDEX(RaceListTable,RaceIndex,29)&amp;" is a class skill",""),"")</f>
        <v/>
      </c>
      <c r="I49" s="16"/>
      <c r="J49" s="16"/>
      <c r="K49" s="949" t="str">
        <f t="shared" si="11"/>
        <v/>
      </c>
      <c r="L49" s="15"/>
      <c r="M49" s="15"/>
      <c r="N49" s="16"/>
      <c r="O49" s="15"/>
      <c r="P49" s="15"/>
    </row>
    <row r="50" spans="2:16" hidden="1">
      <c r="B50" s="15"/>
      <c r="C50" s="15"/>
      <c r="D50" s="16"/>
      <c r="E50" s="16"/>
      <c r="F50" s="16"/>
      <c r="G50" s="16"/>
      <c r="H50" s="16"/>
      <c r="I50" s="16"/>
      <c r="J50" s="16"/>
      <c r="K50" s="383" t="s">
        <v>195</v>
      </c>
      <c r="L50" s="15"/>
      <c r="M50" s="15"/>
      <c r="N50" s="16"/>
      <c r="O50" s="15"/>
      <c r="P50" s="15"/>
    </row>
    <row r="51" spans="2:16" hidden="1">
      <c r="B51" s="15"/>
      <c r="C51" s="15"/>
      <c r="D51" s="16"/>
      <c r="E51" s="16"/>
      <c r="F51" s="16"/>
      <c r="G51" s="16"/>
      <c r="H51" s="16"/>
      <c r="I51" s="16"/>
      <c r="J51" s="16"/>
      <c r="K51" s="15"/>
      <c r="L51" s="15"/>
      <c r="M51" s="15"/>
      <c r="N51" s="16"/>
      <c r="O51" s="15"/>
      <c r="P51" s="15"/>
    </row>
    <row r="52" spans="2:16" hidden="1">
      <c r="B52" s="15"/>
      <c r="C52" s="15"/>
      <c r="D52" s="16"/>
      <c r="E52" s="16"/>
      <c r="F52" s="16"/>
      <c r="G52" s="16"/>
      <c r="H52" s="16"/>
      <c r="I52" s="16"/>
      <c r="J52" s="16"/>
      <c r="K52" s="15"/>
      <c r="L52" s="15"/>
      <c r="M52" s="15"/>
      <c r="N52" s="16"/>
      <c r="O52" s="15"/>
      <c r="P52" s="15"/>
    </row>
    <row r="53" spans="2:16" hidden="1">
      <c r="B53" s="15"/>
      <c r="C53" s="15"/>
      <c r="D53" s="16"/>
      <c r="E53" s="16"/>
      <c r="F53" s="16"/>
      <c r="G53" s="16"/>
      <c r="H53" s="16"/>
      <c r="I53" s="16"/>
      <c r="J53" s="16"/>
      <c r="K53" s="15"/>
      <c r="L53" s="15"/>
      <c r="M53" s="15"/>
      <c r="N53" s="16"/>
      <c r="O53" s="15"/>
      <c r="P53" s="15"/>
    </row>
    <row r="54" spans="2:16" hidden="1">
      <c r="B54" s="15"/>
      <c r="C54" s="15"/>
      <c r="D54" s="16"/>
      <c r="E54" s="16"/>
      <c r="F54" s="16"/>
      <c r="G54" s="16"/>
      <c r="H54" s="16"/>
      <c r="I54" s="16"/>
      <c r="J54" s="16"/>
      <c r="K54" s="15"/>
      <c r="L54" s="15"/>
      <c r="M54" s="15"/>
      <c r="N54" s="16"/>
      <c r="O54" s="15"/>
      <c r="P54" s="15"/>
    </row>
    <row r="55" spans="2:16" hidden="1">
      <c r="B55" s="15"/>
      <c r="C55" s="15"/>
      <c r="D55" s="16"/>
      <c r="E55" s="16"/>
      <c r="F55" s="16"/>
      <c r="G55" s="16"/>
      <c r="H55" s="16"/>
      <c r="I55" s="16"/>
      <c r="J55" s="16"/>
      <c r="K55" s="15"/>
      <c r="L55" s="15"/>
      <c r="M55" s="15"/>
      <c r="N55" s="16"/>
      <c r="O55" s="15"/>
      <c r="P55" s="15"/>
    </row>
    <row r="56" spans="2:16" hidden="1">
      <c r="B56" s="15"/>
      <c r="C56" s="15"/>
      <c r="D56" s="16"/>
      <c r="E56" s="16"/>
      <c r="F56" s="16"/>
      <c r="G56" s="16"/>
      <c r="H56" s="16"/>
      <c r="I56" s="16"/>
      <c r="J56" s="16"/>
      <c r="K56" s="15"/>
      <c r="L56" s="15"/>
      <c r="M56" s="15"/>
      <c r="N56" s="16"/>
      <c r="O56" s="15"/>
      <c r="P56" s="15"/>
    </row>
    <row r="57" spans="2:16" hidden="1">
      <c r="B57" s="15"/>
      <c r="C57" s="15"/>
      <c r="D57" s="16"/>
      <c r="E57" s="16"/>
      <c r="F57" s="16"/>
      <c r="G57" s="16"/>
      <c r="H57" s="16"/>
      <c r="I57" s="16"/>
      <c r="J57" s="16"/>
      <c r="K57" s="15"/>
      <c r="L57" s="15"/>
      <c r="M57" s="15"/>
      <c r="N57" s="16"/>
      <c r="O57" s="15"/>
      <c r="P57" s="15"/>
    </row>
    <row r="58" spans="2:16" hidden="1">
      <c r="B58" s="15"/>
      <c r="C58" s="15"/>
      <c r="D58" s="16"/>
      <c r="E58" s="16"/>
      <c r="F58" s="16"/>
      <c r="G58" s="16"/>
      <c r="H58" s="16"/>
      <c r="I58" s="16"/>
      <c r="J58" s="16"/>
      <c r="K58" s="15"/>
      <c r="L58" s="15"/>
      <c r="M58" s="15"/>
      <c r="N58" s="16"/>
      <c r="O58" s="15"/>
      <c r="P58" s="15"/>
    </row>
    <row r="59" spans="2:16" hidden="1">
      <c r="B59" s="15"/>
      <c r="C59" s="15"/>
      <c r="D59" s="16"/>
      <c r="E59" s="16"/>
      <c r="F59" s="16"/>
      <c r="G59" s="16"/>
      <c r="H59" s="16"/>
      <c r="I59" s="16"/>
      <c r="J59" s="16"/>
      <c r="K59" s="15"/>
      <c r="L59" s="15"/>
      <c r="M59" s="15"/>
      <c r="N59" s="16"/>
      <c r="O59" s="15"/>
      <c r="P59" s="15"/>
    </row>
    <row r="60" spans="2:16">
      <c r="B60" s="15"/>
      <c r="C60" s="15"/>
      <c r="D60" s="16"/>
      <c r="E60" s="16"/>
      <c r="F60" s="16"/>
      <c r="G60" s="16"/>
      <c r="H60" s="16"/>
      <c r="I60" s="16"/>
      <c r="J60" s="16"/>
      <c r="K60" s="15"/>
      <c r="L60" s="15"/>
      <c r="M60" s="15"/>
      <c r="N60" s="16"/>
      <c r="O60" s="15"/>
      <c r="P60" s="15"/>
    </row>
    <row r="61" spans="2:16">
      <c r="B61" s="15"/>
      <c r="C61" s="15"/>
      <c r="D61" s="16"/>
      <c r="E61" s="16"/>
      <c r="F61" s="16"/>
      <c r="G61" s="16"/>
      <c r="H61" s="16"/>
      <c r="I61" s="16"/>
      <c r="J61" s="16"/>
      <c r="K61" s="15"/>
      <c r="L61" s="15"/>
      <c r="M61" s="15"/>
      <c r="N61" s="16"/>
      <c r="O61" s="15"/>
      <c r="P61" s="15"/>
    </row>
    <row r="62" spans="2:16">
      <c r="B62" s="15"/>
      <c r="C62" s="15"/>
      <c r="D62" s="16"/>
      <c r="E62" s="16"/>
      <c r="F62" s="16"/>
      <c r="G62" s="16"/>
      <c r="H62" s="16"/>
      <c r="I62" s="16"/>
      <c r="J62" s="16"/>
      <c r="K62" s="15"/>
      <c r="L62" s="15"/>
      <c r="M62" s="15"/>
      <c r="N62" s="16"/>
      <c r="O62" s="15"/>
      <c r="P62" s="15"/>
    </row>
    <row r="63" spans="2:16">
      <c r="B63" s="15"/>
      <c r="C63" s="15"/>
      <c r="D63" s="16"/>
      <c r="E63" s="16"/>
      <c r="F63" s="16"/>
      <c r="G63" s="16"/>
      <c r="H63" s="16"/>
      <c r="I63" s="16"/>
      <c r="J63" s="16"/>
      <c r="K63" s="15"/>
      <c r="L63" s="15"/>
      <c r="M63" s="15"/>
      <c r="N63" s="16"/>
      <c r="O63" s="15"/>
      <c r="P63" s="15"/>
    </row>
    <row r="64" spans="2:16">
      <c r="B64" s="15"/>
      <c r="C64" s="15"/>
      <c r="D64" s="16"/>
      <c r="E64" s="16"/>
      <c r="F64" s="16"/>
      <c r="G64" s="16"/>
      <c r="H64" s="16"/>
      <c r="I64" s="16"/>
      <c r="J64" s="16"/>
      <c r="K64" s="15"/>
      <c r="L64" s="15"/>
      <c r="M64" s="15"/>
      <c r="N64" s="16"/>
      <c r="O64" s="15"/>
      <c r="P64" s="15"/>
    </row>
    <row r="65" spans="2:16">
      <c r="B65" s="15"/>
      <c r="C65" s="15"/>
      <c r="D65" s="16"/>
      <c r="E65" s="16"/>
      <c r="F65" s="16"/>
      <c r="G65" s="16"/>
      <c r="H65" s="16"/>
      <c r="I65" s="16"/>
      <c r="J65" s="16"/>
      <c r="K65" s="15"/>
      <c r="L65" s="15"/>
      <c r="M65" s="15"/>
      <c r="N65" s="16"/>
      <c r="O65" s="15"/>
      <c r="P65" s="15"/>
    </row>
    <row r="66" spans="2:16">
      <c r="B66" s="15"/>
      <c r="C66" s="15"/>
      <c r="D66" s="16"/>
      <c r="E66" s="16"/>
      <c r="F66" s="16"/>
      <c r="G66" s="16"/>
      <c r="H66" s="16"/>
      <c r="I66" s="16"/>
      <c r="J66" s="16"/>
      <c r="K66" s="15"/>
      <c r="L66" s="15"/>
      <c r="M66" s="15"/>
      <c r="N66" s="16"/>
      <c r="O66" s="15"/>
      <c r="P66" s="15"/>
    </row>
    <row r="67" spans="2:16">
      <c r="B67" s="15"/>
      <c r="C67" s="15"/>
      <c r="D67" s="16"/>
      <c r="E67" s="16"/>
      <c r="F67" s="16"/>
      <c r="G67" s="16"/>
      <c r="H67" s="16"/>
      <c r="I67" s="16"/>
      <c r="J67" s="16"/>
      <c r="K67" s="15"/>
      <c r="L67" s="15"/>
      <c r="M67" s="15"/>
      <c r="N67" s="16"/>
      <c r="O67" s="15"/>
      <c r="P67" s="15"/>
    </row>
    <row r="68" spans="2:16">
      <c r="B68" s="15"/>
      <c r="C68" s="15"/>
      <c r="D68" s="16"/>
      <c r="E68" s="16"/>
      <c r="F68" s="16"/>
      <c r="G68" s="16"/>
      <c r="H68" s="16"/>
      <c r="I68" s="16"/>
      <c r="J68" s="16"/>
      <c r="K68" s="15"/>
      <c r="L68" s="15"/>
      <c r="M68" s="15"/>
      <c r="N68" s="16"/>
      <c r="O68" s="15"/>
      <c r="P68" s="15"/>
    </row>
    <row r="69" spans="2:16">
      <c r="B69" s="15"/>
      <c r="C69" s="15"/>
      <c r="D69" s="16"/>
      <c r="E69" s="16"/>
      <c r="F69" s="16"/>
      <c r="G69" s="16"/>
      <c r="H69" s="16"/>
      <c r="I69" s="16"/>
      <c r="J69" s="16"/>
      <c r="K69" s="15"/>
      <c r="L69" s="15"/>
      <c r="M69" s="15"/>
      <c r="N69" s="16"/>
      <c r="O69" s="15"/>
      <c r="P69" s="15"/>
    </row>
    <row r="70" spans="2:16">
      <c r="B70" s="15"/>
      <c r="C70" s="15"/>
      <c r="D70" s="16"/>
      <c r="E70" s="16"/>
      <c r="F70" s="16"/>
      <c r="G70" s="16"/>
      <c r="H70" s="16"/>
      <c r="I70" s="16"/>
      <c r="J70" s="16"/>
      <c r="K70" s="15"/>
      <c r="L70" s="15"/>
      <c r="M70" s="15"/>
      <c r="N70" s="16"/>
      <c r="O70" s="15"/>
      <c r="P70" s="15"/>
    </row>
    <row r="71" spans="2:16">
      <c r="B71" s="15"/>
      <c r="C71" s="15"/>
      <c r="D71" s="16"/>
      <c r="E71" s="16"/>
      <c r="F71" s="16"/>
      <c r="G71" s="16"/>
      <c r="H71" s="16"/>
      <c r="I71" s="16"/>
      <c r="J71" s="16"/>
      <c r="K71" s="15"/>
      <c r="L71" s="15"/>
      <c r="M71" s="15"/>
      <c r="N71" s="16"/>
      <c r="O71" s="15"/>
      <c r="P71" s="15"/>
    </row>
    <row r="72" spans="2:16">
      <c r="B72" s="15"/>
      <c r="C72" s="15"/>
      <c r="D72" s="16"/>
      <c r="E72" s="16"/>
      <c r="F72" s="16"/>
      <c r="G72" s="16"/>
      <c r="H72" s="16"/>
      <c r="I72" s="16"/>
      <c r="J72" s="16"/>
      <c r="K72" s="15"/>
      <c r="L72" s="15"/>
      <c r="M72" s="15"/>
      <c r="N72" s="16"/>
      <c r="O72" s="15"/>
      <c r="P72" s="15"/>
    </row>
    <row r="73" spans="2:16">
      <c r="B73" s="15"/>
      <c r="C73" s="15"/>
      <c r="D73" s="16"/>
      <c r="E73" s="16"/>
      <c r="F73" s="16"/>
      <c r="G73" s="16"/>
      <c r="H73" s="16"/>
      <c r="I73" s="16"/>
      <c r="J73" s="16"/>
      <c r="K73" s="15"/>
      <c r="L73" s="15"/>
      <c r="M73" s="15"/>
      <c r="N73" s="16"/>
      <c r="O73" s="15"/>
      <c r="P73" s="15"/>
    </row>
    <row r="74" spans="2:16">
      <c r="B74" s="15"/>
      <c r="C74" s="15"/>
      <c r="D74" s="16"/>
      <c r="E74" s="16"/>
      <c r="F74" s="16"/>
      <c r="G74" s="16"/>
      <c r="H74" s="16"/>
      <c r="I74" s="16"/>
      <c r="J74" s="16"/>
      <c r="K74" s="15"/>
      <c r="L74" s="15"/>
      <c r="M74" s="15"/>
      <c r="N74" s="16"/>
      <c r="O74" s="15"/>
      <c r="P74" s="15"/>
    </row>
    <row r="75" spans="2:16">
      <c r="B75" s="15"/>
      <c r="C75" s="15"/>
      <c r="D75" s="16"/>
      <c r="E75" s="16"/>
      <c r="F75" s="16"/>
      <c r="G75" s="16"/>
      <c r="H75" s="16"/>
      <c r="I75" s="16"/>
      <c r="J75" s="16"/>
      <c r="K75" s="15"/>
      <c r="L75" s="15"/>
      <c r="M75" s="15"/>
      <c r="N75" s="16"/>
      <c r="O75" s="15"/>
      <c r="P75" s="15"/>
    </row>
    <row r="76" spans="2:16">
      <c r="B76" s="15"/>
      <c r="C76" s="15"/>
      <c r="D76" s="16"/>
      <c r="E76" s="16"/>
      <c r="F76" s="16"/>
      <c r="G76" s="16"/>
      <c r="H76" s="16"/>
      <c r="I76" s="16"/>
      <c r="J76" s="16"/>
      <c r="K76" s="15"/>
      <c r="L76" s="15"/>
      <c r="M76" s="15"/>
      <c r="N76" s="16"/>
      <c r="O76" s="15"/>
      <c r="P76" s="15"/>
    </row>
    <row r="77" spans="2:16">
      <c r="B77" s="15"/>
      <c r="C77" s="15"/>
      <c r="D77" s="16"/>
      <c r="E77" s="16"/>
      <c r="F77" s="16"/>
      <c r="G77" s="16"/>
      <c r="H77" s="16"/>
      <c r="I77" s="16"/>
      <c r="J77" s="16"/>
      <c r="K77" s="15"/>
      <c r="L77" s="15"/>
      <c r="M77" s="15"/>
      <c r="N77" s="16"/>
      <c r="O77" s="15"/>
      <c r="P77" s="15"/>
    </row>
    <row r="78" spans="2:16">
      <c r="B78" s="15"/>
      <c r="C78" s="15"/>
      <c r="D78" s="16"/>
      <c r="E78" s="16"/>
      <c r="F78" s="16"/>
      <c r="G78" s="16"/>
      <c r="H78" s="16"/>
      <c r="I78" s="16"/>
      <c r="J78" s="16"/>
      <c r="K78" s="15"/>
      <c r="L78" s="15"/>
      <c r="M78" s="15"/>
      <c r="N78" s="16"/>
      <c r="O78" s="15"/>
      <c r="P78" s="15"/>
    </row>
    <row r="79" spans="2:16">
      <c r="B79" s="15"/>
      <c r="C79" s="15"/>
      <c r="D79" s="16"/>
      <c r="E79" s="16"/>
      <c r="F79" s="16"/>
      <c r="G79" s="16"/>
      <c r="H79" s="16"/>
      <c r="I79" s="16"/>
      <c r="J79" s="16"/>
      <c r="K79" s="15"/>
      <c r="L79" s="15"/>
      <c r="M79" s="15"/>
      <c r="N79" s="16"/>
      <c r="O79" s="15"/>
      <c r="P79" s="15"/>
    </row>
    <row r="80" spans="2:16">
      <c r="B80" s="15"/>
      <c r="C80" s="15"/>
      <c r="D80" s="16"/>
      <c r="E80" s="16"/>
      <c r="F80" s="16"/>
      <c r="G80" s="16"/>
      <c r="H80" s="16"/>
      <c r="I80" s="16"/>
      <c r="J80" s="16"/>
      <c r="K80" s="15"/>
      <c r="L80" s="15"/>
      <c r="M80" s="15"/>
      <c r="N80" s="16"/>
      <c r="O80" s="15"/>
      <c r="P80" s="15"/>
    </row>
    <row r="81" spans="2:16">
      <c r="B81" s="15"/>
      <c r="C81" s="15"/>
      <c r="D81" s="16"/>
      <c r="E81" s="16"/>
      <c r="F81" s="16"/>
      <c r="G81" s="16"/>
      <c r="H81" s="16"/>
      <c r="I81" s="16"/>
      <c r="J81" s="16"/>
      <c r="K81" s="15"/>
      <c r="L81" s="15"/>
      <c r="M81" s="15"/>
      <c r="N81" s="16"/>
      <c r="O81" s="15"/>
      <c r="P81" s="15"/>
    </row>
    <row r="82" spans="2:16">
      <c r="B82" s="15"/>
      <c r="C82" s="15"/>
      <c r="D82" s="16"/>
      <c r="E82" s="16"/>
      <c r="F82" s="16"/>
      <c r="G82" s="16"/>
      <c r="H82" s="16"/>
      <c r="I82" s="16"/>
      <c r="J82" s="16"/>
      <c r="K82" s="15"/>
      <c r="L82" s="15"/>
      <c r="M82" s="15"/>
      <c r="N82" s="16"/>
      <c r="O82" s="15"/>
      <c r="P82" s="15"/>
    </row>
    <row r="83" spans="2:16">
      <c r="B83" s="15"/>
      <c r="C83" s="15"/>
      <c r="D83" s="16"/>
      <c r="E83" s="16"/>
      <c r="F83" s="16"/>
      <c r="G83" s="16"/>
      <c r="H83" s="16"/>
      <c r="I83" s="16"/>
      <c r="J83" s="16"/>
      <c r="K83" s="15"/>
      <c r="L83" s="15"/>
      <c r="M83" s="15"/>
      <c r="N83" s="16"/>
      <c r="O83" s="15"/>
      <c r="P83" s="15"/>
    </row>
    <row r="84" spans="2:16">
      <c r="B84" s="15"/>
      <c r="C84" s="15"/>
      <c r="D84" s="16"/>
      <c r="E84" s="16"/>
      <c r="F84" s="16"/>
      <c r="G84" s="16"/>
      <c r="H84" s="16"/>
      <c r="I84" s="16"/>
      <c r="J84" s="16"/>
      <c r="K84" s="15"/>
      <c r="L84" s="15"/>
      <c r="M84" s="15"/>
      <c r="N84" s="16"/>
      <c r="O84" s="15"/>
      <c r="P84" s="15"/>
    </row>
    <row r="85" spans="2:16">
      <c r="B85" s="15"/>
      <c r="C85" s="15"/>
      <c r="D85" s="16"/>
      <c r="E85" s="16"/>
      <c r="F85" s="16"/>
      <c r="G85" s="16"/>
      <c r="H85" s="16"/>
      <c r="I85" s="16"/>
      <c r="J85" s="16"/>
      <c r="K85" s="15"/>
      <c r="L85" s="15"/>
      <c r="M85" s="15"/>
      <c r="N85" s="16"/>
      <c r="O85" s="15"/>
      <c r="P85" s="15"/>
    </row>
    <row r="86" spans="2:16">
      <c r="B86" s="15"/>
      <c r="C86" s="15"/>
      <c r="D86" s="16"/>
      <c r="E86" s="16"/>
      <c r="F86" s="16"/>
      <c r="G86" s="16"/>
      <c r="H86" s="16"/>
      <c r="I86" s="16"/>
      <c r="J86" s="16"/>
      <c r="K86" s="15"/>
      <c r="L86" s="15"/>
      <c r="M86" s="15"/>
      <c r="N86" s="16"/>
      <c r="O86" s="15"/>
      <c r="P86" s="15"/>
    </row>
    <row r="87" spans="2:16">
      <c r="B87" s="15"/>
      <c r="C87" s="15"/>
      <c r="D87" s="16"/>
      <c r="E87" s="16"/>
      <c r="F87" s="16"/>
      <c r="G87" s="16"/>
      <c r="H87" s="16"/>
      <c r="I87" s="16"/>
      <c r="J87" s="16"/>
      <c r="K87" s="15"/>
      <c r="L87" s="15"/>
      <c r="M87" s="15"/>
      <c r="N87" s="16"/>
      <c r="O87" s="15"/>
      <c r="P87" s="15"/>
    </row>
    <row r="88" spans="2:16">
      <c r="B88" s="15"/>
      <c r="C88" s="15"/>
      <c r="D88" s="16"/>
      <c r="E88" s="16"/>
      <c r="F88" s="16"/>
      <c r="G88" s="16"/>
      <c r="H88" s="16"/>
      <c r="I88" s="16"/>
      <c r="J88" s="16"/>
      <c r="K88" s="15"/>
      <c r="L88" s="15"/>
      <c r="M88" s="15"/>
      <c r="N88" s="16"/>
      <c r="O88" s="15"/>
      <c r="P88" s="15"/>
    </row>
    <row r="89" spans="2:16">
      <c r="B89" s="15"/>
      <c r="C89" s="15"/>
      <c r="D89" s="16"/>
      <c r="E89" s="16"/>
      <c r="F89" s="16"/>
      <c r="G89" s="16"/>
      <c r="H89" s="16"/>
      <c r="I89" s="16"/>
      <c r="J89" s="16"/>
      <c r="K89" s="15"/>
      <c r="L89" s="15"/>
      <c r="M89" s="15"/>
      <c r="N89" s="16"/>
      <c r="O89" s="15"/>
      <c r="P89" s="15"/>
    </row>
    <row r="90" spans="2:16">
      <c r="B90" s="15"/>
      <c r="C90" s="15"/>
      <c r="D90" s="16"/>
      <c r="E90" s="16"/>
      <c r="F90" s="16"/>
      <c r="G90" s="16"/>
      <c r="H90" s="16"/>
      <c r="I90" s="16"/>
      <c r="J90" s="16"/>
      <c r="K90" s="15"/>
      <c r="L90" s="15"/>
      <c r="M90" s="15"/>
      <c r="N90" s="16"/>
      <c r="O90" s="15"/>
      <c r="P90" s="15"/>
    </row>
    <row r="91" spans="2:16">
      <c r="B91" s="15"/>
      <c r="C91" s="15"/>
      <c r="D91" s="16"/>
      <c r="E91" s="16"/>
      <c r="F91" s="16"/>
      <c r="G91" s="16"/>
      <c r="H91" s="16"/>
      <c r="I91" s="16"/>
      <c r="J91" s="16"/>
      <c r="K91" s="15"/>
      <c r="L91" s="15"/>
      <c r="M91" s="15"/>
      <c r="N91" s="16"/>
      <c r="O91" s="15"/>
      <c r="P91" s="15"/>
    </row>
    <row r="92" spans="2:16">
      <c r="B92" s="15"/>
      <c r="C92" s="15"/>
      <c r="D92" s="16"/>
      <c r="E92" s="16"/>
      <c r="F92" s="16"/>
      <c r="G92" s="16"/>
      <c r="H92" s="16"/>
      <c r="I92" s="16"/>
      <c r="J92" s="16"/>
      <c r="K92" s="15"/>
      <c r="L92" s="15"/>
      <c r="M92" s="15"/>
      <c r="N92" s="16"/>
      <c r="O92" s="15"/>
      <c r="P92" s="15"/>
    </row>
    <row r="93" spans="2:16">
      <c r="B93" s="15"/>
      <c r="C93" s="15"/>
      <c r="D93" s="16"/>
      <c r="E93" s="16"/>
      <c r="F93" s="16"/>
      <c r="G93" s="16"/>
      <c r="H93" s="16"/>
      <c r="I93" s="16"/>
      <c r="J93" s="16"/>
      <c r="K93" s="15"/>
      <c r="L93" s="15"/>
      <c r="M93" s="15"/>
      <c r="N93" s="16"/>
      <c r="O93" s="15"/>
      <c r="P93" s="15"/>
    </row>
    <row r="94" spans="2:16">
      <c r="B94" s="15"/>
      <c r="C94" s="15"/>
      <c r="D94" s="16"/>
      <c r="E94" s="16"/>
      <c r="F94" s="16"/>
      <c r="G94" s="16"/>
      <c r="H94" s="16"/>
      <c r="I94" s="16"/>
      <c r="J94" s="16"/>
      <c r="K94" s="15"/>
      <c r="L94" s="15"/>
      <c r="M94" s="15"/>
      <c r="N94" s="16"/>
      <c r="O94" s="15"/>
      <c r="P94" s="15"/>
    </row>
    <row r="95" spans="2:16">
      <c r="B95" s="15"/>
      <c r="C95" s="15"/>
      <c r="D95" s="16"/>
      <c r="E95" s="16"/>
      <c r="F95" s="16"/>
      <c r="G95" s="16"/>
      <c r="H95" s="16"/>
      <c r="I95" s="16"/>
      <c r="J95" s="16"/>
      <c r="K95" s="15"/>
      <c r="L95" s="15"/>
      <c r="M95" s="15"/>
      <c r="N95" s="16"/>
      <c r="O95" s="15"/>
      <c r="P95" s="15"/>
    </row>
    <row r="96" spans="2:16">
      <c r="B96" s="15"/>
      <c r="C96" s="15"/>
      <c r="D96" s="16"/>
      <c r="E96" s="16"/>
      <c r="F96" s="16"/>
      <c r="G96" s="16"/>
      <c r="H96" s="16"/>
      <c r="I96" s="16"/>
      <c r="J96" s="16"/>
      <c r="K96" s="15"/>
      <c r="L96" s="15"/>
      <c r="M96" s="15"/>
      <c r="N96" s="16"/>
      <c r="O96" s="15"/>
      <c r="P96" s="15"/>
    </row>
    <row r="97" spans="2:16">
      <c r="B97" s="15"/>
      <c r="C97" s="15"/>
      <c r="D97" s="16"/>
      <c r="E97" s="16"/>
      <c r="F97" s="16"/>
      <c r="G97" s="16"/>
      <c r="H97" s="16"/>
      <c r="I97" s="16"/>
      <c r="J97" s="16"/>
      <c r="K97" s="15"/>
      <c r="L97" s="15"/>
      <c r="M97" s="15"/>
      <c r="N97" s="16"/>
      <c r="O97" s="15"/>
      <c r="P97" s="15"/>
    </row>
    <row r="98" spans="2:16">
      <c r="B98" s="15"/>
      <c r="C98" s="15"/>
      <c r="D98" s="16"/>
      <c r="E98" s="16"/>
      <c r="F98" s="16"/>
      <c r="G98" s="16"/>
      <c r="H98" s="16"/>
      <c r="I98" s="16"/>
      <c r="J98" s="16"/>
      <c r="K98" s="15"/>
      <c r="L98" s="15"/>
      <c r="M98" s="15"/>
      <c r="N98" s="16"/>
      <c r="O98" s="15"/>
      <c r="P98" s="15"/>
    </row>
    <row r="99" spans="2:16">
      <c r="B99" s="15"/>
      <c r="C99" s="15"/>
      <c r="D99" s="16"/>
      <c r="E99" s="16"/>
      <c r="F99" s="16"/>
      <c r="G99" s="16"/>
      <c r="H99" s="16"/>
      <c r="I99" s="16"/>
      <c r="J99" s="16"/>
      <c r="K99" s="15"/>
      <c r="L99" s="15"/>
      <c r="M99" s="15"/>
      <c r="N99" s="16"/>
      <c r="O99" s="15"/>
      <c r="P99" s="15"/>
    </row>
    <row r="100" spans="2:16">
      <c r="B100" s="15"/>
      <c r="C100" s="15"/>
      <c r="D100" s="16"/>
      <c r="E100" s="16"/>
      <c r="F100" s="16"/>
      <c r="G100" s="16"/>
      <c r="H100" s="16"/>
      <c r="I100" s="16"/>
      <c r="J100" s="16"/>
      <c r="K100" s="15"/>
      <c r="L100" s="15"/>
      <c r="M100" s="15"/>
      <c r="N100" s="16"/>
      <c r="O100" s="15"/>
      <c r="P100" s="15"/>
    </row>
    <row r="101" spans="2:16">
      <c r="B101" s="15"/>
      <c r="C101" s="15"/>
      <c r="D101" s="16"/>
      <c r="E101" s="16"/>
      <c r="F101" s="16"/>
      <c r="G101" s="16"/>
      <c r="H101" s="16"/>
      <c r="I101" s="16"/>
      <c r="J101" s="16"/>
      <c r="K101" s="15"/>
      <c r="L101" s="15"/>
      <c r="M101" s="15"/>
      <c r="N101" s="16"/>
      <c r="O101" s="15"/>
      <c r="P101" s="15"/>
    </row>
    <row r="102" spans="2:16">
      <c r="B102" s="15"/>
      <c r="C102" s="15"/>
      <c r="D102" s="16"/>
      <c r="E102" s="16"/>
      <c r="F102" s="16"/>
      <c r="G102" s="16"/>
      <c r="H102" s="16"/>
      <c r="I102" s="16"/>
      <c r="J102" s="16"/>
      <c r="K102" s="15"/>
      <c r="L102" s="15"/>
      <c r="M102" s="15"/>
      <c r="N102" s="16"/>
      <c r="O102" s="15"/>
      <c r="P102" s="15"/>
    </row>
    <row r="103" spans="2:16">
      <c r="B103" s="15"/>
      <c r="C103" s="15"/>
      <c r="D103" s="16"/>
      <c r="E103" s="16"/>
      <c r="F103" s="16"/>
      <c r="G103" s="16"/>
      <c r="H103" s="16"/>
      <c r="I103" s="16"/>
      <c r="J103" s="16"/>
      <c r="K103" s="15"/>
      <c r="L103" s="15"/>
      <c r="M103" s="15"/>
      <c r="N103" s="16"/>
      <c r="O103" s="15"/>
      <c r="P103" s="15"/>
    </row>
  </sheetData>
  <mergeCells count="21">
    <mergeCell ref="D5:H5"/>
    <mergeCell ref="C3:G3"/>
    <mergeCell ref="E25:F25"/>
    <mergeCell ref="M9:O10"/>
    <mergeCell ref="M8:O8"/>
    <mergeCell ref="M15:N15"/>
    <mergeCell ref="D13:H13"/>
    <mergeCell ref="E26:F26"/>
    <mergeCell ref="D7:H7"/>
    <mergeCell ref="D8:H8"/>
    <mergeCell ref="D9:H9"/>
    <mergeCell ref="D10:H10"/>
    <mergeCell ref="D11:H11"/>
    <mergeCell ref="D12:H12"/>
    <mergeCell ref="C19:G19"/>
    <mergeCell ref="D14:H14"/>
    <mergeCell ref="E21:F21"/>
    <mergeCell ref="E22:F22"/>
    <mergeCell ref="E23:F23"/>
    <mergeCell ref="E24:F24"/>
    <mergeCell ref="D15:H15"/>
  </mergeCells>
  <dataValidations count="11">
    <dataValidation type="list" allowBlank="1" showInputMessage="1" showErrorMessage="1" sqref="T25" xr:uid="{00000000-0002-0000-0500-000000000000}">
      <formula1>"Strength,Dexterity,Constitution,Intelligence,Wisdom,Charisma"</formula1>
    </dataValidation>
    <dataValidation type="list" allowBlank="1" showInputMessage="1" showErrorMessage="1" sqref="T22" xr:uid="{00000000-0002-0000-0500-000001000000}">
      <formula1>"Endurance,Mechanics,Survival,Pilot,Treat Injury"</formula1>
    </dataValidation>
    <dataValidation type="list" allowBlank="1" showInputMessage="1" showErrorMessage="1" promptTitle="Droid" prompt="If selecting 'Droid' as species, please first click the 'Unhide Droid' button above and complete Degree, Size and Locomition Type and Speed on the Droids page." sqref="D5:H5" xr:uid="{00000000-0002-0000-0500-000002000000}">
      <formula1>RaceList</formula1>
    </dataValidation>
    <dataValidation type="list" allowBlank="1" showInputMessage="1" showErrorMessage="1" sqref="D15:H15" xr:uid="{00000000-0002-0000-0500-000003000000}">
      <formula1>"Knights of the Old Republic,Old Republic,Rise of the Empire,Dark Times,Rebellion,New Jedi Order,Legacy,Infinities"</formula1>
    </dataValidation>
    <dataValidation type="list" allowBlank="1" showInputMessage="1" showErrorMessage="1" sqref="M8:O8" xr:uid="{00000000-0002-0000-0500-000004000000}">
      <formula1>DestinyList</formula1>
    </dataValidation>
    <dataValidation type="list" allowBlank="1" showInputMessage="1" showErrorMessage="1" sqref="D13:H13" xr:uid="{00000000-0002-0000-0500-000005000000}">
      <formula1>"Male,Female,Hermaphrodite,Eunich"</formula1>
    </dataValidation>
    <dataValidation type="list" allowBlank="1" showInputMessage="1" showErrorMessage="1" sqref="T21" xr:uid="{00000000-0002-0000-0500-000006000000}">
      <formula1>"Strength,Dexterity"</formula1>
    </dataValidation>
    <dataValidation type="whole" allowBlank="1" showInputMessage="1" showErrorMessage="1" sqref="H21:L26" xr:uid="{00000000-0002-0000-0500-000007000000}">
      <formula1>0</formula1>
      <formula2>1</formula2>
    </dataValidation>
    <dataValidation type="list" allowBlank="1" showInputMessage="1" showErrorMessage="1" sqref="AJ4" xr:uid="{00000000-0002-0000-0500-000008000000}">
      <formula1>SizeList</formula1>
    </dataValidation>
    <dataValidation type="list" allowBlank="1" showInputMessage="1" showErrorMessage="1" sqref="T28" xr:uid="{00000000-0002-0000-0500-000009000000}">
      <formula1>"Knowledge (Bureaucracy),Knowledge (Galactic Lore),Knowledge (Life Sciences),Knowledge (Physical Sciences),Knowledge (Social Sciences),Knowledge (Tactics),Knowledge (Technology)"</formula1>
    </dataValidation>
    <dataValidation type="list" allowBlank="1" showInputMessage="1" showErrorMessage="1" sqref="AJ9" xr:uid="{00000000-0002-0000-0500-00000A000000}">
      <formula1>BackgroundList</formula1>
    </dataValidation>
  </dataValidations>
  <pageMargins left="0.7" right="0.7" top="0.75" bottom="0.75" header="0.3" footer="0.3"/>
  <pageSetup paperSize="9" orientation="portrait" r:id="rId1"/>
  <ignoredErrors>
    <ignoredError sqref="G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ClearCharacter">
                <anchor moveWithCells="1" sizeWithCells="1">
                  <from>
                    <xdr:col>13</xdr:col>
                    <xdr:colOff>114300</xdr:colOff>
                    <xdr:row>1</xdr:row>
                    <xdr:rowOff>107950</xdr:rowOff>
                  </from>
                  <to>
                    <xdr:col>14</xdr:col>
                    <xdr:colOff>336550</xdr:colOff>
                    <xdr:row>3</xdr:row>
                    <xdr:rowOff>12700</xdr:rowOff>
                  </to>
                </anchor>
              </controlPr>
            </control>
          </mc:Choice>
        </mc:AlternateContent>
        <mc:AlternateContent xmlns:mc="http://schemas.openxmlformats.org/markup-compatibility/2006">
          <mc:Choice Requires="x14">
            <control shapeId="2057" r:id="rId5" name="Button 9">
              <controlPr defaultSize="0" print="0" autoFill="0" autoPict="0" macro="[0]!UnhideDroids">
                <anchor moveWithCells="1" sizeWithCells="1">
                  <from>
                    <xdr:col>11</xdr:col>
                    <xdr:colOff>152400</xdr:colOff>
                    <xdr:row>1</xdr:row>
                    <xdr:rowOff>107950</xdr:rowOff>
                  </from>
                  <to>
                    <xdr:col>13</xdr:col>
                    <xdr:colOff>69850</xdr:colOff>
                    <xdr:row>3</xdr:row>
                    <xdr:rowOff>12700</xdr:rowOff>
                  </to>
                </anchor>
              </controlPr>
            </control>
          </mc:Choice>
        </mc:AlternateContent>
        <mc:AlternateContent xmlns:mc="http://schemas.openxmlformats.org/markup-compatibility/2006">
          <mc:Choice Requires="x14">
            <control shapeId="2058" r:id="rId6" name="Button 10">
              <controlPr defaultSize="0" print="0" autoFill="0" autoPict="0" macro="[0]!UnhideBeasts">
                <anchor moveWithCells="1" sizeWithCells="1">
                  <from>
                    <xdr:col>9</xdr:col>
                    <xdr:colOff>114300</xdr:colOff>
                    <xdr:row>1</xdr:row>
                    <xdr:rowOff>107950</xdr:rowOff>
                  </from>
                  <to>
                    <xdr:col>11</xdr:col>
                    <xdr:colOff>114300</xdr:colOff>
                    <xdr:row>3</xdr:row>
                    <xdr:rowOff>12700</xdr:rowOff>
                  </to>
                </anchor>
              </controlPr>
            </control>
          </mc:Choice>
        </mc:AlternateContent>
        <mc:AlternateContent xmlns:mc="http://schemas.openxmlformats.org/markup-compatibility/2006">
          <mc:Choice Requires="x14">
            <control shapeId="2061" r:id="rId7" name="Button 13">
              <controlPr defaultSize="0" print="0" autoFill="0" autoPict="0" macro="[0]!UnhideNearHumans">
                <anchor moveWithCells="1" sizeWithCells="1">
                  <from>
                    <xdr:col>6</xdr:col>
                    <xdr:colOff>203200</xdr:colOff>
                    <xdr:row>1</xdr:row>
                    <xdr:rowOff>114300</xdr:rowOff>
                  </from>
                  <to>
                    <xdr:col>9</xdr:col>
                    <xdr:colOff>76200</xdr:colOff>
                    <xdr:row>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B1:AJ445"/>
  <sheetViews>
    <sheetView showGridLines="0" zoomScaleNormal="100" workbookViewId="0">
      <pane ySplit="8" topLeftCell="A9" activePane="bottomLeft" state="frozen"/>
      <selection pane="bottomLeft" activeCell="H9" sqref="H9"/>
    </sheetView>
  </sheetViews>
  <sheetFormatPr defaultColWidth="26.1796875" defaultRowHeight="14.5"/>
  <cols>
    <col min="1" max="1" width="3.453125" style="52" customWidth="1"/>
    <col min="2" max="2" width="3.1796875" style="52" customWidth="1"/>
    <col min="3" max="3" width="25.54296875" style="52" customWidth="1"/>
    <col min="4" max="4" width="14.453125" style="52" customWidth="1"/>
    <col min="5" max="5" width="48.54296875" style="53" customWidth="1"/>
    <col min="6" max="6" width="134.1796875" style="54" hidden="1" customWidth="1"/>
    <col min="7" max="7" width="9.1796875" style="54" customWidth="1"/>
    <col min="8" max="8" width="9.54296875" style="54" customWidth="1"/>
    <col min="9" max="14" width="9.1796875" style="54" customWidth="1"/>
    <col min="15" max="15" width="3.1796875" style="52" customWidth="1"/>
    <col min="16" max="16" width="6.453125" style="52" hidden="1" customWidth="1"/>
    <col min="17" max="17" width="3.1796875" style="660" hidden="1" customWidth="1"/>
    <col min="18" max="18" width="15.26953125" style="660" hidden="1" customWidth="1"/>
    <col min="19" max="19" width="3.7265625" style="1464" hidden="1" customWidth="1"/>
    <col min="20" max="26" width="3.7265625" style="54" hidden="1" customWidth="1"/>
    <col min="27" max="27" width="26.1796875" style="1563" hidden="1" customWidth="1"/>
    <col min="28" max="28" width="26.1796875" style="1565" hidden="1" customWidth="1"/>
    <col min="29" max="29" width="29.453125" style="1467" hidden="1" customWidth="1"/>
    <col min="30" max="34" width="26.1796875" style="1467" hidden="1" customWidth="1"/>
    <col min="35" max="35" width="26.1796875" style="1463" hidden="1" customWidth="1"/>
    <col min="36" max="16384" width="26.1796875" style="52"/>
  </cols>
  <sheetData>
    <row r="1" spans="2:35" ht="15" thickBot="1">
      <c r="AB1" s="1564"/>
    </row>
    <row r="2" spans="2:35">
      <c r="B2" s="55"/>
      <c r="C2" s="56"/>
      <c r="D2" s="56"/>
      <c r="E2" s="57"/>
      <c r="F2" s="58"/>
      <c r="G2" s="58"/>
      <c r="H2" s="58"/>
      <c r="I2" s="58"/>
      <c r="J2" s="58"/>
      <c r="K2" s="58"/>
      <c r="L2" s="58"/>
      <c r="M2" s="58"/>
      <c r="N2" s="58"/>
      <c r="O2" s="59"/>
      <c r="P2" s="660"/>
      <c r="T2" s="54">
        <f t="shared" ref="T2:Z2" si="0">INDEX(ClassTable,T3,25)</f>
        <v>0</v>
      </c>
      <c r="U2" s="54">
        <f t="shared" si="0"/>
        <v>0</v>
      </c>
      <c r="V2" s="54">
        <f t="shared" si="0"/>
        <v>0</v>
      </c>
      <c r="W2" s="54">
        <f t="shared" si="0"/>
        <v>0</v>
      </c>
      <c r="X2" s="54">
        <f>INDEX(ClassTable,X3,25)</f>
        <v>0</v>
      </c>
      <c r="Y2" s="54">
        <f t="shared" si="0"/>
        <v>0</v>
      </c>
      <c r="Z2" s="54">
        <f t="shared" si="0"/>
        <v>0</v>
      </c>
    </row>
    <row r="3" spans="2:35" ht="21">
      <c r="B3" s="60"/>
      <c r="C3" s="70" t="s">
        <v>80</v>
      </c>
      <c r="D3" s="61"/>
      <c r="E3" s="62"/>
      <c r="F3" s="63"/>
      <c r="G3" s="63"/>
      <c r="H3" s="63"/>
      <c r="I3" s="63"/>
      <c r="J3" s="63"/>
      <c r="K3" s="63"/>
      <c r="L3" s="63"/>
      <c r="M3" s="63"/>
      <c r="N3" s="63"/>
      <c r="O3" s="64"/>
      <c r="P3" s="660"/>
      <c r="T3" s="54">
        <v>2</v>
      </c>
      <c r="U3" s="54">
        <v>3</v>
      </c>
      <c r="V3" s="54">
        <v>4</v>
      </c>
      <c r="W3" s="54">
        <v>5</v>
      </c>
      <c r="X3" s="54">
        <v>6</v>
      </c>
      <c r="Y3" s="54">
        <v>7</v>
      </c>
      <c r="Z3" s="54">
        <v>25</v>
      </c>
    </row>
    <row r="4" spans="2:35">
      <c r="B4" s="60"/>
      <c r="C4" s="61"/>
      <c r="D4" s="61"/>
      <c r="E4" s="62"/>
      <c r="F4" s="63"/>
      <c r="G4" s="63"/>
      <c r="H4" s="63"/>
      <c r="I4" s="63"/>
      <c r="J4" s="63"/>
      <c r="K4" s="63"/>
      <c r="L4" s="63"/>
      <c r="M4" s="63"/>
      <c r="N4" s="63"/>
      <c r="O4" s="64"/>
      <c r="P4" s="660"/>
      <c r="S4" s="1465"/>
      <c r="T4" s="16">
        <f>IF(COUNTIF(Class!H6:H25,2),1,0)</f>
        <v>0</v>
      </c>
      <c r="U4" s="16">
        <f>IF(COUNTIF(Class!H6:H25,U3),1,0)</f>
        <v>0</v>
      </c>
      <c r="V4" s="16">
        <f>IF(COUNTIF(Class!H6:H25,V3),1,0)</f>
        <v>0</v>
      </c>
      <c r="W4" s="16">
        <f>IF(COUNTIF(Class!H6:H25,W3),1,0)</f>
        <v>0</v>
      </c>
      <c r="X4" s="16">
        <f>IF(COUNTIF(Class!H6:H25,X3),1,0)</f>
        <v>0</v>
      </c>
      <c r="Y4" s="16">
        <f>IF(COUNTIF(Class!H6:H25,Y3),1,0)</f>
        <v>0</v>
      </c>
      <c r="Z4" s="16">
        <f>IF(COUNTIF(Class!H6:H25,Z3),1,0)</f>
        <v>0</v>
      </c>
    </row>
    <row r="5" spans="2:35" ht="29">
      <c r="B5" s="60"/>
      <c r="C5" s="715" t="s">
        <v>2253</v>
      </c>
      <c r="D5" s="62">
        <f>IF(CharacterLevel&gt;0,INT(CharacterLevel/3)+1+IF(NOT(ISERROR(FIND("Bonus Feat",SpeciesTraitsList,1))),1,0)+IF(NOT(ISERROR(FIND("Bonus Armor Feat",SpeciesTraitsList,1))),1,0)+IF(NOT(ISERROR(FIND("Bonus Weapon Feat",SpeciesTraitsList,1))),1,0)-COUNTIF(H9:H442,"Yes")-SUM(H9:H442),0)+LevelFeatBonus</f>
        <v>0</v>
      </c>
      <c r="E5" s="1431" t="s">
        <v>2254</v>
      </c>
      <c r="F5" s="63"/>
      <c r="G5" s="63"/>
      <c r="H5" s="63"/>
      <c r="I5" s="63"/>
      <c r="J5" s="63"/>
      <c r="K5" s="63"/>
      <c r="L5" s="63"/>
      <c r="M5" s="63"/>
      <c r="N5" s="63"/>
      <c r="O5" s="64"/>
      <c r="P5" s="660"/>
      <c r="R5" s="1270" t="s">
        <v>4633</v>
      </c>
      <c r="S5" s="1784" t="s">
        <v>154</v>
      </c>
      <c r="T5" s="1783" t="s">
        <v>191</v>
      </c>
      <c r="U5" s="1783" t="s">
        <v>234</v>
      </c>
      <c r="V5" s="1783" t="s">
        <v>279</v>
      </c>
      <c r="W5" s="1783" t="s">
        <v>317</v>
      </c>
      <c r="X5" s="1783" t="s">
        <v>350</v>
      </c>
      <c r="Y5" s="1783" t="s">
        <v>378</v>
      </c>
      <c r="Z5" s="1783" t="s">
        <v>65</v>
      </c>
      <c r="AC5" s="1567" t="s">
        <v>8294</v>
      </c>
    </row>
    <row r="6" spans="2:35">
      <c r="B6" s="60"/>
      <c r="C6" s="61"/>
      <c r="D6" s="62">
        <f>SUM(T2:Z2)-COUNTIF(I9:I442,"Yes")-SUM(I9:I442)+ClassFeatBonus</f>
        <v>0</v>
      </c>
      <c r="E6" s="1431" t="s">
        <v>2255</v>
      </c>
      <c r="F6" s="63"/>
      <c r="G6" s="63"/>
      <c r="H6" s="63"/>
      <c r="I6" s="1781" t="s">
        <v>2542</v>
      </c>
      <c r="J6" s="63"/>
      <c r="K6" s="63"/>
      <c r="L6" s="63"/>
      <c r="M6" s="63"/>
      <c r="N6" s="63"/>
      <c r="O6" s="64"/>
      <c r="P6" s="660"/>
      <c r="R6" s="1271" t="s">
        <v>6149</v>
      </c>
      <c r="S6" s="1784"/>
      <c r="T6" s="1783"/>
      <c r="U6" s="1783"/>
      <c r="V6" s="1783"/>
      <c r="W6" s="1783"/>
      <c r="X6" s="1783"/>
      <c r="Y6" s="1783"/>
      <c r="Z6" s="1783"/>
    </row>
    <row r="7" spans="2:35">
      <c r="B7" s="60"/>
      <c r="C7" s="61"/>
      <c r="D7" s="61"/>
      <c r="E7" s="62"/>
      <c r="F7" s="63"/>
      <c r="G7" s="63"/>
      <c r="H7" s="1781" t="s">
        <v>2539</v>
      </c>
      <c r="I7" s="1781"/>
      <c r="J7" s="1781" t="s">
        <v>2537</v>
      </c>
      <c r="K7" s="1781" t="s">
        <v>2540</v>
      </c>
      <c r="L7" s="63"/>
      <c r="M7" s="63"/>
      <c r="N7" s="63"/>
      <c r="O7" s="64"/>
      <c r="P7" s="660"/>
      <c r="R7" s="1270" t="s">
        <v>6150</v>
      </c>
      <c r="S7" s="1784"/>
      <c r="T7" s="1783"/>
      <c r="U7" s="1783"/>
      <c r="V7" s="1783"/>
      <c r="W7" s="1783"/>
      <c r="X7" s="1783"/>
      <c r="Y7" s="1783"/>
      <c r="Z7" s="1783"/>
    </row>
    <row r="8" spans="2:35">
      <c r="B8" s="60"/>
      <c r="C8" s="71" t="s">
        <v>111</v>
      </c>
      <c r="D8" s="71"/>
      <c r="E8" s="72" t="s">
        <v>2256</v>
      </c>
      <c r="F8" s="1675" t="s">
        <v>56</v>
      </c>
      <c r="G8" s="73" t="s">
        <v>820</v>
      </c>
      <c r="H8" s="1782"/>
      <c r="I8" s="1782"/>
      <c r="J8" s="1782"/>
      <c r="K8" s="1782"/>
      <c r="L8" s="73" t="s">
        <v>2538</v>
      </c>
      <c r="M8" s="73" t="s">
        <v>2257</v>
      </c>
      <c r="N8" s="73" t="s">
        <v>2258</v>
      </c>
      <c r="O8" s="64"/>
      <c r="P8" s="660"/>
      <c r="R8" s="1270" t="s">
        <v>3669</v>
      </c>
      <c r="S8" s="1784"/>
      <c r="T8" s="1783"/>
      <c r="U8" s="1783"/>
      <c r="V8" s="1783"/>
      <c r="W8" s="1783"/>
      <c r="X8" s="1783"/>
      <c r="Y8" s="1783"/>
      <c r="Z8" s="1783"/>
      <c r="AC8" s="1467" t="str">
        <f t="shared" ref="AC8:AH8" ca="1" si="1">AC9</f>
        <v/>
      </c>
      <c r="AD8" s="1467" t="str">
        <f t="shared" ca="1" si="1"/>
        <v/>
      </c>
      <c r="AE8" s="1467" t="str">
        <f t="shared" ca="1" si="1"/>
        <v/>
      </c>
      <c r="AF8" s="1365" t="str">
        <f t="shared" ca="1" si="1"/>
        <v/>
      </c>
      <c r="AG8" s="1365" t="str">
        <f t="shared" ca="1" si="1"/>
        <v/>
      </c>
      <c r="AH8" s="1365" t="str">
        <f t="shared" ca="1" si="1"/>
        <v/>
      </c>
      <c r="AI8" s="1463" t="str">
        <f ca="1">FeatsTakenList</f>
        <v/>
      </c>
    </row>
    <row r="9" spans="2:35">
      <c r="B9" s="60"/>
      <c r="C9" s="61" t="s">
        <v>2259</v>
      </c>
      <c r="D9" s="61"/>
      <c r="E9" s="62" t="s">
        <v>2260</v>
      </c>
      <c r="F9" s="1694" t="s">
        <v>5511</v>
      </c>
      <c r="G9" s="63" t="str">
        <f ca="1">IF(AND(M74=1,M339=1),"Yes","No")</f>
        <v>No</v>
      </c>
      <c r="H9" s="76"/>
      <c r="I9" s="63"/>
      <c r="J9" s="63" t="str">
        <f>IF(COUNTIF(T9:Z9,2)&gt;0,IF(G9="Yes","Class",""),IF(COUNTIF(T9:Z9,3)&gt;0,IF(COUNTIF(MulticlassFeats,Feats!C9&amp;IF(Feats!D9&lt;&gt;""," ("&amp;Feats!D9&amp;")","")),"Multi",""),""))</f>
        <v/>
      </c>
      <c r="K9" s="63" t="str">
        <f t="shared" ref="K9:K72" ca="1" si="2">IF(OR(NOT(ISERROR(FIND(C9,INDEX(RaceListTable,RaceIndex,39),1))),NOT(ISERROR(FIND(C9,INDEX(RaceListTable,RaceIndex,40),1)))),"Racial","")</f>
        <v/>
      </c>
      <c r="L9" s="63" t="str">
        <f t="shared" ref="L9:L72" ca="1" si="3">IF(AND(G9="Yes",OR(H9&lt;&gt;"",I9&lt;&gt;"",J9&lt;&gt;"",K9&lt;&gt;"")),"Yes","No")</f>
        <v>No</v>
      </c>
      <c r="M9" s="63">
        <f t="shared" ref="M9:M40" ca="1" si="4">IF(L9="Yes",1,0)</f>
        <v>0</v>
      </c>
      <c r="N9" s="63" t="s">
        <v>2261</v>
      </c>
      <c r="O9" s="64"/>
      <c r="P9" s="660"/>
      <c r="Q9" s="661"/>
      <c r="R9" s="661" t="s">
        <v>4060</v>
      </c>
      <c r="AB9" s="1566" t="str">
        <f t="shared" ref="AB9:AB40" ca="1" si="5">IF(OR(H9&lt;&gt;"",I9&lt;&gt;"",J9&lt;&gt;"",K9&lt;&gt;""),C9&amp;IF(D9&lt;&gt;""," ("&amp;D9&amp;")",""),"")</f>
        <v/>
      </c>
      <c r="AC9" s="1365" t="str">
        <f ca="1">IF(AB9&lt;&gt;"",AB9&amp;";"&amp;AC10,AC10)</f>
        <v/>
      </c>
      <c r="AD9" s="1365" t="str">
        <f ca="1">IF(AB9&lt;&gt;"",N9&amp;";"&amp;AD10,AD10)</f>
        <v/>
      </c>
      <c r="AE9" s="1365" t="str">
        <f ca="1">IF(AB9&lt;&gt;"",IF(R9="Att Options",AB9&amp;IF(AE10&lt;&gt;"",", ",""),"")&amp;AE10,AE10)</f>
        <v/>
      </c>
      <c r="AF9" s="1365" t="str">
        <f ca="1">IF(AB9&lt;&gt;"",IF(R9="Special Actions",AB9&amp;IF(AF10&lt;&gt;"",", ",""),"")&amp;AF10,AF10)</f>
        <v/>
      </c>
      <c r="AG9" s="1467" t="str">
        <f ca="1">IF(AB9&lt;&gt;"",IF(R9="Defenses",AB9&amp;IF(AG10&lt;&gt;"",", ",""),"")&amp;AG10,AG10)</f>
        <v/>
      </c>
      <c r="AH9" s="1467" t="str">
        <f ca="1">IF(AB9&lt;&gt;"",IF(R9="Speed",AB9&amp;IF(AH10&lt;&gt;"",", ",""),"")&amp;AH10,AH10)</f>
        <v/>
      </c>
    </row>
    <row r="10" spans="2:35">
      <c r="B10" s="60"/>
      <c r="C10" s="61" t="s">
        <v>2262</v>
      </c>
      <c r="D10" s="61"/>
      <c r="E10" s="62" t="s">
        <v>2263</v>
      </c>
      <c r="F10" s="1694" t="s">
        <v>5512</v>
      </c>
      <c r="G10" s="63" t="str">
        <f>IF(AND(CharacterLevel&gt;0,BAB&gt;=6),"Yes","No")</f>
        <v>No</v>
      </c>
      <c r="H10" s="76"/>
      <c r="I10" s="63"/>
      <c r="J10" s="63" t="str">
        <f>IF(COUNTIF(T10:Z10,2)&gt;0,IF(G10="Yes","Class",""),IF(COUNTIF(T10:Z10,3)&gt;0,IF(COUNTIF(MulticlassFeats,Feats!C10&amp;IF(Feats!D10&lt;&gt;""," ("&amp;Feats!D10&amp;")","")),"Multi",""),""))</f>
        <v/>
      </c>
      <c r="K10" s="63" t="str">
        <f t="shared" ca="1" si="2"/>
        <v/>
      </c>
      <c r="L10" s="63" t="str">
        <f t="shared" ca="1" si="3"/>
        <v>No</v>
      </c>
      <c r="M10" s="63">
        <f t="shared" ca="1" si="4"/>
        <v>0</v>
      </c>
      <c r="N10" s="63" t="s">
        <v>2264</v>
      </c>
      <c r="O10" s="64"/>
      <c r="P10" s="660"/>
      <c r="Q10" s="661"/>
      <c r="R10" s="661" t="s">
        <v>4059</v>
      </c>
      <c r="T10" s="54">
        <f>IF(JediFeats&gt;0,1,0)</f>
        <v>0</v>
      </c>
      <c r="X10" s="54">
        <f>IF(SoldierFeats&gt;0,1,0)</f>
        <v>0</v>
      </c>
      <c r="AB10" s="1566" t="str">
        <f t="shared" ca="1" si="5"/>
        <v/>
      </c>
      <c r="AC10" s="1365" t="str">
        <f ca="1">IF(AB10&lt;&gt;"",AB10&amp;";"&amp;AC11,AC11)</f>
        <v/>
      </c>
      <c r="AD10" s="1365" t="str">
        <f ca="1">IF(AB10&lt;&gt;"",N10&amp;";"&amp;AD11,AD11)</f>
        <v/>
      </c>
      <c r="AE10" s="1365" t="str">
        <f ca="1">IF(AB10&lt;&gt;"",IF(R10="Att Options",AB10&amp;IF(AE11&lt;&gt;"",", ",""),"")&amp;AE11,AE11)</f>
        <v/>
      </c>
      <c r="AF10" s="1365" t="str">
        <f ca="1">IF(AB10&lt;&gt;"",IF(R10="Special Actions",AB10&amp;IF(AF11&lt;&gt;"",", ",""),"")&amp;AF11,AF11)</f>
        <v/>
      </c>
      <c r="AG10" s="1467" t="str">
        <f ca="1">IF(AB10&lt;&gt;"",IF(R10="Defenses",AB10&amp;IF(AG11&lt;&gt;"",", ",""),"")&amp;AG11,AG11)</f>
        <v/>
      </c>
      <c r="AH10" s="1467" t="str">
        <f ca="1">IF(AB10&lt;&gt;"",IF(R10="Speed",AB10&amp;IF(AH11&lt;&gt;"",", ",""),"")&amp;AH11,AH11)</f>
        <v/>
      </c>
    </row>
    <row r="11" spans="2:35">
      <c r="B11" s="60"/>
      <c r="C11" s="1462" t="s">
        <v>8224</v>
      </c>
      <c r="D11" s="1462"/>
      <c r="E11" s="1462" t="s">
        <v>8223</v>
      </c>
      <c r="F11" s="1695" t="s">
        <v>8222</v>
      </c>
      <c r="G11" s="63" t="str">
        <f>IF(AND(Dexterity&gt;=13,Strength&gt;=13,OR(TAcrobatics="Yes",STAcrobatics="Yes")),"Yes","No")</f>
        <v>No</v>
      </c>
      <c r="H11" s="76"/>
      <c r="I11" s="63"/>
      <c r="J11" s="63" t="str">
        <f>IF(COUNTIF(T11:Z11,2)&gt;0,IF(G11="Yes","Class",""),IF(COUNTIF(T11:Z11,3)&gt;0,IF(COUNTIF(MulticlassFeats,Feats!A31&amp;IF(Feats!B31&lt;&gt;""," ("&amp;Feats!B31&amp;")","")),"Multi",""),""))</f>
        <v/>
      </c>
      <c r="K11" s="63" t="str">
        <f t="shared" ca="1" si="2"/>
        <v/>
      </c>
      <c r="L11" s="63" t="str">
        <f t="shared" ca="1" si="3"/>
        <v>No</v>
      </c>
      <c r="M11" s="63">
        <f t="shared" ca="1" si="4"/>
        <v>0</v>
      </c>
      <c r="N11" s="1461" t="s">
        <v>8166</v>
      </c>
      <c r="O11" s="64"/>
      <c r="P11" s="1559"/>
      <c r="R11" s="661"/>
      <c r="S11" s="1463"/>
      <c r="T11" s="660"/>
      <c r="U11" s="660"/>
      <c r="V11" s="54">
        <f>IF(ScoundrelFeats&gt;0,1,0)</f>
        <v>0</v>
      </c>
      <c r="W11" s="660"/>
      <c r="X11" s="660"/>
      <c r="Y11" s="660"/>
      <c r="Z11" s="1562"/>
      <c r="AA11" s="1568"/>
      <c r="AB11" s="1566" t="str">
        <f t="shared" ca="1" si="5"/>
        <v/>
      </c>
      <c r="AC11" s="1365" t="str">
        <f ca="1">IF(AB13&lt;&gt;"",AB13&amp;";"&amp;AC12,AC12)</f>
        <v/>
      </c>
      <c r="AD11" s="1365" t="str">
        <f ca="1">IF(AB13&lt;&gt;"",N13&amp;";"&amp;AD12,AD12)</f>
        <v/>
      </c>
      <c r="AE11" s="1365" t="str">
        <f ca="1">IF(AB13&lt;&gt;"",IF(R13="Att Options",AB13&amp;IF(AE12&lt;&gt;"",", ",""),"")&amp;AE12,AE12)</f>
        <v/>
      </c>
      <c r="AF11" s="1365" t="str">
        <f ca="1">IF(AB13&lt;&gt;"",IF(R13="Special Actions",AB13&amp;IF(AF12&lt;&gt;"",", ",""),"")&amp;AF12,AF12)</f>
        <v/>
      </c>
      <c r="AG11" s="1467" t="str">
        <f ca="1">IF(AB13&lt;&gt;"",IF(R13="Defenses",AB13&amp;IF(AG12&lt;&gt;"",", ",""),"")&amp;AG12,AG12)</f>
        <v/>
      </c>
      <c r="AH11" s="1467" t="str">
        <f ca="1">IF(AB13&lt;&gt;"",IF(R13="Speed",AB13&amp;IF(AH12&lt;&gt;"",", ",""),"")&amp;AH12,AH12)</f>
        <v/>
      </c>
    </row>
    <row r="12" spans="2:35">
      <c r="B12" s="60"/>
      <c r="C12" s="1462" t="s">
        <v>8221</v>
      </c>
      <c r="D12" s="1462"/>
      <c r="E12" s="1462" t="s">
        <v>8297</v>
      </c>
      <c r="F12" s="1695" t="s">
        <v>8220</v>
      </c>
      <c r="G12" s="63" t="str">
        <f ca="1">IF(AND(CharacterLevel&gt;0,Dexterity&gt;=13,$M$213&gt;0,OR(TAcrobatics="Yes",STAcrobatics="Yes"),OR(FAcrobatics="Yes",Skills!J11="Yes")),"Yes","No")</f>
        <v>No</v>
      </c>
      <c r="H12" s="76"/>
      <c r="I12" s="63"/>
      <c r="J12" s="63" t="str">
        <f>IF(COUNTIF(T12:Z12,2)&gt;0,IF(G12="Yes","Class",""),IF(COUNTIF(T12:Z12,3)&gt;0,IF(COUNTIF(MulticlassFeats,Feats!A32&amp;IF(Feats!B32&lt;&gt;""," ("&amp;Feats!B32&amp;")","")),"Multi",""),""))</f>
        <v/>
      </c>
      <c r="K12" s="63" t="str">
        <f t="shared" ca="1" si="2"/>
        <v/>
      </c>
      <c r="L12" s="63" t="str">
        <f t="shared" ca="1" si="3"/>
        <v>No</v>
      </c>
      <c r="M12" s="63">
        <f t="shared" ca="1" si="4"/>
        <v>0</v>
      </c>
      <c r="N12" s="1461" t="s">
        <v>8166</v>
      </c>
      <c r="O12" s="64"/>
      <c r="P12" s="1559"/>
      <c r="R12" s="661"/>
      <c r="S12" s="1463"/>
      <c r="T12" s="660"/>
      <c r="U12" s="660"/>
      <c r="V12" s="54">
        <f>IF(ScoundrelFeats&gt;0,1,0)</f>
        <v>0</v>
      </c>
      <c r="W12" s="660"/>
      <c r="X12" s="660"/>
      <c r="Y12" s="660"/>
      <c r="Z12" s="1562"/>
      <c r="AA12" s="1568"/>
      <c r="AB12" s="1566" t="str">
        <f t="shared" ca="1" si="5"/>
        <v/>
      </c>
      <c r="AC12" s="1365" t="str">
        <f t="shared" ref="AC12:AC34" ca="1" si="6">IF(AB15&lt;&gt;"",AB15&amp;";"&amp;AC13,AC13)</f>
        <v/>
      </c>
      <c r="AD12" s="1365" t="str">
        <f t="shared" ref="AD12:AD34" ca="1" si="7">IF(AB15&lt;&gt;"",N15&amp;";"&amp;AD13,AD13)</f>
        <v/>
      </c>
      <c r="AE12" s="1365" t="str">
        <f t="shared" ref="AE12:AE34" ca="1" si="8">IF(AB15&lt;&gt;"",IF(R15="Att Options",AB15&amp;IF(AE13&lt;&gt;"",", ",""),"")&amp;AE13,AE13)</f>
        <v/>
      </c>
      <c r="AF12" s="1365" t="str">
        <f t="shared" ref="AF12:AF34" ca="1" si="9">IF(AB15&lt;&gt;"",IF(R15="Special Actions",AB15&amp;IF(AF13&lt;&gt;"",", ",""),"")&amp;AF13,AF13)</f>
        <v/>
      </c>
      <c r="AG12" s="1467" t="str">
        <f t="shared" ref="AG12:AG34" ca="1" si="10">IF(AB15&lt;&gt;"",IF(R15="Defenses",AB15&amp;IF(AG13&lt;&gt;"",", ",""),"")&amp;AG13,AG13)</f>
        <v/>
      </c>
      <c r="AH12" s="1467" t="str">
        <f t="shared" ref="AH12:AH34" ca="1" si="11">IF(AB15&lt;&gt;"",IF(R15="Speed",AB15&amp;IF(AH13&lt;&gt;"",", ",""),"")&amp;AH13,AH13)</f>
        <v/>
      </c>
    </row>
    <row r="13" spans="2:35">
      <c r="B13" s="60"/>
      <c r="C13" s="61" t="s">
        <v>2265</v>
      </c>
      <c r="D13" s="61"/>
      <c r="E13" s="62" t="s">
        <v>2266</v>
      </c>
      <c r="F13" s="1694" t="s">
        <v>5513</v>
      </c>
      <c r="G13" s="63" t="str">
        <f>IF(OR(TAcrobatics&lt;&gt;"",ForceFluidity,STAcrobatics&lt;&gt;""),"Yes","No")</f>
        <v>No</v>
      </c>
      <c r="H13" s="76"/>
      <c r="I13" s="63"/>
      <c r="J13" s="63" t="str">
        <f>IF(COUNTIF(T13:Z13,2)&gt;0,IF(G13="Yes","Class",""),IF(COUNTIF(T13:Z13,3)&gt;0,IF(COUNTIF(MulticlassFeats,Feats!C13&amp;IF(Feats!D13&lt;&gt;""," ("&amp;Feats!D13&amp;")","")),"Multi",""),""))</f>
        <v/>
      </c>
      <c r="K13" s="63" t="str">
        <f t="shared" ca="1" si="2"/>
        <v/>
      </c>
      <c r="L13" s="63" t="str">
        <f t="shared" ca="1" si="3"/>
        <v>No</v>
      </c>
      <c r="M13" s="63">
        <f t="shared" ca="1" si="4"/>
        <v>0</v>
      </c>
      <c r="N13" s="63">
        <v>82</v>
      </c>
      <c r="O13" s="64"/>
      <c r="P13" s="660"/>
      <c r="Q13" s="661"/>
      <c r="R13" s="661" t="s">
        <v>4059</v>
      </c>
      <c r="T13" s="54">
        <f>IF(JediFeats&gt;0,1,0)</f>
        <v>0</v>
      </c>
      <c r="AB13" s="1566" t="str">
        <f t="shared" ca="1" si="5"/>
        <v/>
      </c>
      <c r="AC13" s="1365" t="str">
        <f t="shared" ca="1" si="6"/>
        <v/>
      </c>
      <c r="AD13" s="1365" t="str">
        <f t="shared" ca="1" si="7"/>
        <v/>
      </c>
      <c r="AE13" s="1365" t="str">
        <f t="shared" ca="1" si="8"/>
        <v/>
      </c>
      <c r="AF13" s="1365" t="str">
        <f t="shared" ca="1" si="9"/>
        <v/>
      </c>
      <c r="AG13" s="1467" t="str">
        <f t="shared" ca="1" si="10"/>
        <v/>
      </c>
      <c r="AH13" s="1467" t="str">
        <f t="shared" ca="1" si="11"/>
        <v/>
      </c>
    </row>
    <row r="14" spans="2:35">
      <c r="B14" s="1311"/>
      <c r="C14" s="1462" t="s">
        <v>8293</v>
      </c>
      <c r="D14" s="1462"/>
      <c r="E14" s="1462"/>
      <c r="F14" s="1695" t="s">
        <v>8292</v>
      </c>
      <c r="G14" s="63" t="str">
        <f>IF(AND(CharacterLevel&gt;0),"Yes","No")</f>
        <v>No</v>
      </c>
      <c r="H14" s="76"/>
      <c r="I14" s="63"/>
      <c r="J14" s="63" t="str">
        <f>IF(COUNTIF(T14:Z14,2)&gt;0,IF(G14="Yes","Class",""),IF(COUNTIF(T14:Z14,3)&gt;0,IF(COUNTIF(MulticlassFeats,Feats!A5&amp;IF(Feats!B5&lt;&gt;""," ("&amp;Feats!B5&amp;")","")),"Multi",""),""))</f>
        <v/>
      </c>
      <c r="K14" s="63" t="str">
        <f t="shared" ca="1" si="2"/>
        <v/>
      </c>
      <c r="L14" s="63" t="str">
        <f t="shared" ca="1" si="3"/>
        <v>No</v>
      </c>
      <c r="M14" s="63">
        <f t="shared" ca="1" si="4"/>
        <v>0</v>
      </c>
      <c r="N14" s="1461" t="s">
        <v>8225</v>
      </c>
      <c r="O14" s="64"/>
      <c r="P14" s="1559"/>
      <c r="Q14" s="661"/>
      <c r="R14" s="661"/>
      <c r="T14" s="1560"/>
      <c r="U14" s="1560"/>
      <c r="V14" s="1560"/>
      <c r="W14" s="1560"/>
      <c r="X14" s="1560"/>
      <c r="Y14" s="1560"/>
      <c r="Z14" s="1561"/>
      <c r="AA14" s="1568"/>
      <c r="AB14" s="1566" t="str">
        <f t="shared" ca="1" si="5"/>
        <v/>
      </c>
      <c r="AC14" s="1365" t="str">
        <f t="shared" ca="1" si="6"/>
        <v/>
      </c>
      <c r="AD14" s="1365" t="str">
        <f t="shared" ca="1" si="7"/>
        <v/>
      </c>
      <c r="AE14" s="1365" t="str">
        <f t="shared" ca="1" si="8"/>
        <v/>
      </c>
      <c r="AF14" s="1365" t="str">
        <f t="shared" ca="1" si="9"/>
        <v/>
      </c>
      <c r="AG14" s="1467" t="str">
        <f t="shared" ca="1" si="10"/>
        <v/>
      </c>
      <c r="AH14" s="1467" t="str">
        <f t="shared" ca="1" si="11"/>
        <v/>
      </c>
    </row>
    <row r="15" spans="2:35">
      <c r="B15" s="60"/>
      <c r="C15" s="61" t="s">
        <v>2267</v>
      </c>
      <c r="D15" s="61"/>
      <c r="E15" s="62" t="s">
        <v>2268</v>
      </c>
      <c r="F15" s="1694" t="s">
        <v>5514</v>
      </c>
      <c r="G15" s="63" t="str">
        <f>IF(AND(CharacterLevel&gt;0,BAB&gt;=1),"Yes","No")</f>
        <v>No</v>
      </c>
      <c r="H15" s="76"/>
      <c r="I15" s="63"/>
      <c r="J15" s="63" t="str">
        <f>IF(COUNTIF(T15:Z15,2)&gt;0,IF(G15="Yes","Class",""),IF(COUNTIF(T15:Z15,3)&gt;0,IF(COUNTIF(MulticlassFeats,Feats!C15&amp;IF(Feats!D15&lt;&gt;""," ("&amp;Feats!D15&amp;")","")),"Multi",""),""))</f>
        <v/>
      </c>
      <c r="K15" s="63" t="str">
        <f t="shared" ca="1" si="2"/>
        <v/>
      </c>
      <c r="L15" s="63" t="str">
        <f t="shared" ca="1" si="3"/>
        <v>No</v>
      </c>
      <c r="M15" s="63">
        <f t="shared" ca="1" si="4"/>
        <v>0</v>
      </c>
      <c r="N15" s="63" t="s">
        <v>2269</v>
      </c>
      <c r="O15" s="64"/>
      <c r="P15" s="660"/>
      <c r="Q15" s="661"/>
      <c r="R15" s="661" t="s">
        <v>4060</v>
      </c>
      <c r="V15" s="54">
        <f>IF(ScoundrelFeats&gt;0,1,0)</f>
        <v>0</v>
      </c>
      <c r="W15" s="54">
        <f>IF(ScoutFeats&gt;0,1,0)</f>
        <v>0</v>
      </c>
      <c r="AB15" s="1566" t="str">
        <f t="shared" ca="1" si="5"/>
        <v/>
      </c>
      <c r="AC15" s="1365" t="str">
        <f t="shared" ca="1" si="6"/>
        <v/>
      </c>
      <c r="AD15" s="1365" t="str">
        <f t="shared" ca="1" si="7"/>
        <v/>
      </c>
      <c r="AE15" s="1365" t="str">
        <f t="shared" ca="1" si="8"/>
        <v/>
      </c>
      <c r="AF15" s="1365" t="str">
        <f t="shared" ca="1" si="9"/>
        <v/>
      </c>
      <c r="AG15" s="1467" t="str">
        <f t="shared" ca="1" si="10"/>
        <v/>
      </c>
      <c r="AH15" s="1467" t="str">
        <f t="shared" ca="1" si="11"/>
        <v/>
      </c>
    </row>
    <row r="16" spans="2:35">
      <c r="B16" s="60"/>
      <c r="C16" s="61" t="s">
        <v>2270</v>
      </c>
      <c r="D16" s="61"/>
      <c r="E16" s="62" t="s">
        <v>2271</v>
      </c>
      <c r="F16" s="1694" t="s">
        <v>5515</v>
      </c>
      <c r="G16" s="63" t="str">
        <f>IF(OR(TStealth&lt;&gt;"",ForceStealth,STStealth&lt;&gt;""),"Yes","No")</f>
        <v>No</v>
      </c>
      <c r="H16" s="76"/>
      <c r="I16" s="63"/>
      <c r="J16" s="63" t="str">
        <f>IF(COUNTIF(T16:Z16,2)&gt;0,IF(G16="Yes","Class",""),IF(COUNTIF(T16:Z16,3)&gt;0,IF(COUNTIF(MulticlassFeats,Feats!C16&amp;IF(Feats!D16&lt;&gt;""," ("&amp;Feats!D16&amp;")","")),"Multi",""),""))</f>
        <v/>
      </c>
      <c r="K16" s="63" t="str">
        <f t="shared" ca="1" si="2"/>
        <v/>
      </c>
      <c r="L16" s="63" t="str">
        <f t="shared" ca="1" si="3"/>
        <v>No</v>
      </c>
      <c r="M16" s="63">
        <f t="shared" ca="1" si="4"/>
        <v>0</v>
      </c>
      <c r="N16" s="63" t="s">
        <v>2269</v>
      </c>
      <c r="O16" s="64"/>
      <c r="P16" s="660"/>
      <c r="Q16" s="661"/>
      <c r="R16" s="661"/>
      <c r="V16" s="54">
        <f>IF(ScoundrelFeats&gt;0,1,0)</f>
        <v>0</v>
      </c>
      <c r="W16" s="54">
        <f>IF(ScoutFeats&gt;0,1,0)</f>
        <v>0</v>
      </c>
      <c r="X16" s="54">
        <f>IF(SoldierFeats&gt;0,1,0)</f>
        <v>0</v>
      </c>
      <c r="AB16" s="1566" t="str">
        <f t="shared" ca="1" si="5"/>
        <v/>
      </c>
      <c r="AC16" s="1365" t="str">
        <f t="shared" ca="1" si="6"/>
        <v/>
      </c>
      <c r="AD16" s="1365" t="str">
        <f t="shared" ca="1" si="7"/>
        <v/>
      </c>
      <c r="AE16" s="1365" t="str">
        <f t="shared" ca="1" si="8"/>
        <v/>
      </c>
      <c r="AF16" s="1365" t="str">
        <f t="shared" ca="1" si="9"/>
        <v/>
      </c>
      <c r="AG16" s="1467" t="str">
        <f t="shared" ca="1" si="10"/>
        <v/>
      </c>
      <c r="AH16" s="1467" t="str">
        <f t="shared" ca="1" si="11"/>
        <v/>
      </c>
    </row>
    <row r="17" spans="2:34" ht="29">
      <c r="B17" s="60"/>
      <c r="C17" s="61" t="s">
        <v>7361</v>
      </c>
      <c r="D17" s="61"/>
      <c r="E17" s="62" t="s">
        <v>7378</v>
      </c>
      <c r="F17" s="1694" t="s">
        <v>7393</v>
      </c>
      <c r="G17" s="63" t="str">
        <f ca="1">IF(AND(Droid,INDEX(FeatTable,MATCH("Point Blank Shot",FeatList,0),9)="Yes",INDEX(FeatTable,MATCH("Precise Shot",FeatList,0),9)="Yes"),"Yes","No")</f>
        <v>No</v>
      </c>
      <c r="H17" s="76"/>
      <c r="I17" s="63"/>
      <c r="J17" s="63"/>
      <c r="K17" s="63" t="str">
        <f t="shared" ca="1" si="2"/>
        <v/>
      </c>
      <c r="L17" s="63" t="str">
        <f t="shared" ca="1" si="3"/>
        <v>No</v>
      </c>
      <c r="M17" s="63">
        <f t="shared" ca="1" si="4"/>
        <v>0</v>
      </c>
      <c r="N17" s="63" t="s">
        <v>7515</v>
      </c>
      <c r="O17" s="64"/>
      <c r="P17" s="660"/>
      <c r="Q17" s="661"/>
      <c r="R17" s="661"/>
      <c r="AB17" s="1566" t="str">
        <f t="shared" ca="1" si="5"/>
        <v/>
      </c>
      <c r="AC17" s="1365" t="str">
        <f t="shared" ca="1" si="6"/>
        <v/>
      </c>
      <c r="AD17" s="1365" t="str">
        <f t="shared" ca="1" si="7"/>
        <v/>
      </c>
      <c r="AE17" s="1365" t="str">
        <f t="shared" ca="1" si="8"/>
        <v/>
      </c>
      <c r="AF17" s="1365" t="str">
        <f t="shared" ca="1" si="9"/>
        <v/>
      </c>
      <c r="AG17" s="1467" t="str">
        <f t="shared" ca="1" si="10"/>
        <v/>
      </c>
      <c r="AH17" s="1467" t="str">
        <f t="shared" ca="1" si="11"/>
        <v/>
      </c>
    </row>
    <row r="18" spans="2:34">
      <c r="B18" s="60"/>
      <c r="C18" s="61" t="s">
        <v>2272</v>
      </c>
      <c r="D18" s="61"/>
      <c r="E18" s="62" t="s">
        <v>2273</v>
      </c>
      <c r="F18" s="1694" t="s">
        <v>5516</v>
      </c>
      <c r="G18" s="63" t="str">
        <f>IF(AND(CharacterLevel&gt;0,Dexterity&gt;=13),"Yes","No")</f>
        <v>No</v>
      </c>
      <c r="H18" s="76"/>
      <c r="I18" s="63"/>
      <c r="J18" s="63" t="str">
        <f>IF(COUNTIF(T18:Z18,2)&gt;0,IF(G18="Yes","Class",""),IF(COUNTIF(T18:Z18,3)&gt;0,IF(COUNTIF(MulticlassFeats,Feats!C18&amp;IF(Feats!D18&lt;&gt;""," ("&amp;Feats!D18&amp;")","")),"Multi",""),""))</f>
        <v/>
      </c>
      <c r="K18" s="63" t="str">
        <f t="shared" ca="1" si="2"/>
        <v/>
      </c>
      <c r="L18" s="63" t="str">
        <f t="shared" ca="1" si="3"/>
        <v>No</v>
      </c>
      <c r="M18" s="63">
        <f t="shared" ca="1" si="4"/>
        <v>0</v>
      </c>
      <c r="N18" s="63" t="s">
        <v>2274</v>
      </c>
      <c r="O18" s="64"/>
      <c r="P18" s="660"/>
      <c r="Q18" s="661"/>
      <c r="R18" s="661"/>
      <c r="X18" s="54">
        <f>IF(SoldierFeats&gt;0,1,0)</f>
        <v>0</v>
      </c>
      <c r="AB18" s="1566" t="str">
        <f t="shared" ca="1" si="5"/>
        <v/>
      </c>
      <c r="AC18" s="1365" t="str">
        <f t="shared" ca="1" si="6"/>
        <v/>
      </c>
      <c r="AD18" s="1365" t="str">
        <f t="shared" ca="1" si="7"/>
        <v/>
      </c>
      <c r="AE18" s="1365" t="str">
        <f t="shared" ca="1" si="8"/>
        <v/>
      </c>
      <c r="AF18" s="1365" t="str">
        <f t="shared" ca="1" si="9"/>
        <v/>
      </c>
      <c r="AG18" s="1467" t="str">
        <f t="shared" ca="1" si="10"/>
        <v/>
      </c>
      <c r="AH18" s="1467" t="str">
        <f t="shared" ca="1" si="11"/>
        <v/>
      </c>
    </row>
    <row r="19" spans="2:34">
      <c r="B19" s="60"/>
      <c r="C19" s="61" t="s">
        <v>2275</v>
      </c>
      <c r="D19" s="61"/>
      <c r="E19" s="62" t="s">
        <v>2276</v>
      </c>
      <c r="F19" s="1694" t="s">
        <v>5517</v>
      </c>
      <c r="G19" s="63" t="str">
        <f>IF(AND(CharacterLevel&gt;0,Race="Nelvaanian"),"Yes","No")</f>
        <v>No</v>
      </c>
      <c r="H19" s="76"/>
      <c r="I19" s="63"/>
      <c r="J19" s="63" t="str">
        <f>IF(COUNTIF(T19:Z19,2)&gt;0,IF(G19="Yes","Class",""),IF(COUNTIF(T19:Z19,3)&gt;0,IF(COUNTIF(MulticlassFeats,Feats!C19&amp;IF(Feats!D19&lt;&gt;""," ("&amp;Feats!D19&amp;")","")),"Multi",""),""))</f>
        <v/>
      </c>
      <c r="K19" s="63" t="str">
        <f t="shared" ca="1" si="2"/>
        <v/>
      </c>
      <c r="L19" s="63" t="str">
        <f t="shared" ca="1" si="3"/>
        <v>No</v>
      </c>
      <c r="M19" s="63">
        <f t="shared" ca="1" si="4"/>
        <v>0</v>
      </c>
      <c r="N19" s="63" t="s">
        <v>2277</v>
      </c>
      <c r="O19" s="64"/>
      <c r="P19" s="660"/>
      <c r="Q19" s="508"/>
      <c r="R19" s="661" t="s">
        <v>4060</v>
      </c>
      <c r="AB19" s="1566" t="str">
        <f t="shared" ca="1" si="5"/>
        <v/>
      </c>
      <c r="AC19" s="1365" t="str">
        <f t="shared" ca="1" si="6"/>
        <v/>
      </c>
      <c r="AD19" s="1365" t="str">
        <f t="shared" ca="1" si="7"/>
        <v/>
      </c>
      <c r="AE19" s="1365" t="str">
        <f t="shared" ca="1" si="8"/>
        <v/>
      </c>
      <c r="AF19" s="1365" t="str">
        <f t="shared" ca="1" si="9"/>
        <v/>
      </c>
      <c r="AG19" s="1467" t="str">
        <f t="shared" ca="1" si="10"/>
        <v/>
      </c>
      <c r="AH19" s="1467" t="str">
        <f t="shared" ca="1" si="11"/>
        <v/>
      </c>
    </row>
    <row r="20" spans="2:34">
      <c r="B20" s="60"/>
      <c r="C20" s="61" t="s">
        <v>8833</v>
      </c>
      <c r="D20" s="61"/>
      <c r="E20" s="62" t="s">
        <v>2278</v>
      </c>
      <c r="F20" s="1694" t="s">
        <v>5518</v>
      </c>
      <c r="G20" s="63" t="str">
        <f ca="1">IF(NOT(ISERROR(FIND("Armor Proficiency (medium)",FeatsTakenList,1))),"Yes","No")</f>
        <v>No</v>
      </c>
      <c r="H20" s="76"/>
      <c r="I20" s="63"/>
      <c r="J20" s="63" t="str">
        <f>IF(COUNTIF(T20:Z20,2)&gt;0,IF(G20="Yes","Class",""),IF(COUNTIF(T20:Z20,3)&gt;0,IF(COUNTIF(MulticlassFeats,Feats!C20&amp;IF(Feats!D20&lt;&gt;""," ("&amp;Feats!D20&amp;")","")),"Multi",""),""))</f>
        <v/>
      </c>
      <c r="K20" s="63" t="str">
        <f t="shared" ca="1" si="2"/>
        <v/>
      </c>
      <c r="L20" s="63" t="str">
        <f t="shared" ca="1" si="3"/>
        <v>No</v>
      </c>
      <c r="M20" s="63">
        <f t="shared" ca="1" si="4"/>
        <v>0</v>
      </c>
      <c r="N20" s="63">
        <v>82</v>
      </c>
      <c r="O20" s="64"/>
      <c r="P20" s="660"/>
      <c r="Q20" s="661"/>
      <c r="R20" s="661"/>
      <c r="W20" s="54">
        <f>IF(ScoutFeats&gt;0,1,0)</f>
        <v>0</v>
      </c>
      <c r="X20" s="54">
        <f>IF(SoldierFeats&gt;0,1,0)</f>
        <v>0</v>
      </c>
      <c r="AB20" s="1566" t="str">
        <f t="shared" ca="1" si="5"/>
        <v/>
      </c>
      <c r="AC20" s="1365" t="str">
        <f t="shared" ca="1" si="6"/>
        <v/>
      </c>
      <c r="AD20" s="1365" t="str">
        <f t="shared" ca="1" si="7"/>
        <v/>
      </c>
      <c r="AE20" s="1365" t="str">
        <f t="shared" ca="1" si="8"/>
        <v/>
      </c>
      <c r="AF20" s="1365" t="str">
        <f t="shared" ca="1" si="9"/>
        <v/>
      </c>
      <c r="AG20" s="1467" t="str">
        <f t="shared" ca="1" si="10"/>
        <v/>
      </c>
      <c r="AH20" s="1467" t="str">
        <f t="shared" ca="1" si="11"/>
        <v/>
      </c>
    </row>
    <row r="21" spans="2:34">
      <c r="B21" s="60"/>
      <c r="C21" s="61" t="s">
        <v>2026</v>
      </c>
      <c r="D21" s="61"/>
      <c r="E21" s="62"/>
      <c r="F21" s="1694" t="s">
        <v>5519</v>
      </c>
      <c r="G21" s="63" t="str">
        <f>IF(CharacterLevel&gt;0,"Yes","No")</f>
        <v>No</v>
      </c>
      <c r="H21" s="76"/>
      <c r="I21" s="63"/>
      <c r="J21" s="63" t="str">
        <f>IF(COUNTIF(T21:Z21,2)&gt;0,IF(G21="Yes","Class",""),IF(COUNTIF(T21:Z21,3)&gt;0,IF(COUNTIF(MulticlassFeats,Feats!C21&amp;IF(Feats!D21&lt;&gt;""," ("&amp;Feats!D21&amp;")","")),"Multi",""),""))</f>
        <v/>
      </c>
      <c r="K21" s="63" t="str">
        <f t="shared" ca="1" si="2"/>
        <v/>
      </c>
      <c r="L21" s="63" t="str">
        <f t="shared" ca="1" si="3"/>
        <v>No</v>
      </c>
      <c r="M21" s="63">
        <f t="shared" ca="1" si="4"/>
        <v>0</v>
      </c>
      <c r="N21" s="63">
        <v>82</v>
      </c>
      <c r="O21" s="64"/>
      <c r="P21" s="660"/>
      <c r="Q21" s="661"/>
      <c r="R21" s="661"/>
      <c r="U21" s="54">
        <f>IF(NobleFeats&gt;0,1,0)</f>
        <v>0</v>
      </c>
      <c r="W21" s="54">
        <f>IF(ScoutFeats&gt;0,1,0)</f>
        <v>0</v>
      </c>
      <c r="X21" s="54">
        <f>IF(SoldierFeats&gt;0,IF(FirstClass&lt;&gt;"Soldier",3,2),0)</f>
        <v>0</v>
      </c>
      <c r="Y21" s="54">
        <f>IF(NonheroicFeats&gt;0,IF(COUNTIF(Class!$R$15:$R$17,Feats!C21&amp;" ("&amp;Feats!D21&amp;")")&gt;0,2,1),0)</f>
        <v>0</v>
      </c>
      <c r="AB21" s="1566" t="str">
        <f t="shared" ca="1" si="5"/>
        <v/>
      </c>
      <c r="AC21" s="1365" t="str">
        <f t="shared" ca="1" si="6"/>
        <v/>
      </c>
      <c r="AD21" s="1365" t="str">
        <f t="shared" ca="1" si="7"/>
        <v/>
      </c>
      <c r="AE21" s="1365" t="str">
        <f t="shared" ca="1" si="8"/>
        <v/>
      </c>
      <c r="AF21" s="1365" t="str">
        <f t="shared" ca="1" si="9"/>
        <v/>
      </c>
      <c r="AG21" s="1467" t="str">
        <f t="shared" ca="1" si="10"/>
        <v/>
      </c>
      <c r="AH21" s="1467" t="str">
        <f t="shared" ca="1" si="11"/>
        <v/>
      </c>
    </row>
    <row r="22" spans="2:34">
      <c r="B22" s="60"/>
      <c r="C22" s="61" t="s">
        <v>2278</v>
      </c>
      <c r="D22" s="61"/>
      <c r="E22" s="62" t="s">
        <v>2026</v>
      </c>
      <c r="F22" s="1694" t="s">
        <v>5520</v>
      </c>
      <c r="G22" s="63" t="str">
        <f ca="1">IF(L21="Yes","Yes","No")</f>
        <v>No</v>
      </c>
      <c r="H22" s="76"/>
      <c r="I22" s="63"/>
      <c r="J22" s="63" t="str">
        <f>IF(COUNTIF(T22:Z22,2)&gt;0,IF(G22="Yes","Class",""),IF(COUNTIF(T22:Z22,3)&gt;0,IF(COUNTIF(MulticlassFeats,Feats!C22&amp;IF(Feats!D22&lt;&gt;""," ("&amp;Feats!D22&amp;")","")),"Multi",""),""))</f>
        <v/>
      </c>
      <c r="K22" s="63" t="str">
        <f t="shared" ca="1" si="2"/>
        <v/>
      </c>
      <c r="L22" s="63" t="str">
        <f t="shared" ca="1" si="3"/>
        <v>No</v>
      </c>
      <c r="M22" s="63">
        <f t="shared" ca="1" si="4"/>
        <v>0</v>
      </c>
      <c r="N22" s="63">
        <v>82</v>
      </c>
      <c r="O22" s="64"/>
      <c r="P22" s="660"/>
      <c r="Q22" s="661"/>
      <c r="R22" s="661"/>
      <c r="W22" s="54">
        <f>IF(ScoutFeats&gt;0,1,0)</f>
        <v>0</v>
      </c>
      <c r="X22" s="54">
        <f>IF(SoldierFeats&gt;0,IF(FirstClass&lt;&gt;"Soldier",3,2),0)</f>
        <v>0</v>
      </c>
      <c r="Y22" s="54">
        <f>IF(NonheroicFeats&gt;0,IF(COUNTIF(Class!$R$15:$R$17,Feats!C22&amp;" ("&amp;Feats!D22&amp;")")&gt;0,2,1),0)</f>
        <v>0</v>
      </c>
      <c r="AB22" s="1566" t="str">
        <f t="shared" ca="1" si="5"/>
        <v/>
      </c>
      <c r="AC22" s="1365" t="str">
        <f t="shared" ca="1" si="6"/>
        <v/>
      </c>
      <c r="AD22" s="1365" t="str">
        <f t="shared" ca="1" si="7"/>
        <v/>
      </c>
      <c r="AE22" s="1365" t="str">
        <f t="shared" ca="1" si="8"/>
        <v/>
      </c>
      <c r="AF22" s="1365" t="str">
        <f t="shared" ca="1" si="9"/>
        <v/>
      </c>
      <c r="AG22" s="1467" t="str">
        <f t="shared" ca="1" si="10"/>
        <v/>
      </c>
      <c r="AH22" s="1467" t="str">
        <f t="shared" ca="1" si="11"/>
        <v/>
      </c>
    </row>
    <row r="23" spans="2:34">
      <c r="B23" s="60"/>
      <c r="C23" s="61" t="s">
        <v>2280</v>
      </c>
      <c r="D23" s="61"/>
      <c r="E23" s="62" t="s">
        <v>2281</v>
      </c>
      <c r="F23" s="1694" t="s">
        <v>5521</v>
      </c>
      <c r="G23" s="63" t="str">
        <f>IF(CharacterLevel&gt;0,"Yes","No")</f>
        <v>No</v>
      </c>
      <c r="H23" s="76"/>
      <c r="I23" s="63"/>
      <c r="J23" s="63" t="str">
        <f>IF(COUNTIF(T23:Z23,2)&gt;0,IF(G23="Yes","Class",""),IF(COUNTIF(T23:Z23,3)&gt;0,IF(COUNTIF(MulticlassFeats,Feats!C23&amp;IF(Feats!D23&lt;&gt;""," ("&amp;Feats!D23&amp;")","")),"Multi",""),""))</f>
        <v/>
      </c>
      <c r="K23" s="63" t="str">
        <f t="shared" ca="1" si="2"/>
        <v/>
      </c>
      <c r="L23" s="63" t="str">
        <f t="shared" ca="1" si="3"/>
        <v>No</v>
      </c>
      <c r="M23" s="63">
        <f t="shared" ca="1" si="4"/>
        <v>0</v>
      </c>
      <c r="N23" s="63" t="s">
        <v>2277</v>
      </c>
      <c r="O23" s="64"/>
      <c r="P23" s="660"/>
      <c r="Q23" s="508"/>
      <c r="R23" s="661"/>
      <c r="X23" s="54">
        <f>IF(SoldierFeats&gt;0,1,0)</f>
        <v>0</v>
      </c>
      <c r="AB23" s="1566" t="str">
        <f t="shared" ca="1" si="5"/>
        <v/>
      </c>
      <c r="AC23" s="1365" t="str">
        <f t="shared" ca="1" si="6"/>
        <v/>
      </c>
      <c r="AD23" s="1365" t="str">
        <f t="shared" ca="1" si="7"/>
        <v/>
      </c>
      <c r="AE23" s="1365" t="str">
        <f t="shared" ca="1" si="8"/>
        <v/>
      </c>
      <c r="AF23" s="1365" t="str">
        <f t="shared" ca="1" si="9"/>
        <v/>
      </c>
      <c r="AG23" s="1467" t="str">
        <f t="shared" ca="1" si="10"/>
        <v/>
      </c>
      <c r="AH23" s="1467" t="str">
        <f t="shared" ca="1" si="11"/>
        <v/>
      </c>
    </row>
    <row r="24" spans="2:34">
      <c r="B24" s="60"/>
      <c r="C24" s="61" t="s">
        <v>2282</v>
      </c>
      <c r="D24" s="61"/>
      <c r="E24" s="62" t="s">
        <v>2283</v>
      </c>
      <c r="F24" s="1694" t="s">
        <v>5522</v>
      </c>
      <c r="G24" s="63" t="str">
        <f ca="1">IF(AND(CharacterLevel&gt;0,BAB&gt;=6,M93&gt;0,COUNTIF(M75:M82,1)&gt;0),"Yes","No")</f>
        <v>No</v>
      </c>
      <c r="H24" s="76"/>
      <c r="I24" s="63"/>
      <c r="J24" s="63" t="str">
        <f>IF(COUNTIF(T24:Z24,2)&gt;0,IF(G24="Yes","Class",""),IF(COUNTIF(T24:Z24,3)&gt;0,IF(COUNTIF(MulticlassFeats,Feats!C24&amp;IF(Feats!D24&lt;&gt;""," ("&amp;Feats!D24&amp;")","")),"Multi",""),""))</f>
        <v/>
      </c>
      <c r="K24" s="63" t="str">
        <f t="shared" ca="1" si="2"/>
        <v/>
      </c>
      <c r="L24" s="63" t="str">
        <f t="shared" ca="1" si="3"/>
        <v>No</v>
      </c>
      <c r="M24" s="63">
        <f t="shared" ca="1" si="4"/>
        <v>0</v>
      </c>
      <c r="N24" s="63" t="s">
        <v>973</v>
      </c>
      <c r="O24" s="64"/>
      <c r="P24" s="660"/>
      <c r="Q24" s="662"/>
      <c r="R24" s="661" t="s">
        <v>4059</v>
      </c>
      <c r="AB24" s="1566" t="str">
        <f t="shared" ca="1" si="5"/>
        <v/>
      </c>
      <c r="AC24" s="1365" t="str">
        <f t="shared" ca="1" si="6"/>
        <v/>
      </c>
      <c r="AD24" s="1365" t="str">
        <f t="shared" ca="1" si="7"/>
        <v/>
      </c>
      <c r="AE24" s="1365" t="str">
        <f t="shared" ca="1" si="8"/>
        <v/>
      </c>
      <c r="AF24" s="1365" t="str">
        <f t="shared" ca="1" si="9"/>
        <v/>
      </c>
      <c r="AG24" s="1467" t="str">
        <f t="shared" ca="1" si="10"/>
        <v/>
      </c>
      <c r="AH24" s="1467" t="str">
        <f t="shared" ca="1" si="11"/>
        <v/>
      </c>
    </row>
    <row r="25" spans="2:34">
      <c r="B25" s="60"/>
      <c r="C25" s="1319" t="s">
        <v>6240</v>
      </c>
      <c r="D25" s="1297"/>
      <c r="E25" s="62"/>
      <c r="F25" s="1694" t="s">
        <v>6241</v>
      </c>
      <c r="G25" s="63" t="str">
        <f>IF(CharacterLevel&gt;0,"Yes","No")</f>
        <v>No</v>
      </c>
      <c r="H25" s="76"/>
      <c r="I25" s="63"/>
      <c r="J25" s="63" t="str">
        <f>IF(COUNTIF(T25:Z25,2)&gt;0,IF(G25="Yes","Class",""),IF(COUNTIF(T25:Z25,3)&gt;0,IF(COUNTIF(MulticlassFeats,Feats!C25&amp;IF(Feats!D25&lt;&gt;""," ("&amp;Feats!D25&amp;")","")),"Multi",""),""))</f>
        <v/>
      </c>
      <c r="K25" s="63" t="str">
        <f t="shared" ca="1" si="2"/>
        <v/>
      </c>
      <c r="L25" s="63" t="str">
        <f t="shared" ca="1" si="3"/>
        <v>No</v>
      </c>
      <c r="M25" s="63">
        <f t="shared" ca="1" si="4"/>
        <v>0</v>
      </c>
      <c r="N25" s="63" t="s">
        <v>6462</v>
      </c>
      <c r="O25" s="64"/>
      <c r="P25" s="660"/>
      <c r="Q25" s="662"/>
      <c r="R25" s="661" t="s">
        <v>4059</v>
      </c>
      <c r="T25" s="54">
        <f>IF(JediFeats&gt;0,1,0)</f>
        <v>0</v>
      </c>
      <c r="X25" s="54">
        <f t="shared" ref="X25:X30" si="12">IF(SoldierFeats&gt;0,1,0)</f>
        <v>0</v>
      </c>
      <c r="AB25" s="1566" t="str">
        <f t="shared" ca="1" si="5"/>
        <v/>
      </c>
      <c r="AC25" s="1365" t="str">
        <f t="shared" ca="1" si="6"/>
        <v/>
      </c>
      <c r="AD25" s="1365" t="str">
        <f t="shared" ca="1" si="7"/>
        <v/>
      </c>
      <c r="AE25" s="1365" t="str">
        <f t="shared" ca="1" si="8"/>
        <v/>
      </c>
      <c r="AF25" s="1365" t="str">
        <f t="shared" ca="1" si="9"/>
        <v/>
      </c>
      <c r="AG25" s="1467" t="str">
        <f t="shared" ca="1" si="10"/>
        <v/>
      </c>
      <c r="AH25" s="1467" t="str">
        <f t="shared" ca="1" si="11"/>
        <v/>
      </c>
    </row>
    <row r="26" spans="2:34">
      <c r="B26" s="60"/>
      <c r="C26" s="1320" t="s">
        <v>2284</v>
      </c>
      <c r="D26" s="61"/>
      <c r="E26" s="62" t="s">
        <v>2536</v>
      </c>
      <c r="F26" s="1694" t="s">
        <v>5523</v>
      </c>
      <c r="G26" s="63" t="str">
        <f ca="1">IF(AND(CharacterLevel&gt;0,BAB&gt;=9,M27&gt;0,M28&gt;0),"Yes","No")</f>
        <v>No</v>
      </c>
      <c r="H26" s="76"/>
      <c r="I26" s="63"/>
      <c r="J26" s="63" t="str">
        <f>IF(COUNTIF(T26:Z26,2)&gt;0,IF(G26="Yes","Class",""),IF(COUNTIF(T26:Z26,3)&gt;0,IF(COUNTIF(MulticlassFeats,Feats!C26&amp;IF(Feats!D26&lt;&gt;""," ("&amp;Feats!D26&amp;")","")),"Multi",""),""))</f>
        <v/>
      </c>
      <c r="K26" s="63" t="str">
        <f t="shared" ca="1" si="2"/>
        <v/>
      </c>
      <c r="L26" s="63" t="str">
        <f t="shared" ca="1" si="3"/>
        <v>No</v>
      </c>
      <c r="M26" s="63">
        <f t="shared" ca="1" si="4"/>
        <v>0</v>
      </c>
      <c r="N26" s="63" t="s">
        <v>2285</v>
      </c>
      <c r="O26" s="64"/>
      <c r="P26" s="660"/>
      <c r="Q26" s="662"/>
      <c r="R26" s="661" t="s">
        <v>4060</v>
      </c>
      <c r="X26" s="54">
        <f t="shared" si="12"/>
        <v>0</v>
      </c>
      <c r="AB26" s="1566" t="str">
        <f t="shared" ca="1" si="5"/>
        <v/>
      </c>
      <c r="AC26" s="1365" t="str">
        <f t="shared" ca="1" si="6"/>
        <v/>
      </c>
      <c r="AD26" s="1365" t="str">
        <f t="shared" ca="1" si="7"/>
        <v/>
      </c>
      <c r="AE26" s="1365" t="str">
        <f t="shared" ca="1" si="8"/>
        <v/>
      </c>
      <c r="AF26" s="1365" t="str">
        <f t="shared" ca="1" si="9"/>
        <v/>
      </c>
      <c r="AG26" s="1467" t="str">
        <f t="shared" ca="1" si="10"/>
        <v/>
      </c>
      <c r="AH26" s="1467" t="str">
        <f t="shared" ca="1" si="11"/>
        <v/>
      </c>
    </row>
    <row r="27" spans="2:34">
      <c r="B27" s="60"/>
      <c r="C27" s="1320" t="s">
        <v>2286</v>
      </c>
      <c r="D27" s="61"/>
      <c r="E27" s="62" t="s">
        <v>2287</v>
      </c>
      <c r="F27" s="1694" t="s">
        <v>5524</v>
      </c>
      <c r="G27" s="63" t="str">
        <f>IF(AND(CharacterLevel&gt;0,BAB&gt;=3),"Yes","No")</f>
        <v>No</v>
      </c>
      <c r="H27" s="76"/>
      <c r="I27" s="63"/>
      <c r="J27" s="63" t="str">
        <f>IF(COUNTIF(T27:Z27,2)&gt;0,IF(G27="Yes","Class",""),IF(COUNTIF(T27:Z27,3)&gt;0,IF(COUNTIF(MulticlassFeats,Feats!C27&amp;IF(Feats!D27&lt;&gt;""," ("&amp;Feats!D27&amp;")","")),"Multi",""),""))</f>
        <v/>
      </c>
      <c r="K27" s="63" t="str">
        <f t="shared" ca="1" si="2"/>
        <v/>
      </c>
      <c r="L27" s="63" t="str">
        <f t="shared" ca="1" si="3"/>
        <v>No</v>
      </c>
      <c r="M27" s="63">
        <f t="shared" ca="1" si="4"/>
        <v>0</v>
      </c>
      <c r="N27" s="63" t="s">
        <v>2285</v>
      </c>
      <c r="O27" s="64"/>
      <c r="P27" s="660"/>
      <c r="Q27" s="662"/>
      <c r="R27" s="661" t="s">
        <v>4060</v>
      </c>
      <c r="T27" s="54">
        <f>IF(JediFeats&gt;0,1,0)</f>
        <v>0</v>
      </c>
      <c r="X27" s="54">
        <f t="shared" si="12"/>
        <v>0</v>
      </c>
      <c r="AB27" s="1566" t="str">
        <f t="shared" ca="1" si="5"/>
        <v/>
      </c>
      <c r="AC27" s="1365" t="str">
        <f t="shared" ca="1" si="6"/>
        <v/>
      </c>
      <c r="AD27" s="1365" t="str">
        <f t="shared" ca="1" si="7"/>
        <v/>
      </c>
      <c r="AE27" s="1365" t="str">
        <f t="shared" ca="1" si="8"/>
        <v/>
      </c>
      <c r="AF27" s="1365" t="str">
        <f t="shared" ca="1" si="9"/>
        <v/>
      </c>
      <c r="AG27" s="1467" t="str">
        <f t="shared" ca="1" si="10"/>
        <v/>
      </c>
      <c r="AH27" s="1467" t="str">
        <f t="shared" ca="1" si="11"/>
        <v/>
      </c>
    </row>
    <row r="28" spans="2:34">
      <c r="B28" s="60"/>
      <c r="C28" s="1320" t="s">
        <v>2288</v>
      </c>
      <c r="D28" s="61"/>
      <c r="E28" s="62" t="s">
        <v>2287</v>
      </c>
      <c r="F28" s="1694" t="s">
        <v>5525</v>
      </c>
      <c r="G28" s="63" t="str">
        <f>IF(AND(CharacterLevel&gt;0,BAB&gt;=3),"Yes","No")</f>
        <v>No</v>
      </c>
      <c r="H28" s="76"/>
      <c r="I28" s="63"/>
      <c r="J28" s="63" t="str">
        <f>IF(COUNTIF(T28:Z28,2)&gt;0,IF(G28="Yes","Class",""),IF(COUNTIF(T28:Z28,3)&gt;0,IF(COUNTIF(MulticlassFeats,Feats!C28&amp;IF(Feats!D28&lt;&gt;""," ("&amp;Feats!D28&amp;")","")),"Multi",""),""))</f>
        <v/>
      </c>
      <c r="K28" s="63" t="str">
        <f t="shared" ca="1" si="2"/>
        <v/>
      </c>
      <c r="L28" s="63" t="str">
        <f t="shared" ca="1" si="3"/>
        <v>No</v>
      </c>
      <c r="M28" s="63">
        <f t="shared" ca="1" si="4"/>
        <v>0</v>
      </c>
      <c r="N28" s="63" t="s">
        <v>2285</v>
      </c>
      <c r="O28" s="64"/>
      <c r="P28" s="660"/>
      <c r="Q28" s="662"/>
      <c r="R28" s="661" t="s">
        <v>4060</v>
      </c>
      <c r="V28" s="54">
        <f>IF(ScoundrelFeats&gt;0,1,0)</f>
        <v>0</v>
      </c>
      <c r="W28" s="54">
        <f>IF(ScoutFeats&gt;0,1,0)</f>
        <v>0</v>
      </c>
      <c r="X28" s="54">
        <f t="shared" si="12"/>
        <v>0</v>
      </c>
      <c r="AB28" s="1566" t="str">
        <f t="shared" ca="1" si="5"/>
        <v/>
      </c>
      <c r="AC28" s="1365" t="str">
        <f t="shared" ca="1" si="6"/>
        <v/>
      </c>
      <c r="AD28" s="1365" t="str">
        <f t="shared" ca="1" si="7"/>
        <v/>
      </c>
      <c r="AE28" s="1365" t="str">
        <f t="shared" ca="1" si="8"/>
        <v/>
      </c>
      <c r="AF28" s="1365" t="str">
        <f t="shared" ca="1" si="9"/>
        <v/>
      </c>
      <c r="AG28" s="1467" t="str">
        <f t="shared" ca="1" si="10"/>
        <v/>
      </c>
      <c r="AH28" s="1467" t="str">
        <f t="shared" ca="1" si="11"/>
        <v/>
      </c>
    </row>
    <row r="29" spans="2:34">
      <c r="B29" s="1311"/>
      <c r="C29" s="1320" t="s">
        <v>2289</v>
      </c>
      <c r="D29" s="61"/>
      <c r="E29" s="62" t="s">
        <v>2290</v>
      </c>
      <c r="F29" s="1694" t="s">
        <v>5526</v>
      </c>
      <c r="G29" s="63" t="str">
        <f ca="1">IF(AND(CharacterLevel&gt;0,OR(M344&gt;0,M345&gt;0)),"Yes","No")</f>
        <v>No</v>
      </c>
      <c r="H29" s="76"/>
      <c r="I29" s="63"/>
      <c r="J29" s="63" t="str">
        <f>IF(COUNTIF(T29:Z29,2)&gt;0,IF(G29="Yes","Class",""),IF(COUNTIF(T29:Z29,3)&gt;0,IF(COUNTIF(MulticlassFeats,Feats!C29&amp;IF(Feats!D29&lt;&gt;""," ("&amp;Feats!D29&amp;")","")),"Multi",""),""))</f>
        <v/>
      </c>
      <c r="K29" s="63" t="str">
        <f t="shared" ca="1" si="2"/>
        <v/>
      </c>
      <c r="L29" s="63" t="str">
        <f t="shared" ca="1" si="3"/>
        <v>No</v>
      </c>
      <c r="M29" s="63">
        <f t="shared" ca="1" si="4"/>
        <v>0</v>
      </c>
      <c r="N29" s="63" t="s">
        <v>2285</v>
      </c>
      <c r="O29" s="64"/>
      <c r="P29" s="660"/>
      <c r="Q29" s="662"/>
      <c r="R29" s="661" t="s">
        <v>4060</v>
      </c>
      <c r="X29" s="54">
        <f t="shared" si="12"/>
        <v>0</v>
      </c>
      <c r="AB29" s="1566" t="str">
        <f t="shared" ca="1" si="5"/>
        <v/>
      </c>
      <c r="AC29" s="1365" t="str">
        <f t="shared" ca="1" si="6"/>
        <v/>
      </c>
      <c r="AD29" s="1365" t="str">
        <f t="shared" ca="1" si="7"/>
        <v/>
      </c>
      <c r="AE29" s="1365" t="str">
        <f t="shared" ca="1" si="8"/>
        <v/>
      </c>
      <c r="AF29" s="1365" t="str">
        <f t="shared" ca="1" si="9"/>
        <v/>
      </c>
      <c r="AG29" s="1467" t="str">
        <f t="shared" ca="1" si="10"/>
        <v/>
      </c>
      <c r="AH29" s="1467" t="str">
        <f t="shared" ca="1" si="11"/>
        <v/>
      </c>
    </row>
    <row r="30" spans="2:34">
      <c r="B30" s="60"/>
      <c r="C30" s="1320" t="s">
        <v>2291</v>
      </c>
      <c r="D30" s="61"/>
      <c r="E30" s="62" t="s">
        <v>2290</v>
      </c>
      <c r="F30" s="1694" t="s">
        <v>5527</v>
      </c>
      <c r="G30" s="63" t="str">
        <f ca="1">IF(AND(CharacterLevel&gt;0,OR(M344&gt;0,M345&gt;0)),"Yes","No")</f>
        <v>No</v>
      </c>
      <c r="H30" s="76"/>
      <c r="I30" s="63"/>
      <c r="J30" s="63" t="str">
        <f>IF(COUNTIF(T30:Z30,2)&gt;0,IF(G30="Yes","Class",""),IF(COUNTIF(T30:Z30,3)&gt;0,IF(COUNTIF(MulticlassFeats,Feats!C30&amp;IF(Feats!D30&lt;&gt;""," ("&amp;Feats!D30&amp;")","")),"Multi",""),""))</f>
        <v/>
      </c>
      <c r="K30" s="63" t="str">
        <f t="shared" ca="1" si="2"/>
        <v/>
      </c>
      <c r="L30" s="63" t="str">
        <f t="shared" ca="1" si="3"/>
        <v>No</v>
      </c>
      <c r="M30" s="63">
        <f t="shared" ca="1" si="4"/>
        <v>0</v>
      </c>
      <c r="N30" s="63" t="s">
        <v>2285</v>
      </c>
      <c r="O30" s="64"/>
      <c r="P30" s="660"/>
      <c r="Q30" s="662"/>
      <c r="R30" s="661" t="s">
        <v>4060</v>
      </c>
      <c r="X30" s="54">
        <f t="shared" si="12"/>
        <v>0</v>
      </c>
      <c r="AB30" s="1566" t="str">
        <f t="shared" ca="1" si="5"/>
        <v/>
      </c>
      <c r="AC30" s="1365" t="str">
        <f t="shared" ca="1" si="6"/>
        <v/>
      </c>
      <c r="AD30" s="1365" t="str">
        <f t="shared" ca="1" si="7"/>
        <v/>
      </c>
      <c r="AE30" s="1365" t="str">
        <f t="shared" ca="1" si="8"/>
        <v/>
      </c>
      <c r="AF30" s="1365" t="str">
        <f t="shared" ca="1" si="9"/>
        <v/>
      </c>
      <c r="AG30" s="1467" t="str">
        <f t="shared" ca="1" si="10"/>
        <v/>
      </c>
      <c r="AH30" s="1467" t="str">
        <f t="shared" ca="1" si="11"/>
        <v/>
      </c>
    </row>
    <row r="31" spans="2:34">
      <c r="B31" s="1311"/>
      <c r="C31" s="1320" t="s">
        <v>2292</v>
      </c>
      <c r="D31" s="61"/>
      <c r="E31" s="62"/>
      <c r="F31" s="1694" t="s">
        <v>5528</v>
      </c>
      <c r="G31" s="63" t="str">
        <f>IF(CharacterLevel&gt;0,"Yes","No")</f>
        <v>No</v>
      </c>
      <c r="H31" s="76"/>
      <c r="I31" s="63"/>
      <c r="J31" s="63" t="str">
        <f>IF(COUNTIF(T31:Z31,2)&gt;0,IF(G31="Yes","Class",""),IF(COUNTIF(T31:Z31,3)&gt;0,IF(COUNTIF(MulticlassFeats,Feats!C31&amp;IF(Feats!D31&lt;&gt;""," ("&amp;Feats!D31&amp;")","")),"Multi",""),""))</f>
        <v/>
      </c>
      <c r="K31" s="63" t="str">
        <f t="shared" ca="1" si="2"/>
        <v/>
      </c>
      <c r="L31" s="63" t="str">
        <f t="shared" ca="1" si="3"/>
        <v>No</v>
      </c>
      <c r="M31" s="63">
        <f t="shared" ca="1" si="4"/>
        <v>0</v>
      </c>
      <c r="N31" s="63" t="s">
        <v>2274</v>
      </c>
      <c r="O31" s="64"/>
      <c r="P31" s="660"/>
      <c r="Q31" s="662"/>
      <c r="R31" s="661"/>
      <c r="V31" s="54">
        <f>IF(ScoundrelFeats&gt;0,1,0)</f>
        <v>0</v>
      </c>
      <c r="W31" s="54">
        <f>IF(ScoutFeats&gt;0,1,0)</f>
        <v>0</v>
      </c>
      <c r="AB31" s="1566" t="str">
        <f t="shared" ca="1" si="5"/>
        <v/>
      </c>
      <c r="AC31" s="1365" t="str">
        <f t="shared" ca="1" si="6"/>
        <v/>
      </c>
      <c r="AD31" s="1365" t="str">
        <f t="shared" ca="1" si="7"/>
        <v/>
      </c>
      <c r="AE31" s="1365" t="str">
        <f t="shared" ca="1" si="8"/>
        <v/>
      </c>
      <c r="AF31" s="1365" t="str">
        <f t="shared" ca="1" si="9"/>
        <v/>
      </c>
      <c r="AG31" s="1467" t="str">
        <f t="shared" ca="1" si="10"/>
        <v/>
      </c>
      <c r="AH31" s="1467" t="str">
        <f t="shared" ca="1" si="11"/>
        <v/>
      </c>
    </row>
    <row r="32" spans="2:34">
      <c r="B32" s="60"/>
      <c r="C32" s="1320" t="s">
        <v>6655</v>
      </c>
      <c r="D32" s="61"/>
      <c r="E32" s="62" t="s">
        <v>6656</v>
      </c>
      <c r="F32" s="1694" t="s">
        <v>6657</v>
      </c>
      <c r="G32" s="63" t="str">
        <f>IF(AND(CharacterLevel&gt;0,BAB&gt;=1),"Yes","No")</f>
        <v>No</v>
      </c>
      <c r="H32" s="76"/>
      <c r="I32" s="63"/>
      <c r="J32" s="63" t="str">
        <f>IF(COUNTIF(T32:Z32,2)&gt;0,IF(G32="Yes","Class",""),IF(COUNTIF(T32:Z32,3)&gt;0,IF(COUNTIF(MulticlassFeats,Feats!C32&amp;IF(Feats!D32&lt;&gt;""," ("&amp;Feats!D32&amp;")","")),"Multi",""),""))</f>
        <v/>
      </c>
      <c r="K32" s="63" t="str">
        <f t="shared" ca="1" si="2"/>
        <v/>
      </c>
      <c r="L32" s="63" t="str">
        <f t="shared" ca="1" si="3"/>
        <v>No</v>
      </c>
      <c r="M32" s="63">
        <f t="shared" ca="1" si="4"/>
        <v>0</v>
      </c>
      <c r="N32" s="63" t="s">
        <v>6658</v>
      </c>
      <c r="O32" s="64"/>
      <c r="P32" s="660"/>
      <c r="Q32" s="662"/>
      <c r="R32" s="661" t="s">
        <v>4059</v>
      </c>
      <c r="AB32" s="1566" t="str">
        <f t="shared" ca="1" si="5"/>
        <v/>
      </c>
      <c r="AC32" s="1365" t="str">
        <f t="shared" ca="1" si="6"/>
        <v/>
      </c>
      <c r="AD32" s="1365" t="str">
        <f t="shared" ca="1" si="7"/>
        <v/>
      </c>
      <c r="AE32" s="1365" t="str">
        <f t="shared" ca="1" si="8"/>
        <v/>
      </c>
      <c r="AF32" s="1365" t="str">
        <f t="shared" ca="1" si="9"/>
        <v/>
      </c>
      <c r="AG32" s="1467" t="str">
        <f t="shared" ca="1" si="10"/>
        <v/>
      </c>
      <c r="AH32" s="1467" t="str">
        <f t="shared" ca="1" si="11"/>
        <v/>
      </c>
    </row>
    <row r="33" spans="2:34">
      <c r="B33" s="60"/>
      <c r="C33" s="1320" t="s">
        <v>2293</v>
      </c>
      <c r="D33" s="61"/>
      <c r="E33" s="62" t="s">
        <v>2294</v>
      </c>
      <c r="F33" s="1694" t="s">
        <v>5529</v>
      </c>
      <c r="G33" s="63" t="str">
        <f>IF(AND(CharacterLevel&gt;0,BAB&gt;=1,Strength&gt;=13),"Yes","No")</f>
        <v>No</v>
      </c>
      <c r="H33" s="76"/>
      <c r="I33" s="63"/>
      <c r="J33" s="63" t="str">
        <f>IF(COUNTIF(T33:Z33,2)&gt;0,IF(G33="Yes","Class",""),IF(COUNTIF(T33:Z33,3)&gt;0,IF(COUNTIF(MulticlassFeats,Feats!C33&amp;IF(Feats!D33&lt;&gt;""," ("&amp;Feats!D33&amp;")","")),"Multi",""),""))</f>
        <v/>
      </c>
      <c r="K33" s="63" t="str">
        <f t="shared" ca="1" si="2"/>
        <v/>
      </c>
      <c r="L33" s="63" t="str">
        <f t="shared" ca="1" si="3"/>
        <v>No</v>
      </c>
      <c r="M33" s="63">
        <f t="shared" ca="1" si="4"/>
        <v>0</v>
      </c>
      <c r="N33" s="63">
        <v>82</v>
      </c>
      <c r="O33" s="64"/>
      <c r="P33" s="660"/>
      <c r="Q33" s="661"/>
      <c r="R33" s="661" t="s">
        <v>4059</v>
      </c>
      <c r="X33" s="54">
        <f>IF(SoldierFeats&gt;0,1,0)</f>
        <v>0</v>
      </c>
      <c r="AB33" s="1566" t="str">
        <f t="shared" ca="1" si="5"/>
        <v/>
      </c>
      <c r="AC33" s="1365" t="str">
        <f t="shared" ca="1" si="6"/>
        <v/>
      </c>
      <c r="AD33" s="1365" t="str">
        <f t="shared" ca="1" si="7"/>
        <v/>
      </c>
      <c r="AE33" s="1365" t="str">
        <f t="shared" ca="1" si="8"/>
        <v/>
      </c>
      <c r="AF33" s="1365" t="str">
        <f t="shared" ca="1" si="9"/>
        <v/>
      </c>
      <c r="AG33" s="1467" t="str">
        <f t="shared" ca="1" si="10"/>
        <v/>
      </c>
      <c r="AH33" s="1467" t="str">
        <f t="shared" ca="1" si="11"/>
        <v/>
      </c>
    </row>
    <row r="34" spans="2:34">
      <c r="B34" s="60"/>
      <c r="C34" s="1320" t="s">
        <v>6659</v>
      </c>
      <c r="D34" s="61"/>
      <c r="E34" s="62" t="s">
        <v>6660</v>
      </c>
      <c r="F34" s="1694" t="s">
        <v>6661</v>
      </c>
      <c r="G34" s="63" t="str">
        <f ca="1">IF(AND(CharacterLevel&gt;0,M33&gt;0,M320&gt;0),"Yes","No")</f>
        <v>No</v>
      </c>
      <c r="H34" s="76"/>
      <c r="I34" s="63"/>
      <c r="J34" s="63" t="str">
        <f>IF(COUNTIF(T34:Z34,2)&gt;0,IF(G34="Yes","Class",""),IF(COUNTIF(T34:Z34,3)&gt;0,IF(COUNTIF(MulticlassFeats,Feats!C34&amp;IF(Feats!D34&lt;&gt;""," ("&amp;Feats!D34&amp;")","")),"Multi",""),""))</f>
        <v/>
      </c>
      <c r="K34" s="63" t="str">
        <f t="shared" ca="1" si="2"/>
        <v/>
      </c>
      <c r="L34" s="63" t="str">
        <f t="shared" ca="1" si="3"/>
        <v>No</v>
      </c>
      <c r="M34" s="63">
        <f t="shared" ca="1" si="4"/>
        <v>0</v>
      </c>
      <c r="N34" s="63" t="s">
        <v>6658</v>
      </c>
      <c r="O34" s="64"/>
      <c r="P34" s="660"/>
      <c r="Q34" s="661"/>
      <c r="R34" s="661"/>
      <c r="AB34" s="1566" t="str">
        <f t="shared" ca="1" si="5"/>
        <v/>
      </c>
      <c r="AC34" s="1365" t="str">
        <f t="shared" ca="1" si="6"/>
        <v/>
      </c>
      <c r="AD34" s="1365" t="str">
        <f t="shared" ca="1" si="7"/>
        <v/>
      </c>
      <c r="AE34" s="1365" t="str">
        <f t="shared" ca="1" si="8"/>
        <v/>
      </c>
      <c r="AF34" s="1365" t="str">
        <f t="shared" ca="1" si="9"/>
        <v/>
      </c>
      <c r="AG34" s="1467" t="str">
        <f t="shared" ca="1" si="10"/>
        <v/>
      </c>
      <c r="AH34" s="1467" t="str">
        <f t="shared" ca="1" si="11"/>
        <v/>
      </c>
    </row>
    <row r="35" spans="2:34">
      <c r="B35" s="60"/>
      <c r="C35" s="1320" t="s">
        <v>2295</v>
      </c>
      <c r="D35" s="61"/>
      <c r="E35" s="62" t="s">
        <v>2296</v>
      </c>
      <c r="F35" s="1694" t="s">
        <v>5530</v>
      </c>
      <c r="G35" s="63" t="str">
        <f>IF(AND(CharacterLevel&gt;0,OR(TMechanics&lt;&gt;"",STMechanics&lt;&gt;"")),"Yes","No")</f>
        <v>No</v>
      </c>
      <c r="H35" s="76"/>
      <c r="I35" s="63"/>
      <c r="J35" s="63" t="str">
        <f>IF(COUNTIF(T35:Z35,2)&gt;0,IF(G35="Yes","Class",""),IF(COUNTIF(T35:Z35,3)&gt;0,IF(COUNTIF(MulticlassFeats,Feats!C35&amp;IF(Feats!D35&lt;&gt;""," ("&amp;Feats!D35&amp;")","")),"Multi",""),""))</f>
        <v/>
      </c>
      <c r="K35" s="63" t="str">
        <f t="shared" ca="1" si="2"/>
        <v/>
      </c>
      <c r="L35" s="63" t="str">
        <f t="shared" ca="1" si="3"/>
        <v>No</v>
      </c>
      <c r="M35" s="63">
        <f t="shared" ca="1" si="4"/>
        <v>0</v>
      </c>
      <c r="N35" s="63" t="s">
        <v>2285</v>
      </c>
      <c r="O35" s="64"/>
      <c r="P35" s="660"/>
      <c r="Q35" s="661"/>
      <c r="R35" s="661"/>
      <c r="U35" s="54">
        <f>IF(NobleFeats&gt;0,1,0)</f>
        <v>0</v>
      </c>
      <c r="V35" s="54">
        <f>IF(ScoundrelFeats&gt;0,1,0)</f>
        <v>0</v>
      </c>
      <c r="AB35" s="1566" t="str">
        <f t="shared" ca="1" si="5"/>
        <v/>
      </c>
      <c r="AC35" s="1365" t="str">
        <f ca="1">IF(AB40&lt;&gt;"",AB40&amp;";"&amp;AC36,AC36)</f>
        <v/>
      </c>
      <c r="AD35" s="1365" t="str">
        <f ca="1">IF(AB40&lt;&gt;"",N40&amp;";"&amp;AD36,AD36)</f>
        <v/>
      </c>
      <c r="AE35" s="1365" t="str">
        <f ca="1">IF(AB40&lt;&gt;"",IF(R40="Att Options",AB40&amp;IF(AE36&lt;&gt;"",", ",""),"")&amp;AE36,AE36)</f>
        <v/>
      </c>
      <c r="AF35" s="1365" t="str">
        <f ca="1">IF(AB40&lt;&gt;"",IF(R40="Special Actions",AB40&amp;IF(AF36&lt;&gt;"",", ",""),"")&amp;AF36,AF36)</f>
        <v/>
      </c>
      <c r="AG35" s="1467" t="str">
        <f ca="1">IF(AB40&lt;&gt;"",IF(R40="Defenses",AB40&amp;IF(AG36&lt;&gt;"",", ",""),"")&amp;AG36,AG36)</f>
        <v/>
      </c>
      <c r="AH35" s="1467" t="str">
        <f ca="1">IF(AB40&lt;&gt;"",IF(R40="Speed",AB40&amp;IF(AH36&lt;&gt;"",", ",""),"")&amp;AH36,AH36)</f>
        <v/>
      </c>
    </row>
    <row r="36" spans="2:34">
      <c r="B36" s="60"/>
      <c r="C36" s="1320" t="s">
        <v>2297</v>
      </c>
      <c r="D36" s="61"/>
      <c r="E36" s="62" t="s">
        <v>2298</v>
      </c>
      <c r="F36" s="1694" t="s">
        <v>5531</v>
      </c>
      <c r="G36" s="63" t="str">
        <f>IF(AND(CharacterLevel&gt;0,OR(TTreatInjury&lt;&gt;"",ForceTreatment,STTreatInjury&lt;&gt;"")),"Yes","No")</f>
        <v>No</v>
      </c>
      <c r="H36" s="76"/>
      <c r="I36" s="63"/>
      <c r="J36" s="63" t="str">
        <f>IF(COUNTIF(T36:Z36,2)&gt;0,IF(G36="Yes","Class",""),IF(COUNTIF(T36:Z36,3)&gt;0,IF(COUNTIF(MulticlassFeats,Feats!C36&amp;IF(Feats!D36&lt;&gt;""," ("&amp;Feats!D36&amp;")","")),"Multi",""),""))</f>
        <v/>
      </c>
      <c r="K36" s="63" t="str">
        <f t="shared" ca="1" si="2"/>
        <v/>
      </c>
      <c r="L36" s="63" t="str">
        <f t="shared" ca="1" si="3"/>
        <v>No</v>
      </c>
      <c r="M36" s="63">
        <f t="shared" ca="1" si="4"/>
        <v>0</v>
      </c>
      <c r="N36" s="63" t="s">
        <v>2299</v>
      </c>
      <c r="O36" s="64"/>
      <c r="P36" s="660"/>
      <c r="Q36" s="661"/>
      <c r="R36" s="661"/>
      <c r="U36" s="54">
        <f>IF(NobleFeats&gt;0,1,0)</f>
        <v>0</v>
      </c>
      <c r="AB36" s="1566" t="str">
        <f t="shared" ca="1" si="5"/>
        <v/>
      </c>
      <c r="AC36" s="1365" t="str">
        <f ca="1">IF(AB41&lt;&gt;"",AB41&amp;";"&amp;AC37,AC37)</f>
        <v/>
      </c>
      <c r="AD36" s="1365" t="str">
        <f ca="1">IF(AB41&lt;&gt;"",N41&amp;";"&amp;AD37,AD37)</f>
        <v/>
      </c>
      <c r="AE36" s="1365" t="str">
        <f ca="1">IF(AB41&lt;&gt;"",IF(R41="Att Options",AB41&amp;IF(AE37&lt;&gt;"",", ",""),"")&amp;AE37,AE37)</f>
        <v/>
      </c>
      <c r="AF36" s="1365" t="str">
        <f ca="1">IF(AB41&lt;&gt;"",IF(R41="Special Actions",AB41&amp;IF(AF37&lt;&gt;"",", ",""),"")&amp;AF37,AF37)</f>
        <v/>
      </c>
      <c r="AG36" s="1467" t="str">
        <f ca="1">IF(AB41&lt;&gt;"",IF(R41="Defenses",AB41&amp;IF(AG37&lt;&gt;"",", ",""),"")&amp;AG37,AG37)</f>
        <v/>
      </c>
      <c r="AH36" s="1467" t="str">
        <f ca="1">IF(AB41&lt;&gt;"",IF(R41="Speed",AB41&amp;IF(AH37&lt;&gt;"",", ",""),"")&amp;AH37,AH37)</f>
        <v/>
      </c>
    </row>
    <row r="37" spans="2:34">
      <c r="B37" s="60"/>
      <c r="C37" s="1320" t="s">
        <v>2300</v>
      </c>
      <c r="D37" s="61"/>
      <c r="E37" s="62" t="s">
        <v>2301</v>
      </c>
      <c r="F37" s="1694" t="s">
        <v>5532</v>
      </c>
      <c r="G37" s="63" t="str">
        <f ca="1">IF(AND(CharacterLevel&gt;0,M53&gt;0),"Yes","No")</f>
        <v>No</v>
      </c>
      <c r="H37" s="76"/>
      <c r="I37" s="63"/>
      <c r="J37" s="63" t="str">
        <f>IF(COUNTIF(T37:Z37,2)&gt;0,IF(G37="Yes","Class",""),IF(COUNTIF(T37:Z37,3)&gt;0,IF(COUNTIF(MulticlassFeats,Feats!C37&amp;IF(Feats!D37&lt;&gt;""," ("&amp;Feats!D37&amp;")","")),"Multi",""),""))</f>
        <v/>
      </c>
      <c r="K37" s="63" t="str">
        <f t="shared" ca="1" si="2"/>
        <v/>
      </c>
      <c r="L37" s="63" t="str">
        <f t="shared" ca="1" si="3"/>
        <v>No</v>
      </c>
      <c r="M37" s="63">
        <f t="shared" ca="1" si="4"/>
        <v>0</v>
      </c>
      <c r="N37" s="63" t="s">
        <v>2274</v>
      </c>
      <c r="O37" s="64"/>
      <c r="P37" s="660"/>
      <c r="Q37" s="661"/>
      <c r="R37" s="661"/>
      <c r="X37" s="54">
        <f>IF(SoldierFeats&gt;0,1,0)</f>
        <v>0</v>
      </c>
      <c r="AB37" s="1566" t="str">
        <f t="shared" ca="1" si="5"/>
        <v/>
      </c>
      <c r="AC37" s="1365" t="str">
        <f ca="1">IF(AB42&lt;&gt;"",AB42&amp;";"&amp;AC38,AC38)</f>
        <v/>
      </c>
      <c r="AD37" s="1365" t="str">
        <f ca="1">IF(AB42&lt;&gt;"",N42&amp;";"&amp;AD38,AD38)</f>
        <v/>
      </c>
      <c r="AE37" s="1365" t="str">
        <f ca="1">IF(AB42&lt;&gt;"",IF(R42="Att Options",AB42&amp;IF(AE38&lt;&gt;"",", ",""),"")&amp;AE38,AE38)</f>
        <v/>
      </c>
      <c r="AF37" s="1365" t="str">
        <f ca="1">IF(AB42&lt;&gt;"",IF(R42="Special Actions",AB42&amp;IF(AF38&lt;&gt;"",", ",""),"")&amp;AF38,AF38)</f>
        <v/>
      </c>
      <c r="AG37" s="1467" t="str">
        <f ca="1">IF(AB42&lt;&gt;"",IF(R42="Defenses",AB42&amp;IF(AG38&lt;&gt;"",", ",""),"")&amp;AG38,AG38)</f>
        <v/>
      </c>
      <c r="AH37" s="1467" t="str">
        <f ca="1">IF(AB42&lt;&gt;"",IF(R42="Speed",AB42&amp;IF(AH38&lt;&gt;"",", ",""),"")&amp;AH38,AH38)</f>
        <v/>
      </c>
    </row>
    <row r="38" spans="2:34">
      <c r="B38" s="60"/>
      <c r="C38" s="1462" t="s">
        <v>8291</v>
      </c>
      <c r="D38" s="1462"/>
      <c r="E38" s="1462" t="s">
        <v>8290</v>
      </c>
      <c r="F38" s="1695" t="s">
        <v>8289</v>
      </c>
      <c r="G38" s="63" t="str">
        <f ca="1">IF(AND(CharacterLevel&gt;0,$M$58&gt;0),"Yes","No")</f>
        <v>No</v>
      </c>
      <c r="H38" s="76"/>
      <c r="I38" s="63"/>
      <c r="J38" s="63" t="str">
        <f>IF(COUNTIF(T38:Z38,2)&gt;0,IF(G38="Yes","Class",""),IF(COUNTIF(T38:Z38,3)&gt;0,IF(COUNTIF(MulticlassFeats,Feats!A6&amp;IF(Feats!B6&lt;&gt;""," ("&amp;Feats!B6&amp;")","")),"Multi",""),""))</f>
        <v/>
      </c>
      <c r="K38" s="63" t="str">
        <f t="shared" ca="1" si="2"/>
        <v/>
      </c>
      <c r="L38" s="63" t="str">
        <f t="shared" ca="1" si="3"/>
        <v>No</v>
      </c>
      <c r="M38" s="63">
        <f t="shared" ca="1" si="4"/>
        <v>0</v>
      </c>
      <c r="N38" s="1461" t="s">
        <v>8225</v>
      </c>
      <c r="O38" s="64"/>
      <c r="P38" s="1559"/>
      <c r="R38" s="661"/>
      <c r="S38" s="1463"/>
      <c r="T38" s="660"/>
      <c r="U38" s="660"/>
      <c r="V38" s="660"/>
      <c r="W38" s="660"/>
      <c r="X38" s="660"/>
      <c r="Y38" s="660"/>
      <c r="Z38" s="1562"/>
      <c r="AA38" s="1568"/>
      <c r="AB38" s="1566" t="str">
        <f t="shared" ca="1" si="5"/>
        <v/>
      </c>
      <c r="AC38" s="1365" t="str">
        <f ca="1">IF(AB43&lt;&gt;"",AB43&amp;";"&amp;AC39,AC39)</f>
        <v/>
      </c>
      <c r="AD38" s="1365" t="str">
        <f ca="1">IF(AB43&lt;&gt;"",N43&amp;";"&amp;AD39,AD39)</f>
        <v/>
      </c>
      <c r="AE38" s="1365" t="str">
        <f ca="1">IF(AB43&lt;&gt;"",IF(R43="Att Options",AB43&amp;IF(AE39&lt;&gt;"",", ",""),"")&amp;AE39,AE39)</f>
        <v/>
      </c>
      <c r="AF38" s="1365" t="str">
        <f ca="1">IF(AB43&lt;&gt;"",IF(R43="Special Actions",AB43&amp;IF(AF39&lt;&gt;"",", ",""),"")&amp;AF39,AF39)</f>
        <v/>
      </c>
      <c r="AG38" s="1467" t="str">
        <f ca="1">IF(AB43&lt;&gt;"",IF(R43="Defenses",AB43&amp;IF(AG39&lt;&gt;"",", ",""),"")&amp;AG39,AG39)</f>
        <v/>
      </c>
      <c r="AH38" s="1467" t="str">
        <f ca="1">IF(AB43&lt;&gt;"",IF(R43="Speed",AB43&amp;IF(AH39&lt;&gt;"",", ",""),"")&amp;AH39,AH39)</f>
        <v/>
      </c>
    </row>
    <row r="39" spans="2:34">
      <c r="B39" s="60"/>
      <c r="C39" s="1462" t="s">
        <v>8288</v>
      </c>
      <c r="D39" s="1462"/>
      <c r="E39" s="1462" t="s">
        <v>8287</v>
      </c>
      <c r="F39" s="1695" t="s">
        <v>8286</v>
      </c>
      <c r="G39" s="63" t="str">
        <f>IF(Intelligence&gt;=13,"Yes","No")</f>
        <v>Yes</v>
      </c>
      <c r="H39" s="76"/>
      <c r="I39" s="63"/>
      <c r="J39" s="63" t="str">
        <f>IF(COUNTIF(T39:Z39,2)&gt;0,IF(G39="Yes","Class",""),IF(COUNTIF(T39:Z39,3)&gt;0,IF(COUNTIF(MulticlassFeats,Feats!A7&amp;IF(Feats!B7&lt;&gt;""," ("&amp;Feats!B7&amp;")","")),"Multi",""),""))</f>
        <v/>
      </c>
      <c r="K39" s="63" t="str">
        <f t="shared" ca="1" si="2"/>
        <v/>
      </c>
      <c r="L39" s="63" t="str">
        <f t="shared" ca="1" si="3"/>
        <v>No</v>
      </c>
      <c r="M39" s="63">
        <f t="shared" ca="1" si="4"/>
        <v>0</v>
      </c>
      <c r="N39" s="1461" t="s">
        <v>8225</v>
      </c>
      <c r="O39" s="64"/>
      <c r="P39" s="1559"/>
      <c r="R39" s="661"/>
      <c r="S39" s="1463"/>
      <c r="T39" s="660"/>
      <c r="U39" s="660"/>
      <c r="V39" s="660"/>
      <c r="W39" s="660"/>
      <c r="X39" s="660"/>
      <c r="Y39" s="660"/>
      <c r="Z39" s="1562"/>
      <c r="AA39" s="1568"/>
      <c r="AB39" s="1566" t="str">
        <f t="shared" ca="1" si="5"/>
        <v/>
      </c>
      <c r="AC39" s="1365" t="str">
        <f ca="1">IF(AB45&lt;&gt;"",AB45&amp;";"&amp;AC40,AC40)</f>
        <v/>
      </c>
      <c r="AD39" s="1365" t="str">
        <f ca="1">IF(AB45&lt;&gt;"",N45&amp;";"&amp;AD40,AD40)</f>
        <v/>
      </c>
      <c r="AE39" s="1365" t="str">
        <f ca="1">IF(AB45&lt;&gt;"",IF(R45="Att Options",AB45&amp;IF(AE40&lt;&gt;"",", ",""),"")&amp;AE40,AE40)</f>
        <v/>
      </c>
      <c r="AF39" s="1365" t="str">
        <f ca="1">IF(AB45&lt;&gt;"",IF(R45="Special Actions",AB45&amp;IF(AF40&lt;&gt;"",", ",""),"")&amp;AF40,AF40)</f>
        <v/>
      </c>
      <c r="AG39" s="1467" t="str">
        <f ca="1">IF(AB45&lt;&gt;"",IF(R45="Defenses",AB45&amp;IF(AG40&lt;&gt;"",", ",""),"")&amp;AG40,AG40)</f>
        <v/>
      </c>
      <c r="AH39" s="1467" t="str">
        <f ca="1">IF(AB45&lt;&gt;"",IF(R45="Speed",AB45&amp;IF(AH40&lt;&gt;"",", ",""),"")&amp;AH40,AH40)</f>
        <v/>
      </c>
    </row>
    <row r="40" spans="2:34">
      <c r="B40" s="60"/>
      <c r="C40" s="1320" t="s">
        <v>2302</v>
      </c>
      <c r="D40" s="61"/>
      <c r="E40" s="62"/>
      <c r="F40" s="1694" t="s">
        <v>5533</v>
      </c>
      <c r="G40" s="63" t="str">
        <f>IF(CharacterLevel&gt;0,"Yes","No")</f>
        <v>No</v>
      </c>
      <c r="H40" s="76"/>
      <c r="I40" s="63"/>
      <c r="J40" s="63" t="str">
        <f>IF(COUNTIF(T40:Z40,2)&gt;0,IF(G40="Yes","Class",""),IF(COUNTIF(T40:Z40,3)&gt;0,IF(COUNTIF(MulticlassFeats,Feats!C40&amp;IF(Feats!D40&lt;&gt;""," ("&amp;Feats!D40&amp;")","")),"Multi",""),""))</f>
        <v/>
      </c>
      <c r="K40" s="63" t="str">
        <f t="shared" ca="1" si="2"/>
        <v/>
      </c>
      <c r="L40" s="63" t="str">
        <f t="shared" ca="1" si="3"/>
        <v>No</v>
      </c>
      <c r="M40" s="63">
        <f t="shared" ca="1" si="4"/>
        <v>0</v>
      </c>
      <c r="N40" s="63" t="s">
        <v>2299</v>
      </c>
      <c r="O40" s="64"/>
      <c r="P40" s="660"/>
      <c r="Q40" s="661"/>
      <c r="R40" s="661"/>
      <c r="T40" s="54">
        <f>IF(JediFeats&gt;0,1,0)</f>
        <v>0</v>
      </c>
      <c r="X40" s="54">
        <f>IF(SoldierFeats&gt;0,1,0)</f>
        <v>0</v>
      </c>
      <c r="AB40" s="1566" t="str">
        <f t="shared" ca="1" si="5"/>
        <v/>
      </c>
      <c r="AC40" s="1365" t="str">
        <f ca="1">IF(AB46&lt;&gt;"",AB46&amp;";"&amp;AC41,AC41)</f>
        <v/>
      </c>
      <c r="AD40" s="1365" t="str">
        <f ca="1">IF(AB46&lt;&gt;"",N46&amp;";"&amp;AD41,AD41)</f>
        <v/>
      </c>
      <c r="AE40" s="1365" t="str">
        <f ca="1">IF(AB46&lt;&gt;"",IF(R46="Att Options",AB46&amp;IF(AE41&lt;&gt;"",", ",""),"")&amp;AE41,AE41)</f>
        <v/>
      </c>
      <c r="AF40" s="1365" t="str">
        <f ca="1">IF(AB46&lt;&gt;"",IF(R46="Special Actions",AB46&amp;IF(AF41&lt;&gt;"",", ",""),"")&amp;AF41,AF41)</f>
        <v/>
      </c>
      <c r="AG40" s="1467" t="str">
        <f ca="1">IF(AB46&lt;&gt;"",IF(R46="Defenses",AB46&amp;IF(AG41&lt;&gt;"",", ",""),"")&amp;AG41,AG41)</f>
        <v/>
      </c>
      <c r="AH40" s="1467" t="str">
        <f ca="1">IF(AB46&lt;&gt;"",IF(R46="Speed",AB46&amp;IF(AH41&lt;&gt;"",", ",""),"")&amp;AH41,AH41)</f>
        <v/>
      </c>
    </row>
    <row r="41" spans="2:34">
      <c r="B41" s="60"/>
      <c r="C41" s="1320" t="s">
        <v>2303</v>
      </c>
      <c r="D41" s="61"/>
      <c r="E41" s="62" t="s">
        <v>2304</v>
      </c>
      <c r="F41" s="1694" t="s">
        <v>5534</v>
      </c>
      <c r="G41" s="63" t="str">
        <f ca="1">IF(AND(CharacterLevel&gt;0,M347&gt;0),"Yes","No")</f>
        <v>No</v>
      </c>
      <c r="H41" s="76"/>
      <c r="I41" s="63"/>
      <c r="J41" s="63" t="str">
        <f>IF(COUNTIF(T41:Z41,2)&gt;0,IF(G41="Yes","Class",""),IF(COUNTIF(T41:Z41,3)&gt;0,IF(COUNTIF(MulticlassFeats,Feats!C41&amp;IF(Feats!D41&lt;&gt;""," ("&amp;Feats!D41&amp;")","")),"Multi",""),""))</f>
        <v/>
      </c>
      <c r="K41" s="63" t="str">
        <f t="shared" ca="1" si="2"/>
        <v/>
      </c>
      <c r="L41" s="63" t="str">
        <f t="shared" ca="1" si="3"/>
        <v>No</v>
      </c>
      <c r="M41" s="63">
        <f t="shared" ref="M41:M72" ca="1" si="13">IF(L41="Yes",1,0)</f>
        <v>0</v>
      </c>
      <c r="N41" s="63">
        <v>82</v>
      </c>
      <c r="O41" s="64"/>
      <c r="P41" s="660"/>
      <c r="Q41" s="661"/>
      <c r="R41" s="661" t="s">
        <v>4059</v>
      </c>
      <c r="AB41" s="1566" t="str">
        <f t="shared" ref="AB41:AB72" ca="1" si="14">IF(OR(H41&lt;&gt;"",I41&lt;&gt;"",J41&lt;&gt;"",K41&lt;&gt;""),C41&amp;IF(D41&lt;&gt;""," ("&amp;D41&amp;")",""),"")</f>
        <v/>
      </c>
      <c r="AC41" s="1365" t="str">
        <f ca="1">IF(AB47&lt;&gt;"",AB47&amp;";"&amp;AC42,AC42)</f>
        <v/>
      </c>
      <c r="AD41" s="1365" t="str">
        <f ca="1">IF(AB47&lt;&gt;"",N47&amp;";"&amp;AD42,AD42)</f>
        <v/>
      </c>
      <c r="AE41" s="1365" t="str">
        <f ca="1">IF(AB47&lt;&gt;"",IF(R47="Att Options",AB47&amp;IF(AE42&lt;&gt;"",", ",""),"")&amp;AE42,AE42)</f>
        <v/>
      </c>
      <c r="AF41" s="1365" t="str">
        <f ca="1">IF(AB47&lt;&gt;"",IF(R47="Special Actions",AB47&amp;IF(AF42&lt;&gt;"",", ",""),"")&amp;AF42,AF42)</f>
        <v/>
      </c>
      <c r="AG41" s="1467" t="str">
        <f ca="1">IF(AB47&lt;&gt;"",IF(R47="Defenses",AB47&amp;IF(AG42&lt;&gt;"",", ",""),"")&amp;AG42,AG42)</f>
        <v/>
      </c>
      <c r="AH41" s="1467" t="str">
        <f ca="1">IF(AB47&lt;&gt;"",IF(R47="Speed",AB47&amp;IF(AH42&lt;&gt;"",", ",""),"")&amp;AH42,AH42)</f>
        <v/>
      </c>
    </row>
    <row r="42" spans="2:34">
      <c r="B42" s="60"/>
      <c r="C42" s="1320" t="s">
        <v>2305</v>
      </c>
      <c r="D42" s="61"/>
      <c r="E42" s="62" t="s">
        <v>2306</v>
      </c>
      <c r="F42" s="1694" t="s">
        <v>5535</v>
      </c>
      <c r="G42" s="63" t="str">
        <f>IF(AND(CharacterLevel&gt;0,OR(TEndurance&lt;&gt;"",STEndurance&lt;&gt;"")),"Yes","No")</f>
        <v>No</v>
      </c>
      <c r="H42" s="76"/>
      <c r="I42" s="63"/>
      <c r="J42" s="63" t="str">
        <f>IF(COUNTIF(T42:Z42,2)&gt;0,IF(G42="Yes","Class",""),IF(COUNTIF(T42:Z42,3)&gt;0,IF(COUNTIF(MulticlassFeats,Feats!C42&amp;IF(Feats!D42&lt;&gt;""," ("&amp;Feats!D42&amp;")","")),"Multi",""),""))</f>
        <v/>
      </c>
      <c r="K42" s="63" t="str">
        <f t="shared" ca="1" si="2"/>
        <v/>
      </c>
      <c r="L42" s="63" t="str">
        <f t="shared" ca="1" si="3"/>
        <v>No</v>
      </c>
      <c r="M42" s="63">
        <f t="shared" ca="1" si="13"/>
        <v>0</v>
      </c>
      <c r="N42" s="63" t="s">
        <v>2307</v>
      </c>
      <c r="O42" s="64"/>
      <c r="P42" s="660"/>
      <c r="Q42" s="661"/>
      <c r="R42" s="661" t="s">
        <v>3669</v>
      </c>
      <c r="T42" s="54">
        <f>IF(JediFeats&gt;0,1,0)</f>
        <v>0</v>
      </c>
      <c r="V42" s="54">
        <f>IF(ScoundrelFeats&gt;0,1,0)</f>
        <v>0</v>
      </c>
      <c r="W42" s="54">
        <f>IF(ScoutFeats&gt;0,1,0)</f>
        <v>0</v>
      </c>
      <c r="X42" s="54">
        <f>IF(SoldierFeats&gt;0,1,0)</f>
        <v>0</v>
      </c>
      <c r="AB42" s="1566" t="str">
        <f t="shared" ca="1" si="14"/>
        <v/>
      </c>
      <c r="AC42" s="1365" t="str">
        <f ca="1">IF(AB48&lt;&gt;"",AB48&amp;";"&amp;AC43,AC43)</f>
        <v/>
      </c>
      <c r="AD42" s="1365" t="str">
        <f ca="1">IF(AB48&lt;&gt;"",N48&amp;";"&amp;AD43,AD43)</f>
        <v/>
      </c>
      <c r="AE42" s="1365" t="str">
        <f ca="1">IF(AB48&lt;&gt;"",IF(R48="Att Options",AB48&amp;IF(AE43&lt;&gt;"",", ",""),"")&amp;AE43,AE43)</f>
        <v/>
      </c>
      <c r="AF42" s="1365" t="str">
        <f ca="1">IF(AB48&lt;&gt;"",IF(R48="Special Actions",AB48&amp;IF(AF43&lt;&gt;"",", ",""),"")&amp;AF43,AF43)</f>
        <v/>
      </c>
      <c r="AG42" s="1467" t="str">
        <f ca="1">IF(AB48&lt;&gt;"",IF(R48="Defenses",AB48&amp;IF(AG43&lt;&gt;"",", ",""),"")&amp;AG43,AG43)</f>
        <v/>
      </c>
      <c r="AH42" s="1467" t="str">
        <f ca="1">IF(AB48&lt;&gt;"",IF(R48="Speed",AB48&amp;IF(AH43&lt;&gt;"",", ",""),"")&amp;AH43,AH43)</f>
        <v/>
      </c>
    </row>
    <row r="43" spans="2:34">
      <c r="B43" s="60"/>
      <c r="C43" s="1320" t="s">
        <v>2308</v>
      </c>
      <c r="D43" s="61"/>
      <c r="E43" s="62" t="s">
        <v>2309</v>
      </c>
      <c r="F43" s="1694" t="s">
        <v>5536</v>
      </c>
      <c r="G43" s="63" t="str">
        <f ca="1">IF(AND(CharacterLevel&gt;0,BAB&gt;=2,M233&gt;0),"Yes","No")</f>
        <v>No</v>
      </c>
      <c r="H43" s="76"/>
      <c r="I43" s="63"/>
      <c r="J43" s="63" t="str">
        <f>IF(COUNTIF(T43:Z43,2)&gt;0,IF(G43="Yes","Class",""),IF(COUNTIF(T43:Z43,3)&gt;0,IF(COUNTIF(MulticlassFeats,Feats!C43&amp;IF(Feats!D43&lt;&gt;""," ("&amp;Feats!D43&amp;")","")),"Multi",""),""))</f>
        <v/>
      </c>
      <c r="K43" s="63" t="str">
        <f t="shared" ca="1" si="2"/>
        <v/>
      </c>
      <c r="L43" s="63" t="str">
        <f t="shared" ca="1" si="3"/>
        <v>No</v>
      </c>
      <c r="M43" s="63">
        <f t="shared" ca="1" si="13"/>
        <v>0</v>
      </c>
      <c r="N43" s="63">
        <v>82</v>
      </c>
      <c r="O43" s="64"/>
      <c r="P43" s="660"/>
      <c r="Q43" s="661"/>
      <c r="R43" s="661" t="s">
        <v>4059</v>
      </c>
      <c r="W43" s="54">
        <f>IF(ScoutFeats&gt;0,1,0)</f>
        <v>0</v>
      </c>
      <c r="X43" s="54">
        <f>IF(SoldierFeats&gt;0,1,0)</f>
        <v>0</v>
      </c>
      <c r="AB43" s="1566" t="str">
        <f t="shared" ca="1" si="14"/>
        <v/>
      </c>
      <c r="AC43" s="1365" t="str">
        <f ca="1">IF(AB49&lt;&gt;"",AB49&amp;";"&amp;AC44,AC44)</f>
        <v/>
      </c>
      <c r="AD43" s="1365" t="str">
        <f ca="1">IF(AB49&lt;&gt;"",N49&amp;";"&amp;AD44,AD44)</f>
        <v/>
      </c>
      <c r="AE43" s="1365" t="str">
        <f ca="1">IF(AB49&lt;&gt;"",IF(R49="Att Options",AB49&amp;IF(AE44&lt;&gt;"",", ",""),"")&amp;AE44,AE44)</f>
        <v/>
      </c>
      <c r="AF43" s="1365" t="str">
        <f ca="1">IF(AB49&lt;&gt;"",IF(R49="Special Actions",AB49&amp;IF(AF44&lt;&gt;"",", ",""),"")&amp;AF44,AF44)</f>
        <v/>
      </c>
      <c r="AG43" s="1467" t="str">
        <f ca="1">IF(AB49&lt;&gt;"",IF(R49="Defenses",AB49&amp;IF(AG44&lt;&gt;"",", ",""),"")&amp;AG44,AG44)</f>
        <v/>
      </c>
      <c r="AH43" s="1467" t="str">
        <f ca="1">IF(AB49&lt;&gt;"",IF(R49="Speed",AB49&amp;IF(AH44&lt;&gt;"",", ",""),"")&amp;AH44,AH44)</f>
        <v/>
      </c>
    </row>
    <row r="44" spans="2:34">
      <c r="B44" s="60"/>
      <c r="C44" s="1462" t="s">
        <v>8285</v>
      </c>
      <c r="D44" s="1462"/>
      <c r="E44" s="1462" t="s">
        <v>8284</v>
      </c>
      <c r="F44" s="1695" t="s">
        <v>8283</v>
      </c>
      <c r="G44" s="63" t="str">
        <f>IF(AND(CharacterLevel&gt;=1,COUNTIF(SpeciesTraits,"Rage")),"Yes","No")</f>
        <v>No</v>
      </c>
      <c r="H44" s="76"/>
      <c r="I44" s="63"/>
      <c r="J44" s="63" t="str">
        <f>IF(COUNTIF(T44:Z44,2)&gt;0,IF(G44="Yes","Class",""),IF(COUNTIF(T44:Z44,3)&gt;0,IF(COUNTIF(MulticlassFeats,Feats!A8&amp;IF(Feats!B8&lt;&gt;""," ("&amp;Feats!B8&amp;")","")),"Multi",""),""))</f>
        <v/>
      </c>
      <c r="K44" s="63" t="str">
        <f t="shared" ca="1" si="2"/>
        <v/>
      </c>
      <c r="L44" s="63" t="str">
        <f t="shared" ca="1" si="3"/>
        <v>No</v>
      </c>
      <c r="M44" s="63">
        <f t="shared" ca="1" si="13"/>
        <v>0</v>
      </c>
      <c r="N44" s="1461" t="s">
        <v>8225</v>
      </c>
      <c r="O44" s="64"/>
      <c r="P44" s="1559"/>
      <c r="R44" s="661"/>
      <c r="S44" s="1463"/>
      <c r="T44" s="660"/>
      <c r="U44" s="660"/>
      <c r="V44" s="660"/>
      <c r="W44" s="660"/>
      <c r="X44" s="660"/>
      <c r="Y44" s="660"/>
      <c r="Z44" s="1562"/>
      <c r="AA44" s="1568"/>
      <c r="AB44" s="1566" t="str">
        <f t="shared" ca="1" si="14"/>
        <v/>
      </c>
      <c r="AC44" s="1365" t="str">
        <f t="shared" ref="AC44:AC52" ca="1" si="15">IF(AB51&lt;&gt;"",AB51&amp;";"&amp;AC45,AC45)</f>
        <v/>
      </c>
      <c r="AD44" s="1365" t="str">
        <f t="shared" ref="AD44:AD52" ca="1" si="16">IF(AB51&lt;&gt;"",N51&amp;";"&amp;AD45,AD45)</f>
        <v/>
      </c>
      <c r="AE44" s="1365" t="str">
        <f t="shared" ref="AE44:AE52" ca="1" si="17">IF(AB51&lt;&gt;"",IF(R51="Att Options",AB51&amp;IF(AE45&lt;&gt;"",", ",""),"")&amp;AE45,AE45)</f>
        <v/>
      </c>
      <c r="AF44" s="1365" t="str">
        <f t="shared" ref="AF44:AF52" ca="1" si="18">IF(AB51&lt;&gt;"",IF(R51="Special Actions",AB51&amp;IF(AF45&lt;&gt;"",", ",""),"")&amp;AF45,AF45)</f>
        <v/>
      </c>
      <c r="AG44" s="1467" t="str">
        <f t="shared" ref="AG44:AG52" ca="1" si="19">IF(AB51&lt;&gt;"",IF(R51="Defenses",AB51&amp;IF(AG45&lt;&gt;"",", ",""),"")&amp;AG45,AG45)</f>
        <v/>
      </c>
      <c r="AH44" s="1467" t="str">
        <f t="shared" ref="AH44:AH52" ca="1" si="20">IF(AB51&lt;&gt;"",IF(R51="Speed",AB51&amp;IF(AH45&lt;&gt;"",", ",""),"")&amp;AH45,AH45)</f>
        <v/>
      </c>
    </row>
    <row r="45" spans="2:34">
      <c r="B45" s="60"/>
      <c r="C45" s="1320" t="s">
        <v>2310</v>
      </c>
      <c r="D45" s="61"/>
      <c r="E45" s="62" t="s">
        <v>2311</v>
      </c>
      <c r="F45" s="1694" t="s">
        <v>5537</v>
      </c>
      <c r="G45" s="63" t="str">
        <f>IF(AND(CharacterLevel&gt;0,BAB&gt;=4),"Yes","No")</f>
        <v>No</v>
      </c>
      <c r="H45" s="76"/>
      <c r="I45" s="63"/>
      <c r="J45" s="63" t="str">
        <f>IF(COUNTIF(T45:Z45,2)&gt;0,IF(G45="Yes","Class",""),IF(COUNTIF(T45:Z45,3)&gt;0,IF(COUNTIF(MulticlassFeats,Feats!C45&amp;IF(Feats!D45&lt;&gt;""," ("&amp;Feats!D45&amp;")","")),"Multi",""),""))</f>
        <v/>
      </c>
      <c r="K45" s="63" t="str">
        <f t="shared" ca="1" si="2"/>
        <v/>
      </c>
      <c r="L45" s="63" t="str">
        <f t="shared" ca="1" si="3"/>
        <v>No</v>
      </c>
      <c r="M45" s="63">
        <f t="shared" ca="1" si="13"/>
        <v>0</v>
      </c>
      <c r="N45" s="63">
        <v>83</v>
      </c>
      <c r="O45" s="64"/>
      <c r="P45" s="660"/>
      <c r="Q45" s="661"/>
      <c r="R45" s="661" t="s">
        <v>4059</v>
      </c>
      <c r="X45" s="54">
        <f>IF(SoldierFeats&gt;0,1,0)</f>
        <v>0</v>
      </c>
      <c r="AB45" s="1566" t="str">
        <f t="shared" ca="1" si="14"/>
        <v/>
      </c>
      <c r="AC45" s="1365" t="str">
        <f t="shared" ca="1" si="15"/>
        <v/>
      </c>
      <c r="AD45" s="1365" t="str">
        <f t="shared" ca="1" si="16"/>
        <v/>
      </c>
      <c r="AE45" s="1365" t="str">
        <f t="shared" ca="1" si="17"/>
        <v/>
      </c>
      <c r="AF45" s="1365" t="str">
        <f t="shared" ca="1" si="18"/>
        <v/>
      </c>
      <c r="AG45" s="1467" t="str">
        <f t="shared" ca="1" si="19"/>
        <v/>
      </c>
      <c r="AH45" s="1467" t="str">
        <f t="shared" ca="1" si="20"/>
        <v/>
      </c>
    </row>
    <row r="46" spans="2:34">
      <c r="B46" s="60"/>
      <c r="C46" s="1320" t="s">
        <v>2312</v>
      </c>
      <c r="D46" s="61"/>
      <c r="E46" s="62" t="s">
        <v>2313</v>
      </c>
      <c r="F46" s="1694" t="s">
        <v>5538</v>
      </c>
      <c r="G46" s="63" t="str">
        <f ca="1">IF(AND(CharacterLevel&gt;0,M235&gt;0),"Yes","No")</f>
        <v>No</v>
      </c>
      <c r="H46" s="76"/>
      <c r="I46" s="63"/>
      <c r="J46" s="63" t="str">
        <f>IF(COUNTIF(T46:Z46,2)&gt;0,IF(G46="Yes","Class",""),IF(COUNTIF(T46:Z46,3)&gt;0,IF(COUNTIF(MulticlassFeats,Feats!C46&amp;IF(Feats!D46&lt;&gt;""," ("&amp;Feats!D46&amp;")","")),"Multi",""),""))</f>
        <v/>
      </c>
      <c r="K46" s="63" t="str">
        <f t="shared" ca="1" si="2"/>
        <v/>
      </c>
      <c r="L46" s="63" t="str">
        <f t="shared" ca="1" si="3"/>
        <v>No</v>
      </c>
      <c r="M46" s="63">
        <f t="shared" ca="1" si="13"/>
        <v>0</v>
      </c>
      <c r="N46" s="63">
        <v>83</v>
      </c>
      <c r="O46" s="64"/>
      <c r="P46" s="660"/>
      <c r="Q46" s="661"/>
      <c r="R46" s="661" t="s">
        <v>4059</v>
      </c>
      <c r="T46" s="54">
        <f>IF(JediFeats&gt;0,1,0)</f>
        <v>0</v>
      </c>
      <c r="X46" s="54">
        <f>IF(SoldierFeats&gt;0,1,0)</f>
        <v>0</v>
      </c>
      <c r="AB46" s="1566" t="str">
        <f t="shared" ca="1" si="14"/>
        <v/>
      </c>
      <c r="AC46" s="1365" t="str">
        <f t="shared" ca="1" si="15"/>
        <v/>
      </c>
      <c r="AD46" s="1365" t="str">
        <f t="shared" ca="1" si="16"/>
        <v/>
      </c>
      <c r="AE46" s="1365" t="str">
        <f t="shared" ca="1" si="17"/>
        <v/>
      </c>
      <c r="AF46" s="1365" t="str">
        <f t="shared" ca="1" si="18"/>
        <v/>
      </c>
      <c r="AG46" s="1467" t="str">
        <f t="shared" ca="1" si="19"/>
        <v/>
      </c>
      <c r="AH46" s="1467" t="str">
        <f t="shared" ca="1" si="20"/>
        <v/>
      </c>
    </row>
    <row r="47" spans="2:34">
      <c r="B47" s="60"/>
      <c r="C47" s="1320" t="s">
        <v>2314</v>
      </c>
      <c r="D47" s="61"/>
      <c r="E47" s="62" t="s">
        <v>2315</v>
      </c>
      <c r="F47" s="1694" t="s">
        <v>5539</v>
      </c>
      <c r="G47" s="63" t="str">
        <f>IF(OR(TAcrobatics&lt;&gt;"",ForceFluidity,STAcrobatics&lt;&gt;""),"Yes","No")</f>
        <v>No</v>
      </c>
      <c r="H47" s="76"/>
      <c r="I47" s="63"/>
      <c r="J47" s="63" t="str">
        <f>IF(COUNTIF(T47:Z47,2)&gt;0,IF(G47="Yes","Class",""),IF(COUNTIF(T47:Z47,3)&gt;0,IF(COUNTIF(MulticlassFeats,Feats!C47&amp;IF(Feats!D47&lt;&gt;""," ("&amp;Feats!D47&amp;")","")),"Multi",""),""))</f>
        <v/>
      </c>
      <c r="K47" s="63" t="str">
        <f t="shared" ca="1" si="2"/>
        <v/>
      </c>
      <c r="L47" s="63" t="str">
        <f t="shared" ca="1" si="3"/>
        <v>No</v>
      </c>
      <c r="M47" s="63">
        <f t="shared" ca="1" si="13"/>
        <v>0</v>
      </c>
      <c r="N47" s="63" t="s">
        <v>2307</v>
      </c>
      <c r="O47" s="64"/>
      <c r="P47" s="660"/>
      <c r="Q47" s="661"/>
      <c r="R47" s="661" t="s">
        <v>4059</v>
      </c>
      <c r="T47" s="54">
        <f>IF(JediFeats&gt;0,1,0)</f>
        <v>0</v>
      </c>
      <c r="V47" s="54">
        <f>IF(ScoundrelFeats&gt;0,1,0)</f>
        <v>0</v>
      </c>
      <c r="AB47" s="1566" t="str">
        <f t="shared" ca="1" si="14"/>
        <v/>
      </c>
      <c r="AC47" s="1365" t="str">
        <f t="shared" ca="1" si="15"/>
        <v/>
      </c>
      <c r="AD47" s="1365" t="str">
        <f t="shared" ca="1" si="16"/>
        <v/>
      </c>
      <c r="AE47" s="1365" t="str">
        <f t="shared" ca="1" si="17"/>
        <v/>
      </c>
      <c r="AF47" s="1365" t="str">
        <f t="shared" ca="1" si="18"/>
        <v/>
      </c>
      <c r="AG47" s="1467" t="str">
        <f t="shared" ca="1" si="19"/>
        <v/>
      </c>
      <c r="AH47" s="1467" t="str">
        <f t="shared" ca="1" si="20"/>
        <v/>
      </c>
    </row>
    <row r="48" spans="2:34">
      <c r="B48" s="60"/>
      <c r="C48" s="1320" t="s">
        <v>2316</v>
      </c>
      <c r="D48" s="61"/>
      <c r="E48" s="62" t="s">
        <v>2317</v>
      </c>
      <c r="F48" s="1694" t="s">
        <v>5540</v>
      </c>
      <c r="G48" s="63" t="str">
        <f ca="1">IF(AND(CharacterLevel&gt;0,BAB&gt;=6,M249&gt;0),"Yes","No")</f>
        <v>No</v>
      </c>
      <c r="H48" s="76"/>
      <c r="I48" s="63"/>
      <c r="J48" s="63" t="str">
        <f>IF(COUNTIF(T48:Z48,2)&gt;0,IF(G48="Yes","Class",""),IF(COUNTIF(T48:Z48,3)&gt;0,IF(COUNTIF(MulticlassFeats,Feats!C48&amp;IF(Feats!D48&lt;&gt;""," ("&amp;Feats!D48&amp;")","")),"Multi",""),""))</f>
        <v/>
      </c>
      <c r="K48" s="63" t="str">
        <f t="shared" ca="1" si="2"/>
        <v/>
      </c>
      <c r="L48" s="63" t="str">
        <f t="shared" ca="1" si="3"/>
        <v>No</v>
      </c>
      <c r="M48" s="63">
        <f t="shared" ca="1" si="13"/>
        <v>0</v>
      </c>
      <c r="N48" s="63" t="s">
        <v>2307</v>
      </c>
      <c r="O48" s="64"/>
      <c r="P48" s="660"/>
      <c r="Q48" s="661"/>
      <c r="R48" s="661" t="s">
        <v>4059</v>
      </c>
      <c r="V48" s="54">
        <f>IF(ScoundrelFeats&gt;0,1,0)</f>
        <v>0</v>
      </c>
      <c r="X48" s="54">
        <f>IF(SoldierFeats&gt;0,1,0)</f>
        <v>0</v>
      </c>
      <c r="AB48" s="1566" t="str">
        <f t="shared" ca="1" si="14"/>
        <v/>
      </c>
      <c r="AC48" s="1365" t="str">
        <f t="shared" ca="1" si="15"/>
        <v/>
      </c>
      <c r="AD48" s="1365" t="str">
        <f t="shared" ca="1" si="16"/>
        <v/>
      </c>
      <c r="AE48" s="1365" t="str">
        <f t="shared" ca="1" si="17"/>
        <v/>
      </c>
      <c r="AF48" s="1365" t="str">
        <f t="shared" ca="1" si="18"/>
        <v/>
      </c>
      <c r="AG48" s="1467" t="str">
        <f t="shared" ca="1" si="19"/>
        <v/>
      </c>
      <c r="AH48" s="1467" t="str">
        <f t="shared" ca="1" si="20"/>
        <v/>
      </c>
    </row>
    <row r="49" spans="2:36">
      <c r="B49" s="60"/>
      <c r="C49" s="1320" t="s">
        <v>2318</v>
      </c>
      <c r="D49" s="61"/>
      <c r="E49" s="62"/>
      <c r="F49" s="1694" t="s">
        <v>5541</v>
      </c>
      <c r="G49" s="63" t="str">
        <f>IF(CharacterLevel&gt;0,"Yes","No")</f>
        <v>No</v>
      </c>
      <c r="H49" s="76"/>
      <c r="I49" s="63"/>
      <c r="J49" s="63" t="str">
        <f>IF(COUNTIF(T49:Z49,2)&gt;0,IF(G49="Yes","Class",""),IF(COUNTIF(T49:Z49,3)&gt;0,IF(COUNTIF(MulticlassFeats,Feats!C49&amp;IF(Feats!D49&lt;&gt;""," ("&amp;Feats!D49&amp;")","")),"Multi",""),""))</f>
        <v/>
      </c>
      <c r="K49" s="63" t="str">
        <f t="shared" ca="1" si="2"/>
        <v/>
      </c>
      <c r="L49" s="63" t="str">
        <f t="shared" ca="1" si="3"/>
        <v>No</v>
      </c>
      <c r="M49" s="63">
        <f t="shared" ca="1" si="13"/>
        <v>0</v>
      </c>
      <c r="N49" s="63">
        <v>83</v>
      </c>
      <c r="O49" s="64"/>
      <c r="P49" s="660"/>
      <c r="Q49" s="661"/>
      <c r="R49" s="661" t="s">
        <v>4060</v>
      </c>
      <c r="T49" s="54">
        <f>IF(JediFeats&gt;0,1,0)</f>
        <v>0</v>
      </c>
      <c r="X49" s="54">
        <f>IF(SoldierFeats&gt;0,1,0)</f>
        <v>0</v>
      </c>
      <c r="AB49" s="1566" t="str">
        <f t="shared" ca="1" si="14"/>
        <v/>
      </c>
      <c r="AC49" s="1365" t="str">
        <f t="shared" ca="1" si="15"/>
        <v/>
      </c>
      <c r="AD49" s="1365" t="str">
        <f t="shared" ca="1" si="16"/>
        <v/>
      </c>
      <c r="AE49" s="1365" t="str">
        <f t="shared" ca="1" si="17"/>
        <v/>
      </c>
      <c r="AF49" s="1365" t="str">
        <f t="shared" ca="1" si="18"/>
        <v/>
      </c>
      <c r="AG49" s="1467" t="str">
        <f t="shared" ca="1" si="19"/>
        <v/>
      </c>
      <c r="AH49" s="1467" t="str">
        <f t="shared" ca="1" si="20"/>
        <v/>
      </c>
    </row>
    <row r="50" spans="2:36">
      <c r="B50" s="60"/>
      <c r="C50" s="1462" t="s">
        <v>8219</v>
      </c>
      <c r="D50" s="1462"/>
      <c r="E50" s="1462" t="s">
        <v>8218</v>
      </c>
      <c r="F50" s="1695" t="s">
        <v>8217</v>
      </c>
      <c r="G50" s="63" t="str">
        <f>IF(AND(CharacterLevel&gt;0,OR(TDeception="Yes",STDeception="Yes")),"Yes","No")</f>
        <v>No</v>
      </c>
      <c r="H50" s="76"/>
      <c r="I50" s="63"/>
      <c r="J50" s="63" t="str">
        <f>IF(COUNTIF(T50:Z50,2)&gt;0,IF(G50="Yes","Class",""),IF(COUNTIF(T50:Z50,3)&gt;0,IF(COUNTIF(MulticlassFeats,Feats!A33&amp;IF(Feats!B33&lt;&gt;""," ("&amp;Feats!B33&amp;")","")),"Multi",""),""))</f>
        <v/>
      </c>
      <c r="K50" s="63" t="str">
        <f t="shared" ca="1" si="2"/>
        <v/>
      </c>
      <c r="L50" s="63" t="str">
        <f t="shared" ca="1" si="3"/>
        <v>No</v>
      </c>
      <c r="M50" s="63">
        <f t="shared" ca="1" si="13"/>
        <v>0</v>
      </c>
      <c r="N50" s="1461" t="s">
        <v>8166</v>
      </c>
      <c r="O50" s="64"/>
      <c r="P50" s="1559"/>
      <c r="R50" s="661"/>
      <c r="S50" s="1463"/>
      <c r="T50" s="660"/>
      <c r="U50" s="54">
        <f>IF(NobleFeats&gt;0,1,0)</f>
        <v>0</v>
      </c>
      <c r="V50" s="54">
        <f>IF(ScoundrelFeats&gt;0,1,0)</f>
        <v>0</v>
      </c>
      <c r="W50" s="660"/>
      <c r="X50" s="660"/>
      <c r="Y50" s="660"/>
      <c r="Z50" s="1562"/>
      <c r="AA50" s="1568"/>
      <c r="AB50" s="1566" t="str">
        <f t="shared" ca="1" si="14"/>
        <v/>
      </c>
      <c r="AC50" s="1365" t="str">
        <f t="shared" ca="1" si="15"/>
        <v/>
      </c>
      <c r="AD50" s="1365" t="str">
        <f t="shared" ca="1" si="16"/>
        <v/>
      </c>
      <c r="AE50" s="1365" t="str">
        <f t="shared" ca="1" si="17"/>
        <v/>
      </c>
      <c r="AF50" s="1365" t="str">
        <f t="shared" ca="1" si="18"/>
        <v/>
      </c>
      <c r="AG50" s="1467" t="str">
        <f t="shared" ca="1" si="19"/>
        <v/>
      </c>
      <c r="AH50" s="1467" t="str">
        <f t="shared" ca="1" si="20"/>
        <v/>
      </c>
      <c r="AJ50" s="1559"/>
    </row>
    <row r="51" spans="2:36">
      <c r="B51" s="60"/>
      <c r="C51" s="1320" t="s">
        <v>2319</v>
      </c>
      <c r="D51" s="61"/>
      <c r="E51" s="62" t="s">
        <v>2320</v>
      </c>
      <c r="F51" s="1694" t="s">
        <v>5542</v>
      </c>
      <c r="G51" s="63" t="str">
        <f>IF(AND(CharacterLevel&gt;=1,Strength&gt;=13,Constitution&gt;=13),"Yes","No")</f>
        <v>No</v>
      </c>
      <c r="H51" s="76"/>
      <c r="I51" s="63"/>
      <c r="J51" s="63" t="str">
        <f>IF(COUNTIF(T51:Z51,2)&gt;0,IF(G51="Yes","Class",""),IF(COUNTIF(T51:Z51,3)&gt;0,IF(COUNTIF(MulticlassFeats,Feats!C51&amp;IF(Feats!D51&lt;&gt;""," ("&amp;Feats!D51&amp;")","")),"Multi",""),""))</f>
        <v/>
      </c>
      <c r="K51" s="63" t="str">
        <f t="shared" ca="1" si="2"/>
        <v/>
      </c>
      <c r="L51" s="63" t="str">
        <f t="shared" ca="1" si="3"/>
        <v>No</v>
      </c>
      <c r="M51" s="63">
        <f t="shared" ca="1" si="13"/>
        <v>0</v>
      </c>
      <c r="N51" s="63" t="s">
        <v>2264</v>
      </c>
      <c r="O51" s="64"/>
      <c r="P51" s="660"/>
      <c r="Q51" s="661"/>
      <c r="R51" s="661"/>
      <c r="W51" s="54">
        <f>IF(ScoutFeats&gt;0,1,0)</f>
        <v>0</v>
      </c>
      <c r="X51" s="54">
        <f>IF(SoldierFeats&gt;0,1,0)</f>
        <v>0</v>
      </c>
      <c r="AB51" s="1566" t="str">
        <f t="shared" ca="1" si="14"/>
        <v/>
      </c>
      <c r="AC51" s="1365" t="str">
        <f t="shared" ca="1" si="15"/>
        <v/>
      </c>
      <c r="AD51" s="1365" t="str">
        <f t="shared" ca="1" si="16"/>
        <v/>
      </c>
      <c r="AE51" s="1365" t="str">
        <f t="shared" ca="1" si="17"/>
        <v/>
      </c>
      <c r="AF51" s="1365" t="str">
        <f t="shared" ca="1" si="18"/>
        <v/>
      </c>
      <c r="AG51" s="1467" t="str">
        <f t="shared" ca="1" si="19"/>
        <v/>
      </c>
      <c r="AH51" s="1467" t="str">
        <f t="shared" ca="1" si="20"/>
        <v/>
      </c>
    </row>
    <row r="52" spans="2:36">
      <c r="B52" s="60"/>
      <c r="C52" s="1320" t="s">
        <v>2321</v>
      </c>
      <c r="D52" s="61"/>
      <c r="E52" s="62" t="s">
        <v>1056</v>
      </c>
      <c r="F52" s="1694" t="s">
        <v>5543</v>
      </c>
      <c r="G52" s="63" t="str">
        <f>IF(AND(CharacterLevel&gt;=1,COUNTIF(SpeciesTraits,"Rage")),"Yes","No")</f>
        <v>No</v>
      </c>
      <c r="H52" s="76"/>
      <c r="I52" s="63"/>
      <c r="J52" s="63" t="str">
        <f>IF(COUNTIF(T52:Z52,2)&gt;0,IF(G52="Yes","Class",""),IF(COUNTIF(T52:Z52,3)&gt;0,IF(COUNTIF(MulticlassFeats,Feats!C52&amp;IF(Feats!D52&lt;&gt;""," ("&amp;Feats!D52&amp;")","")),"Multi",""),""))</f>
        <v/>
      </c>
      <c r="K52" s="63" t="str">
        <f t="shared" ca="1" si="2"/>
        <v/>
      </c>
      <c r="L52" s="63" t="str">
        <f t="shared" ca="1" si="3"/>
        <v>No</v>
      </c>
      <c r="M52" s="63">
        <f t="shared" ca="1" si="13"/>
        <v>0</v>
      </c>
      <c r="N52" s="63" t="s">
        <v>2322</v>
      </c>
      <c r="O52" s="64"/>
      <c r="P52" s="660"/>
      <c r="Q52" s="661"/>
      <c r="R52" s="661" t="s">
        <v>4060</v>
      </c>
      <c r="AB52" s="1566" t="str">
        <f t="shared" ca="1" si="14"/>
        <v/>
      </c>
      <c r="AC52" s="1365" t="str">
        <f t="shared" ca="1" si="15"/>
        <v/>
      </c>
      <c r="AD52" s="1365" t="str">
        <f t="shared" ca="1" si="16"/>
        <v/>
      </c>
      <c r="AE52" s="1365" t="str">
        <f t="shared" ca="1" si="17"/>
        <v/>
      </c>
      <c r="AF52" s="1365" t="str">
        <f t="shared" ca="1" si="18"/>
        <v/>
      </c>
      <c r="AG52" s="1467" t="str">
        <f t="shared" ca="1" si="19"/>
        <v/>
      </c>
      <c r="AH52" s="1467" t="str">
        <f t="shared" ca="1" si="20"/>
        <v/>
      </c>
    </row>
    <row r="53" spans="2:36">
      <c r="B53" s="60"/>
      <c r="C53" s="1320" t="s">
        <v>2301</v>
      </c>
      <c r="D53" s="61"/>
      <c r="E53" s="62" t="s">
        <v>2323</v>
      </c>
      <c r="F53" s="1694" t="s">
        <v>5544</v>
      </c>
      <c r="G53" s="63" t="str">
        <f>IF(AND(CharacterLevel&gt;0,BAB&gt;=2),"Yes","No")</f>
        <v>No</v>
      </c>
      <c r="H53" s="76"/>
      <c r="I53" s="63"/>
      <c r="J53" s="63" t="str">
        <f>IF(COUNTIF(T53:Z53,2)&gt;0,IF(G53="Yes","Class",""),IF(COUNTIF(T53:Z53,3)&gt;0,IF(COUNTIF(MulticlassFeats,Feats!C53&amp;IF(Feats!D53&lt;&gt;""," ("&amp;Feats!D53&amp;")","")),"Multi",""),""))</f>
        <v/>
      </c>
      <c r="K53" s="63" t="str">
        <f t="shared" ca="1" si="2"/>
        <v/>
      </c>
      <c r="L53" s="63" t="str">
        <f t="shared" ca="1" si="3"/>
        <v>No</v>
      </c>
      <c r="M53" s="63">
        <f t="shared" ca="1" si="13"/>
        <v>0</v>
      </c>
      <c r="N53" s="63">
        <v>83</v>
      </c>
      <c r="O53" s="64"/>
      <c r="P53" s="660"/>
      <c r="Q53" s="661"/>
      <c r="R53" s="661" t="s">
        <v>4060</v>
      </c>
      <c r="X53" s="54">
        <f>IF(SoldierFeats&gt;0,1,0)</f>
        <v>0</v>
      </c>
      <c r="AB53" s="1566" t="str">
        <f t="shared" ca="1" si="14"/>
        <v/>
      </c>
      <c r="AC53" s="1365" t="str">
        <f t="shared" ref="AC53:AC58" ca="1" si="21">IF(AB61&lt;&gt;"",AB61&amp;";"&amp;AC54,AC54)</f>
        <v/>
      </c>
      <c r="AD53" s="1365" t="str">
        <f t="shared" ref="AD53:AD58" ca="1" si="22">IF(AB61&lt;&gt;"",N61&amp;";"&amp;AD54,AD54)</f>
        <v/>
      </c>
      <c r="AE53" s="1365" t="str">
        <f t="shared" ref="AE53:AE58" ca="1" si="23">IF(AB61&lt;&gt;"",IF(R61="Att Options",AB61&amp;IF(AE54&lt;&gt;"",", ",""),"")&amp;AE54,AE54)</f>
        <v/>
      </c>
      <c r="AF53" s="1365" t="str">
        <f t="shared" ref="AF53:AF58" ca="1" si="24">IF(AB61&lt;&gt;"",IF(R61="Special Actions",AB61&amp;IF(AF54&lt;&gt;"",", ",""),"")&amp;AF54,AF54)</f>
        <v/>
      </c>
      <c r="AG53" s="1467" t="str">
        <f t="shared" ref="AG53:AG58" ca="1" si="25">IF(AB61&lt;&gt;"",IF(R61="Defenses",AB61&amp;IF(AG54&lt;&gt;"",", ",""),"")&amp;AG54,AG54)</f>
        <v/>
      </c>
      <c r="AH53" s="1467" t="str">
        <f t="shared" ref="AH53:AH58" ca="1" si="26">IF(AB61&lt;&gt;"",IF(R61="Speed",AB61&amp;IF(AH54&lt;&gt;"",", ",""),"")&amp;AH54,AH54)</f>
        <v/>
      </c>
    </row>
    <row r="54" spans="2:36">
      <c r="B54" s="1311"/>
      <c r="C54" s="1320" t="s">
        <v>2324</v>
      </c>
      <c r="D54" s="61"/>
      <c r="E54" s="62" t="s">
        <v>2325</v>
      </c>
      <c r="F54" s="1694" t="s">
        <v>5545</v>
      </c>
      <c r="G54" s="63" t="str">
        <f ca="1">IF(AND(CharacterLevel&gt;0,BAB&gt;=5,M53&gt;0),"Yes","No")</f>
        <v>No</v>
      </c>
      <c r="H54" s="76"/>
      <c r="I54" s="63"/>
      <c r="J54" s="63" t="str">
        <f>IF(COUNTIF(T54:Z54,2)&gt;0,IF(G54="Yes","Class",""),IF(COUNTIF(T54:Z54,3)&gt;0,IF(COUNTIF(MulticlassFeats,Feats!C54&amp;IF(Feats!D54&lt;&gt;""," ("&amp;Feats!D54&amp;")","")),"Multi",""),""))</f>
        <v/>
      </c>
      <c r="K54" s="63" t="str">
        <f t="shared" ca="1" si="2"/>
        <v/>
      </c>
      <c r="L54" s="63" t="str">
        <f t="shared" ca="1" si="3"/>
        <v>No</v>
      </c>
      <c r="M54" s="63">
        <f t="shared" ca="1" si="13"/>
        <v>0</v>
      </c>
      <c r="N54" s="63" t="s">
        <v>2277</v>
      </c>
      <c r="O54" s="64"/>
      <c r="P54" s="660"/>
      <c r="Q54" s="508"/>
      <c r="R54" s="661"/>
      <c r="X54" s="54">
        <f>IF(SoldierFeats&gt;0,1,0)</f>
        <v>0</v>
      </c>
      <c r="AB54" s="1566" t="str">
        <f t="shared" ca="1" si="14"/>
        <v/>
      </c>
      <c r="AC54" s="1365" t="str">
        <f t="shared" ca="1" si="21"/>
        <v/>
      </c>
      <c r="AD54" s="1365" t="str">
        <f t="shared" ca="1" si="22"/>
        <v/>
      </c>
      <c r="AE54" s="1365" t="str">
        <f t="shared" ca="1" si="23"/>
        <v/>
      </c>
      <c r="AF54" s="1365" t="str">
        <f t="shared" ca="1" si="24"/>
        <v/>
      </c>
      <c r="AG54" s="1467" t="str">
        <f t="shared" ca="1" si="25"/>
        <v/>
      </c>
      <c r="AH54" s="1467" t="str">
        <f t="shared" ca="1" si="26"/>
        <v/>
      </c>
    </row>
    <row r="55" spans="2:36">
      <c r="B55" s="60"/>
      <c r="C55" s="1320" t="s">
        <v>2326</v>
      </c>
      <c r="D55" s="61"/>
      <c r="E55" s="62"/>
      <c r="F55" s="1694" t="s">
        <v>5546</v>
      </c>
      <c r="G55" s="63" t="str">
        <f>IF(CharacterLevel&gt;0,"Yes","No")</f>
        <v>No</v>
      </c>
      <c r="H55" s="76"/>
      <c r="I55" s="63"/>
      <c r="J55" s="63" t="str">
        <f>IF(COUNTIF(T55:Z55,2)&gt;0,IF(G55="Yes","Class",""),IF(COUNTIF(T55:Z55,3)&gt;0,IF(COUNTIF(MulticlassFeats,Feats!C55&amp;IF(Feats!D55&lt;&gt;""," ("&amp;Feats!D55&amp;")","")),"Multi",""),""))</f>
        <v/>
      </c>
      <c r="K55" s="63" t="str">
        <f t="shared" ca="1" si="2"/>
        <v/>
      </c>
      <c r="L55" s="63" t="str">
        <f t="shared" ca="1" si="3"/>
        <v>No</v>
      </c>
      <c r="M55" s="63">
        <f t="shared" ca="1" si="13"/>
        <v>0</v>
      </c>
      <c r="N55" s="63" t="s">
        <v>2307</v>
      </c>
      <c r="O55" s="64"/>
      <c r="P55" s="660"/>
      <c r="Q55" s="661"/>
      <c r="R55" s="661"/>
      <c r="U55" s="54">
        <f>IF(NobleFeats&gt;0,1,0)</f>
        <v>0</v>
      </c>
      <c r="V55" s="54">
        <f>IF(ScoundrelFeats&gt;0,1,0)</f>
        <v>0</v>
      </c>
      <c r="W55" s="54">
        <f>IF(ScoutFeats&gt;0,1,0)</f>
        <v>0</v>
      </c>
      <c r="AB55" s="1566" t="str">
        <f t="shared" ca="1" si="14"/>
        <v/>
      </c>
      <c r="AC55" s="1365" t="str">
        <f t="shared" ca="1" si="21"/>
        <v/>
      </c>
      <c r="AD55" s="1365" t="str">
        <f t="shared" ca="1" si="22"/>
        <v/>
      </c>
      <c r="AE55" s="1365" t="str">
        <f t="shared" ca="1" si="23"/>
        <v/>
      </c>
      <c r="AF55" s="1365" t="str">
        <f t="shared" ca="1" si="24"/>
        <v/>
      </c>
      <c r="AG55" s="1467" t="str">
        <f t="shared" ca="1" si="25"/>
        <v/>
      </c>
      <c r="AH55" s="1467" t="str">
        <f t="shared" ca="1" si="26"/>
        <v/>
      </c>
    </row>
    <row r="56" spans="2:36">
      <c r="B56" s="60"/>
      <c r="C56" s="1320" t="s">
        <v>2327</v>
      </c>
      <c r="D56" s="61"/>
      <c r="E56" s="62" t="s">
        <v>2328</v>
      </c>
      <c r="F56" s="1694" t="s">
        <v>5547</v>
      </c>
      <c r="G56" s="63" t="str">
        <f ca="1">IF(AND(CharacterLevel&gt;0,BAB&gt;=9,OR(M344&gt;0,M345&gt;0)),"Yes","No")</f>
        <v>No</v>
      </c>
      <c r="H56" s="76"/>
      <c r="I56" s="63"/>
      <c r="J56" s="63" t="str">
        <f>IF(COUNTIF(T56:Z56,2)&gt;0,IF(G56="Yes","Class",""),IF(COUNTIF(T56:Z56,3)&gt;0,IF(COUNTIF(MulticlassFeats,Feats!C56&amp;IF(Feats!D56&lt;&gt;""," ("&amp;Feats!D56&amp;")","")),"Multi",""),""))</f>
        <v/>
      </c>
      <c r="K56" s="63" t="str">
        <f t="shared" ca="1" si="2"/>
        <v/>
      </c>
      <c r="L56" s="63" t="str">
        <f t="shared" ca="1" si="3"/>
        <v>No</v>
      </c>
      <c r="M56" s="63">
        <f t="shared" ca="1" si="13"/>
        <v>0</v>
      </c>
      <c r="N56" s="63" t="s">
        <v>2264</v>
      </c>
      <c r="O56" s="64"/>
      <c r="P56" s="660"/>
      <c r="Q56" s="661"/>
      <c r="R56" s="661" t="s">
        <v>4060</v>
      </c>
      <c r="T56" s="54">
        <f>IF(JediFeats&gt;0,1,0)</f>
        <v>0</v>
      </c>
      <c r="X56" s="54">
        <f>IF(SoldierFeats&gt;0,1,0)</f>
        <v>0</v>
      </c>
      <c r="AB56" s="1566" t="str">
        <f t="shared" ca="1" si="14"/>
        <v/>
      </c>
      <c r="AC56" s="1365" t="str">
        <f t="shared" ca="1" si="21"/>
        <v/>
      </c>
      <c r="AD56" s="1365" t="str">
        <f t="shared" ca="1" si="22"/>
        <v/>
      </c>
      <c r="AE56" s="1365" t="str">
        <f t="shared" ca="1" si="23"/>
        <v/>
      </c>
      <c r="AF56" s="1365" t="str">
        <f t="shared" ca="1" si="24"/>
        <v/>
      </c>
      <c r="AG56" s="1467" t="str">
        <f t="shared" ca="1" si="25"/>
        <v/>
      </c>
      <c r="AH56" s="1467" t="str">
        <f t="shared" ca="1" si="26"/>
        <v/>
      </c>
    </row>
    <row r="57" spans="2:36">
      <c r="B57" s="60"/>
      <c r="C57" s="1320" t="s">
        <v>2329</v>
      </c>
      <c r="D57" s="61"/>
      <c r="E57" s="62" t="s">
        <v>2330</v>
      </c>
      <c r="F57" s="1694" t="s">
        <v>5548</v>
      </c>
      <c r="G57" s="63" t="str">
        <f ca="1">IF(AND(CharacterLevel&gt;0,BAB&gt;=6,M235&gt;0),"Yes","No")</f>
        <v>No</v>
      </c>
      <c r="H57" s="76"/>
      <c r="I57" s="63"/>
      <c r="J57" s="63" t="str">
        <f>IF(COUNTIF(T57:Z57,2)&gt;0,IF(G57="Yes","Class",""),IF(COUNTIF(T57:Z57,3)&gt;0,IF(COUNTIF(MulticlassFeats,Feats!C57&amp;IF(Feats!D57&lt;&gt;""," ("&amp;Feats!D57&amp;")","")),"Multi",""),""))</f>
        <v/>
      </c>
      <c r="K57" s="63" t="str">
        <f t="shared" ca="1" si="2"/>
        <v/>
      </c>
      <c r="L57" s="63" t="str">
        <f t="shared" ca="1" si="3"/>
        <v>No</v>
      </c>
      <c r="M57" s="63">
        <f t="shared" ca="1" si="13"/>
        <v>0</v>
      </c>
      <c r="N57" s="63" t="s">
        <v>2322</v>
      </c>
      <c r="O57" s="64"/>
      <c r="P57" s="660"/>
      <c r="Q57" s="661"/>
      <c r="R57" s="661"/>
      <c r="V57" s="54">
        <f>IF(ScoundrelFeats&gt;0,1,0)</f>
        <v>0</v>
      </c>
      <c r="X57" s="54">
        <f>IF(SoldierFeats&gt;0,1,0)</f>
        <v>0</v>
      </c>
      <c r="AB57" s="1566" t="str">
        <f t="shared" ca="1" si="14"/>
        <v/>
      </c>
      <c r="AC57" s="1365" t="str">
        <f t="shared" ca="1" si="21"/>
        <v/>
      </c>
      <c r="AD57" s="1365" t="str">
        <f t="shared" ca="1" si="22"/>
        <v/>
      </c>
      <c r="AE57" s="1365" t="str">
        <f t="shared" ca="1" si="23"/>
        <v/>
      </c>
      <c r="AF57" s="1365" t="str">
        <f t="shared" ca="1" si="24"/>
        <v/>
      </c>
      <c r="AG57" s="1467" t="str">
        <f t="shared" ca="1" si="25"/>
        <v/>
      </c>
      <c r="AH57" s="1467" t="str">
        <f t="shared" ca="1" si="26"/>
        <v/>
      </c>
    </row>
    <row r="58" spans="2:36">
      <c r="B58" s="60"/>
      <c r="C58" s="1320" t="s">
        <v>2331</v>
      </c>
      <c r="D58" s="61"/>
      <c r="E58" s="62" t="s">
        <v>2042</v>
      </c>
      <c r="F58" s="1694" t="s">
        <v>5549</v>
      </c>
      <c r="G58" s="63" t="str">
        <f ca="1">IF(AND(CharacterLevel&gt;0,M229&gt;0),"Yes","No")</f>
        <v>No</v>
      </c>
      <c r="H58" s="76"/>
      <c r="I58" s="63"/>
      <c r="J58" s="63" t="str">
        <f>IF(COUNTIF(T58:Z58,2)&gt;0,IF(G58="Yes","Class",""),IF(COUNTIF(T58:Z58,3)&gt;0,IF(COUNTIF(MulticlassFeats,Feats!C58&amp;IF(Feats!D58&lt;&gt;""," ("&amp;Feats!D58&amp;")","")),"Multi",""),""))</f>
        <v/>
      </c>
      <c r="K58" s="63" t="str">
        <f t="shared" ca="1" si="2"/>
        <v/>
      </c>
      <c r="L58" s="63" t="str">
        <f t="shared" ca="1" si="3"/>
        <v>No</v>
      </c>
      <c r="M58" s="63">
        <f t="shared" ca="1" si="13"/>
        <v>0</v>
      </c>
      <c r="N58" s="63">
        <v>83</v>
      </c>
      <c r="O58" s="64"/>
      <c r="P58" s="660"/>
      <c r="Q58" s="661"/>
      <c r="R58" s="661" t="s">
        <v>4059</v>
      </c>
      <c r="X58" s="54">
        <f>IF(SoldierFeats&gt;0,1,0)</f>
        <v>0</v>
      </c>
      <c r="AB58" s="1566" t="str">
        <f t="shared" ca="1" si="14"/>
        <v/>
      </c>
      <c r="AC58" s="1365" t="str">
        <f t="shared" ca="1" si="21"/>
        <v/>
      </c>
      <c r="AD58" s="1365" t="str">
        <f t="shared" ca="1" si="22"/>
        <v/>
      </c>
      <c r="AE58" s="1365" t="str">
        <f t="shared" ca="1" si="23"/>
        <v/>
      </c>
      <c r="AF58" s="1365" t="str">
        <f t="shared" ca="1" si="24"/>
        <v/>
      </c>
      <c r="AG58" s="1467" t="str">
        <f t="shared" ca="1" si="25"/>
        <v/>
      </c>
      <c r="AH58" s="1467" t="str">
        <f t="shared" ca="1" si="26"/>
        <v/>
      </c>
    </row>
    <row r="59" spans="2:36">
      <c r="B59" s="60"/>
      <c r="C59" s="1320" t="s">
        <v>2332</v>
      </c>
      <c r="D59" s="61"/>
      <c r="E59" s="62"/>
      <c r="F59" s="1694" t="s">
        <v>5550</v>
      </c>
      <c r="G59" s="63" t="str">
        <f>IF(CharacterLevel&gt;0,"Yes","No")</f>
        <v>No</v>
      </c>
      <c r="H59" s="76"/>
      <c r="I59" s="63"/>
      <c r="J59" s="63" t="str">
        <f>IF(COUNTIF(T59:Z59,2)&gt;0,IF(G59="Yes","Class",""),IF(COUNTIF(T59:Z59,3)&gt;0,IF(COUNTIF(MulticlassFeats,Feats!C59&amp;IF(Feats!D59&lt;&gt;""," ("&amp;Feats!D59&amp;")","")),"Multi",""),""))</f>
        <v/>
      </c>
      <c r="K59" s="63" t="str">
        <f t="shared" ca="1" si="2"/>
        <v/>
      </c>
      <c r="L59" s="63" t="str">
        <f t="shared" ca="1" si="3"/>
        <v>No</v>
      </c>
      <c r="M59" s="63">
        <f t="shared" ca="1" si="13"/>
        <v>0</v>
      </c>
      <c r="N59" s="63" t="s">
        <v>2322</v>
      </c>
      <c r="O59" s="64"/>
      <c r="P59" s="660"/>
      <c r="Q59" s="661"/>
      <c r="R59" s="661" t="s">
        <v>4059</v>
      </c>
      <c r="V59" s="54">
        <f>IF(ScoundrelFeats&gt;0,1,0)</f>
        <v>0</v>
      </c>
      <c r="W59" s="54">
        <f>IF(ScoutFeats&gt;0,1,0)</f>
        <v>0</v>
      </c>
      <c r="AB59" s="1566" t="str">
        <f t="shared" ca="1" si="14"/>
        <v/>
      </c>
      <c r="AC59" s="1365" t="str">
        <f ca="1">IF(AB68&lt;&gt;"",AB68&amp;";"&amp;AC60,AC60)</f>
        <v/>
      </c>
      <c r="AD59" s="1365" t="str">
        <f ca="1">IF(AB68&lt;&gt;"",N68&amp;";"&amp;AD60,AD60)</f>
        <v/>
      </c>
      <c r="AE59" s="1365" t="str">
        <f ca="1">IF(AB68&lt;&gt;"",IF(R68="Att Options",AB68&amp;IF(AE60&lt;&gt;"",", ",""),"")&amp;AE60,AE60)</f>
        <v/>
      </c>
      <c r="AF59" s="1365" t="str">
        <f ca="1">IF(AB68&lt;&gt;"",IF(R68="Special Actions",AB68&amp;IF(AF60&lt;&gt;"",", ",""),"")&amp;AF60,AF60)</f>
        <v/>
      </c>
      <c r="AG59" s="1467" t="str">
        <f ca="1">IF(AB68&lt;&gt;"",IF(R68="Defenses",AB68&amp;IF(AG60&lt;&gt;"",", ",""),"")&amp;AG60,AG60)</f>
        <v/>
      </c>
      <c r="AH59" s="1467" t="str">
        <f ca="1">IF(AB68&lt;&gt;"",IF(R68="Speed",AB68&amp;IF(AH60&lt;&gt;"",", ",""),"")&amp;AH60,AH60)</f>
        <v/>
      </c>
    </row>
    <row r="60" spans="2:36">
      <c r="B60" s="1311"/>
      <c r="C60" s="1462" t="s">
        <v>8282</v>
      </c>
      <c r="D60" s="1462"/>
      <c r="E60" s="1462" t="s">
        <v>8281</v>
      </c>
      <c r="F60" s="1695" t="s">
        <v>8280</v>
      </c>
      <c r="G60" s="63" t="str">
        <f>IF(AND(CharacterLevel&gt;0,OR(TKnowledgeBureaucracy="Yes",STKnowledgeBureaucracy="Yes")),"Yes","No")</f>
        <v>No</v>
      </c>
      <c r="H60" s="76"/>
      <c r="I60" s="63"/>
      <c r="J60" s="63" t="str">
        <f>IF(COUNTIF(T60:Z60,2)&gt;0,IF(G60="Yes","Class",""),IF(COUNTIF(T60:Z60,3)&gt;0,IF(COUNTIF(MulticlassFeats,Feats!A9&amp;IF(Feats!B9&lt;&gt;""," ("&amp;Feats!B9&amp;")","")),"Multi",""),""))</f>
        <v/>
      </c>
      <c r="K60" s="63" t="str">
        <f t="shared" ca="1" si="2"/>
        <v/>
      </c>
      <c r="L60" s="63" t="str">
        <f t="shared" ca="1" si="3"/>
        <v>No</v>
      </c>
      <c r="M60" s="63">
        <f t="shared" ca="1" si="13"/>
        <v>0</v>
      </c>
      <c r="N60" s="1461" t="s">
        <v>8225</v>
      </c>
      <c r="O60" s="64"/>
      <c r="P60" s="1559"/>
      <c r="R60" s="661"/>
      <c r="S60" s="1463"/>
      <c r="T60" s="660"/>
      <c r="U60" s="660"/>
      <c r="V60" s="660"/>
      <c r="W60" s="660"/>
      <c r="X60" s="660"/>
      <c r="Y60" s="660"/>
      <c r="Z60" s="1562"/>
      <c r="AA60" s="1568"/>
      <c r="AB60" s="1566" t="str">
        <f t="shared" ca="1" si="14"/>
        <v/>
      </c>
      <c r="AC60" s="1365" t="str">
        <f ca="1">IF(AB69&lt;&gt;"",AB69&amp;";"&amp;AC61,AC61)</f>
        <v/>
      </c>
      <c r="AD60" s="1365" t="str">
        <f ca="1">IF(AB69&lt;&gt;"",N69&amp;";"&amp;AD61,AD61)</f>
        <v/>
      </c>
      <c r="AE60" s="1365" t="str">
        <f ca="1">IF(AB69&lt;&gt;"",IF(R69="Att Options",AB69&amp;IF(AE61&lt;&gt;"",", ",""),"")&amp;AE61,AE61)</f>
        <v/>
      </c>
      <c r="AF60" s="1365" t="str">
        <f ca="1">IF(AB69&lt;&gt;"",IF(R69="Special Actions",AB69&amp;IF(AF61&lt;&gt;"",", ",""),"")&amp;AF61,AF61)</f>
        <v/>
      </c>
      <c r="AG60" s="1467" t="str">
        <f ca="1">IF(AB69&lt;&gt;"",IF(R69="Defenses",AB69&amp;IF(AG61&lt;&gt;"",", ",""),"")&amp;AG61,AG61)</f>
        <v/>
      </c>
      <c r="AH60" s="1467" t="str">
        <f ca="1">IF(AB69&lt;&gt;"",IF(R69="Speed",AB69&amp;IF(AH61&lt;&gt;"",", ",""),"")&amp;AH61,AH61)</f>
        <v/>
      </c>
    </row>
    <row r="61" spans="2:36">
      <c r="B61" s="1311"/>
      <c r="C61" s="1320" t="s">
        <v>2333</v>
      </c>
      <c r="D61" s="61"/>
      <c r="E61" s="62" t="s">
        <v>2334</v>
      </c>
      <c r="F61" s="1694" t="s">
        <v>5551</v>
      </c>
      <c r="G61" s="63" t="str">
        <f>IF(AND(CharacterLevel&gt;0,OR(TTreatInjury&lt;&gt;"",ForceTreatment,STTreatInjury&lt;&gt;"")),"Yes","No")</f>
        <v>No</v>
      </c>
      <c r="H61" s="76"/>
      <c r="I61" s="63"/>
      <c r="J61" s="63" t="str">
        <f>IF(COUNTIF(T61:Z61,2)&gt;0,IF(G61="Yes","Class",""),IF(COUNTIF(T61:Z61,3)&gt;0,IF(COUNTIF(MulticlassFeats,Feats!C61&amp;IF(Feats!D61&lt;&gt;""," ("&amp;Feats!D61&amp;")","")),"Multi",""),""))</f>
        <v/>
      </c>
      <c r="K61" s="63" t="str">
        <f t="shared" ca="1" si="2"/>
        <v/>
      </c>
      <c r="L61" s="63" t="str">
        <f t="shared" ca="1" si="3"/>
        <v>No</v>
      </c>
      <c r="M61" s="63">
        <f t="shared" ca="1" si="13"/>
        <v>0</v>
      </c>
      <c r="N61" s="63">
        <v>83</v>
      </c>
      <c r="O61" s="64"/>
      <c r="P61" s="660"/>
      <c r="Q61" s="661"/>
      <c r="R61" s="661"/>
      <c r="U61" s="54">
        <f>IF(NobleFeats&gt;0,1,0)</f>
        <v>0</v>
      </c>
      <c r="AB61" s="1566" t="str">
        <f t="shared" ca="1" si="14"/>
        <v/>
      </c>
      <c r="AC61" s="1365" t="str">
        <f ca="1">IF(AB70&lt;&gt;"",AB70&amp;";"&amp;AC62,AC62)</f>
        <v/>
      </c>
      <c r="AD61" s="1365" t="str">
        <f ca="1">IF(AB70&lt;&gt;"",N70&amp;";"&amp;AD62,AD62)</f>
        <v/>
      </c>
      <c r="AE61" s="1365" t="str">
        <f ca="1">IF(AB70&lt;&gt;"",IF(R70="Att Options",AB70&amp;IF(AE62&lt;&gt;"",", ",""),"")&amp;AE62,AE62)</f>
        <v/>
      </c>
      <c r="AF61" s="1365" t="str">
        <f ca="1">IF(AB70&lt;&gt;"",IF(R70="Special Actions",AB70&amp;IF(AF62&lt;&gt;"",", ",""),"")&amp;AF62,AF62)</f>
        <v/>
      </c>
      <c r="AG61" s="1467" t="str">
        <f ca="1">IF(AB70&lt;&gt;"",IF(R70="Defenses",AB70&amp;IF(AG62&lt;&gt;"",", ",""),"")&amp;AG62,AG62)</f>
        <v/>
      </c>
      <c r="AH61" s="1467" t="str">
        <f ca="1">IF(AB70&lt;&gt;"",IF(R70="Speed",AB70&amp;IF(AH62&lt;&gt;"",", ",""),"")&amp;AH62,AH62)</f>
        <v/>
      </c>
    </row>
    <row r="62" spans="2:36">
      <c r="B62" s="1311"/>
      <c r="C62" s="1320" t="s">
        <v>7362</v>
      </c>
      <c r="D62" s="61"/>
      <c r="E62" s="62" t="s">
        <v>7379</v>
      </c>
      <c r="F62" s="1694" t="s">
        <v>7394</v>
      </c>
      <c r="G62" s="63" t="str">
        <f>IF(AND(Droid,Dexterity&gt;=13),"Yes","No")</f>
        <v>No</v>
      </c>
      <c r="H62" s="76"/>
      <c r="I62" s="63"/>
      <c r="J62" s="63" t="str">
        <f>IF(COUNTIF(T62:Z62,2)&gt;0,IF(G62="Yes","Class",""),IF(COUNTIF(T62:Z62,3)&gt;0,IF(COUNTIF(MulticlassFeats,Feats!C62&amp;IF(Feats!D62&lt;&gt;""," ("&amp;Feats!D62&amp;")","")),"Multi",""),""))</f>
        <v/>
      </c>
      <c r="K62" s="63" t="str">
        <f t="shared" ca="1" si="2"/>
        <v/>
      </c>
      <c r="L62" s="63" t="str">
        <f t="shared" ca="1" si="3"/>
        <v>No</v>
      </c>
      <c r="M62" s="63">
        <f t="shared" ca="1" si="13"/>
        <v>0</v>
      </c>
      <c r="N62" s="63" t="s">
        <v>7515</v>
      </c>
      <c r="O62" s="64"/>
      <c r="P62" s="660"/>
      <c r="Q62" s="661"/>
      <c r="R62" s="661"/>
      <c r="AB62" s="1566" t="str">
        <f t="shared" ca="1" si="14"/>
        <v/>
      </c>
      <c r="AC62" s="1365" t="str">
        <f ca="1">IF(AB71&lt;&gt;"",AB71&amp;";"&amp;AC63,AC63)</f>
        <v/>
      </c>
      <c r="AD62" s="1365" t="str">
        <f ca="1">IF(AB71&lt;&gt;"",N71&amp;";"&amp;AD63,AD63)</f>
        <v/>
      </c>
      <c r="AE62" s="1365" t="str">
        <f ca="1">IF(AB71&lt;&gt;"",IF(R71="Att Options",AB71&amp;IF(AE63&lt;&gt;"",", ",""),"")&amp;AE63,AE63)</f>
        <v/>
      </c>
      <c r="AF62" s="1365" t="str">
        <f ca="1">IF(AB71&lt;&gt;"",IF(R71="Special Actions",AB71&amp;IF(AF63&lt;&gt;"",", ",""),"")&amp;AF63,AF63)</f>
        <v/>
      </c>
      <c r="AG62" s="1467" t="str">
        <f ca="1">IF(AB71&lt;&gt;"",IF(R71="Defenses",AB71&amp;IF(AG63&lt;&gt;"",", ",""),"")&amp;AG63,AG63)</f>
        <v/>
      </c>
      <c r="AH62" s="1467" t="str">
        <f ca="1">IF(AB71&lt;&gt;"",IF(R71="Speed",AB71&amp;IF(AH63&lt;&gt;"",", ",""),"")&amp;AH63,AH63)</f>
        <v/>
      </c>
    </row>
    <row r="63" spans="2:36">
      <c r="B63" s="1311"/>
      <c r="C63" s="1320" t="s">
        <v>2335</v>
      </c>
      <c r="D63" s="61"/>
      <c r="E63" s="62" t="s">
        <v>2336</v>
      </c>
      <c r="F63" s="1694" t="s">
        <v>5552</v>
      </c>
      <c r="G63" s="63" t="str">
        <f ca="1">IF(AND(CharacterLevel&gt;0,BAB&gt;=4,M239&gt;0),"Yes","No")</f>
        <v>No</v>
      </c>
      <c r="H63" s="76"/>
      <c r="I63" s="63"/>
      <c r="J63" s="63" t="str">
        <f>IF(COUNTIF(T63:Z63,2)&gt;0,IF(G63="Yes","Class",""),IF(COUNTIF(T63:Z63,3)&gt;0,IF(COUNTIF(MulticlassFeats,Feats!C63&amp;IF(Feats!D63&lt;&gt;""," ("&amp;Feats!D63&amp;")","")),"Multi",""),""))</f>
        <v/>
      </c>
      <c r="K63" s="63" t="str">
        <f t="shared" ca="1" si="2"/>
        <v/>
      </c>
      <c r="L63" s="63" t="str">
        <f t="shared" ca="1" si="3"/>
        <v>No</v>
      </c>
      <c r="M63" s="63">
        <f t="shared" ca="1" si="13"/>
        <v>0</v>
      </c>
      <c r="N63" s="63">
        <v>84</v>
      </c>
      <c r="O63" s="64"/>
      <c r="P63" s="660"/>
      <c r="Q63" s="661"/>
      <c r="R63" s="661" t="s">
        <v>4059</v>
      </c>
      <c r="V63" s="54">
        <f>IF(ScoundrelFeats&gt;0,1,0)</f>
        <v>0</v>
      </c>
      <c r="W63" s="54">
        <f>IF(ScoutFeats&gt;0,1,0)</f>
        <v>0</v>
      </c>
      <c r="X63" s="54">
        <f>IF(SoldierFeats&gt;0,1,0)</f>
        <v>0</v>
      </c>
      <c r="AB63" s="1566" t="str">
        <f t="shared" ca="1" si="14"/>
        <v/>
      </c>
      <c r="AC63" s="1365" t="str">
        <f t="shared" ref="AC63:AC87" ca="1" si="27">IF(AB73&lt;&gt;"",AB73&amp;";"&amp;AC64,AC64)</f>
        <v/>
      </c>
      <c r="AD63" s="1365" t="str">
        <f t="shared" ref="AD63:AD87" ca="1" si="28">IF(AB73&lt;&gt;"",N73&amp;";"&amp;AD64,AD64)</f>
        <v/>
      </c>
      <c r="AE63" s="1365" t="str">
        <f t="shared" ref="AE63:AE87" ca="1" si="29">IF(AB73&lt;&gt;"",IF(R73="Att Options",AB73&amp;IF(AE64&lt;&gt;"",", ",""),"")&amp;AE64,AE64)</f>
        <v/>
      </c>
      <c r="AF63" s="1365" t="str">
        <f t="shared" ref="AF63:AF87" ca="1" si="30">IF(AB73&lt;&gt;"",IF(R73="Special Actions",AB73&amp;IF(AF64&lt;&gt;"",", ",""),"")&amp;AF64,AF64)</f>
        <v/>
      </c>
      <c r="AG63" s="1467" t="str">
        <f t="shared" ref="AG63:AG87" ca="1" si="31">IF(AB73&lt;&gt;"",IF(R73="Defenses",AB73&amp;IF(AG64&lt;&gt;"",", ",""),"")&amp;AG64,AG64)</f>
        <v/>
      </c>
      <c r="AH63" s="1467" t="str">
        <f t="shared" ref="AH63:AH87" ca="1" si="32">IF(AB73&lt;&gt;"",IF(R73="Speed",AB73&amp;IF(AH64&lt;&gt;"",", ",""),"")&amp;AH64,AH64)</f>
        <v/>
      </c>
    </row>
    <row r="64" spans="2:36">
      <c r="B64" s="60"/>
      <c r="C64" s="1320" t="s">
        <v>2337</v>
      </c>
      <c r="D64" s="61"/>
      <c r="E64" s="62" t="s">
        <v>2338</v>
      </c>
      <c r="F64" s="1694" t="s">
        <v>6174</v>
      </c>
      <c r="G64" s="63" t="str">
        <f ca="1">IF(AND(CharacterLevel&gt;0,OR(TStealth&lt;&gt;"",ForceStealth,STStealth&lt;&gt;""),BAB&gt;=9,M296&gt;0),"Yes","No")</f>
        <v>No</v>
      </c>
      <c r="H64" s="76"/>
      <c r="I64" s="63"/>
      <c r="J64" s="63" t="str">
        <f>IF(COUNTIF(T64:Z64,2)&gt;0,IF(G64="Yes","Class",""),IF(COUNTIF(T64:Z64,3)&gt;0,IF(COUNTIF(MulticlassFeats,Feats!C64&amp;IF(Feats!D64&lt;&gt;""," ("&amp;Feats!D64&amp;")","")),"Multi",""),""))</f>
        <v/>
      </c>
      <c r="K64" s="63" t="str">
        <f t="shared" ca="1" si="2"/>
        <v/>
      </c>
      <c r="L64" s="63" t="str">
        <f t="shared" ca="1" si="3"/>
        <v>No</v>
      </c>
      <c r="M64" s="63">
        <f t="shared" ca="1" si="13"/>
        <v>0</v>
      </c>
      <c r="N64" s="63" t="s">
        <v>2307</v>
      </c>
      <c r="O64" s="64"/>
      <c r="P64" s="660"/>
      <c r="Q64" s="661"/>
      <c r="R64" s="661" t="s">
        <v>4059</v>
      </c>
      <c r="W64" s="54">
        <f>IF(ScoutFeats&gt;0,1,0)</f>
        <v>0</v>
      </c>
      <c r="X64" s="54">
        <f>IF(SoldierFeats&gt;0,1,0)</f>
        <v>0</v>
      </c>
      <c r="AB64" s="1566" t="str">
        <f t="shared" ca="1" si="14"/>
        <v/>
      </c>
      <c r="AC64" s="1365" t="str">
        <f t="shared" ca="1" si="27"/>
        <v/>
      </c>
      <c r="AD64" s="1365" t="str">
        <f t="shared" ca="1" si="28"/>
        <v/>
      </c>
      <c r="AE64" s="1365" t="str">
        <f t="shared" ca="1" si="29"/>
        <v/>
      </c>
      <c r="AF64" s="1365" t="str">
        <f t="shared" ca="1" si="30"/>
        <v/>
      </c>
      <c r="AG64" s="1467" t="str">
        <f t="shared" ca="1" si="31"/>
        <v/>
      </c>
      <c r="AH64" s="1467" t="str">
        <f t="shared" ca="1" si="32"/>
        <v/>
      </c>
    </row>
    <row r="65" spans="2:34">
      <c r="B65" s="60"/>
      <c r="C65" s="1320" t="s">
        <v>2339</v>
      </c>
      <c r="D65" s="61"/>
      <c r="E65" s="62" t="s">
        <v>2340</v>
      </c>
      <c r="F65" s="1694" t="s">
        <v>5553</v>
      </c>
      <c r="G65" s="63" t="str">
        <f>IF(AND(CharacterLevel&gt;0,OR(TInitiative&lt;&gt;"",ForceInitiative,STInitiative&lt;&gt;"")),"Yes","No")</f>
        <v>No</v>
      </c>
      <c r="H65" s="76"/>
      <c r="I65" s="63"/>
      <c r="J65" s="63" t="str">
        <f>IF(COUNTIF(T65:Z65,2)&gt;0,IF(G65="Yes","Class",""),IF(COUNTIF(T65:Z65,3)&gt;0,IF(COUNTIF(MulticlassFeats,Feats!C65&amp;IF(Feats!D65&lt;&gt;""," ("&amp;Feats!D65&amp;")","")),"Multi",""),""))</f>
        <v/>
      </c>
      <c r="K65" s="63" t="str">
        <f t="shared" ca="1" si="2"/>
        <v/>
      </c>
      <c r="L65" s="63" t="str">
        <f t="shared" ca="1" si="3"/>
        <v>No</v>
      </c>
      <c r="M65" s="63">
        <f t="shared" ca="1" si="13"/>
        <v>0</v>
      </c>
      <c r="N65" s="63" t="s">
        <v>2307</v>
      </c>
      <c r="O65" s="64"/>
      <c r="P65" s="660"/>
      <c r="Q65" s="661"/>
      <c r="R65" s="661"/>
      <c r="V65" s="54">
        <f>IF(ScoundrelFeats&gt;0,1,0)</f>
        <v>0</v>
      </c>
      <c r="AB65" s="1566" t="str">
        <f t="shared" ca="1" si="14"/>
        <v/>
      </c>
      <c r="AC65" s="1365" t="str">
        <f t="shared" ca="1" si="27"/>
        <v/>
      </c>
      <c r="AD65" s="1365" t="str">
        <f t="shared" ca="1" si="28"/>
        <v/>
      </c>
      <c r="AE65" s="1365" t="str">
        <f t="shared" ca="1" si="29"/>
        <v/>
      </c>
      <c r="AF65" s="1365" t="str">
        <f t="shared" ca="1" si="30"/>
        <v/>
      </c>
      <c r="AG65" s="1467" t="str">
        <f t="shared" ca="1" si="31"/>
        <v/>
      </c>
      <c r="AH65" s="1467" t="str">
        <f t="shared" ca="1" si="32"/>
        <v/>
      </c>
    </row>
    <row r="66" spans="2:34">
      <c r="B66" s="60"/>
      <c r="C66" s="1319" t="s">
        <v>6242</v>
      </c>
      <c r="D66" s="1297"/>
      <c r="E66" s="62"/>
      <c r="F66" s="1694" t="s">
        <v>6243</v>
      </c>
      <c r="G66" s="63" t="str">
        <f>IF(CharacterLevel&gt;0,"Yes","No")</f>
        <v>No</v>
      </c>
      <c r="H66" s="76"/>
      <c r="I66" s="63"/>
      <c r="J66" s="63" t="str">
        <f>IF(COUNTIF(T66:Z66,2)&gt;0,IF(G66="Yes","Class",""),IF(COUNTIF(T66:Z66,3)&gt;0,IF(COUNTIF(MulticlassFeats,Feats!C66&amp;IF(Feats!D66&lt;&gt;""," ("&amp;Feats!D66&amp;")","")),"Multi",""),""))</f>
        <v/>
      </c>
      <c r="K66" s="63" t="str">
        <f t="shared" ca="1" si="2"/>
        <v/>
      </c>
      <c r="L66" s="63" t="str">
        <f t="shared" ca="1" si="3"/>
        <v>No</v>
      </c>
      <c r="M66" s="63">
        <f t="shared" ca="1" si="13"/>
        <v>0</v>
      </c>
      <c r="N66" s="63" t="s">
        <v>6462</v>
      </c>
      <c r="O66" s="64"/>
      <c r="P66" s="660"/>
      <c r="Q66" s="661"/>
      <c r="R66" s="661"/>
      <c r="T66" s="54">
        <f>IF(JediFeats&gt;0,1,0)</f>
        <v>0</v>
      </c>
      <c r="W66" s="54">
        <f>IF(ScoutFeats&gt;0,1,0)</f>
        <v>0</v>
      </c>
      <c r="X66" s="54">
        <f>IF(SoldierFeats&gt;0,1,0)</f>
        <v>0</v>
      </c>
      <c r="AB66" s="1566" t="str">
        <f t="shared" ca="1" si="14"/>
        <v/>
      </c>
      <c r="AC66" s="1365" t="str">
        <f t="shared" ca="1" si="27"/>
        <v/>
      </c>
      <c r="AD66" s="1365" t="str">
        <f t="shared" ca="1" si="28"/>
        <v/>
      </c>
      <c r="AE66" s="1365" t="str">
        <f t="shared" ca="1" si="29"/>
        <v/>
      </c>
      <c r="AF66" s="1365" t="str">
        <f t="shared" ca="1" si="30"/>
        <v/>
      </c>
      <c r="AG66" s="1467" t="str">
        <f t="shared" ca="1" si="31"/>
        <v/>
      </c>
      <c r="AH66" s="1467" t="str">
        <f t="shared" ca="1" si="32"/>
        <v/>
      </c>
    </row>
    <row r="67" spans="2:34">
      <c r="B67" s="60"/>
      <c r="C67" s="1462" t="s">
        <v>8279</v>
      </c>
      <c r="D67" s="1462"/>
      <c r="E67" s="1462" t="s">
        <v>8257</v>
      </c>
      <c r="F67" s="1695" t="s">
        <v>8278</v>
      </c>
      <c r="G67" s="63" t="str">
        <f>IF(Charisma&gt;=13,"Yes","No")</f>
        <v>Yes</v>
      </c>
      <c r="H67" s="76"/>
      <c r="I67" s="63"/>
      <c r="J67" s="63" t="str">
        <f>IF(COUNTIF(T67:Z67,2)&gt;0,IF(G67="Yes","Class",""),IF(COUNTIF(T67:Z67,3)&gt;0,IF(COUNTIF(MulticlassFeats,Feats!A10&amp;IF(Feats!B10&lt;&gt;""," ("&amp;Feats!B10&amp;")","")),"Multi",""),""))</f>
        <v/>
      </c>
      <c r="K67" s="63" t="str">
        <f t="shared" ca="1" si="2"/>
        <v/>
      </c>
      <c r="L67" s="63" t="str">
        <f t="shared" ca="1" si="3"/>
        <v>No</v>
      </c>
      <c r="M67" s="63">
        <f t="shared" ca="1" si="13"/>
        <v>0</v>
      </c>
      <c r="N67" s="1461" t="s">
        <v>8225</v>
      </c>
      <c r="O67" s="64"/>
      <c r="P67" s="1559"/>
      <c r="R67" s="661"/>
      <c r="S67" s="1463"/>
      <c r="T67" s="660"/>
      <c r="U67" s="660"/>
      <c r="V67" s="660"/>
      <c r="W67" s="660"/>
      <c r="X67" s="660"/>
      <c r="Y67" s="660"/>
      <c r="Z67" s="1562"/>
      <c r="AA67" s="1568"/>
      <c r="AB67" s="1566" t="str">
        <f t="shared" ca="1" si="14"/>
        <v/>
      </c>
      <c r="AC67" s="1365" t="str">
        <f t="shared" ca="1" si="27"/>
        <v/>
      </c>
      <c r="AD67" s="1365" t="str">
        <f t="shared" ca="1" si="28"/>
        <v/>
      </c>
      <c r="AE67" s="1365" t="str">
        <f t="shared" ca="1" si="29"/>
        <v/>
      </c>
      <c r="AF67" s="1365" t="str">
        <f t="shared" ca="1" si="30"/>
        <v/>
      </c>
      <c r="AG67" s="1467" t="str">
        <f t="shared" ca="1" si="31"/>
        <v/>
      </c>
      <c r="AH67" s="1467" t="str">
        <f t="shared" ca="1" si="32"/>
        <v/>
      </c>
    </row>
    <row r="68" spans="2:34">
      <c r="B68" s="60"/>
      <c r="C68" s="1320" t="s">
        <v>2341</v>
      </c>
      <c r="D68" s="61"/>
      <c r="E68" s="62"/>
      <c r="F68" s="1694" t="s">
        <v>5554</v>
      </c>
      <c r="G68" s="63" t="str">
        <f>IF(CharacterLevel&gt;0,"Yes","No")</f>
        <v>No</v>
      </c>
      <c r="H68" s="76"/>
      <c r="I68" s="63"/>
      <c r="J68" s="63" t="str">
        <f>IF(COUNTIF(T68:Z68,2)&gt;0,IF(G68="Yes","Class",""),IF(COUNTIF(T68:Z68,3)&gt;0,IF(COUNTIF(MulticlassFeats,Feats!C68&amp;IF(Feats!D68&lt;&gt;""," ("&amp;Feats!D68&amp;")","")),"Multi",""),""))</f>
        <v/>
      </c>
      <c r="K68" s="63" t="str">
        <f t="shared" ca="1" si="2"/>
        <v/>
      </c>
      <c r="L68" s="63" t="str">
        <f t="shared" ca="1" si="3"/>
        <v>No</v>
      </c>
      <c r="M68" s="63">
        <f t="shared" ca="1" si="13"/>
        <v>0</v>
      </c>
      <c r="N68" s="63" t="s">
        <v>2307</v>
      </c>
      <c r="O68" s="64"/>
      <c r="P68" s="660"/>
      <c r="Q68" s="661"/>
      <c r="R68" s="661" t="s">
        <v>4060</v>
      </c>
      <c r="V68" s="54">
        <f>IF(ScoundrelFeats&gt;0,1,0)</f>
        <v>0</v>
      </c>
      <c r="AB68" s="1566" t="str">
        <f t="shared" ca="1" si="14"/>
        <v/>
      </c>
      <c r="AC68" s="1365" t="str">
        <f t="shared" ca="1" si="27"/>
        <v/>
      </c>
      <c r="AD68" s="1365" t="str">
        <f t="shared" ca="1" si="28"/>
        <v/>
      </c>
      <c r="AE68" s="1365" t="str">
        <f t="shared" ca="1" si="29"/>
        <v/>
      </c>
      <c r="AF68" s="1365" t="str">
        <f t="shared" ca="1" si="30"/>
        <v/>
      </c>
      <c r="AG68" s="1467" t="str">
        <f t="shared" ca="1" si="31"/>
        <v/>
      </c>
      <c r="AH68" s="1467" t="str">
        <f t="shared" ca="1" si="32"/>
        <v/>
      </c>
    </row>
    <row r="69" spans="2:34">
      <c r="B69" s="60"/>
      <c r="C69" s="1320" t="s">
        <v>6662</v>
      </c>
      <c r="D69" s="61"/>
      <c r="E69" s="62" t="s">
        <v>6663</v>
      </c>
      <c r="F69" s="1694" t="s">
        <v>6664</v>
      </c>
      <c r="G69" s="63" t="str">
        <f>IF(CharacterLevel&gt;0,"Yes","No")</f>
        <v>No</v>
      </c>
      <c r="H69" s="76"/>
      <c r="I69" s="63"/>
      <c r="J69" s="63" t="str">
        <f>IF(COUNTIF(T69:Z69,2)&gt;0,IF(G69="Yes","Class",""),IF(COUNTIF(T69:Z69,3)&gt;0,IF(COUNTIF(MulticlassFeats,Feats!C69&amp;IF(Feats!D69&lt;&gt;""," ("&amp;Feats!D69&amp;")","")),"Multi",""),""))</f>
        <v/>
      </c>
      <c r="K69" s="63" t="str">
        <f t="shared" ca="1" si="2"/>
        <v/>
      </c>
      <c r="L69" s="63" t="str">
        <f t="shared" ca="1" si="3"/>
        <v>No</v>
      </c>
      <c r="M69" s="63">
        <f t="shared" ca="1" si="13"/>
        <v>0</v>
      </c>
      <c r="N69" s="63" t="s">
        <v>6658</v>
      </c>
      <c r="O69" s="64"/>
      <c r="P69" s="660"/>
      <c r="Q69" s="661"/>
      <c r="R69" s="661"/>
      <c r="AB69" s="1566" t="str">
        <f t="shared" ca="1" si="14"/>
        <v/>
      </c>
      <c r="AC69" s="1365" t="str">
        <f t="shared" ca="1" si="27"/>
        <v/>
      </c>
      <c r="AD69" s="1365" t="str">
        <f t="shared" ca="1" si="28"/>
        <v/>
      </c>
      <c r="AE69" s="1365" t="str">
        <f t="shared" ca="1" si="29"/>
        <v/>
      </c>
      <c r="AF69" s="1365" t="str">
        <f t="shared" ca="1" si="30"/>
        <v/>
      </c>
      <c r="AG69" s="1467" t="str">
        <f t="shared" ca="1" si="31"/>
        <v/>
      </c>
      <c r="AH69" s="1467" t="str">
        <f t="shared" ca="1" si="32"/>
        <v/>
      </c>
    </row>
    <row r="70" spans="2:34">
      <c r="B70" s="60"/>
      <c r="C70" s="1320" t="s">
        <v>6665</v>
      </c>
      <c r="D70" s="61"/>
      <c r="E70" s="62" t="s">
        <v>2350</v>
      </c>
      <c r="F70" s="1694" t="s">
        <v>6666</v>
      </c>
      <c r="G70" s="63" t="str">
        <f>IF(CharacterLevel&gt;0,"Yes","No")</f>
        <v>No</v>
      </c>
      <c r="H70" s="76"/>
      <c r="I70" s="63"/>
      <c r="J70" s="63" t="str">
        <f>IF(COUNTIF(T70:Z70,2)&gt;0,IF(G70="Yes","Class",""),IF(COUNTIF(T70:Z70,3)&gt;0,IF(COUNTIF(MulticlassFeats,Feats!C70&amp;IF(Feats!D70&lt;&gt;""," ("&amp;Feats!D70&amp;")","")),"Multi",""),""))</f>
        <v/>
      </c>
      <c r="K70" s="63" t="str">
        <f t="shared" ca="1" si="2"/>
        <v/>
      </c>
      <c r="L70" s="63" t="str">
        <f t="shared" ca="1" si="3"/>
        <v>No</v>
      </c>
      <c r="M70" s="63">
        <f t="shared" ca="1" si="13"/>
        <v>0</v>
      </c>
      <c r="N70" s="63" t="s">
        <v>6753</v>
      </c>
      <c r="O70" s="64"/>
      <c r="P70" s="660"/>
      <c r="Q70" s="661"/>
      <c r="R70" s="661"/>
      <c r="AB70" s="1566" t="str">
        <f t="shared" ca="1" si="14"/>
        <v/>
      </c>
      <c r="AC70" s="1365" t="str">
        <f t="shared" ca="1" si="27"/>
        <v/>
      </c>
      <c r="AD70" s="1365" t="str">
        <f t="shared" ca="1" si="28"/>
        <v/>
      </c>
      <c r="AE70" s="1365" t="str">
        <f t="shared" ca="1" si="29"/>
        <v/>
      </c>
      <c r="AF70" s="1365" t="str">
        <f t="shared" ca="1" si="30"/>
        <v/>
      </c>
      <c r="AG70" s="1467" t="str">
        <f t="shared" ca="1" si="31"/>
        <v/>
      </c>
      <c r="AH70" s="1467" t="str">
        <f t="shared" ca="1" si="32"/>
        <v/>
      </c>
    </row>
    <row r="71" spans="2:34">
      <c r="B71" s="60"/>
      <c r="C71" s="1320" t="s">
        <v>7363</v>
      </c>
      <c r="D71" s="61"/>
      <c r="E71" s="62" t="s">
        <v>1284</v>
      </c>
      <c r="F71" s="1694" t="s">
        <v>7395</v>
      </c>
      <c r="G71" s="63" t="str">
        <f>IF(Droid,"Yes","No")</f>
        <v>No</v>
      </c>
      <c r="H71" s="76"/>
      <c r="I71" s="63"/>
      <c r="J71" s="63" t="str">
        <f>IF(COUNTIF(T71:Z71,2)&gt;0,IF(G71="Yes","Class",""),IF(COUNTIF(T71:Z71,3)&gt;0,IF(COUNTIF(MulticlassFeats,Feats!C71&amp;IF(Feats!D71&lt;&gt;""," ("&amp;Feats!D71&amp;")","")),"Multi",""),""))</f>
        <v/>
      </c>
      <c r="K71" s="63" t="str">
        <f t="shared" ca="1" si="2"/>
        <v/>
      </c>
      <c r="L71" s="63" t="str">
        <f t="shared" ca="1" si="3"/>
        <v>No</v>
      </c>
      <c r="M71" s="63">
        <f t="shared" ca="1" si="13"/>
        <v>0</v>
      </c>
      <c r="N71" s="63" t="s">
        <v>7515</v>
      </c>
      <c r="O71" s="64"/>
      <c r="P71" s="660"/>
      <c r="Q71" s="661"/>
      <c r="R71" s="661"/>
      <c r="AB71" s="1566" t="str">
        <f t="shared" ca="1" si="14"/>
        <v/>
      </c>
      <c r="AC71" s="1365" t="str">
        <f t="shared" ca="1" si="27"/>
        <v/>
      </c>
      <c r="AD71" s="1365" t="str">
        <f t="shared" ca="1" si="28"/>
        <v/>
      </c>
      <c r="AE71" s="1365" t="str">
        <f t="shared" ca="1" si="29"/>
        <v/>
      </c>
      <c r="AF71" s="1365" t="str">
        <f t="shared" ca="1" si="30"/>
        <v/>
      </c>
      <c r="AG71" s="1467" t="str">
        <f t="shared" ca="1" si="31"/>
        <v/>
      </c>
      <c r="AH71" s="1467" t="str">
        <f t="shared" ca="1" si="32"/>
        <v/>
      </c>
    </row>
    <row r="72" spans="2:34">
      <c r="B72" s="60"/>
      <c r="C72" s="1462" t="s">
        <v>8277</v>
      </c>
      <c r="D72" s="1462"/>
      <c r="E72" s="1462" t="s">
        <v>8276</v>
      </c>
      <c r="F72" s="1695" t="s">
        <v>8275</v>
      </c>
      <c r="G72" s="63" t="str">
        <f>IF(AND(CharacterLevel&gt;0,OR(TDeception="Yes",STDeception="Yes")),"Yes","No")</f>
        <v>No</v>
      </c>
      <c r="H72" s="76"/>
      <c r="I72" s="63"/>
      <c r="J72" s="63" t="str">
        <f>IF(COUNTIF(T72:Z72,2)&gt;0,IF(G72="Yes","Class",""),IF(COUNTIF(T72:Z72,3)&gt;0,IF(COUNTIF(MulticlassFeats,Feats!A11&amp;IF(Feats!B11&lt;&gt;""," ("&amp;Feats!B11&amp;")","")),"Multi",""),""))</f>
        <v/>
      </c>
      <c r="K72" s="63" t="str">
        <f t="shared" ca="1" si="2"/>
        <v/>
      </c>
      <c r="L72" s="63" t="str">
        <f t="shared" ca="1" si="3"/>
        <v>No</v>
      </c>
      <c r="M72" s="63">
        <f t="shared" ca="1" si="13"/>
        <v>0</v>
      </c>
      <c r="N72" s="1461" t="s">
        <v>8225</v>
      </c>
      <c r="O72" s="64"/>
      <c r="P72" s="1559"/>
      <c r="R72" s="661"/>
      <c r="S72" s="1463"/>
      <c r="T72" s="660"/>
      <c r="U72" s="660"/>
      <c r="V72" s="660"/>
      <c r="W72" s="660"/>
      <c r="X72" s="660"/>
      <c r="Y72" s="660"/>
      <c r="Z72" s="1562"/>
      <c r="AA72" s="1568"/>
      <c r="AB72" s="1566" t="str">
        <f t="shared" ca="1" si="14"/>
        <v/>
      </c>
      <c r="AC72" s="1365" t="str">
        <f t="shared" ca="1" si="27"/>
        <v/>
      </c>
      <c r="AD72" s="1365" t="str">
        <f t="shared" ca="1" si="28"/>
        <v/>
      </c>
      <c r="AE72" s="1365" t="str">
        <f t="shared" ca="1" si="29"/>
        <v/>
      </c>
      <c r="AF72" s="1365" t="str">
        <f t="shared" ca="1" si="30"/>
        <v/>
      </c>
      <c r="AG72" s="1467" t="str">
        <f t="shared" ca="1" si="31"/>
        <v/>
      </c>
      <c r="AH72" s="1467" t="str">
        <f t="shared" ca="1" si="32"/>
        <v/>
      </c>
    </row>
    <row r="73" spans="2:34">
      <c r="B73" s="60"/>
      <c r="C73" s="1320" t="s">
        <v>6667</v>
      </c>
      <c r="D73" s="61"/>
      <c r="E73" s="62" t="s">
        <v>6668</v>
      </c>
      <c r="F73" s="1694" t="s">
        <v>6669</v>
      </c>
      <c r="G73" s="63" t="str">
        <f>IF(AND(CharacterLevel&gt;=1,OR(TJump&lt;&gt;"",STJump&lt;&gt;"")),"Yes","No")</f>
        <v>No</v>
      </c>
      <c r="H73" s="76"/>
      <c r="I73" s="63"/>
      <c r="J73" s="63" t="str">
        <f>IF(COUNTIF(T73:Z73,2)&gt;0,IF(G73="Yes","Class",""),IF(COUNTIF(T73:Z73,3)&gt;0,IF(COUNTIF(MulticlassFeats,Feats!C73&amp;IF(Feats!D73&lt;&gt;""," ("&amp;Feats!D73&amp;")","")),"Multi",""),""))</f>
        <v/>
      </c>
      <c r="K73" s="63" t="str">
        <f t="shared" ref="K73:K136" ca="1" si="33">IF(OR(NOT(ISERROR(FIND(C73,INDEX(RaceListTable,RaceIndex,39),1))),NOT(ISERROR(FIND(C73,INDEX(RaceListTable,RaceIndex,40),1)))),"Racial","")</f>
        <v/>
      </c>
      <c r="L73" s="63" t="str">
        <f t="shared" ref="L73:L136" ca="1" si="34">IF(AND(G73="Yes",OR(H73&lt;&gt;"",I73&lt;&gt;"",J73&lt;&gt;"",K73&lt;&gt;"")),"Yes","No")</f>
        <v>No</v>
      </c>
      <c r="M73" s="63">
        <f t="shared" ref="M73:M104" ca="1" si="35">IF(L73="Yes",1,0)</f>
        <v>0</v>
      </c>
      <c r="N73" s="63" t="s">
        <v>6753</v>
      </c>
      <c r="O73" s="64"/>
      <c r="P73" s="660"/>
      <c r="Q73" s="661"/>
      <c r="R73" s="661"/>
      <c r="AB73" s="1566" t="str">
        <f t="shared" ref="AB73:AB104" ca="1" si="36">IF(OR(H73&lt;&gt;"",I73&lt;&gt;"",J73&lt;&gt;"",K73&lt;&gt;""),C73&amp;IF(D73&lt;&gt;""," ("&amp;D73&amp;")",""),"")</f>
        <v/>
      </c>
      <c r="AC73" s="1365" t="str">
        <f t="shared" ca="1" si="27"/>
        <v/>
      </c>
      <c r="AD73" s="1365" t="str">
        <f t="shared" ca="1" si="28"/>
        <v/>
      </c>
      <c r="AE73" s="1365" t="str">
        <f t="shared" ca="1" si="29"/>
        <v/>
      </c>
      <c r="AF73" s="1365" t="str">
        <f t="shared" ca="1" si="30"/>
        <v/>
      </c>
      <c r="AG73" s="1467" t="str">
        <f t="shared" ca="1" si="31"/>
        <v/>
      </c>
      <c r="AH73" s="1467" t="str">
        <f t="shared" ca="1" si="32"/>
        <v/>
      </c>
    </row>
    <row r="74" spans="2:34">
      <c r="B74" s="60"/>
      <c r="C74" s="1320" t="s">
        <v>2342</v>
      </c>
      <c r="D74" s="61"/>
      <c r="E74" s="62" t="s">
        <v>2273</v>
      </c>
      <c r="F74" s="1694" t="s">
        <v>5555</v>
      </c>
      <c r="G74" s="63" t="str">
        <f>IF(Dexterity&gt;=13,"Yes","No")</f>
        <v>Yes</v>
      </c>
      <c r="H74" s="76"/>
      <c r="I74" s="63"/>
      <c r="J74" s="63" t="str">
        <f>IF(COUNTIF(T74:Z74,2)&gt;0,IF(G74="Yes","Class",""),IF(COUNTIF(T74:Z74,3)&gt;0,IF(COUNTIF(MulticlassFeats,Feats!C74&amp;IF(Feats!D74&lt;&gt;""," ("&amp;Feats!D74&amp;")","")),"Multi",""),""))</f>
        <v/>
      </c>
      <c r="K74" s="63" t="str">
        <f t="shared" ca="1" si="33"/>
        <v/>
      </c>
      <c r="L74" s="63" t="str">
        <f t="shared" ca="1" si="34"/>
        <v>No</v>
      </c>
      <c r="M74" s="63">
        <f t="shared" ca="1" si="35"/>
        <v>0</v>
      </c>
      <c r="N74" s="63">
        <v>84</v>
      </c>
      <c r="O74" s="64"/>
      <c r="P74" s="660"/>
      <c r="Q74" s="661"/>
      <c r="R74" s="661" t="s">
        <v>5688</v>
      </c>
      <c r="T74" s="54">
        <f t="shared" ref="T74:T82" si="37">IF(JediFeats&gt;0,1,0)</f>
        <v>0</v>
      </c>
      <c r="V74" s="54">
        <f>IF(ScoundrelFeats&gt;0,1,0)</f>
        <v>0</v>
      </c>
      <c r="W74" s="54">
        <f>IF(ScoutFeats&gt;0,1,0)</f>
        <v>0</v>
      </c>
      <c r="X74" s="54">
        <f t="shared" ref="X74:X82" si="38">IF(SoldierFeats&gt;0,1,0)</f>
        <v>0</v>
      </c>
      <c r="AB74" s="1566" t="str">
        <f t="shared" ca="1" si="36"/>
        <v/>
      </c>
      <c r="AC74" s="1365" t="str">
        <f t="shared" ca="1" si="27"/>
        <v/>
      </c>
      <c r="AD74" s="1365" t="str">
        <f t="shared" ca="1" si="28"/>
        <v/>
      </c>
      <c r="AE74" s="1365" t="str">
        <f t="shared" ca="1" si="29"/>
        <v/>
      </c>
      <c r="AF74" s="1365" t="str">
        <f t="shared" ca="1" si="30"/>
        <v/>
      </c>
      <c r="AG74" s="1467" t="str">
        <f t="shared" ca="1" si="31"/>
        <v/>
      </c>
      <c r="AH74" s="1467" t="str">
        <f t="shared" ca="1" si="32"/>
        <v/>
      </c>
    </row>
    <row r="75" spans="2:34">
      <c r="B75" s="1311"/>
      <c r="C75" s="1320" t="s">
        <v>2343</v>
      </c>
      <c r="D75" s="61" t="s">
        <v>1381</v>
      </c>
      <c r="E75" s="62" t="s">
        <v>2344</v>
      </c>
      <c r="F75" s="1694" t="s">
        <v>5556</v>
      </c>
      <c r="G75" s="63" t="str">
        <f t="shared" ref="G75:G80" ca="1" si="39">IF(AND(BAB&gt;=6,M346&gt;0),"Yes","No")</f>
        <v>No</v>
      </c>
      <c r="H75" s="76"/>
      <c r="I75" s="63"/>
      <c r="J75" s="63" t="str">
        <f>IF(COUNTIF(T75:Z75,2)&gt;0,IF(G75="Yes","Class",""),IF(COUNTIF(T75:Z75,3)&gt;0,IF(COUNTIF(MulticlassFeats,Feats!C75&amp;IF(Feats!D75&lt;&gt;""," ("&amp;Feats!D75&amp;")","")),"Multi",""),""))</f>
        <v/>
      </c>
      <c r="K75" s="63" t="str">
        <f t="shared" ca="1" si="33"/>
        <v/>
      </c>
      <c r="L75" s="63" t="str">
        <f t="shared" ca="1" si="34"/>
        <v>No</v>
      </c>
      <c r="M75" s="63">
        <f t="shared" ca="1" si="35"/>
        <v>0</v>
      </c>
      <c r="N75" s="63">
        <v>84</v>
      </c>
      <c r="O75" s="64"/>
      <c r="P75" s="660"/>
      <c r="Q75" s="661"/>
      <c r="R75" s="661" t="s">
        <v>4059</v>
      </c>
      <c r="T75" s="54">
        <f t="shared" si="37"/>
        <v>0</v>
      </c>
      <c r="X75" s="54">
        <f t="shared" si="38"/>
        <v>0</v>
      </c>
      <c r="AB75" s="1566" t="str">
        <f t="shared" ca="1" si="36"/>
        <v/>
      </c>
      <c r="AC75" s="1365" t="str">
        <f t="shared" ca="1" si="27"/>
        <v/>
      </c>
      <c r="AD75" s="1365" t="str">
        <f t="shared" ca="1" si="28"/>
        <v/>
      </c>
      <c r="AE75" s="1365" t="str">
        <f t="shared" ca="1" si="29"/>
        <v/>
      </c>
      <c r="AF75" s="1365" t="str">
        <f t="shared" ca="1" si="30"/>
        <v/>
      </c>
      <c r="AG75" s="1467" t="str">
        <f t="shared" ca="1" si="31"/>
        <v/>
      </c>
      <c r="AH75" s="1467" t="str">
        <f t="shared" ca="1" si="32"/>
        <v/>
      </c>
    </row>
    <row r="76" spans="2:34">
      <c r="B76" s="1311"/>
      <c r="C76" s="1320" t="s">
        <v>2343</v>
      </c>
      <c r="D76" s="61" t="s">
        <v>651</v>
      </c>
      <c r="E76" s="62" t="s">
        <v>2344</v>
      </c>
      <c r="F76" s="1694" t="s">
        <v>5556</v>
      </c>
      <c r="G76" s="63" t="str">
        <f t="shared" ca="1" si="39"/>
        <v>No</v>
      </c>
      <c r="H76" s="76"/>
      <c r="I76" s="63"/>
      <c r="J76" s="63" t="str">
        <f>IF(COUNTIF(T76:Z76,2)&gt;0,IF(G76="Yes","Class",""),IF(COUNTIF(T76:Z76,3)&gt;0,IF(COUNTIF(MulticlassFeats,Feats!C76&amp;IF(Feats!D76&lt;&gt;""," ("&amp;Feats!D76&amp;")","")),"Multi",""),""))</f>
        <v/>
      </c>
      <c r="K76" s="63" t="str">
        <f t="shared" ca="1" si="33"/>
        <v/>
      </c>
      <c r="L76" s="63" t="str">
        <f t="shared" ca="1" si="34"/>
        <v>No</v>
      </c>
      <c r="M76" s="63">
        <f t="shared" ca="1" si="35"/>
        <v>0</v>
      </c>
      <c r="N76" s="63">
        <v>84</v>
      </c>
      <c r="O76" s="64"/>
      <c r="P76" s="660"/>
      <c r="Q76" s="661"/>
      <c r="R76" s="661" t="s">
        <v>4059</v>
      </c>
      <c r="T76" s="54">
        <f t="shared" si="37"/>
        <v>0</v>
      </c>
      <c r="X76" s="54">
        <f t="shared" si="38"/>
        <v>0</v>
      </c>
      <c r="AB76" s="1566" t="str">
        <f t="shared" ca="1" si="36"/>
        <v/>
      </c>
      <c r="AC76" s="1365" t="str">
        <f t="shared" ca="1" si="27"/>
        <v/>
      </c>
      <c r="AD76" s="1365" t="str">
        <f t="shared" ca="1" si="28"/>
        <v/>
      </c>
      <c r="AE76" s="1365" t="str">
        <f t="shared" ca="1" si="29"/>
        <v/>
      </c>
      <c r="AF76" s="1365" t="str">
        <f t="shared" ca="1" si="30"/>
        <v/>
      </c>
      <c r="AG76" s="1467" t="str">
        <f t="shared" ca="1" si="31"/>
        <v/>
      </c>
      <c r="AH76" s="1467" t="str">
        <f t="shared" ca="1" si="32"/>
        <v/>
      </c>
    </row>
    <row r="77" spans="2:34">
      <c r="B77" s="1311"/>
      <c r="C77" s="1320" t="s">
        <v>2343</v>
      </c>
      <c r="D77" s="61" t="s">
        <v>1520</v>
      </c>
      <c r="E77" s="62" t="s">
        <v>2344</v>
      </c>
      <c r="F77" s="1694" t="s">
        <v>5556</v>
      </c>
      <c r="G77" s="63" t="str">
        <f t="shared" ca="1" si="39"/>
        <v>No</v>
      </c>
      <c r="H77" s="76"/>
      <c r="I77" s="63"/>
      <c r="J77" s="63" t="str">
        <f>IF(COUNTIF(T77:Z77,2)&gt;0,IF(G77="Yes","Class",""),IF(COUNTIF(T77:Z77,3)&gt;0,IF(COUNTIF(MulticlassFeats,Feats!C77&amp;IF(Feats!D77&lt;&gt;""," ("&amp;Feats!D77&amp;")","")),"Multi",""),""))</f>
        <v/>
      </c>
      <c r="K77" s="63" t="str">
        <f t="shared" ca="1" si="33"/>
        <v/>
      </c>
      <c r="L77" s="63" t="str">
        <f t="shared" ca="1" si="34"/>
        <v>No</v>
      </c>
      <c r="M77" s="63">
        <f t="shared" ca="1" si="35"/>
        <v>0</v>
      </c>
      <c r="N77" s="63">
        <v>84</v>
      </c>
      <c r="O77" s="64"/>
      <c r="P77" s="660"/>
      <c r="Q77" s="661"/>
      <c r="R77" s="661" t="s">
        <v>4059</v>
      </c>
      <c r="T77" s="54">
        <f t="shared" si="37"/>
        <v>0</v>
      </c>
      <c r="X77" s="54">
        <f t="shared" si="38"/>
        <v>0</v>
      </c>
      <c r="AB77" s="1566" t="str">
        <f t="shared" ca="1" si="36"/>
        <v/>
      </c>
      <c r="AC77" s="1365" t="str">
        <f t="shared" ca="1" si="27"/>
        <v/>
      </c>
      <c r="AD77" s="1365" t="str">
        <f t="shared" ca="1" si="28"/>
        <v/>
      </c>
      <c r="AE77" s="1365" t="str">
        <f t="shared" ca="1" si="29"/>
        <v/>
      </c>
      <c r="AF77" s="1365" t="str">
        <f t="shared" ca="1" si="30"/>
        <v/>
      </c>
      <c r="AG77" s="1467" t="str">
        <f t="shared" ca="1" si="31"/>
        <v/>
      </c>
      <c r="AH77" s="1467" t="str">
        <f t="shared" ca="1" si="32"/>
        <v/>
      </c>
    </row>
    <row r="78" spans="2:34">
      <c r="B78" s="1311"/>
      <c r="C78" s="1320" t="s">
        <v>2343</v>
      </c>
      <c r="D78" s="61" t="s">
        <v>563</v>
      </c>
      <c r="E78" s="62" t="s">
        <v>2344</v>
      </c>
      <c r="F78" s="1694" t="s">
        <v>5556</v>
      </c>
      <c r="G78" s="63" t="str">
        <f t="shared" ca="1" si="39"/>
        <v>No</v>
      </c>
      <c r="H78" s="76"/>
      <c r="I78" s="63"/>
      <c r="J78" s="63" t="str">
        <f>IF(COUNTIF(T78:Z78,2)&gt;0,IF(G78="Yes","Class",""),IF(COUNTIF(T78:Z78,3)&gt;0,IF(COUNTIF(MulticlassFeats,Feats!C78&amp;IF(Feats!D78&lt;&gt;""," ("&amp;Feats!D78&amp;")","")),"Multi",""),""))</f>
        <v/>
      </c>
      <c r="K78" s="63" t="str">
        <f t="shared" ca="1" si="33"/>
        <v/>
      </c>
      <c r="L78" s="63" t="str">
        <f t="shared" ca="1" si="34"/>
        <v>No</v>
      </c>
      <c r="M78" s="63">
        <f t="shared" ca="1" si="35"/>
        <v>0</v>
      </c>
      <c r="N78" s="63">
        <v>84</v>
      </c>
      <c r="O78" s="64"/>
      <c r="P78" s="660"/>
      <c r="Q78" s="661"/>
      <c r="R78" s="661" t="s">
        <v>4059</v>
      </c>
      <c r="T78" s="54">
        <f t="shared" si="37"/>
        <v>0</v>
      </c>
      <c r="X78" s="54">
        <f t="shared" si="38"/>
        <v>0</v>
      </c>
      <c r="AB78" s="1566" t="str">
        <f t="shared" ca="1" si="36"/>
        <v/>
      </c>
      <c r="AC78" s="1365" t="str">
        <f t="shared" ca="1" si="27"/>
        <v/>
      </c>
      <c r="AD78" s="1365" t="str">
        <f t="shared" ca="1" si="28"/>
        <v/>
      </c>
      <c r="AE78" s="1365" t="str">
        <f t="shared" ca="1" si="29"/>
        <v/>
      </c>
      <c r="AF78" s="1365" t="str">
        <f t="shared" ca="1" si="30"/>
        <v/>
      </c>
      <c r="AG78" s="1467" t="str">
        <f t="shared" ca="1" si="31"/>
        <v/>
      </c>
      <c r="AH78" s="1467" t="str">
        <f t="shared" ca="1" si="32"/>
        <v/>
      </c>
    </row>
    <row r="79" spans="2:34">
      <c r="B79" s="1311"/>
      <c r="C79" s="1320" t="s">
        <v>2343</v>
      </c>
      <c r="D79" s="61" t="s">
        <v>531</v>
      </c>
      <c r="E79" s="62" t="s">
        <v>2344</v>
      </c>
      <c r="F79" s="1694" t="s">
        <v>5556</v>
      </c>
      <c r="G79" s="63" t="str">
        <f t="shared" ca="1" si="39"/>
        <v>No</v>
      </c>
      <c r="H79" s="76"/>
      <c r="I79" s="63"/>
      <c r="J79" s="63" t="str">
        <f>IF(COUNTIF(T79:Z79,2)&gt;0,IF(G79="Yes","Class",""),IF(COUNTIF(T79:Z79,3)&gt;0,IF(COUNTIF(MulticlassFeats,Feats!C79&amp;IF(Feats!D79&lt;&gt;""," ("&amp;Feats!D79&amp;")","")),"Multi",""),""))</f>
        <v/>
      </c>
      <c r="K79" s="63" t="str">
        <f t="shared" ca="1" si="33"/>
        <v/>
      </c>
      <c r="L79" s="63" t="str">
        <f t="shared" ca="1" si="34"/>
        <v>No</v>
      </c>
      <c r="M79" s="63">
        <f t="shared" ca="1" si="35"/>
        <v>0</v>
      </c>
      <c r="N79" s="63">
        <v>84</v>
      </c>
      <c r="O79" s="64"/>
      <c r="P79" s="660"/>
      <c r="Q79" s="661"/>
      <c r="R79" s="661" t="s">
        <v>4059</v>
      </c>
      <c r="T79" s="54">
        <f t="shared" si="37"/>
        <v>0</v>
      </c>
      <c r="X79" s="54">
        <f t="shared" si="38"/>
        <v>0</v>
      </c>
      <c r="AB79" s="1566" t="str">
        <f t="shared" ca="1" si="36"/>
        <v/>
      </c>
      <c r="AC79" s="1365" t="str">
        <f t="shared" ca="1" si="27"/>
        <v/>
      </c>
      <c r="AD79" s="1365" t="str">
        <f t="shared" ca="1" si="28"/>
        <v/>
      </c>
      <c r="AE79" s="1365" t="str">
        <f t="shared" ca="1" si="29"/>
        <v/>
      </c>
      <c r="AF79" s="1365" t="str">
        <f t="shared" ca="1" si="30"/>
        <v/>
      </c>
      <c r="AG79" s="1467" t="str">
        <f t="shared" ca="1" si="31"/>
        <v/>
      </c>
      <c r="AH79" s="1467" t="str">
        <f t="shared" ca="1" si="32"/>
        <v/>
      </c>
    </row>
    <row r="80" spans="2:34">
      <c r="B80" s="60"/>
      <c r="C80" s="1320" t="s">
        <v>2343</v>
      </c>
      <c r="D80" s="61" t="s">
        <v>461</v>
      </c>
      <c r="E80" s="62" t="s">
        <v>2344</v>
      </c>
      <c r="F80" s="1694" t="s">
        <v>5556</v>
      </c>
      <c r="G80" s="63" t="str">
        <f t="shared" ca="1" si="39"/>
        <v>No</v>
      </c>
      <c r="H80" s="76"/>
      <c r="I80" s="63"/>
      <c r="J80" s="63" t="str">
        <f>IF(COUNTIF(T80:Z80,2)&gt;0,IF(G80="Yes","Class",""),IF(COUNTIF(T80:Z80,3)&gt;0,IF(COUNTIF(MulticlassFeats,Feats!C80&amp;IF(Feats!D80&lt;&gt;""," ("&amp;Feats!D80&amp;")","")),"Multi",""),""))</f>
        <v/>
      </c>
      <c r="K80" s="63" t="str">
        <f t="shared" ca="1" si="33"/>
        <v/>
      </c>
      <c r="L80" s="63" t="str">
        <f t="shared" ca="1" si="34"/>
        <v>No</v>
      </c>
      <c r="M80" s="63">
        <f t="shared" ca="1" si="35"/>
        <v>0</v>
      </c>
      <c r="N80" s="63">
        <v>84</v>
      </c>
      <c r="O80" s="64"/>
      <c r="P80" s="660"/>
      <c r="Q80" s="661"/>
      <c r="R80" s="661" t="s">
        <v>4059</v>
      </c>
      <c r="T80" s="54">
        <f t="shared" si="37"/>
        <v>0</v>
      </c>
      <c r="X80" s="54">
        <f t="shared" si="38"/>
        <v>0</v>
      </c>
      <c r="AB80" s="1566" t="str">
        <f t="shared" ca="1" si="36"/>
        <v/>
      </c>
      <c r="AC80" s="1365" t="str">
        <f t="shared" ca="1" si="27"/>
        <v/>
      </c>
      <c r="AD80" s="1365" t="str">
        <f t="shared" ca="1" si="28"/>
        <v/>
      </c>
      <c r="AE80" s="1365" t="str">
        <f t="shared" ca="1" si="29"/>
        <v/>
      </c>
      <c r="AF80" s="1365" t="str">
        <f t="shared" ca="1" si="30"/>
        <v/>
      </c>
      <c r="AG80" s="1467" t="str">
        <f t="shared" ca="1" si="31"/>
        <v/>
      </c>
      <c r="AH80" s="1467" t="str">
        <f t="shared" ca="1" si="32"/>
        <v/>
      </c>
    </row>
    <row r="81" spans="2:34">
      <c r="B81" s="1311"/>
      <c r="C81" s="1320" t="s">
        <v>2343</v>
      </c>
      <c r="D81" s="61"/>
      <c r="E81" s="62" t="s">
        <v>2344</v>
      </c>
      <c r="F81" s="1694" t="s">
        <v>5556</v>
      </c>
      <c r="G81" s="63" t="str">
        <f ca="1">IF(AND(BAB&gt;=6,M100&gt;0),"Yes","No")</f>
        <v>No</v>
      </c>
      <c r="H81" s="76"/>
      <c r="I81" s="63"/>
      <c r="J81" s="63" t="str">
        <f>IF(COUNTIF(T81:Z81,2)&gt;0,IF(G81="Yes","Class",""),IF(COUNTIF(T81:Z81,3)&gt;0,IF(COUNTIF(MulticlassFeats,Feats!C81&amp;IF(Feats!D81&lt;&gt;""," ("&amp;Feats!D81&amp;")","")),"Multi",""),""))</f>
        <v/>
      </c>
      <c r="K81" s="63" t="str">
        <f t="shared" ca="1" si="33"/>
        <v/>
      </c>
      <c r="L81" s="63" t="str">
        <f t="shared" ca="1" si="34"/>
        <v>No</v>
      </c>
      <c r="M81" s="63">
        <f t="shared" ca="1" si="35"/>
        <v>0</v>
      </c>
      <c r="N81" s="63">
        <v>84</v>
      </c>
      <c r="O81" s="64"/>
      <c r="P81" s="660"/>
      <c r="Q81" s="661"/>
      <c r="R81" s="661" t="s">
        <v>4059</v>
      </c>
      <c r="T81" s="54">
        <f t="shared" si="37"/>
        <v>0</v>
      </c>
      <c r="X81" s="54">
        <f t="shared" si="38"/>
        <v>0</v>
      </c>
      <c r="AB81" s="1566" t="str">
        <f t="shared" ca="1" si="36"/>
        <v/>
      </c>
      <c r="AC81" s="1365" t="str">
        <f t="shared" ca="1" si="27"/>
        <v/>
      </c>
      <c r="AD81" s="1365" t="str">
        <f t="shared" ca="1" si="28"/>
        <v/>
      </c>
      <c r="AE81" s="1365" t="str">
        <f t="shared" ca="1" si="29"/>
        <v/>
      </c>
      <c r="AF81" s="1365" t="str">
        <f t="shared" ca="1" si="30"/>
        <v/>
      </c>
      <c r="AG81" s="1467" t="str">
        <f t="shared" ca="1" si="31"/>
        <v/>
      </c>
      <c r="AH81" s="1467" t="str">
        <f t="shared" ca="1" si="32"/>
        <v/>
      </c>
    </row>
    <row r="82" spans="2:34">
      <c r="B82" s="60"/>
      <c r="C82" s="1320" t="s">
        <v>2343</v>
      </c>
      <c r="D82" s="61" t="str">
        <f>IF(D101&lt;&gt;"",D101,"")</f>
        <v/>
      </c>
      <c r="E82" s="62" t="s">
        <v>2344</v>
      </c>
      <c r="F82" s="1694" t="s">
        <v>5556</v>
      </c>
      <c r="G82" s="63" t="str">
        <f ca="1">IF(AND(BAB&gt;=6,M101&gt;0),"Yes","No")</f>
        <v>No</v>
      </c>
      <c r="H82" s="76"/>
      <c r="I82" s="63"/>
      <c r="J82" s="63" t="str">
        <f>IF(COUNTIF(T82:Z82,2)&gt;0,IF(G82="Yes","Class",""),IF(COUNTIF(T82:Z82,3)&gt;0,IF(COUNTIF(MulticlassFeats,Feats!C82&amp;IF(Feats!D82&lt;&gt;""," ("&amp;Feats!D82&amp;")","")),"Multi",""),""))</f>
        <v/>
      </c>
      <c r="K82" s="63" t="str">
        <f t="shared" ca="1" si="33"/>
        <v/>
      </c>
      <c r="L82" s="63" t="str">
        <f t="shared" ca="1" si="34"/>
        <v>No</v>
      </c>
      <c r="M82" s="63">
        <f t="shared" ca="1" si="35"/>
        <v>0</v>
      </c>
      <c r="N82" s="63">
        <v>84</v>
      </c>
      <c r="O82" s="64"/>
      <c r="P82" s="660"/>
      <c r="Q82" s="661"/>
      <c r="R82" s="661" t="s">
        <v>4059</v>
      </c>
      <c r="T82" s="54">
        <f t="shared" si="37"/>
        <v>0</v>
      </c>
      <c r="X82" s="54">
        <f t="shared" si="38"/>
        <v>0</v>
      </c>
      <c r="AB82" s="1566" t="str">
        <f t="shared" ca="1" si="36"/>
        <v/>
      </c>
      <c r="AC82" s="1365" t="str">
        <f t="shared" ca="1" si="27"/>
        <v/>
      </c>
      <c r="AD82" s="1365" t="str">
        <f t="shared" ca="1" si="28"/>
        <v/>
      </c>
      <c r="AE82" s="1365" t="str">
        <f t="shared" ca="1" si="29"/>
        <v/>
      </c>
      <c r="AF82" s="1365" t="str">
        <f t="shared" ca="1" si="30"/>
        <v/>
      </c>
      <c r="AG82" s="1467" t="str">
        <f t="shared" ca="1" si="31"/>
        <v/>
      </c>
      <c r="AH82" s="1467" t="str">
        <f t="shared" ca="1" si="32"/>
        <v/>
      </c>
    </row>
    <row r="83" spans="2:34">
      <c r="B83" s="60"/>
      <c r="C83" s="1320" t="s">
        <v>2345</v>
      </c>
      <c r="D83" s="61"/>
      <c r="E83" s="62" t="s">
        <v>2346</v>
      </c>
      <c r="F83" s="1694" t="s">
        <v>5557</v>
      </c>
      <c r="G83" s="63" t="str">
        <f>IF(AND(Charisma&gt;=13,DSP&gt;0),"Yes","No")</f>
        <v>No</v>
      </c>
      <c r="H83" s="76"/>
      <c r="I83" s="63"/>
      <c r="J83" s="63" t="str">
        <f>IF(COUNTIF(T83:Z83,2)&gt;0,IF(G83="Yes","Class",""),IF(COUNTIF(T83:Z83,3)&gt;0,IF(COUNTIF(MulticlassFeats,Feats!C83&amp;IF(Feats!D83&lt;&gt;""," ("&amp;Feats!D83&amp;")","")),"Multi",""),""))</f>
        <v/>
      </c>
      <c r="K83" s="63" t="str">
        <f t="shared" ca="1" si="33"/>
        <v/>
      </c>
      <c r="L83" s="63" t="str">
        <f t="shared" ca="1" si="34"/>
        <v>No</v>
      </c>
      <c r="M83" s="63">
        <f t="shared" ca="1" si="35"/>
        <v>0</v>
      </c>
      <c r="N83" s="63" t="s">
        <v>973</v>
      </c>
      <c r="O83" s="64"/>
      <c r="P83" s="660"/>
      <c r="Q83" s="661"/>
      <c r="R83" s="661"/>
      <c r="AB83" s="1566" t="str">
        <f t="shared" ca="1" si="36"/>
        <v/>
      </c>
      <c r="AC83" s="1365" t="str">
        <f t="shared" ca="1" si="27"/>
        <v/>
      </c>
      <c r="AD83" s="1365" t="str">
        <f t="shared" ca="1" si="28"/>
        <v/>
      </c>
      <c r="AE83" s="1365" t="str">
        <f t="shared" ca="1" si="29"/>
        <v/>
      </c>
      <c r="AF83" s="1365" t="str">
        <f t="shared" ca="1" si="30"/>
        <v/>
      </c>
      <c r="AG83" s="1467" t="str">
        <f t="shared" ca="1" si="31"/>
        <v/>
      </c>
      <c r="AH83" s="1467" t="str">
        <f t="shared" ca="1" si="32"/>
        <v/>
      </c>
    </row>
    <row r="84" spans="2:34">
      <c r="B84" s="60"/>
      <c r="C84" s="1320" t="s">
        <v>2347</v>
      </c>
      <c r="D84" s="61"/>
      <c r="E84" s="62" t="s">
        <v>2348</v>
      </c>
      <c r="F84" s="1694" t="s">
        <v>5558</v>
      </c>
      <c r="G84" s="63" t="str">
        <f>IF(AND(BAB&gt;=1,COUNTIF(SpeciesTraits,"Rage")),"Yes","No")</f>
        <v>No</v>
      </c>
      <c r="H84" s="76"/>
      <c r="I84" s="63"/>
      <c r="J84" s="63" t="str">
        <f>IF(COUNTIF(T84:Z84,2)&gt;0,IF(G84="Yes","Class",""),IF(COUNTIF(T84:Z84,3)&gt;0,IF(COUNTIF(MulticlassFeats,Feats!C84&amp;IF(Feats!D84&lt;&gt;""," ("&amp;Feats!D84&amp;")","")),"Multi",""),""))</f>
        <v/>
      </c>
      <c r="K84" s="63" t="str">
        <f t="shared" ca="1" si="33"/>
        <v/>
      </c>
      <c r="L84" s="63" t="str">
        <f t="shared" ca="1" si="34"/>
        <v>No</v>
      </c>
      <c r="M84" s="63">
        <f t="shared" ca="1" si="35"/>
        <v>0</v>
      </c>
      <c r="N84" s="63">
        <v>84</v>
      </c>
      <c r="O84" s="64"/>
      <c r="P84" s="660"/>
      <c r="Q84" s="661"/>
      <c r="R84" s="661" t="s">
        <v>4059</v>
      </c>
      <c r="AB84" s="1566" t="str">
        <f t="shared" ca="1" si="36"/>
        <v/>
      </c>
      <c r="AC84" s="1365" t="str">
        <f t="shared" ca="1" si="27"/>
        <v/>
      </c>
      <c r="AD84" s="1365" t="str">
        <f t="shared" ca="1" si="28"/>
        <v/>
      </c>
      <c r="AE84" s="1365" t="str">
        <f t="shared" ca="1" si="29"/>
        <v/>
      </c>
      <c r="AF84" s="1365" t="str">
        <f t="shared" ca="1" si="30"/>
        <v/>
      </c>
      <c r="AG84" s="1467" t="str">
        <f t="shared" ca="1" si="31"/>
        <v/>
      </c>
      <c r="AH84" s="1467" t="str">
        <f t="shared" ca="1" si="32"/>
        <v/>
      </c>
    </row>
    <row r="85" spans="2:34">
      <c r="B85" s="60"/>
      <c r="C85" s="1320" t="s">
        <v>7364</v>
      </c>
      <c r="D85" s="61" t="s">
        <v>7347</v>
      </c>
      <c r="E85" s="62" t="s">
        <v>7380</v>
      </c>
      <c r="F85" s="1694" t="s">
        <v>7396</v>
      </c>
      <c r="G85" s="63" t="str">
        <f>IF(AND(OR(TMechanics&lt;&gt;"",STMechanics&lt;&gt;""),OR(TUseComputer&lt;&gt;"",STUseComputer)),"Yes","No")</f>
        <v>No</v>
      </c>
      <c r="H85" s="76"/>
      <c r="I85" s="63"/>
      <c r="J85" s="63" t="str">
        <f>IF(COUNTIF(T85:Z85,2)&gt;0,IF(G85="Yes","Class",""),IF(COUNTIF(T85:Z85,3)&gt;0,IF(COUNTIF(MulticlassFeats,Feats!C85&amp;IF(Feats!D85&lt;&gt;""," ("&amp;Feats!D85&amp;")","")),"Multi",""),""))</f>
        <v/>
      </c>
      <c r="K85" s="63" t="str">
        <f t="shared" ca="1" si="33"/>
        <v/>
      </c>
      <c r="L85" s="63" t="str">
        <f t="shared" ca="1" si="34"/>
        <v>No</v>
      </c>
      <c r="M85" s="63">
        <f t="shared" ca="1" si="35"/>
        <v>0</v>
      </c>
      <c r="N85" s="63" t="s">
        <v>7515</v>
      </c>
      <c r="O85" s="64"/>
      <c r="P85" s="660"/>
      <c r="Q85" s="661"/>
      <c r="R85" s="661"/>
      <c r="AB85" s="1566" t="str">
        <f t="shared" ca="1" si="36"/>
        <v/>
      </c>
      <c r="AC85" s="1365" t="str">
        <f t="shared" ca="1" si="27"/>
        <v/>
      </c>
      <c r="AD85" s="1365" t="str">
        <f t="shared" ca="1" si="28"/>
        <v/>
      </c>
      <c r="AE85" s="1365" t="str">
        <f t="shared" ca="1" si="29"/>
        <v/>
      </c>
      <c r="AF85" s="1365" t="str">
        <f t="shared" ca="1" si="30"/>
        <v/>
      </c>
      <c r="AG85" s="1467" t="str">
        <f t="shared" ca="1" si="31"/>
        <v/>
      </c>
      <c r="AH85" s="1467" t="str">
        <f t="shared" ca="1" si="32"/>
        <v/>
      </c>
    </row>
    <row r="86" spans="2:34">
      <c r="B86" s="60"/>
      <c r="C86" s="1320" t="s">
        <v>7364</v>
      </c>
      <c r="D86" s="61" t="s">
        <v>7345</v>
      </c>
      <c r="E86" s="62" t="s">
        <v>7380</v>
      </c>
      <c r="F86" s="1694" t="s">
        <v>7396</v>
      </c>
      <c r="G86" s="63" t="str">
        <f>IF(AND(OR(TMechanics&lt;&gt;"",STMechanics&lt;&gt;""),OR(TUseComputer&lt;&gt;"",STUseComputer)),"Yes","No")</f>
        <v>No</v>
      </c>
      <c r="H86" s="76"/>
      <c r="I86" s="63"/>
      <c r="J86" s="63" t="str">
        <f>IF(COUNTIF(T86:Z86,2)&gt;0,IF(G86="Yes","Class",""),IF(COUNTIF(T86:Z86,3)&gt;0,IF(COUNTIF(MulticlassFeats,Feats!C86&amp;IF(Feats!D86&lt;&gt;""," ("&amp;Feats!D86&amp;")","")),"Multi",""),""))</f>
        <v/>
      </c>
      <c r="K86" s="63" t="str">
        <f t="shared" ca="1" si="33"/>
        <v/>
      </c>
      <c r="L86" s="63" t="str">
        <f t="shared" ca="1" si="34"/>
        <v>No</v>
      </c>
      <c r="M86" s="63">
        <f t="shared" ca="1" si="35"/>
        <v>0</v>
      </c>
      <c r="N86" s="63" t="s">
        <v>7515</v>
      </c>
      <c r="O86" s="64"/>
      <c r="P86" s="660"/>
      <c r="Q86" s="661"/>
      <c r="R86" s="661"/>
      <c r="AB86" s="1566" t="str">
        <f t="shared" ca="1" si="36"/>
        <v/>
      </c>
      <c r="AC86" s="1365" t="str">
        <f t="shared" ca="1" si="27"/>
        <v/>
      </c>
      <c r="AD86" s="1365" t="str">
        <f t="shared" ca="1" si="28"/>
        <v/>
      </c>
      <c r="AE86" s="1365" t="str">
        <f t="shared" ca="1" si="29"/>
        <v/>
      </c>
      <c r="AF86" s="1365" t="str">
        <f t="shared" ca="1" si="30"/>
        <v/>
      </c>
      <c r="AG86" s="1467" t="str">
        <f t="shared" ca="1" si="31"/>
        <v/>
      </c>
      <c r="AH86" s="1467" t="str">
        <f t="shared" ca="1" si="32"/>
        <v/>
      </c>
    </row>
    <row r="87" spans="2:34">
      <c r="B87" s="60"/>
      <c r="C87" s="1320" t="s">
        <v>7364</v>
      </c>
      <c r="D87" s="61" t="s">
        <v>7346</v>
      </c>
      <c r="E87" s="62" t="s">
        <v>7380</v>
      </c>
      <c r="F87" s="1694" t="s">
        <v>7396</v>
      </c>
      <c r="G87" s="63" t="str">
        <f>IF(AND(OR(TMechanics&lt;&gt;"",STMechanics&lt;&gt;""),OR(TUseComputer&lt;&gt;"",STUseComputer)),"Yes","No")</f>
        <v>No</v>
      </c>
      <c r="H87" s="76"/>
      <c r="I87" s="63"/>
      <c r="J87" s="63" t="str">
        <f>IF(COUNTIF(T87:Z87,2)&gt;0,IF(G87="Yes","Class",""),IF(COUNTIF(T87:Z87,3)&gt;0,IF(COUNTIF(MulticlassFeats,Feats!C87&amp;IF(Feats!D87&lt;&gt;""," ("&amp;Feats!D87&amp;")","")),"Multi",""),""))</f>
        <v/>
      </c>
      <c r="K87" s="63" t="str">
        <f t="shared" ca="1" si="33"/>
        <v/>
      </c>
      <c r="L87" s="63" t="str">
        <f t="shared" ca="1" si="34"/>
        <v>No</v>
      </c>
      <c r="M87" s="63">
        <f t="shared" ca="1" si="35"/>
        <v>0</v>
      </c>
      <c r="N87" s="63" t="s">
        <v>7515</v>
      </c>
      <c r="O87" s="64"/>
      <c r="P87" s="660"/>
      <c r="Q87" s="661"/>
      <c r="R87" s="661"/>
      <c r="AB87" s="1566" t="str">
        <f t="shared" ca="1" si="36"/>
        <v/>
      </c>
      <c r="AC87" s="1365" t="str">
        <f t="shared" ca="1" si="27"/>
        <v/>
      </c>
      <c r="AD87" s="1365" t="str">
        <f t="shared" ca="1" si="28"/>
        <v/>
      </c>
      <c r="AE87" s="1365" t="str">
        <f t="shared" ca="1" si="29"/>
        <v/>
      </c>
      <c r="AF87" s="1365" t="str">
        <f t="shared" ca="1" si="30"/>
        <v/>
      </c>
      <c r="AG87" s="1467" t="str">
        <f t="shared" ca="1" si="31"/>
        <v/>
      </c>
      <c r="AH87" s="1467" t="str">
        <f t="shared" ca="1" si="32"/>
        <v/>
      </c>
    </row>
    <row r="88" spans="2:34">
      <c r="B88" s="1311"/>
      <c r="C88" s="1320" t="s">
        <v>7364</v>
      </c>
      <c r="D88" s="61" t="s">
        <v>7344</v>
      </c>
      <c r="E88" s="62" t="s">
        <v>7380</v>
      </c>
      <c r="F88" s="1694" t="s">
        <v>7396</v>
      </c>
      <c r="G88" s="63" t="str">
        <f>IF(AND(OR(TMechanics&lt;&gt;"",STMechanics&lt;&gt;""),OR(TUseComputer&lt;&gt;"",STUseComputer)),"Yes","No")</f>
        <v>No</v>
      </c>
      <c r="H88" s="76"/>
      <c r="I88" s="63"/>
      <c r="J88" s="63" t="str">
        <f>IF(COUNTIF(T88:Z88,2)&gt;0,IF(G88="Yes","Class",""),IF(COUNTIF(T88:Z88,3)&gt;0,IF(COUNTIF(MulticlassFeats,Feats!C88&amp;IF(Feats!D88&lt;&gt;""," ("&amp;Feats!D88&amp;")","")),"Multi",""),""))</f>
        <v/>
      </c>
      <c r="K88" s="63" t="str">
        <f t="shared" ca="1" si="33"/>
        <v/>
      </c>
      <c r="L88" s="63" t="str">
        <f t="shared" ca="1" si="34"/>
        <v>No</v>
      </c>
      <c r="M88" s="63">
        <f t="shared" ca="1" si="35"/>
        <v>0</v>
      </c>
      <c r="N88" s="63" t="s">
        <v>7515</v>
      </c>
      <c r="O88" s="64"/>
      <c r="P88" s="660"/>
      <c r="Q88" s="661"/>
      <c r="R88" s="661"/>
      <c r="AB88" s="1566" t="str">
        <f t="shared" ca="1" si="36"/>
        <v/>
      </c>
      <c r="AC88" s="1365" t="str">
        <f ca="1">IF(AB99&lt;&gt;"",AB99&amp;";"&amp;AC89,AC89)</f>
        <v/>
      </c>
      <c r="AD88" s="1365" t="str">
        <f ca="1">IF(AB99&lt;&gt;"",N99&amp;";"&amp;AD89,AD89)</f>
        <v/>
      </c>
      <c r="AE88" s="1365" t="str">
        <f ca="1">IF(AB99&lt;&gt;"",IF(R99="Att Options",AB99&amp;IF(AE89&lt;&gt;"",", ",""),"")&amp;AE89,AE89)</f>
        <v/>
      </c>
      <c r="AF88" s="1365" t="str">
        <f ca="1">IF(AB99&lt;&gt;"",IF(R99="Special Actions",AB99&amp;IF(AF89&lt;&gt;"",", ",""),"")&amp;AF89,AF89)</f>
        <v/>
      </c>
      <c r="AG88" s="1467" t="str">
        <f ca="1">IF(AB99&lt;&gt;"",IF(R99="Defenses",AB99&amp;IF(AG89&lt;&gt;"",", ",""),"")&amp;AG89,AG89)</f>
        <v/>
      </c>
      <c r="AH88" s="1467" t="str">
        <f ca="1">IF(AB99&lt;&gt;"",IF(R99="Speed",AB99&amp;IF(AH89&lt;&gt;"",", ",""),"")&amp;AH89,AH89)</f>
        <v/>
      </c>
    </row>
    <row r="89" spans="2:34">
      <c r="B89" s="60"/>
      <c r="C89" s="1320" t="s">
        <v>7364</v>
      </c>
      <c r="D89" s="61" t="s">
        <v>7343</v>
      </c>
      <c r="E89" s="62" t="s">
        <v>7380</v>
      </c>
      <c r="F89" s="1694" t="s">
        <v>7396</v>
      </c>
      <c r="G89" s="63" t="str">
        <f>IF(AND(OR(TMechanics&lt;&gt;"",STMechanics&lt;&gt;""),OR(TUseComputer&lt;&gt;"",STUseComputer)),"Yes","No")</f>
        <v>No</v>
      </c>
      <c r="H89" s="76"/>
      <c r="I89" s="63"/>
      <c r="J89" s="63" t="str">
        <f>IF(COUNTIF(T89:Z89,2)&gt;0,IF(G89="Yes","Class",""),IF(COUNTIF(T89:Z89,3)&gt;0,IF(COUNTIF(MulticlassFeats,Feats!C89&amp;IF(Feats!D89&lt;&gt;""," ("&amp;Feats!D89&amp;")","")),"Multi",""),""))</f>
        <v/>
      </c>
      <c r="K89" s="63" t="str">
        <f t="shared" ca="1" si="33"/>
        <v/>
      </c>
      <c r="L89" s="63" t="str">
        <f t="shared" ca="1" si="34"/>
        <v>No</v>
      </c>
      <c r="M89" s="63">
        <f t="shared" ca="1" si="35"/>
        <v>0</v>
      </c>
      <c r="N89" s="63" t="s">
        <v>7515</v>
      </c>
      <c r="O89" s="64"/>
      <c r="P89" s="660"/>
      <c r="Q89" s="661"/>
      <c r="R89" s="661"/>
      <c r="AB89" s="1566" t="str">
        <f t="shared" ca="1" si="36"/>
        <v/>
      </c>
      <c r="AC89" s="1365" t="str">
        <f ca="1">IF(AB100&lt;&gt;"",AB100&amp;";"&amp;AC90,AC90)</f>
        <v/>
      </c>
      <c r="AD89" s="1365" t="str">
        <f ca="1">IF(AB100&lt;&gt;"",N100&amp;";"&amp;AD90,AD90)</f>
        <v/>
      </c>
      <c r="AE89" s="1365" t="str">
        <f ca="1">IF(AB100&lt;&gt;"",IF(R100="Att Options",AB100&amp;IF(AE90&lt;&gt;"",", ",""),"")&amp;AE90,AE90)</f>
        <v/>
      </c>
      <c r="AF89" s="1365" t="str">
        <f ca="1">IF(AB100&lt;&gt;"",IF(R100="Special Actions",AB100&amp;IF(AF90&lt;&gt;"",", ",""),"")&amp;AF90,AF90)</f>
        <v/>
      </c>
      <c r="AG89" s="1467" t="str">
        <f ca="1">IF(AB100&lt;&gt;"",IF(R100="Defenses",AB100&amp;IF(AG90&lt;&gt;"",", ",""),"")&amp;AG90,AG90)</f>
        <v/>
      </c>
      <c r="AH89" s="1467" t="str">
        <f ca="1">IF(AB100&lt;&gt;"",IF(R100="Speed",AB100&amp;IF(AH90&lt;&gt;"",", ",""),"")&amp;AH90,AH90)</f>
        <v/>
      </c>
    </row>
    <row r="90" spans="2:34">
      <c r="B90" s="60"/>
      <c r="C90" s="1320" t="s">
        <v>2349</v>
      </c>
      <c r="D90" s="61"/>
      <c r="E90" s="62" t="s">
        <v>2350</v>
      </c>
      <c r="F90" s="1694" t="s">
        <v>5559</v>
      </c>
      <c r="G90" s="63" t="str">
        <f>IF(CharacterLevel&gt;0,"Yes","No")</f>
        <v>No</v>
      </c>
      <c r="H90" s="76"/>
      <c r="I90" s="63"/>
      <c r="J90" s="63" t="str">
        <f>IF(COUNTIF(T90:Z90,2)&gt;0,IF(G90="Yes","Class",""),IF(COUNTIF(T90:Z90,3)&gt;0,IF(COUNTIF(MulticlassFeats,Feats!C90&amp;IF(Feats!D90&lt;&gt;""," ("&amp;Feats!D90&amp;")","")),"Multi",""),""))</f>
        <v/>
      </c>
      <c r="K90" s="63" t="str">
        <f t="shared" ca="1" si="33"/>
        <v/>
      </c>
      <c r="L90" s="63" t="str">
        <f t="shared" ca="1" si="34"/>
        <v>No</v>
      </c>
      <c r="M90" s="63">
        <f t="shared" ca="1" si="35"/>
        <v>0</v>
      </c>
      <c r="N90" s="63" t="s">
        <v>2351</v>
      </c>
      <c r="O90" s="64"/>
      <c r="P90" s="660"/>
      <c r="Q90" s="508"/>
      <c r="R90" s="661" t="s">
        <v>4059</v>
      </c>
      <c r="V90" s="54">
        <f>IF(ScoundrelFeats&gt;0,1,0)</f>
        <v>0</v>
      </c>
      <c r="W90" s="54">
        <f>IF(ScoutFeats&gt;0,1,0)</f>
        <v>0</v>
      </c>
      <c r="X90" s="54">
        <f>IF(SoldierFeats&gt;0,1,0)</f>
        <v>0</v>
      </c>
      <c r="AB90" s="1566" t="str">
        <f t="shared" ca="1" si="36"/>
        <v/>
      </c>
      <c r="AC90" s="1365" t="str">
        <f ca="1">IF(AB101&lt;&gt;"",AB101&amp;";"&amp;AC91,AC91)</f>
        <v/>
      </c>
      <c r="AD90" s="1365" t="str">
        <f ca="1">IF(AB101&lt;&gt;"",N101&amp;";"&amp;AD91,AD91)</f>
        <v/>
      </c>
      <c r="AE90" s="1365" t="str">
        <f ca="1">IF(AB101&lt;&gt;"",IF(R101="Att Options",AB101&amp;IF(AE91&lt;&gt;"",", ",""),"")&amp;AE91,AE91)</f>
        <v/>
      </c>
      <c r="AF90" s="1365" t="str">
        <f ca="1">IF(AB101&lt;&gt;"",IF(R101="Special Actions",AB101&amp;IF(AF91&lt;&gt;"",", ",""),"")&amp;AF91,AF91)</f>
        <v/>
      </c>
      <c r="AG90" s="1467" t="str">
        <f ca="1">IF(AB101&lt;&gt;"",IF(R101="Defenses",AB101&amp;IF(AG91&lt;&gt;"",", ",""),"")&amp;AG91,AG91)</f>
        <v/>
      </c>
      <c r="AH90" s="1467" t="str">
        <f ca="1">IF(AB101&lt;&gt;"",IF(R101="Speed",AB101&amp;IF(AH91&lt;&gt;"",", ",""),"")&amp;AH91,AH91)</f>
        <v/>
      </c>
    </row>
    <row r="91" spans="2:34">
      <c r="B91" s="60"/>
      <c r="C91" s="1462" t="s">
        <v>7365</v>
      </c>
      <c r="D91" s="1462"/>
      <c r="E91" s="1409" t="s">
        <v>7381</v>
      </c>
      <c r="F91" s="1695" t="s">
        <v>7397</v>
      </c>
      <c r="G91" s="63" t="str">
        <f>IF(AND(Droid,DroidShield&lt;&gt;""),"Yes","No")</f>
        <v>No</v>
      </c>
      <c r="H91" s="1461"/>
      <c r="I91" s="1461"/>
      <c r="J91" s="63" t="str">
        <f>IF(COUNTIF(T91:Z91,2)&gt;0,IF(G91="Yes","Class",""),IF(COUNTIF(T91:Z91,3)&gt;0,IF(COUNTIF(MulticlassFeats,Feats!C91&amp;IF(Feats!D91&lt;&gt;""," ("&amp;Feats!D91&amp;")","")),"Multi",""),""))</f>
        <v/>
      </c>
      <c r="K91" s="63" t="str">
        <f t="shared" ca="1" si="33"/>
        <v/>
      </c>
      <c r="L91" s="63" t="str">
        <f t="shared" ca="1" si="34"/>
        <v>No</v>
      </c>
      <c r="M91" s="63">
        <f t="shared" ca="1" si="35"/>
        <v>0</v>
      </c>
      <c r="N91" s="1461" t="s">
        <v>7515</v>
      </c>
      <c r="O91" s="64"/>
      <c r="P91" s="660"/>
      <c r="Q91" s="508"/>
      <c r="R91" s="661"/>
      <c r="AB91" s="1566" t="str">
        <f t="shared" ca="1" si="36"/>
        <v/>
      </c>
      <c r="AC91" s="1365" t="str">
        <f ca="1">IF(AB102&lt;&gt;"",AB102&amp;";"&amp;AC92,AC92)</f>
        <v/>
      </c>
      <c r="AD91" s="1365" t="str">
        <f ca="1">IF(AB102&lt;&gt;"",N102&amp;";"&amp;AD92,AD92)</f>
        <v/>
      </c>
      <c r="AE91" s="1365" t="str">
        <f ca="1">IF(AB102&lt;&gt;"",IF(R102="Att Options",AB102&amp;IF(AE92&lt;&gt;"",", ",""),"")&amp;AE92,AE92)</f>
        <v/>
      </c>
      <c r="AF91" s="1365" t="str">
        <f ca="1">IF(AB102&lt;&gt;"",IF(R102="Special Actions",AB102&amp;IF(AF92&lt;&gt;"",", ",""),"")&amp;AF92,AF92)</f>
        <v/>
      </c>
      <c r="AG91" s="1467" t="str">
        <f ca="1">IF(AB102&lt;&gt;"",IF(R102="Defenses",AB102&amp;IF(AG92&lt;&gt;"",", ",""),"")&amp;AG92,AG92)</f>
        <v/>
      </c>
      <c r="AH91" s="1467" t="str">
        <f ca="1">IF(AB102&lt;&gt;"",IF(R102="Speed",AB102&amp;IF(AH92&lt;&gt;"",", ",""),"")&amp;AH92,AH92)</f>
        <v/>
      </c>
    </row>
    <row r="92" spans="2:34">
      <c r="B92" s="60"/>
      <c r="C92" s="1320" t="s">
        <v>2352</v>
      </c>
      <c r="D92" s="61"/>
      <c r="E92" s="62" t="s">
        <v>2353</v>
      </c>
      <c r="F92" s="1694" t="s">
        <v>5560</v>
      </c>
      <c r="G92" s="63" t="str">
        <f>IF(AND(CharacterLevel&gt;0,OR(TMechanics&lt;&gt;"",STMechanics&lt;&gt;"")),"Yes","No")</f>
        <v>No</v>
      </c>
      <c r="H92" s="76"/>
      <c r="I92" s="63"/>
      <c r="J92" s="63" t="str">
        <f>IF(COUNTIF(T92:Z92,2)&gt;0,IF(G92="Yes","Class",""),IF(COUNTIF(T92:Z92,3)&gt;0,IF(COUNTIF(MulticlassFeats,Feats!C92&amp;IF(Feats!D92&lt;&gt;""," ("&amp;Feats!D92&amp;")","")),"Multi",""),""))</f>
        <v/>
      </c>
      <c r="K92" s="63" t="str">
        <f t="shared" ca="1" si="33"/>
        <v/>
      </c>
      <c r="L92" s="63" t="str">
        <f t="shared" ca="1" si="34"/>
        <v>No</v>
      </c>
      <c r="M92" s="63">
        <f t="shared" ca="1" si="35"/>
        <v>0</v>
      </c>
      <c r="N92" s="63" t="s">
        <v>2277</v>
      </c>
      <c r="O92" s="64"/>
      <c r="P92" s="660"/>
      <c r="Q92" s="508"/>
      <c r="R92" s="661"/>
      <c r="V92" s="54">
        <f>IF(ScoundrelFeats&gt;0,1,0)</f>
        <v>0</v>
      </c>
      <c r="W92" s="54">
        <f>IF(ScoutFeats&gt;0,1,0)</f>
        <v>0</v>
      </c>
      <c r="AB92" s="1566" t="str">
        <f t="shared" ca="1" si="36"/>
        <v/>
      </c>
      <c r="AC92" s="1365" t="str">
        <f t="shared" ref="AC92:AC100" ca="1" si="40">IF(AB104&lt;&gt;"",AB104&amp;";"&amp;AC93,AC93)</f>
        <v/>
      </c>
      <c r="AD92" s="1365" t="str">
        <f t="shared" ref="AD92:AD100" ca="1" si="41">IF(AB104&lt;&gt;"",N104&amp;";"&amp;AD93,AD93)</f>
        <v/>
      </c>
      <c r="AE92" s="1365" t="str">
        <f t="shared" ref="AE92:AE100" ca="1" si="42">IF(AB104&lt;&gt;"",IF(R104="Att Options",AB104&amp;IF(AE93&lt;&gt;"",", ",""),"")&amp;AE93,AE93)</f>
        <v/>
      </c>
      <c r="AF92" s="1365" t="str">
        <f t="shared" ref="AF92:AF100" ca="1" si="43">IF(AB104&lt;&gt;"",IF(R104="Special Actions",AB104&amp;IF(AF93&lt;&gt;"",", ",""),"")&amp;AF93,AF93)</f>
        <v/>
      </c>
      <c r="AG92" s="1467" t="str">
        <f t="shared" ref="AG92:AG100" ca="1" si="44">IF(AB104&lt;&gt;"",IF(R104="Defenses",AB104&amp;IF(AG93&lt;&gt;"",", ",""),"")&amp;AG93,AG93)</f>
        <v/>
      </c>
      <c r="AH92" s="1467" t="str">
        <f t="shared" ref="AH92:AH100" ca="1" si="45">IF(AB104&lt;&gt;"",IF(R104="Speed",AB104&amp;IF(AH93&lt;&gt;"",", ",""),"")&amp;AH93,AH93)</f>
        <v/>
      </c>
    </row>
    <row r="93" spans="2:34">
      <c r="B93" s="60"/>
      <c r="C93" s="1320" t="s">
        <v>1138</v>
      </c>
      <c r="D93" s="61"/>
      <c r="E93" s="62" t="s">
        <v>2354</v>
      </c>
      <c r="F93" s="1694" t="s">
        <v>5561</v>
      </c>
      <c r="G93" s="63" t="str">
        <f>IF(AND(CharacterLevel&gt;0,Dexterity&gt;=13,BAB&gt;=1),"Yes","No")</f>
        <v>No</v>
      </c>
      <c r="H93" s="76"/>
      <c r="I93" s="63"/>
      <c r="J93" s="63" t="str">
        <f>IF(COUNTIF(T93:Z93,2)&gt;0,IF(G93="Yes","Class",""),IF(COUNTIF(T93:Z93,3)&gt;0,IF(COUNTIF(MulticlassFeats,Feats!C93&amp;IF(Feats!D93&lt;&gt;""," ("&amp;Feats!D93&amp;")","")),"Multi",""),""))</f>
        <v/>
      </c>
      <c r="K93" s="63" t="str">
        <f t="shared" ca="1" si="33"/>
        <v/>
      </c>
      <c r="L93" s="63" t="str">
        <f t="shared" ca="1" si="34"/>
        <v>No</v>
      </c>
      <c r="M93" s="63">
        <f t="shared" ca="1" si="35"/>
        <v>0</v>
      </c>
      <c r="N93" s="63">
        <v>84</v>
      </c>
      <c r="O93" s="64"/>
      <c r="P93" s="660"/>
      <c r="Q93" s="661"/>
      <c r="R93" s="661" t="s">
        <v>4059</v>
      </c>
      <c r="T93" s="54">
        <f>IF(JediFeats&gt;0,1,0)</f>
        <v>0</v>
      </c>
      <c r="X93" s="54">
        <f>IF(SoldierFeats&gt;0,1,0)</f>
        <v>0</v>
      </c>
      <c r="AB93" s="1566" t="str">
        <f t="shared" ca="1" si="36"/>
        <v/>
      </c>
      <c r="AC93" s="1365" t="str">
        <f t="shared" ca="1" si="40"/>
        <v/>
      </c>
      <c r="AD93" s="1365" t="str">
        <f t="shared" ca="1" si="41"/>
        <v/>
      </c>
      <c r="AE93" s="1365" t="str">
        <f t="shared" ca="1" si="42"/>
        <v/>
      </c>
      <c r="AF93" s="1365" t="str">
        <f t="shared" ca="1" si="43"/>
        <v/>
      </c>
      <c r="AG93" s="1467" t="str">
        <f t="shared" ca="1" si="44"/>
        <v/>
      </c>
      <c r="AH93" s="1467" t="str">
        <f t="shared" ca="1" si="45"/>
        <v/>
      </c>
    </row>
    <row r="94" spans="2:34">
      <c r="B94" s="60"/>
      <c r="C94" s="1320" t="s">
        <v>2355</v>
      </c>
      <c r="D94" s="61"/>
      <c r="E94" s="62" t="s">
        <v>2356</v>
      </c>
      <c r="F94" s="1694" t="s">
        <v>5562</v>
      </c>
      <c r="G94" s="63" t="str">
        <f ca="1">IF(AND(CharacterLevel&gt;0,Dexterity&gt;=15,BAB&gt;=6,M93&gt;0),"Yes","No")</f>
        <v>No</v>
      </c>
      <c r="H94" s="76"/>
      <c r="I94" s="63"/>
      <c r="J94" s="63" t="str">
        <f>IF(COUNTIF(T94:Z94,2)&gt;0,IF(G94="Yes","Class",""),IF(COUNTIF(T94:Z94,3)&gt;0,IF(COUNTIF(MulticlassFeats,Feats!C94&amp;IF(Feats!D94&lt;&gt;""," ("&amp;Feats!D94&amp;")","")),"Multi",""),""))</f>
        <v/>
      </c>
      <c r="K94" s="63" t="str">
        <f t="shared" ca="1" si="33"/>
        <v/>
      </c>
      <c r="L94" s="63" t="str">
        <f t="shared" ca="1" si="34"/>
        <v>No</v>
      </c>
      <c r="M94" s="63">
        <f t="shared" ca="1" si="35"/>
        <v>0</v>
      </c>
      <c r="N94" s="63">
        <v>84</v>
      </c>
      <c r="O94" s="64"/>
      <c r="P94" s="660"/>
      <c r="Q94" s="661"/>
      <c r="R94" s="661" t="s">
        <v>4059</v>
      </c>
      <c r="T94" s="54">
        <f>IF(JediFeats&gt;0,1,0)</f>
        <v>0</v>
      </c>
      <c r="X94" s="54">
        <f>IF(SoldierFeats&gt;0,1,0)</f>
        <v>0</v>
      </c>
      <c r="AB94" s="1566" t="str">
        <f t="shared" ca="1" si="36"/>
        <v/>
      </c>
      <c r="AC94" s="1365" t="str">
        <f t="shared" ca="1" si="40"/>
        <v/>
      </c>
      <c r="AD94" s="1365" t="str">
        <f t="shared" ca="1" si="41"/>
        <v/>
      </c>
      <c r="AE94" s="1365" t="str">
        <f t="shared" ca="1" si="42"/>
        <v/>
      </c>
      <c r="AF94" s="1365" t="str">
        <f t="shared" ca="1" si="43"/>
        <v/>
      </c>
      <c r="AG94" s="1467" t="str">
        <f t="shared" ca="1" si="44"/>
        <v/>
      </c>
      <c r="AH94" s="1467" t="str">
        <f t="shared" ca="1" si="45"/>
        <v/>
      </c>
    </row>
    <row r="95" spans="2:34">
      <c r="B95" s="60"/>
      <c r="C95" s="1320" t="s">
        <v>2357</v>
      </c>
      <c r="D95" s="61"/>
      <c r="E95" s="62" t="s">
        <v>2358</v>
      </c>
      <c r="F95" s="1694" t="s">
        <v>5563</v>
      </c>
      <c r="G95" s="63" t="str">
        <f ca="1">IF(AND(CharacterLevel&gt;0,Dexterity&gt;=17,BAB&gt;=11,M94&gt;0,M93&gt;0),"Yes","No")</f>
        <v>No</v>
      </c>
      <c r="H95" s="76"/>
      <c r="I95" s="63"/>
      <c r="J95" s="63" t="str">
        <f>IF(COUNTIF(T95:Z95,2)&gt;0,IF(G95="Yes","Class",""),IF(COUNTIF(T95:Z95,3)&gt;0,IF(COUNTIF(MulticlassFeats,Feats!C95&amp;IF(Feats!D95&lt;&gt;""," ("&amp;Feats!D95&amp;")","")),"Multi",""),""))</f>
        <v/>
      </c>
      <c r="K95" s="63" t="str">
        <f t="shared" ca="1" si="33"/>
        <v/>
      </c>
      <c r="L95" s="63" t="str">
        <f t="shared" ca="1" si="34"/>
        <v>No</v>
      </c>
      <c r="M95" s="63">
        <f t="shared" ca="1" si="35"/>
        <v>0</v>
      </c>
      <c r="N95" s="63">
        <v>84</v>
      </c>
      <c r="O95" s="64"/>
      <c r="P95" s="660"/>
      <c r="Q95" s="661"/>
      <c r="R95" s="661" t="s">
        <v>4059</v>
      </c>
      <c r="T95" s="54">
        <f>IF(JediFeats&gt;0,1,0)</f>
        <v>0</v>
      </c>
      <c r="X95" s="54">
        <f>IF(SoldierFeats&gt;0,1,0)</f>
        <v>0</v>
      </c>
      <c r="AB95" s="1566" t="str">
        <f t="shared" ca="1" si="36"/>
        <v/>
      </c>
      <c r="AC95" s="1365" t="str">
        <f t="shared" ca="1" si="40"/>
        <v/>
      </c>
      <c r="AD95" s="1365" t="str">
        <f t="shared" ca="1" si="41"/>
        <v/>
      </c>
      <c r="AE95" s="1365" t="str">
        <f t="shared" ca="1" si="42"/>
        <v/>
      </c>
      <c r="AF95" s="1365" t="str">
        <f t="shared" ca="1" si="43"/>
        <v/>
      </c>
      <c r="AG95" s="1467" t="str">
        <f t="shared" ca="1" si="44"/>
        <v/>
      </c>
      <c r="AH95" s="1467" t="str">
        <f t="shared" ca="1" si="45"/>
        <v/>
      </c>
    </row>
    <row r="96" spans="2:34">
      <c r="B96" s="60"/>
      <c r="C96" s="1320" t="s">
        <v>2359</v>
      </c>
      <c r="D96" s="61"/>
      <c r="E96" s="62" t="s">
        <v>2360</v>
      </c>
      <c r="F96" s="1694" t="s">
        <v>5564</v>
      </c>
      <c r="G96" s="63" t="str">
        <f>IF(AND(CharacterLevel&gt;=1,OR(TStealth&lt;&gt;"",ForceStealth,STStealth&lt;&gt;"")),"Yes","No")</f>
        <v>No</v>
      </c>
      <c r="H96" s="76"/>
      <c r="I96" s="63"/>
      <c r="J96" s="63" t="str">
        <f>IF(COUNTIF(T96:Z96,2)&gt;0,IF(G96="Yes","Class",""),IF(COUNTIF(T96:Z96,3)&gt;0,IF(COUNTIF(MulticlassFeats,Feats!C96&amp;IF(Feats!D96&lt;&gt;""," ("&amp;Feats!D96&amp;")","")),"Multi",""),""))</f>
        <v/>
      </c>
      <c r="K96" s="63" t="str">
        <f t="shared" ca="1" si="33"/>
        <v/>
      </c>
      <c r="L96" s="63" t="str">
        <f t="shared" ca="1" si="34"/>
        <v>No</v>
      </c>
      <c r="M96" s="63">
        <f t="shared" ca="1" si="35"/>
        <v>0</v>
      </c>
      <c r="N96" s="63" t="s">
        <v>2307</v>
      </c>
      <c r="O96" s="64"/>
      <c r="P96" s="660"/>
      <c r="Q96" s="661"/>
      <c r="R96" s="661" t="s">
        <v>4060</v>
      </c>
      <c r="V96" s="54">
        <f>IF(ScoundrelFeats&gt;0,1,0)</f>
        <v>0</v>
      </c>
      <c r="W96" s="54">
        <f>IF(ScoutFeats&gt;0,1,0)</f>
        <v>0</v>
      </c>
      <c r="AB96" s="1566" t="str">
        <f t="shared" ca="1" si="36"/>
        <v/>
      </c>
      <c r="AC96" s="1365" t="str">
        <f t="shared" ca="1" si="40"/>
        <v/>
      </c>
      <c r="AD96" s="1365" t="str">
        <f t="shared" ca="1" si="41"/>
        <v/>
      </c>
      <c r="AE96" s="1365" t="str">
        <f t="shared" ca="1" si="42"/>
        <v/>
      </c>
      <c r="AF96" s="1365" t="str">
        <f t="shared" ca="1" si="43"/>
        <v/>
      </c>
      <c r="AG96" s="1467" t="str">
        <f t="shared" ca="1" si="44"/>
        <v/>
      </c>
      <c r="AH96" s="1467" t="str">
        <f t="shared" ca="1" si="45"/>
        <v/>
      </c>
    </row>
    <row r="97" spans="2:34">
      <c r="B97" s="60"/>
      <c r="C97" s="1320" t="s">
        <v>2361</v>
      </c>
      <c r="D97" s="61"/>
      <c r="E97" s="62" t="s">
        <v>2362</v>
      </c>
      <c r="F97" s="1694" t="s">
        <v>5565</v>
      </c>
      <c r="G97" s="63" t="str">
        <f ca="1">IF(AND(CharacterLevel&gt;0,M178&gt;0,Dexterity&gt;=13),"Yes","No")</f>
        <v>No</v>
      </c>
      <c r="H97" s="76"/>
      <c r="I97" s="63"/>
      <c r="J97" s="63" t="str">
        <f>IF(COUNTIF(T97:Z97,2)&gt;0,IF(G97="Yes","Class",""),IF(COUNTIF(T97:Z97,3)&gt;0,IF(COUNTIF(MulticlassFeats,Feats!C97&amp;IF(Feats!D97&lt;&gt;""," ("&amp;Feats!D97&amp;")","")),"Multi",""),""))</f>
        <v/>
      </c>
      <c r="K97" s="63" t="str">
        <f t="shared" ca="1" si="33"/>
        <v/>
      </c>
      <c r="L97" s="63" t="str">
        <f t="shared" ca="1" si="34"/>
        <v>No</v>
      </c>
      <c r="M97" s="63">
        <f t="shared" ca="1" si="35"/>
        <v>0</v>
      </c>
      <c r="N97" s="63" t="s">
        <v>2363</v>
      </c>
      <c r="O97" s="64"/>
      <c r="P97" s="660"/>
      <c r="Q97" s="661"/>
      <c r="R97" s="661"/>
      <c r="AB97" s="1566" t="str">
        <f t="shared" ca="1" si="36"/>
        <v/>
      </c>
      <c r="AC97" s="1365" t="str">
        <f t="shared" ca="1" si="40"/>
        <v/>
      </c>
      <c r="AD97" s="1365" t="str">
        <f t="shared" ca="1" si="41"/>
        <v/>
      </c>
      <c r="AE97" s="1365" t="str">
        <f t="shared" ca="1" si="42"/>
        <v/>
      </c>
      <c r="AF97" s="1365" t="str">
        <f t="shared" ca="1" si="43"/>
        <v/>
      </c>
      <c r="AG97" s="1467" t="str">
        <f t="shared" ca="1" si="44"/>
        <v/>
      </c>
      <c r="AH97" s="1467" t="str">
        <f t="shared" ca="1" si="45"/>
        <v/>
      </c>
    </row>
    <row r="98" spans="2:34">
      <c r="B98" s="60"/>
      <c r="C98" s="1462" t="s">
        <v>8216</v>
      </c>
      <c r="D98" s="1462"/>
      <c r="E98" s="1462" t="s">
        <v>8215</v>
      </c>
      <c r="F98" s="1695" t="s">
        <v>8214</v>
      </c>
      <c r="G98" s="63" t="str">
        <f ca="1">IF(AND(CharacterLevel&gt;0,OR(FKnowledgeSocialSciences="Yes",Skills!J22="Yes",FKnowledgeGalacticLore="Yes",Skills!J19="Yes")),"Yes","No")</f>
        <v>No</v>
      </c>
      <c r="H98" s="76"/>
      <c r="I98" s="63"/>
      <c r="J98" s="63" t="str">
        <f>IF(COUNTIF(T98:Z98,2)&gt;0,IF(G98="Yes","Class",""),IF(COUNTIF(T98:Z98,3)&gt;0,IF(COUNTIF(MulticlassFeats,Feats!A34&amp;IF(Feats!B34&lt;&gt;""," ("&amp;Feats!B34&amp;")","")),"Multi",""),""))</f>
        <v/>
      </c>
      <c r="K98" s="63" t="str">
        <f t="shared" ca="1" si="33"/>
        <v/>
      </c>
      <c r="L98" s="63" t="str">
        <f t="shared" ca="1" si="34"/>
        <v>No</v>
      </c>
      <c r="M98" s="63">
        <f t="shared" ca="1" si="35"/>
        <v>0</v>
      </c>
      <c r="N98" s="1461" t="s">
        <v>8166</v>
      </c>
      <c r="O98" s="1462"/>
      <c r="P98" s="1559"/>
      <c r="R98" s="661"/>
      <c r="S98" s="1463"/>
      <c r="T98" s="54">
        <f>IF(JediFeats&gt;0,1,0)</f>
        <v>0</v>
      </c>
      <c r="U98" s="54">
        <f>IF(NobleFeats&gt;0,1,0)</f>
        <v>0</v>
      </c>
      <c r="V98" s="660"/>
      <c r="W98" s="660"/>
      <c r="X98" s="660"/>
      <c r="Y98" s="660"/>
      <c r="Z98" s="1562"/>
      <c r="AA98" s="1568"/>
      <c r="AB98" s="1566" t="str">
        <f t="shared" ca="1" si="36"/>
        <v/>
      </c>
      <c r="AC98" s="1365" t="str">
        <f t="shared" ca="1" si="40"/>
        <v/>
      </c>
      <c r="AD98" s="1365" t="str">
        <f t="shared" ca="1" si="41"/>
        <v/>
      </c>
      <c r="AE98" s="1365" t="str">
        <f t="shared" ca="1" si="42"/>
        <v/>
      </c>
      <c r="AF98" s="1365" t="str">
        <f t="shared" ca="1" si="43"/>
        <v/>
      </c>
      <c r="AG98" s="1467" t="str">
        <f t="shared" ca="1" si="44"/>
        <v/>
      </c>
      <c r="AH98" s="1467" t="str">
        <f t="shared" ca="1" si="45"/>
        <v/>
      </c>
    </row>
    <row r="99" spans="2:34" ht="29">
      <c r="B99" s="1311"/>
      <c r="C99" s="1462" t="s">
        <v>7366</v>
      </c>
      <c r="D99" s="1462"/>
      <c r="E99" s="1409" t="s">
        <v>7382</v>
      </c>
      <c r="F99" s="1695" t="s">
        <v>7398</v>
      </c>
      <c r="G99" s="63" t="str">
        <f ca="1">IF(AND(Droid,Dexterity&gt;=13,M74&gt;0),"Yes","No")</f>
        <v>No</v>
      </c>
      <c r="H99" s="1461"/>
      <c r="I99" s="1461"/>
      <c r="J99" s="63" t="str">
        <f>IF(COUNTIF(T99:Z99,2)&gt;0,IF(G99="Yes","Class",""),IF(COUNTIF(T99:Z99,3)&gt;0,IF(COUNTIF(MulticlassFeats,Feats!C99&amp;IF(Feats!D99&lt;&gt;""," ("&amp;Feats!D99&amp;")","")),"Multi",""),""))</f>
        <v/>
      </c>
      <c r="K99" s="63" t="str">
        <f t="shared" ca="1" si="33"/>
        <v/>
      </c>
      <c r="L99" s="63" t="str">
        <f t="shared" ca="1" si="34"/>
        <v>No</v>
      </c>
      <c r="M99" s="63">
        <f t="shared" ca="1" si="35"/>
        <v>0</v>
      </c>
      <c r="N99" s="1461" t="s">
        <v>7515</v>
      </c>
      <c r="O99" s="64"/>
      <c r="P99" s="660"/>
      <c r="Q99" s="661"/>
      <c r="R99" s="661"/>
      <c r="AB99" s="1566" t="str">
        <f t="shared" ca="1" si="36"/>
        <v/>
      </c>
      <c r="AC99" s="1365" t="str">
        <f t="shared" ca="1" si="40"/>
        <v/>
      </c>
      <c r="AD99" s="1365" t="str">
        <f t="shared" ca="1" si="41"/>
        <v/>
      </c>
      <c r="AE99" s="1365" t="str">
        <f t="shared" ca="1" si="42"/>
        <v/>
      </c>
      <c r="AF99" s="1365" t="str">
        <f t="shared" ca="1" si="43"/>
        <v/>
      </c>
      <c r="AG99" s="1467" t="str">
        <f t="shared" ca="1" si="44"/>
        <v/>
      </c>
      <c r="AH99" s="1467" t="str">
        <f t="shared" ca="1" si="45"/>
        <v/>
      </c>
    </row>
    <row r="100" spans="2:34">
      <c r="B100" s="60"/>
      <c r="C100" s="1320" t="s">
        <v>3803</v>
      </c>
      <c r="D100" s="689"/>
      <c r="E100" s="62" t="s">
        <v>2364</v>
      </c>
      <c r="F100" s="1694" t="s">
        <v>5566</v>
      </c>
      <c r="G100" s="63" t="str">
        <f>IF(AND(CharacterLevel&gt;0,BAB&gt;=1),"Yes","No")</f>
        <v>No</v>
      </c>
      <c r="H100" s="76"/>
      <c r="I100" s="63"/>
      <c r="J100" s="63" t="str">
        <f>IF(COUNTIF(T100:Z100,2)&gt;0,IF(G100="Yes","Class",""),IF(COUNTIF(T100:Z100,3)&gt;0,IF(COUNTIF(MulticlassFeats,Feats!C100&amp;IF(Feats!D100&lt;&gt;""," ("&amp;Feats!D100&amp;")","")),"Multi",""),""))</f>
        <v/>
      </c>
      <c r="K100" s="63" t="str">
        <f t="shared" ca="1" si="33"/>
        <v/>
      </c>
      <c r="L100" s="63" t="str">
        <f t="shared" ca="1" si="34"/>
        <v>No</v>
      </c>
      <c r="M100" s="63">
        <f t="shared" ca="1" si="35"/>
        <v>0</v>
      </c>
      <c r="N100" s="63">
        <v>84</v>
      </c>
      <c r="O100" s="64"/>
      <c r="P100" s="660"/>
      <c r="Q100" s="661"/>
      <c r="R100" s="661"/>
      <c r="U100" s="54">
        <f>IF(NobleFeats&gt;0,1,0)</f>
        <v>0</v>
      </c>
      <c r="X100" s="54">
        <f>IF(SoldierFeats&gt;0,1,0)</f>
        <v>0</v>
      </c>
      <c r="AB100" s="1566" t="str">
        <f t="shared" ca="1" si="36"/>
        <v/>
      </c>
      <c r="AC100" s="1365" t="str">
        <f t="shared" ca="1" si="40"/>
        <v/>
      </c>
      <c r="AD100" s="1365" t="str">
        <f t="shared" ca="1" si="41"/>
        <v/>
      </c>
      <c r="AE100" s="1365" t="str">
        <f t="shared" ca="1" si="42"/>
        <v/>
      </c>
      <c r="AF100" s="1365" t="str">
        <f t="shared" ca="1" si="43"/>
        <v/>
      </c>
      <c r="AG100" s="1467" t="str">
        <f t="shared" ca="1" si="44"/>
        <v/>
      </c>
      <c r="AH100" s="1467" t="str">
        <f t="shared" ca="1" si="45"/>
        <v/>
      </c>
    </row>
    <row r="101" spans="2:34">
      <c r="B101" s="60"/>
      <c r="C101" s="1320" t="s">
        <v>3803</v>
      </c>
      <c r="D101" s="689"/>
      <c r="E101" s="62" t="s">
        <v>2364</v>
      </c>
      <c r="F101" s="1694" t="s">
        <v>5566</v>
      </c>
      <c r="G101" s="63" t="str">
        <f>IF(AND(CharacterLevel&gt;0,BAB&gt;=1),"Yes","No")</f>
        <v>No</v>
      </c>
      <c r="H101" s="76"/>
      <c r="I101" s="63"/>
      <c r="J101" s="63" t="str">
        <f>IF(COUNTIF(T101:Z101,2)&gt;0,IF(G101="Yes","Class",""),IF(COUNTIF(T101:Z101,3)&gt;0,IF(COUNTIF(MulticlassFeats,Feats!C101&amp;IF(Feats!D101&lt;&gt;""," ("&amp;Feats!D101&amp;")","")),"Multi",""),""))</f>
        <v/>
      </c>
      <c r="K101" s="63" t="str">
        <f t="shared" ca="1" si="33"/>
        <v/>
      </c>
      <c r="L101" s="63" t="str">
        <f t="shared" ca="1" si="34"/>
        <v>No</v>
      </c>
      <c r="M101" s="63">
        <f t="shared" ca="1" si="35"/>
        <v>0</v>
      </c>
      <c r="N101" s="63">
        <v>84</v>
      </c>
      <c r="O101" s="64"/>
      <c r="P101" s="660"/>
      <c r="Q101" s="661"/>
      <c r="R101" s="661"/>
      <c r="U101" s="54">
        <f>IF(NobleFeats&gt;0,1,0)</f>
        <v>0</v>
      </c>
      <c r="X101" s="54">
        <f>IF(SoldierFeats&gt;0,1,0)</f>
        <v>0</v>
      </c>
      <c r="AB101" s="1566" t="str">
        <f t="shared" ca="1" si="36"/>
        <v/>
      </c>
      <c r="AC101" s="1365" t="str">
        <f t="shared" ref="AC101:AC112" ca="1" si="46">IF(AB114&lt;&gt;"",AB114&amp;";"&amp;AC102,AC102)</f>
        <v/>
      </c>
      <c r="AD101" s="1365" t="str">
        <f t="shared" ref="AD101:AD112" ca="1" si="47">IF(AB114&lt;&gt;"",N114&amp;";"&amp;AD102,AD102)</f>
        <v/>
      </c>
      <c r="AE101" s="1365" t="str">
        <f t="shared" ref="AE101:AE112" ca="1" si="48">IF(AB114&lt;&gt;"",IF(R114="Att Options",AB114&amp;IF(AE102&lt;&gt;"",", ",""),"")&amp;AE102,AE102)</f>
        <v/>
      </c>
      <c r="AF101" s="1365" t="str">
        <f t="shared" ref="AF101:AF112" ca="1" si="49">IF(AB114&lt;&gt;"",IF(R114="Special Actions",AB114&amp;IF(AF102&lt;&gt;"",", ",""),"")&amp;AF102,AF102)</f>
        <v/>
      </c>
      <c r="AG101" s="1467" t="str">
        <f t="shared" ref="AG101:AG112" ca="1" si="50">IF(AB114&lt;&gt;"",IF(R114="Defenses",AB114&amp;IF(AG102&lt;&gt;"",", ",""),"")&amp;AG102,AG102)</f>
        <v/>
      </c>
      <c r="AH101" s="1467" t="str">
        <f t="shared" ref="AH101:AH112" ca="1" si="51">IF(AB114&lt;&gt;"",IF(R114="Speed",AB114&amp;IF(AH102&lt;&gt;"",", ",""),"")&amp;AH102,AH102)</f>
        <v/>
      </c>
    </row>
    <row r="102" spans="2:34">
      <c r="B102" s="60"/>
      <c r="C102" s="1320" t="s">
        <v>2365</v>
      </c>
      <c r="D102" s="61"/>
      <c r="E102" s="62" t="s">
        <v>2366</v>
      </c>
      <c r="F102" s="1694" t="s">
        <v>5567</v>
      </c>
      <c r="G102" s="63" t="str">
        <f>IF(AND(CharacterLevel&gt;=1,OR(TTreatInjury&lt;&gt;"",ForceTreatment,STTreatInjury&lt;&gt;"")),"Yes","No")</f>
        <v>No</v>
      </c>
      <c r="H102" s="76"/>
      <c r="I102" s="63"/>
      <c r="J102" s="63" t="str">
        <f>IF(COUNTIF(T102:Z102,2)&gt;0,IF(G102="Yes","Class",""),IF(COUNTIF(T102:Z102,3)&gt;0,IF(COUNTIF(MulticlassFeats,Feats!C102&amp;IF(Feats!D102&lt;&gt;""," ("&amp;Feats!D102&amp;")","")),"Multi",""),""))</f>
        <v/>
      </c>
      <c r="K102" s="63" t="str">
        <f t="shared" ca="1" si="33"/>
        <v/>
      </c>
      <c r="L102" s="63" t="str">
        <f t="shared" ca="1" si="34"/>
        <v>No</v>
      </c>
      <c r="M102" s="63">
        <f t="shared" ca="1" si="35"/>
        <v>0</v>
      </c>
      <c r="N102" s="63" t="s">
        <v>2351</v>
      </c>
      <c r="O102" s="64"/>
      <c r="P102" s="660"/>
      <c r="Q102" s="508"/>
      <c r="R102" s="661"/>
      <c r="U102" s="54">
        <f>IF(NobleFeats&gt;0,1,0)</f>
        <v>0</v>
      </c>
      <c r="X102" s="54">
        <f>IF(SoldierFeats&gt;0,1,0)</f>
        <v>0</v>
      </c>
      <c r="AB102" s="1566" t="str">
        <f t="shared" ca="1" si="36"/>
        <v/>
      </c>
      <c r="AC102" s="1365" t="str">
        <f t="shared" ca="1" si="46"/>
        <v/>
      </c>
      <c r="AD102" s="1365" t="str">
        <f t="shared" ca="1" si="47"/>
        <v/>
      </c>
      <c r="AE102" s="1365" t="str">
        <f t="shared" ca="1" si="48"/>
        <v/>
      </c>
      <c r="AF102" s="1365" t="str">
        <f t="shared" ca="1" si="49"/>
        <v/>
      </c>
      <c r="AG102" s="1467" t="str">
        <f t="shared" ca="1" si="50"/>
        <v/>
      </c>
      <c r="AH102" s="1467" t="str">
        <f t="shared" ca="1" si="51"/>
        <v/>
      </c>
    </row>
    <row r="103" spans="2:34">
      <c r="B103" s="60"/>
      <c r="C103" s="1462" t="s">
        <v>8274</v>
      </c>
      <c r="D103" s="1462"/>
      <c r="E103" s="1462" t="s">
        <v>8257</v>
      </c>
      <c r="F103" s="1695" t="s">
        <v>8273</v>
      </c>
      <c r="G103" s="63" t="str">
        <f>IF(Charisma&gt;=13,"Yes","No")</f>
        <v>Yes</v>
      </c>
      <c r="H103" s="76"/>
      <c r="I103" s="63"/>
      <c r="J103" s="63" t="str">
        <f>IF(COUNTIF(T103:Z103,2)&gt;0,IF(G103="Yes","Class",""),IF(COUNTIF(T103:Z103,3)&gt;0,IF(COUNTIF(MulticlassFeats,Feats!A12&amp;IF(Feats!B12&lt;&gt;""," ("&amp;Feats!B12&amp;")","")),"Multi",""),""))</f>
        <v/>
      </c>
      <c r="K103" s="63" t="str">
        <f t="shared" ca="1" si="33"/>
        <v/>
      </c>
      <c r="L103" s="63" t="str">
        <f t="shared" ca="1" si="34"/>
        <v>No</v>
      </c>
      <c r="M103" s="63">
        <f t="shared" ca="1" si="35"/>
        <v>0</v>
      </c>
      <c r="N103" s="1461" t="s">
        <v>8225</v>
      </c>
      <c r="O103" s="1462"/>
      <c r="P103" s="1559"/>
      <c r="R103" s="661"/>
      <c r="S103" s="1463"/>
      <c r="T103" s="660"/>
      <c r="U103" s="660"/>
      <c r="V103" s="660"/>
      <c r="W103" s="660"/>
      <c r="X103" s="660"/>
      <c r="Y103" s="660"/>
      <c r="Z103" s="1562"/>
      <c r="AA103" s="1568"/>
      <c r="AB103" s="1566" t="str">
        <f t="shared" ca="1" si="36"/>
        <v/>
      </c>
      <c r="AC103" s="1365" t="str">
        <f t="shared" ca="1" si="46"/>
        <v/>
      </c>
      <c r="AD103" s="1365" t="str">
        <f t="shared" ca="1" si="47"/>
        <v/>
      </c>
      <c r="AE103" s="1365" t="str">
        <f t="shared" ca="1" si="48"/>
        <v/>
      </c>
      <c r="AF103" s="1365" t="str">
        <f t="shared" ca="1" si="49"/>
        <v/>
      </c>
      <c r="AG103" s="1467" t="str">
        <f t="shared" ca="1" si="50"/>
        <v/>
      </c>
      <c r="AH103" s="1467" t="str">
        <f t="shared" ca="1" si="51"/>
        <v/>
      </c>
    </row>
    <row r="104" spans="2:34">
      <c r="B104" s="60"/>
      <c r="C104" s="1320" t="s">
        <v>2367</v>
      </c>
      <c r="D104" s="61"/>
      <c r="E104" s="62" t="s">
        <v>2353</v>
      </c>
      <c r="F104" s="1694" t="s">
        <v>5568</v>
      </c>
      <c r="G104" s="63" t="str">
        <f>IF(AND(CharacterLevel&gt;=1,OR(TMechanics&lt;&gt;"",STMechanics&lt;&gt;"")),"Yes","No")</f>
        <v>No</v>
      </c>
      <c r="H104" s="76"/>
      <c r="I104" s="63"/>
      <c r="J104" s="63" t="str">
        <f>IF(COUNTIF(T104:Z104,2)&gt;0,IF(G104="Yes","Class",""),IF(COUNTIF(T104:Z104,3)&gt;0,IF(COUNTIF(MulticlassFeats,Feats!C104&amp;IF(Feats!D104&lt;&gt;""," ("&amp;Feats!D104&amp;")","")),"Multi",""),""))</f>
        <v/>
      </c>
      <c r="K104" s="63" t="str">
        <f t="shared" ca="1" si="33"/>
        <v/>
      </c>
      <c r="L104" s="63" t="str">
        <f t="shared" ca="1" si="34"/>
        <v>No</v>
      </c>
      <c r="M104" s="63">
        <f t="shared" ca="1" si="35"/>
        <v>0</v>
      </c>
      <c r="N104" s="63" t="s">
        <v>2351</v>
      </c>
      <c r="O104" s="64"/>
      <c r="P104" s="660"/>
      <c r="Q104" s="508"/>
      <c r="R104" s="661"/>
      <c r="V104" s="54">
        <f>IF(ScoundrelFeats&gt;0,1,0)</f>
        <v>0</v>
      </c>
      <c r="W104" s="54">
        <f>IF(ScoutFeats&gt;0,1,0)</f>
        <v>0</v>
      </c>
      <c r="AB104" s="1566" t="str">
        <f t="shared" ca="1" si="36"/>
        <v/>
      </c>
      <c r="AC104" s="1365" t="str">
        <f t="shared" ca="1" si="46"/>
        <v/>
      </c>
      <c r="AD104" s="1365" t="str">
        <f t="shared" ca="1" si="47"/>
        <v/>
      </c>
      <c r="AE104" s="1365" t="str">
        <f t="shared" ca="1" si="48"/>
        <v/>
      </c>
      <c r="AF104" s="1365" t="str">
        <f t="shared" ca="1" si="49"/>
        <v/>
      </c>
      <c r="AG104" s="1467" t="str">
        <f t="shared" ca="1" si="50"/>
        <v/>
      </c>
      <c r="AH104" s="1467" t="str">
        <f t="shared" ca="1" si="51"/>
        <v/>
      </c>
    </row>
    <row r="105" spans="2:34">
      <c r="B105" s="60"/>
      <c r="C105" s="1320" t="s">
        <v>2368</v>
      </c>
      <c r="D105" s="61"/>
      <c r="E105" s="62" t="s">
        <v>2369</v>
      </c>
      <c r="F105" s="1694" t="s">
        <v>5569</v>
      </c>
      <c r="G105" s="63" t="str">
        <f>IF(COUNTIF(SpeciesTraits,"Rage"),"Yes","No")</f>
        <v>No</v>
      </c>
      <c r="H105" s="76"/>
      <c r="I105" s="63"/>
      <c r="J105" s="63" t="str">
        <f>IF(COUNTIF(T105:Z105,2)&gt;0,IF(G105="Yes","Class",""),IF(COUNTIF(T105:Z105,3)&gt;0,IF(COUNTIF(MulticlassFeats,Feats!C105&amp;IF(Feats!D105&lt;&gt;""," ("&amp;Feats!D105&amp;")","")),"Multi",""),""))</f>
        <v/>
      </c>
      <c r="K105" s="63" t="str">
        <f t="shared" ca="1" si="33"/>
        <v/>
      </c>
      <c r="L105" s="63" t="str">
        <f t="shared" ca="1" si="34"/>
        <v>No</v>
      </c>
      <c r="M105" s="63">
        <f ca="1">IF(L105="Yes",H105+I105+IF(J105&lt;&gt;"",1,0)+IF(K105&lt;&gt;"",1,0),0)</f>
        <v>0</v>
      </c>
      <c r="N105" s="63">
        <v>85</v>
      </c>
      <c r="O105" s="64"/>
      <c r="P105" s="660"/>
      <c r="Q105" s="661"/>
      <c r="R105" s="661"/>
      <c r="AB105" s="1566" t="str">
        <f ca="1">IF(OR(H105&lt;&gt;"",I105&lt;&gt;"",J105&lt;&gt;"",K105&lt;&gt;""),C105&amp;IF(M105&gt;1," ("&amp;M105&amp;")","")&amp;IF(D105&lt;&gt;""," ("&amp;D105&amp;")",""),"")</f>
        <v/>
      </c>
      <c r="AC105" s="1365" t="str">
        <f t="shared" ca="1" si="46"/>
        <v/>
      </c>
      <c r="AD105" s="1365" t="str">
        <f t="shared" ca="1" si="47"/>
        <v/>
      </c>
      <c r="AE105" s="1365" t="str">
        <f t="shared" ca="1" si="48"/>
        <v/>
      </c>
      <c r="AF105" s="1365" t="str">
        <f t="shared" ca="1" si="49"/>
        <v/>
      </c>
      <c r="AG105" s="1467" t="str">
        <f t="shared" ca="1" si="50"/>
        <v/>
      </c>
      <c r="AH105" s="1467" t="str">
        <f t="shared" ca="1" si="51"/>
        <v/>
      </c>
    </row>
    <row r="106" spans="2:34">
      <c r="B106" s="60"/>
      <c r="C106" s="1320" t="s">
        <v>2370</v>
      </c>
      <c r="D106" s="61"/>
      <c r="E106" s="62" t="s">
        <v>2371</v>
      </c>
      <c r="F106" s="1694" t="s">
        <v>5570</v>
      </c>
      <c r="G106" s="63" t="str">
        <f>IF(AND(CharacterLevel&gt;=1,OR(TEndurance&lt;&gt;"",STEndurance&lt;&gt;"")),"Yes","No")</f>
        <v>No</v>
      </c>
      <c r="H106" s="76"/>
      <c r="I106" s="63"/>
      <c r="J106" s="63" t="str">
        <f>IF(COUNTIF(T106:Z106,2)&gt;0,IF(G106="Yes","Class",""),IF(COUNTIF(T106:Z106,3)&gt;0,IF(COUNTIF(MulticlassFeats,Feats!C106&amp;IF(Feats!D106&lt;&gt;""," ("&amp;Feats!D106&amp;")","")),"Multi",""),""))</f>
        <v/>
      </c>
      <c r="K106" s="63" t="str">
        <f t="shared" ca="1" si="33"/>
        <v/>
      </c>
      <c r="L106" s="63" t="str">
        <f t="shared" ca="1" si="34"/>
        <v>No</v>
      </c>
      <c r="M106" s="63">
        <f ca="1">IF(L106="Yes",H106+I106+IF(J106&lt;&gt;"",1,0)+IF(K106&lt;&gt;"",1,0),0)</f>
        <v>0</v>
      </c>
      <c r="N106" s="63">
        <v>85</v>
      </c>
      <c r="O106" s="64"/>
      <c r="P106" s="660"/>
      <c r="Q106" s="661"/>
      <c r="R106" s="661"/>
      <c r="AB106" s="1566" t="str">
        <f ca="1">IF(OR(H106&lt;&gt;"",I106&lt;&gt;"",J106&lt;&gt;"",K106&lt;&gt;""),C106&amp;IF(M106&gt;1," ("&amp;M106&amp;")","")&amp;IF(D106&lt;&gt;""," ("&amp;D106&amp;")",""),"")</f>
        <v/>
      </c>
      <c r="AC106" s="1365" t="str">
        <f t="shared" ca="1" si="46"/>
        <v/>
      </c>
      <c r="AD106" s="1365" t="str">
        <f t="shared" ca="1" si="47"/>
        <v/>
      </c>
      <c r="AE106" s="1365" t="str">
        <f t="shared" ca="1" si="48"/>
        <v/>
      </c>
      <c r="AF106" s="1365" t="str">
        <f t="shared" ca="1" si="49"/>
        <v/>
      </c>
      <c r="AG106" s="1467" t="str">
        <f t="shared" ca="1" si="50"/>
        <v/>
      </c>
      <c r="AH106" s="1467" t="str">
        <f t="shared" ca="1" si="51"/>
        <v/>
      </c>
    </row>
    <row r="107" spans="2:34">
      <c r="B107" s="1311"/>
      <c r="C107" s="1320" t="s">
        <v>2372</v>
      </c>
      <c r="D107" s="61"/>
      <c r="E107" s="62" t="s">
        <v>2373</v>
      </c>
      <c r="F107" s="1694" t="s">
        <v>5571</v>
      </c>
      <c r="G107" s="63" t="str">
        <f ca="1">IF(AND(CharacterLevel&gt;0,M233&gt;0),"Yes","No")</f>
        <v>No</v>
      </c>
      <c r="H107" s="76"/>
      <c r="I107" s="63"/>
      <c r="J107" s="63" t="str">
        <f>IF(COUNTIF(T107:Z107,2)&gt;0,IF(G107="Yes","Class",""),IF(COUNTIF(T107:Z107,3)&gt;0,IF(COUNTIF(MulticlassFeats,Feats!C107&amp;IF(Feats!D107&lt;&gt;""," ("&amp;Feats!D107&amp;")","")),"Multi",""),""))</f>
        <v/>
      </c>
      <c r="K107" s="63" t="str">
        <f t="shared" ca="1" si="33"/>
        <v/>
      </c>
      <c r="L107" s="63" t="str">
        <f t="shared" ca="1" si="34"/>
        <v>No</v>
      </c>
      <c r="M107" s="63">
        <f t="shared" ref="M107:M121" ca="1" si="52">IF(L107="Yes",1,0)</f>
        <v>0</v>
      </c>
      <c r="N107" s="63">
        <v>85</v>
      </c>
      <c r="O107" s="64"/>
      <c r="P107" s="660"/>
      <c r="Q107" s="661"/>
      <c r="R107" s="661" t="s">
        <v>4059</v>
      </c>
      <c r="W107" s="54">
        <f>IF(ScoutFeats&gt;0,1,0)</f>
        <v>0</v>
      </c>
      <c r="X107" s="54">
        <f>IF(SoldierFeats&gt;0,1,0)</f>
        <v>0</v>
      </c>
      <c r="AB107" s="1566" t="str">
        <f t="shared" ref="AB107:AB121" ca="1" si="53">IF(OR(H107&lt;&gt;"",I107&lt;&gt;"",J107&lt;&gt;"",K107&lt;&gt;""),C107&amp;IF(D107&lt;&gt;""," ("&amp;D107&amp;")",""),"")</f>
        <v/>
      </c>
      <c r="AC107" s="1365" t="str">
        <f t="shared" ca="1" si="46"/>
        <v/>
      </c>
      <c r="AD107" s="1365" t="str">
        <f t="shared" ca="1" si="47"/>
        <v/>
      </c>
      <c r="AE107" s="1365" t="str">
        <f t="shared" ca="1" si="48"/>
        <v/>
      </c>
      <c r="AF107" s="1365" t="str">
        <f t="shared" ca="1" si="49"/>
        <v/>
      </c>
      <c r="AG107" s="1467" t="str">
        <f t="shared" ca="1" si="50"/>
        <v/>
      </c>
      <c r="AH107" s="1467" t="str">
        <f t="shared" ca="1" si="51"/>
        <v/>
      </c>
    </row>
    <row r="108" spans="2:34">
      <c r="B108" s="60"/>
      <c r="C108" s="1319" t="s">
        <v>6244</v>
      </c>
      <c r="D108" s="1297"/>
      <c r="E108" s="62"/>
      <c r="F108" s="1694" t="s">
        <v>6245</v>
      </c>
      <c r="G108" s="63" t="str">
        <f>IF(CharacterLevel&gt;0,"Yes","No")</f>
        <v>No</v>
      </c>
      <c r="H108" s="76"/>
      <c r="I108" s="63"/>
      <c r="J108" s="63" t="str">
        <f>IF(COUNTIF(T108:Z108,2)&gt;0,IF(G108="Yes","Class",""),IF(COUNTIF(T108:Z108,3)&gt;0,IF(COUNTIF(MulticlassFeats,Feats!C108&amp;IF(Feats!D108&lt;&gt;""," ("&amp;Feats!D108&amp;")","")),"Multi",""),""))</f>
        <v/>
      </c>
      <c r="K108" s="63" t="str">
        <f t="shared" ca="1" si="33"/>
        <v/>
      </c>
      <c r="L108" s="63" t="str">
        <f t="shared" ca="1" si="34"/>
        <v>No</v>
      </c>
      <c r="M108" s="63">
        <f t="shared" ca="1" si="52"/>
        <v>0</v>
      </c>
      <c r="N108" s="63" t="s">
        <v>6463</v>
      </c>
      <c r="O108" s="64"/>
      <c r="P108" s="660"/>
      <c r="Q108" s="661"/>
      <c r="R108" s="661"/>
      <c r="T108" s="54">
        <f>IF(JediFeats&gt;0,1,0)</f>
        <v>0</v>
      </c>
      <c r="U108" s="54">
        <f>IF(NobleFeats&gt;0,1,0)</f>
        <v>0</v>
      </c>
      <c r="V108" s="54">
        <f>IF(ScoundrelFeats&gt;0,1,0)</f>
        <v>0</v>
      </c>
      <c r="W108" s="54">
        <f>IF(ScoutFeats&gt;0,1,0)</f>
        <v>0</v>
      </c>
      <c r="X108" s="54">
        <f>IF(SoldierFeats&gt;0,1,0)</f>
        <v>0</v>
      </c>
      <c r="AB108" s="1566" t="str">
        <f t="shared" ca="1" si="53"/>
        <v/>
      </c>
      <c r="AC108" s="1365" t="str">
        <f t="shared" ca="1" si="46"/>
        <v/>
      </c>
      <c r="AD108" s="1365" t="str">
        <f t="shared" ca="1" si="47"/>
        <v/>
      </c>
      <c r="AE108" s="1365" t="str">
        <f t="shared" ca="1" si="48"/>
        <v/>
      </c>
      <c r="AF108" s="1365" t="str">
        <f t="shared" ca="1" si="49"/>
        <v/>
      </c>
      <c r="AG108" s="1467" t="str">
        <f t="shared" ca="1" si="50"/>
        <v/>
      </c>
      <c r="AH108" s="1467" t="str">
        <f t="shared" ca="1" si="51"/>
        <v/>
      </c>
    </row>
    <row r="109" spans="2:34">
      <c r="B109" s="60"/>
      <c r="C109" s="1320" t="s">
        <v>2374</v>
      </c>
      <c r="D109" s="61"/>
      <c r="E109" s="62" t="s">
        <v>2375</v>
      </c>
      <c r="F109" s="1694" t="s">
        <v>6175</v>
      </c>
      <c r="G109" s="63" t="str">
        <f>IF(AND(CharacterLevel&gt;0,Dexterity&gt;=13,Strength&gt;=13),"Yes","No")</f>
        <v>No</v>
      </c>
      <c r="H109" s="76"/>
      <c r="I109" s="63"/>
      <c r="J109" s="63" t="str">
        <f>IF(COUNTIF(T109:Z109,2)&gt;0,IF(G109="Yes","Class",""),IF(COUNTIF(T109:Z109,3)&gt;0,IF(COUNTIF(MulticlassFeats,Feats!C109&amp;IF(Feats!D109&lt;&gt;""," ("&amp;Feats!D109&amp;")","")),"Multi",""),""))</f>
        <v/>
      </c>
      <c r="K109" s="63" t="str">
        <f t="shared" ca="1" si="33"/>
        <v/>
      </c>
      <c r="L109" s="63" t="str">
        <f t="shared" ca="1" si="34"/>
        <v>No</v>
      </c>
      <c r="M109" s="63">
        <f t="shared" ca="1" si="52"/>
        <v>0</v>
      </c>
      <c r="N109" s="63" t="s">
        <v>2299</v>
      </c>
      <c r="O109" s="64"/>
      <c r="P109" s="660"/>
      <c r="Q109" s="661"/>
      <c r="R109" s="661"/>
      <c r="V109" s="54">
        <f>IF(ScoundrelFeats&gt;0,1,0)</f>
        <v>0</v>
      </c>
      <c r="W109" s="54">
        <f>IF(ScoutFeats&gt;0,1,0)</f>
        <v>0</v>
      </c>
      <c r="X109" s="54">
        <f>IF(SoldierFeats&gt;0,1,0)</f>
        <v>0</v>
      </c>
      <c r="AB109" s="1566" t="str">
        <f t="shared" ca="1" si="53"/>
        <v/>
      </c>
      <c r="AC109" s="1365" t="str">
        <f t="shared" ca="1" si="46"/>
        <v/>
      </c>
      <c r="AD109" s="1365" t="str">
        <f t="shared" ca="1" si="47"/>
        <v/>
      </c>
      <c r="AE109" s="1365" t="str">
        <f t="shared" ca="1" si="48"/>
        <v/>
      </c>
      <c r="AF109" s="1365" t="str">
        <f t="shared" ca="1" si="49"/>
        <v/>
      </c>
      <c r="AG109" s="1467" t="str">
        <f t="shared" ca="1" si="50"/>
        <v/>
      </c>
      <c r="AH109" s="1467" t="str">
        <f t="shared" ca="1" si="51"/>
        <v/>
      </c>
    </row>
    <row r="110" spans="2:34">
      <c r="B110" s="60"/>
      <c r="C110" s="1320" t="s">
        <v>2376</v>
      </c>
      <c r="D110" s="61"/>
      <c r="E110" s="62" t="s">
        <v>2377</v>
      </c>
      <c r="F110" s="1694" t="s">
        <v>5572</v>
      </c>
      <c r="G110" s="63" t="str">
        <f>IF(AND(CharacterLevel&gt;0,Strength&gt;=15),"Yes","No")</f>
        <v>No</v>
      </c>
      <c r="H110" s="76"/>
      <c r="I110" s="63"/>
      <c r="J110" s="63" t="str">
        <f>IF(COUNTIF(T110:Z110,2)&gt;0,IF(G110="Yes","Class",""),IF(COUNTIF(T110:Z110,3)&gt;0,IF(COUNTIF(MulticlassFeats,Feats!C110&amp;IF(Feats!D110&lt;&gt;""," ("&amp;Feats!D110&amp;")","")),"Multi",""),""))</f>
        <v/>
      </c>
      <c r="K110" s="63" t="str">
        <f t="shared" ca="1" si="33"/>
        <v/>
      </c>
      <c r="L110" s="63" t="str">
        <f t="shared" ca="1" si="34"/>
        <v>No</v>
      </c>
      <c r="M110" s="63">
        <f t="shared" ca="1" si="52"/>
        <v>0</v>
      </c>
      <c r="N110" s="63" t="s">
        <v>2378</v>
      </c>
      <c r="O110" s="64"/>
      <c r="P110" s="660"/>
      <c r="Q110" s="661"/>
      <c r="R110" s="661"/>
      <c r="T110" s="54">
        <f>IF(JediFeats&gt;0,1,0)</f>
        <v>0</v>
      </c>
      <c r="W110" s="54">
        <f>IF(ScoutFeats&gt;0,1,0)</f>
        <v>0</v>
      </c>
      <c r="X110" s="54">
        <f>IF(SoldierFeats&gt;0,1,0)</f>
        <v>0</v>
      </c>
      <c r="AB110" s="1566" t="str">
        <f t="shared" ca="1" si="53"/>
        <v/>
      </c>
      <c r="AC110" s="1365" t="str">
        <f t="shared" ca="1" si="46"/>
        <v/>
      </c>
      <c r="AD110" s="1365" t="str">
        <f t="shared" ca="1" si="47"/>
        <v/>
      </c>
      <c r="AE110" s="1365" t="str">
        <f t="shared" ca="1" si="48"/>
        <v/>
      </c>
      <c r="AF110" s="1365" t="str">
        <f t="shared" ca="1" si="49"/>
        <v/>
      </c>
      <c r="AG110" s="1467" t="str">
        <f t="shared" ca="1" si="50"/>
        <v/>
      </c>
      <c r="AH110" s="1467" t="str">
        <f t="shared" ca="1" si="51"/>
        <v/>
      </c>
    </row>
    <row r="111" spans="2:34">
      <c r="B111" s="60"/>
      <c r="C111" s="1320" t="s">
        <v>6670</v>
      </c>
      <c r="D111" s="61"/>
      <c r="E111" s="62" t="s">
        <v>6663</v>
      </c>
      <c r="F111" s="1694" t="s">
        <v>6671</v>
      </c>
      <c r="G111" s="63" t="str">
        <f>IF(CharacterLevel&gt;0,"Yes","No")</f>
        <v>No</v>
      </c>
      <c r="H111" s="76"/>
      <c r="I111" s="63"/>
      <c r="J111" s="63" t="str">
        <f>IF(COUNTIF(T111:Z111,2)&gt;0,IF(G111="Yes","Class",""),IF(COUNTIF(T111:Z111,3)&gt;0,IF(COUNTIF(MulticlassFeats,Feats!C111&amp;IF(Feats!D111&lt;&gt;""," ("&amp;Feats!D111&amp;")","")),"Multi",""),""))</f>
        <v/>
      </c>
      <c r="K111" s="63" t="str">
        <f t="shared" ca="1" si="33"/>
        <v/>
      </c>
      <c r="L111" s="63" t="str">
        <f t="shared" ca="1" si="34"/>
        <v>No</v>
      </c>
      <c r="M111" s="63">
        <f t="shared" ca="1" si="52"/>
        <v>0</v>
      </c>
      <c r="N111" s="63" t="s">
        <v>6753</v>
      </c>
      <c r="O111" s="64"/>
      <c r="P111" s="660"/>
      <c r="Q111" s="661"/>
      <c r="R111" s="661"/>
      <c r="AB111" s="1566" t="str">
        <f t="shared" ca="1" si="53"/>
        <v/>
      </c>
      <c r="AC111" s="1365" t="str">
        <f t="shared" ca="1" si="46"/>
        <v/>
      </c>
      <c r="AD111" s="1365" t="str">
        <f t="shared" ca="1" si="47"/>
        <v/>
      </c>
      <c r="AE111" s="1365" t="str">
        <f t="shared" ca="1" si="48"/>
        <v/>
      </c>
      <c r="AF111" s="1365" t="str">
        <f t="shared" ca="1" si="49"/>
        <v/>
      </c>
      <c r="AG111" s="1467" t="str">
        <f t="shared" ca="1" si="50"/>
        <v/>
      </c>
      <c r="AH111" s="1467" t="str">
        <f t="shared" ca="1" si="51"/>
        <v/>
      </c>
    </row>
    <row r="112" spans="2:34">
      <c r="B112" s="1311"/>
      <c r="C112" s="1320" t="s">
        <v>2379</v>
      </c>
      <c r="D112" s="61"/>
      <c r="E112" s="62"/>
      <c r="F112" s="1694" t="s">
        <v>5573</v>
      </c>
      <c r="G112" s="63" t="str">
        <f>IF(CharacterLevel&gt;0,"Yes","No")</f>
        <v>No</v>
      </c>
      <c r="H112" s="76"/>
      <c r="I112" s="63"/>
      <c r="J112" s="63" t="str">
        <f>IF(COUNTIF(T112:Z112,2)&gt;0,IF(G112="Yes","Class",""),IF(COUNTIF(T112:Z112,3)&gt;0,IF(COUNTIF(MulticlassFeats,Feats!C112&amp;IF(Feats!D112&lt;&gt;""," ("&amp;Feats!D112&amp;")","")),"Multi",""),""))</f>
        <v/>
      </c>
      <c r="K112" s="63" t="str">
        <f t="shared" ca="1" si="33"/>
        <v/>
      </c>
      <c r="L112" s="63" t="str">
        <f t="shared" ca="1" si="34"/>
        <v>No</v>
      </c>
      <c r="M112" s="63">
        <f t="shared" ca="1" si="52"/>
        <v>0</v>
      </c>
      <c r="N112" s="63" t="s">
        <v>2351</v>
      </c>
      <c r="O112" s="64"/>
      <c r="P112" s="660"/>
      <c r="Q112" s="508"/>
      <c r="R112" s="661"/>
      <c r="W112" s="54">
        <f>IF(ScoutFeats&gt;0,1,0)</f>
        <v>0</v>
      </c>
      <c r="X112" s="54">
        <f>IF(SoldierFeats&gt;0,1,0)</f>
        <v>0</v>
      </c>
      <c r="AB112" s="1566" t="str">
        <f t="shared" ca="1" si="53"/>
        <v/>
      </c>
      <c r="AC112" s="1365" t="str">
        <f t="shared" ca="1" si="46"/>
        <v/>
      </c>
      <c r="AD112" s="1365" t="str">
        <f t="shared" ca="1" si="47"/>
        <v/>
      </c>
      <c r="AE112" s="1365" t="str">
        <f t="shared" ca="1" si="48"/>
        <v/>
      </c>
      <c r="AF112" s="1365" t="str">
        <f t="shared" ca="1" si="49"/>
        <v/>
      </c>
      <c r="AG112" s="1467" t="str">
        <f t="shared" ca="1" si="50"/>
        <v/>
      </c>
      <c r="AH112" s="1467" t="str">
        <f t="shared" ca="1" si="51"/>
        <v/>
      </c>
    </row>
    <row r="113" spans="2:34">
      <c r="B113" s="1311"/>
      <c r="C113" s="1462" t="s">
        <v>8272</v>
      </c>
      <c r="D113" s="1462"/>
      <c r="E113" s="1462" t="s">
        <v>8243</v>
      </c>
      <c r="F113" s="1695" t="s">
        <v>8271</v>
      </c>
      <c r="G113" s="63" t="str">
        <f>IF(BAB&gt;=1,"Yes","No")</f>
        <v>No</v>
      </c>
      <c r="H113" s="76"/>
      <c r="I113" s="63"/>
      <c r="J113" s="63" t="str">
        <f>IF(COUNTIF(T113:Z113,2)&gt;0,IF(G113="Yes","Class",""),IF(COUNTIF(T113:Z113,3)&gt;0,IF(COUNTIF(MulticlassFeats,Feats!A13&amp;IF(Feats!B13&lt;&gt;""," ("&amp;Feats!B13&amp;")","")),"Multi",""),""))</f>
        <v/>
      </c>
      <c r="K113" s="63" t="str">
        <f t="shared" ca="1" si="33"/>
        <v/>
      </c>
      <c r="L113" s="63" t="str">
        <f t="shared" ca="1" si="34"/>
        <v>No</v>
      </c>
      <c r="M113" s="63">
        <f t="shared" ca="1" si="52"/>
        <v>0</v>
      </c>
      <c r="N113" s="1461" t="s">
        <v>8225</v>
      </c>
      <c r="O113" s="1462"/>
      <c r="P113" s="1559"/>
      <c r="R113" s="661"/>
      <c r="S113" s="1463"/>
      <c r="T113" s="660"/>
      <c r="U113" s="660"/>
      <c r="V113" s="660"/>
      <c r="W113" s="660"/>
      <c r="X113" s="660"/>
      <c r="Y113" s="660"/>
      <c r="Z113" s="1562"/>
      <c r="AA113" s="1568"/>
      <c r="AB113" s="1566" t="str">
        <f t="shared" ca="1" si="53"/>
        <v/>
      </c>
      <c r="AC113" s="1365" t="str">
        <f ca="1">IF(AB127&lt;&gt;"",AB127&amp;";"&amp;AC114,AC114)</f>
        <v/>
      </c>
      <c r="AD113" s="1365" t="str">
        <f ca="1">IF(AB127&lt;&gt;"",N127&amp;";"&amp;AD114,AD114)</f>
        <v/>
      </c>
      <c r="AE113" s="1365" t="str">
        <f ca="1">IF(AB127&lt;&gt;"",IF(R127="Att Options",AB127&amp;IF(AE114&lt;&gt;"",", ",""),"")&amp;AE114,AE114)</f>
        <v/>
      </c>
      <c r="AF113" s="1365" t="str">
        <f ca="1">IF(AB127&lt;&gt;"",IF(R127="Special Actions",AB127&amp;IF(AF114&lt;&gt;"",", ",""),"")&amp;AF114,AF114)</f>
        <v/>
      </c>
      <c r="AG113" s="1467" t="str">
        <f ca="1">IF(AB127&lt;&gt;"",IF(R127="Defenses",AB127&amp;IF(AG114&lt;&gt;"",", ",""),"")&amp;AG114,AG114)</f>
        <v/>
      </c>
      <c r="AH113" s="1467" t="str">
        <f ca="1">IF(AB127&lt;&gt;"",IF(R127="Speed",AB127&amp;IF(AH114&lt;&gt;"",", ",""),"")&amp;AH114,AH114)</f>
        <v/>
      </c>
    </row>
    <row r="114" spans="2:34">
      <c r="B114" s="60"/>
      <c r="C114" s="1320" t="s">
        <v>2380</v>
      </c>
      <c r="D114" s="61"/>
      <c r="E114" s="62" t="s">
        <v>2381</v>
      </c>
      <c r="F114" s="1694" t="s">
        <v>5574</v>
      </c>
      <c r="G114" s="63" t="str">
        <f ca="1">IF(AND(CharacterLevel&gt;0,M269&gt;0),"Yes","No")</f>
        <v>No</v>
      </c>
      <c r="H114" s="76"/>
      <c r="I114" s="63"/>
      <c r="J114" s="63" t="str">
        <f>IF(COUNTIF(T114:Z114,2)&gt;0,IF(G114="Yes","Class",""),IF(COUNTIF(T114:Z114,3)&gt;0,IF(COUNTIF(MulticlassFeats,Feats!C114&amp;IF(Feats!D114&lt;&gt;""," ("&amp;Feats!D114&amp;")","")),"Multi",""),""))</f>
        <v/>
      </c>
      <c r="K114" s="63" t="str">
        <f t="shared" ca="1" si="33"/>
        <v/>
      </c>
      <c r="L114" s="63" t="str">
        <f t="shared" ca="1" si="34"/>
        <v>No</v>
      </c>
      <c r="M114" s="63">
        <f t="shared" ca="1" si="52"/>
        <v>0</v>
      </c>
      <c r="N114" s="63" t="s">
        <v>2307</v>
      </c>
      <c r="O114" s="64"/>
      <c r="P114" s="660"/>
      <c r="Q114" s="661"/>
      <c r="R114" s="661" t="s">
        <v>3669</v>
      </c>
      <c r="V114" s="54">
        <f>IF(ScoundrelFeats&gt;0,1,0)</f>
        <v>0</v>
      </c>
      <c r="W114" s="54">
        <f>IF(ScoutFeats&gt;0,1,0)</f>
        <v>0</v>
      </c>
      <c r="AB114" s="1566" t="str">
        <f t="shared" ca="1" si="53"/>
        <v/>
      </c>
      <c r="AC114" s="1365" t="str">
        <f ca="1">IF(AB128&lt;&gt;"",AB128&amp;";"&amp;AC115,AC115)</f>
        <v/>
      </c>
      <c r="AD114" s="1365" t="str">
        <f ca="1">IF(AB128&lt;&gt;"",N128&amp;";"&amp;AD115,AD115)</f>
        <v/>
      </c>
      <c r="AE114" s="1365" t="str">
        <f ca="1">IF(AB128&lt;&gt;"",IF(R128="Att Options",AB128&amp;IF(AE115&lt;&gt;"",", ",""),"")&amp;AE115,AE115)</f>
        <v/>
      </c>
      <c r="AF114" s="1365" t="str">
        <f ca="1">IF(AB128&lt;&gt;"",IF(R128="Special Actions",AB128&amp;IF(AF115&lt;&gt;"",", ",""),"")&amp;AF115,AF115)</f>
        <v/>
      </c>
      <c r="AG114" s="1467" t="str">
        <f ca="1">IF(AB128&lt;&gt;"",IF(R128="Defenses",AB128&amp;IF(AG115&lt;&gt;"",", ",""),"")&amp;AG115,AG115)</f>
        <v/>
      </c>
      <c r="AH114" s="1467" t="str">
        <f ca="1">IF(AB128&lt;&gt;"",IF(R128="Speed",AB128&amp;IF(AH115&lt;&gt;"",", ",""),"")&amp;AH115,AH115)</f>
        <v/>
      </c>
    </row>
    <row r="115" spans="2:34">
      <c r="B115" s="60"/>
      <c r="C115" s="1320" t="s">
        <v>2382</v>
      </c>
      <c r="D115" s="61"/>
      <c r="E115" s="62" t="s">
        <v>2350</v>
      </c>
      <c r="F115" s="1694" t="s">
        <v>5575</v>
      </c>
      <c r="G115" s="63" t="str">
        <f ca="1">IF(AND(CharacterLevel&gt;0,OR(COUNTIF(M349:M350,"1")&gt;0,M347&gt;0)),"Yes","No")</f>
        <v>No</v>
      </c>
      <c r="H115" s="76"/>
      <c r="I115" s="63"/>
      <c r="J115" s="63" t="str">
        <f>IF(COUNTIF(T115:Z115,2)&gt;0,IF(G115="Yes","Class",""),IF(COUNTIF(T115:Z115,3)&gt;0,IF(COUNTIF(MulticlassFeats,Feats!C115&amp;IF(Feats!D115&lt;&gt;""," ("&amp;Feats!D115&amp;")","")),"Multi",""),""))</f>
        <v/>
      </c>
      <c r="K115" s="63" t="str">
        <f t="shared" ca="1" si="33"/>
        <v/>
      </c>
      <c r="L115" s="63" t="str">
        <f t="shared" ca="1" si="34"/>
        <v>No</v>
      </c>
      <c r="M115" s="63">
        <f t="shared" ca="1" si="52"/>
        <v>0</v>
      </c>
      <c r="N115" s="63" t="s">
        <v>2351</v>
      </c>
      <c r="O115" s="64"/>
      <c r="P115" s="660"/>
      <c r="Q115" s="508"/>
      <c r="R115" s="661" t="s">
        <v>4059</v>
      </c>
      <c r="X115" s="54">
        <f>IF(SoldierFeats&gt;0,1,0)</f>
        <v>0</v>
      </c>
      <c r="AB115" s="1566" t="str">
        <f t="shared" ca="1" si="53"/>
        <v/>
      </c>
      <c r="AC115" s="1365" t="str">
        <f ca="1">IF(AB130&lt;&gt;"",AB130&amp;";"&amp;AC116,AC116)</f>
        <v/>
      </c>
      <c r="AD115" s="1365" t="str">
        <f ca="1">IF(AB130&lt;&gt;"",N130&amp;";"&amp;AD116,AD116)</f>
        <v/>
      </c>
      <c r="AE115" s="1365" t="str">
        <f ca="1">IF(AB130&lt;&gt;"",IF(R130="Att Options",AB130&amp;IF(AE116&lt;&gt;"",", ",""),"")&amp;AE116,AE116)</f>
        <v/>
      </c>
      <c r="AF115" s="1365" t="str">
        <f ca="1">IF(AB130&lt;&gt;"",IF(R130="Special Actions",AB130&amp;IF(AF116&lt;&gt;"",", ",""),"")&amp;AF116,AF116)</f>
        <v/>
      </c>
      <c r="AG115" s="1467" t="str">
        <f ca="1">IF(AB130&lt;&gt;"",IF(R130="Defenses",AB130&amp;IF(AG116&lt;&gt;"",", ",""),"")&amp;AG116,AG116)</f>
        <v/>
      </c>
      <c r="AH115" s="1467" t="str">
        <f ca="1">IF(AB130&lt;&gt;"",IF(R130="Speed",AB130&amp;IF(AH116&lt;&gt;"",", ",""),"")&amp;AH116,AH116)</f>
        <v/>
      </c>
    </row>
    <row r="116" spans="2:34">
      <c r="B116" s="60"/>
      <c r="C116" s="1320" t="s">
        <v>2383</v>
      </c>
      <c r="D116" s="61"/>
      <c r="E116" s="62" t="s">
        <v>2273</v>
      </c>
      <c r="F116" s="1694" t="s">
        <v>5576</v>
      </c>
      <c r="G116" s="63" t="str">
        <f>IF(AND(CharacterLevel&gt;0,Dexterity&gt;=13),"Yes","No")</f>
        <v>No</v>
      </c>
      <c r="H116" s="76"/>
      <c r="I116" s="63"/>
      <c r="J116" s="63" t="str">
        <f>IF(COUNTIF(T116:Z116,2)&gt;0,IF(G116="Yes","Class",""),IF(COUNTIF(T116:Z116,3)&gt;0,IF(COUNTIF(MulticlassFeats,Feats!C116&amp;IF(Feats!D116&lt;&gt;""," ("&amp;Feats!D116&amp;")","")),"Multi",""),""))</f>
        <v/>
      </c>
      <c r="K116" s="63" t="str">
        <f t="shared" ca="1" si="33"/>
        <v/>
      </c>
      <c r="L116" s="63" t="str">
        <f t="shared" ca="1" si="34"/>
        <v>No</v>
      </c>
      <c r="M116" s="63">
        <f t="shared" ca="1" si="52"/>
        <v>0</v>
      </c>
      <c r="N116" s="63" t="s">
        <v>2363</v>
      </c>
      <c r="O116" s="64"/>
      <c r="P116" s="660"/>
      <c r="Q116" s="661"/>
      <c r="R116" s="661" t="s">
        <v>4059</v>
      </c>
      <c r="T116" s="54">
        <f>IF(JediFeats&gt;0,1,0)</f>
        <v>0</v>
      </c>
      <c r="U116" s="54">
        <f>IF(NobleFeats&gt;0,1,0)</f>
        <v>0</v>
      </c>
      <c r="X116" s="54">
        <f>IF(SoldierFeats&gt;0,1,0)</f>
        <v>0</v>
      </c>
      <c r="AB116" s="1566" t="str">
        <f t="shared" ca="1" si="53"/>
        <v/>
      </c>
      <c r="AC116" s="1365" t="str">
        <f ca="1">IF(AB131&lt;&gt;"",AB131&amp;";"&amp;AC117,AC117)</f>
        <v/>
      </c>
      <c r="AD116" s="1365" t="str">
        <f ca="1">IF(AB131&lt;&gt;"",N131&amp;";"&amp;AD117,AD117)</f>
        <v/>
      </c>
      <c r="AE116" s="1365" t="str">
        <f ca="1">IF(AB131&lt;&gt;"",IF(R131="Att Options",AB131&amp;IF(AE117&lt;&gt;"",", ",""),"")&amp;AE117,AE117)</f>
        <v/>
      </c>
      <c r="AF116" s="1365" t="str">
        <f ca="1">IF(AB131&lt;&gt;"",IF(R131="Special Actions",AB131&amp;IF(AF117&lt;&gt;"",", ",""),"")&amp;AF117,AF117)</f>
        <v/>
      </c>
      <c r="AG116" s="1467" t="str">
        <f ca="1">IF(AB131&lt;&gt;"",IF(R131="Defenses",AB131&amp;IF(AG117&lt;&gt;"",", ",""),"")&amp;AG117,AG117)</f>
        <v/>
      </c>
      <c r="AH116" s="1467" t="str">
        <f ca="1">IF(AB131&lt;&gt;"",IF(R131="Speed",AB131&amp;IF(AH117&lt;&gt;"",", ",""),"")&amp;AH117,AH117)</f>
        <v/>
      </c>
    </row>
    <row r="117" spans="2:34">
      <c r="B117" s="60"/>
      <c r="C117" s="1320" t="s">
        <v>2384</v>
      </c>
      <c r="D117" s="61"/>
      <c r="E117" s="62" t="s">
        <v>2321</v>
      </c>
      <c r="F117" s="1694" t="s">
        <v>5577</v>
      </c>
      <c r="G117" s="63" t="str">
        <f ca="1">IF(AND(CharacterLevel&gt;0,M52&gt;0),"Yes","No")</f>
        <v>No</v>
      </c>
      <c r="H117" s="76"/>
      <c r="I117" s="63"/>
      <c r="J117" s="63" t="str">
        <f>IF(COUNTIF(T117:Z117,2)&gt;0,IF(G117="Yes","Class",""),IF(COUNTIF(T117:Z117,3)&gt;0,IF(COUNTIF(MulticlassFeats,Feats!C117&amp;IF(Feats!D117&lt;&gt;""," ("&amp;Feats!D117&amp;")","")),"Multi",""),""))</f>
        <v/>
      </c>
      <c r="K117" s="63" t="str">
        <f t="shared" ca="1" si="33"/>
        <v/>
      </c>
      <c r="L117" s="63" t="str">
        <f t="shared" ca="1" si="34"/>
        <v>No</v>
      </c>
      <c r="M117" s="63">
        <f t="shared" ca="1" si="52"/>
        <v>0</v>
      </c>
      <c r="N117" s="63" t="s">
        <v>2322</v>
      </c>
      <c r="O117" s="64"/>
      <c r="P117" s="660"/>
      <c r="Q117" s="661"/>
      <c r="R117" s="661"/>
      <c r="AB117" s="1566" t="str">
        <f t="shared" ca="1" si="53"/>
        <v/>
      </c>
      <c r="AC117" s="1365" t="str">
        <f ca="1">IF(AB133&lt;&gt;"",AB133&amp;";"&amp;AC118,AC118)</f>
        <v/>
      </c>
      <c r="AD117" s="1365" t="str">
        <f ca="1">IF(AB133&lt;&gt;"",N133&amp;";"&amp;AD118,AD118)</f>
        <v/>
      </c>
      <c r="AE117" s="1365" t="str">
        <f ca="1">IF(AB133&lt;&gt;"",IF(R133="Att Options",AB133&amp;IF(AE118&lt;&gt;"",", ",""),"")&amp;AE118,AE118)</f>
        <v/>
      </c>
      <c r="AF117" s="1365" t="str">
        <f ca="1">IF(AB133&lt;&gt;"",IF(R133="Special Actions",AB133&amp;IF(AF118&lt;&gt;"",", ",""),"")&amp;AF118,AF118)</f>
        <v/>
      </c>
      <c r="AG117" s="1467" t="str">
        <f ca="1">IF(AB133&lt;&gt;"",IF(R133="Defenses",AB133&amp;IF(AG118&lt;&gt;"",", ",""),"")&amp;AG118,AG118)</f>
        <v/>
      </c>
      <c r="AH117" s="1467" t="str">
        <f ca="1">IF(AB133&lt;&gt;"",IF(R133="Speed",AB133&amp;IF(AH118&lt;&gt;"",", ",""),"")&amp;AH118,AH118)</f>
        <v/>
      </c>
    </row>
    <row r="118" spans="2:34">
      <c r="B118" s="60"/>
      <c r="C118" s="1320" t="s">
        <v>4214</v>
      </c>
      <c r="D118" s="61"/>
      <c r="E118" s="62"/>
      <c r="F118" s="1694" t="s">
        <v>5726</v>
      </c>
      <c r="G118" s="63" t="str">
        <f>IF(CharacterLevel&gt;0,"Yes","No")</f>
        <v>No</v>
      </c>
      <c r="H118" s="76"/>
      <c r="I118" s="63"/>
      <c r="J118" s="63" t="str">
        <f>IF(COUNTIF(T118:Z118,2)&gt;0,IF(G118="Yes","Class",""),IF(COUNTIF(T118:Z118,3)&gt;0,IF(COUNTIF(MulticlassFeats,Feats!C118&amp;IF(Feats!D118&lt;&gt;""," ("&amp;Feats!D118&amp;")","")),"Multi",""),""))</f>
        <v/>
      </c>
      <c r="K118" s="63" t="str">
        <f t="shared" ca="1" si="33"/>
        <v/>
      </c>
      <c r="L118" s="63" t="str">
        <f t="shared" ca="1" si="34"/>
        <v>No</v>
      </c>
      <c r="M118" s="63">
        <f t="shared" ca="1" si="52"/>
        <v>0</v>
      </c>
      <c r="N118" s="63" t="s">
        <v>4218</v>
      </c>
      <c r="O118" s="64"/>
      <c r="P118" s="660"/>
      <c r="Q118" s="661"/>
      <c r="R118" s="661" t="s">
        <v>4059</v>
      </c>
      <c r="AB118" s="1566" t="str">
        <f t="shared" ca="1" si="53"/>
        <v/>
      </c>
      <c r="AC118" s="1365" t="str">
        <f ca="1">IF(AB134&lt;&gt;"",AB134&amp;";"&amp;AC119,AC119)</f>
        <v/>
      </c>
      <c r="AD118" s="1365" t="str">
        <f ca="1">IF(AB134&lt;&gt;"",N134&amp;";"&amp;AD119,AD119)</f>
        <v/>
      </c>
      <c r="AE118" s="1365" t="str">
        <f ca="1">IF(AB134&lt;&gt;"",IF(R134="Att Options",AB134&amp;IF(AE119&lt;&gt;"",", ",""),"")&amp;AE119,AE119)</f>
        <v/>
      </c>
      <c r="AF118" s="1365" t="str">
        <f ca="1">IF(AB134&lt;&gt;"",IF(R134="Special Actions",AB134&amp;IF(AF119&lt;&gt;"",", ",""),"")&amp;AF119,AF119)</f>
        <v/>
      </c>
      <c r="AG118" s="1467" t="str">
        <f ca="1">IF(AB134&lt;&gt;"",IF(R134="Defenses",AB134&amp;IF(AG119&lt;&gt;"",", ",""),"")&amp;AG119,AG119)</f>
        <v/>
      </c>
      <c r="AH118" s="1467" t="str">
        <f ca="1">IF(AB134&lt;&gt;"",IF(R134="Speed",AB134&amp;IF(AH119&lt;&gt;"",", ",""),"")&amp;AH119,AH119)</f>
        <v/>
      </c>
    </row>
    <row r="119" spans="2:34">
      <c r="B119" s="60"/>
      <c r="C119" s="1320" t="s">
        <v>2385</v>
      </c>
      <c r="D119" s="61"/>
      <c r="E119" s="62" t="s">
        <v>409</v>
      </c>
      <c r="F119" s="1694" t="s">
        <v>5578</v>
      </c>
      <c r="G119" s="63" t="str">
        <f ca="1">IF(AND(CharacterLevel&gt;0,M123&gt;0),"Yes","No")</f>
        <v>No</v>
      </c>
      <c r="H119" s="76"/>
      <c r="I119" s="63"/>
      <c r="J119" s="63" t="str">
        <f>IF(COUNTIF(T119:Z119,2)&gt;0,IF(G119="Yes","Class",""),IF(COUNTIF(T119:Z119,3)&gt;0,IF(COUNTIF(MulticlassFeats,Feats!C119&amp;IF(Feats!D119&lt;&gt;""," ("&amp;Feats!D119&amp;")","")),"Multi",""),""))</f>
        <v/>
      </c>
      <c r="K119" s="63" t="str">
        <f t="shared" ca="1" si="33"/>
        <v/>
      </c>
      <c r="L119" s="63" t="str">
        <f t="shared" ca="1" si="34"/>
        <v>No</v>
      </c>
      <c r="M119" s="63">
        <f t="shared" ca="1" si="52"/>
        <v>0</v>
      </c>
      <c r="N119" s="63">
        <v>85</v>
      </c>
      <c r="O119" s="64"/>
      <c r="P119" s="660"/>
      <c r="Q119" s="661"/>
      <c r="R119" s="661"/>
      <c r="AB119" s="1566" t="str">
        <f t="shared" ca="1" si="53"/>
        <v/>
      </c>
      <c r="AC119" s="1365" t="str">
        <f ca="1">IF(AB136&lt;&gt;"",AB136&amp;";"&amp;AC120,AC120)</f>
        <v/>
      </c>
      <c r="AD119" s="1365" t="str">
        <f ca="1">IF(AB136&lt;&gt;"",N136&amp;";"&amp;AD120,AD120)</f>
        <v/>
      </c>
      <c r="AE119" s="1365" t="str">
        <f ca="1">IF(AB136&lt;&gt;"",IF(R136="Att Options",AB136&amp;IF(AE120&lt;&gt;"",", ",""),"")&amp;AE120,AE120)</f>
        <v/>
      </c>
      <c r="AF119" s="1365" t="str">
        <f ca="1">IF(AB136&lt;&gt;"",IF(R136="Special Actions",AB136&amp;IF(AF120&lt;&gt;"",", ",""),"")&amp;AF120,AF120)</f>
        <v/>
      </c>
      <c r="AG119" s="1467" t="str">
        <f ca="1">IF(AB136&lt;&gt;"",IF(R136="Defenses",AB136&amp;IF(AG120&lt;&gt;"",", ",""),"")&amp;AG120,AG120)</f>
        <v/>
      </c>
      <c r="AH119" s="1467" t="str">
        <f ca="1">IF(AB136&lt;&gt;"",IF(R136="Speed",AB136&amp;IF(AH120&lt;&gt;"",", ",""),"")&amp;AH120,AH120)</f>
        <v/>
      </c>
    </row>
    <row r="120" spans="2:34">
      <c r="B120" s="60"/>
      <c r="C120" s="1320" t="s">
        <v>6672</v>
      </c>
      <c r="D120" s="61"/>
      <c r="E120" s="62" t="s">
        <v>6673</v>
      </c>
      <c r="F120" s="1694" t="s">
        <v>6674</v>
      </c>
      <c r="G120" s="63" t="str">
        <f>IF(AND(CharacterLevel&gt;0,Charisma&gt;=13),"Yes","No")</f>
        <v>No</v>
      </c>
      <c r="H120" s="76"/>
      <c r="I120" s="63"/>
      <c r="J120" s="63" t="str">
        <f>IF(COUNTIF(T120:Z120,2)&gt;0,IF(G120="Yes","Class",""),IF(COUNTIF(T120:Z120,3)&gt;0,IF(COUNTIF(MulticlassFeats,Feats!C120&amp;IF(Feats!D120&lt;&gt;""," ("&amp;Feats!D120&amp;")","")),"Multi",""),""))</f>
        <v/>
      </c>
      <c r="K120" s="63" t="str">
        <f t="shared" ca="1" si="33"/>
        <v/>
      </c>
      <c r="L120" s="63" t="str">
        <f t="shared" ca="1" si="34"/>
        <v>No</v>
      </c>
      <c r="M120" s="63">
        <f t="shared" ca="1" si="52"/>
        <v>0</v>
      </c>
      <c r="N120" s="63" t="s">
        <v>6753</v>
      </c>
      <c r="O120" s="64"/>
      <c r="P120" s="660"/>
      <c r="Q120" s="661"/>
      <c r="R120" s="661"/>
      <c r="AB120" s="1566" t="str">
        <f t="shared" ca="1" si="53"/>
        <v/>
      </c>
      <c r="AC120" s="1365" t="str">
        <f ca="1">IF(AB137&lt;&gt;"",AB137&amp;";"&amp;AC121,AC121)</f>
        <v/>
      </c>
      <c r="AD120" s="1365" t="str">
        <f ca="1">IF(AB137&lt;&gt;"",N137&amp;";"&amp;AD121,AD121)</f>
        <v/>
      </c>
      <c r="AE120" s="1365" t="str">
        <f ca="1">IF(AB137&lt;&gt;"",IF(R137="Att Options",AB137&amp;IF(AE121&lt;&gt;"",", ",""),"")&amp;AE121,AE121)</f>
        <v/>
      </c>
      <c r="AF120" s="1365" t="str">
        <f ca="1">IF(AB137&lt;&gt;"",IF(R137="Special Actions",AB137&amp;IF(AF121&lt;&gt;"",", ",""),"")&amp;AF121,AF121)</f>
        <v/>
      </c>
      <c r="AG120" s="1467" t="str">
        <f ca="1">IF(AB137&lt;&gt;"",IF(R137="Defenses",AB137&amp;IF(AG121&lt;&gt;"",", ",""),"")&amp;AG121,AG121)</f>
        <v/>
      </c>
      <c r="AH120" s="1467" t="str">
        <f ca="1">IF(AB137&lt;&gt;"",IF(R137="Speed",AB137&amp;IF(AH121&lt;&gt;"",", ",""),"")&amp;AH121,AH121)</f>
        <v/>
      </c>
    </row>
    <row r="121" spans="2:34">
      <c r="B121" s="60"/>
      <c r="C121" s="1320" t="s">
        <v>2386</v>
      </c>
      <c r="D121" s="61"/>
      <c r="E121" s="62"/>
      <c r="F121" s="1694" t="s">
        <v>5579</v>
      </c>
      <c r="G121" s="63" t="str">
        <f>IF(CharacterLevel&gt;0,"Yes","No")</f>
        <v>No</v>
      </c>
      <c r="H121" s="76"/>
      <c r="I121" s="63"/>
      <c r="J121" s="63" t="str">
        <f>IF(COUNTIF(T121:Z121,2)&gt;0,IF(G121="Yes","Class",""),IF(COUNTIF(T121:Z121,3)&gt;0,IF(COUNTIF(MulticlassFeats,Feats!C121&amp;IF(Feats!D121&lt;&gt;""," ("&amp;Feats!D121&amp;")","")),"Multi",""),""))</f>
        <v/>
      </c>
      <c r="K121" s="63" t="str">
        <f t="shared" ca="1" si="33"/>
        <v/>
      </c>
      <c r="L121" s="63" t="str">
        <f t="shared" ca="1" si="34"/>
        <v>No</v>
      </c>
      <c r="M121" s="63">
        <f t="shared" ca="1" si="52"/>
        <v>0</v>
      </c>
      <c r="N121" s="63" t="s">
        <v>2363</v>
      </c>
      <c r="O121" s="64"/>
      <c r="P121" s="660"/>
      <c r="Q121" s="661"/>
      <c r="R121" s="661"/>
      <c r="T121" s="54">
        <f>IF(JediFeats&gt;0,1,0)</f>
        <v>0</v>
      </c>
      <c r="AB121" s="1566" t="str">
        <f t="shared" ca="1" si="53"/>
        <v/>
      </c>
      <c r="AC121" s="1365" t="str">
        <f ca="1">IF(AB139&lt;&gt;"",AB139&amp;";"&amp;AC122,AC122)</f>
        <v/>
      </c>
      <c r="AD121" s="1365" t="str">
        <f ca="1">IF(AB139&lt;&gt;"",N139&amp;";"&amp;AD122,AD122)</f>
        <v/>
      </c>
      <c r="AE121" s="1365" t="str">
        <f ca="1">IF(AB139&lt;&gt;"",IF(R139="Att Options",AB139&amp;IF(AE122&lt;&gt;"",", ",""),"")&amp;AE122,AE122)</f>
        <v/>
      </c>
      <c r="AF121" s="1365" t="str">
        <f ca="1">IF(AB139&lt;&gt;"",IF(R139="Special Actions",AB139&amp;IF(AF122&lt;&gt;"",", ",""),"")&amp;AF122,AF122)</f>
        <v/>
      </c>
      <c r="AG121" s="1467" t="str">
        <f ca="1">IF(AB139&lt;&gt;"",IF(R139="Defenses",AB139&amp;IF(AG122&lt;&gt;"",", ",""),"")&amp;AG122,AG122)</f>
        <v/>
      </c>
      <c r="AH121" s="1467" t="str">
        <f ca="1">IF(AB139&lt;&gt;"",IF(R139="Speed",AB139&amp;IF(AH122&lt;&gt;"",", ",""),"")&amp;AH122,AH122)</f>
        <v/>
      </c>
    </row>
    <row r="122" spans="2:34">
      <c r="B122" s="60"/>
      <c r="C122" s="1320" t="s">
        <v>4215</v>
      </c>
      <c r="D122" s="61"/>
      <c r="E122" s="62" t="s">
        <v>2388</v>
      </c>
      <c r="F122" s="1694" t="s">
        <v>5727</v>
      </c>
      <c r="G122" s="63" t="str">
        <f ca="1">IF(AND(L$123="Yes",OR(TUsetheForce&lt;&gt;"",STUsetheForce&lt;&gt;"")),"Yes","No")</f>
        <v>No</v>
      </c>
      <c r="H122" s="76"/>
      <c r="I122" s="63"/>
      <c r="J122" s="63" t="str">
        <f>IF(COUNTIF(T122:Z122,2)&gt;0,IF(G122="Yes","Class",""),IF(COUNTIF(T122:Z122,3)&gt;0,IF(COUNTIF(MulticlassFeats,Feats!C122&amp;IF(Feats!D122&lt;&gt;""," ("&amp;Feats!D122&amp;")","")),"Multi",""),""))</f>
        <v/>
      </c>
      <c r="K122" s="63" t="str">
        <f t="shared" ca="1" si="33"/>
        <v/>
      </c>
      <c r="L122" s="63" t="str">
        <f t="shared" ca="1" si="34"/>
        <v>No</v>
      </c>
      <c r="M122" s="63">
        <f ca="1">IF(L122="Yes",H122+I122+IF(J122&lt;&gt;"",1,0)+IF(K122&lt;&gt;"",1,0),0)</f>
        <v>0</v>
      </c>
      <c r="N122" s="63" t="s">
        <v>4218</v>
      </c>
      <c r="O122" s="64"/>
      <c r="P122" s="660"/>
      <c r="Q122" s="661"/>
      <c r="R122" s="661"/>
      <c r="AB122" s="1566" t="str">
        <f ca="1">IF(OR(H122&lt;&gt;"",I122&lt;&gt;"",J122&lt;&gt;"",K122&lt;&gt;""),C122&amp;IF(M122&gt;1," ("&amp;M122&amp;")","")&amp;IF(D122&lt;&gt;""," ("&amp;D122&amp;")",""),"")</f>
        <v/>
      </c>
      <c r="AC122" s="1365" t="str">
        <f ca="1">IF(AB141&lt;&gt;"",AB141&amp;";"&amp;AC123,AC123)</f>
        <v/>
      </c>
      <c r="AD122" s="1365" t="str">
        <f ca="1">IF(AB141&lt;&gt;"",N141&amp;";"&amp;AD123,AD123)</f>
        <v/>
      </c>
      <c r="AE122" s="1365" t="str">
        <f ca="1">IF(AB141&lt;&gt;"",IF(R141="Att Options",AB141&amp;IF(AE123&lt;&gt;"",", ",""),"")&amp;AE123,AE123)</f>
        <v/>
      </c>
      <c r="AF122" s="1365" t="str">
        <f ca="1">IF(AB141&lt;&gt;"",IF(R141="Special Actions",AB141&amp;IF(AF123&lt;&gt;"",", ",""),"")&amp;AF123,AF123)</f>
        <v/>
      </c>
      <c r="AG122" s="1467" t="str">
        <f ca="1">IF(AB141&lt;&gt;"",IF(R141="Defenses",AB141&amp;IF(AG123&lt;&gt;"",", ",""),"")&amp;AG123,AG123)</f>
        <v/>
      </c>
      <c r="AH122" s="1467" t="str">
        <f ca="1">IF(AB141&lt;&gt;"",IF(R141="Speed",AB141&amp;IF(AH123&lt;&gt;"",", ",""),"")&amp;AH123,AH123)</f>
        <v/>
      </c>
    </row>
    <row r="123" spans="2:34">
      <c r="B123" s="60"/>
      <c r="C123" s="61" t="s">
        <v>6623</v>
      </c>
      <c r="D123" s="61"/>
      <c r="E123" s="62" t="s">
        <v>2387</v>
      </c>
      <c r="F123" s="1694" t="s">
        <v>5580</v>
      </c>
      <c r="G123" s="63" t="str">
        <f>IF(AND(CharacterLevel&gt;0,Race&lt;&gt;"Droid"),"Yes","No")</f>
        <v>No</v>
      </c>
      <c r="H123" s="76"/>
      <c r="I123" s="63"/>
      <c r="J123" s="63" t="str">
        <f>IF(COUNTIF(T123:Z123,2)&gt;0,IF(G123="Yes","Class",""),IF(COUNTIF(T123:Z123,3)&gt;0,IF(COUNTIF(MulticlassFeats,Feats!C123&amp;IF(Feats!D123&lt;&gt;""," ("&amp;Feats!D123&amp;")","")),"Multi",""),""))</f>
        <v/>
      </c>
      <c r="K123" s="63" t="str">
        <f t="shared" ca="1" si="33"/>
        <v/>
      </c>
      <c r="L123" s="63" t="str">
        <f t="shared" ca="1" si="34"/>
        <v>No</v>
      </c>
      <c r="M123" s="63">
        <f ca="1">IF(L123="Yes",1,0)</f>
        <v>0</v>
      </c>
      <c r="N123" s="63">
        <v>85</v>
      </c>
      <c r="O123" s="64"/>
      <c r="P123" s="660"/>
      <c r="Q123" s="661"/>
      <c r="R123" s="661"/>
      <c r="T123" s="54">
        <f>IF(JediFeats&gt;0,IF(FirstClass&lt;&gt;"Jedi",3,2),0)</f>
        <v>0</v>
      </c>
      <c r="Y123" s="54">
        <f>IF(NonheroicFeats&gt;0,IF(AND(FirstClass="Nonheroic",Padawan),2,0),0)</f>
        <v>0</v>
      </c>
      <c r="AB123" s="1566" t="str">
        <f t="shared" ref="AB123:AB170" ca="1" si="54">IF(OR(H123&lt;&gt;"",I123&lt;&gt;"",J123&lt;&gt;"",K123&lt;&gt;""),C123&amp;IF(D123&lt;&gt;""," ("&amp;D123&amp;")",""),"")</f>
        <v/>
      </c>
      <c r="AC123" s="1365" t="str">
        <f t="shared" ref="AC123:AC131" ca="1" si="55">IF(AB145&lt;&gt;"",AB145&amp;";"&amp;AC124,AC124)</f>
        <v/>
      </c>
      <c r="AD123" s="1365" t="str">
        <f t="shared" ref="AD123:AD131" ca="1" si="56">IF(AB145&lt;&gt;"",N145&amp;";"&amp;AD124,AD124)</f>
        <v/>
      </c>
      <c r="AE123" s="1365" t="str">
        <f t="shared" ref="AE123:AE131" ca="1" si="57">IF(AB145&lt;&gt;"",IF(R145="Att Options",AB145&amp;IF(AE124&lt;&gt;"",", ",""),"")&amp;AE124,AE124)</f>
        <v/>
      </c>
      <c r="AF123" s="1365" t="str">
        <f t="shared" ref="AF123:AF131" ca="1" si="58">IF(AB145&lt;&gt;"",IF(R145="Special Actions",AB145&amp;IF(AF124&lt;&gt;"",", ",""),"")&amp;AF124,AF124)</f>
        <v/>
      </c>
      <c r="AG123" s="1467" t="str">
        <f t="shared" ref="AG123:AG131" ca="1" si="59">IF(AB145&lt;&gt;"",IF(R145="Defenses",AB145&amp;IF(AG124&lt;&gt;"",", ",""),"")&amp;AG124,AG124)</f>
        <v/>
      </c>
      <c r="AH123" s="1467" t="str">
        <f t="shared" ref="AH123:AH131" ca="1" si="60">IF(AB145&lt;&gt;"",IF(R145="Speed",AB145&amp;IF(AH124&lt;&gt;"",", ",""),"")&amp;AH124,AH124)</f>
        <v/>
      </c>
    </row>
    <row r="124" spans="2:34">
      <c r="B124" s="60"/>
      <c r="C124" s="1320" t="s">
        <v>1749</v>
      </c>
      <c r="D124" s="61"/>
      <c r="E124" s="62" t="s">
        <v>2388</v>
      </c>
      <c r="F124" s="1694" t="s">
        <v>5581</v>
      </c>
      <c r="G124" s="63" t="str">
        <f ca="1">IF(AND(L$123="Yes",OR(TUsetheForce&lt;&gt;"",STUsetheForce&lt;&gt;"")),"Yes","No")</f>
        <v>No</v>
      </c>
      <c r="H124" s="76"/>
      <c r="I124" s="63"/>
      <c r="J124" s="63" t="str">
        <f>IF(COUNTIF(T124:Z124,2)&gt;0,IF(G124="Yes","Class",""),IF(COUNTIF(T124:Z124,3)&gt;0,IF(COUNTIF(MulticlassFeats,Feats!C124&amp;IF(Feats!D124&lt;&gt;""," ("&amp;Feats!D124&amp;")","")),"Multi",""),""))</f>
        <v/>
      </c>
      <c r="K124" s="63" t="str">
        <f t="shared" ca="1" si="33"/>
        <v/>
      </c>
      <c r="L124" s="63" t="str">
        <f t="shared" ca="1" si="34"/>
        <v>No</v>
      </c>
      <c r="M124" s="63">
        <f ca="1">IF(L124="Yes",H124+I124+IF(J124&lt;&gt;"",1,0)+IF(K124&lt;&gt;"",1,0),0)</f>
        <v>0</v>
      </c>
      <c r="N124" s="63">
        <v>85</v>
      </c>
      <c r="O124" s="64"/>
      <c r="P124" s="660"/>
      <c r="Q124" s="661"/>
      <c r="R124" s="661"/>
      <c r="AB124" s="1566" t="str">
        <f t="shared" ca="1" si="54"/>
        <v/>
      </c>
      <c r="AC124" s="1365" t="str">
        <f t="shared" ca="1" si="55"/>
        <v/>
      </c>
      <c r="AD124" s="1365" t="str">
        <f t="shared" ca="1" si="56"/>
        <v/>
      </c>
      <c r="AE124" s="1365" t="str">
        <f t="shared" ca="1" si="57"/>
        <v/>
      </c>
      <c r="AF124" s="1365" t="str">
        <f t="shared" ca="1" si="58"/>
        <v/>
      </c>
      <c r="AG124" s="1467" t="str">
        <f t="shared" ca="1" si="59"/>
        <v/>
      </c>
      <c r="AH124" s="1467" t="str">
        <f t="shared" ca="1" si="60"/>
        <v/>
      </c>
    </row>
    <row r="125" spans="2:34">
      <c r="B125" s="60"/>
      <c r="C125" s="1320" t="s">
        <v>6675</v>
      </c>
      <c r="D125" s="61"/>
      <c r="E125" s="62" t="s">
        <v>6656</v>
      </c>
      <c r="F125" s="1694" t="s">
        <v>6676</v>
      </c>
      <c r="G125" s="63" t="str">
        <f>IF(AND(CharacterLevel&gt;0,BAB&gt;=1),"Yes","No")</f>
        <v>No</v>
      </c>
      <c r="H125" s="76"/>
      <c r="I125" s="63"/>
      <c r="J125" s="63" t="str">
        <f>IF(COUNTIF(T125:Z125,2)&gt;0,IF(G125="Yes","Class",""),IF(COUNTIF(T125:Z125,3)&gt;0,IF(COUNTIF(MulticlassFeats,Feats!C125&amp;IF(Feats!D125&lt;&gt;""," ("&amp;Feats!D125&amp;")","")),"Multi",""),""))</f>
        <v/>
      </c>
      <c r="K125" s="63" t="str">
        <f t="shared" ca="1" si="33"/>
        <v/>
      </c>
      <c r="L125" s="63" t="str">
        <f t="shared" ca="1" si="34"/>
        <v>No</v>
      </c>
      <c r="M125" s="63">
        <f t="shared" ref="M125:M170" ca="1" si="61">IF(L125="Yes",1,0)</f>
        <v>0</v>
      </c>
      <c r="N125" s="63" t="s">
        <v>6753</v>
      </c>
      <c r="O125" s="64"/>
      <c r="P125" s="660"/>
      <c r="Q125" s="661"/>
      <c r="R125" s="661"/>
      <c r="AB125" s="1566" t="str">
        <f t="shared" ca="1" si="54"/>
        <v/>
      </c>
      <c r="AC125" s="1365" t="str">
        <f t="shared" ca="1" si="55"/>
        <v/>
      </c>
      <c r="AD125" s="1365" t="str">
        <f t="shared" ca="1" si="56"/>
        <v/>
      </c>
      <c r="AE125" s="1365" t="str">
        <f t="shared" ca="1" si="57"/>
        <v/>
      </c>
      <c r="AF125" s="1365" t="str">
        <f t="shared" ca="1" si="58"/>
        <v/>
      </c>
      <c r="AG125" s="1467" t="str">
        <f t="shared" ca="1" si="59"/>
        <v/>
      </c>
      <c r="AH125" s="1467" t="str">
        <f t="shared" ca="1" si="60"/>
        <v/>
      </c>
    </row>
    <row r="126" spans="2:34">
      <c r="B126" s="60"/>
      <c r="C126" s="1462" t="s">
        <v>8270</v>
      </c>
      <c r="D126" s="1462"/>
      <c r="E126" s="1462" t="s">
        <v>8269</v>
      </c>
      <c r="F126" s="1695" t="s">
        <v>8268</v>
      </c>
      <c r="G126" s="63" t="str">
        <f ca="1">IF($M$124&gt;0,"Yes","No")</f>
        <v>No</v>
      </c>
      <c r="H126" s="76"/>
      <c r="I126" s="63"/>
      <c r="J126" s="63" t="str">
        <f>IF(COUNTIF(T126:Z126,2)&gt;0,IF(G126="Yes","Class",""),IF(COUNTIF(T126:Z126,3)&gt;0,IF(COUNTIF(MulticlassFeats,Feats!A14&amp;IF(Feats!B14&lt;&gt;""," ("&amp;Feats!B14&amp;")","")),"Multi",""),""))</f>
        <v/>
      </c>
      <c r="K126" s="63" t="str">
        <f t="shared" ca="1" si="33"/>
        <v/>
      </c>
      <c r="L126" s="63" t="str">
        <f t="shared" ca="1" si="34"/>
        <v>No</v>
      </c>
      <c r="M126" s="63">
        <f t="shared" ca="1" si="61"/>
        <v>0</v>
      </c>
      <c r="N126" s="1461" t="s">
        <v>8225</v>
      </c>
      <c r="O126" s="1462"/>
      <c r="P126" s="1559"/>
      <c r="R126" s="661"/>
      <c r="S126" s="1463"/>
      <c r="T126" s="660"/>
      <c r="U126" s="660"/>
      <c r="V126" s="660"/>
      <c r="W126" s="660"/>
      <c r="X126" s="660"/>
      <c r="Y126" s="660"/>
      <c r="Z126" s="1562"/>
      <c r="AA126" s="1568"/>
      <c r="AB126" s="1566" t="str">
        <f t="shared" ca="1" si="54"/>
        <v/>
      </c>
      <c r="AC126" s="1365" t="str">
        <f t="shared" ca="1" si="55"/>
        <v/>
      </c>
      <c r="AD126" s="1365" t="str">
        <f t="shared" ca="1" si="56"/>
        <v/>
      </c>
      <c r="AE126" s="1365" t="str">
        <f t="shared" ca="1" si="57"/>
        <v/>
      </c>
      <c r="AF126" s="1365" t="str">
        <f t="shared" ca="1" si="58"/>
        <v/>
      </c>
      <c r="AG126" s="1467" t="str">
        <f t="shared" ca="1" si="59"/>
        <v/>
      </c>
      <c r="AH126" s="1467" t="str">
        <f t="shared" ca="1" si="60"/>
        <v/>
      </c>
    </row>
    <row r="127" spans="2:34">
      <c r="B127" s="60"/>
      <c r="C127" s="1320" t="s">
        <v>6677</v>
      </c>
      <c r="D127" s="61"/>
      <c r="E127" s="62" t="s">
        <v>6678</v>
      </c>
      <c r="F127" s="1694" t="s">
        <v>6679</v>
      </c>
      <c r="G127" s="63" t="str">
        <f>IF(AND(CharacterLevel&gt;0,Constitution&gt;=13),"Yes","No")</f>
        <v>No</v>
      </c>
      <c r="H127" s="76"/>
      <c r="I127" s="63"/>
      <c r="J127" s="63" t="str">
        <f>IF(COUNTIF(T127:Z127,2)&gt;0,IF(G127="Yes","Class",""),IF(COUNTIF(T127:Z127,3)&gt;0,IF(COUNTIF(MulticlassFeats,Feats!C127&amp;IF(Feats!D127&lt;&gt;""," ("&amp;Feats!D127&amp;")","")),"Multi",""),""))</f>
        <v/>
      </c>
      <c r="K127" s="63" t="str">
        <f t="shared" ca="1" si="33"/>
        <v/>
      </c>
      <c r="L127" s="63" t="str">
        <f t="shared" ca="1" si="34"/>
        <v>No</v>
      </c>
      <c r="M127" s="63">
        <f t="shared" ca="1" si="61"/>
        <v>0</v>
      </c>
      <c r="N127" s="63" t="s">
        <v>6753</v>
      </c>
      <c r="O127" s="64"/>
      <c r="P127" s="660"/>
      <c r="Q127" s="661"/>
      <c r="R127" s="661"/>
      <c r="AB127" s="1566" t="str">
        <f t="shared" ca="1" si="54"/>
        <v/>
      </c>
      <c r="AC127" s="1365" t="str">
        <f t="shared" ca="1" si="55"/>
        <v/>
      </c>
      <c r="AD127" s="1365" t="str">
        <f t="shared" ca="1" si="56"/>
        <v/>
      </c>
      <c r="AE127" s="1365" t="str">
        <f t="shared" ca="1" si="57"/>
        <v/>
      </c>
      <c r="AF127" s="1365" t="str">
        <f t="shared" ca="1" si="58"/>
        <v/>
      </c>
      <c r="AG127" s="1467" t="str">
        <f t="shared" ca="1" si="59"/>
        <v/>
      </c>
      <c r="AH127" s="1467" t="str">
        <f t="shared" ca="1" si="60"/>
        <v/>
      </c>
    </row>
    <row r="128" spans="2:34">
      <c r="B128" s="60"/>
      <c r="C128" s="1320" t="s">
        <v>2389</v>
      </c>
      <c r="D128" s="61"/>
      <c r="E128" s="62" t="s">
        <v>2390</v>
      </c>
      <c r="F128" s="1694" t="s">
        <v>5582</v>
      </c>
      <c r="G128" s="63" t="str">
        <f>IF(AND(CharacterLevel&gt;=1,OR(TGatherInformation&lt;&gt;"",STGatherInformation&lt;&gt;"")),"Yes","No")</f>
        <v>No</v>
      </c>
      <c r="H128" s="76"/>
      <c r="I128" s="63"/>
      <c r="J128" s="63" t="str">
        <f>IF(COUNTIF(T128:Z128,2)&gt;0,IF(G128="Yes","Class",""),IF(COUNTIF(T128:Z128,3)&gt;0,IF(COUNTIF(MulticlassFeats,Feats!C128&amp;IF(Feats!D128&lt;&gt;""," ("&amp;Feats!D128&amp;")","")),"Multi",""),""))</f>
        <v/>
      </c>
      <c r="K128" s="63" t="str">
        <f t="shared" ca="1" si="33"/>
        <v/>
      </c>
      <c r="L128" s="63" t="str">
        <f t="shared" ca="1" si="34"/>
        <v>No</v>
      </c>
      <c r="M128" s="63">
        <f t="shared" ca="1" si="61"/>
        <v>0</v>
      </c>
      <c r="N128" s="63" t="s">
        <v>2307</v>
      </c>
      <c r="O128" s="64"/>
      <c r="P128" s="660"/>
      <c r="Q128" s="661"/>
      <c r="R128" s="661"/>
      <c r="U128" s="54">
        <f>IF(NobleFeats&gt;0,1,0)</f>
        <v>0</v>
      </c>
      <c r="V128" s="54">
        <f>IF(ScoundrelFeats&gt;0,1,0)</f>
        <v>0</v>
      </c>
      <c r="AB128" s="1566" t="str">
        <f t="shared" ca="1" si="54"/>
        <v/>
      </c>
      <c r="AC128" s="1365" t="str">
        <f t="shared" ca="1" si="55"/>
        <v/>
      </c>
      <c r="AD128" s="1365" t="str">
        <f t="shared" ca="1" si="56"/>
        <v/>
      </c>
      <c r="AE128" s="1365" t="str">
        <f t="shared" ca="1" si="57"/>
        <v/>
      </c>
      <c r="AF128" s="1365" t="str">
        <f t="shared" ca="1" si="58"/>
        <v/>
      </c>
      <c r="AG128" s="1467" t="str">
        <f t="shared" ca="1" si="59"/>
        <v/>
      </c>
      <c r="AH128" s="1467" t="str">
        <f t="shared" ca="1" si="60"/>
        <v/>
      </c>
    </row>
    <row r="129" spans="2:34">
      <c r="B129" s="60"/>
      <c r="C129" s="1462" t="s">
        <v>8213</v>
      </c>
      <c r="D129" s="1462"/>
      <c r="E129" s="1462" t="s">
        <v>8212</v>
      </c>
      <c r="F129" s="1695" t="s">
        <v>8211</v>
      </c>
      <c r="G129" s="63" t="str">
        <f ca="1">IF(AND(Strength&gt;=13,$M$46&gt;0,BAB&gt;=4),"Yes","No")</f>
        <v>No</v>
      </c>
      <c r="H129" s="76"/>
      <c r="I129" s="63"/>
      <c r="J129" s="63" t="str">
        <f>IF(COUNTIF(T129:Z129,2)&gt;0,IF(G129="Yes","Class",""),IF(COUNTIF(T129:Z129,3)&gt;0,IF(COUNTIF(MulticlassFeats,Feats!A35&amp;IF(Feats!B35&lt;&gt;""," ("&amp;Feats!B35&amp;")","")),"Multi",""),""))</f>
        <v/>
      </c>
      <c r="K129" s="63" t="str">
        <f t="shared" ca="1" si="33"/>
        <v/>
      </c>
      <c r="L129" s="63" t="str">
        <f t="shared" ca="1" si="34"/>
        <v>No</v>
      </c>
      <c r="M129" s="63">
        <f t="shared" ca="1" si="61"/>
        <v>0</v>
      </c>
      <c r="N129" s="1461" t="s">
        <v>8166</v>
      </c>
      <c r="O129" s="1462"/>
      <c r="P129" s="1559"/>
      <c r="R129" s="661"/>
      <c r="S129" s="1463"/>
      <c r="T129" s="660"/>
      <c r="U129" s="660"/>
      <c r="V129" s="660"/>
      <c r="W129" s="660"/>
      <c r="X129" s="54">
        <f>IF(SoldierFeats&gt;0,1,0)</f>
        <v>0</v>
      </c>
      <c r="Y129" s="660"/>
      <c r="Z129" s="1562"/>
      <c r="AA129" s="1568"/>
      <c r="AB129" s="1566" t="str">
        <f t="shared" ca="1" si="54"/>
        <v/>
      </c>
      <c r="AC129" s="1365" t="str">
        <f t="shared" ca="1" si="55"/>
        <v/>
      </c>
      <c r="AD129" s="1365" t="str">
        <f t="shared" ca="1" si="56"/>
        <v/>
      </c>
      <c r="AE129" s="1365" t="str">
        <f t="shared" ca="1" si="57"/>
        <v/>
      </c>
      <c r="AF129" s="1365" t="str">
        <f t="shared" ca="1" si="58"/>
        <v/>
      </c>
      <c r="AG129" s="1467" t="str">
        <f t="shared" ca="1" si="59"/>
        <v/>
      </c>
      <c r="AH129" s="1467" t="str">
        <f t="shared" ca="1" si="60"/>
        <v/>
      </c>
    </row>
    <row r="130" spans="2:34">
      <c r="B130" s="60"/>
      <c r="C130" s="1320" t="s">
        <v>2391</v>
      </c>
      <c r="D130" s="61"/>
      <c r="E130" s="62"/>
      <c r="F130" s="1694" t="s">
        <v>5583</v>
      </c>
      <c r="G130" s="63" t="str">
        <f>IF(CharacterLevel&gt;0,"Yes","No")</f>
        <v>No</v>
      </c>
      <c r="H130" s="76"/>
      <c r="I130" s="63"/>
      <c r="J130" s="63" t="str">
        <f>IF(COUNTIF(T130:Z130,2)&gt;0,IF(G130="Yes","Class",""),IF(COUNTIF(T130:Z130,3)&gt;0,IF(COUNTIF(MulticlassFeats,Feats!C130&amp;IF(Feats!D130&lt;&gt;""," ("&amp;Feats!D130&amp;")","")),"Multi",""),""))</f>
        <v/>
      </c>
      <c r="K130" s="63" t="str">
        <f t="shared" ca="1" si="33"/>
        <v/>
      </c>
      <c r="L130" s="63" t="str">
        <f t="shared" ca="1" si="34"/>
        <v>No</v>
      </c>
      <c r="M130" s="63">
        <f t="shared" ca="1" si="61"/>
        <v>0</v>
      </c>
      <c r="N130" s="63" t="s">
        <v>2378</v>
      </c>
      <c r="O130" s="64"/>
      <c r="P130" s="660"/>
      <c r="Q130" s="661"/>
      <c r="R130" s="661"/>
      <c r="X130" s="54">
        <f>IF(SoldierFeats&gt;0,1,0)</f>
        <v>0</v>
      </c>
      <c r="AB130" s="1566" t="str">
        <f t="shared" ca="1" si="54"/>
        <v/>
      </c>
      <c r="AC130" s="1365" t="str">
        <f t="shared" ca="1" si="55"/>
        <v/>
      </c>
      <c r="AD130" s="1365" t="str">
        <f t="shared" ca="1" si="56"/>
        <v/>
      </c>
      <c r="AE130" s="1365" t="str">
        <f t="shared" ca="1" si="57"/>
        <v/>
      </c>
      <c r="AF130" s="1365" t="str">
        <f t="shared" ca="1" si="58"/>
        <v/>
      </c>
      <c r="AG130" s="1467" t="str">
        <f t="shared" ca="1" si="59"/>
        <v/>
      </c>
      <c r="AH130" s="1467" t="str">
        <f t="shared" ca="1" si="60"/>
        <v/>
      </c>
    </row>
    <row r="131" spans="2:34">
      <c r="B131" s="60"/>
      <c r="C131" s="1320" t="s">
        <v>2392</v>
      </c>
      <c r="D131" s="61"/>
      <c r="E131" s="62"/>
      <c r="F131" s="1694" t="s">
        <v>5584</v>
      </c>
      <c r="G131" s="63" t="str">
        <f>IF(CharacterLevel&gt;0,"Yes","No")</f>
        <v>No</v>
      </c>
      <c r="H131" s="76"/>
      <c r="I131" s="63"/>
      <c r="J131" s="63" t="str">
        <f>IF(COUNTIF(T131:Z131,2)&gt;0,IF(G131="Yes","Class",""),IF(COUNTIF(T131:Z131,3)&gt;0,IF(COUNTIF(MulticlassFeats,Feats!C131&amp;IF(Feats!D131&lt;&gt;""," ("&amp;Feats!D131&amp;")","")),"Multi",""),""))</f>
        <v/>
      </c>
      <c r="K131" s="63" t="str">
        <f t="shared" ca="1" si="33"/>
        <v/>
      </c>
      <c r="L131" s="63" t="str">
        <f t="shared" ca="1" si="34"/>
        <v>No</v>
      </c>
      <c r="M131" s="63">
        <f t="shared" ca="1" si="61"/>
        <v>0</v>
      </c>
      <c r="N131" s="63" t="s">
        <v>2363</v>
      </c>
      <c r="O131" s="64"/>
      <c r="P131" s="660"/>
      <c r="Q131" s="661"/>
      <c r="R131" s="661"/>
      <c r="V131" s="54">
        <f>IF(ScoundrelFeats&gt;0,1,0)</f>
        <v>0</v>
      </c>
      <c r="W131" s="54">
        <f>IF(ScoutFeats&gt;0,1,0)</f>
        <v>0</v>
      </c>
      <c r="AB131" s="1566" t="str">
        <f t="shared" ca="1" si="54"/>
        <v/>
      </c>
      <c r="AC131" s="1365" t="str">
        <f t="shared" ca="1" si="55"/>
        <v/>
      </c>
      <c r="AD131" s="1365" t="str">
        <f t="shared" ca="1" si="56"/>
        <v/>
      </c>
      <c r="AE131" s="1365" t="str">
        <f t="shared" ca="1" si="57"/>
        <v/>
      </c>
      <c r="AF131" s="1365" t="str">
        <f t="shared" ca="1" si="58"/>
        <v/>
      </c>
      <c r="AG131" s="1467" t="str">
        <f t="shared" ca="1" si="59"/>
        <v/>
      </c>
      <c r="AH131" s="1467" t="str">
        <f t="shared" ca="1" si="60"/>
        <v/>
      </c>
    </row>
    <row r="132" spans="2:34">
      <c r="B132" s="60"/>
      <c r="C132" s="1462" t="s">
        <v>8210</v>
      </c>
      <c r="D132" s="1462"/>
      <c r="E132" s="1462" t="s">
        <v>8209</v>
      </c>
      <c r="F132" s="1695" t="s">
        <v>8208</v>
      </c>
      <c r="G132" s="63" t="str">
        <f>IF(Dexterity&gt;=13,"Yes","No")</f>
        <v>Yes</v>
      </c>
      <c r="H132" s="76"/>
      <c r="I132" s="63"/>
      <c r="J132" s="63" t="str">
        <f>IF(COUNTIF(T132:Z132,2)&gt;0,IF(G132="Yes","Class",""),IF(COUNTIF(T132:Z132,3)&gt;0,IF(COUNTIF(MulticlassFeats,Feats!A36&amp;IF(Feats!B36&lt;&gt;""," ("&amp;Feats!B36&amp;")","")),"Multi",""),""))</f>
        <v/>
      </c>
      <c r="K132" s="63" t="str">
        <f t="shared" ca="1" si="33"/>
        <v/>
      </c>
      <c r="L132" s="63" t="str">
        <f t="shared" ca="1" si="34"/>
        <v>No</v>
      </c>
      <c r="M132" s="63">
        <f t="shared" ca="1" si="61"/>
        <v>0</v>
      </c>
      <c r="N132" s="1461" t="s">
        <v>8166</v>
      </c>
      <c r="O132" s="1462"/>
      <c r="P132" s="1559"/>
      <c r="R132" s="661"/>
      <c r="S132" s="1463"/>
      <c r="T132" s="660"/>
      <c r="U132" s="660"/>
      <c r="V132" s="660"/>
      <c r="W132" s="660"/>
      <c r="X132" s="54">
        <f>IF(SoldierFeats&gt;0,1,0)</f>
        <v>0</v>
      </c>
      <c r="Y132" s="660"/>
      <c r="Z132" s="1562"/>
      <c r="AA132" s="1568"/>
      <c r="AB132" s="1566" t="str">
        <f t="shared" ca="1" si="54"/>
        <v/>
      </c>
      <c r="AC132" s="1365" t="str">
        <f ca="1">IF(AB155&lt;&gt;"",AB155&amp;";"&amp;AC133,AC133)</f>
        <v/>
      </c>
      <c r="AD132" s="1365" t="str">
        <f ca="1">IF(AB155&lt;&gt;"",N155&amp;";"&amp;AD133,AD133)</f>
        <v/>
      </c>
      <c r="AE132" s="1365" t="str">
        <f ca="1">IF(AB155&lt;&gt;"",IF(R155="Att Options",AB155&amp;IF(AE133&lt;&gt;"",", ",""),"")&amp;AE133,AE133)</f>
        <v/>
      </c>
      <c r="AF132" s="1365" t="str">
        <f ca="1">IF(AB155&lt;&gt;"",IF(R155="Special Actions",AB155&amp;IF(AF133&lt;&gt;"",", ",""),"")&amp;AF133,AF133)</f>
        <v/>
      </c>
      <c r="AG132" s="1467" t="str">
        <f ca="1">IF(AB155&lt;&gt;"",IF(R155="Defenses",AB155&amp;IF(AG133&lt;&gt;"",", ",""),"")&amp;AG133,AG133)</f>
        <v/>
      </c>
      <c r="AH132" s="1467" t="str">
        <f ca="1">IF(AB155&lt;&gt;"",IF(R155="Speed",AB155&amp;IF(AH133&lt;&gt;"",", ",""),"")&amp;AH133,AH133)</f>
        <v/>
      </c>
    </row>
    <row r="133" spans="2:34">
      <c r="B133" s="60"/>
      <c r="C133" s="1320" t="s">
        <v>2393</v>
      </c>
      <c r="D133" s="61"/>
      <c r="E133" s="62" t="s">
        <v>2394</v>
      </c>
      <c r="F133" s="1694" t="s">
        <v>5585</v>
      </c>
      <c r="G133" s="63" t="str">
        <f ca="1">IF(AND(CharacterLevel&gt;0,M21&gt;0),"Yes","No")</f>
        <v>No</v>
      </c>
      <c r="H133" s="76"/>
      <c r="I133" s="63"/>
      <c r="J133" s="63" t="str">
        <f>IF(COUNTIF(T133:Z133,2)&gt;0,IF(G133="Yes","Class",""),IF(COUNTIF(T133:Z133,3)&gt;0,IF(COUNTIF(MulticlassFeats,Feats!C133&amp;IF(Feats!D133&lt;&gt;""," ("&amp;Feats!D133&amp;")","")),"Multi",""),""))</f>
        <v/>
      </c>
      <c r="K133" s="63" t="str">
        <f t="shared" ca="1" si="33"/>
        <v/>
      </c>
      <c r="L133" s="63" t="str">
        <f t="shared" ca="1" si="34"/>
        <v>No</v>
      </c>
      <c r="M133" s="63">
        <f t="shared" ca="1" si="61"/>
        <v>0</v>
      </c>
      <c r="N133" s="63" t="s">
        <v>2395</v>
      </c>
      <c r="O133" s="64"/>
      <c r="P133" s="660"/>
      <c r="Q133" s="663"/>
      <c r="R133" s="661"/>
      <c r="X133" s="54">
        <f>IF(SoldierFeats&gt;0,1,0)</f>
        <v>0</v>
      </c>
      <c r="AB133" s="1566" t="str">
        <f t="shared" ca="1" si="54"/>
        <v/>
      </c>
      <c r="AC133" s="1365" t="str">
        <f ca="1">IF(AB158&lt;&gt;"",AB158&amp;";"&amp;AC134,AC134)</f>
        <v/>
      </c>
      <c r="AD133" s="1365" t="str">
        <f ca="1">IF(AB158&lt;&gt;"",N158&amp;";"&amp;AD134,AD134)</f>
        <v/>
      </c>
      <c r="AE133" s="1365" t="str">
        <f ca="1">IF(AB158&lt;&gt;"",IF(R158="Att Options",AB158&amp;IF(AE134&lt;&gt;"",", ",""),"")&amp;AE134,AE134)</f>
        <v/>
      </c>
      <c r="AF133" s="1365" t="str">
        <f ca="1">IF(AB158&lt;&gt;"",IF(R158="Special Actions",AB158&amp;IF(AF134&lt;&gt;"",", ",""),"")&amp;AF134,AF134)</f>
        <v/>
      </c>
      <c r="AG133" s="1467" t="str">
        <f ca="1">IF(AB158&lt;&gt;"",IF(R158="Defenses",AB158&amp;IF(AG134&lt;&gt;"",", ",""),"")&amp;AG134,AG134)</f>
        <v/>
      </c>
      <c r="AH133" s="1467" t="str">
        <f ca="1">IF(AB158&lt;&gt;"",IF(R158="Speed",AB158&amp;IF(AH134&lt;&gt;"",", ",""),"")&amp;AH134,AH134)</f>
        <v/>
      </c>
    </row>
    <row r="134" spans="2:34">
      <c r="B134" s="60"/>
      <c r="C134" s="1320" t="s">
        <v>2396</v>
      </c>
      <c r="D134" s="61"/>
      <c r="E134" s="62"/>
      <c r="F134" s="1694" t="s">
        <v>5586</v>
      </c>
      <c r="G134" s="63" t="str">
        <f>IF(CharacterLevel&gt;0,"Yes","No")</f>
        <v>No</v>
      </c>
      <c r="H134" s="76"/>
      <c r="I134" s="63"/>
      <c r="J134" s="63" t="str">
        <f>IF(COUNTIF(T134:Z134,2)&gt;0,IF(G134="Yes","Class",""),IF(COUNTIF(T134:Z134,3)&gt;0,IF(COUNTIF(MulticlassFeats,Feats!C134&amp;IF(Feats!D134&lt;&gt;""," ("&amp;Feats!D134&amp;")","")),"Multi",""),""))</f>
        <v/>
      </c>
      <c r="K134" s="63" t="str">
        <f t="shared" ca="1" si="33"/>
        <v/>
      </c>
      <c r="L134" s="63" t="str">
        <f t="shared" ca="1" si="34"/>
        <v>No</v>
      </c>
      <c r="M134" s="63">
        <f t="shared" ca="1" si="61"/>
        <v>0</v>
      </c>
      <c r="N134" s="63" t="s">
        <v>2378</v>
      </c>
      <c r="O134" s="64"/>
      <c r="P134" s="660"/>
      <c r="Q134" s="663"/>
      <c r="R134" s="661" t="s">
        <v>4059</v>
      </c>
      <c r="T134" s="54">
        <f>IF(JediFeats&gt;0,1,0)</f>
        <v>0</v>
      </c>
      <c r="W134" s="54">
        <f>IF(ScoutFeats&gt;0,1,0)</f>
        <v>0</v>
      </c>
      <c r="X134" s="54">
        <f>IF(SoldierFeats&gt;0,1,0)</f>
        <v>0</v>
      </c>
      <c r="AB134" s="1566" t="str">
        <f t="shared" ca="1" si="54"/>
        <v/>
      </c>
      <c r="AC134" s="1365" t="str">
        <f ca="1">IF(AB159&lt;&gt;"",AB159&amp;";"&amp;AC135,AC135)</f>
        <v/>
      </c>
      <c r="AD134" s="1365" t="str">
        <f ca="1">IF(AB159&lt;&gt;"",N159&amp;";"&amp;AD135,AD135)</f>
        <v/>
      </c>
      <c r="AE134" s="1365" t="str">
        <f ca="1">IF(AB159&lt;&gt;"",IF(R159="Att Options",AB159&amp;IF(AE135&lt;&gt;"",", ",""),"")&amp;AE135,AE135)</f>
        <v/>
      </c>
      <c r="AF134" s="1365" t="str">
        <f ca="1">IF(AB159&lt;&gt;"",IF(R159="Special Actions",AB159&amp;IF(AF135&lt;&gt;"",", ",""),"")&amp;AF135,AF135)</f>
        <v/>
      </c>
      <c r="AG134" s="1467" t="str">
        <f ca="1">IF(AB159&lt;&gt;"",IF(R159="Defenses",AB159&amp;IF(AG135&lt;&gt;"",", ",""),"")&amp;AG135,AG135)</f>
        <v/>
      </c>
      <c r="AH134" s="1467" t="str">
        <f ca="1">IF(AB159&lt;&gt;"",IF(R159="Speed",AB159&amp;IF(AH135&lt;&gt;"",", ",""),"")&amp;AH135,AH135)</f>
        <v/>
      </c>
    </row>
    <row r="135" spans="2:34">
      <c r="B135" s="60"/>
      <c r="C135" s="1462" t="s">
        <v>8267</v>
      </c>
      <c r="D135" s="1462"/>
      <c r="E135" s="1462" t="s">
        <v>8266</v>
      </c>
      <c r="F135" s="1695" t="s">
        <v>8265</v>
      </c>
      <c r="G135" s="63" t="str">
        <f ca="1">IF($M$233&gt;0,"Yes","No")</f>
        <v>No</v>
      </c>
      <c r="H135" s="76"/>
      <c r="I135" s="63"/>
      <c r="J135" s="63" t="str">
        <f>IF(COUNTIF(T135:Z135,2)&gt;0,IF(G135="Yes","Class",""),IF(COUNTIF(T135:Z135,3)&gt;0,IF(COUNTIF(MulticlassFeats,Feats!A15&amp;IF(Feats!B15&lt;&gt;""," ("&amp;Feats!B15&amp;")","")),"Multi",""),""))</f>
        <v/>
      </c>
      <c r="K135" s="63" t="str">
        <f t="shared" ca="1" si="33"/>
        <v/>
      </c>
      <c r="L135" s="63" t="str">
        <f t="shared" ca="1" si="34"/>
        <v>No</v>
      </c>
      <c r="M135" s="63">
        <f t="shared" ca="1" si="61"/>
        <v>0</v>
      </c>
      <c r="N135" s="1461" t="s">
        <v>8225</v>
      </c>
      <c r="O135" s="1462"/>
      <c r="P135" s="1559"/>
      <c r="R135" s="661"/>
      <c r="S135" s="1463"/>
      <c r="T135" s="660"/>
      <c r="U135" s="660"/>
      <c r="V135" s="660"/>
      <c r="W135" s="660"/>
      <c r="X135" s="660"/>
      <c r="Y135" s="660"/>
      <c r="Z135" s="1562"/>
      <c r="AA135" s="1568"/>
      <c r="AB135" s="1566" t="str">
        <f t="shared" ca="1" si="54"/>
        <v/>
      </c>
      <c r="AC135" s="1365" t="str">
        <f ca="1">IF(AB160&lt;&gt;"",AB160&amp;";"&amp;AC136,AC136)</f>
        <v/>
      </c>
      <c r="AD135" s="1365" t="str">
        <f ca="1">IF(AB160&lt;&gt;"",N160&amp;";"&amp;AD136,AD136)</f>
        <v/>
      </c>
      <c r="AE135" s="1365" t="str">
        <f ca="1">IF(AB160&lt;&gt;"",IF(R160="Att Options",AB160&amp;IF(AE136&lt;&gt;"",", ",""),"")&amp;AE136,AE136)</f>
        <v/>
      </c>
      <c r="AF135" s="1365" t="str">
        <f ca="1">IF(AB160&lt;&gt;"",IF(R160="Special Actions",AB160&amp;IF(AF136&lt;&gt;"",", ",""),"")&amp;AF136,AF136)</f>
        <v/>
      </c>
      <c r="AG135" s="1467" t="str">
        <f ca="1">IF(AB160&lt;&gt;"",IF(R160="Defenses",AB160&amp;IF(AG136&lt;&gt;"",", ",""),"")&amp;AG136,AG136)</f>
        <v/>
      </c>
      <c r="AH135" s="1467" t="str">
        <f ca="1">IF(AB160&lt;&gt;"",IF(R160="Speed",AB160&amp;IF(AH136&lt;&gt;"",", ",""),"")&amp;AH136,AH136)</f>
        <v/>
      </c>
    </row>
    <row r="136" spans="2:34">
      <c r="B136" s="1311"/>
      <c r="C136" s="1320" t="s">
        <v>2397</v>
      </c>
      <c r="D136" s="61"/>
      <c r="E136" s="62" t="s">
        <v>2398</v>
      </c>
      <c r="F136" s="1694" t="s">
        <v>5587</v>
      </c>
      <c r="G136" s="63" t="str">
        <f ca="1">IF(AND(CharacterLevel&gt;0,BAB&gt;=4,M46&gt;0),"Yes","No")</f>
        <v>No</v>
      </c>
      <c r="H136" s="76"/>
      <c r="I136" s="63"/>
      <c r="J136" s="63" t="str">
        <f>IF(COUNTIF(T136:Z136,2)&gt;0,IF(G136="Yes","Class",""),IF(COUNTIF(T136:Z136,3)&gt;0,IF(COUNTIF(MulticlassFeats,Feats!C136&amp;IF(Feats!D136&lt;&gt;""," ("&amp;Feats!D136&amp;")","")),"Multi",""),""))</f>
        <v/>
      </c>
      <c r="K136" s="63" t="str">
        <f t="shared" ca="1" si="33"/>
        <v/>
      </c>
      <c r="L136" s="63" t="str">
        <f t="shared" ca="1" si="34"/>
        <v>No</v>
      </c>
      <c r="M136" s="63">
        <f t="shared" ca="1" si="61"/>
        <v>0</v>
      </c>
      <c r="N136" s="63">
        <v>85</v>
      </c>
      <c r="O136" s="64"/>
      <c r="P136" s="660"/>
      <c r="Q136" s="661"/>
      <c r="R136" s="661" t="s">
        <v>4059</v>
      </c>
      <c r="T136" s="54">
        <f>IF(JediFeats&gt;0,1,0)</f>
        <v>0</v>
      </c>
      <c r="X136" s="54">
        <f>IF(SoldierFeats&gt;0,1,0)</f>
        <v>0</v>
      </c>
      <c r="AB136" s="1566" t="str">
        <f t="shared" ca="1" si="54"/>
        <v/>
      </c>
      <c r="AC136" s="1365" t="str">
        <f t="shared" ref="AC136:AC147" ca="1" si="62">IF(AB165&lt;&gt;"",AB165&amp;";"&amp;AC137,AC137)</f>
        <v/>
      </c>
      <c r="AD136" s="1365" t="str">
        <f t="shared" ref="AD136:AD147" ca="1" si="63">IF(AB165&lt;&gt;"",N165&amp;";"&amp;AD137,AD137)</f>
        <v/>
      </c>
      <c r="AE136" s="1365" t="str">
        <f t="shared" ref="AE136:AE147" ca="1" si="64">IF(AB165&lt;&gt;"",IF(R165="Att Options",AB165&amp;IF(AE137&lt;&gt;"",", ",""),"")&amp;AE137,AE137)</f>
        <v/>
      </c>
      <c r="AF136" s="1365" t="str">
        <f t="shared" ref="AF136:AF147" ca="1" si="65">IF(AB165&lt;&gt;"",IF(R165="Special Actions",AB165&amp;IF(AF137&lt;&gt;"",", ",""),"")&amp;AF137,AF137)</f>
        <v/>
      </c>
      <c r="AG136" s="1467" t="str">
        <f t="shared" ref="AG136:AG147" ca="1" si="66">IF(AB165&lt;&gt;"",IF(R165="Defenses",AB165&amp;IF(AG137&lt;&gt;"",", ",""),"")&amp;AG137,AG137)</f>
        <v/>
      </c>
      <c r="AH136" s="1467" t="str">
        <f t="shared" ref="AH136:AH147" ca="1" si="67">IF(AB165&lt;&gt;"",IF(R165="Speed",AB165&amp;IF(AH137&lt;&gt;"",", ",""),"")&amp;AH137,AH137)</f>
        <v/>
      </c>
    </row>
    <row r="137" spans="2:34">
      <c r="B137" s="60"/>
      <c r="C137" s="1320" t="s">
        <v>2399</v>
      </c>
      <c r="D137" s="61"/>
      <c r="E137" s="62" t="s">
        <v>2268</v>
      </c>
      <c r="F137" s="1694" t="s">
        <v>5588</v>
      </c>
      <c r="G137" s="63" t="str">
        <f>IF(AND(CharacterLevel&gt;0,BAB&gt;=1),"Yes","No")</f>
        <v>No</v>
      </c>
      <c r="H137" s="76"/>
      <c r="I137" s="63"/>
      <c r="J137" s="63" t="str">
        <f>IF(COUNTIF(T137:Z137,2)&gt;0,IF(G137="Yes","Class",""),IF(COUNTIF(T137:Z137,3)&gt;0,IF(COUNTIF(MulticlassFeats,Feats!C137&amp;IF(Feats!D137&lt;&gt;""," ("&amp;Feats!D137&amp;")","")),"Multi",""),""))</f>
        <v/>
      </c>
      <c r="K137" s="63" t="str">
        <f t="shared" ref="K137:K200" ca="1" si="68">IF(OR(NOT(ISERROR(FIND(C137,INDEX(RaceListTable,RaceIndex,39),1))),NOT(ISERROR(FIND(C137,INDEX(RaceListTable,RaceIndex,40),1)))),"Racial","")</f>
        <v/>
      </c>
      <c r="L137" s="63" t="str">
        <f t="shared" ref="L137:L200" ca="1" si="69">IF(AND(G137="Yes",OR(H137&lt;&gt;"",I137&lt;&gt;"",J137&lt;&gt;"",K137&lt;&gt;"")),"Yes","No")</f>
        <v>No</v>
      </c>
      <c r="M137" s="63">
        <f t="shared" ca="1" si="61"/>
        <v>0</v>
      </c>
      <c r="N137" s="63" t="s">
        <v>2395</v>
      </c>
      <c r="O137" s="64"/>
      <c r="P137" s="660"/>
      <c r="Q137" s="508"/>
      <c r="R137" s="661" t="s">
        <v>4059</v>
      </c>
      <c r="X137" s="54">
        <f>IF(SoldierFeats&gt;0,1,0)</f>
        <v>0</v>
      </c>
      <c r="AB137" s="1566" t="str">
        <f t="shared" ca="1" si="54"/>
        <v/>
      </c>
      <c r="AC137" s="1365" t="str">
        <f t="shared" ca="1" si="62"/>
        <v/>
      </c>
      <c r="AD137" s="1365" t="str">
        <f t="shared" ca="1" si="63"/>
        <v/>
      </c>
      <c r="AE137" s="1365" t="str">
        <f t="shared" ca="1" si="64"/>
        <v/>
      </c>
      <c r="AF137" s="1365" t="str">
        <f t="shared" ca="1" si="65"/>
        <v/>
      </c>
      <c r="AG137" s="1467" t="str">
        <f t="shared" ca="1" si="66"/>
        <v/>
      </c>
      <c r="AH137" s="1467" t="str">
        <f t="shared" ca="1" si="67"/>
        <v/>
      </c>
    </row>
    <row r="138" spans="2:34">
      <c r="B138" s="60"/>
      <c r="C138" s="1462" t="s">
        <v>8207</v>
      </c>
      <c r="D138" s="1462"/>
      <c r="E138" s="1462" t="s">
        <v>8206</v>
      </c>
      <c r="F138" s="1695" t="s">
        <v>8205</v>
      </c>
      <c r="G138" s="63" t="str">
        <f ca="1">IF(AND($M$320&gt;0,OR($M$344&gt;0,$M$345&gt;0),BAB&gt;=8),"Yes","No")</f>
        <v>No</v>
      </c>
      <c r="H138" s="76"/>
      <c r="I138" s="63"/>
      <c r="J138" s="63" t="str">
        <f>IF(COUNTIF(T138:Z138,2)&gt;0,IF(G138="Yes","Class",""),IF(COUNTIF(T138:Z138,3)&gt;0,IF(COUNTIF(MulticlassFeats,Feats!A37&amp;IF(Feats!B37&lt;&gt;""," ("&amp;Feats!B37&amp;")","")),"Multi",""),""))</f>
        <v/>
      </c>
      <c r="K138" s="63" t="str">
        <f t="shared" ca="1" si="68"/>
        <v/>
      </c>
      <c r="L138" s="63" t="str">
        <f t="shared" ca="1" si="69"/>
        <v>No</v>
      </c>
      <c r="M138" s="63">
        <f t="shared" ca="1" si="61"/>
        <v>0</v>
      </c>
      <c r="N138" s="1461" t="s">
        <v>8166</v>
      </c>
      <c r="O138" s="1462"/>
      <c r="P138" s="1559"/>
      <c r="R138" s="661"/>
      <c r="S138" s="1463"/>
      <c r="T138" s="660"/>
      <c r="U138" s="660"/>
      <c r="V138" s="660"/>
      <c r="W138" s="660"/>
      <c r="X138" s="54">
        <f>IF(SoldierFeats&gt;0,1,0)</f>
        <v>0</v>
      </c>
      <c r="Y138" s="660"/>
      <c r="Z138" s="1562"/>
      <c r="AA138" s="1568"/>
      <c r="AB138" s="1566" t="str">
        <f t="shared" ca="1" si="54"/>
        <v/>
      </c>
      <c r="AC138" s="1365" t="str">
        <f t="shared" ca="1" si="62"/>
        <v/>
      </c>
      <c r="AD138" s="1365" t="str">
        <f t="shared" ca="1" si="63"/>
        <v/>
      </c>
      <c r="AE138" s="1365" t="str">
        <f t="shared" ca="1" si="64"/>
        <v/>
      </c>
      <c r="AF138" s="1365" t="str">
        <f t="shared" ca="1" si="65"/>
        <v/>
      </c>
      <c r="AG138" s="1467" t="str">
        <f t="shared" ca="1" si="66"/>
        <v/>
      </c>
      <c r="AH138" s="1467" t="str">
        <f t="shared" ca="1" si="67"/>
        <v/>
      </c>
    </row>
    <row r="139" spans="2:34">
      <c r="B139" s="60"/>
      <c r="C139" s="1320" t="s">
        <v>2400</v>
      </c>
      <c r="D139" s="61"/>
      <c r="E139" s="62" t="s">
        <v>2401</v>
      </c>
      <c r="F139" s="1694" t="s">
        <v>5589</v>
      </c>
      <c r="G139" s="63" t="str">
        <f ca="1">IF(AND(CharacterLevel&gt;0,M314&gt;0),"Yes","No")</f>
        <v>No</v>
      </c>
      <c r="H139" s="76"/>
      <c r="I139" s="63"/>
      <c r="J139" s="63" t="str">
        <f>IF(COUNTIF(T139:Z139,2)&gt;0,IF(G139="Yes","Class",""),IF(COUNTIF(T139:Z139,3)&gt;0,IF(COUNTIF(MulticlassFeats,Feats!C139&amp;IF(Feats!D139&lt;&gt;""," ("&amp;Feats!D139&amp;")","")),"Multi",""),""))</f>
        <v/>
      </c>
      <c r="K139" s="63" t="str">
        <f t="shared" ca="1" si="68"/>
        <v/>
      </c>
      <c r="L139" s="63" t="str">
        <f t="shared" ca="1" si="69"/>
        <v>No</v>
      </c>
      <c r="M139" s="63">
        <f t="shared" ca="1" si="61"/>
        <v>0</v>
      </c>
      <c r="N139" s="63" t="s">
        <v>2402</v>
      </c>
      <c r="O139" s="64"/>
      <c r="P139" s="660"/>
      <c r="Q139" s="661"/>
      <c r="R139" s="661"/>
      <c r="U139" s="54">
        <f>IF(NobleFeats&gt;0,1,0)</f>
        <v>0</v>
      </c>
      <c r="V139" s="54">
        <f>IF(ScoundrelFeats&gt;0,1,0)</f>
        <v>0</v>
      </c>
      <c r="AB139" s="1566" t="str">
        <f t="shared" ca="1" si="54"/>
        <v/>
      </c>
      <c r="AC139" s="1365" t="str">
        <f t="shared" ca="1" si="62"/>
        <v/>
      </c>
      <c r="AD139" s="1365" t="str">
        <f t="shared" ca="1" si="63"/>
        <v/>
      </c>
      <c r="AE139" s="1365" t="str">
        <f t="shared" ca="1" si="64"/>
        <v/>
      </c>
      <c r="AF139" s="1365" t="str">
        <f t="shared" ca="1" si="65"/>
        <v/>
      </c>
      <c r="AG139" s="1467" t="str">
        <f t="shared" ca="1" si="66"/>
        <v/>
      </c>
      <c r="AH139" s="1467" t="str">
        <f t="shared" ca="1" si="67"/>
        <v/>
      </c>
    </row>
    <row r="140" spans="2:34">
      <c r="B140" s="60"/>
      <c r="C140" s="1462" t="s">
        <v>8204</v>
      </c>
      <c r="D140" s="1462"/>
      <c r="E140" s="1462" t="s">
        <v>8203</v>
      </c>
      <c r="F140" s="1695" t="s">
        <v>8202</v>
      </c>
      <c r="G140" s="63" t="str">
        <f ca="1">IF(AND(CharacterLevel&gt;0,$M$347&gt;0,NOT(ISERROR(FIND(FeatsTakenList,"Weapon Focus (heavy)",1)))),"Yes","No")</f>
        <v>No</v>
      </c>
      <c r="H140" s="76"/>
      <c r="I140" s="63"/>
      <c r="J140" s="63" t="str">
        <f>IF(COUNTIF(T140:Z140,2)&gt;0,IF(G140="Yes","Class",""),IF(COUNTIF(T140:Z140,3)&gt;0,IF(COUNTIF(MulticlassFeats,Feats!A38&amp;IF(Feats!B38&lt;&gt;""," ("&amp;Feats!B38&amp;")","")),"Multi",""),""))</f>
        <v/>
      </c>
      <c r="K140" s="63" t="str">
        <f t="shared" ca="1" si="68"/>
        <v/>
      </c>
      <c r="L140" s="63" t="str">
        <f t="shared" ca="1" si="69"/>
        <v>No</v>
      </c>
      <c r="M140" s="63">
        <f t="shared" ca="1" si="61"/>
        <v>0</v>
      </c>
      <c r="N140" s="1461" t="s">
        <v>8166</v>
      </c>
      <c r="O140" s="1462"/>
      <c r="P140" s="1559"/>
      <c r="R140" s="661"/>
      <c r="S140" s="1463"/>
      <c r="T140" s="660"/>
      <c r="U140" s="660"/>
      <c r="V140" s="660"/>
      <c r="W140" s="660"/>
      <c r="X140" s="54">
        <f>IF(SoldierFeats&gt;0,1,0)</f>
        <v>0</v>
      </c>
      <c r="Y140" s="660"/>
      <c r="Z140" s="1562"/>
      <c r="AA140" s="1568"/>
      <c r="AB140" s="1566" t="str">
        <f t="shared" ca="1" si="54"/>
        <v/>
      </c>
      <c r="AC140" s="1365" t="str">
        <f t="shared" ca="1" si="62"/>
        <v/>
      </c>
      <c r="AD140" s="1365" t="str">
        <f t="shared" ca="1" si="63"/>
        <v/>
      </c>
      <c r="AE140" s="1365" t="str">
        <f t="shared" ca="1" si="64"/>
        <v/>
      </c>
      <c r="AF140" s="1365" t="str">
        <f t="shared" ca="1" si="65"/>
        <v/>
      </c>
      <c r="AG140" s="1467" t="str">
        <f t="shared" ca="1" si="66"/>
        <v/>
      </c>
      <c r="AH140" s="1467" t="str">
        <f t="shared" ca="1" si="67"/>
        <v/>
      </c>
    </row>
    <row r="141" spans="2:34">
      <c r="B141" s="60"/>
      <c r="C141" s="1320" t="s">
        <v>2403</v>
      </c>
      <c r="D141" s="61"/>
      <c r="E141" s="62" t="s">
        <v>2404</v>
      </c>
      <c r="F141" s="1694" t="s">
        <v>5590</v>
      </c>
      <c r="G141" s="63" t="str">
        <f>IF(AND(CharacterLevel&gt;0,COUNTIF(SpeciesTraits,"Shapeshift")&gt;0),"Yes","No")</f>
        <v>No</v>
      </c>
      <c r="H141" s="76"/>
      <c r="I141" s="63"/>
      <c r="J141" s="63" t="str">
        <f>IF(COUNTIF(T141:Z141,2)&gt;0,IF(G141="Yes","Class",""),IF(COUNTIF(T141:Z141,3)&gt;0,IF(COUNTIF(MulticlassFeats,Feats!C141&amp;IF(Feats!D141&lt;&gt;""," ("&amp;Feats!D141&amp;")","")),"Multi",""),""))</f>
        <v/>
      </c>
      <c r="K141" s="63" t="str">
        <f t="shared" ca="1" si="68"/>
        <v/>
      </c>
      <c r="L141" s="63" t="str">
        <f t="shared" ca="1" si="69"/>
        <v>No</v>
      </c>
      <c r="M141" s="63">
        <f t="shared" ca="1" si="61"/>
        <v>0</v>
      </c>
      <c r="N141" s="63" t="s">
        <v>2402</v>
      </c>
      <c r="O141" s="64"/>
      <c r="P141" s="660"/>
      <c r="Q141" s="661"/>
      <c r="R141" s="661"/>
      <c r="AB141" s="1566" t="str">
        <f t="shared" ca="1" si="54"/>
        <v/>
      </c>
      <c r="AC141" s="1365" t="str">
        <f t="shared" ca="1" si="62"/>
        <v/>
      </c>
      <c r="AD141" s="1365" t="str">
        <f t="shared" ca="1" si="63"/>
        <v/>
      </c>
      <c r="AE141" s="1365" t="str">
        <f t="shared" ca="1" si="64"/>
        <v/>
      </c>
      <c r="AF141" s="1365" t="str">
        <f t="shared" ca="1" si="65"/>
        <v/>
      </c>
      <c r="AG141" s="1467" t="str">
        <f t="shared" ca="1" si="66"/>
        <v/>
      </c>
      <c r="AH141" s="1467" t="str">
        <f t="shared" ca="1" si="67"/>
        <v/>
      </c>
    </row>
    <row r="142" spans="2:34">
      <c r="B142" s="60"/>
      <c r="C142" s="1462" t="s">
        <v>8264</v>
      </c>
      <c r="D142" s="1462"/>
      <c r="E142" s="1462" t="s">
        <v>8263</v>
      </c>
      <c r="F142" s="1695" t="s">
        <v>8262</v>
      </c>
      <c r="G142" s="63" t="str">
        <f ca="1">IF(OR(Talents!$M$379&gt;0,Feats!$M$249&gt;0,Feats!$M$250&gt;0),"Yes","No")</f>
        <v>No</v>
      </c>
      <c r="H142" s="76"/>
      <c r="I142" s="63"/>
      <c r="J142" s="63" t="str">
        <f>IF(COUNTIF(T142:Z142,2)&gt;0,IF(G142="Yes","Class",""),IF(COUNTIF(T142:Z142,3)&gt;0,IF(COUNTIF(MulticlassFeats,Feats!A16&amp;IF(Feats!B16&lt;&gt;""," ("&amp;Feats!B16&amp;")","")),"Multi",""),""))</f>
        <v/>
      </c>
      <c r="K142" s="63" t="str">
        <f t="shared" ca="1" si="68"/>
        <v/>
      </c>
      <c r="L142" s="63" t="str">
        <f t="shared" ca="1" si="69"/>
        <v>No</v>
      </c>
      <c r="M142" s="63">
        <f t="shared" ca="1" si="61"/>
        <v>0</v>
      </c>
      <c r="N142" s="1461" t="s">
        <v>8225</v>
      </c>
      <c r="O142" s="64"/>
      <c r="P142" s="660"/>
      <c r="R142" s="661"/>
      <c r="S142" s="1463"/>
      <c r="T142" s="660"/>
      <c r="U142" s="660"/>
      <c r="V142" s="660"/>
      <c r="W142" s="660"/>
      <c r="X142" s="660"/>
      <c r="Y142" s="660"/>
      <c r="Z142" s="1562"/>
      <c r="AA142" s="1568"/>
      <c r="AB142" s="1566" t="str">
        <f t="shared" ca="1" si="54"/>
        <v/>
      </c>
      <c r="AC142" s="1365" t="str">
        <f t="shared" ca="1" si="62"/>
        <v/>
      </c>
      <c r="AD142" s="1365" t="str">
        <f t="shared" ca="1" si="63"/>
        <v/>
      </c>
      <c r="AE142" s="1365" t="str">
        <f t="shared" ca="1" si="64"/>
        <v/>
      </c>
      <c r="AF142" s="1365" t="str">
        <f t="shared" ca="1" si="65"/>
        <v/>
      </c>
      <c r="AG142" s="1467" t="str">
        <f t="shared" ca="1" si="66"/>
        <v/>
      </c>
      <c r="AH142" s="1467" t="str">
        <f t="shared" ca="1" si="67"/>
        <v/>
      </c>
    </row>
    <row r="143" spans="2:34">
      <c r="B143" s="60"/>
      <c r="C143" s="1462" t="s">
        <v>8201</v>
      </c>
      <c r="D143" s="1462"/>
      <c r="E143" s="1462" t="s">
        <v>8296</v>
      </c>
      <c r="F143" s="1695" t="s">
        <v>8200</v>
      </c>
      <c r="G143" s="63" t="str">
        <f>IF(OR(TMechanics="Yes",STMechanics="Yes"),"Yes","No")</f>
        <v>No</v>
      </c>
      <c r="H143" s="76"/>
      <c r="I143" s="63"/>
      <c r="J143" s="63" t="str">
        <f>IF(COUNTIF(T143:Z143,2)&gt;0,IF(G143="Yes","Class",""),IF(COUNTIF(T143:Z143,3)&gt;0,IF(COUNTIF(MulticlassFeats,Feats!A39&amp;IF(Feats!B39&lt;&gt;""," ("&amp;Feats!B39&amp;")","")),"Multi",""),""))</f>
        <v/>
      </c>
      <c r="K143" s="63" t="str">
        <f t="shared" ca="1" si="68"/>
        <v/>
      </c>
      <c r="L143" s="63" t="str">
        <f t="shared" ca="1" si="69"/>
        <v>No</v>
      </c>
      <c r="M143" s="63">
        <f t="shared" ca="1" si="61"/>
        <v>0</v>
      </c>
      <c r="N143" s="1461" t="s">
        <v>8166</v>
      </c>
      <c r="O143" s="64"/>
      <c r="P143" s="660"/>
      <c r="R143" s="661"/>
      <c r="S143" s="1463"/>
      <c r="T143" s="660"/>
      <c r="U143" s="660"/>
      <c r="V143" s="54">
        <f>IF(ScoundrelFeats&gt;0,1,0)</f>
        <v>0</v>
      </c>
      <c r="W143" s="54">
        <f>IF(ScoutFeats&gt;0,1,0)</f>
        <v>0</v>
      </c>
      <c r="X143" s="660"/>
      <c r="Y143" s="660"/>
      <c r="Z143" s="1562"/>
      <c r="AA143" s="1568"/>
      <c r="AB143" s="1566" t="str">
        <f t="shared" ca="1" si="54"/>
        <v/>
      </c>
      <c r="AC143" s="1365" t="str">
        <f t="shared" ca="1" si="62"/>
        <v/>
      </c>
      <c r="AD143" s="1365" t="str">
        <f t="shared" ca="1" si="63"/>
        <v/>
      </c>
      <c r="AE143" s="1365" t="str">
        <f t="shared" ca="1" si="64"/>
        <v/>
      </c>
      <c r="AF143" s="1365" t="str">
        <f t="shared" ca="1" si="65"/>
        <v/>
      </c>
      <c r="AG143" s="1467" t="str">
        <f t="shared" ca="1" si="66"/>
        <v/>
      </c>
      <c r="AH143" s="1467" t="str">
        <f t="shared" ca="1" si="67"/>
        <v/>
      </c>
    </row>
    <row r="144" spans="2:34">
      <c r="B144" s="1311"/>
      <c r="C144" s="1462" t="s">
        <v>8199</v>
      </c>
      <c r="D144" s="1462"/>
      <c r="E144" s="1462" t="s">
        <v>8198</v>
      </c>
      <c r="F144" s="1695" t="s">
        <v>8197</v>
      </c>
      <c r="G144" s="63" t="str">
        <f>IF(OR(TUseComputer="Yes",STUseComputer="Yes"),"Yes","No")</f>
        <v>No</v>
      </c>
      <c r="H144" s="76"/>
      <c r="I144" s="63"/>
      <c r="J144" s="63" t="str">
        <f>IF(COUNTIF(T144:Z144,2)&gt;0,IF(G144="Yes","Class",""),IF(COUNTIF(T144:Z144,3)&gt;0,IF(COUNTIF(MulticlassFeats,Feats!A40&amp;IF(Feats!B40&lt;&gt;""," ("&amp;Feats!B40&amp;")","")),"Multi",""),""))</f>
        <v/>
      </c>
      <c r="K144" s="63" t="str">
        <f t="shared" ca="1" si="68"/>
        <v/>
      </c>
      <c r="L144" s="63" t="str">
        <f t="shared" ca="1" si="69"/>
        <v>No</v>
      </c>
      <c r="M144" s="63">
        <f t="shared" ca="1" si="61"/>
        <v>0</v>
      </c>
      <c r="N144" s="1461" t="s">
        <v>8166</v>
      </c>
      <c r="O144" s="64"/>
      <c r="P144" s="660"/>
      <c r="R144" s="661"/>
      <c r="S144" s="1463"/>
      <c r="T144" s="660"/>
      <c r="U144" s="660"/>
      <c r="V144" s="660"/>
      <c r="W144" s="54">
        <f>IF(ScoutFeats&gt;0,1,0)</f>
        <v>0</v>
      </c>
      <c r="X144" s="660"/>
      <c r="Y144" s="660"/>
      <c r="Z144" s="1562"/>
      <c r="AA144" s="1568"/>
      <c r="AB144" s="1566" t="str">
        <f t="shared" ca="1" si="54"/>
        <v/>
      </c>
      <c r="AC144" s="1365" t="str">
        <f t="shared" ca="1" si="62"/>
        <v/>
      </c>
      <c r="AD144" s="1365" t="str">
        <f t="shared" ca="1" si="63"/>
        <v/>
      </c>
      <c r="AE144" s="1365" t="str">
        <f t="shared" ca="1" si="64"/>
        <v/>
      </c>
      <c r="AF144" s="1365" t="str">
        <f t="shared" ca="1" si="65"/>
        <v/>
      </c>
      <c r="AG144" s="1467" t="str">
        <f t="shared" ca="1" si="66"/>
        <v/>
      </c>
      <c r="AH144" s="1467" t="str">
        <f t="shared" ca="1" si="67"/>
        <v/>
      </c>
    </row>
    <row r="145" spans="2:34">
      <c r="B145" s="60"/>
      <c r="C145" s="1321" t="s">
        <v>6246</v>
      </c>
      <c r="D145" s="616"/>
      <c r="E145" s="1394"/>
      <c r="F145" s="1696" t="s">
        <v>6247</v>
      </c>
      <c r="G145" s="63" t="str">
        <f>IF(CharacterLevel&gt;0,"Yes","No")</f>
        <v>No</v>
      </c>
      <c r="H145" s="76"/>
      <c r="I145" s="63"/>
      <c r="J145" s="63" t="str">
        <f>IF(COUNTIF(T145:Z145,2)&gt;0,IF(G145="Yes","Class",""),IF(COUNTIF(T145:Z145,3)&gt;0,IF(COUNTIF(MulticlassFeats,Feats!C145&amp;IF(Feats!D145&lt;&gt;""," ("&amp;Feats!D145&amp;")","")),"Multi",""),""))</f>
        <v/>
      </c>
      <c r="K145" s="63" t="str">
        <f t="shared" ca="1" si="68"/>
        <v/>
      </c>
      <c r="L145" s="63" t="str">
        <f t="shared" ca="1" si="69"/>
        <v>No</v>
      </c>
      <c r="M145" s="63">
        <f t="shared" ca="1" si="61"/>
        <v>0</v>
      </c>
      <c r="N145" s="63" t="s">
        <v>6463</v>
      </c>
      <c r="O145" s="64"/>
      <c r="P145" s="660"/>
      <c r="Q145" s="661"/>
      <c r="R145" s="661"/>
      <c r="X145" s="54">
        <f>IF(SoldierFeats&gt;0,1,0)</f>
        <v>0</v>
      </c>
      <c r="AB145" s="1566" t="str">
        <f t="shared" ca="1" si="54"/>
        <v/>
      </c>
      <c r="AC145" s="1365" t="str">
        <f t="shared" ca="1" si="62"/>
        <v/>
      </c>
      <c r="AD145" s="1365" t="str">
        <f t="shared" ca="1" si="63"/>
        <v/>
      </c>
      <c r="AE145" s="1365" t="str">
        <f t="shared" ca="1" si="64"/>
        <v/>
      </c>
      <c r="AF145" s="1365" t="str">
        <f t="shared" ca="1" si="65"/>
        <v/>
      </c>
      <c r="AG145" s="1467" t="str">
        <f t="shared" ca="1" si="66"/>
        <v/>
      </c>
      <c r="AH145" s="1467" t="str">
        <f t="shared" ca="1" si="67"/>
        <v/>
      </c>
    </row>
    <row r="146" spans="2:34">
      <c r="B146" s="60"/>
      <c r="C146" s="1320" t="s">
        <v>2405</v>
      </c>
      <c r="D146" s="61"/>
      <c r="E146" s="62" t="s">
        <v>2404</v>
      </c>
      <c r="F146" s="1694" t="s">
        <v>5591</v>
      </c>
      <c r="G146" s="63" t="str">
        <f>IF(AND(CharacterLevel&gt;0,COUNTIF(SpeciesTraits,"Shapeshift")&gt;0),"Yes","No")</f>
        <v>No</v>
      </c>
      <c r="H146" s="76"/>
      <c r="I146" s="63"/>
      <c r="J146" s="63" t="str">
        <f>IF(COUNTIF(T146:Z146,2)&gt;0,IF(G146="Yes","Class",""),IF(COUNTIF(T146:Z146,3)&gt;0,IF(COUNTIF(MulticlassFeats,Feats!C146&amp;IF(Feats!D146&lt;&gt;""," ("&amp;Feats!D146&amp;")","")),"Multi",""),""))</f>
        <v/>
      </c>
      <c r="K146" s="63" t="str">
        <f t="shared" ca="1" si="68"/>
        <v/>
      </c>
      <c r="L146" s="63" t="str">
        <f t="shared" ca="1" si="69"/>
        <v>No</v>
      </c>
      <c r="M146" s="63">
        <f t="shared" ca="1" si="61"/>
        <v>0</v>
      </c>
      <c r="N146" s="63" t="s">
        <v>2406</v>
      </c>
      <c r="O146" s="64"/>
      <c r="P146" s="660"/>
      <c r="Q146" s="661"/>
      <c r="R146" s="661"/>
      <c r="AB146" s="1566" t="str">
        <f t="shared" ca="1" si="54"/>
        <v/>
      </c>
      <c r="AC146" s="1365" t="str">
        <f t="shared" ca="1" si="62"/>
        <v/>
      </c>
      <c r="AD146" s="1365" t="str">
        <f t="shared" ca="1" si="63"/>
        <v/>
      </c>
      <c r="AE146" s="1365" t="str">
        <f t="shared" ca="1" si="64"/>
        <v/>
      </c>
      <c r="AF146" s="1365" t="str">
        <f t="shared" ca="1" si="65"/>
        <v/>
      </c>
      <c r="AG146" s="1467" t="str">
        <f t="shared" ca="1" si="66"/>
        <v/>
      </c>
      <c r="AH146" s="1467" t="str">
        <f t="shared" ca="1" si="67"/>
        <v/>
      </c>
    </row>
    <row r="147" spans="2:34">
      <c r="B147" s="60"/>
      <c r="C147" s="1320" t="s">
        <v>2407</v>
      </c>
      <c r="D147" s="61"/>
      <c r="E147" s="62" t="s">
        <v>2408</v>
      </c>
      <c r="F147" s="1694" t="s">
        <v>5592</v>
      </c>
      <c r="G147" s="63" t="str">
        <f>IF(AND(CharacterLevel&gt;0,Constitution&gt;=13),"Yes","No")</f>
        <v>No</v>
      </c>
      <c r="H147" s="76"/>
      <c r="I147" s="63"/>
      <c r="J147" s="63" t="str">
        <f>IF(COUNTIF(T147:Z147,2)&gt;0,IF(G147="Yes","Class",""),IF(COUNTIF(T147:Z147,3)&gt;0,IF(COUNTIF(MulticlassFeats,Feats!C147&amp;IF(Feats!D147&lt;&gt;""," ("&amp;Feats!D147&amp;")","")),"Multi",""),""))</f>
        <v/>
      </c>
      <c r="K147" s="63" t="str">
        <f t="shared" ca="1" si="68"/>
        <v/>
      </c>
      <c r="L147" s="63" t="str">
        <f t="shared" ca="1" si="69"/>
        <v>No</v>
      </c>
      <c r="M147" s="63">
        <f t="shared" ca="1" si="61"/>
        <v>0</v>
      </c>
      <c r="N147" s="63" t="s">
        <v>2406</v>
      </c>
      <c r="O147" s="64"/>
      <c r="P147" s="660"/>
      <c r="Q147" s="661"/>
      <c r="R147" s="661" t="s">
        <v>4060</v>
      </c>
      <c r="T147" s="54">
        <f>IF(JediFeats&gt;0,1,0)</f>
        <v>0</v>
      </c>
      <c r="X147" s="54">
        <f>IF(SoldierFeats&gt;0,1,0)</f>
        <v>0</v>
      </c>
      <c r="AB147" s="1566" t="str">
        <f t="shared" ca="1" si="54"/>
        <v/>
      </c>
      <c r="AC147" s="1365" t="str">
        <f t="shared" ca="1" si="62"/>
        <v/>
      </c>
      <c r="AD147" s="1365" t="str">
        <f t="shared" ca="1" si="63"/>
        <v/>
      </c>
      <c r="AE147" s="1365" t="str">
        <f t="shared" ca="1" si="64"/>
        <v/>
      </c>
      <c r="AF147" s="1365" t="str">
        <f t="shared" ca="1" si="65"/>
        <v/>
      </c>
      <c r="AG147" s="1467" t="str">
        <f t="shared" ca="1" si="66"/>
        <v/>
      </c>
      <c r="AH147" s="1467" t="str">
        <f t="shared" ca="1" si="67"/>
        <v/>
      </c>
    </row>
    <row r="148" spans="2:34">
      <c r="B148" s="60"/>
      <c r="C148" s="1320" t="s">
        <v>2409</v>
      </c>
      <c r="D148" s="61"/>
      <c r="E148" s="62" t="s">
        <v>2410</v>
      </c>
      <c r="F148" s="1694" t="s">
        <v>5593</v>
      </c>
      <c r="G148" s="63" t="str">
        <f>IF(AND(CharacterLevel&gt;=1,Bioimplant&lt;&gt;1),"Yes","No")</f>
        <v>No</v>
      </c>
      <c r="H148" s="76"/>
      <c r="I148" s="63"/>
      <c r="J148" s="63" t="str">
        <f>IF(COUNTIF(T148:Z148,2)&gt;0,IF(G148="Yes","Class",""),IF(COUNTIF(T148:Z148,3)&gt;0,IF(COUNTIF(MulticlassFeats,Feats!C148&amp;IF(Feats!D148&lt;&gt;""," ("&amp;Feats!D148&amp;")","")),"Multi",""),""))</f>
        <v/>
      </c>
      <c r="K148" s="63" t="str">
        <f t="shared" ca="1" si="68"/>
        <v/>
      </c>
      <c r="L148" s="63" t="str">
        <f t="shared" ca="1" si="69"/>
        <v>No</v>
      </c>
      <c r="M148" s="63">
        <f t="shared" ca="1" si="61"/>
        <v>0</v>
      </c>
      <c r="N148" s="63" t="s">
        <v>2363</v>
      </c>
      <c r="O148" s="64"/>
      <c r="P148" s="660"/>
      <c r="Q148" s="661"/>
      <c r="R148" s="661"/>
      <c r="V148" s="54">
        <f>IF(ScoundrelFeats&gt;0,1,0)</f>
        <v>0</v>
      </c>
      <c r="AB148" s="1566" t="str">
        <f t="shared" ca="1" si="54"/>
        <v/>
      </c>
      <c r="AC148" s="1365" t="str">
        <f ca="1">IF(AB178&lt;&gt;"",AB178&amp;";"&amp;AC149,AC149)</f>
        <v/>
      </c>
      <c r="AD148" s="1365" t="str">
        <f ca="1">IF(AB178&lt;&gt;"",N178&amp;";"&amp;AD149,AD149)</f>
        <v/>
      </c>
      <c r="AE148" s="1365" t="str">
        <f ca="1">IF(AB178&lt;&gt;"",IF(R178="Att Options",AB178&amp;IF(AE149&lt;&gt;"",", ",""),"")&amp;AE149,AE149)</f>
        <v/>
      </c>
      <c r="AF148" s="1365" t="str">
        <f ca="1">IF(AB178&lt;&gt;"",IF(R178="Special Actions",AB178&amp;IF(AF149&lt;&gt;"",", ",""),"")&amp;AF149,AF149)</f>
        <v/>
      </c>
      <c r="AG148" s="1467" t="str">
        <f ca="1">IF(AB178&lt;&gt;"",IF(R178="Defenses",AB178&amp;IF(AG149&lt;&gt;"",", ",""),"")&amp;AG149,AG149)</f>
        <v/>
      </c>
      <c r="AH148" s="1467" t="str">
        <f ca="1">IF(AB178&lt;&gt;"",IF(R178="Speed",AB178&amp;IF(AH149&lt;&gt;"",", ",""),"")&amp;AH149,AH149)</f>
        <v/>
      </c>
    </row>
    <row r="149" spans="2:34">
      <c r="B149" s="60"/>
      <c r="C149" s="1320" t="s">
        <v>2411</v>
      </c>
      <c r="D149" s="61"/>
      <c r="E149" s="62" t="s">
        <v>2412</v>
      </c>
      <c r="F149" s="1694" t="s">
        <v>5594</v>
      </c>
      <c r="G149" s="63" t="str">
        <f ca="1">IF(AND(CharacterLevel&gt;0,M33&gt;0,BAB&gt;=1,Strength&gt;=15),"Yes","No")</f>
        <v>No</v>
      </c>
      <c r="H149" s="76"/>
      <c r="I149" s="63"/>
      <c r="J149" s="63" t="str">
        <f>IF(COUNTIF(T149:Z149,2)&gt;0,IF(G149="Yes","Class",""),IF(COUNTIF(T149:Z149,3)&gt;0,IF(COUNTIF(MulticlassFeats,Feats!C149&amp;IF(Feats!D149&lt;&gt;""," ("&amp;Feats!D149&amp;")","")),"Multi",""),""))</f>
        <v/>
      </c>
      <c r="K149" s="63" t="str">
        <f t="shared" ca="1" si="68"/>
        <v/>
      </c>
      <c r="L149" s="63" t="str">
        <f t="shared" ca="1" si="69"/>
        <v>No</v>
      </c>
      <c r="M149" s="63">
        <f t="shared" ca="1" si="61"/>
        <v>0</v>
      </c>
      <c r="N149" s="63" t="s">
        <v>2322</v>
      </c>
      <c r="O149" s="64"/>
      <c r="P149" s="660"/>
      <c r="Q149" s="661"/>
      <c r="R149" s="661" t="s">
        <v>4059</v>
      </c>
      <c r="X149" s="54">
        <f>IF(SoldierFeats&gt;0,1,0)</f>
        <v>0</v>
      </c>
      <c r="AB149" s="1566" t="str">
        <f t="shared" ca="1" si="54"/>
        <v/>
      </c>
      <c r="AC149" s="1365" t="str">
        <f ca="1">IF(AB179&lt;&gt;"",AB179&amp;";"&amp;AC150,AC150)</f>
        <v/>
      </c>
      <c r="AD149" s="1365" t="str">
        <f ca="1">IF(AB179&lt;&gt;"",N179&amp;";"&amp;AD150,AD150)</f>
        <v/>
      </c>
      <c r="AE149" s="1365" t="str">
        <f ca="1">IF(AB179&lt;&gt;"",IF(R179="Att Options",AB179&amp;IF(AE150&lt;&gt;"",", ",""),"")&amp;AE150,AE150)</f>
        <v/>
      </c>
      <c r="AF149" s="1365" t="str">
        <f ca="1">IF(AB179&lt;&gt;"",IF(R179="Special Actions",AB179&amp;IF(AF150&lt;&gt;"",", ",""),"")&amp;AF150,AF150)</f>
        <v/>
      </c>
      <c r="AG149" s="1467" t="str">
        <f ca="1">IF(AB179&lt;&gt;"",IF(R179="Defenses",AB179&amp;IF(AG150&lt;&gt;"",", ",""),"")&amp;AG150,AG150)</f>
        <v/>
      </c>
      <c r="AH149" s="1467" t="str">
        <f ca="1">IF(AB179&lt;&gt;"",IF(R179="Speed",AB179&amp;IF(AH150&lt;&gt;"",", ",""),"")&amp;AH150,AH150)</f>
        <v/>
      </c>
    </row>
    <row r="150" spans="2:34">
      <c r="B150" s="60"/>
      <c r="C150" s="1320" t="s">
        <v>2413</v>
      </c>
      <c r="D150" s="61"/>
      <c r="E150" s="62" t="s">
        <v>2414</v>
      </c>
      <c r="F150" s="1694" t="s">
        <v>5595</v>
      </c>
      <c r="G150" s="63" t="str">
        <f ca="1">IF(AND(CharacterLevel&gt;0,M213&gt;0),"Yes","No")</f>
        <v>No</v>
      </c>
      <c r="H150" s="76"/>
      <c r="I150" s="63"/>
      <c r="J150" s="63" t="str">
        <f>IF(COUNTIF(T150:Z150,2)&gt;0,IF(G150="Yes","Class",""),IF(COUNTIF(T150:Z150,3)&gt;0,IF(COUNTIF(MulticlassFeats,Feats!C150&amp;IF(Feats!D150&lt;&gt;""," ("&amp;Feats!D150&amp;")","")),"Multi",""),""))</f>
        <v/>
      </c>
      <c r="K150" s="63" t="str">
        <f t="shared" ca="1" si="68"/>
        <v/>
      </c>
      <c r="L150" s="63" t="str">
        <f t="shared" ca="1" si="69"/>
        <v>No</v>
      </c>
      <c r="M150" s="63">
        <f t="shared" ca="1" si="61"/>
        <v>0</v>
      </c>
      <c r="N150" s="63">
        <v>85</v>
      </c>
      <c r="O150" s="64"/>
      <c r="P150" s="660"/>
      <c r="Q150" s="661"/>
      <c r="R150" s="661" t="s">
        <v>4059</v>
      </c>
      <c r="T150" s="54">
        <f>IF(JediFeats&gt;0,1,0)</f>
        <v>0</v>
      </c>
      <c r="X150" s="54">
        <f>IF(SoldierFeats&gt;0,1,0)</f>
        <v>0</v>
      </c>
      <c r="AB150" s="1566" t="str">
        <f t="shared" ca="1" si="54"/>
        <v/>
      </c>
      <c r="AC150" s="1365" t="str">
        <f ca="1">IF(AB180&lt;&gt;"",AB180&amp;";"&amp;AC151,AC151)</f>
        <v/>
      </c>
      <c r="AD150" s="1365" t="str">
        <f ca="1">IF(AB180&lt;&gt;"",N180&amp;";"&amp;AD151,AD151)</f>
        <v/>
      </c>
      <c r="AE150" s="1365" t="str">
        <f ca="1">IF(AB180&lt;&gt;"",IF(R180="Att Options",AB180&amp;IF(AE151&lt;&gt;"",", ",""),"")&amp;AE151,AE151)</f>
        <v/>
      </c>
      <c r="AF150" s="1365" t="str">
        <f ca="1">IF(AB180&lt;&gt;"",IF(R180="Special Actions",AB180&amp;IF(AF151&lt;&gt;"",", ",""),"")&amp;AF151,AF151)</f>
        <v/>
      </c>
      <c r="AG150" s="1467" t="str">
        <f ca="1">IF(AB180&lt;&gt;"",IF(R180="Defenses",AB180&amp;IF(AG151&lt;&gt;"",", ",""),"")&amp;AG151,AG151)</f>
        <v/>
      </c>
      <c r="AH150" s="1467" t="str">
        <f ca="1">IF(AB180&lt;&gt;"",IF(R180="Speed",AB180&amp;IF(AH152&lt;&gt;"",", ",""),"")&amp;AH152,AH152)</f>
        <v/>
      </c>
    </row>
    <row r="151" spans="2:34">
      <c r="B151" s="1311"/>
      <c r="C151" s="1320" t="s">
        <v>1413</v>
      </c>
      <c r="D151" s="61"/>
      <c r="E151" s="62"/>
      <c r="F151" s="1694" t="s">
        <v>5596</v>
      </c>
      <c r="G151" s="63" t="str">
        <f>IF(CharacterLevel&gt;0,"Yes","No")</f>
        <v>No</v>
      </c>
      <c r="H151" s="76"/>
      <c r="I151" s="63"/>
      <c r="J151" s="63" t="str">
        <f>IF(COUNTIF(T151:Z151,2)&gt;0,IF(G151="Yes","Class",""),IF(COUNTIF(T151:Z151,3)&gt;0,IF(COUNTIF(MulticlassFeats,Feats!C151&amp;IF(Feats!D151&lt;&gt;""," ("&amp;Feats!D151&amp;")","")),"Multi",""),""))</f>
        <v/>
      </c>
      <c r="K151" s="63" t="str">
        <f t="shared" ca="1" si="68"/>
        <v/>
      </c>
      <c r="L151" s="63" t="str">
        <f t="shared" ca="1" si="69"/>
        <v>No</v>
      </c>
      <c r="M151" s="63">
        <f t="shared" ca="1" si="61"/>
        <v>0</v>
      </c>
      <c r="N151" s="63">
        <v>85</v>
      </c>
      <c r="O151" s="64"/>
      <c r="P151" s="660"/>
      <c r="Q151" s="661"/>
      <c r="R151" s="661"/>
      <c r="AB151" s="1566" t="str">
        <f t="shared" ca="1" si="54"/>
        <v/>
      </c>
      <c r="AC151" s="1365" t="str">
        <f t="shared" ref="AC151:AC182" ca="1" si="70">IF(AB183&lt;&gt;"",AB183&amp;";"&amp;AC152,AC152)</f>
        <v/>
      </c>
      <c r="AD151" s="1365" t="str">
        <f t="shared" ref="AD151:AD182" ca="1" si="71">IF(AB183&lt;&gt;"",N183&amp;";"&amp;AD152,AD152)</f>
        <v/>
      </c>
      <c r="AE151" s="1365" t="str">
        <f t="shared" ref="AE151:AE182" ca="1" si="72">IF(AB183&lt;&gt;"",IF(R183="Att Options",AB183&amp;IF(AE152&lt;&gt;"",", ",""),"")&amp;AE152,AE152)</f>
        <v/>
      </c>
      <c r="AF151" s="1365" t="str">
        <f t="shared" ref="AF151:AF182" ca="1" si="73">IF(AB183&lt;&gt;"",IF(R183="Special Actions",AB183&amp;IF(AF152&lt;&gt;"",", ",""),"")&amp;AF152,AF152)</f>
        <v/>
      </c>
      <c r="AG151" s="1467" t="str">
        <f t="shared" ref="AG151:AG182" ca="1" si="74">IF(AB183&lt;&gt;"",IF(R183="Defenses",AB183&amp;IF(AG152&lt;&gt;"",", ",""),"")&amp;AG152,AG152)</f>
        <v/>
      </c>
    </row>
    <row r="152" spans="2:34">
      <c r="B152" s="60"/>
      <c r="C152" s="1320" t="s">
        <v>2415</v>
      </c>
      <c r="D152" s="61"/>
      <c r="E152" s="62"/>
      <c r="F152" s="1694" t="s">
        <v>5597</v>
      </c>
      <c r="G152" s="63" t="str">
        <f>IF(CharacterLevel&gt;0,"Yes","No")</f>
        <v>No</v>
      </c>
      <c r="H152" s="76"/>
      <c r="I152" s="63"/>
      <c r="J152" s="63" t="str">
        <f>IF(COUNTIF(T152:Z152,2)&gt;0,IF(G152="Yes","Class",""),IF(COUNTIF(T152:Z152,3)&gt;0,IF(COUNTIF(MulticlassFeats,Feats!C152&amp;IF(Feats!D152&lt;&gt;""," ("&amp;Feats!D152&amp;")","")),"Multi",""),""))</f>
        <v/>
      </c>
      <c r="K152" s="63" t="str">
        <f t="shared" ca="1" si="68"/>
        <v/>
      </c>
      <c r="L152" s="63" t="str">
        <f t="shared" ca="1" si="69"/>
        <v>No</v>
      </c>
      <c r="M152" s="63">
        <f t="shared" ca="1" si="61"/>
        <v>0</v>
      </c>
      <c r="N152" s="63">
        <v>85</v>
      </c>
      <c r="O152" s="64"/>
      <c r="P152" s="660"/>
      <c r="Q152" s="661"/>
      <c r="R152" s="661"/>
      <c r="AB152" s="1566" t="str">
        <f t="shared" ca="1" si="54"/>
        <v/>
      </c>
      <c r="AC152" s="1365" t="str">
        <f t="shared" ca="1" si="70"/>
        <v/>
      </c>
      <c r="AD152" s="1365" t="str">
        <f t="shared" ca="1" si="71"/>
        <v/>
      </c>
      <c r="AE152" s="1365" t="str">
        <f t="shared" ca="1" si="72"/>
        <v/>
      </c>
      <c r="AF152" s="1365" t="str">
        <f t="shared" ca="1" si="73"/>
        <v/>
      </c>
      <c r="AG152" s="1467" t="str">
        <f t="shared" ca="1" si="74"/>
        <v/>
      </c>
      <c r="AH152" s="1467" t="str">
        <f t="shared" ref="AH152:AH182" ca="1" si="75">IF(AB184&lt;&gt;"",IF(R184="Speed",AB184&amp;IF(AH153&lt;&gt;"",", ",""),"")&amp;AH153,AH153)</f>
        <v/>
      </c>
    </row>
    <row r="153" spans="2:34">
      <c r="B153" s="60"/>
      <c r="C153" s="1320" t="s">
        <v>2416</v>
      </c>
      <c r="D153" s="61"/>
      <c r="E153" s="62" t="s">
        <v>2417</v>
      </c>
      <c r="F153" s="1694" t="s">
        <v>5598</v>
      </c>
      <c r="G153" s="63" t="str">
        <f ca="1">IF(AND(CharacterLevel&gt;0,M184&gt;0),"Yes","No")</f>
        <v>No</v>
      </c>
      <c r="H153" s="76"/>
      <c r="I153" s="63"/>
      <c r="J153" s="63" t="str">
        <f>IF(COUNTIF(T153:Z153,2)&gt;0,IF(G153="Yes","Class",""),IF(COUNTIF(T153:Z153,3)&gt;0,IF(COUNTIF(MulticlassFeats,Feats!C153&amp;IF(Feats!D153&lt;&gt;""," ("&amp;Feats!D153&amp;")","")),"Multi",""),""))</f>
        <v/>
      </c>
      <c r="K153" s="63" t="str">
        <f t="shared" ca="1" si="68"/>
        <v/>
      </c>
      <c r="L153" s="63" t="str">
        <f t="shared" ca="1" si="69"/>
        <v>No</v>
      </c>
      <c r="M153" s="63">
        <f t="shared" ca="1" si="61"/>
        <v>0</v>
      </c>
      <c r="N153" s="63">
        <v>85</v>
      </c>
      <c r="O153" s="64"/>
      <c r="P153" s="660"/>
      <c r="Q153" s="661"/>
      <c r="R153" s="661" t="s">
        <v>4059</v>
      </c>
      <c r="T153" s="54">
        <f>IF(JediFeats&gt;0,1,0)</f>
        <v>0</v>
      </c>
      <c r="X153" s="54">
        <f>IF(SoldierFeats&gt;0,1,0)</f>
        <v>0</v>
      </c>
      <c r="AB153" s="1566" t="str">
        <f t="shared" ca="1" si="54"/>
        <v/>
      </c>
      <c r="AC153" s="1365" t="str">
        <f t="shared" ca="1" si="70"/>
        <v/>
      </c>
      <c r="AD153" s="1365" t="str">
        <f t="shared" ca="1" si="71"/>
        <v/>
      </c>
      <c r="AE153" s="1365" t="str">
        <f t="shared" ca="1" si="72"/>
        <v/>
      </c>
      <c r="AF153" s="1365" t="str">
        <f t="shared" ca="1" si="73"/>
        <v/>
      </c>
      <c r="AG153" s="1467" t="str">
        <f t="shared" ca="1" si="74"/>
        <v/>
      </c>
      <c r="AH153" s="1467" t="str">
        <f t="shared" ca="1" si="75"/>
        <v/>
      </c>
    </row>
    <row r="154" spans="2:34">
      <c r="B154" s="60"/>
      <c r="C154" s="1462" t="s">
        <v>8261</v>
      </c>
      <c r="D154" s="1462"/>
      <c r="E154" s="1462" t="s">
        <v>8260</v>
      </c>
      <c r="F154" s="1695" t="s">
        <v>8259</v>
      </c>
      <c r="G154" s="63" t="str">
        <f ca="1">IF(AND($M$226&gt;0,$M$49&gt;0),"Yes","No")</f>
        <v>No</v>
      </c>
      <c r="H154" s="76"/>
      <c r="I154" s="63"/>
      <c r="J154" s="63" t="str">
        <f>IF(COUNTIF(T154:Z154,2)&gt;0,IF(G154="Yes","Class",""),IF(COUNTIF(T154:Z154,3)&gt;0,IF(COUNTIF(MulticlassFeats,Feats!A17&amp;IF(Feats!B17&lt;&gt;""," ("&amp;Feats!B17&amp;")","")),"Multi",""),""))</f>
        <v/>
      </c>
      <c r="K154" s="63" t="str">
        <f t="shared" ca="1" si="68"/>
        <v/>
      </c>
      <c r="L154" s="63" t="str">
        <f t="shared" ca="1" si="69"/>
        <v>No</v>
      </c>
      <c r="M154" s="63">
        <f t="shared" ca="1" si="61"/>
        <v>0</v>
      </c>
      <c r="N154" s="1461" t="s">
        <v>8225</v>
      </c>
      <c r="O154" s="1462"/>
      <c r="P154" s="1559"/>
      <c r="R154" s="661"/>
      <c r="S154" s="1463"/>
      <c r="T154" s="660"/>
      <c r="U154" s="660"/>
      <c r="V154" s="660"/>
      <c r="W154" s="660"/>
      <c r="X154" s="660"/>
      <c r="Y154" s="660"/>
      <c r="Z154" s="1562"/>
      <c r="AA154" s="1568"/>
      <c r="AB154" s="1566" t="str">
        <f t="shared" ca="1" si="54"/>
        <v/>
      </c>
      <c r="AC154" s="1365" t="str">
        <f t="shared" ca="1" si="70"/>
        <v/>
      </c>
      <c r="AD154" s="1365" t="str">
        <f t="shared" ca="1" si="71"/>
        <v/>
      </c>
      <c r="AE154" s="1365" t="str">
        <f t="shared" ca="1" si="72"/>
        <v/>
      </c>
      <c r="AF154" s="1365" t="str">
        <f t="shared" ca="1" si="73"/>
        <v/>
      </c>
      <c r="AG154" s="1467" t="str">
        <f t="shared" ca="1" si="74"/>
        <v/>
      </c>
      <c r="AH154" s="1467" t="str">
        <f t="shared" ca="1" si="75"/>
        <v/>
      </c>
    </row>
    <row r="155" spans="2:34">
      <c r="B155" s="60"/>
      <c r="C155" s="1320" t="s">
        <v>2418</v>
      </c>
      <c r="D155" s="61"/>
      <c r="E155" s="62" t="s">
        <v>2419</v>
      </c>
      <c r="F155" s="1694" t="s">
        <v>5599</v>
      </c>
      <c r="G155" s="63" t="str">
        <f ca="1">IF(AND(CharacterLevel&gt;0,M250&gt;0),"Yes","No")</f>
        <v>No</v>
      </c>
      <c r="H155" s="76"/>
      <c r="I155" s="63"/>
      <c r="J155" s="63" t="str">
        <f>IF(COUNTIF(T155:Z155,2)&gt;0,IF(G155="Yes","Class",""),IF(COUNTIF(T155:Z155,3)&gt;0,IF(COUNTIF(MulticlassFeats,Feats!C155&amp;IF(Feats!D155&lt;&gt;""," ("&amp;Feats!D155&amp;")","")),"Multi",""),""))</f>
        <v/>
      </c>
      <c r="K155" s="63" t="str">
        <f t="shared" ca="1" si="68"/>
        <v/>
      </c>
      <c r="L155" s="63" t="str">
        <f t="shared" ca="1" si="69"/>
        <v>No</v>
      </c>
      <c r="M155" s="63">
        <f t="shared" ca="1" si="61"/>
        <v>0</v>
      </c>
      <c r="N155" s="63" t="s">
        <v>2363</v>
      </c>
      <c r="O155" s="64"/>
      <c r="P155" s="660"/>
      <c r="Q155" s="661"/>
      <c r="R155" s="661" t="s">
        <v>4059</v>
      </c>
      <c r="T155" s="54">
        <f>IF(JediFeats&gt;0,1,0)</f>
        <v>0</v>
      </c>
      <c r="X155" s="54">
        <f>IF(SoldierFeats&gt;0,1,0)</f>
        <v>0</v>
      </c>
      <c r="AB155" s="1566" t="str">
        <f t="shared" ca="1" si="54"/>
        <v/>
      </c>
      <c r="AC155" s="1365" t="str">
        <f t="shared" ca="1" si="70"/>
        <v/>
      </c>
      <c r="AD155" s="1365" t="str">
        <f t="shared" ca="1" si="71"/>
        <v/>
      </c>
      <c r="AE155" s="1365" t="str">
        <f t="shared" ca="1" si="72"/>
        <v/>
      </c>
      <c r="AF155" s="1365" t="str">
        <f t="shared" ca="1" si="73"/>
        <v/>
      </c>
      <c r="AG155" s="1467" t="str">
        <f t="shared" ca="1" si="74"/>
        <v/>
      </c>
      <c r="AH155" s="1467" t="str">
        <f t="shared" ca="1" si="75"/>
        <v/>
      </c>
    </row>
    <row r="156" spans="2:34">
      <c r="B156" s="1311"/>
      <c r="C156" s="1462" t="s">
        <v>8196</v>
      </c>
      <c r="D156" s="1462"/>
      <c r="E156" s="1462" t="s">
        <v>8295</v>
      </c>
      <c r="F156" s="1695" t="s">
        <v>8195</v>
      </c>
      <c r="G156" s="63" t="str">
        <f ca="1">IF(AND(CharacterLevel&gt;0,Dexterity&gt;=15,OR(TStealth="Yes",STStealth="Yes"),OR(TDeception="Yes",STDeception="Yes"),OR(FDeception="Yes",Skills!J13="Yes")),"Yes","No")</f>
        <v>No</v>
      </c>
      <c r="H156" s="76"/>
      <c r="I156" s="63"/>
      <c r="J156" s="63" t="str">
        <f>IF(COUNTIF(T156:Z156,2)&gt;0,IF(G156="Yes","Class",""),IF(COUNTIF(T156:Z156,3)&gt;0,IF(COUNTIF(MulticlassFeats,Feats!A41&amp;IF(Feats!B41&lt;&gt;""," ("&amp;Feats!B41&amp;")","")),"Multi",""),""))</f>
        <v/>
      </c>
      <c r="K156" s="63" t="str">
        <f t="shared" ca="1" si="68"/>
        <v/>
      </c>
      <c r="L156" s="63" t="str">
        <f t="shared" ca="1" si="69"/>
        <v>No</v>
      </c>
      <c r="M156" s="63">
        <f t="shared" ca="1" si="61"/>
        <v>0</v>
      </c>
      <c r="N156" s="1461" t="s">
        <v>8166</v>
      </c>
      <c r="O156" s="1462"/>
      <c r="P156" s="1559"/>
      <c r="R156" s="661"/>
      <c r="S156" s="1463"/>
      <c r="T156" s="660"/>
      <c r="U156" s="660"/>
      <c r="V156" s="54">
        <f>IF(ScoundrelFeats&gt;0,1,0)</f>
        <v>0</v>
      </c>
      <c r="W156" s="660"/>
      <c r="X156" s="660"/>
      <c r="Y156" s="660"/>
      <c r="Z156" s="1562"/>
      <c r="AA156" s="1568"/>
      <c r="AB156" s="1566" t="str">
        <f t="shared" ca="1" si="54"/>
        <v/>
      </c>
      <c r="AC156" s="1365" t="str">
        <f t="shared" ca="1" si="70"/>
        <v/>
      </c>
      <c r="AD156" s="1365" t="str">
        <f t="shared" ca="1" si="71"/>
        <v/>
      </c>
      <c r="AE156" s="1365" t="str">
        <f t="shared" ca="1" si="72"/>
        <v/>
      </c>
      <c r="AF156" s="1365" t="str">
        <f t="shared" ca="1" si="73"/>
        <v/>
      </c>
      <c r="AG156" s="1467" t="str">
        <f t="shared" ca="1" si="74"/>
        <v/>
      </c>
      <c r="AH156" s="1467" t="str">
        <f t="shared" ca="1" si="75"/>
        <v/>
      </c>
    </row>
    <row r="157" spans="2:34">
      <c r="B157" s="1311"/>
      <c r="C157" s="1462" t="s">
        <v>8194</v>
      </c>
      <c r="D157" s="1462"/>
      <c r="E157" s="1462" t="s">
        <v>8193</v>
      </c>
      <c r="F157" s="1695" t="s">
        <v>8192</v>
      </c>
      <c r="G157" s="63" t="str">
        <f>IF(AND(CharacterLevel&gt;0),"Yes","No")</f>
        <v>No</v>
      </c>
      <c r="H157" s="76"/>
      <c r="I157" s="63"/>
      <c r="J157" s="63" t="str">
        <f>IF(COUNTIF(T157:Z157,2)&gt;0,IF(G157="Yes","Class",""),IF(COUNTIF(T157:Z157,3)&gt;0,IF(COUNTIF(MulticlassFeats,Feats!A42&amp;IF(Feats!B42&lt;&gt;""," ("&amp;Feats!B42&amp;")","")),"Multi",""),""))</f>
        <v/>
      </c>
      <c r="K157" s="63" t="str">
        <f t="shared" ca="1" si="68"/>
        <v/>
      </c>
      <c r="L157" s="63" t="str">
        <f t="shared" ca="1" si="69"/>
        <v>No</v>
      </c>
      <c r="M157" s="63">
        <f t="shared" ca="1" si="61"/>
        <v>0</v>
      </c>
      <c r="N157" s="1461" t="s">
        <v>8166</v>
      </c>
      <c r="O157" s="1462"/>
      <c r="P157" s="1559"/>
      <c r="R157" s="661"/>
      <c r="S157" s="1463"/>
      <c r="T157" s="660"/>
      <c r="U157" s="660"/>
      <c r="V157" s="660"/>
      <c r="W157" s="54">
        <f>IF(ScoutFeats&gt;0,1,0)</f>
        <v>0</v>
      </c>
      <c r="X157" s="54">
        <f>IF(SoldierFeats&gt;0,1,0)</f>
        <v>0</v>
      </c>
      <c r="Y157" s="660"/>
      <c r="Z157" s="1562"/>
      <c r="AA157" s="1568"/>
      <c r="AB157" s="1566" t="str">
        <f t="shared" ca="1" si="54"/>
        <v/>
      </c>
      <c r="AC157" s="1365" t="str">
        <f t="shared" ca="1" si="70"/>
        <v/>
      </c>
      <c r="AD157" s="1365" t="str">
        <f t="shared" ca="1" si="71"/>
        <v/>
      </c>
      <c r="AE157" s="1365" t="str">
        <f t="shared" ca="1" si="72"/>
        <v/>
      </c>
      <c r="AF157" s="1365" t="str">
        <f t="shared" ca="1" si="73"/>
        <v/>
      </c>
      <c r="AG157" s="1467" t="str">
        <f t="shared" ca="1" si="74"/>
        <v/>
      </c>
      <c r="AH157" s="1467" t="str">
        <f t="shared" ca="1" si="75"/>
        <v/>
      </c>
    </row>
    <row r="158" spans="2:34">
      <c r="B158" s="1311"/>
      <c r="C158" s="1320" t="s">
        <v>2420</v>
      </c>
      <c r="D158" s="61"/>
      <c r="E158" s="62"/>
      <c r="F158" s="1694" t="s">
        <v>5600</v>
      </c>
      <c r="G158" s="63" t="str">
        <f>IF(CharacterLevel&gt;0,"Yes","No")</f>
        <v>No</v>
      </c>
      <c r="H158" s="76"/>
      <c r="I158" s="63"/>
      <c r="J158" s="63" t="str">
        <f>IF(COUNTIF(T158:Z158,2)&gt;0,IF(G158="Yes","Class",""),IF(COUNTIF(T158:Z158,3)&gt;0,IF(COUNTIF(MulticlassFeats,Feats!C158&amp;IF(Feats!D158&lt;&gt;""," ("&amp;Feats!D158&amp;")","")),"Multi",""),""))</f>
        <v/>
      </c>
      <c r="K158" s="63" t="str">
        <f t="shared" ca="1" si="68"/>
        <v/>
      </c>
      <c r="L158" s="63" t="str">
        <f t="shared" ca="1" si="69"/>
        <v>No</v>
      </c>
      <c r="M158" s="63">
        <f t="shared" ca="1" si="61"/>
        <v>0</v>
      </c>
      <c r="N158" s="63" t="s">
        <v>2406</v>
      </c>
      <c r="O158" s="64"/>
      <c r="P158" s="660"/>
      <c r="Q158" s="661"/>
      <c r="R158" s="661" t="s">
        <v>4060</v>
      </c>
      <c r="T158" s="54">
        <f>IF(JediFeats&gt;0,1,0)</f>
        <v>0</v>
      </c>
      <c r="U158" s="54">
        <f>IF(NobleFeats&gt;0,1,0)</f>
        <v>0</v>
      </c>
      <c r="V158" s="54">
        <f>IF(ScoundrelFeats&gt;0,1,0)</f>
        <v>0</v>
      </c>
      <c r="AB158" s="1566" t="str">
        <f t="shared" ca="1" si="54"/>
        <v/>
      </c>
      <c r="AC158" s="1365" t="str">
        <f t="shared" ca="1" si="70"/>
        <v/>
      </c>
      <c r="AD158" s="1365" t="str">
        <f t="shared" ca="1" si="71"/>
        <v/>
      </c>
      <c r="AE158" s="1365" t="str">
        <f t="shared" ca="1" si="72"/>
        <v/>
      </c>
      <c r="AF158" s="1365" t="str">
        <f t="shared" ca="1" si="73"/>
        <v/>
      </c>
      <c r="AG158" s="1467" t="str">
        <f t="shared" ca="1" si="74"/>
        <v/>
      </c>
      <c r="AH158" s="1467" t="str">
        <f t="shared" ca="1" si="75"/>
        <v/>
      </c>
    </row>
    <row r="159" spans="2:34">
      <c r="B159" s="1311"/>
      <c r="C159" s="1320" t="s">
        <v>2421</v>
      </c>
      <c r="D159" s="61"/>
      <c r="E159" s="62" t="s">
        <v>2319</v>
      </c>
      <c r="F159" s="1694" t="s">
        <v>5601</v>
      </c>
      <c r="G159" s="63" t="str">
        <f ca="1">IF(AND(CharacterLevel&gt;0,M51&gt;0),"Yes","No")</f>
        <v>No</v>
      </c>
      <c r="H159" s="76"/>
      <c r="I159" s="63"/>
      <c r="J159" s="63" t="str">
        <f>IF(COUNTIF(T159:Z159,2)&gt;0,IF(G159="Yes","Class",""),IF(COUNTIF(T159:Z159,3)&gt;0,IF(COUNTIF(MulticlassFeats,Feats!C159&amp;IF(Feats!D159&lt;&gt;""," ("&amp;Feats!D159&amp;")","")),"Multi",""),""))</f>
        <v/>
      </c>
      <c r="K159" s="63" t="str">
        <f t="shared" ca="1" si="68"/>
        <v/>
      </c>
      <c r="L159" s="63" t="str">
        <f t="shared" ca="1" si="69"/>
        <v>No</v>
      </c>
      <c r="M159" s="63">
        <f t="shared" ca="1" si="61"/>
        <v>0</v>
      </c>
      <c r="N159" s="63" t="s">
        <v>2363</v>
      </c>
      <c r="O159" s="64"/>
      <c r="P159" s="660"/>
      <c r="Q159" s="661"/>
      <c r="R159" s="661"/>
      <c r="W159" s="54">
        <f>IF(ScoutFeats&gt;0,1,0)</f>
        <v>0</v>
      </c>
      <c r="X159" s="54">
        <f>IF(SoldierFeats&gt;0,1,0)</f>
        <v>0</v>
      </c>
      <c r="AB159" s="1566" t="str">
        <f t="shared" ca="1" si="54"/>
        <v/>
      </c>
      <c r="AC159" s="1365" t="str">
        <f t="shared" ca="1" si="70"/>
        <v/>
      </c>
      <c r="AD159" s="1365" t="str">
        <f t="shared" ca="1" si="71"/>
        <v/>
      </c>
      <c r="AE159" s="1365" t="str">
        <f t="shared" ca="1" si="72"/>
        <v/>
      </c>
      <c r="AF159" s="1365" t="str">
        <f t="shared" ca="1" si="73"/>
        <v/>
      </c>
      <c r="AG159" s="1467" t="str">
        <f t="shared" ca="1" si="74"/>
        <v/>
      </c>
      <c r="AH159" s="1467" t="str">
        <f t="shared" ca="1" si="75"/>
        <v/>
      </c>
    </row>
    <row r="160" spans="2:34">
      <c r="B160" s="1311"/>
      <c r="C160" s="1320" t="s">
        <v>2422</v>
      </c>
      <c r="D160" s="61"/>
      <c r="E160" s="62" t="s">
        <v>2423</v>
      </c>
      <c r="F160" s="1694" t="s">
        <v>5602</v>
      </c>
      <c r="G160" s="63" t="str">
        <f>IF(AND(CharacterLevel&gt;0,OR(TPerception&lt;&gt;"",ForcePerception,STPerception&lt;&gt;"")),"Yes","No")</f>
        <v>No</v>
      </c>
      <c r="H160" s="76"/>
      <c r="I160" s="63"/>
      <c r="J160" s="63" t="str">
        <f>IF(COUNTIF(T160:Z160,2)&gt;0,IF(G160="Yes","Class",""),IF(COUNTIF(T160:Z160,3)&gt;0,IF(COUNTIF(MulticlassFeats,Feats!C160&amp;IF(Feats!D160&lt;&gt;""," ("&amp;Feats!D160&amp;")","")),"Multi",""),""))</f>
        <v/>
      </c>
      <c r="K160" s="63" t="str">
        <f t="shared" ca="1" si="68"/>
        <v/>
      </c>
      <c r="L160" s="63" t="str">
        <f t="shared" ca="1" si="69"/>
        <v>No</v>
      </c>
      <c r="M160" s="63">
        <f t="shared" ca="1" si="61"/>
        <v>0</v>
      </c>
      <c r="N160" s="63" t="s">
        <v>2322</v>
      </c>
      <c r="O160" s="64"/>
      <c r="P160" s="660"/>
      <c r="Q160" s="661"/>
      <c r="R160" s="661"/>
      <c r="U160" s="54">
        <f>IF(NobleFeats&gt;0,1,0)</f>
        <v>0</v>
      </c>
      <c r="AB160" s="1566" t="str">
        <f t="shared" ca="1" si="54"/>
        <v/>
      </c>
      <c r="AC160" s="1365" t="str">
        <f t="shared" ca="1" si="70"/>
        <v/>
      </c>
      <c r="AD160" s="1365" t="str">
        <f t="shared" ca="1" si="71"/>
        <v/>
      </c>
      <c r="AE160" s="1365" t="str">
        <f t="shared" ca="1" si="72"/>
        <v/>
      </c>
      <c r="AF160" s="1365" t="str">
        <f t="shared" ca="1" si="73"/>
        <v/>
      </c>
      <c r="AG160" s="1467" t="str">
        <f t="shared" ca="1" si="74"/>
        <v/>
      </c>
      <c r="AH160" s="1467" t="str">
        <f t="shared" ca="1" si="75"/>
        <v/>
      </c>
    </row>
    <row r="161" spans="2:34">
      <c r="B161" s="1311"/>
      <c r="C161" s="1462" t="s">
        <v>8191</v>
      </c>
      <c r="D161" s="1462"/>
      <c r="E161" s="1462" t="s">
        <v>8190</v>
      </c>
      <c r="F161" s="1695" t="s">
        <v>8189</v>
      </c>
      <c r="G161" s="63" t="str">
        <f>IF(AND(CharacterLevel&gt;0,Droid=FALSE),"Yes","No")</f>
        <v>No</v>
      </c>
      <c r="H161" s="76"/>
      <c r="I161" s="63"/>
      <c r="J161" s="63" t="str">
        <f>IF(COUNTIF(T161:Z161,2)&gt;0,IF(G161="Yes","Class",""),IF(COUNTIF(T161:Z161,3)&gt;0,IF(COUNTIF(MulticlassFeats,Feats!A43&amp;IF(Feats!B43&lt;&gt;""," ("&amp;Feats!B43&amp;")","")),"Multi",""),""))</f>
        <v/>
      </c>
      <c r="K161" s="63" t="str">
        <f t="shared" ca="1" si="68"/>
        <v/>
      </c>
      <c r="L161" s="63" t="str">
        <f t="shared" ca="1" si="69"/>
        <v>No</v>
      </c>
      <c r="M161" s="63">
        <f t="shared" ca="1" si="61"/>
        <v>0</v>
      </c>
      <c r="N161" s="1461" t="s">
        <v>8166</v>
      </c>
      <c r="O161" s="1462"/>
      <c r="P161" s="1559"/>
      <c r="R161" s="661"/>
      <c r="S161" s="1463"/>
      <c r="T161" s="54">
        <f>IF(JediFeats&gt;0,1,0)</f>
        <v>0</v>
      </c>
      <c r="U161" s="660"/>
      <c r="V161" s="660"/>
      <c r="W161" s="660"/>
      <c r="X161" s="660"/>
      <c r="Y161" s="660"/>
      <c r="Z161" s="1562"/>
      <c r="AA161" s="1568"/>
      <c r="AB161" s="1566" t="str">
        <f t="shared" ca="1" si="54"/>
        <v/>
      </c>
      <c r="AC161" s="1365" t="str">
        <f t="shared" ca="1" si="70"/>
        <v/>
      </c>
      <c r="AD161" s="1365" t="str">
        <f t="shared" ca="1" si="71"/>
        <v/>
      </c>
      <c r="AE161" s="1365" t="str">
        <f t="shared" ca="1" si="72"/>
        <v/>
      </c>
      <c r="AF161" s="1365" t="str">
        <f t="shared" ca="1" si="73"/>
        <v/>
      </c>
      <c r="AG161" s="1467" t="str">
        <f t="shared" ca="1" si="74"/>
        <v/>
      </c>
      <c r="AH161" s="1467" t="str">
        <f t="shared" ca="1" si="75"/>
        <v/>
      </c>
    </row>
    <row r="162" spans="2:34">
      <c r="B162" s="1311"/>
      <c r="C162" s="1462" t="s">
        <v>8188</v>
      </c>
      <c r="D162" s="1462"/>
      <c r="E162" s="1462" t="s">
        <v>8187</v>
      </c>
      <c r="F162" s="1695" t="s">
        <v>8186</v>
      </c>
      <c r="G162" s="63" t="str">
        <f>IF(Droid=FALSE,"Yes","No")</f>
        <v>Yes</v>
      </c>
      <c r="H162" s="76"/>
      <c r="I162" s="63"/>
      <c r="J162" s="63" t="str">
        <f>IF(COUNTIF(T162:Z162,2)&gt;0,IF(G162="Yes","Class",""),IF(COUNTIF(T162:Z162,3)&gt;0,IF(COUNTIF(MulticlassFeats,Feats!A44&amp;IF(Feats!B44&lt;&gt;""," ("&amp;Feats!B44&amp;")","")),"Multi",""),""))</f>
        <v/>
      </c>
      <c r="K162" s="63" t="str">
        <f t="shared" ca="1" si="68"/>
        <v/>
      </c>
      <c r="L162" s="63" t="str">
        <f t="shared" ca="1" si="69"/>
        <v>No</v>
      </c>
      <c r="M162" s="63">
        <f t="shared" ca="1" si="61"/>
        <v>0</v>
      </c>
      <c r="N162" s="1461" t="s">
        <v>8166</v>
      </c>
      <c r="O162" s="1462"/>
      <c r="P162" s="1559"/>
      <c r="R162" s="661"/>
      <c r="S162" s="1463"/>
      <c r="T162" s="54">
        <f>IF(JediFeats&gt;0,1,0)</f>
        <v>0</v>
      </c>
      <c r="U162" s="660"/>
      <c r="V162" s="660"/>
      <c r="W162" s="660"/>
      <c r="X162" s="660"/>
      <c r="Y162" s="660"/>
      <c r="Z162" s="1562"/>
      <c r="AA162" s="1568"/>
      <c r="AB162" s="1566" t="str">
        <f t="shared" ca="1" si="54"/>
        <v/>
      </c>
      <c r="AC162" s="1365" t="str">
        <f t="shared" ca="1" si="70"/>
        <v/>
      </c>
      <c r="AD162" s="1365" t="str">
        <f t="shared" ca="1" si="71"/>
        <v/>
      </c>
      <c r="AE162" s="1365" t="str">
        <f t="shared" ca="1" si="72"/>
        <v/>
      </c>
      <c r="AF162" s="1365" t="str">
        <f t="shared" ca="1" si="73"/>
        <v/>
      </c>
      <c r="AG162" s="1467" t="str">
        <f t="shared" ca="1" si="74"/>
        <v/>
      </c>
      <c r="AH162" s="1467" t="str">
        <f t="shared" ca="1" si="75"/>
        <v/>
      </c>
    </row>
    <row r="163" spans="2:34">
      <c r="B163" s="1311"/>
      <c r="C163" s="1462" t="s">
        <v>8185</v>
      </c>
      <c r="D163" s="1462"/>
      <c r="E163" s="1462" t="s">
        <v>8184</v>
      </c>
      <c r="F163" s="1695" t="s">
        <v>8183</v>
      </c>
      <c r="G163" s="63" t="str">
        <f>IF(OR(TPersuasion="Yes",STPersuasion="Yes"),"Yes","No")</f>
        <v>No</v>
      </c>
      <c r="H163" s="76"/>
      <c r="I163" s="63"/>
      <c r="J163" s="63" t="str">
        <f>IF(COUNTIF(T163:Z163,2)&gt;0,IF(G163="Yes","Class",""),IF(COUNTIF(T163:Z163,3)&gt;0,IF(COUNTIF(MulticlassFeats,Feats!A45&amp;IF(Feats!B45&lt;&gt;""," ("&amp;Feats!B45&amp;")","")),"Multi",""),""))</f>
        <v/>
      </c>
      <c r="K163" s="63" t="str">
        <f t="shared" ca="1" si="68"/>
        <v/>
      </c>
      <c r="L163" s="63" t="str">
        <f t="shared" ca="1" si="69"/>
        <v>No</v>
      </c>
      <c r="M163" s="63">
        <f t="shared" ca="1" si="61"/>
        <v>0</v>
      </c>
      <c r="N163" s="1461" t="s">
        <v>8166</v>
      </c>
      <c r="O163" s="1462"/>
      <c r="P163" s="1559"/>
      <c r="R163" s="661"/>
      <c r="S163" s="1463"/>
      <c r="T163" s="660"/>
      <c r="U163" s="54">
        <f>IF(NobleFeats&gt;0,1,0)</f>
        <v>0</v>
      </c>
      <c r="V163" s="660"/>
      <c r="W163" s="660"/>
      <c r="X163" s="660"/>
      <c r="Y163" s="660"/>
      <c r="Z163" s="1562"/>
      <c r="AA163" s="1568"/>
      <c r="AB163" s="1566" t="str">
        <f t="shared" ca="1" si="54"/>
        <v/>
      </c>
      <c r="AC163" s="1365" t="str">
        <f t="shared" ca="1" si="70"/>
        <v/>
      </c>
      <c r="AD163" s="1365" t="str">
        <f t="shared" ca="1" si="71"/>
        <v/>
      </c>
      <c r="AE163" s="1365" t="str">
        <f t="shared" ca="1" si="72"/>
        <v/>
      </c>
      <c r="AF163" s="1365" t="str">
        <f t="shared" ca="1" si="73"/>
        <v/>
      </c>
      <c r="AG163" s="1467" t="str">
        <f t="shared" ca="1" si="74"/>
        <v/>
      </c>
      <c r="AH163" s="1467" t="str">
        <f t="shared" ca="1" si="75"/>
        <v/>
      </c>
    </row>
    <row r="164" spans="2:34">
      <c r="B164" s="1311"/>
      <c r="C164" s="1462" t="s">
        <v>8258</v>
      </c>
      <c r="D164" s="1462"/>
      <c r="E164" s="1462" t="s">
        <v>8257</v>
      </c>
      <c r="F164" s="1695" t="s">
        <v>8256</v>
      </c>
      <c r="G164" s="63" t="str">
        <f>IF(Charisma&gt;=13,"Yes","No")</f>
        <v>Yes</v>
      </c>
      <c r="H164" s="76"/>
      <c r="I164" s="63"/>
      <c r="J164" s="63" t="str">
        <f>IF(COUNTIF(T164:Z164,2)&gt;0,IF(G164="Yes","Class",""),IF(COUNTIF(T164:Z164,3)&gt;0,IF(COUNTIF(MulticlassFeats,Feats!A18&amp;IF(Feats!B18&lt;&gt;""," ("&amp;Feats!B18&amp;")","")),"Multi",""),""))</f>
        <v/>
      </c>
      <c r="K164" s="63" t="str">
        <f t="shared" ca="1" si="68"/>
        <v/>
      </c>
      <c r="L164" s="63" t="str">
        <f t="shared" ca="1" si="69"/>
        <v>No</v>
      </c>
      <c r="M164" s="63">
        <f t="shared" ca="1" si="61"/>
        <v>0</v>
      </c>
      <c r="N164" s="1461" t="s">
        <v>8225</v>
      </c>
      <c r="O164" s="1462"/>
      <c r="P164" s="1559"/>
      <c r="R164" s="661"/>
      <c r="S164" s="1463"/>
      <c r="T164" s="660"/>
      <c r="U164" s="660"/>
      <c r="V164" s="660"/>
      <c r="W164" s="660"/>
      <c r="X164" s="660"/>
      <c r="Y164" s="660"/>
      <c r="Z164" s="1562"/>
      <c r="AA164" s="1568"/>
      <c r="AB164" s="1566" t="str">
        <f t="shared" ca="1" si="54"/>
        <v/>
      </c>
      <c r="AC164" s="1365" t="str">
        <f t="shared" ca="1" si="70"/>
        <v/>
      </c>
      <c r="AD164" s="1365" t="str">
        <f t="shared" ca="1" si="71"/>
        <v/>
      </c>
      <c r="AE164" s="1365" t="str">
        <f t="shared" ca="1" si="72"/>
        <v/>
      </c>
      <c r="AF164" s="1365" t="str">
        <f t="shared" ca="1" si="73"/>
        <v/>
      </c>
      <c r="AG164" s="1467" t="str">
        <f t="shared" ca="1" si="74"/>
        <v/>
      </c>
      <c r="AH164" s="1467" t="str">
        <f t="shared" ca="1" si="75"/>
        <v/>
      </c>
    </row>
    <row r="165" spans="2:34">
      <c r="B165" s="1311"/>
      <c r="C165" s="1320" t="s">
        <v>7367</v>
      </c>
      <c r="D165" s="61"/>
      <c r="E165" s="62" t="s">
        <v>7383</v>
      </c>
      <c r="F165" s="1694" t="s">
        <v>7399</v>
      </c>
      <c r="G165" s="63" t="str">
        <f>IF(OR(AND(Droid,Strength&gt;=13),AND(Cyborg,Constitution&gt;=13)),"Yes","No")</f>
        <v>No</v>
      </c>
      <c r="H165" s="76"/>
      <c r="I165" s="63"/>
      <c r="J165" s="63" t="str">
        <f>IF(COUNTIF(T165:Z165,2)&gt;0,IF(G165="Yes","Class",""),IF(COUNTIF(T165:Z165,3)&gt;0,IF(COUNTIF(MulticlassFeats,Feats!C165&amp;IF(Feats!D165&lt;&gt;""," ("&amp;Feats!D165&amp;")","")),"Multi",""),""))</f>
        <v/>
      </c>
      <c r="K165" s="63" t="str">
        <f t="shared" ca="1" si="68"/>
        <v/>
      </c>
      <c r="L165" s="63" t="str">
        <f t="shared" ca="1" si="69"/>
        <v>No</v>
      </c>
      <c r="M165" s="63">
        <f t="shared" ca="1" si="61"/>
        <v>0</v>
      </c>
      <c r="N165" s="63" t="s">
        <v>7515</v>
      </c>
      <c r="O165" s="64"/>
      <c r="P165" s="660"/>
      <c r="Q165" s="661"/>
      <c r="R165" s="661"/>
      <c r="AB165" s="1566" t="str">
        <f t="shared" ca="1" si="54"/>
        <v/>
      </c>
      <c r="AC165" s="1365" t="str">
        <f t="shared" ca="1" si="70"/>
        <v/>
      </c>
      <c r="AD165" s="1365" t="str">
        <f t="shared" ca="1" si="71"/>
        <v/>
      </c>
      <c r="AE165" s="1365" t="str">
        <f t="shared" ca="1" si="72"/>
        <v/>
      </c>
      <c r="AF165" s="1365" t="str">
        <f t="shared" ca="1" si="73"/>
        <v/>
      </c>
      <c r="AG165" s="1467" t="str">
        <f t="shared" ca="1" si="74"/>
        <v/>
      </c>
      <c r="AH165" s="1467" t="str">
        <f t="shared" ca="1" si="75"/>
        <v/>
      </c>
    </row>
    <row r="166" spans="2:34">
      <c r="B166" s="1311"/>
      <c r="C166" s="1320" t="s">
        <v>2424</v>
      </c>
      <c r="D166" s="61"/>
      <c r="E166" s="62"/>
      <c r="F166" s="1694" t="s">
        <v>5603</v>
      </c>
      <c r="G166" s="63" t="str">
        <f>IF(CharacterLevel&gt;0,"Yes","No")</f>
        <v>No</v>
      </c>
      <c r="H166" s="76"/>
      <c r="I166" s="63"/>
      <c r="J166" s="63" t="str">
        <f>IF(COUNTIF(T166:Z166,2)&gt;0,IF(G166="Yes","Class",""),IF(COUNTIF(T166:Z166,3)&gt;0,IF(COUNTIF(MulticlassFeats,Feats!C166&amp;IF(Feats!D166&lt;&gt;""," ("&amp;Feats!D166&amp;")","")),"Multi",""),""))</f>
        <v/>
      </c>
      <c r="K166" s="63" t="str">
        <f t="shared" ca="1" si="68"/>
        <v/>
      </c>
      <c r="L166" s="63" t="str">
        <f t="shared" ca="1" si="69"/>
        <v>No</v>
      </c>
      <c r="M166" s="63">
        <f t="shared" ca="1" si="61"/>
        <v>0</v>
      </c>
      <c r="N166" s="63" t="s">
        <v>2395</v>
      </c>
      <c r="O166" s="64"/>
      <c r="P166" s="660"/>
      <c r="Q166" s="508"/>
      <c r="R166" s="661"/>
      <c r="AB166" s="1566" t="str">
        <f t="shared" ca="1" si="54"/>
        <v/>
      </c>
      <c r="AC166" s="1365" t="str">
        <f t="shared" ca="1" si="70"/>
        <v/>
      </c>
      <c r="AD166" s="1365" t="str">
        <f t="shared" ca="1" si="71"/>
        <v/>
      </c>
      <c r="AE166" s="1365" t="str">
        <f t="shared" ca="1" si="72"/>
        <v/>
      </c>
      <c r="AF166" s="1365" t="str">
        <f t="shared" ca="1" si="73"/>
        <v/>
      </c>
      <c r="AG166" s="1467" t="str">
        <f t="shared" ca="1" si="74"/>
        <v/>
      </c>
      <c r="AH166" s="1467" t="str">
        <f t="shared" ca="1" si="75"/>
        <v/>
      </c>
    </row>
    <row r="167" spans="2:34">
      <c r="B167" s="1311"/>
      <c r="C167" s="1320" t="s">
        <v>2425</v>
      </c>
      <c r="D167" s="61"/>
      <c r="E167" s="62" t="s">
        <v>2426</v>
      </c>
      <c r="F167" s="1694" t="s">
        <v>5604</v>
      </c>
      <c r="G167" s="63" t="str">
        <f ca="1">IF(AND(CharacterLevel&gt;0,M170&gt;0,OR(TStealth&lt;&gt;"",ForceStealth,STStealth&lt;&gt;"")),"Yes","No")</f>
        <v>No</v>
      </c>
      <c r="H167" s="76"/>
      <c r="I167" s="63"/>
      <c r="J167" s="63" t="str">
        <f>IF(COUNTIF(T167:Z167,2)&gt;0,IF(G167="Yes","Class",""),IF(COUNTIF(T167:Z167,3)&gt;0,IF(COUNTIF(MulticlassFeats,Feats!C167&amp;IF(Feats!D167&lt;&gt;""," ("&amp;Feats!D167&amp;")","")),"Multi",""),""))</f>
        <v/>
      </c>
      <c r="K167" s="63" t="str">
        <f t="shared" ca="1" si="68"/>
        <v/>
      </c>
      <c r="L167" s="63" t="str">
        <f t="shared" ca="1" si="69"/>
        <v>No</v>
      </c>
      <c r="M167" s="63">
        <f t="shared" ca="1" si="61"/>
        <v>0</v>
      </c>
      <c r="N167" s="63" t="s">
        <v>2406</v>
      </c>
      <c r="O167" s="64"/>
      <c r="P167" s="660"/>
      <c r="Q167" s="661"/>
      <c r="R167" s="661" t="s">
        <v>4059</v>
      </c>
      <c r="V167" s="54">
        <f>IF(ScoundrelFeats&gt;0,1,0)</f>
        <v>0</v>
      </c>
      <c r="AB167" s="1566" t="str">
        <f t="shared" ca="1" si="54"/>
        <v/>
      </c>
      <c r="AC167" s="1365" t="str">
        <f t="shared" ca="1" si="70"/>
        <v/>
      </c>
      <c r="AD167" s="1365" t="str">
        <f t="shared" ca="1" si="71"/>
        <v/>
      </c>
      <c r="AE167" s="1365" t="str">
        <f t="shared" ca="1" si="72"/>
        <v/>
      </c>
      <c r="AF167" s="1365" t="str">
        <f t="shared" ca="1" si="73"/>
        <v/>
      </c>
      <c r="AG167" s="1467" t="str">
        <f t="shared" ca="1" si="74"/>
        <v/>
      </c>
      <c r="AH167" s="1467" t="str">
        <f t="shared" ca="1" si="75"/>
        <v/>
      </c>
    </row>
    <row r="168" spans="2:34">
      <c r="B168" s="1311"/>
      <c r="C168" s="1320" t="s">
        <v>2427</v>
      </c>
      <c r="D168" s="61"/>
      <c r="E168" s="62" t="s">
        <v>2428</v>
      </c>
      <c r="F168" s="1694" t="s">
        <v>5605</v>
      </c>
      <c r="G168" s="63" t="str">
        <f ca="1">IF(AND(CharacterLevel&gt;0,Strength&gt;=13,Dexterity&gt;=13,M218&gt;0),"Yes","No")</f>
        <v>No</v>
      </c>
      <c r="H168" s="76"/>
      <c r="I168" s="63"/>
      <c r="J168" s="63" t="str">
        <f>IF(COUNTIF(T168:Z168,2)&gt;0,IF(G168="Yes","Class",""),IF(COUNTIF(T168:Z168,3)&gt;0,IF(COUNTIF(MulticlassFeats,Feats!C168&amp;IF(Feats!D168&lt;&gt;""," ("&amp;Feats!D168&amp;")","")),"Multi",""),""))</f>
        <v/>
      </c>
      <c r="K168" s="63" t="str">
        <f t="shared" ca="1" si="68"/>
        <v/>
      </c>
      <c r="L168" s="63" t="str">
        <f t="shared" ca="1" si="69"/>
        <v>No</v>
      </c>
      <c r="M168" s="63">
        <f t="shared" ca="1" si="61"/>
        <v>0</v>
      </c>
      <c r="N168" s="63" t="s">
        <v>2378</v>
      </c>
      <c r="O168" s="64"/>
      <c r="P168" s="660"/>
      <c r="Q168" s="661"/>
      <c r="R168" s="661" t="s">
        <v>4059</v>
      </c>
      <c r="AB168" s="1566" t="str">
        <f t="shared" ca="1" si="54"/>
        <v/>
      </c>
      <c r="AC168" s="1365" t="str">
        <f t="shared" ca="1" si="70"/>
        <v/>
      </c>
      <c r="AD168" s="1365" t="str">
        <f t="shared" ca="1" si="71"/>
        <v/>
      </c>
      <c r="AE168" s="1365" t="str">
        <f t="shared" ca="1" si="72"/>
        <v/>
      </c>
      <c r="AF168" s="1365" t="str">
        <f t="shared" ca="1" si="73"/>
        <v/>
      </c>
      <c r="AG168" s="1467" t="str">
        <f t="shared" ca="1" si="74"/>
        <v/>
      </c>
      <c r="AH168" s="1467" t="str">
        <f t="shared" ca="1" si="75"/>
        <v/>
      </c>
    </row>
    <row r="169" spans="2:34">
      <c r="B169" s="1311"/>
      <c r="C169" s="1320" t="s">
        <v>2429</v>
      </c>
      <c r="D169" s="61"/>
      <c r="E169" s="62"/>
      <c r="F169" s="1694" t="s">
        <v>5606</v>
      </c>
      <c r="G169" s="63" t="str">
        <f>IF(CharacterLevel&gt;0,"Yes","No")</f>
        <v>No</v>
      </c>
      <c r="H169" s="76"/>
      <c r="I169" s="63"/>
      <c r="J169" s="63" t="str">
        <f>IF(COUNTIF(T169:Z169,2)&gt;0,IF(G169="Yes","Class",""),IF(COUNTIF(T169:Z169,3)&gt;0,IF(COUNTIF(MulticlassFeats,Feats!C169&amp;IF(Feats!D169&lt;&gt;""," ("&amp;Feats!D169&amp;")","")),"Multi",""),""))</f>
        <v/>
      </c>
      <c r="K169" s="63" t="str">
        <f t="shared" ca="1" si="68"/>
        <v/>
      </c>
      <c r="L169" s="63" t="str">
        <f t="shared" ca="1" si="69"/>
        <v>No</v>
      </c>
      <c r="M169" s="63">
        <f t="shared" ca="1" si="61"/>
        <v>0</v>
      </c>
      <c r="N169" s="63" t="s">
        <v>2395</v>
      </c>
      <c r="O169" s="64"/>
      <c r="P169" s="660"/>
      <c r="Q169" s="508"/>
      <c r="R169" s="661"/>
      <c r="U169" s="54">
        <f>IF(NobleFeats&gt;0,1,0)</f>
        <v>0</v>
      </c>
      <c r="AB169" s="1566" t="str">
        <f t="shared" ca="1" si="54"/>
        <v/>
      </c>
      <c r="AC169" s="1365" t="str">
        <f t="shared" ca="1" si="70"/>
        <v/>
      </c>
      <c r="AD169" s="1365" t="str">
        <f t="shared" ca="1" si="71"/>
        <v/>
      </c>
      <c r="AE169" s="1365" t="str">
        <f t="shared" ca="1" si="72"/>
        <v/>
      </c>
      <c r="AF169" s="1365" t="str">
        <f t="shared" ca="1" si="73"/>
        <v/>
      </c>
      <c r="AG169" s="1467" t="str">
        <f t="shared" ca="1" si="74"/>
        <v/>
      </c>
      <c r="AH169" s="1467" t="str">
        <f t="shared" ca="1" si="75"/>
        <v/>
      </c>
    </row>
    <row r="170" spans="2:34">
      <c r="B170" s="1311"/>
      <c r="C170" s="1320" t="s">
        <v>2430</v>
      </c>
      <c r="D170" s="61"/>
      <c r="E170" s="62" t="s">
        <v>832</v>
      </c>
      <c r="F170" s="1694" t="s">
        <v>5607</v>
      </c>
      <c r="G170" s="63" t="str">
        <f ca="1">IF(AND(CharacterLevel&gt;0,Intelligence&gt;=13,M242&gt;0),"Yes","No")</f>
        <v>No</v>
      </c>
      <c r="H170" s="76"/>
      <c r="I170" s="63"/>
      <c r="J170" s="63" t="str">
        <f>IF(COUNTIF(T170:Z170,2)&gt;0,IF(G170="Yes","Class",""),IF(COUNTIF(T170:Z170,3)&gt;0,IF(COUNTIF(MulticlassFeats,Feats!C170&amp;IF(Feats!D170&lt;&gt;""," ("&amp;Feats!D170&amp;")","")),"Multi",""),""))</f>
        <v/>
      </c>
      <c r="K170" s="63" t="str">
        <f t="shared" ca="1" si="68"/>
        <v/>
      </c>
      <c r="L170" s="63" t="str">
        <f t="shared" ca="1" si="69"/>
        <v>No</v>
      </c>
      <c r="M170" s="63">
        <f t="shared" ca="1" si="61"/>
        <v>0</v>
      </c>
      <c r="N170" s="63" t="s">
        <v>2406</v>
      </c>
      <c r="O170" s="64"/>
      <c r="P170" s="660"/>
      <c r="Q170" s="661"/>
      <c r="R170" s="661" t="s">
        <v>4059</v>
      </c>
      <c r="T170" s="54">
        <f>IF(JediFeats&gt;0,1,0)</f>
        <v>0</v>
      </c>
      <c r="V170" s="54">
        <f>IF(ScoundrelFeats&gt;0,1,0)</f>
        <v>0</v>
      </c>
      <c r="X170" s="54">
        <f>IF(SoldierFeats&gt;0,1,0)</f>
        <v>0</v>
      </c>
      <c r="AB170" s="1566" t="str">
        <f t="shared" ca="1" si="54"/>
        <v/>
      </c>
      <c r="AC170" s="1365" t="str">
        <f t="shared" ca="1" si="70"/>
        <v/>
      </c>
      <c r="AD170" s="1365" t="str">
        <f t="shared" ca="1" si="71"/>
        <v/>
      </c>
      <c r="AE170" s="1365" t="str">
        <f t="shared" ca="1" si="72"/>
        <v/>
      </c>
      <c r="AF170" s="1365" t="str">
        <f t="shared" ca="1" si="73"/>
        <v/>
      </c>
      <c r="AG170" s="1467" t="str">
        <f t="shared" ca="1" si="74"/>
        <v/>
      </c>
      <c r="AH170" s="1467" t="str">
        <f t="shared" ca="1" si="75"/>
        <v/>
      </c>
    </row>
    <row r="171" spans="2:34">
      <c r="B171" s="1311"/>
      <c r="C171" s="1320" t="s">
        <v>1980</v>
      </c>
      <c r="D171" s="61"/>
      <c r="E171" s="62" t="s">
        <v>2431</v>
      </c>
      <c r="F171" s="1694" t="s">
        <v>5608</v>
      </c>
      <c r="G171" s="63" t="str">
        <f>IF(AND(CharacterLevel&gt;0,Intelligence&gt;=13),"Yes","No")</f>
        <v>No</v>
      </c>
      <c r="H171" s="76"/>
      <c r="I171" s="63"/>
      <c r="J171" s="63" t="str">
        <f>IF(COUNTIF(T171:Z171,2)&gt;0,IF(G171="Yes","Class",""),IF(COUNTIF(T171:Z171,3)&gt;0,IF(COUNTIF(MulticlassFeats,Feats!C171&amp;IF(Feats!D171&lt;&gt;""," ("&amp;Feats!D171&amp;")","")),"Multi",""),""))</f>
        <v/>
      </c>
      <c r="K171" s="63" t="str">
        <f t="shared" ca="1" si="68"/>
        <v/>
      </c>
      <c r="L171" s="63" t="str">
        <f t="shared" ca="1" si="69"/>
        <v>No</v>
      </c>
      <c r="M171" s="63">
        <f ca="1">IF(L171="Yes",H171+IF(I171&lt;&gt;"",1,0)+IF(J171&lt;&gt;"",1,0)+IF(K171="Yes",1,0),0)</f>
        <v>0</v>
      </c>
      <c r="N171" s="63">
        <v>86</v>
      </c>
      <c r="O171" s="64"/>
      <c r="P171" s="660"/>
      <c r="Q171" s="661"/>
      <c r="R171" s="661"/>
      <c r="U171" s="54">
        <f>IF(NobleFeats&gt;0,IF(FirstClass&lt;&gt;"Noble",3,2),0)</f>
        <v>0</v>
      </c>
      <c r="W171" s="54">
        <f>IF(ScoutFeats&gt;0,1,0)</f>
        <v>0</v>
      </c>
      <c r="AB171" s="1566" t="str">
        <f ca="1">IF(OR(H171&lt;&gt;"",I171&lt;&gt;"",J171&lt;&gt;"",K171&lt;&gt;""),C171&amp;IF(M171&gt;1," ("&amp;M171&amp;")","")&amp;IF(D171&lt;&gt;""," ("&amp;D171&amp;")",""),"")</f>
        <v/>
      </c>
      <c r="AC171" s="1365" t="str">
        <f t="shared" ca="1" si="70"/>
        <v/>
      </c>
      <c r="AD171" s="1365" t="str">
        <f t="shared" ca="1" si="71"/>
        <v/>
      </c>
      <c r="AE171" s="1365" t="str">
        <f t="shared" ca="1" si="72"/>
        <v/>
      </c>
      <c r="AF171" s="1365" t="str">
        <f t="shared" ca="1" si="73"/>
        <v/>
      </c>
      <c r="AG171" s="1467" t="str">
        <f t="shared" ca="1" si="74"/>
        <v/>
      </c>
      <c r="AH171" s="1467" t="str">
        <f t="shared" ca="1" si="75"/>
        <v/>
      </c>
    </row>
    <row r="172" spans="2:34">
      <c r="B172" s="1311"/>
      <c r="C172" s="1320" t="s">
        <v>2432</v>
      </c>
      <c r="D172" s="61"/>
      <c r="E172" s="62" t="s">
        <v>1284</v>
      </c>
      <c r="F172" s="1694" t="s">
        <v>5609</v>
      </c>
      <c r="G172" s="63" t="str">
        <f>IF(AND(Droid),"Yes","No")</f>
        <v>No</v>
      </c>
      <c r="H172" s="76"/>
      <c r="I172" s="63"/>
      <c r="J172" s="63" t="str">
        <f>IF(COUNTIF(T172:Z172,2)&gt;0,IF(G172="Yes","Class",""),IF(COUNTIF(T172:Z172,3)&gt;0,IF(COUNTIF(MulticlassFeats,Feats!C172&amp;IF(Feats!D172&lt;&gt;""," ("&amp;Feats!D172&amp;")","")),"Multi",""),""))</f>
        <v/>
      </c>
      <c r="K172" s="63" t="str">
        <f t="shared" ca="1" si="68"/>
        <v/>
      </c>
      <c r="L172" s="63" t="str">
        <f t="shared" ca="1" si="69"/>
        <v>No</v>
      </c>
      <c r="M172" s="63">
        <f t="shared" ref="M172:M203" ca="1" si="76">IF(L172="Yes",1,0)</f>
        <v>0</v>
      </c>
      <c r="N172" s="63" t="s">
        <v>2433</v>
      </c>
      <c r="O172" s="64"/>
      <c r="P172" s="660"/>
      <c r="Q172" s="664"/>
      <c r="R172" s="661" t="s">
        <v>4060</v>
      </c>
      <c r="AB172" s="1566" t="str">
        <f t="shared" ref="AB172:AB203" ca="1" si="77">IF(OR(H172&lt;&gt;"",I172&lt;&gt;"",J172&lt;&gt;"",K172&lt;&gt;""),C172&amp;IF(D172&lt;&gt;""," ("&amp;D172&amp;")",""),"")</f>
        <v/>
      </c>
      <c r="AC172" s="1365" t="str">
        <f t="shared" ca="1" si="70"/>
        <v/>
      </c>
      <c r="AD172" s="1365" t="str">
        <f t="shared" ca="1" si="71"/>
        <v/>
      </c>
      <c r="AE172" s="1365" t="str">
        <f t="shared" ca="1" si="72"/>
        <v/>
      </c>
      <c r="AF172" s="1365" t="str">
        <f t="shared" ca="1" si="73"/>
        <v/>
      </c>
      <c r="AG172" s="1467" t="str">
        <f t="shared" ca="1" si="74"/>
        <v/>
      </c>
      <c r="AH172" s="1467" t="str">
        <f t="shared" ca="1" si="75"/>
        <v/>
      </c>
    </row>
    <row r="173" spans="2:34">
      <c r="B173" s="1311"/>
      <c r="C173" s="1320" t="s">
        <v>7368</v>
      </c>
      <c r="D173" s="61"/>
      <c r="E173" s="62" t="s">
        <v>7384</v>
      </c>
      <c r="F173" s="1694" t="s">
        <v>7400</v>
      </c>
      <c r="G173" s="63" t="str">
        <f>IF(AND(Droid),"Yes","No")</f>
        <v>No</v>
      </c>
      <c r="H173" s="76"/>
      <c r="I173" s="63"/>
      <c r="J173" s="63" t="str">
        <f>IF(COUNTIF(T173:Z173,2)&gt;0,IF(G173="Yes","Class",""),IF(COUNTIF(T173:Z173,3)&gt;0,IF(COUNTIF(MulticlassFeats,Feats!C173&amp;IF(Feats!D173&lt;&gt;""," ("&amp;Feats!D173&amp;")","")),"Multi",""),""))</f>
        <v/>
      </c>
      <c r="K173" s="63" t="str">
        <f t="shared" ca="1" si="68"/>
        <v/>
      </c>
      <c r="L173" s="63" t="str">
        <f t="shared" ca="1" si="69"/>
        <v>No</v>
      </c>
      <c r="M173" s="63">
        <f t="shared" ca="1" si="76"/>
        <v>0</v>
      </c>
      <c r="N173" s="63" t="s">
        <v>7515</v>
      </c>
      <c r="O173" s="64"/>
      <c r="P173" s="660"/>
      <c r="Q173" s="664"/>
      <c r="R173" s="661"/>
      <c r="AB173" s="1566" t="str">
        <f t="shared" ca="1" si="77"/>
        <v/>
      </c>
      <c r="AC173" s="1365" t="str">
        <f t="shared" ca="1" si="70"/>
        <v/>
      </c>
      <c r="AD173" s="1365" t="str">
        <f t="shared" ca="1" si="71"/>
        <v/>
      </c>
      <c r="AE173" s="1365" t="str">
        <f t="shared" ca="1" si="72"/>
        <v/>
      </c>
      <c r="AF173" s="1365" t="str">
        <f t="shared" ca="1" si="73"/>
        <v/>
      </c>
      <c r="AG173" s="1467" t="str">
        <f t="shared" ca="1" si="74"/>
        <v/>
      </c>
      <c r="AH173" s="1467" t="str">
        <f t="shared" ca="1" si="75"/>
        <v/>
      </c>
    </row>
    <row r="174" spans="2:34">
      <c r="B174" s="1311"/>
      <c r="C174" s="1320" t="s">
        <v>2434</v>
      </c>
      <c r="D174" s="61"/>
      <c r="E174" s="62" t="s">
        <v>2435</v>
      </c>
      <c r="F174" s="1694" t="s">
        <v>5610</v>
      </c>
      <c r="G174" s="63" t="str">
        <f>IF(AND(CharacterLevel&gt;0,BAB&gt;=4,Race="Droid"),"Yes","No")</f>
        <v>No</v>
      </c>
      <c r="H174" s="76"/>
      <c r="I174" s="63"/>
      <c r="J174" s="63" t="str">
        <f>IF(COUNTIF(T174:Z174,2)&gt;0,IF(G174="Yes","Class",""),IF(COUNTIF(T174:Z174,3)&gt;0,IF(COUNTIF(MulticlassFeats,Feats!C174&amp;IF(Feats!D174&lt;&gt;""," ("&amp;Feats!D174&amp;")","")),"Multi",""),""))</f>
        <v/>
      </c>
      <c r="K174" s="63" t="str">
        <f t="shared" ca="1" si="68"/>
        <v/>
      </c>
      <c r="L174" s="63" t="str">
        <f t="shared" ca="1" si="69"/>
        <v>No</v>
      </c>
      <c r="M174" s="63">
        <f t="shared" ca="1" si="76"/>
        <v>0</v>
      </c>
      <c r="N174" s="63" t="s">
        <v>2433</v>
      </c>
      <c r="O174" s="64"/>
      <c r="P174" s="660"/>
      <c r="Q174" s="664"/>
      <c r="R174" s="661" t="s">
        <v>4060</v>
      </c>
      <c r="AB174" s="1566" t="str">
        <f t="shared" ca="1" si="77"/>
        <v/>
      </c>
      <c r="AC174" s="1365" t="str">
        <f t="shared" ca="1" si="70"/>
        <v/>
      </c>
      <c r="AD174" s="1365" t="str">
        <f t="shared" ca="1" si="71"/>
        <v/>
      </c>
      <c r="AE174" s="1365" t="str">
        <f t="shared" ca="1" si="72"/>
        <v/>
      </c>
      <c r="AF174" s="1365" t="str">
        <f t="shared" ca="1" si="73"/>
        <v/>
      </c>
      <c r="AG174" s="1467" t="str">
        <f t="shared" ca="1" si="74"/>
        <v/>
      </c>
      <c r="AH174" s="1467" t="str">
        <f t="shared" ca="1" si="75"/>
        <v/>
      </c>
    </row>
    <row r="175" spans="2:34">
      <c r="B175" s="1311"/>
      <c r="C175" s="1320" t="s">
        <v>4216</v>
      </c>
      <c r="D175" s="61"/>
      <c r="E175" s="62"/>
      <c r="F175" s="1694" t="s">
        <v>5728</v>
      </c>
      <c r="G175" s="63" t="str">
        <f>IF(CharacterLevel&gt;0,"Yes","No")</f>
        <v>No</v>
      </c>
      <c r="H175" s="76"/>
      <c r="I175" s="63"/>
      <c r="J175" s="63" t="str">
        <f>IF(COUNTIF(T175:Z175,2)&gt;0,IF(G175="Yes","Class",""),IF(COUNTIF(T175:Z175,3)&gt;0,IF(COUNTIF(MulticlassFeats,Feats!C175&amp;IF(Feats!D175&lt;&gt;""," ("&amp;Feats!D175&amp;")","")),"Multi",""),""))</f>
        <v/>
      </c>
      <c r="K175" s="63" t="str">
        <f t="shared" ca="1" si="68"/>
        <v/>
      </c>
      <c r="L175" s="63" t="str">
        <f t="shared" ca="1" si="69"/>
        <v>No</v>
      </c>
      <c r="M175" s="63">
        <f t="shared" ca="1" si="76"/>
        <v>0</v>
      </c>
      <c r="N175" s="63" t="s">
        <v>4218</v>
      </c>
      <c r="O175" s="64"/>
      <c r="P175" s="660"/>
      <c r="Q175" s="664"/>
      <c r="R175" s="661" t="s">
        <v>4059</v>
      </c>
      <c r="AB175" s="1566" t="str">
        <f t="shared" ca="1" si="77"/>
        <v/>
      </c>
      <c r="AC175" s="1365" t="str">
        <f t="shared" ca="1" si="70"/>
        <v/>
      </c>
      <c r="AD175" s="1365" t="str">
        <f t="shared" ca="1" si="71"/>
        <v/>
      </c>
      <c r="AE175" s="1365" t="str">
        <f t="shared" ca="1" si="72"/>
        <v/>
      </c>
      <c r="AF175" s="1365" t="str">
        <f t="shared" ca="1" si="73"/>
        <v/>
      </c>
      <c r="AG175" s="1467" t="str">
        <f t="shared" ca="1" si="74"/>
        <v/>
      </c>
      <c r="AH175" s="1467" t="str">
        <f t="shared" ca="1" si="75"/>
        <v/>
      </c>
    </row>
    <row r="176" spans="2:34">
      <c r="B176" s="1311"/>
      <c r="C176" s="1320" t="s">
        <v>2436</v>
      </c>
      <c r="D176" s="61"/>
      <c r="E176" s="62" t="s">
        <v>2310</v>
      </c>
      <c r="F176" s="1694" t="s">
        <v>5611</v>
      </c>
      <c r="G176" s="63" t="str">
        <f ca="1">IF(AND(CharacterLevel&gt;0,M45&gt;0),"Yes","No")</f>
        <v>No</v>
      </c>
      <c r="H176" s="76"/>
      <c r="I176" s="63"/>
      <c r="J176" s="63" t="str">
        <f>IF(COUNTIF(T176:Z176,2)&gt;0,IF(G176="Yes","Class",""),IF(COUNTIF(T176:Z176,3)&gt;0,IF(COUNTIF(MulticlassFeats,Feats!C176&amp;IF(Feats!D176&lt;&gt;""," ("&amp;Feats!D176&amp;")","")),"Multi",""),""))</f>
        <v/>
      </c>
      <c r="K176" s="63" t="str">
        <f t="shared" ca="1" si="68"/>
        <v/>
      </c>
      <c r="L176" s="63" t="str">
        <f t="shared" ca="1" si="69"/>
        <v>No</v>
      </c>
      <c r="M176" s="63">
        <f t="shared" ca="1" si="76"/>
        <v>0</v>
      </c>
      <c r="N176" s="63" t="s">
        <v>2433</v>
      </c>
      <c r="O176" s="64"/>
      <c r="P176" s="660"/>
      <c r="Q176" s="664"/>
      <c r="R176" s="661" t="s">
        <v>4059</v>
      </c>
      <c r="AB176" s="1566" t="str">
        <f t="shared" ca="1" si="77"/>
        <v/>
      </c>
      <c r="AC176" s="1365" t="str">
        <f t="shared" ca="1" si="70"/>
        <v/>
      </c>
      <c r="AD176" s="1365" t="str">
        <f t="shared" ca="1" si="71"/>
        <v/>
      </c>
      <c r="AE176" s="1365" t="str">
        <f t="shared" ca="1" si="72"/>
        <v/>
      </c>
      <c r="AF176" s="1365" t="str">
        <f t="shared" ca="1" si="73"/>
        <v/>
      </c>
      <c r="AG176" s="1467" t="str">
        <f t="shared" ca="1" si="74"/>
        <v/>
      </c>
      <c r="AH176" s="1467" t="str">
        <f t="shared" ca="1" si="75"/>
        <v/>
      </c>
    </row>
    <row r="177" spans="2:34">
      <c r="B177" s="1311"/>
      <c r="C177" s="1462" t="s">
        <v>8182</v>
      </c>
      <c r="D177" s="1462"/>
      <c r="E177" s="1462"/>
      <c r="F177" s="1695" t="s">
        <v>8181</v>
      </c>
      <c r="G177" s="63" t="str">
        <f>IF(AND(CharacterLevel&gt;0),"Yes","No")</f>
        <v>No</v>
      </c>
      <c r="H177" s="76"/>
      <c r="I177" s="63"/>
      <c r="J177" s="63" t="str">
        <f>IF(COUNTIF(T177:Z177,2)&gt;0,IF(G177="Yes","Class",""),IF(COUNTIF(T177:Z177,3)&gt;0,IF(COUNTIF(MulticlassFeats,Feats!A46&amp;IF(Feats!B46&lt;&gt;""," ("&amp;Feats!B46&amp;")","")),"Multi",""),""))</f>
        <v/>
      </c>
      <c r="K177" s="63" t="str">
        <f t="shared" ca="1" si="68"/>
        <v/>
      </c>
      <c r="L177" s="63" t="str">
        <f t="shared" ca="1" si="69"/>
        <v>No</v>
      </c>
      <c r="M177" s="63">
        <f t="shared" ca="1" si="76"/>
        <v>0</v>
      </c>
      <c r="N177" s="1461" t="s">
        <v>8166</v>
      </c>
      <c r="O177" s="1462"/>
      <c r="P177" s="1559"/>
      <c r="R177" s="661"/>
      <c r="S177" s="1463"/>
      <c r="T177" s="660"/>
      <c r="U177" s="660"/>
      <c r="V177" s="660"/>
      <c r="W177" s="54">
        <f>IF(ScoutFeats&gt;0,1,0)</f>
        <v>0</v>
      </c>
      <c r="X177" s="54">
        <f>IF(SoldierFeats&gt;0,1,0)</f>
        <v>0</v>
      </c>
      <c r="Y177" s="660"/>
      <c r="Z177" s="1562"/>
      <c r="AA177" s="1568"/>
      <c r="AB177" s="1566" t="str">
        <f t="shared" ca="1" si="77"/>
        <v/>
      </c>
      <c r="AC177" s="1365" t="str">
        <f t="shared" ca="1" si="70"/>
        <v/>
      </c>
      <c r="AD177" s="1365" t="str">
        <f t="shared" ca="1" si="71"/>
        <v/>
      </c>
      <c r="AE177" s="1365" t="str">
        <f t="shared" ca="1" si="72"/>
        <v/>
      </c>
      <c r="AF177" s="1365" t="str">
        <f t="shared" ca="1" si="73"/>
        <v/>
      </c>
      <c r="AG177" s="1467" t="str">
        <f t="shared" ca="1" si="74"/>
        <v/>
      </c>
      <c r="AH177" s="1467" t="str">
        <f t="shared" ca="1" si="75"/>
        <v/>
      </c>
    </row>
    <row r="178" spans="2:34">
      <c r="B178" s="1311"/>
      <c r="C178" s="1320" t="s">
        <v>2437</v>
      </c>
      <c r="D178" s="61"/>
      <c r="E178" s="62"/>
      <c r="F178" s="1694" t="s">
        <v>5612</v>
      </c>
      <c r="G178" s="63" t="str">
        <f>IF(CharacterLevel&gt;0,"Yes","No")</f>
        <v>No</v>
      </c>
      <c r="H178" s="76"/>
      <c r="I178" s="63"/>
      <c r="J178" s="63" t="str">
        <f>IF(COUNTIF(T178:Z178,2)&gt;0,IF(G178="Yes","Class",""),IF(COUNTIF(T178:Z178,3)&gt;0,IF(COUNTIF(MulticlassFeats,Feats!C178&amp;IF(Feats!D178&lt;&gt;""," ("&amp;Feats!D178&amp;")","")),"Multi",""),""))</f>
        <v/>
      </c>
      <c r="K178" s="63" t="str">
        <f t="shared" ca="1" si="68"/>
        <v/>
      </c>
      <c r="L178" s="63" t="str">
        <f t="shared" ca="1" si="69"/>
        <v>No</v>
      </c>
      <c r="M178" s="63">
        <f t="shared" ca="1" si="76"/>
        <v>0</v>
      </c>
      <c r="N178" s="63">
        <v>86</v>
      </c>
      <c r="O178" s="64"/>
      <c r="P178" s="660"/>
      <c r="Q178" s="661"/>
      <c r="R178" s="661"/>
      <c r="T178" s="54">
        <f>IF(JediFeats&gt;0,1,0)</f>
        <v>0</v>
      </c>
      <c r="X178" s="54">
        <f>IF(SoldierFeats&gt;0,1,0)</f>
        <v>0</v>
      </c>
      <c r="AB178" s="1566" t="str">
        <f t="shared" ca="1" si="77"/>
        <v/>
      </c>
      <c r="AC178" s="1365" t="str">
        <f t="shared" ca="1" si="70"/>
        <v/>
      </c>
      <c r="AD178" s="1365" t="str">
        <f t="shared" ca="1" si="71"/>
        <v/>
      </c>
      <c r="AE178" s="1365" t="str">
        <f t="shared" ca="1" si="72"/>
        <v/>
      </c>
      <c r="AF178" s="1365" t="str">
        <f t="shared" ca="1" si="73"/>
        <v/>
      </c>
      <c r="AG178" s="1467" t="str">
        <f t="shared" ca="1" si="74"/>
        <v/>
      </c>
      <c r="AH178" s="1467" t="str">
        <f t="shared" ca="1" si="75"/>
        <v/>
      </c>
    </row>
    <row r="179" spans="2:34">
      <c r="B179" s="1311"/>
      <c r="C179" s="1320" t="s">
        <v>2438</v>
      </c>
      <c r="D179" s="61"/>
      <c r="E179" s="62" t="s">
        <v>2439</v>
      </c>
      <c r="F179" s="1694" t="s">
        <v>5612</v>
      </c>
      <c r="G179" s="63" t="str">
        <f ca="1">IF(AND(CharacterLevel&gt;0,BAB&gt;=3,M178&gt;0),"Yes","No")</f>
        <v>No</v>
      </c>
      <c r="H179" s="76"/>
      <c r="I179" s="63"/>
      <c r="J179" s="63" t="str">
        <f>IF(COUNTIF(T179:Z179,2)&gt;0,IF(G179="Yes","Class",""),IF(COUNTIF(T179:Z179,3)&gt;0,IF(COUNTIF(MulticlassFeats,Feats!C179&amp;IF(Feats!D179&lt;&gt;""," ("&amp;Feats!D179&amp;")","")),"Multi",""),""))</f>
        <v/>
      </c>
      <c r="K179" s="63" t="str">
        <f t="shared" ca="1" si="68"/>
        <v/>
      </c>
      <c r="L179" s="63" t="str">
        <f t="shared" ca="1" si="69"/>
        <v>No</v>
      </c>
      <c r="M179" s="63">
        <f t="shared" ca="1" si="76"/>
        <v>0</v>
      </c>
      <c r="N179" s="63">
        <v>86</v>
      </c>
      <c r="O179" s="64"/>
      <c r="P179" s="660"/>
      <c r="Q179" s="661"/>
      <c r="R179" s="661"/>
      <c r="T179" s="54">
        <f>IF(JediFeats&gt;0,1,0)</f>
        <v>0</v>
      </c>
      <c r="X179" s="54">
        <f>IF(SoldierFeats&gt;0,1,0)</f>
        <v>0</v>
      </c>
      <c r="AB179" s="1566" t="str">
        <f t="shared" ca="1" si="77"/>
        <v/>
      </c>
      <c r="AC179" s="1365" t="str">
        <f t="shared" ca="1" si="70"/>
        <v/>
      </c>
      <c r="AD179" s="1365" t="str">
        <f t="shared" ca="1" si="71"/>
        <v/>
      </c>
      <c r="AE179" s="1365" t="str">
        <f t="shared" ca="1" si="72"/>
        <v/>
      </c>
      <c r="AF179" s="1365" t="str">
        <f t="shared" ca="1" si="73"/>
        <v/>
      </c>
      <c r="AG179" s="1467" t="str">
        <f t="shared" ca="1" si="74"/>
        <v/>
      </c>
      <c r="AH179" s="1467" t="str">
        <f t="shared" ca="1" si="75"/>
        <v/>
      </c>
    </row>
    <row r="180" spans="2:34">
      <c r="B180" s="1311"/>
      <c r="C180" s="1320" t="s">
        <v>2440</v>
      </c>
      <c r="D180" s="61"/>
      <c r="E180" s="62" t="s">
        <v>2441</v>
      </c>
      <c r="F180" s="1694" t="s">
        <v>5612</v>
      </c>
      <c r="G180" s="63" t="str">
        <f ca="1">IF(AND(CharacterLevel&gt;0,BAB&gt;=6,M179&gt;0),"Yes","No")</f>
        <v>No</v>
      </c>
      <c r="H180" s="76"/>
      <c r="I180" s="63"/>
      <c r="J180" s="63" t="str">
        <f>IF(COUNTIF(T180:Z180,2)&gt;0,IF(G180="Yes","Class",""),IF(COUNTIF(T180:Z180,3)&gt;0,IF(COUNTIF(MulticlassFeats,Feats!C180&amp;IF(Feats!D180&lt;&gt;""," ("&amp;Feats!D180&amp;")","")),"Multi",""),""))</f>
        <v/>
      </c>
      <c r="K180" s="63" t="str">
        <f t="shared" ca="1" si="68"/>
        <v/>
      </c>
      <c r="L180" s="63" t="str">
        <f t="shared" ca="1" si="69"/>
        <v>No</v>
      </c>
      <c r="M180" s="63">
        <f t="shared" ca="1" si="76"/>
        <v>0</v>
      </c>
      <c r="N180" s="63">
        <v>86</v>
      </c>
      <c r="O180" s="64"/>
      <c r="P180" s="660"/>
      <c r="Q180" s="661"/>
      <c r="R180" s="661"/>
      <c r="T180" s="54">
        <f>IF(JediFeats&gt;0,1,0)</f>
        <v>0</v>
      </c>
      <c r="X180" s="54">
        <f>IF(SoldierFeats&gt;0,1,0)</f>
        <v>0</v>
      </c>
      <c r="AB180" s="1566" t="str">
        <f t="shared" ca="1" si="77"/>
        <v/>
      </c>
      <c r="AC180" s="1365" t="str">
        <f t="shared" ca="1" si="70"/>
        <v/>
      </c>
      <c r="AD180" s="1365" t="str">
        <f t="shared" ca="1" si="71"/>
        <v/>
      </c>
      <c r="AE180" s="1365" t="str">
        <f t="shared" ca="1" si="72"/>
        <v/>
      </c>
      <c r="AF180" s="1365" t="str">
        <f t="shared" ca="1" si="73"/>
        <v/>
      </c>
      <c r="AG180" s="1467" t="str">
        <f t="shared" ca="1" si="74"/>
        <v/>
      </c>
      <c r="AH180" s="1467" t="str">
        <f t="shared" ca="1" si="75"/>
        <v/>
      </c>
    </row>
    <row r="181" spans="2:34">
      <c r="B181" s="60"/>
      <c r="C181" s="1462" t="s">
        <v>8255</v>
      </c>
      <c r="D181" s="1462"/>
      <c r="E181" s="1462" t="s">
        <v>8254</v>
      </c>
      <c r="F181" s="1695" t="s">
        <v>8253</v>
      </c>
      <c r="G181" s="63" t="str">
        <f>IF(AND(CharacterLevel&gt;0,Charisma&gt;=13,OR(TDeception="Yes",STDeception="Yes")),"Yes","No")</f>
        <v>No</v>
      </c>
      <c r="H181" s="76"/>
      <c r="I181" s="63"/>
      <c r="J181" s="63" t="str">
        <f>IF(COUNTIF(T181:Z181,2)&gt;0,IF(G181="Yes","Class",""),IF(COUNTIF(T181:Z181,3)&gt;0,IF(COUNTIF(MulticlassFeats,Feats!A19&amp;IF(Feats!B19&lt;&gt;""," ("&amp;Feats!B19&amp;")","")),"Multi",""),""))</f>
        <v/>
      </c>
      <c r="K181" s="63" t="str">
        <f t="shared" ca="1" si="68"/>
        <v/>
      </c>
      <c r="L181" s="63" t="str">
        <f t="shared" ca="1" si="69"/>
        <v>No</v>
      </c>
      <c r="M181" s="63">
        <f t="shared" ca="1" si="76"/>
        <v>0</v>
      </c>
      <c r="N181" s="1461" t="s">
        <v>8225</v>
      </c>
      <c r="O181" s="1462"/>
      <c r="P181" s="1559"/>
      <c r="R181" s="661"/>
      <c r="S181" s="1463"/>
      <c r="T181" s="660"/>
      <c r="U181" s="660"/>
      <c r="V181" s="660"/>
      <c r="W181" s="660"/>
      <c r="X181" s="660"/>
      <c r="Y181" s="660"/>
      <c r="Z181" s="1562"/>
      <c r="AA181" s="1568"/>
      <c r="AB181" s="1566" t="str">
        <f t="shared" ca="1" si="77"/>
        <v/>
      </c>
      <c r="AC181" s="1365" t="str">
        <f t="shared" ca="1" si="70"/>
        <v/>
      </c>
      <c r="AD181" s="1365" t="str">
        <f t="shared" ca="1" si="71"/>
        <v/>
      </c>
      <c r="AE181" s="1365" t="str">
        <f t="shared" ca="1" si="72"/>
        <v/>
      </c>
      <c r="AF181" s="1365" t="str">
        <f t="shared" ca="1" si="73"/>
        <v/>
      </c>
      <c r="AG181" s="1467" t="str">
        <f t="shared" ca="1" si="74"/>
        <v/>
      </c>
      <c r="AH181" s="1467" t="str">
        <f t="shared" ca="1" si="75"/>
        <v/>
      </c>
    </row>
    <row r="182" spans="2:34">
      <c r="B182" s="60"/>
      <c r="C182" s="1462" t="s">
        <v>8252</v>
      </c>
      <c r="D182" s="1462"/>
      <c r="E182" s="1462" t="s">
        <v>8251</v>
      </c>
      <c r="F182" s="1695" t="s">
        <v>8250</v>
      </c>
      <c r="G182" s="63" t="str">
        <f ca="1">IF(AND($M$239&gt;0,BAB&gt;=4),"Yes","No")</f>
        <v>No</v>
      </c>
      <c r="H182" s="76"/>
      <c r="I182" s="63"/>
      <c r="J182" s="63" t="str">
        <f>IF(COUNTIF(T182:Z182,2)&gt;0,IF(G182="Yes","Class",""),IF(COUNTIF(T182:Z182,3)&gt;0,IF(COUNTIF(MulticlassFeats,Feats!A20&amp;IF(Feats!B20&lt;&gt;""," ("&amp;Feats!B20&amp;")","")),"Multi",""),""))</f>
        <v/>
      </c>
      <c r="K182" s="63" t="str">
        <f t="shared" ca="1" si="68"/>
        <v/>
      </c>
      <c r="L182" s="63" t="str">
        <f t="shared" ca="1" si="69"/>
        <v>No</v>
      </c>
      <c r="M182" s="63">
        <f t="shared" ca="1" si="76"/>
        <v>0</v>
      </c>
      <c r="N182" s="1461" t="s">
        <v>8225</v>
      </c>
      <c r="O182" s="1462"/>
      <c r="P182" s="1559"/>
      <c r="R182" s="661"/>
      <c r="S182" s="1463"/>
      <c r="T182" s="660"/>
      <c r="U182" s="660"/>
      <c r="V182" s="660"/>
      <c r="W182" s="660"/>
      <c r="X182" s="660"/>
      <c r="Y182" s="660"/>
      <c r="Z182" s="1562"/>
      <c r="AA182" s="1568"/>
      <c r="AB182" s="1566" t="str">
        <f t="shared" ca="1" si="77"/>
        <v/>
      </c>
      <c r="AC182" s="1365" t="str">
        <f t="shared" ca="1" si="70"/>
        <v/>
      </c>
      <c r="AD182" s="1365" t="str">
        <f t="shared" ca="1" si="71"/>
        <v/>
      </c>
      <c r="AE182" s="1365" t="str">
        <f t="shared" ca="1" si="72"/>
        <v/>
      </c>
      <c r="AF182" s="1365" t="str">
        <f t="shared" ca="1" si="73"/>
        <v/>
      </c>
      <c r="AG182" s="1467" t="str">
        <f t="shared" ca="1" si="74"/>
        <v/>
      </c>
      <c r="AH182" s="1467" t="str">
        <f t="shared" ca="1" si="75"/>
        <v/>
      </c>
    </row>
    <row r="183" spans="2:34">
      <c r="B183" s="60"/>
      <c r="C183" s="1320" t="s">
        <v>7369</v>
      </c>
      <c r="D183" s="61"/>
      <c r="E183" s="62" t="s">
        <v>7385</v>
      </c>
      <c r="F183" s="1694" t="s">
        <v>7401</v>
      </c>
      <c r="G183" s="63" t="str">
        <f ca="1">IF(AND(Droid,BAB&gt;=1,M178&gt;0),"Yes","No")</f>
        <v>No</v>
      </c>
      <c r="H183" s="76"/>
      <c r="I183" s="63"/>
      <c r="J183" s="63" t="str">
        <f>IF(COUNTIF(T183:Z183,2)&gt;0,IF(G183="Yes","Class",""),IF(COUNTIF(T183:Z183,3)&gt;0,IF(COUNTIF(MulticlassFeats,Feats!C183&amp;IF(Feats!D183&lt;&gt;""," ("&amp;Feats!D183&amp;")","")),"Multi",""),""))</f>
        <v/>
      </c>
      <c r="K183" s="63" t="str">
        <f t="shared" ca="1" si="68"/>
        <v/>
      </c>
      <c r="L183" s="63" t="str">
        <f t="shared" ca="1" si="69"/>
        <v>No</v>
      </c>
      <c r="M183" s="63">
        <f t="shared" ca="1" si="76"/>
        <v>0</v>
      </c>
      <c r="N183" s="63" t="s">
        <v>7515</v>
      </c>
      <c r="O183" s="64"/>
      <c r="P183" s="660"/>
      <c r="Q183" s="661"/>
      <c r="R183" s="661"/>
      <c r="AB183" s="1566" t="str">
        <f t="shared" ca="1" si="77"/>
        <v/>
      </c>
      <c r="AC183" s="1365" t="str">
        <f t="shared" ref="AC183:AC188" ca="1" si="78">IF(AB216&lt;&gt;"",AB216&amp;";"&amp;AC184,AC184)</f>
        <v/>
      </c>
      <c r="AD183" s="1365" t="str">
        <f t="shared" ref="AD183:AD188" ca="1" si="79">IF(AB216&lt;&gt;"",N216&amp;";"&amp;AD184,AD184)</f>
        <v/>
      </c>
      <c r="AE183" s="1365" t="str">
        <f t="shared" ref="AE183:AE188" ca="1" si="80">IF(AB216&lt;&gt;"",IF(R216="Att Options",AB216&amp;IF(AE184&lt;&gt;"",", ",""),"")&amp;AE184,AE184)</f>
        <v/>
      </c>
      <c r="AF183" s="1365" t="str">
        <f t="shared" ref="AF183:AF188" ca="1" si="81">IF(AB216&lt;&gt;"",IF(R216="Special Actions",AB216&amp;IF(AF184&lt;&gt;"",", ",""),"")&amp;AF184,AF184)</f>
        <v/>
      </c>
      <c r="AG183" s="1467" t="str">
        <f t="shared" ref="AG183:AG188" ca="1" si="82">IF(AB216&lt;&gt;"",IF(R216="Defenses",AB216&amp;IF(AG184&lt;&gt;"",", ",""),"")&amp;AG184,AG184)</f>
        <v/>
      </c>
      <c r="AH183" s="1467" t="str">
        <f t="shared" ref="AH183:AH188" ca="1" si="83">IF(AB216&lt;&gt;"",IF(R216="Speed",AB216&amp;IF(AH184&lt;&gt;"",", ",""),"")&amp;AH184,AH184)</f>
        <v/>
      </c>
    </row>
    <row r="184" spans="2:34">
      <c r="B184" s="60"/>
      <c r="C184" s="1320" t="s">
        <v>2417</v>
      </c>
      <c r="D184" s="61"/>
      <c r="E184" s="62" t="s">
        <v>2431</v>
      </c>
      <c r="F184" s="1694" t="s">
        <v>5613</v>
      </c>
      <c r="G184" s="63" t="str">
        <f>IF(AND(CharacterLevel&gt;0,Intelligence&gt;=13),"Yes","No")</f>
        <v>No</v>
      </c>
      <c r="H184" s="76"/>
      <c r="I184" s="63"/>
      <c r="J184" s="63" t="str">
        <f>IF(COUNTIF(T184:Z184,2)&gt;0,IF(G184="Yes","Class",""),IF(COUNTIF(T184:Z184,3)&gt;0,IF(COUNTIF(MulticlassFeats,Feats!C184&amp;IF(Feats!D184&lt;&gt;""," ("&amp;Feats!D184&amp;")","")),"Multi",""),""))</f>
        <v/>
      </c>
      <c r="K184" s="63" t="str">
        <f t="shared" ca="1" si="68"/>
        <v/>
      </c>
      <c r="L184" s="63" t="str">
        <f t="shared" ca="1" si="69"/>
        <v>No</v>
      </c>
      <c r="M184" s="63">
        <f t="shared" ca="1" si="76"/>
        <v>0</v>
      </c>
      <c r="N184" s="63">
        <v>86</v>
      </c>
      <c r="O184" s="64"/>
      <c r="P184" s="660"/>
      <c r="Q184" s="661"/>
      <c r="R184" s="661" t="s">
        <v>4059</v>
      </c>
      <c r="T184" s="54">
        <f>IF(JediFeats&gt;0,1,0)</f>
        <v>0</v>
      </c>
      <c r="U184" s="54">
        <f>IF(NobleFeats&gt;0,1,0)</f>
        <v>0</v>
      </c>
      <c r="V184" s="54">
        <f>IF(ScoundrelFeats&gt;0,1,0)</f>
        <v>0</v>
      </c>
      <c r="X184" s="54">
        <f>IF(SoldierFeats&gt;0,1,0)</f>
        <v>0</v>
      </c>
      <c r="AB184" s="1566" t="str">
        <f t="shared" ca="1" si="77"/>
        <v/>
      </c>
      <c r="AC184" s="1365" t="str">
        <f t="shared" ca="1" si="78"/>
        <v/>
      </c>
      <c r="AD184" s="1365" t="str">
        <f t="shared" ca="1" si="79"/>
        <v/>
      </c>
      <c r="AE184" s="1365" t="str">
        <f t="shared" ca="1" si="80"/>
        <v/>
      </c>
      <c r="AF184" s="1365" t="str">
        <f t="shared" ca="1" si="81"/>
        <v/>
      </c>
      <c r="AG184" s="1467" t="str">
        <f t="shared" ca="1" si="82"/>
        <v/>
      </c>
      <c r="AH184" s="1467" t="str">
        <f t="shared" ca="1" si="83"/>
        <v/>
      </c>
    </row>
    <row r="185" spans="2:34" ht="29">
      <c r="B185" s="60"/>
      <c r="C185" s="1320" t="s">
        <v>1833</v>
      </c>
      <c r="D185" s="61"/>
      <c r="E185" s="62" t="s">
        <v>2442</v>
      </c>
      <c r="F185" s="1694" t="s">
        <v>5614</v>
      </c>
      <c r="G185" s="63" t="str">
        <f>IF(AND(CharacterLevel&gt;0,OR(TDeception&lt;&gt;"",STDeception&lt;&gt;""),Constitution&gt;=13,COUNTIF(SpeciesTraits,"Shapeshift")&gt;0),"Yes","No")</f>
        <v>No</v>
      </c>
      <c r="H185" s="76"/>
      <c r="I185" s="63"/>
      <c r="J185" s="63" t="str">
        <f>IF(COUNTIF(T185:Z185,2)&gt;0,IF(G185="Yes","Class",""),IF(COUNTIF(T185:Z185,3)&gt;0,IF(COUNTIF(MulticlassFeats,Feats!C185&amp;IF(Feats!D185&lt;&gt;""," ("&amp;Feats!D185&amp;")","")),"Multi",""),""))</f>
        <v/>
      </c>
      <c r="K185" s="63" t="str">
        <f t="shared" ca="1" si="68"/>
        <v/>
      </c>
      <c r="L185" s="63" t="str">
        <f t="shared" ca="1" si="69"/>
        <v>No</v>
      </c>
      <c r="M185" s="63">
        <f t="shared" ca="1" si="76"/>
        <v>0</v>
      </c>
      <c r="N185" s="63" t="s">
        <v>2406</v>
      </c>
      <c r="O185" s="64"/>
      <c r="P185" s="660"/>
      <c r="Q185" s="661"/>
      <c r="R185" s="661"/>
      <c r="AB185" s="1566" t="str">
        <f t="shared" ca="1" si="77"/>
        <v/>
      </c>
      <c r="AC185" s="1365" t="str">
        <f t="shared" ca="1" si="78"/>
        <v/>
      </c>
      <c r="AD185" s="1365" t="str">
        <f t="shared" ca="1" si="79"/>
        <v/>
      </c>
      <c r="AE185" s="1365" t="str">
        <f t="shared" ca="1" si="80"/>
        <v/>
      </c>
      <c r="AF185" s="1365" t="str">
        <f t="shared" ca="1" si="81"/>
        <v/>
      </c>
      <c r="AG185" s="1467" t="str">
        <f t="shared" ca="1" si="82"/>
        <v/>
      </c>
      <c r="AH185" s="1467" t="str">
        <f t="shared" ca="1" si="83"/>
        <v/>
      </c>
    </row>
    <row r="186" spans="2:34">
      <c r="B186" s="1311"/>
      <c r="C186" s="1320" t="s">
        <v>2443</v>
      </c>
      <c r="D186" s="61"/>
      <c r="E186" s="62" t="s">
        <v>2444</v>
      </c>
      <c r="F186" s="1694" t="s">
        <v>5615</v>
      </c>
      <c r="G186" s="63" t="str">
        <f>IF(AND(CharacterLevel&gt;0,Strength&gt;=13),"Yes","No")</f>
        <v>No</v>
      </c>
      <c r="H186" s="76"/>
      <c r="I186" s="63"/>
      <c r="J186" s="63" t="str">
        <f>IF(COUNTIF(T186:Z186,2)&gt;0,IF(G186="Yes","Class",""),IF(COUNTIF(T186:Z186,3)&gt;0,IF(COUNTIF(MulticlassFeats,Feats!C186&amp;IF(Feats!D186&lt;&gt;""," ("&amp;Feats!D186&amp;")","")),"Multi",""),""))</f>
        <v/>
      </c>
      <c r="K186" s="63" t="str">
        <f t="shared" ca="1" si="68"/>
        <v/>
      </c>
      <c r="L186" s="63" t="str">
        <f t="shared" ca="1" si="69"/>
        <v>No</v>
      </c>
      <c r="M186" s="63">
        <f t="shared" ca="1" si="76"/>
        <v>0</v>
      </c>
      <c r="N186" s="63">
        <v>86</v>
      </c>
      <c r="O186" s="64"/>
      <c r="P186" s="660"/>
      <c r="Q186" s="661"/>
      <c r="R186" s="661" t="s">
        <v>4059</v>
      </c>
      <c r="X186" s="54">
        <f>IF(SoldierFeats&gt;0,1,0)</f>
        <v>0</v>
      </c>
      <c r="AB186" s="1566" t="str">
        <f t="shared" ca="1" si="77"/>
        <v/>
      </c>
      <c r="AC186" s="1365" t="str">
        <f t="shared" ca="1" si="78"/>
        <v/>
      </c>
      <c r="AD186" s="1365" t="str">
        <f t="shared" ca="1" si="79"/>
        <v/>
      </c>
      <c r="AE186" s="1365" t="str">
        <f t="shared" ca="1" si="80"/>
        <v/>
      </c>
      <c r="AF186" s="1365" t="str">
        <f t="shared" ca="1" si="81"/>
        <v/>
      </c>
      <c r="AG186" s="1467" t="str">
        <f t="shared" ca="1" si="82"/>
        <v/>
      </c>
      <c r="AH186" s="1467" t="str">
        <f t="shared" ca="1" si="83"/>
        <v/>
      </c>
    </row>
    <row r="187" spans="2:34">
      <c r="B187" s="60"/>
      <c r="C187" s="1320" t="s">
        <v>2445</v>
      </c>
      <c r="D187" s="61"/>
      <c r="E187" s="62" t="s">
        <v>2444</v>
      </c>
      <c r="F187" s="1694" t="s">
        <v>5616</v>
      </c>
      <c r="G187" s="63" t="str">
        <f>IF(AND(CharacterLevel&gt;0,Strength&gt;=13),"Yes","No")</f>
        <v>No</v>
      </c>
      <c r="H187" s="76"/>
      <c r="I187" s="63"/>
      <c r="J187" s="63" t="str">
        <f>IF(COUNTIF(T187:Z187,2)&gt;0,IF(G187="Yes","Class",""),IF(COUNTIF(T187:Z187,3)&gt;0,IF(COUNTIF(MulticlassFeats,Feats!C187&amp;IF(Feats!D187&lt;&gt;""," ("&amp;Feats!D187&amp;")","")),"Multi",""),""))</f>
        <v/>
      </c>
      <c r="K187" s="63" t="str">
        <f t="shared" ca="1" si="68"/>
        <v/>
      </c>
      <c r="L187" s="63" t="str">
        <f t="shared" ca="1" si="69"/>
        <v>No</v>
      </c>
      <c r="M187" s="63">
        <f t="shared" ca="1" si="76"/>
        <v>0</v>
      </c>
      <c r="N187" s="63" t="s">
        <v>2322</v>
      </c>
      <c r="O187" s="64"/>
      <c r="P187" s="660"/>
      <c r="Q187" s="661"/>
      <c r="R187" s="661" t="s">
        <v>4059</v>
      </c>
      <c r="X187" s="54">
        <f>IF(SoldierFeats&gt;0,1,0)</f>
        <v>0</v>
      </c>
      <c r="AB187" s="1566" t="str">
        <f t="shared" ca="1" si="77"/>
        <v/>
      </c>
      <c r="AC187" s="1365" t="str">
        <f t="shared" ca="1" si="78"/>
        <v/>
      </c>
      <c r="AD187" s="1365" t="str">
        <f t="shared" ca="1" si="79"/>
        <v/>
      </c>
      <c r="AE187" s="1365" t="str">
        <f t="shared" ca="1" si="80"/>
        <v/>
      </c>
      <c r="AF187" s="1365" t="str">
        <f t="shared" ca="1" si="81"/>
        <v/>
      </c>
      <c r="AG187" s="1467" t="str">
        <f t="shared" ca="1" si="82"/>
        <v/>
      </c>
      <c r="AH187" s="1467" t="str">
        <f t="shared" ca="1" si="83"/>
        <v/>
      </c>
    </row>
    <row r="188" spans="2:34">
      <c r="B188" s="1311"/>
      <c r="C188" s="1320" t="s">
        <v>6703</v>
      </c>
      <c r="D188" s="61"/>
      <c r="E188" s="62" t="str">
        <f>"Trained in "&amp;Skills!C11</f>
        <v>Trained in Acrobatics</v>
      </c>
      <c r="F188" s="1694" t="s">
        <v>6704</v>
      </c>
      <c r="G188" s="63" t="str">
        <f>IF(AND(CharacterLevel&gt;0,OR(Skills!F11="Yes",Skills!G11="Yes")),"Yes","No")</f>
        <v>No</v>
      </c>
      <c r="H188" s="76"/>
      <c r="I188" s="63"/>
      <c r="J188" s="63" t="str">
        <f>IF(COUNTIF(T188:Z188,2)&gt;0,IF(G188="Yes","Class",""),IF(COUNTIF(T188:Z188,3)&gt;0,IF(COUNTIF(MulticlassFeats,Feats!C188&amp;IF(Feats!D188&lt;&gt;""," ("&amp;Feats!D188&amp;")","")),"Multi",""),""))</f>
        <v/>
      </c>
      <c r="K188" s="63" t="str">
        <f t="shared" ca="1" si="68"/>
        <v/>
      </c>
      <c r="L188" s="63" t="str">
        <f t="shared" ca="1" si="69"/>
        <v>No</v>
      </c>
      <c r="M188" s="63">
        <f t="shared" ca="1" si="76"/>
        <v>0</v>
      </c>
      <c r="N188" s="63" t="s">
        <v>6754</v>
      </c>
      <c r="O188" s="64"/>
      <c r="P188" s="660"/>
      <c r="Q188" s="661"/>
      <c r="R188" s="661"/>
      <c r="AB188" s="1566" t="str">
        <f t="shared" ca="1" si="77"/>
        <v/>
      </c>
      <c r="AC188" s="1365" t="str">
        <f t="shared" ca="1" si="78"/>
        <v/>
      </c>
      <c r="AD188" s="1365" t="str">
        <f t="shared" ca="1" si="79"/>
        <v/>
      </c>
      <c r="AE188" s="1365" t="str">
        <f t="shared" ca="1" si="80"/>
        <v/>
      </c>
      <c r="AF188" s="1365" t="str">
        <f t="shared" ca="1" si="81"/>
        <v/>
      </c>
      <c r="AG188" s="1467" t="str">
        <f t="shared" ca="1" si="82"/>
        <v/>
      </c>
      <c r="AH188" s="1467" t="str">
        <f t="shared" ca="1" si="83"/>
        <v/>
      </c>
    </row>
    <row r="189" spans="2:34">
      <c r="B189" s="1311"/>
      <c r="C189" s="1320" t="s">
        <v>6705</v>
      </c>
      <c r="D189" s="61"/>
      <c r="E189" s="62" t="str">
        <f>"Trained in "&amp;Skills!C12</f>
        <v>Trained in Climb</v>
      </c>
      <c r="F189" s="1694" t="s">
        <v>6706</v>
      </c>
      <c r="G189" s="63" t="str">
        <f>IF(AND(CharacterLevel&gt;0,OR(Skills!F12="Yes",Skills!G12="Yes")),"Yes","No")</f>
        <v>No</v>
      </c>
      <c r="H189" s="76"/>
      <c r="I189" s="63"/>
      <c r="J189" s="63" t="str">
        <f>IF(COUNTIF(T189:Z189,2)&gt;0,IF(G189="Yes","Class",""),IF(COUNTIF(T189:Z189,3)&gt;0,IF(COUNTIF(MulticlassFeats,Feats!C189&amp;IF(Feats!D189&lt;&gt;""," ("&amp;Feats!D189&amp;")","")),"Multi",""),""))</f>
        <v/>
      </c>
      <c r="K189" s="63" t="str">
        <f t="shared" ca="1" si="68"/>
        <v/>
      </c>
      <c r="L189" s="63" t="str">
        <f t="shared" ca="1" si="69"/>
        <v>No</v>
      </c>
      <c r="M189" s="63">
        <f t="shared" ca="1" si="76"/>
        <v>0</v>
      </c>
      <c r="N189" s="63" t="s">
        <v>6754</v>
      </c>
      <c r="O189" s="64"/>
      <c r="P189" s="660"/>
      <c r="Q189" s="661"/>
      <c r="R189" s="661"/>
      <c r="AB189" s="1566" t="str">
        <f t="shared" ca="1" si="77"/>
        <v/>
      </c>
      <c r="AC189" s="1365" t="str">
        <f ca="1">IF(AB223&lt;&gt;"",AB223&amp;";"&amp;AC190,AC190)</f>
        <v/>
      </c>
      <c r="AD189" s="1365" t="str">
        <f ca="1">IF(AB223&lt;&gt;"",N223&amp;";"&amp;AD190,AD190)</f>
        <v/>
      </c>
      <c r="AE189" s="1365" t="str">
        <f ca="1">IF(AB223&lt;&gt;"",IF(R223="Att Options",AB223&amp;IF(AE190&lt;&gt;"",", ",""),"")&amp;AE190,AE190)</f>
        <v/>
      </c>
      <c r="AF189" s="1365" t="str">
        <f ca="1">IF(AB223&lt;&gt;"",IF(R223="Special Actions",AB223&amp;IF(AF190&lt;&gt;"",", ",""),"")&amp;AF190,AF190)</f>
        <v/>
      </c>
      <c r="AG189" s="1467" t="str">
        <f ca="1">IF(AB223&lt;&gt;"",IF(R223="Defenses",AB223&amp;IF(AG190&lt;&gt;"",", ",""),"")&amp;AG190,AG190)</f>
        <v/>
      </c>
      <c r="AH189" s="1467" t="str">
        <f ca="1">IF(AB223&lt;&gt;"",IF(R223="Speed",AB223&amp;IF(AH190&lt;&gt;"",", ",""),"")&amp;AH190,AH190)</f>
        <v/>
      </c>
    </row>
    <row r="190" spans="2:34">
      <c r="B190" s="60"/>
      <c r="C190" s="1320" t="s">
        <v>6707</v>
      </c>
      <c r="D190" s="61"/>
      <c r="E190" s="62" t="str">
        <f>"Trained in "&amp;Skills!C13</f>
        <v>Trained in Deception</v>
      </c>
      <c r="F190" s="1694" t="s">
        <v>6708</v>
      </c>
      <c r="G190" s="63" t="str">
        <f>IF(AND(CharacterLevel&gt;0,OR(Skills!F13="Yes",Skills!G13="Yes")),"Yes","No")</f>
        <v>No</v>
      </c>
      <c r="H190" s="76"/>
      <c r="I190" s="63"/>
      <c r="J190" s="63" t="str">
        <f>IF(COUNTIF(T190:Z190,2)&gt;0,IF(G190="Yes","Class",""),IF(COUNTIF(T190:Z190,3)&gt;0,IF(COUNTIF(MulticlassFeats,Feats!C190&amp;IF(Feats!D190&lt;&gt;""," ("&amp;Feats!D190&amp;")","")),"Multi",""),""))</f>
        <v/>
      </c>
      <c r="K190" s="63" t="str">
        <f t="shared" ca="1" si="68"/>
        <v/>
      </c>
      <c r="L190" s="63" t="str">
        <f t="shared" ca="1" si="69"/>
        <v>No</v>
      </c>
      <c r="M190" s="63">
        <f t="shared" ca="1" si="76"/>
        <v>0</v>
      </c>
      <c r="N190" s="63" t="s">
        <v>6754</v>
      </c>
      <c r="O190" s="64"/>
      <c r="P190" s="660"/>
      <c r="Q190" s="661"/>
      <c r="R190" s="661"/>
      <c r="AB190" s="1566" t="str">
        <f t="shared" ca="1" si="77"/>
        <v/>
      </c>
      <c r="AC190" s="1365" t="str">
        <f ca="1">IF(AB224&lt;&gt;"",AB224&amp;";"&amp;AC191,AC191)</f>
        <v/>
      </c>
      <c r="AD190" s="1365" t="str">
        <f ca="1">IF(AB224&lt;&gt;"",N224&amp;";"&amp;AD191,AD191)</f>
        <v/>
      </c>
      <c r="AE190" s="1365" t="str">
        <f ca="1">IF(AB224&lt;&gt;"",IF(R224="Att Options",AB224&amp;IF(AE191&lt;&gt;"",", ",""),"")&amp;AE191,AE191)</f>
        <v/>
      </c>
      <c r="AF190" s="1365" t="str">
        <f ca="1">IF(AB224&lt;&gt;"",IF(R224="Special Actions",AB224&amp;IF(AF191&lt;&gt;"",", ",""),"")&amp;AF191,AF191)</f>
        <v/>
      </c>
      <c r="AG190" s="1467" t="str">
        <f ca="1">IF(AB224&lt;&gt;"",IF(R224="Defenses",AB224&amp;IF(AG191&lt;&gt;"",", ",""),"")&amp;AG191,AG191)</f>
        <v/>
      </c>
      <c r="AH190" s="1467" t="str">
        <f ca="1">IF(AB224&lt;&gt;"",IF(R224="Speed",AB224&amp;IF(AH191&lt;&gt;"",", ",""),"")&amp;AH191,AH191)</f>
        <v/>
      </c>
    </row>
    <row r="191" spans="2:34">
      <c r="B191" s="1311"/>
      <c r="C191" s="1320" t="s">
        <v>6709</v>
      </c>
      <c r="D191" s="61"/>
      <c r="E191" s="62" t="str">
        <f>"Trained in "&amp;Skills!C14</f>
        <v>Trained in Endurance</v>
      </c>
      <c r="F191" s="1694" t="s">
        <v>6710</v>
      </c>
      <c r="G191" s="63" t="str">
        <f>IF(AND(CharacterLevel&gt;0,OR(Skills!F14="Yes",Skills!G14="Yes")),"Yes","No")</f>
        <v>No</v>
      </c>
      <c r="H191" s="76"/>
      <c r="I191" s="63"/>
      <c r="J191" s="63" t="str">
        <f>IF(COUNTIF(T191:Z191,2)&gt;0,IF(G191="Yes","Class",""),IF(COUNTIF(T191:Z191,3)&gt;0,IF(COUNTIF(MulticlassFeats,Feats!C191&amp;IF(Feats!D191&lt;&gt;""," ("&amp;Feats!D191&amp;")","")),"Multi",""),""))</f>
        <v/>
      </c>
      <c r="K191" s="63" t="str">
        <f t="shared" ca="1" si="68"/>
        <v/>
      </c>
      <c r="L191" s="63" t="str">
        <f t="shared" ca="1" si="69"/>
        <v>No</v>
      </c>
      <c r="M191" s="63">
        <f t="shared" ca="1" si="76"/>
        <v>0</v>
      </c>
      <c r="N191" s="63" t="s">
        <v>6754</v>
      </c>
      <c r="O191" s="64"/>
      <c r="P191" s="660"/>
      <c r="Q191" s="661"/>
      <c r="R191" s="661"/>
      <c r="AB191" s="1566" t="str">
        <f t="shared" ca="1" si="77"/>
        <v/>
      </c>
      <c r="AC191" s="1365" t="str">
        <f ca="1">IF(AB225&lt;&gt;"",AB225&amp;";"&amp;AC192,AC192)</f>
        <v/>
      </c>
      <c r="AD191" s="1365" t="str">
        <f ca="1">IF(AB225&lt;&gt;"",N225&amp;";"&amp;AD192,AD192)</f>
        <v/>
      </c>
      <c r="AE191" s="1365" t="str">
        <f ca="1">IF(AB225&lt;&gt;"",IF(R225="Att Options",AB225&amp;IF(AE192&lt;&gt;"",", ",""),"")&amp;AE192,AE192)</f>
        <v/>
      </c>
      <c r="AF191" s="1365" t="str">
        <f ca="1">IF(AB225&lt;&gt;"",IF(R225="Special Actions",AB225&amp;IF(AF192&lt;&gt;"",", ",""),"")&amp;AF192,AF192)</f>
        <v/>
      </c>
      <c r="AG191" s="1467" t="str">
        <f ca="1">IF(AB225&lt;&gt;"",IF(R225="Defenses",AB225&amp;IF(AG192&lt;&gt;"",", ",""),"")&amp;AG192,AG192)</f>
        <v/>
      </c>
      <c r="AH191" s="1467" t="str">
        <f ca="1">IF(AB225&lt;&gt;"",IF(R225="Speed",AB225&amp;IF(AH192&lt;&gt;"",", ",""),"")&amp;AH192,AH192)</f>
        <v/>
      </c>
    </row>
    <row r="192" spans="2:34">
      <c r="B192" s="60"/>
      <c r="C192" s="1320" t="s">
        <v>6711</v>
      </c>
      <c r="D192" s="61"/>
      <c r="E192" s="62" t="str">
        <f>"Trained in "&amp;Skills!C15</f>
        <v>Trained in Gather Information</v>
      </c>
      <c r="F192" s="1694" t="s">
        <v>6712</v>
      </c>
      <c r="G192" s="63" t="str">
        <f>IF(AND(CharacterLevel&gt;0,OR(Skills!F15="Yes",Skills!G15="Yes")),"Yes","No")</f>
        <v>No</v>
      </c>
      <c r="H192" s="76"/>
      <c r="I192" s="63"/>
      <c r="J192" s="63" t="str">
        <f>IF(COUNTIF(T192:Z192,2)&gt;0,IF(G192="Yes","Class",""),IF(COUNTIF(T192:Z192,3)&gt;0,IF(COUNTIF(MulticlassFeats,Feats!C192&amp;IF(Feats!D192&lt;&gt;""," ("&amp;Feats!D192&amp;")","")),"Multi",""),""))</f>
        <v/>
      </c>
      <c r="K192" s="63" t="str">
        <f t="shared" ca="1" si="68"/>
        <v/>
      </c>
      <c r="L192" s="63" t="str">
        <f t="shared" ca="1" si="69"/>
        <v>No</v>
      </c>
      <c r="M192" s="63">
        <f t="shared" ca="1" si="76"/>
        <v>0</v>
      </c>
      <c r="N192" s="63" t="s">
        <v>6754</v>
      </c>
      <c r="O192" s="64"/>
      <c r="P192" s="660"/>
      <c r="Q192" s="661"/>
      <c r="R192" s="661"/>
      <c r="AB192" s="1566" t="str">
        <f t="shared" ca="1" si="77"/>
        <v/>
      </c>
      <c r="AC192" s="1365" t="str">
        <f t="shared" ref="AC192:AC219" ca="1" si="84">IF(AB227&lt;&gt;"",AB227&amp;";"&amp;AC193,AC193)</f>
        <v/>
      </c>
      <c r="AD192" s="1365" t="str">
        <f t="shared" ref="AD192:AD219" ca="1" si="85">IF(AB227&lt;&gt;"",N227&amp;";"&amp;AD193,AD193)</f>
        <v/>
      </c>
      <c r="AE192" s="1365" t="str">
        <f t="shared" ref="AE192:AE219" ca="1" si="86">IF(AB227&lt;&gt;"",IF(R227="Att Options",AB227&amp;IF(AE193&lt;&gt;"",", ",""),"")&amp;AE193,AE193)</f>
        <v/>
      </c>
      <c r="AF192" s="1365" t="str">
        <f t="shared" ref="AF192:AF219" ca="1" si="87">IF(AB227&lt;&gt;"",IF(R227="Special Actions",AB227&amp;IF(AF193&lt;&gt;"",", ",""),"")&amp;AF193,AF193)</f>
        <v/>
      </c>
      <c r="AG192" s="1467" t="str">
        <f t="shared" ref="AG192:AG219" ca="1" si="88">IF(AB227&lt;&gt;"",IF(R227="Defenses",AB227&amp;IF(AG193&lt;&gt;"",", ",""),"")&amp;AG193,AG193)</f>
        <v/>
      </c>
      <c r="AH192" s="1467" t="str">
        <f t="shared" ref="AH192:AH219" ca="1" si="89">IF(AB227&lt;&gt;"",IF(R227="Speed",AB227&amp;IF(AH193&lt;&gt;"",", ",""),"")&amp;AH193,AH193)</f>
        <v/>
      </c>
    </row>
    <row r="193" spans="2:34">
      <c r="B193" s="60"/>
      <c r="C193" s="1320" t="s">
        <v>6713</v>
      </c>
      <c r="D193" s="61"/>
      <c r="E193" s="62" t="str">
        <f>"Trained in "&amp;Skills!C16</f>
        <v>Trained in Initiative</v>
      </c>
      <c r="F193" s="1694" t="s">
        <v>6714</v>
      </c>
      <c r="G193" s="63" t="str">
        <f>IF(AND(CharacterLevel&gt;0,OR(Skills!F16="Yes",Skills!G16="Yes")),"Yes","No")</f>
        <v>No</v>
      </c>
      <c r="H193" s="76"/>
      <c r="I193" s="63"/>
      <c r="J193" s="63" t="str">
        <f>IF(COUNTIF(T193:Z193,2)&gt;0,IF(G193="Yes","Class",""),IF(COUNTIF(T193:Z193,3)&gt;0,IF(COUNTIF(MulticlassFeats,Feats!C193&amp;IF(Feats!D193&lt;&gt;""," ("&amp;Feats!D193&amp;")","")),"Multi",""),""))</f>
        <v/>
      </c>
      <c r="K193" s="63" t="str">
        <f t="shared" ca="1" si="68"/>
        <v/>
      </c>
      <c r="L193" s="63" t="str">
        <f t="shared" ca="1" si="69"/>
        <v>No</v>
      </c>
      <c r="M193" s="63">
        <f t="shared" ca="1" si="76"/>
        <v>0</v>
      </c>
      <c r="N193" s="63" t="s">
        <v>6754</v>
      </c>
      <c r="O193" s="64"/>
      <c r="P193" s="660"/>
      <c r="Q193" s="661"/>
      <c r="R193" s="661"/>
      <c r="AB193" s="1566" t="str">
        <f t="shared" ca="1" si="77"/>
        <v/>
      </c>
      <c r="AC193" s="1365" t="str">
        <f t="shared" ca="1" si="84"/>
        <v/>
      </c>
      <c r="AD193" s="1365" t="str">
        <f t="shared" ca="1" si="85"/>
        <v/>
      </c>
      <c r="AE193" s="1365" t="str">
        <f t="shared" ca="1" si="86"/>
        <v/>
      </c>
      <c r="AF193" s="1365" t="str">
        <f t="shared" ca="1" si="87"/>
        <v/>
      </c>
      <c r="AG193" s="1467" t="str">
        <f t="shared" ca="1" si="88"/>
        <v/>
      </c>
      <c r="AH193" s="1467" t="str">
        <f t="shared" ca="1" si="89"/>
        <v/>
      </c>
    </row>
    <row r="194" spans="2:34">
      <c r="B194" s="60"/>
      <c r="C194" s="1320" t="s">
        <v>6715</v>
      </c>
      <c r="D194" s="61"/>
      <c r="E194" s="62" t="str">
        <f>"Trained in "&amp;Skills!C17</f>
        <v>Trained in Jump</v>
      </c>
      <c r="F194" s="1694" t="s">
        <v>6716</v>
      </c>
      <c r="G194" s="63" t="str">
        <f>IF(AND(CharacterLevel&gt;0,OR(Skills!F17="Yes",Skills!G17="Yes")),"Yes","No")</f>
        <v>No</v>
      </c>
      <c r="H194" s="76"/>
      <c r="I194" s="63"/>
      <c r="J194" s="63" t="str">
        <f>IF(COUNTIF(T194:Z194,2)&gt;0,IF(G194="Yes","Class",""),IF(COUNTIF(T194:Z194,3)&gt;0,IF(COUNTIF(MulticlassFeats,Feats!C194&amp;IF(Feats!D194&lt;&gt;""," ("&amp;Feats!D194&amp;")","")),"Multi",""),""))</f>
        <v/>
      </c>
      <c r="K194" s="63" t="str">
        <f t="shared" ca="1" si="68"/>
        <v/>
      </c>
      <c r="L194" s="63" t="str">
        <f t="shared" ca="1" si="69"/>
        <v>No</v>
      </c>
      <c r="M194" s="63">
        <f t="shared" ca="1" si="76"/>
        <v>0</v>
      </c>
      <c r="N194" s="63" t="s">
        <v>6754</v>
      </c>
      <c r="O194" s="64"/>
      <c r="P194" s="660"/>
      <c r="Q194" s="661"/>
      <c r="R194" s="661"/>
      <c r="AB194" s="1566" t="str">
        <f t="shared" ca="1" si="77"/>
        <v/>
      </c>
      <c r="AC194" s="1365" t="str">
        <f t="shared" ca="1" si="84"/>
        <v/>
      </c>
      <c r="AD194" s="1365" t="str">
        <f t="shared" ca="1" si="85"/>
        <v/>
      </c>
      <c r="AE194" s="1365" t="str">
        <f t="shared" ca="1" si="86"/>
        <v/>
      </c>
      <c r="AF194" s="1365" t="str">
        <f t="shared" ca="1" si="87"/>
        <v/>
      </c>
      <c r="AG194" s="1467" t="str">
        <f t="shared" ca="1" si="88"/>
        <v/>
      </c>
      <c r="AH194" s="1467" t="str">
        <f t="shared" ca="1" si="89"/>
        <v/>
      </c>
    </row>
    <row r="195" spans="2:34">
      <c r="B195" s="1311"/>
      <c r="C195" s="1320" t="s">
        <v>6717</v>
      </c>
      <c r="D195" s="61"/>
      <c r="E195" s="62" t="str">
        <f>"Trained in "&amp;Skills!C18</f>
        <v>Trained in Knowledge (Bureaucracy)</v>
      </c>
      <c r="F195" s="1694" t="s">
        <v>6718</v>
      </c>
      <c r="G195" s="63" t="str">
        <f>IF(AND(CharacterLevel&gt;0,OR(Skills!F18="Yes",Skills!G18="Yes")),"Yes","No")</f>
        <v>No</v>
      </c>
      <c r="H195" s="76"/>
      <c r="I195" s="63"/>
      <c r="J195" s="63" t="str">
        <f>IF(COUNTIF(T195:Z195,2)&gt;0,IF(G195="Yes","Class",""),IF(COUNTIF(T195:Z195,3)&gt;0,IF(COUNTIF(MulticlassFeats,Feats!C195&amp;IF(Feats!D195&lt;&gt;""," ("&amp;Feats!D195&amp;")","")),"Multi",""),""))</f>
        <v/>
      </c>
      <c r="K195" s="63" t="str">
        <f t="shared" ca="1" si="68"/>
        <v/>
      </c>
      <c r="L195" s="63" t="str">
        <f t="shared" ca="1" si="69"/>
        <v>No</v>
      </c>
      <c r="M195" s="63">
        <f t="shared" ca="1" si="76"/>
        <v>0</v>
      </c>
      <c r="N195" s="63" t="s">
        <v>6754</v>
      </c>
      <c r="O195" s="64"/>
      <c r="P195" s="660"/>
      <c r="Q195" s="661"/>
      <c r="R195" s="661"/>
      <c r="AB195" s="1566" t="str">
        <f t="shared" ca="1" si="77"/>
        <v/>
      </c>
      <c r="AC195" s="1365" t="str">
        <f t="shared" ca="1" si="84"/>
        <v/>
      </c>
      <c r="AD195" s="1365" t="str">
        <f t="shared" ca="1" si="85"/>
        <v/>
      </c>
      <c r="AE195" s="1365" t="str">
        <f t="shared" ca="1" si="86"/>
        <v/>
      </c>
      <c r="AF195" s="1365" t="str">
        <f t="shared" ca="1" si="87"/>
        <v/>
      </c>
      <c r="AG195" s="1467" t="str">
        <f t="shared" ca="1" si="88"/>
        <v/>
      </c>
      <c r="AH195" s="1467" t="str">
        <f t="shared" ca="1" si="89"/>
        <v/>
      </c>
    </row>
    <row r="196" spans="2:34">
      <c r="B196" s="1311"/>
      <c r="C196" s="1320" t="s">
        <v>6719</v>
      </c>
      <c r="D196" s="61"/>
      <c r="E196" s="62" t="str">
        <f>"Trained in "&amp;Skills!C19</f>
        <v>Trained in Knowledge (Galactic Lore)</v>
      </c>
      <c r="F196" s="1694" t="s">
        <v>6720</v>
      </c>
      <c r="G196" s="63" t="str">
        <f>IF(AND(CharacterLevel&gt;0,OR(Skills!F19="Yes",Skills!G19="Yes")),"Yes","No")</f>
        <v>No</v>
      </c>
      <c r="H196" s="76"/>
      <c r="I196" s="63"/>
      <c r="J196" s="63" t="str">
        <f>IF(COUNTIF(T196:Z196,2)&gt;0,IF(G196="Yes","Class",""),IF(COUNTIF(T196:Z196,3)&gt;0,IF(COUNTIF(MulticlassFeats,Feats!C196&amp;IF(Feats!D196&lt;&gt;""," ("&amp;Feats!D196&amp;")","")),"Multi",""),""))</f>
        <v/>
      </c>
      <c r="K196" s="63" t="str">
        <f t="shared" ca="1" si="68"/>
        <v/>
      </c>
      <c r="L196" s="63" t="str">
        <f t="shared" ca="1" si="69"/>
        <v>No</v>
      </c>
      <c r="M196" s="63">
        <f t="shared" ca="1" si="76"/>
        <v>0</v>
      </c>
      <c r="N196" s="63" t="s">
        <v>6754</v>
      </c>
      <c r="O196" s="64"/>
      <c r="P196" s="660"/>
      <c r="Q196" s="661"/>
      <c r="R196" s="661"/>
      <c r="AB196" s="1566" t="str">
        <f t="shared" ca="1" si="77"/>
        <v/>
      </c>
      <c r="AC196" s="1365" t="str">
        <f t="shared" ca="1" si="84"/>
        <v/>
      </c>
      <c r="AD196" s="1365" t="str">
        <f t="shared" ca="1" si="85"/>
        <v/>
      </c>
      <c r="AE196" s="1365" t="str">
        <f t="shared" ca="1" si="86"/>
        <v/>
      </c>
      <c r="AF196" s="1365" t="str">
        <f t="shared" ca="1" si="87"/>
        <v/>
      </c>
      <c r="AG196" s="1467" t="str">
        <f t="shared" ca="1" si="88"/>
        <v/>
      </c>
      <c r="AH196" s="1467" t="str">
        <f t="shared" ca="1" si="89"/>
        <v/>
      </c>
    </row>
    <row r="197" spans="2:34">
      <c r="B197" s="1311"/>
      <c r="C197" s="1320" t="s">
        <v>6721</v>
      </c>
      <c r="D197" s="61"/>
      <c r="E197" s="62" t="str">
        <f>"Trained in "&amp;Skills!C20</f>
        <v>Trained in Knowledge (Life Sciences)</v>
      </c>
      <c r="F197" s="1694" t="s">
        <v>6722</v>
      </c>
      <c r="G197" s="63" t="str">
        <f>IF(AND(CharacterLevel&gt;0,OR(Skills!F20="Yes",Skills!G20="Yes")),"Yes","No")</f>
        <v>No</v>
      </c>
      <c r="H197" s="76"/>
      <c r="I197" s="63"/>
      <c r="J197" s="63" t="str">
        <f>IF(COUNTIF(T197:Z197,2)&gt;0,IF(G197="Yes","Class",""),IF(COUNTIF(T197:Z197,3)&gt;0,IF(COUNTIF(MulticlassFeats,Feats!C197&amp;IF(Feats!D197&lt;&gt;""," ("&amp;Feats!D197&amp;")","")),"Multi",""),""))</f>
        <v/>
      </c>
      <c r="K197" s="63" t="str">
        <f t="shared" ca="1" si="68"/>
        <v/>
      </c>
      <c r="L197" s="63" t="str">
        <f t="shared" ca="1" si="69"/>
        <v>No</v>
      </c>
      <c r="M197" s="63">
        <f t="shared" ca="1" si="76"/>
        <v>0</v>
      </c>
      <c r="N197" s="63" t="s">
        <v>6754</v>
      </c>
      <c r="O197" s="64"/>
      <c r="P197" s="660"/>
      <c r="Q197" s="661"/>
      <c r="R197" s="661"/>
      <c r="AB197" s="1566" t="str">
        <f t="shared" ca="1" si="77"/>
        <v/>
      </c>
      <c r="AC197" s="1365" t="str">
        <f t="shared" ca="1" si="84"/>
        <v/>
      </c>
      <c r="AD197" s="1365" t="str">
        <f t="shared" ca="1" si="85"/>
        <v/>
      </c>
      <c r="AE197" s="1365" t="str">
        <f t="shared" ca="1" si="86"/>
        <v/>
      </c>
      <c r="AF197" s="1365" t="str">
        <f t="shared" ca="1" si="87"/>
        <v/>
      </c>
      <c r="AG197" s="1467" t="str">
        <f t="shared" ca="1" si="88"/>
        <v/>
      </c>
      <c r="AH197" s="1467" t="str">
        <f t="shared" ca="1" si="89"/>
        <v/>
      </c>
    </row>
    <row r="198" spans="2:34">
      <c r="B198" s="60"/>
      <c r="C198" s="1320" t="s">
        <v>6723</v>
      </c>
      <c r="D198" s="61"/>
      <c r="E198" s="62" t="str">
        <f>"Trained in "&amp;Skills!C21</f>
        <v>Trained in Knowledge (Physical Sciences)</v>
      </c>
      <c r="F198" s="1694" t="s">
        <v>6724</v>
      </c>
      <c r="G198" s="63" t="str">
        <f>IF(AND(CharacterLevel&gt;0,OR(Skills!F21="Yes",Skills!G21="Yes")),"Yes","No")</f>
        <v>No</v>
      </c>
      <c r="H198" s="76"/>
      <c r="I198" s="63"/>
      <c r="J198" s="63" t="str">
        <f>IF(COUNTIF(T198:Z198,2)&gt;0,IF(G198="Yes","Class",""),IF(COUNTIF(T198:Z198,3)&gt;0,IF(COUNTIF(MulticlassFeats,Feats!C198&amp;IF(Feats!D198&lt;&gt;""," ("&amp;Feats!D198&amp;")","")),"Multi",""),""))</f>
        <v/>
      </c>
      <c r="K198" s="63" t="str">
        <f t="shared" ca="1" si="68"/>
        <v/>
      </c>
      <c r="L198" s="63" t="str">
        <f t="shared" ca="1" si="69"/>
        <v>No</v>
      </c>
      <c r="M198" s="63">
        <f t="shared" ca="1" si="76"/>
        <v>0</v>
      </c>
      <c r="N198" s="63" t="s">
        <v>6754</v>
      </c>
      <c r="O198" s="64"/>
      <c r="P198" s="660"/>
      <c r="Q198" s="661"/>
      <c r="R198" s="661"/>
      <c r="AB198" s="1566" t="str">
        <f t="shared" ca="1" si="77"/>
        <v/>
      </c>
      <c r="AC198" s="1365" t="str">
        <f t="shared" ca="1" si="84"/>
        <v/>
      </c>
      <c r="AD198" s="1365" t="str">
        <f t="shared" ca="1" si="85"/>
        <v/>
      </c>
      <c r="AE198" s="1365" t="str">
        <f t="shared" ca="1" si="86"/>
        <v/>
      </c>
      <c r="AF198" s="1365" t="str">
        <f t="shared" ca="1" si="87"/>
        <v/>
      </c>
      <c r="AG198" s="1467" t="str">
        <f t="shared" ca="1" si="88"/>
        <v/>
      </c>
      <c r="AH198" s="1467" t="str">
        <f t="shared" ca="1" si="89"/>
        <v/>
      </c>
    </row>
    <row r="199" spans="2:34">
      <c r="B199" s="60"/>
      <c r="C199" s="1320" t="s">
        <v>6725</v>
      </c>
      <c r="D199" s="61"/>
      <c r="E199" s="62" t="str">
        <f>"Trained in "&amp;Skills!C22</f>
        <v>Trained in Knowledge (Social Sciences)</v>
      </c>
      <c r="F199" s="1694" t="s">
        <v>6726</v>
      </c>
      <c r="G199" s="63" t="str">
        <f>IF(AND(CharacterLevel&gt;0,OR(Skills!F22="Yes",Skills!G22="Yes")),"Yes","No")</f>
        <v>No</v>
      </c>
      <c r="H199" s="76"/>
      <c r="I199" s="63"/>
      <c r="J199" s="63" t="str">
        <f>IF(COUNTIF(T199:Z199,2)&gt;0,IF(G199="Yes","Class",""),IF(COUNTIF(T199:Z199,3)&gt;0,IF(COUNTIF(MulticlassFeats,Feats!C199&amp;IF(Feats!D199&lt;&gt;""," ("&amp;Feats!D199&amp;")","")),"Multi",""),""))</f>
        <v/>
      </c>
      <c r="K199" s="63" t="str">
        <f t="shared" ca="1" si="68"/>
        <v/>
      </c>
      <c r="L199" s="63" t="str">
        <f t="shared" ca="1" si="69"/>
        <v>No</v>
      </c>
      <c r="M199" s="63">
        <f t="shared" ca="1" si="76"/>
        <v>0</v>
      </c>
      <c r="N199" s="63" t="s">
        <v>6754</v>
      </c>
      <c r="O199" s="64"/>
      <c r="P199" s="660"/>
      <c r="Q199" s="661"/>
      <c r="R199" s="661"/>
      <c r="AB199" s="1566" t="str">
        <f t="shared" ca="1" si="77"/>
        <v/>
      </c>
      <c r="AC199" s="1365" t="str">
        <f t="shared" ca="1" si="84"/>
        <v/>
      </c>
      <c r="AD199" s="1365" t="str">
        <f t="shared" ca="1" si="85"/>
        <v/>
      </c>
      <c r="AE199" s="1365" t="str">
        <f t="shared" ca="1" si="86"/>
        <v/>
      </c>
      <c r="AF199" s="1365" t="str">
        <f t="shared" ca="1" si="87"/>
        <v/>
      </c>
      <c r="AG199" s="1467" t="str">
        <f t="shared" ca="1" si="88"/>
        <v/>
      </c>
      <c r="AH199" s="1467" t="str">
        <f t="shared" ca="1" si="89"/>
        <v/>
      </c>
    </row>
    <row r="200" spans="2:34">
      <c r="B200" s="60"/>
      <c r="C200" s="1320" t="s">
        <v>6727</v>
      </c>
      <c r="D200" s="61"/>
      <c r="E200" s="62" t="str">
        <f>"Trained in "&amp;Skills!C23</f>
        <v>Trained in Knowledge (Tactics)</v>
      </c>
      <c r="F200" s="1694" t="s">
        <v>6728</v>
      </c>
      <c r="G200" s="63" t="str">
        <f>IF(AND(CharacterLevel&gt;0,OR(Skills!F23="Yes",Skills!G23="Yes")),"Yes","No")</f>
        <v>No</v>
      </c>
      <c r="H200" s="76"/>
      <c r="I200" s="63"/>
      <c r="J200" s="63" t="str">
        <f>IF(COUNTIF(T200:Z200,2)&gt;0,IF(G200="Yes","Class",""),IF(COUNTIF(T200:Z200,3)&gt;0,IF(COUNTIF(MulticlassFeats,Feats!C200&amp;IF(Feats!D200&lt;&gt;""," ("&amp;Feats!D200&amp;")","")),"Multi",""),""))</f>
        <v/>
      </c>
      <c r="K200" s="63" t="str">
        <f t="shared" ca="1" si="68"/>
        <v/>
      </c>
      <c r="L200" s="63" t="str">
        <f t="shared" ca="1" si="69"/>
        <v>No</v>
      </c>
      <c r="M200" s="63">
        <f t="shared" ca="1" si="76"/>
        <v>0</v>
      </c>
      <c r="N200" s="63" t="s">
        <v>6754</v>
      </c>
      <c r="O200" s="64"/>
      <c r="P200" s="660"/>
      <c r="Q200" s="661"/>
      <c r="R200" s="661"/>
      <c r="AB200" s="1566" t="str">
        <f t="shared" ca="1" si="77"/>
        <v/>
      </c>
      <c r="AC200" s="1365" t="str">
        <f t="shared" ca="1" si="84"/>
        <v/>
      </c>
      <c r="AD200" s="1365" t="str">
        <f t="shared" ca="1" si="85"/>
        <v/>
      </c>
      <c r="AE200" s="1365" t="str">
        <f t="shared" ca="1" si="86"/>
        <v/>
      </c>
      <c r="AF200" s="1365" t="str">
        <f t="shared" ca="1" si="87"/>
        <v/>
      </c>
      <c r="AG200" s="1467" t="str">
        <f t="shared" ca="1" si="88"/>
        <v/>
      </c>
      <c r="AH200" s="1467" t="str">
        <f t="shared" ca="1" si="89"/>
        <v/>
      </c>
    </row>
    <row r="201" spans="2:34">
      <c r="B201" s="60"/>
      <c r="C201" s="1320" t="s">
        <v>6729</v>
      </c>
      <c r="D201" s="61"/>
      <c r="E201" s="62" t="str">
        <f>"Trained in "&amp;Skills!C24</f>
        <v>Trained in Knowledge (Technology)</v>
      </c>
      <c r="F201" s="1694" t="s">
        <v>6730</v>
      </c>
      <c r="G201" s="63" t="str">
        <f>IF(AND(CharacterLevel&gt;0,OR(Skills!F24="Yes",Skills!G24="Yes")),"Yes","No")</f>
        <v>No</v>
      </c>
      <c r="H201" s="76"/>
      <c r="I201" s="63"/>
      <c r="J201" s="63" t="str">
        <f>IF(COUNTIF(T201:Z201,2)&gt;0,IF(G201="Yes","Class",""),IF(COUNTIF(T201:Z201,3)&gt;0,IF(COUNTIF(MulticlassFeats,Feats!C201&amp;IF(Feats!D201&lt;&gt;""," ("&amp;Feats!D201&amp;")","")),"Multi",""),""))</f>
        <v/>
      </c>
      <c r="K201" s="63" t="str">
        <f t="shared" ref="K201:K232" ca="1" si="90">IF(OR(NOT(ISERROR(FIND(C201,INDEX(RaceListTable,RaceIndex,39),1))),NOT(ISERROR(FIND(C201,INDEX(RaceListTable,RaceIndex,40),1)))),"Racial","")</f>
        <v/>
      </c>
      <c r="L201" s="63" t="str">
        <f t="shared" ref="L201:L264" ca="1" si="91">IF(AND(G201="Yes",OR(H201&lt;&gt;"",I201&lt;&gt;"",J201&lt;&gt;"",K201&lt;&gt;"")),"Yes","No")</f>
        <v>No</v>
      </c>
      <c r="M201" s="63">
        <f t="shared" ca="1" si="76"/>
        <v>0</v>
      </c>
      <c r="N201" s="63" t="s">
        <v>6754</v>
      </c>
      <c r="O201" s="64"/>
      <c r="P201" s="660"/>
      <c r="Q201" s="661"/>
      <c r="R201" s="661"/>
      <c r="AB201" s="1566" t="str">
        <f t="shared" ca="1" si="77"/>
        <v/>
      </c>
      <c r="AC201" s="1365" t="str">
        <f t="shared" ca="1" si="84"/>
        <v/>
      </c>
      <c r="AD201" s="1365" t="str">
        <f t="shared" ca="1" si="85"/>
        <v/>
      </c>
      <c r="AE201" s="1365" t="str">
        <f t="shared" ca="1" si="86"/>
        <v/>
      </c>
      <c r="AF201" s="1365" t="str">
        <f t="shared" ca="1" si="87"/>
        <v/>
      </c>
      <c r="AG201" s="1467" t="str">
        <f t="shared" ca="1" si="88"/>
        <v/>
      </c>
      <c r="AH201" s="1467" t="str">
        <f t="shared" ca="1" si="89"/>
        <v/>
      </c>
    </row>
    <row r="202" spans="2:34">
      <c r="B202" s="60"/>
      <c r="C202" s="1320" t="s">
        <v>6731</v>
      </c>
      <c r="D202" s="61"/>
      <c r="E202" s="62" t="str">
        <f>"Trained in "&amp;Skills!C25</f>
        <v>Trained in Mechanics</v>
      </c>
      <c r="F202" s="1694" t="s">
        <v>6732</v>
      </c>
      <c r="G202" s="63" t="str">
        <f>IF(AND(CharacterLevel&gt;0,OR(Skills!F25="Yes",Skills!G25="Yes")),"Yes","No")</f>
        <v>No</v>
      </c>
      <c r="H202" s="76"/>
      <c r="I202" s="63"/>
      <c r="J202" s="63" t="str">
        <f>IF(COUNTIF(T202:Z202,2)&gt;0,IF(G202="Yes","Class",""),IF(COUNTIF(T202:Z202,3)&gt;0,IF(COUNTIF(MulticlassFeats,Feats!C202&amp;IF(Feats!D202&lt;&gt;""," ("&amp;Feats!D202&amp;")","")),"Multi",""),""))</f>
        <v/>
      </c>
      <c r="K202" s="63" t="str">
        <f t="shared" ca="1" si="90"/>
        <v/>
      </c>
      <c r="L202" s="63" t="str">
        <f t="shared" ca="1" si="91"/>
        <v>No</v>
      </c>
      <c r="M202" s="63">
        <f t="shared" ca="1" si="76"/>
        <v>0</v>
      </c>
      <c r="N202" s="63" t="s">
        <v>6754</v>
      </c>
      <c r="O202" s="64"/>
      <c r="P202" s="660"/>
      <c r="Q202" s="661"/>
      <c r="R202" s="661"/>
      <c r="AB202" s="1566" t="str">
        <f t="shared" ca="1" si="77"/>
        <v/>
      </c>
      <c r="AC202" s="1365" t="str">
        <f t="shared" ca="1" si="84"/>
        <v/>
      </c>
      <c r="AD202" s="1365" t="str">
        <f t="shared" ca="1" si="85"/>
        <v/>
      </c>
      <c r="AE202" s="1365" t="str">
        <f t="shared" ca="1" si="86"/>
        <v/>
      </c>
      <c r="AF202" s="1365" t="str">
        <f t="shared" ca="1" si="87"/>
        <v/>
      </c>
      <c r="AG202" s="1467" t="str">
        <f t="shared" ca="1" si="88"/>
        <v/>
      </c>
      <c r="AH202" s="1467" t="str">
        <f t="shared" ca="1" si="89"/>
        <v/>
      </c>
    </row>
    <row r="203" spans="2:34">
      <c r="B203" s="60"/>
      <c r="C203" s="1320" t="s">
        <v>6733</v>
      </c>
      <c r="D203" s="61"/>
      <c r="E203" s="62" t="str">
        <f>"Trained in "&amp;Skills!C26</f>
        <v>Trained in Perception</v>
      </c>
      <c r="F203" s="1694" t="s">
        <v>6734</v>
      </c>
      <c r="G203" s="63" t="str">
        <f>IF(AND(CharacterLevel&gt;0,OR(Skills!F26="Yes",Skills!G26="Yes")),"Yes","No")</f>
        <v>No</v>
      </c>
      <c r="H203" s="76"/>
      <c r="I203" s="63"/>
      <c r="J203" s="63" t="str">
        <f>IF(COUNTIF(T203:Z203,2)&gt;0,IF(G203="Yes","Class",""),IF(COUNTIF(T203:Z203,3)&gt;0,IF(COUNTIF(MulticlassFeats,Feats!C203&amp;IF(Feats!D203&lt;&gt;""," ("&amp;Feats!D203&amp;")","")),"Multi",""),""))</f>
        <v/>
      </c>
      <c r="K203" s="63" t="str">
        <f t="shared" ca="1" si="90"/>
        <v/>
      </c>
      <c r="L203" s="63" t="str">
        <f t="shared" ca="1" si="91"/>
        <v>No</v>
      </c>
      <c r="M203" s="63">
        <f t="shared" ca="1" si="76"/>
        <v>0</v>
      </c>
      <c r="N203" s="63" t="s">
        <v>6754</v>
      </c>
      <c r="O203" s="64"/>
      <c r="P203" s="660"/>
      <c r="Q203" s="661"/>
      <c r="R203" s="661"/>
      <c r="AB203" s="1566" t="str">
        <f t="shared" ca="1" si="77"/>
        <v/>
      </c>
      <c r="AC203" s="1365" t="str">
        <f t="shared" ca="1" si="84"/>
        <v/>
      </c>
      <c r="AD203" s="1365" t="str">
        <f t="shared" ca="1" si="85"/>
        <v/>
      </c>
      <c r="AE203" s="1365" t="str">
        <f t="shared" ca="1" si="86"/>
        <v/>
      </c>
      <c r="AF203" s="1365" t="str">
        <f t="shared" ca="1" si="87"/>
        <v/>
      </c>
      <c r="AG203" s="1467" t="str">
        <f t="shared" ca="1" si="88"/>
        <v/>
      </c>
      <c r="AH203" s="1467" t="str">
        <f t="shared" ca="1" si="89"/>
        <v/>
      </c>
    </row>
    <row r="204" spans="2:34">
      <c r="B204" s="60"/>
      <c r="C204" s="1320" t="s">
        <v>6735</v>
      </c>
      <c r="D204" s="61"/>
      <c r="E204" s="62" t="str">
        <f>"Trained in "&amp;Skills!C27</f>
        <v>Trained in Persuasion</v>
      </c>
      <c r="F204" s="1694" t="s">
        <v>6736</v>
      </c>
      <c r="G204" s="63" t="str">
        <f>IF(AND(CharacterLevel&gt;0,OR(Skills!F27="Yes",Skills!G27="Yes")),"Yes","No")</f>
        <v>No</v>
      </c>
      <c r="H204" s="76"/>
      <c r="I204" s="63"/>
      <c r="J204" s="63" t="str">
        <f>IF(COUNTIF(T204:Z204,2)&gt;0,IF(G204="Yes","Class",""),IF(COUNTIF(T204:Z204,3)&gt;0,IF(COUNTIF(MulticlassFeats,Feats!C204&amp;IF(Feats!D204&lt;&gt;""," ("&amp;Feats!D204&amp;")","")),"Multi",""),""))</f>
        <v/>
      </c>
      <c r="K204" s="63" t="str">
        <f t="shared" ca="1" si="90"/>
        <v/>
      </c>
      <c r="L204" s="63" t="str">
        <f t="shared" ca="1" si="91"/>
        <v>No</v>
      </c>
      <c r="M204" s="63">
        <f t="shared" ref="M204:M235" ca="1" si="92">IF(L204="Yes",1,0)</f>
        <v>0</v>
      </c>
      <c r="N204" s="63" t="s">
        <v>6754</v>
      </c>
      <c r="O204" s="64"/>
      <c r="P204" s="660"/>
      <c r="Q204" s="661"/>
      <c r="R204" s="661"/>
      <c r="AB204" s="1566" t="str">
        <f t="shared" ref="AB204:AB235" ca="1" si="93">IF(OR(H204&lt;&gt;"",I204&lt;&gt;"",J204&lt;&gt;"",K204&lt;&gt;""),C204&amp;IF(D204&lt;&gt;""," ("&amp;D204&amp;")",""),"")</f>
        <v/>
      </c>
      <c r="AC204" s="1365" t="str">
        <f t="shared" ca="1" si="84"/>
        <v/>
      </c>
      <c r="AD204" s="1365" t="str">
        <f t="shared" ca="1" si="85"/>
        <v/>
      </c>
      <c r="AE204" s="1365" t="str">
        <f t="shared" ca="1" si="86"/>
        <v/>
      </c>
      <c r="AF204" s="1365" t="str">
        <f t="shared" ca="1" si="87"/>
        <v/>
      </c>
      <c r="AG204" s="1467" t="str">
        <f t="shared" ca="1" si="88"/>
        <v/>
      </c>
      <c r="AH204" s="1467" t="str">
        <f t="shared" ca="1" si="89"/>
        <v/>
      </c>
    </row>
    <row r="205" spans="2:34">
      <c r="B205" s="1311"/>
      <c r="C205" s="1320" t="s">
        <v>6737</v>
      </c>
      <c r="D205" s="61"/>
      <c r="E205" s="62" t="str">
        <f>"Trained in "&amp;Skills!C28</f>
        <v>Trained in Pilot</v>
      </c>
      <c r="F205" s="1694" t="s">
        <v>6738</v>
      </c>
      <c r="G205" s="63" t="str">
        <f>IF(AND(CharacterLevel&gt;0,OR(Skills!F28="Yes",Skills!G28="Yes")),"Yes","No")</f>
        <v>No</v>
      </c>
      <c r="H205" s="76"/>
      <c r="I205" s="63"/>
      <c r="J205" s="63" t="str">
        <f>IF(COUNTIF(T205:Z205,2)&gt;0,IF(G205="Yes","Class",""),IF(COUNTIF(T205:Z205,3)&gt;0,IF(COUNTIF(MulticlassFeats,Feats!C205&amp;IF(Feats!D205&lt;&gt;""," ("&amp;Feats!D205&amp;")","")),"Multi",""),""))</f>
        <v/>
      </c>
      <c r="K205" s="63" t="str">
        <f t="shared" ca="1" si="90"/>
        <v/>
      </c>
      <c r="L205" s="63" t="str">
        <f t="shared" ca="1" si="91"/>
        <v>No</v>
      </c>
      <c r="M205" s="63">
        <f t="shared" ca="1" si="92"/>
        <v>0</v>
      </c>
      <c r="N205" s="63" t="s">
        <v>6754</v>
      </c>
      <c r="O205" s="64"/>
      <c r="P205" s="660"/>
      <c r="Q205" s="661"/>
      <c r="R205" s="661"/>
      <c r="AB205" s="1566" t="str">
        <f t="shared" ca="1" si="93"/>
        <v/>
      </c>
      <c r="AC205" s="1365" t="str">
        <f t="shared" ca="1" si="84"/>
        <v/>
      </c>
      <c r="AD205" s="1365" t="str">
        <f t="shared" ca="1" si="85"/>
        <v/>
      </c>
      <c r="AE205" s="1365" t="str">
        <f t="shared" ca="1" si="86"/>
        <v/>
      </c>
      <c r="AF205" s="1365" t="str">
        <f t="shared" ca="1" si="87"/>
        <v/>
      </c>
      <c r="AG205" s="1467" t="str">
        <f t="shared" ca="1" si="88"/>
        <v/>
      </c>
      <c r="AH205" s="1467" t="str">
        <f t="shared" ca="1" si="89"/>
        <v/>
      </c>
    </row>
    <row r="206" spans="2:34">
      <c r="B206" s="60"/>
      <c r="C206" s="1320" t="s">
        <v>6739</v>
      </c>
      <c r="D206" s="61"/>
      <c r="E206" s="62" t="str">
        <f>"Trained in "&amp;Skills!C29</f>
        <v>Trained in Ride</v>
      </c>
      <c r="F206" s="1694" t="s">
        <v>6740</v>
      </c>
      <c r="G206" s="63" t="str">
        <f>IF(AND(CharacterLevel&gt;0,OR(Skills!F29="Yes",Skills!G29="Yes")),"Yes","No")</f>
        <v>No</v>
      </c>
      <c r="H206" s="76"/>
      <c r="I206" s="63"/>
      <c r="J206" s="63" t="str">
        <f>IF(COUNTIF(T206:Z206,2)&gt;0,IF(G206="Yes","Class",""),IF(COUNTIF(T206:Z206,3)&gt;0,IF(COUNTIF(MulticlassFeats,Feats!C206&amp;IF(Feats!D206&lt;&gt;""," ("&amp;Feats!D206&amp;")","")),"Multi",""),""))</f>
        <v/>
      </c>
      <c r="K206" s="63" t="str">
        <f t="shared" ca="1" si="90"/>
        <v/>
      </c>
      <c r="L206" s="63" t="str">
        <f t="shared" ca="1" si="91"/>
        <v>No</v>
      </c>
      <c r="M206" s="63">
        <f t="shared" ca="1" si="92"/>
        <v>0</v>
      </c>
      <c r="N206" s="63" t="s">
        <v>6754</v>
      </c>
      <c r="O206" s="64"/>
      <c r="P206" s="660"/>
      <c r="Q206" s="661"/>
      <c r="R206" s="661"/>
      <c r="AB206" s="1566" t="str">
        <f t="shared" ca="1" si="93"/>
        <v/>
      </c>
      <c r="AC206" s="1365" t="str">
        <f t="shared" ca="1" si="84"/>
        <v/>
      </c>
      <c r="AD206" s="1365" t="str">
        <f t="shared" ca="1" si="85"/>
        <v/>
      </c>
      <c r="AE206" s="1365" t="str">
        <f t="shared" ca="1" si="86"/>
        <v/>
      </c>
      <c r="AF206" s="1365" t="str">
        <f t="shared" ca="1" si="87"/>
        <v/>
      </c>
      <c r="AG206" s="1467" t="str">
        <f t="shared" ca="1" si="88"/>
        <v/>
      </c>
      <c r="AH206" s="1467" t="str">
        <f t="shared" ca="1" si="89"/>
        <v/>
      </c>
    </row>
    <row r="207" spans="2:34">
      <c r="B207" s="60"/>
      <c r="C207" s="1320" t="s">
        <v>6741</v>
      </c>
      <c r="D207" s="61"/>
      <c r="E207" s="62" t="str">
        <f>"Trained in "&amp;Skills!C30</f>
        <v>Trained in Stealth</v>
      </c>
      <c r="F207" s="1694" t="s">
        <v>6742</v>
      </c>
      <c r="G207" s="63" t="str">
        <f>IF(AND(CharacterLevel&gt;0,OR(Skills!F30="Yes",Skills!G30="Yes")),"Yes","No")</f>
        <v>No</v>
      </c>
      <c r="H207" s="76"/>
      <c r="I207" s="63"/>
      <c r="J207" s="63" t="str">
        <f>IF(COUNTIF(T207:Z207,2)&gt;0,IF(G207="Yes","Class",""),IF(COUNTIF(T207:Z207,3)&gt;0,IF(COUNTIF(MulticlassFeats,Feats!C207&amp;IF(Feats!D207&lt;&gt;""," ("&amp;Feats!D207&amp;")","")),"Multi",""),""))</f>
        <v/>
      </c>
      <c r="K207" s="63" t="str">
        <f t="shared" ca="1" si="90"/>
        <v/>
      </c>
      <c r="L207" s="63" t="str">
        <f t="shared" ca="1" si="91"/>
        <v>No</v>
      </c>
      <c r="M207" s="63">
        <f t="shared" ca="1" si="92"/>
        <v>0</v>
      </c>
      <c r="N207" s="63" t="s">
        <v>6754</v>
      </c>
      <c r="O207" s="64"/>
      <c r="P207" s="660"/>
      <c r="Q207" s="661"/>
      <c r="R207" s="661"/>
      <c r="AB207" s="1566" t="str">
        <f t="shared" ca="1" si="93"/>
        <v/>
      </c>
      <c r="AC207" s="1365" t="str">
        <f t="shared" ca="1" si="84"/>
        <v/>
      </c>
      <c r="AD207" s="1365" t="str">
        <f t="shared" ca="1" si="85"/>
        <v/>
      </c>
      <c r="AE207" s="1365" t="str">
        <f t="shared" ca="1" si="86"/>
        <v/>
      </c>
      <c r="AF207" s="1365" t="str">
        <f t="shared" ca="1" si="87"/>
        <v/>
      </c>
      <c r="AG207" s="1467" t="str">
        <f t="shared" ca="1" si="88"/>
        <v/>
      </c>
      <c r="AH207" s="1467" t="str">
        <f t="shared" ca="1" si="89"/>
        <v/>
      </c>
    </row>
    <row r="208" spans="2:34">
      <c r="B208" s="60"/>
      <c r="C208" s="1320" t="s">
        <v>6743</v>
      </c>
      <c r="D208" s="61"/>
      <c r="E208" s="62" t="str">
        <f>"Trained in "&amp;Skills!C31</f>
        <v>Trained in Survival</v>
      </c>
      <c r="F208" s="1694" t="s">
        <v>6744</v>
      </c>
      <c r="G208" s="63" t="str">
        <f>IF(AND(CharacterLevel&gt;0,OR(Skills!F31="Yes",Skills!G31="Yes")),"Yes","No")</f>
        <v>No</v>
      </c>
      <c r="H208" s="76"/>
      <c r="I208" s="63"/>
      <c r="J208" s="63" t="str">
        <f>IF(COUNTIF(T208:Z208,2)&gt;0,IF(G208="Yes","Class",""),IF(COUNTIF(T208:Z208,3)&gt;0,IF(COUNTIF(MulticlassFeats,Feats!C208&amp;IF(Feats!D208&lt;&gt;""," ("&amp;Feats!D208&amp;")","")),"Multi",""),""))</f>
        <v/>
      </c>
      <c r="K208" s="63" t="str">
        <f t="shared" ca="1" si="90"/>
        <v/>
      </c>
      <c r="L208" s="63" t="str">
        <f t="shared" ca="1" si="91"/>
        <v>No</v>
      </c>
      <c r="M208" s="63">
        <f t="shared" ca="1" si="92"/>
        <v>0</v>
      </c>
      <c r="N208" s="63" t="s">
        <v>6754</v>
      </c>
      <c r="O208" s="64"/>
      <c r="P208" s="660"/>
      <c r="Q208" s="661"/>
      <c r="R208" s="661"/>
      <c r="AB208" s="1566" t="str">
        <f t="shared" ca="1" si="93"/>
        <v/>
      </c>
      <c r="AC208" s="1365" t="str">
        <f t="shared" ca="1" si="84"/>
        <v/>
      </c>
      <c r="AD208" s="1365" t="str">
        <f t="shared" ca="1" si="85"/>
        <v/>
      </c>
      <c r="AE208" s="1365" t="str">
        <f t="shared" ca="1" si="86"/>
        <v/>
      </c>
      <c r="AF208" s="1365" t="str">
        <f t="shared" ca="1" si="87"/>
        <v/>
      </c>
      <c r="AG208" s="1467" t="str">
        <f t="shared" ca="1" si="88"/>
        <v/>
      </c>
      <c r="AH208" s="1467" t="str">
        <f t="shared" ca="1" si="89"/>
        <v/>
      </c>
    </row>
    <row r="209" spans="2:36">
      <c r="B209" s="60"/>
      <c r="C209" s="1320" t="s">
        <v>6745</v>
      </c>
      <c r="D209" s="61"/>
      <c r="E209" s="62" t="str">
        <f>"Trained in "&amp;Skills!C32</f>
        <v>Trained in Swim</v>
      </c>
      <c r="F209" s="1694" t="s">
        <v>6746</v>
      </c>
      <c r="G209" s="63" t="str">
        <f>IF(AND(CharacterLevel&gt;0,OR(Skills!F32="Yes",Skills!G32="Yes")),"Yes","No")</f>
        <v>No</v>
      </c>
      <c r="H209" s="76"/>
      <c r="I209" s="63"/>
      <c r="J209" s="63" t="str">
        <f>IF(COUNTIF(T209:Z209,2)&gt;0,IF(G209="Yes","Class",""),IF(COUNTIF(T209:Z209,3)&gt;0,IF(COUNTIF(MulticlassFeats,Feats!C209&amp;IF(Feats!D209&lt;&gt;""," ("&amp;Feats!D209&amp;")","")),"Multi",""),""))</f>
        <v/>
      </c>
      <c r="K209" s="63" t="str">
        <f t="shared" ca="1" si="90"/>
        <v/>
      </c>
      <c r="L209" s="63" t="str">
        <f t="shared" ca="1" si="91"/>
        <v>No</v>
      </c>
      <c r="M209" s="63">
        <f t="shared" ca="1" si="92"/>
        <v>0</v>
      </c>
      <c r="N209" s="63" t="s">
        <v>6754</v>
      </c>
      <c r="O209" s="64"/>
      <c r="P209" s="660"/>
      <c r="Q209" s="661"/>
      <c r="R209" s="661"/>
      <c r="AB209" s="1566" t="str">
        <f t="shared" ca="1" si="93"/>
        <v/>
      </c>
      <c r="AC209" s="1365" t="str">
        <f t="shared" ca="1" si="84"/>
        <v/>
      </c>
      <c r="AD209" s="1365" t="str">
        <f t="shared" ca="1" si="85"/>
        <v/>
      </c>
      <c r="AE209" s="1365" t="str">
        <f t="shared" ca="1" si="86"/>
        <v/>
      </c>
      <c r="AF209" s="1365" t="str">
        <f t="shared" ca="1" si="87"/>
        <v/>
      </c>
      <c r="AG209" s="1467" t="str">
        <f t="shared" ca="1" si="88"/>
        <v/>
      </c>
      <c r="AH209" s="1467" t="str">
        <f t="shared" ca="1" si="89"/>
        <v/>
      </c>
    </row>
    <row r="210" spans="2:36">
      <c r="B210" s="1311"/>
      <c r="C210" s="1320" t="s">
        <v>6747</v>
      </c>
      <c r="D210" s="61"/>
      <c r="E210" s="62" t="str">
        <f>"Trained in "&amp;Skills!C33</f>
        <v>Trained in Treat Injury</v>
      </c>
      <c r="F210" s="1694" t="s">
        <v>6748</v>
      </c>
      <c r="G210" s="63" t="str">
        <f>IF(AND(CharacterLevel&gt;0,OR(Skills!F33="Yes",Skills!G33="Yes")),"Yes","No")</f>
        <v>No</v>
      </c>
      <c r="H210" s="76"/>
      <c r="I210" s="63"/>
      <c r="J210" s="63" t="str">
        <f>IF(COUNTIF(T210:Z210,2)&gt;0,IF(G210="Yes","Class",""),IF(COUNTIF(T210:Z210,3)&gt;0,IF(COUNTIF(MulticlassFeats,Feats!C210&amp;IF(Feats!D210&lt;&gt;""," ("&amp;Feats!D210&amp;")","")),"Multi",""),""))</f>
        <v/>
      </c>
      <c r="K210" s="63" t="str">
        <f t="shared" ca="1" si="90"/>
        <v/>
      </c>
      <c r="L210" s="63" t="str">
        <f t="shared" ca="1" si="91"/>
        <v>No</v>
      </c>
      <c r="M210" s="63">
        <f t="shared" ca="1" si="92"/>
        <v>0</v>
      </c>
      <c r="N210" s="63" t="s">
        <v>6754</v>
      </c>
      <c r="O210" s="64"/>
      <c r="P210" s="660"/>
      <c r="Q210" s="661"/>
      <c r="R210" s="661"/>
      <c r="AB210" s="1566" t="str">
        <f t="shared" ca="1" si="93"/>
        <v/>
      </c>
      <c r="AC210" s="1365" t="str">
        <f t="shared" ca="1" si="84"/>
        <v/>
      </c>
      <c r="AD210" s="1365" t="str">
        <f t="shared" ca="1" si="85"/>
        <v/>
      </c>
      <c r="AE210" s="1365" t="str">
        <f t="shared" ca="1" si="86"/>
        <v/>
      </c>
      <c r="AF210" s="1365" t="str">
        <f t="shared" ca="1" si="87"/>
        <v/>
      </c>
      <c r="AG210" s="1467" t="str">
        <f t="shared" ca="1" si="88"/>
        <v/>
      </c>
      <c r="AH210" s="1467" t="str">
        <f t="shared" ca="1" si="89"/>
        <v/>
      </c>
    </row>
    <row r="211" spans="2:36">
      <c r="B211" s="60"/>
      <c r="C211" s="1320" t="s">
        <v>6749</v>
      </c>
      <c r="D211" s="61"/>
      <c r="E211" s="62" t="str">
        <f>"Trained in "&amp;Skills!C34</f>
        <v>Trained in Use Computer</v>
      </c>
      <c r="F211" s="1694" t="s">
        <v>6750</v>
      </c>
      <c r="G211" s="63" t="str">
        <f>IF(AND(CharacterLevel&gt;0,OR(Skills!F34="Yes",Skills!G34="Yes")),"Yes","No")</f>
        <v>No</v>
      </c>
      <c r="H211" s="76"/>
      <c r="I211" s="63"/>
      <c r="J211" s="63" t="str">
        <f>IF(COUNTIF(T211:Z211,2)&gt;0,IF(G211="Yes","Class",""),IF(COUNTIF(T211:Z211,3)&gt;0,IF(COUNTIF(MulticlassFeats,Feats!C211&amp;IF(Feats!D211&lt;&gt;""," ("&amp;Feats!D211&amp;")","")),"Multi",""),""))</f>
        <v/>
      </c>
      <c r="K211" s="63" t="str">
        <f t="shared" ca="1" si="90"/>
        <v/>
      </c>
      <c r="L211" s="63" t="str">
        <f t="shared" ca="1" si="91"/>
        <v>No</v>
      </c>
      <c r="M211" s="63">
        <f t="shared" ca="1" si="92"/>
        <v>0</v>
      </c>
      <c r="N211" s="63" t="s">
        <v>6754</v>
      </c>
      <c r="O211" s="64"/>
      <c r="P211" s="660"/>
      <c r="Q211" s="661"/>
      <c r="R211" s="661"/>
      <c r="AB211" s="1566" t="str">
        <f t="shared" ca="1" si="93"/>
        <v/>
      </c>
      <c r="AC211" s="1365" t="str">
        <f t="shared" ca="1" si="84"/>
        <v/>
      </c>
      <c r="AD211" s="1365" t="str">
        <f t="shared" ca="1" si="85"/>
        <v/>
      </c>
      <c r="AE211" s="1365" t="str">
        <f t="shared" ca="1" si="86"/>
        <v/>
      </c>
      <c r="AF211" s="1365" t="str">
        <f t="shared" ca="1" si="87"/>
        <v/>
      </c>
      <c r="AG211" s="1467" t="str">
        <f t="shared" ca="1" si="88"/>
        <v/>
      </c>
      <c r="AH211" s="1467" t="str">
        <f t="shared" ca="1" si="89"/>
        <v/>
      </c>
    </row>
    <row r="212" spans="2:36">
      <c r="B212" s="60"/>
      <c r="C212" s="1320" t="s">
        <v>6751</v>
      </c>
      <c r="D212" s="61"/>
      <c r="E212" s="62" t="str">
        <f>"Trained in "&amp;Skills!C35</f>
        <v>Trained in Use the Force</v>
      </c>
      <c r="F212" s="1694" t="s">
        <v>6752</v>
      </c>
      <c r="G212" s="63" t="str">
        <f>IF(AND(CharacterLevel&gt;0,OR(Skills!F35="Yes",Skills!G35="Yes")),"Yes","No")</f>
        <v>No</v>
      </c>
      <c r="H212" s="76"/>
      <c r="I212" s="63"/>
      <c r="J212" s="63" t="str">
        <f>IF(COUNTIF(T212:Z212,2)&gt;0,IF(G212="Yes","Class",""),IF(COUNTIF(T212:Z212,3)&gt;0,IF(COUNTIF(MulticlassFeats,Feats!C212&amp;IF(Feats!D212&lt;&gt;""," ("&amp;Feats!D212&amp;")","")),"Multi",""),""))</f>
        <v/>
      </c>
      <c r="K212" s="63" t="str">
        <f t="shared" ca="1" si="90"/>
        <v/>
      </c>
      <c r="L212" s="63" t="str">
        <f t="shared" ca="1" si="91"/>
        <v>No</v>
      </c>
      <c r="M212" s="63">
        <f t="shared" ca="1" si="92"/>
        <v>0</v>
      </c>
      <c r="N212" s="63" t="s">
        <v>6754</v>
      </c>
      <c r="O212" s="64"/>
      <c r="P212" s="660"/>
      <c r="Q212" s="661"/>
      <c r="R212" s="661"/>
      <c r="AB212" s="1566" t="str">
        <f t="shared" ca="1" si="93"/>
        <v/>
      </c>
      <c r="AC212" s="1365" t="str">
        <f t="shared" ca="1" si="84"/>
        <v/>
      </c>
      <c r="AD212" s="1365" t="str">
        <f t="shared" ca="1" si="85"/>
        <v/>
      </c>
      <c r="AE212" s="1365" t="str">
        <f t="shared" ca="1" si="86"/>
        <v/>
      </c>
      <c r="AF212" s="1365" t="str">
        <f t="shared" ca="1" si="87"/>
        <v/>
      </c>
      <c r="AG212" s="1467" t="str">
        <f t="shared" ca="1" si="88"/>
        <v/>
      </c>
      <c r="AH212" s="1467" t="str">
        <f t="shared" ca="1" si="89"/>
        <v/>
      </c>
    </row>
    <row r="213" spans="2:36">
      <c r="B213" s="60"/>
      <c r="C213" s="1320" t="s">
        <v>2414</v>
      </c>
      <c r="D213" s="61"/>
      <c r="E213" s="62" t="s">
        <v>2342</v>
      </c>
      <c r="F213" s="1694" t="s">
        <v>5617</v>
      </c>
      <c r="G213" s="63" t="str">
        <f ca="1">IF(AND(CharacterLevel&gt;0,$M$74&gt;0),"Yes","No")</f>
        <v>No</v>
      </c>
      <c r="H213" s="76"/>
      <c r="I213" s="63"/>
      <c r="J213" s="63" t="str">
        <f>IF(COUNTIF(T213:Z213,2)&gt;0,IF(G213="Yes","Class",""),IF(COUNTIF(T213:Z213,3)&gt;0,IF(COUNTIF(MulticlassFeats,Feats!C213&amp;IF(Feats!D213&lt;&gt;""," ("&amp;Feats!D213&amp;")","")),"Multi",""),""))</f>
        <v/>
      </c>
      <c r="K213" s="63" t="str">
        <f t="shared" ca="1" si="90"/>
        <v/>
      </c>
      <c r="L213" s="63" t="str">
        <f t="shared" ca="1" si="91"/>
        <v>No</v>
      </c>
      <c r="M213" s="63">
        <f t="shared" ca="1" si="92"/>
        <v>0</v>
      </c>
      <c r="N213" s="63">
        <v>86</v>
      </c>
      <c r="O213" s="64"/>
      <c r="P213" s="660"/>
      <c r="Q213" s="661"/>
      <c r="R213" s="661"/>
      <c r="T213" s="54">
        <f>IF(JediFeats&gt;0,1,0)</f>
        <v>0</v>
      </c>
      <c r="V213" s="54">
        <f>IF(ScoundrelFeats&gt;0,1,0)</f>
        <v>0</v>
      </c>
      <c r="W213" s="54">
        <f>IF(ScoutFeats&gt;0,1,0)</f>
        <v>0</v>
      </c>
      <c r="AB213" s="1566" t="str">
        <f t="shared" ca="1" si="93"/>
        <v/>
      </c>
      <c r="AC213" s="1365" t="str">
        <f t="shared" ca="1" si="84"/>
        <v/>
      </c>
      <c r="AD213" s="1365" t="str">
        <f t="shared" ca="1" si="85"/>
        <v/>
      </c>
      <c r="AE213" s="1365" t="str">
        <f t="shared" ca="1" si="86"/>
        <v/>
      </c>
      <c r="AF213" s="1365" t="str">
        <f t="shared" ca="1" si="87"/>
        <v/>
      </c>
      <c r="AG213" s="1467" t="str">
        <f t="shared" ca="1" si="88"/>
        <v/>
      </c>
      <c r="AH213" s="1467" t="str">
        <f t="shared" ca="1" si="89"/>
        <v/>
      </c>
    </row>
    <row r="214" spans="2:36">
      <c r="B214" s="60"/>
      <c r="C214" s="1320" t="s">
        <v>2446</v>
      </c>
      <c r="D214" s="61"/>
      <c r="E214" s="62" t="s">
        <v>2447</v>
      </c>
      <c r="F214" s="1694" t="s">
        <v>5618</v>
      </c>
      <c r="G214" s="63" t="str">
        <f>IF(AND(CharacterLevel&gt;0,OR(TPilot&lt;&gt;"",STPilot,ForcePilot,STRide&lt;&gt;"",TRide&lt;&gt;"")),"Yes","No")</f>
        <v>No</v>
      </c>
      <c r="H214" s="76"/>
      <c r="I214" s="63"/>
      <c r="J214" s="63" t="str">
        <f>IF(COUNTIF(T214:Z214,2)&gt;0,IF(G214="Yes","Class",""),IF(COUNTIF(T214:Z214,3)&gt;0,IF(COUNTIF(MulticlassFeats,Feats!C214&amp;IF(Feats!D214&lt;&gt;""," ("&amp;Feats!D214&amp;")","")),"Multi",""),""))</f>
        <v/>
      </c>
      <c r="K214" s="63" t="str">
        <f t="shared" ca="1" si="90"/>
        <v/>
      </c>
      <c r="L214" s="63" t="str">
        <f t="shared" ca="1" si="91"/>
        <v>No</v>
      </c>
      <c r="M214" s="63">
        <f t="shared" ca="1" si="92"/>
        <v>0</v>
      </c>
      <c r="N214" s="63" t="s">
        <v>2448</v>
      </c>
      <c r="O214" s="64"/>
      <c r="P214" s="660"/>
      <c r="Q214" s="661"/>
      <c r="R214" s="661" t="s">
        <v>4059</v>
      </c>
      <c r="AB214" s="1566" t="str">
        <f t="shared" ca="1" si="93"/>
        <v/>
      </c>
      <c r="AC214" s="1365" t="str">
        <f t="shared" ca="1" si="84"/>
        <v/>
      </c>
      <c r="AD214" s="1365" t="str">
        <f t="shared" ca="1" si="85"/>
        <v/>
      </c>
      <c r="AE214" s="1365" t="str">
        <f t="shared" ca="1" si="86"/>
        <v/>
      </c>
      <c r="AF214" s="1365" t="str">
        <f t="shared" ca="1" si="87"/>
        <v/>
      </c>
      <c r="AG214" s="1467" t="str">
        <f t="shared" ca="1" si="88"/>
        <v/>
      </c>
      <c r="AH214" s="1467" t="str">
        <f t="shared" ca="1" si="89"/>
        <v/>
      </c>
      <c r="AJ214" s="1559"/>
    </row>
    <row r="215" spans="2:36">
      <c r="B215" s="60"/>
      <c r="C215" s="1462" t="s">
        <v>8180</v>
      </c>
      <c r="D215" s="1462"/>
      <c r="E215" s="1462" t="s">
        <v>8171</v>
      </c>
      <c r="F215" s="1695" t="s">
        <v>8179</v>
      </c>
      <c r="G215" s="63" t="str">
        <f>IF(OR(TRide="Yes",STRide="Yes"),"Yes","No")</f>
        <v>No</v>
      </c>
      <c r="H215" s="76"/>
      <c r="I215" s="63"/>
      <c r="J215" s="63" t="str">
        <f>IF(COUNTIF(T215:Z215,2)&gt;0,IF(G215="Yes","Class",""),IF(COUNTIF(T215:Z215,3)&gt;0,IF(COUNTIF(MulticlassFeats,Feats!A47&amp;IF(Feats!B47&lt;&gt;""," ("&amp;Feats!B47&amp;")","")),"Multi",""),""))</f>
        <v/>
      </c>
      <c r="K215" s="63" t="str">
        <f t="shared" ca="1" si="90"/>
        <v/>
      </c>
      <c r="L215" s="63" t="str">
        <f t="shared" ca="1" si="91"/>
        <v>No</v>
      </c>
      <c r="M215" s="63">
        <f t="shared" ca="1" si="92"/>
        <v>0</v>
      </c>
      <c r="N215" s="1461" t="s">
        <v>8166</v>
      </c>
      <c r="O215" s="1462"/>
      <c r="P215" s="1559"/>
      <c r="R215" s="661"/>
      <c r="S215" s="1463"/>
      <c r="T215" s="660"/>
      <c r="U215" s="54">
        <f>IF(NobleFeats&gt;0,1,0)</f>
        <v>0</v>
      </c>
      <c r="V215" s="660"/>
      <c r="W215" s="54">
        <f>IF(ScoutFeats&gt;0,1,0)</f>
        <v>0</v>
      </c>
      <c r="X215" s="660"/>
      <c r="Y215" s="660"/>
      <c r="Z215" s="1562"/>
      <c r="AA215" s="1568"/>
      <c r="AB215" s="1566" t="str">
        <f t="shared" ca="1" si="93"/>
        <v/>
      </c>
      <c r="AC215" s="1365" t="str">
        <f t="shared" ca="1" si="84"/>
        <v/>
      </c>
      <c r="AD215" s="1365" t="str">
        <f t="shared" ca="1" si="85"/>
        <v/>
      </c>
      <c r="AE215" s="1365" t="str">
        <f t="shared" ca="1" si="86"/>
        <v/>
      </c>
      <c r="AF215" s="1365" t="str">
        <f t="shared" ca="1" si="87"/>
        <v/>
      </c>
      <c r="AG215" s="1467" t="str">
        <f t="shared" ca="1" si="88"/>
        <v/>
      </c>
      <c r="AH215" s="1467" t="str">
        <f t="shared" ca="1" si="89"/>
        <v/>
      </c>
      <c r="AJ215" s="1559"/>
    </row>
    <row r="216" spans="2:36">
      <c r="B216" s="60"/>
      <c r="C216" s="1320" t="s">
        <v>2449</v>
      </c>
      <c r="D216" s="61"/>
      <c r="E216" s="62" t="s">
        <v>2447</v>
      </c>
      <c r="F216" s="1694" t="s">
        <v>5619</v>
      </c>
      <c r="G216" s="63" t="str">
        <f>IF(AND(CharacterLevel&gt;0,OR(TPilot&lt;&gt;"",STPilot,ForcePilot,STRide&lt;&gt;"",TRide&lt;&gt;"")),"Yes","No")</f>
        <v>No</v>
      </c>
      <c r="H216" s="76"/>
      <c r="I216" s="63"/>
      <c r="J216" s="63" t="str">
        <f>IF(COUNTIF(T216:Z216,2)&gt;0,IF(G216="Yes","Class",""),IF(COUNTIF(T216:Z216,3)&gt;0,IF(COUNTIF(MulticlassFeats,Feats!C216&amp;IF(Feats!D216&lt;&gt;""," ("&amp;Feats!D216&amp;")","")),"Multi",""),""))</f>
        <v/>
      </c>
      <c r="K216" s="63" t="str">
        <f t="shared" ca="1" si="90"/>
        <v/>
      </c>
      <c r="L216" s="63" t="str">
        <f t="shared" ca="1" si="91"/>
        <v>No</v>
      </c>
      <c r="M216" s="63">
        <f t="shared" ca="1" si="92"/>
        <v>0</v>
      </c>
      <c r="N216" s="63" t="s">
        <v>2448</v>
      </c>
      <c r="O216" s="64"/>
      <c r="P216" s="660"/>
      <c r="Q216" s="661"/>
      <c r="R216" s="661" t="s">
        <v>4060</v>
      </c>
      <c r="AB216" s="1566" t="str">
        <f t="shared" ca="1" si="93"/>
        <v/>
      </c>
      <c r="AC216" s="1365" t="str">
        <f t="shared" ca="1" si="84"/>
        <v/>
      </c>
      <c r="AD216" s="1365" t="str">
        <f t="shared" ca="1" si="85"/>
        <v/>
      </c>
      <c r="AE216" s="1365" t="str">
        <f t="shared" ca="1" si="86"/>
        <v/>
      </c>
      <c r="AF216" s="1365" t="str">
        <f t="shared" ca="1" si="87"/>
        <v/>
      </c>
      <c r="AG216" s="1467" t="str">
        <f t="shared" ca="1" si="88"/>
        <v/>
      </c>
      <c r="AH216" s="1467" t="str">
        <f t="shared" ca="1" si="89"/>
        <v/>
      </c>
      <c r="AJ216" s="1559"/>
    </row>
    <row r="217" spans="2:36">
      <c r="B217" s="60"/>
      <c r="C217" s="1321" t="s">
        <v>6248</v>
      </c>
      <c r="D217" s="616"/>
      <c r="E217" s="1394" t="s">
        <v>2342</v>
      </c>
      <c r="F217" s="1696" t="s">
        <v>6249</v>
      </c>
      <c r="G217" s="63" t="str">
        <f ca="1">IF(AND(CharacterLevel&gt;0,$M$74&gt;0),"Yes","No")</f>
        <v>No</v>
      </c>
      <c r="H217" s="76"/>
      <c r="I217" s="63"/>
      <c r="J217" s="63" t="str">
        <f>IF(COUNTIF(T217:Z217,2)&gt;0,IF(G217="Yes","Class",""),IF(COUNTIF(T217:Z217,3)&gt;0,IF(COUNTIF(MulticlassFeats,Feats!C217&amp;IF(Feats!D217&lt;&gt;""," ("&amp;Feats!D217&amp;")","")),"Multi",""),""))</f>
        <v/>
      </c>
      <c r="K217" s="63" t="str">
        <f t="shared" ca="1" si="90"/>
        <v/>
      </c>
      <c r="L217" s="63" t="str">
        <f t="shared" ca="1" si="91"/>
        <v>No</v>
      </c>
      <c r="M217" s="63">
        <f t="shared" ca="1" si="92"/>
        <v>0</v>
      </c>
      <c r="N217" s="63" t="s">
        <v>6463</v>
      </c>
      <c r="O217" s="64"/>
      <c r="P217" s="660"/>
      <c r="Q217" s="661"/>
      <c r="R217" s="661"/>
      <c r="T217" s="54">
        <f>IF(JediFeats&gt;0,1,0)</f>
        <v>0</v>
      </c>
      <c r="V217" s="54">
        <f>IF(ScoundrelFeats&gt;0,1,0)</f>
        <v>0</v>
      </c>
      <c r="W217" s="54">
        <f>IF(ScoutFeats&gt;0,1,0)</f>
        <v>0</v>
      </c>
      <c r="AB217" s="1566" t="str">
        <f t="shared" ca="1" si="93"/>
        <v/>
      </c>
      <c r="AC217" s="1365" t="str">
        <f t="shared" ca="1" si="84"/>
        <v/>
      </c>
      <c r="AD217" s="1365" t="str">
        <f t="shared" ca="1" si="85"/>
        <v/>
      </c>
      <c r="AE217" s="1365" t="str">
        <f t="shared" ca="1" si="86"/>
        <v/>
      </c>
      <c r="AF217" s="1365" t="str">
        <f t="shared" ca="1" si="87"/>
        <v/>
      </c>
      <c r="AG217" s="1467" t="str">
        <f t="shared" ca="1" si="88"/>
        <v/>
      </c>
      <c r="AH217" s="1467" t="str">
        <f t="shared" ca="1" si="89"/>
        <v/>
      </c>
      <c r="AJ217" s="1559"/>
    </row>
    <row r="218" spans="2:36">
      <c r="B218" s="60"/>
      <c r="C218" s="1320" t="s">
        <v>2450</v>
      </c>
      <c r="D218" s="61"/>
      <c r="E218" s="62" t="s">
        <v>2273</v>
      </c>
      <c r="F218" s="1694" t="s">
        <v>5620</v>
      </c>
      <c r="G218" s="63" t="str">
        <f>IF(AND(CharacterLevel&gt;0,Dexterity&gt;=13),"Yes","No")</f>
        <v>No</v>
      </c>
      <c r="H218" s="76"/>
      <c r="I218" s="63"/>
      <c r="J218" s="63" t="str">
        <f>IF(COUNTIF(T218:Z218,2)&gt;0,IF(G218="Yes","Class",""),IF(COUNTIF(T218:Z218,3)&gt;0,IF(COUNTIF(MulticlassFeats,Feats!C218&amp;IF(Feats!D218&lt;&gt;""," ("&amp;Feats!D218&amp;")","")),"Multi",""),""))</f>
        <v/>
      </c>
      <c r="K218" s="63" t="str">
        <f t="shared" ca="1" si="90"/>
        <v/>
      </c>
      <c r="L218" s="63" t="str">
        <f t="shared" ca="1" si="91"/>
        <v>No</v>
      </c>
      <c r="M218" s="63">
        <f t="shared" ca="1" si="92"/>
        <v>0</v>
      </c>
      <c r="N218" s="63" t="s">
        <v>2299</v>
      </c>
      <c r="O218" s="64"/>
      <c r="P218" s="660"/>
      <c r="Q218" s="661"/>
      <c r="R218" s="661" t="s">
        <v>4059</v>
      </c>
      <c r="X218" s="54">
        <f>IF(SoldierFeats&gt;0,1,0)</f>
        <v>0</v>
      </c>
      <c r="AB218" s="1566" t="str">
        <f t="shared" ca="1" si="93"/>
        <v/>
      </c>
      <c r="AC218" s="1365" t="str">
        <f t="shared" ca="1" si="84"/>
        <v/>
      </c>
      <c r="AD218" s="1365" t="str">
        <f t="shared" ca="1" si="85"/>
        <v/>
      </c>
      <c r="AE218" s="1365" t="str">
        <f t="shared" ca="1" si="86"/>
        <v/>
      </c>
      <c r="AF218" s="1365" t="str">
        <f t="shared" ca="1" si="87"/>
        <v/>
      </c>
      <c r="AG218" s="1467" t="str">
        <f t="shared" ca="1" si="88"/>
        <v/>
      </c>
      <c r="AH218" s="1467" t="str">
        <f t="shared" ca="1" si="89"/>
        <v/>
      </c>
      <c r="AJ218" s="1559"/>
    </row>
    <row r="219" spans="2:36">
      <c r="B219" s="60"/>
      <c r="C219" s="1320" t="s">
        <v>7370</v>
      </c>
      <c r="D219" s="61"/>
      <c r="E219" s="62" t="s">
        <v>7386</v>
      </c>
      <c r="F219" s="1694" t="s">
        <v>7402</v>
      </c>
      <c r="G219" s="63" t="str">
        <f>IF(AND(Droid,Intelligence&gt;=13),"Yes","No")</f>
        <v>No</v>
      </c>
      <c r="H219" s="76"/>
      <c r="I219" s="63"/>
      <c r="J219" s="63" t="str">
        <f>IF(COUNTIF(T219:Z219,2)&gt;0,IF(G219="Yes","Class",""),IF(COUNTIF(T219:Z219,3)&gt;0,IF(COUNTIF(MulticlassFeats,Feats!C219&amp;IF(Feats!D219&lt;&gt;""," ("&amp;Feats!D219&amp;")","")),"Multi",""),""))</f>
        <v/>
      </c>
      <c r="K219" s="63" t="str">
        <f t="shared" ca="1" si="90"/>
        <v/>
      </c>
      <c r="L219" s="63" t="str">
        <f t="shared" ca="1" si="91"/>
        <v>No</v>
      </c>
      <c r="M219" s="63">
        <f t="shared" ca="1" si="92"/>
        <v>0</v>
      </c>
      <c r="N219" s="63" t="s">
        <v>7516</v>
      </c>
      <c r="O219" s="64"/>
      <c r="P219" s="660"/>
      <c r="Q219" s="661"/>
      <c r="R219" s="661"/>
      <c r="AB219" s="1566" t="str">
        <f t="shared" ca="1" si="93"/>
        <v/>
      </c>
      <c r="AC219" s="1365" t="str">
        <f t="shared" ca="1" si="84"/>
        <v/>
      </c>
      <c r="AD219" s="1365" t="str">
        <f t="shared" ca="1" si="85"/>
        <v/>
      </c>
      <c r="AE219" s="1365" t="str">
        <f t="shared" ca="1" si="86"/>
        <v/>
      </c>
      <c r="AF219" s="1365" t="str">
        <f t="shared" ca="1" si="87"/>
        <v/>
      </c>
      <c r="AG219" s="1467" t="str">
        <f t="shared" ca="1" si="88"/>
        <v/>
      </c>
      <c r="AH219" s="1467" t="str">
        <f t="shared" ca="1" si="89"/>
        <v/>
      </c>
      <c r="AJ219" s="1559"/>
    </row>
    <row r="220" spans="2:36">
      <c r="B220" s="60"/>
      <c r="C220" s="1320" t="s">
        <v>2451</v>
      </c>
      <c r="D220" s="61"/>
      <c r="E220" s="62" t="s">
        <v>2452</v>
      </c>
      <c r="F220" s="1694" t="s">
        <v>5621</v>
      </c>
      <c r="G220" s="63" t="str">
        <f>IF(AND(CharacterLevel&gt;0,Charisma&gt;=13),"Yes","No")</f>
        <v>No</v>
      </c>
      <c r="H220" s="76"/>
      <c r="I220" s="63"/>
      <c r="J220" s="63" t="str">
        <f>IF(COUNTIF(T220:Z220,2)&gt;0,IF(G220="Yes","Class",""),IF(COUNTIF(T220:Z220,3)&gt;0,IF(COUNTIF(MulticlassFeats,Feats!C220&amp;IF(Feats!D220&lt;&gt;""," ("&amp;Feats!D220&amp;")","")),"Multi",""),""))</f>
        <v/>
      </c>
      <c r="K220" s="63" t="str">
        <f t="shared" ca="1" si="90"/>
        <v/>
      </c>
      <c r="L220" s="63" t="str">
        <f t="shared" ca="1" si="91"/>
        <v>No</v>
      </c>
      <c r="M220" s="63">
        <f t="shared" ca="1" si="92"/>
        <v>0</v>
      </c>
      <c r="N220" s="63" t="s">
        <v>2453</v>
      </c>
      <c r="O220" s="64"/>
      <c r="P220" s="660"/>
      <c r="Q220" s="661"/>
      <c r="R220" s="661"/>
      <c r="AB220" s="1566" t="str">
        <f t="shared" ca="1" si="93"/>
        <v/>
      </c>
      <c r="AC220" s="1365" t="str">
        <f t="shared" ref="AC220:AC228" ca="1" si="94">IF(AB256&lt;&gt;"",AB256&amp;";"&amp;AC221,AC221)</f>
        <v/>
      </c>
      <c r="AD220" s="1365" t="str">
        <f t="shared" ref="AD220:AD228" ca="1" si="95">IF(AB256&lt;&gt;"",N256&amp;";"&amp;AD221,AD221)</f>
        <v/>
      </c>
      <c r="AE220" s="1365" t="str">
        <f t="shared" ref="AE220:AE228" ca="1" si="96">IF(AB256&lt;&gt;"",IF(R256="Att Options",AB256&amp;IF(AE221&lt;&gt;"",", ",""),"")&amp;AE221,AE221)</f>
        <v/>
      </c>
      <c r="AF220" s="1365" t="str">
        <f t="shared" ref="AF220:AF228" ca="1" si="97">IF(AB256&lt;&gt;"",IF(R256="Special Actions",AB256&amp;IF(AF221&lt;&gt;"",", ",""),"")&amp;AF221,AF221)</f>
        <v/>
      </c>
      <c r="AG220" s="1467" t="str">
        <f t="shared" ref="AG220:AG228" ca="1" si="98">IF(AB256&lt;&gt;"",IF(R256="Defenses",AB256&amp;IF(AG221&lt;&gt;"",", ",""),"")&amp;AG221,AG221)</f>
        <v/>
      </c>
      <c r="AH220" s="1467" t="str">
        <f t="shared" ref="AH220:AH228" ca="1" si="99">IF(AB256&lt;&gt;"",IF(R256="Speed",AB256&amp;IF(AH221&lt;&gt;"",", ",""),"")&amp;AH221,AH221)</f>
        <v/>
      </c>
      <c r="AJ220" s="1559"/>
    </row>
    <row r="221" spans="2:36">
      <c r="B221" s="60"/>
      <c r="C221" s="1320" t="s">
        <v>6680</v>
      </c>
      <c r="D221" s="61"/>
      <c r="E221" s="62" t="s">
        <v>2371</v>
      </c>
      <c r="F221" s="1694" t="s">
        <v>6681</v>
      </c>
      <c r="G221" s="63" t="str">
        <f>IF(AND(CharacterLevel&gt;0,OR(TEndurance="Yes",STEndurance="Yes")),"Yes","No")</f>
        <v>No</v>
      </c>
      <c r="H221" s="76"/>
      <c r="I221" s="63"/>
      <c r="J221" s="63" t="str">
        <f>IF(COUNTIF(T221:Z221,2)&gt;0,IF(G221="Yes","Class",""),IF(COUNTIF(T221:Z221,3)&gt;0,IF(COUNTIF(MulticlassFeats,Feats!C221&amp;IF(Feats!D221&lt;&gt;""," ("&amp;Feats!D221&amp;")","")),"Multi",""),""))</f>
        <v/>
      </c>
      <c r="K221" s="63" t="str">
        <f t="shared" ca="1" si="90"/>
        <v/>
      </c>
      <c r="L221" s="63" t="str">
        <f t="shared" ca="1" si="91"/>
        <v>No</v>
      </c>
      <c r="M221" s="63">
        <f t="shared" ca="1" si="92"/>
        <v>0</v>
      </c>
      <c r="N221" s="63" t="s">
        <v>6754</v>
      </c>
      <c r="O221" s="64"/>
      <c r="P221" s="660"/>
      <c r="Q221" s="661"/>
      <c r="R221" s="661"/>
      <c r="AB221" s="1566" t="str">
        <f t="shared" ca="1" si="93"/>
        <v/>
      </c>
      <c r="AC221" s="1365" t="str">
        <f t="shared" ca="1" si="94"/>
        <v/>
      </c>
      <c r="AD221" s="1365" t="str">
        <f t="shared" ca="1" si="95"/>
        <v/>
      </c>
      <c r="AE221" s="1365" t="str">
        <f t="shared" ca="1" si="96"/>
        <v/>
      </c>
      <c r="AF221" s="1365" t="str">
        <f t="shared" ca="1" si="97"/>
        <v/>
      </c>
      <c r="AG221" s="1467" t="str">
        <f t="shared" ca="1" si="98"/>
        <v/>
      </c>
      <c r="AH221" s="1467" t="str">
        <f t="shared" ca="1" si="99"/>
        <v/>
      </c>
      <c r="AJ221" s="1559"/>
    </row>
    <row r="222" spans="2:36">
      <c r="B222" s="60"/>
      <c r="C222" s="1462" t="s">
        <v>8178</v>
      </c>
      <c r="D222" s="1462"/>
      <c r="E222" s="1462" t="s">
        <v>8177</v>
      </c>
      <c r="F222" s="1695" t="s">
        <v>8176</v>
      </c>
      <c r="G222" s="63" t="e">
        <f ca="1">IF(Species="Nikto","Yes","No")</f>
        <v>#N/A</v>
      </c>
      <c r="H222" s="76"/>
      <c r="I222" s="63"/>
      <c r="J222" s="63" t="str">
        <f>IF(COUNTIF(T222:Z222,2)&gt;0,IF(G222="Yes","Class",""),IF(COUNTIF(T222:Z222,3)&gt;0,IF(COUNTIF(MulticlassFeats,Feats!A48&amp;IF(Feats!B48&lt;&gt;""," ("&amp;Feats!B48&amp;")","")),"Multi",""),""))</f>
        <v/>
      </c>
      <c r="K222" s="63" t="str">
        <f t="shared" ca="1" si="90"/>
        <v/>
      </c>
      <c r="L222" s="63" t="e">
        <f t="shared" ca="1" si="91"/>
        <v>#N/A</v>
      </c>
      <c r="M222" s="63" t="e">
        <f t="shared" ca="1" si="92"/>
        <v>#N/A</v>
      </c>
      <c r="N222" s="1461" t="s">
        <v>8166</v>
      </c>
      <c r="O222" s="1462"/>
      <c r="P222" s="1559"/>
      <c r="R222" s="661"/>
      <c r="S222" s="1463"/>
      <c r="T222" s="660"/>
      <c r="U222" s="660"/>
      <c r="V222" s="660"/>
      <c r="W222" s="660"/>
      <c r="X222" s="660"/>
      <c r="Y222" s="660"/>
      <c r="Z222" s="1562"/>
      <c r="AA222" s="1568"/>
      <c r="AB222" s="1566" t="str">
        <f t="shared" ca="1" si="93"/>
        <v/>
      </c>
      <c r="AC222" s="1365" t="str">
        <f t="shared" ca="1" si="94"/>
        <v/>
      </c>
      <c r="AD222" s="1365" t="str">
        <f t="shared" ca="1" si="95"/>
        <v/>
      </c>
      <c r="AE222" s="1365" t="str">
        <f t="shared" ca="1" si="96"/>
        <v/>
      </c>
      <c r="AF222" s="1365" t="str">
        <f t="shared" ca="1" si="97"/>
        <v/>
      </c>
      <c r="AG222" s="1467" t="str">
        <f t="shared" ca="1" si="98"/>
        <v/>
      </c>
      <c r="AH222" s="1467" t="str">
        <f t="shared" ca="1" si="99"/>
        <v/>
      </c>
      <c r="AJ222" s="1559"/>
    </row>
    <row r="223" spans="2:36">
      <c r="B223" s="60"/>
      <c r="C223" s="1320" t="s">
        <v>6682</v>
      </c>
      <c r="D223" s="61"/>
      <c r="E223" s="62" t="s">
        <v>6663</v>
      </c>
      <c r="F223" s="1694" t="s">
        <v>6683</v>
      </c>
      <c r="G223" s="63" t="str">
        <f>IF(CharacterLevel&gt;0,"Yes","No")</f>
        <v>No</v>
      </c>
      <c r="H223" s="76"/>
      <c r="I223" s="63"/>
      <c r="J223" s="63" t="str">
        <f>IF(COUNTIF(T223:Z223,2)&gt;0,IF(G223="Yes","Class",""),IF(COUNTIF(T223:Z223,3)&gt;0,IF(COUNTIF(MulticlassFeats,Feats!C223&amp;IF(Feats!D223&lt;&gt;""," ("&amp;Feats!D223&amp;")","")),"Multi",""),""))</f>
        <v/>
      </c>
      <c r="K223" s="63" t="str">
        <f t="shared" ca="1" si="90"/>
        <v/>
      </c>
      <c r="L223" s="63" t="str">
        <f t="shared" ca="1" si="91"/>
        <v>No</v>
      </c>
      <c r="M223" s="63">
        <f t="shared" ca="1" si="92"/>
        <v>0</v>
      </c>
      <c r="N223" s="63" t="s">
        <v>6755</v>
      </c>
      <c r="O223" s="64"/>
      <c r="P223" s="660"/>
      <c r="Q223" s="661"/>
      <c r="R223" s="661"/>
      <c r="AB223" s="1566" t="str">
        <f t="shared" ca="1" si="93"/>
        <v/>
      </c>
      <c r="AC223" s="1365" t="str">
        <f t="shared" ca="1" si="94"/>
        <v/>
      </c>
      <c r="AD223" s="1365" t="str">
        <f t="shared" ca="1" si="95"/>
        <v/>
      </c>
      <c r="AE223" s="1365" t="str">
        <f t="shared" ca="1" si="96"/>
        <v/>
      </c>
      <c r="AF223" s="1365" t="str">
        <f t="shared" ca="1" si="97"/>
        <v/>
      </c>
      <c r="AG223" s="1467" t="str">
        <f t="shared" ca="1" si="98"/>
        <v/>
      </c>
      <c r="AH223" s="1467" t="str">
        <f t="shared" ca="1" si="99"/>
        <v/>
      </c>
      <c r="AJ223" s="1559"/>
    </row>
    <row r="224" spans="2:36">
      <c r="B224" s="60"/>
      <c r="C224" s="1320" t="s">
        <v>2454</v>
      </c>
      <c r="D224" s="61"/>
      <c r="E224" s="62" t="s">
        <v>2318</v>
      </c>
      <c r="F224" s="1694" t="s">
        <v>5622</v>
      </c>
      <c r="G224" s="63" t="str">
        <f ca="1">IF(AND(CharacterLevel&gt;0,M49&gt;0),"Yes","No")</f>
        <v>No</v>
      </c>
      <c r="H224" s="76"/>
      <c r="I224" s="63"/>
      <c r="J224" s="63" t="str">
        <f>IF(COUNTIF(T224:Z224,2)&gt;0,IF(G224="Yes","Class",""),IF(COUNTIF(T224:Z224,3)&gt;0,IF(COUNTIF(MulticlassFeats,Feats!C224&amp;IF(Feats!D224&lt;&gt;""," ("&amp;Feats!D224&amp;")","")),"Multi",""),""))</f>
        <v/>
      </c>
      <c r="K224" s="63" t="str">
        <f t="shared" ca="1" si="90"/>
        <v/>
      </c>
      <c r="L224" s="63" t="str">
        <f t="shared" ca="1" si="91"/>
        <v>No</v>
      </c>
      <c r="M224" s="63">
        <f t="shared" ca="1" si="92"/>
        <v>0</v>
      </c>
      <c r="N224" s="63" t="s">
        <v>2406</v>
      </c>
      <c r="O224" s="64"/>
      <c r="P224" s="660"/>
      <c r="Q224" s="661"/>
      <c r="R224" s="661" t="s">
        <v>4060</v>
      </c>
      <c r="T224" s="54">
        <f>IF(JediFeats&gt;0,1,0)</f>
        <v>0</v>
      </c>
      <c r="U224" s="54">
        <f>IF(NobleFeats&gt;0,1,0)</f>
        <v>0</v>
      </c>
      <c r="AB224" s="1566" t="str">
        <f t="shared" ca="1" si="93"/>
        <v/>
      </c>
      <c r="AC224" s="1365" t="str">
        <f t="shared" ca="1" si="94"/>
        <v/>
      </c>
      <c r="AD224" s="1365" t="str">
        <f t="shared" ca="1" si="95"/>
        <v/>
      </c>
      <c r="AE224" s="1365" t="str">
        <f t="shared" ca="1" si="96"/>
        <v/>
      </c>
      <c r="AF224" s="1365" t="str">
        <f t="shared" ca="1" si="97"/>
        <v/>
      </c>
      <c r="AG224" s="1467" t="str">
        <f t="shared" ca="1" si="98"/>
        <v/>
      </c>
      <c r="AH224" s="1467" t="str">
        <f t="shared" ca="1" si="99"/>
        <v/>
      </c>
      <c r="AJ224" s="1559"/>
    </row>
    <row r="225" spans="2:36">
      <c r="B225" s="60"/>
      <c r="C225" s="1320" t="s">
        <v>6684</v>
      </c>
      <c r="D225" s="61"/>
      <c r="E225" s="62" t="s">
        <v>6663</v>
      </c>
      <c r="F225" s="1694" t="s">
        <v>6685</v>
      </c>
      <c r="G225" s="63" t="str">
        <f>IF(CharacterLevel&gt;0,"Yes","No")</f>
        <v>No</v>
      </c>
      <c r="H225" s="76"/>
      <c r="I225" s="63"/>
      <c r="J225" s="63" t="str">
        <f>IF(COUNTIF(T225:Z225,2)&gt;0,IF(G225="Yes","Class",""),IF(COUNTIF(T225:Z225,3)&gt;0,IF(COUNTIF(MulticlassFeats,Feats!C225&amp;IF(Feats!D225&lt;&gt;""," ("&amp;Feats!D225&amp;")","")),"Multi",""),""))</f>
        <v/>
      </c>
      <c r="K225" s="63" t="str">
        <f t="shared" ca="1" si="90"/>
        <v/>
      </c>
      <c r="L225" s="63" t="str">
        <f t="shared" ca="1" si="91"/>
        <v>No</v>
      </c>
      <c r="M225" s="63">
        <f t="shared" ca="1" si="92"/>
        <v>0</v>
      </c>
      <c r="N225" s="63" t="s">
        <v>6755</v>
      </c>
      <c r="O225" s="64"/>
      <c r="P225" s="660"/>
      <c r="Q225" s="661"/>
      <c r="R225" s="661"/>
      <c r="AB225" s="1566" t="str">
        <f t="shared" ca="1" si="93"/>
        <v/>
      </c>
      <c r="AC225" s="1365" t="str">
        <f t="shared" ca="1" si="94"/>
        <v/>
      </c>
      <c r="AD225" s="1365" t="str">
        <f t="shared" ca="1" si="95"/>
        <v/>
      </c>
      <c r="AE225" s="1365" t="str">
        <f t="shared" ca="1" si="96"/>
        <v/>
      </c>
      <c r="AF225" s="1365" t="str">
        <f t="shared" ca="1" si="97"/>
        <v/>
      </c>
      <c r="AG225" s="1467" t="str">
        <f t="shared" ca="1" si="98"/>
        <v/>
      </c>
      <c r="AH225" s="1467" t="str">
        <f t="shared" ca="1" si="99"/>
        <v/>
      </c>
      <c r="AJ225" s="1559"/>
    </row>
    <row r="226" spans="2:36">
      <c r="B226" s="60"/>
      <c r="C226" s="1462" t="s">
        <v>8249</v>
      </c>
      <c r="D226" s="1462"/>
      <c r="E226" s="1462" t="s">
        <v>8248</v>
      </c>
      <c r="F226" s="1695" t="s">
        <v>8247</v>
      </c>
      <c r="G226" s="63" t="str">
        <f ca="1">IF(AND(Talents!$M$379&gt;0,$M$49&gt;0),"Yes","No")</f>
        <v>No</v>
      </c>
      <c r="H226" s="76"/>
      <c r="I226" s="63"/>
      <c r="J226" s="63" t="str">
        <f>IF(COUNTIF(T226:Z226,2)&gt;0,IF(G226="Yes","Class",""),IF(COUNTIF(T226:Z226,3)&gt;0,IF(COUNTIF(MulticlassFeats,Feats!A21&amp;IF(Feats!B21&lt;&gt;""," ("&amp;Feats!B21&amp;")","")),"Multi",""),""))</f>
        <v/>
      </c>
      <c r="K226" s="63" t="str">
        <f t="shared" ca="1" si="90"/>
        <v/>
      </c>
      <c r="L226" s="63" t="str">
        <f t="shared" ca="1" si="91"/>
        <v>No</v>
      </c>
      <c r="M226" s="63">
        <f t="shared" ca="1" si="92"/>
        <v>0</v>
      </c>
      <c r="N226" s="1461" t="s">
        <v>8225</v>
      </c>
      <c r="O226" s="1462"/>
      <c r="P226" s="1559"/>
      <c r="R226" s="661"/>
      <c r="S226" s="1463"/>
      <c r="T226" s="660"/>
      <c r="U226" s="660"/>
      <c r="V226" s="660"/>
      <c r="W226" s="660"/>
      <c r="X226" s="660"/>
      <c r="Y226" s="660"/>
      <c r="Z226" s="1562"/>
      <c r="AA226" s="1568"/>
      <c r="AB226" s="1566" t="str">
        <f t="shared" ca="1" si="93"/>
        <v/>
      </c>
      <c r="AC226" s="1365" t="str">
        <f t="shared" ca="1" si="94"/>
        <v/>
      </c>
      <c r="AD226" s="1365" t="str">
        <f t="shared" ca="1" si="95"/>
        <v/>
      </c>
      <c r="AE226" s="1365" t="str">
        <f t="shared" ca="1" si="96"/>
        <v/>
      </c>
      <c r="AF226" s="1365" t="str">
        <f t="shared" ca="1" si="97"/>
        <v/>
      </c>
      <c r="AG226" s="1467" t="str">
        <f t="shared" ca="1" si="98"/>
        <v/>
      </c>
      <c r="AH226" s="1467" t="str">
        <f t="shared" ca="1" si="99"/>
        <v/>
      </c>
      <c r="AJ226" s="1559"/>
    </row>
    <row r="227" spans="2:36">
      <c r="B227" s="60"/>
      <c r="C227" s="1320" t="s">
        <v>2455</v>
      </c>
      <c r="D227" s="61"/>
      <c r="E227" s="62"/>
      <c r="F227" s="1694" t="s">
        <v>5623</v>
      </c>
      <c r="G227" s="63" t="str">
        <f>IF(CharacterLevel&gt;0,"Yes","No")</f>
        <v>No</v>
      </c>
      <c r="H227" s="76"/>
      <c r="I227" s="63"/>
      <c r="J227" s="63" t="str">
        <f>IF(COUNTIF(T227:Z227,2)&gt;0,IF(G227="Yes","Class",""),IF(COUNTIF(T227:Z227,3)&gt;0,IF(COUNTIF(MulticlassFeats,Feats!C227&amp;IF(Feats!D227&lt;&gt;""," ("&amp;Feats!D227&amp;")","")),"Multi",""),""))</f>
        <v/>
      </c>
      <c r="K227" s="63" t="str">
        <f t="shared" ca="1" si="90"/>
        <v/>
      </c>
      <c r="L227" s="63" t="str">
        <f t="shared" ca="1" si="91"/>
        <v>No</v>
      </c>
      <c r="M227" s="63">
        <f t="shared" ca="1" si="92"/>
        <v>0</v>
      </c>
      <c r="N227" s="63" t="s">
        <v>2395</v>
      </c>
      <c r="O227" s="64"/>
      <c r="P227" s="660"/>
      <c r="Q227" s="508"/>
      <c r="R227" s="661" t="s">
        <v>4059</v>
      </c>
      <c r="V227" s="54">
        <f>IF(ScoundrelFeats&gt;0,1,0)</f>
        <v>0</v>
      </c>
      <c r="X227" s="54">
        <f>IF(SoldierFeats&gt;0,1,0)</f>
        <v>0</v>
      </c>
      <c r="AB227" s="1566" t="str">
        <f t="shared" ca="1" si="93"/>
        <v/>
      </c>
      <c r="AC227" s="1365" t="str">
        <f t="shared" ca="1" si="94"/>
        <v/>
      </c>
      <c r="AD227" s="1365" t="str">
        <f t="shared" ca="1" si="95"/>
        <v/>
      </c>
      <c r="AE227" s="1365" t="str">
        <f t="shared" ca="1" si="96"/>
        <v/>
      </c>
      <c r="AF227" s="1365" t="str">
        <f t="shared" ca="1" si="97"/>
        <v/>
      </c>
      <c r="AG227" s="1467" t="str">
        <f t="shared" ca="1" si="98"/>
        <v/>
      </c>
      <c r="AH227" s="1467" t="str">
        <f t="shared" ca="1" si="99"/>
        <v/>
      </c>
      <c r="AJ227" s="1463"/>
    </row>
    <row r="228" spans="2:36">
      <c r="B228" s="60"/>
      <c r="C228" s="1320" t="s">
        <v>2456</v>
      </c>
      <c r="D228" s="61"/>
      <c r="E228" s="62" t="s">
        <v>2457</v>
      </c>
      <c r="F228" s="1694" t="s">
        <v>5624</v>
      </c>
      <c r="G228" s="63" t="str">
        <f>IF(AND(CharacterLevel&gt;0,DSP&gt;=1),"Yes","No")</f>
        <v>No</v>
      </c>
      <c r="H228" s="76"/>
      <c r="I228" s="63"/>
      <c r="J228" s="63" t="str">
        <f>IF(COUNTIF(T228:Z228,2)&gt;0,IF(G228="Yes","Class",""),IF(COUNTIF(T228:Z228,3)&gt;0,IF(COUNTIF(MulticlassFeats,Feats!C228&amp;IF(Feats!D228&lt;&gt;""," ("&amp;Feats!D228&amp;")","")),"Multi",""),""))</f>
        <v/>
      </c>
      <c r="K228" s="63" t="str">
        <f t="shared" ca="1" si="90"/>
        <v/>
      </c>
      <c r="L228" s="63" t="str">
        <f t="shared" ca="1" si="91"/>
        <v>No</v>
      </c>
      <c r="M228" s="63">
        <f t="shared" ca="1" si="92"/>
        <v>0</v>
      </c>
      <c r="N228" s="63" t="s">
        <v>2395</v>
      </c>
      <c r="O228" s="64"/>
      <c r="P228" s="660"/>
      <c r="Q228" s="508"/>
      <c r="R228" s="661"/>
      <c r="AB228" s="1566" t="str">
        <f t="shared" ca="1" si="93"/>
        <v/>
      </c>
      <c r="AC228" s="1365" t="str">
        <f t="shared" ca="1" si="94"/>
        <v/>
      </c>
      <c r="AD228" s="1365" t="str">
        <f t="shared" ca="1" si="95"/>
        <v/>
      </c>
      <c r="AE228" s="1365" t="str">
        <f t="shared" ca="1" si="96"/>
        <v/>
      </c>
      <c r="AF228" s="1365" t="str">
        <f t="shared" ca="1" si="97"/>
        <v/>
      </c>
      <c r="AG228" s="1467" t="str">
        <f t="shared" ca="1" si="98"/>
        <v/>
      </c>
      <c r="AH228" s="1467" t="str">
        <f t="shared" ca="1" si="99"/>
        <v/>
      </c>
    </row>
    <row r="229" spans="2:36">
      <c r="B229" s="60"/>
      <c r="C229" s="1320" t="s">
        <v>2042</v>
      </c>
      <c r="D229" s="61"/>
      <c r="E229" s="62" t="s">
        <v>2268</v>
      </c>
      <c r="F229" s="1694" t="s">
        <v>5625</v>
      </c>
      <c r="G229" s="63" t="str">
        <f>IF(AND(CharacterLevel&gt;0,BAB&gt;=1),"Yes","No")</f>
        <v>No</v>
      </c>
      <c r="H229" s="76"/>
      <c r="I229" s="63"/>
      <c r="J229" s="63" t="str">
        <f>IF(COUNTIF(T229:Z229,2)&gt;0,IF(G229="Yes","Class",""),IF(COUNTIF(T229:Z229,3)&gt;0,IF(COUNTIF(MulticlassFeats,Feats!C229&amp;IF(Feats!D229&lt;&gt;""," ("&amp;Feats!D229&amp;")","")),"Multi",""),""))</f>
        <v/>
      </c>
      <c r="K229" s="63" t="str">
        <f t="shared" ca="1" si="90"/>
        <v/>
      </c>
      <c r="L229" s="63" t="str">
        <f t="shared" ca="1" si="91"/>
        <v>No</v>
      </c>
      <c r="M229" s="63">
        <f t="shared" ca="1" si="92"/>
        <v>0</v>
      </c>
      <c r="N229" s="63">
        <v>87</v>
      </c>
      <c r="O229" s="64"/>
      <c r="P229" s="660"/>
      <c r="Q229" s="661"/>
      <c r="R229" s="661" t="s">
        <v>4059</v>
      </c>
      <c r="X229" s="54">
        <f>IF(SoldierFeats&gt;0,1,0)</f>
        <v>0</v>
      </c>
      <c r="AB229" s="1566" t="str">
        <f t="shared" ca="1" si="93"/>
        <v/>
      </c>
      <c r="AC229" s="1365" t="str">
        <f ca="1">IF(AB266&lt;&gt;"",AB266&amp;";"&amp;AC230,AC230)</f>
        <v/>
      </c>
      <c r="AD229" s="1365" t="str">
        <f ca="1">IF(AB266&lt;&gt;"",N266&amp;";"&amp;AD230,AD230)</f>
        <v/>
      </c>
      <c r="AE229" s="1365" t="str">
        <f ca="1">IF(AB266&lt;&gt;"",IF(R266="Att Options",AB266&amp;IF(AE230&lt;&gt;"",", ",""),"")&amp;AE230,AE230)</f>
        <v/>
      </c>
      <c r="AF229" s="1365" t="str">
        <f ca="1">IF(AB266&lt;&gt;"",IF(R266="Special Actions",AB266&amp;IF(AF230&lt;&gt;"",", ",""),"")&amp;AF230,AF230)</f>
        <v/>
      </c>
      <c r="AG229" s="1467" t="str">
        <f ca="1">IF(AB266&lt;&gt;"",IF(R266="Defenses",AB266&amp;IF(AG230&lt;&gt;"",", ",""),"")&amp;AG230,AG230)</f>
        <v/>
      </c>
      <c r="AH229" s="1467" t="str">
        <f ca="1">IF(AB266&lt;&gt;"",IF(R266="Speed",AB266&amp;IF(AH230&lt;&gt;"",", ",""),"")&amp;AH230,AH230)</f>
        <v/>
      </c>
    </row>
    <row r="230" spans="2:36" ht="29">
      <c r="B230" s="1311"/>
      <c r="C230" s="1320" t="s">
        <v>7371</v>
      </c>
      <c r="D230" s="61"/>
      <c r="E230" s="62" t="s">
        <v>7387</v>
      </c>
      <c r="F230" s="1694" t="s">
        <v>7403</v>
      </c>
      <c r="G230" s="63" t="str">
        <f ca="1">IF(AND(Droid,BAB&gt;=1,M229&gt;0,M58&gt;0),"Yes","No")</f>
        <v>No</v>
      </c>
      <c r="H230" s="76"/>
      <c r="I230" s="63"/>
      <c r="J230" s="63" t="str">
        <f>IF(COUNTIF(T230:Z230,2)&gt;0,IF(G230="Yes","Class",""),IF(COUNTIF(T230:Z230,3)&gt;0,IF(COUNTIF(MulticlassFeats,Feats!C230&amp;IF(Feats!D230&lt;&gt;""," ("&amp;Feats!D230&amp;")","")),"Multi",""),""))</f>
        <v/>
      </c>
      <c r="K230" s="63" t="str">
        <f t="shared" ca="1" si="90"/>
        <v/>
      </c>
      <c r="L230" s="63" t="str">
        <f t="shared" ca="1" si="91"/>
        <v>No</v>
      </c>
      <c r="M230" s="63">
        <f t="shared" ca="1" si="92"/>
        <v>0</v>
      </c>
      <c r="N230" s="63" t="s">
        <v>7516</v>
      </c>
      <c r="O230" s="64"/>
      <c r="P230" s="660"/>
      <c r="Q230" s="661"/>
      <c r="R230" s="661"/>
      <c r="AB230" s="1566" t="str">
        <f t="shared" ca="1" si="93"/>
        <v/>
      </c>
      <c r="AC230" s="1365" t="str">
        <f ca="1">IF(AB267&lt;&gt;"",AB267&amp;";"&amp;AC231,AC231)</f>
        <v/>
      </c>
      <c r="AD230" s="1365" t="str">
        <f ca="1">IF(AB267&lt;&gt;"",N267&amp;";"&amp;AD231,AD231)</f>
        <v/>
      </c>
      <c r="AE230" s="1365" t="str">
        <f ca="1">IF(AB267&lt;&gt;"",IF(R267="Att Options",AB267&amp;IF(AE231&lt;&gt;"",", ",""),"")&amp;AE231,AE231)</f>
        <v/>
      </c>
      <c r="AF230" s="1365" t="str">
        <f ca="1">IF(AB267&lt;&gt;"",IF(R267="Special Actions",AB267&amp;IF(AF231&lt;&gt;"",", ",""),"")&amp;AF231,AF231)</f>
        <v/>
      </c>
      <c r="AG230" s="1467" t="str">
        <f ca="1">IF(AB267&lt;&gt;"",IF(R267="Defenses",AB267&amp;IF(AG231&lt;&gt;"",", ",""),"")&amp;AG231,AG231)</f>
        <v/>
      </c>
      <c r="AH230" s="1467" t="str">
        <f ca="1">IF(AB267&lt;&gt;"",IF(R267="Speed",AB267&amp;IF(AH231&lt;&gt;"",", ",""),"")&amp;AH231,AH231)</f>
        <v/>
      </c>
    </row>
    <row r="231" spans="2:36" ht="29">
      <c r="B231" s="1311"/>
      <c r="C231" s="1320" t="s">
        <v>7372</v>
      </c>
      <c r="D231" s="61"/>
      <c r="E231" s="62" t="s">
        <v>7410</v>
      </c>
      <c r="F231" s="1694" t="s">
        <v>7404</v>
      </c>
      <c r="G231" s="63" t="str">
        <f ca="1">IF(AND(Droid,BAB&gt;=1,M17&gt;0,M233&gt;0,M239&gt;0),"Yes","No")</f>
        <v>No</v>
      </c>
      <c r="H231" s="76"/>
      <c r="I231" s="63"/>
      <c r="J231" s="63" t="str">
        <f>IF(COUNTIF(T231:Z231,2)&gt;0,IF(G231="Yes","Class",""),IF(COUNTIF(T231:Z231,3)&gt;0,IF(COUNTIF(MulticlassFeats,Feats!C231&amp;IF(Feats!D231&lt;&gt;""," ("&amp;Feats!D231&amp;")","")),"Multi",""),""))</f>
        <v/>
      </c>
      <c r="K231" s="63" t="str">
        <f t="shared" ca="1" si="90"/>
        <v/>
      </c>
      <c r="L231" s="63" t="str">
        <f t="shared" ca="1" si="91"/>
        <v>No</v>
      </c>
      <c r="M231" s="63">
        <f t="shared" ca="1" si="92"/>
        <v>0</v>
      </c>
      <c r="N231" s="63" t="s">
        <v>7516</v>
      </c>
      <c r="O231" s="64"/>
      <c r="P231" s="660"/>
      <c r="Q231" s="661"/>
      <c r="R231" s="661"/>
      <c r="AB231" s="1566" t="str">
        <f t="shared" ca="1" si="93"/>
        <v/>
      </c>
      <c r="AC231" s="1365" t="str">
        <f ca="1">IF(AB268&lt;&gt;"",AB268&amp;";"&amp;AC232,AC232)</f>
        <v/>
      </c>
      <c r="AD231" s="1365" t="str">
        <f ca="1">IF(AB268&lt;&gt;"",N268&amp;";"&amp;AD232,AD232)</f>
        <v/>
      </c>
      <c r="AE231" s="1365" t="str">
        <f ca="1">IF(AB268&lt;&gt;"",IF(R268="Att Options",AB268&amp;IF(AE232&lt;&gt;"",", ",""),"")&amp;AE232,AE232)</f>
        <v/>
      </c>
      <c r="AF231" s="1365" t="str">
        <f ca="1">IF(AB268&lt;&gt;"",IF(R268="Special Actions",AB268&amp;IF(AF232&lt;&gt;"",", ",""),"")&amp;AF232,AF232)</f>
        <v/>
      </c>
      <c r="AG231" s="1467" t="str">
        <f ca="1">IF(AB268&lt;&gt;"",IF(R268="Defenses",AB268&amp;IF(AG232&lt;&gt;"",", ",""),"")&amp;AG232,AG232)</f>
        <v/>
      </c>
      <c r="AH231" s="1467" t="str">
        <f ca="1">IF(AB268&lt;&gt;"",IF(R268="Speed",AB268&amp;IF(AH232&lt;&gt;"",", ",""),"")&amp;AH232,AH232)</f>
        <v/>
      </c>
    </row>
    <row r="232" spans="2:36">
      <c r="B232" s="60"/>
      <c r="C232" s="1320" t="s">
        <v>3321</v>
      </c>
      <c r="D232" s="61"/>
      <c r="E232" s="62" t="s">
        <v>2350</v>
      </c>
      <c r="F232" s="1694" t="s">
        <v>6686</v>
      </c>
      <c r="G232" s="63" t="str">
        <f ca="1">IF(AND(CharacterLevel&gt;0,$M$349&gt;0),"Yes","No")</f>
        <v>No</v>
      </c>
      <c r="H232" s="76"/>
      <c r="I232" s="63"/>
      <c r="J232" s="63" t="str">
        <f>IF(COUNTIF(T232:Z232,2)&gt;0,IF(G232="Yes","Class",""),IF(COUNTIF(T232:Z232,3)&gt;0,IF(COUNTIF(MulticlassFeats,Feats!C232&amp;IF(Feats!D232&lt;&gt;""," ("&amp;Feats!D232&amp;")","")),"Multi",""),""))</f>
        <v/>
      </c>
      <c r="K232" s="63" t="str">
        <f t="shared" ca="1" si="90"/>
        <v/>
      </c>
      <c r="L232" s="63" t="str">
        <f t="shared" ca="1" si="91"/>
        <v>No</v>
      </c>
      <c r="M232" s="63">
        <f t="shared" ca="1" si="92"/>
        <v>0</v>
      </c>
      <c r="N232" s="63" t="s">
        <v>6755</v>
      </c>
      <c r="O232" s="64"/>
      <c r="P232" s="660"/>
      <c r="Q232" s="661"/>
      <c r="R232" s="661"/>
      <c r="AB232" s="1566" t="str">
        <f t="shared" ca="1" si="93"/>
        <v/>
      </c>
      <c r="AC232" s="1365" t="str">
        <f ca="1">IF(AB269&lt;&gt;"",AB269&amp;";"&amp;AC233,AC233)</f>
        <v/>
      </c>
      <c r="AD232" s="1365" t="str">
        <f ca="1">IF(AB269&lt;&gt;"",N269&amp;";"&amp;AD233,AD233)</f>
        <v/>
      </c>
      <c r="AE232" s="1365" t="str">
        <f ca="1">IF(AB269&lt;&gt;"",IF(R269="Att Options",AB269&amp;IF(AE233&lt;&gt;"",", ",""),"")&amp;AE233,AE233)</f>
        <v/>
      </c>
      <c r="AF232" s="1365" t="str">
        <f ca="1">IF(AB269&lt;&gt;"",IF(R269="Special Actions",AB269&amp;IF(AF233&lt;&gt;"",", ",""),"")&amp;AF233,AF233)</f>
        <v/>
      </c>
      <c r="AG232" s="1467" t="str">
        <f ca="1">IF(AB269&lt;&gt;"",IF(R269="Defenses",AB269&amp;IF(AG233&lt;&gt;"",", ",""),"")&amp;AG233,AG233)</f>
        <v/>
      </c>
      <c r="AH232" s="1467" t="str">
        <f ca="1">IF(AB269&lt;&gt;"",IF(R269="Speed",AB269&amp;IF(AH233&lt;&gt;"",", ",""),"")&amp;AH233,AH233)</f>
        <v/>
      </c>
    </row>
    <row r="233" spans="2:36">
      <c r="B233" s="60"/>
      <c r="C233" s="1320" t="s">
        <v>2373</v>
      </c>
      <c r="D233" s="61"/>
      <c r="E233" s="62"/>
      <c r="F233" s="1694" t="s">
        <v>5626</v>
      </c>
      <c r="G233" s="63" t="str">
        <f>IF(CharacterLevel&gt;0,"Yes","No")</f>
        <v>No</v>
      </c>
      <c r="H233" s="76"/>
      <c r="I233" s="63"/>
      <c r="J233" s="63" t="str">
        <f>IF(COUNTIF(T233:Z233,2)&gt;0,IF(G233="Yes","Class",""),IF(COUNTIF(T233:Z233,3)&gt;0,IF(COUNTIF(MulticlassFeats,Feats!C233&amp;IF(Feats!D233&lt;&gt;""," ("&amp;Feats!D233&amp;")","")),"Multi",""),""))</f>
        <v/>
      </c>
      <c r="K233" s="63" t="str">
        <f ca="1">IF(OR(NOT(ISERROR(FIND(C233,INDEX(RaceListTable,RaceIndex,40),1))),NOT(ISERROR(FIND(C233,INDEX(RaceListTable,RaceIndex,41),1)))),"Racial","")</f>
        <v/>
      </c>
      <c r="L233" s="63" t="str">
        <f t="shared" ca="1" si="91"/>
        <v>No</v>
      </c>
      <c r="M233" s="63">
        <f t="shared" ca="1" si="92"/>
        <v>0</v>
      </c>
      <c r="N233" s="63">
        <v>87</v>
      </c>
      <c r="O233" s="64"/>
      <c r="P233" s="660"/>
      <c r="Q233" s="661"/>
      <c r="R233" s="661" t="s">
        <v>4059</v>
      </c>
      <c r="V233" s="54">
        <f>IF(ScoundrelFeats&gt;0,IF(FirstClass&lt;&gt;"Scoundrel",3,2),0)</f>
        <v>0</v>
      </c>
      <c r="W233" s="54">
        <f>IF(ScoutFeats&gt;0,1,0)</f>
        <v>0</v>
      </c>
      <c r="X233" s="54">
        <f>IF(SoldierFeats&gt;0,1,0)</f>
        <v>0</v>
      </c>
      <c r="AB233" s="1566" t="str">
        <f t="shared" ca="1" si="93"/>
        <v/>
      </c>
      <c r="AC233" s="1365" t="str">
        <f t="shared" ref="AC233:AC246" ca="1" si="100">IF(AB271&lt;&gt;"",AB271&amp;";"&amp;AC234,AC234)</f>
        <v/>
      </c>
      <c r="AD233" s="1365" t="str">
        <f t="shared" ref="AD233:AD246" ca="1" si="101">IF(AB271&lt;&gt;"",N271&amp;";"&amp;AD234,AD234)</f>
        <v/>
      </c>
      <c r="AE233" s="1365" t="str">
        <f t="shared" ref="AE233:AE246" ca="1" si="102">IF(AB271&lt;&gt;"",IF(R271="Att Options",AB271&amp;IF(AE234&lt;&gt;"",", ",""),"")&amp;AE234,AE234)</f>
        <v/>
      </c>
      <c r="AF233" s="1365" t="str">
        <f t="shared" ref="AF233:AF246" ca="1" si="103">IF(AB271&lt;&gt;"",IF(R271="Special Actions",AB271&amp;IF(AF234&lt;&gt;"",", ",""),"")&amp;AF234,AF234)</f>
        <v/>
      </c>
      <c r="AG233" s="1467" t="str">
        <f t="shared" ref="AG233:AG246" ca="1" si="104">IF(AB271&lt;&gt;"",IF(R271="Defenses",AB271&amp;IF(AG234&lt;&gt;"",", ",""),"")&amp;AG234,AG234)</f>
        <v/>
      </c>
      <c r="AH233" s="1467" t="str">
        <f t="shared" ref="AH233:AH246" ca="1" si="105">IF(AB271&lt;&gt;"",IF(R271="Speed",AB271&amp;IF(AH234&lt;&gt;"",", ",""),"")&amp;AH234,AH234)</f>
        <v/>
      </c>
    </row>
    <row r="234" spans="2:36">
      <c r="B234" s="60"/>
      <c r="C234" s="1320" t="s">
        <v>602</v>
      </c>
      <c r="D234" s="61"/>
      <c r="E234" s="62" t="s">
        <v>2408</v>
      </c>
      <c r="F234" s="1694" t="s">
        <v>5627</v>
      </c>
      <c r="G234" s="63" t="str">
        <f>IF(AND(CharacterLevel&gt;0,Constitution&gt;=13),"Yes","No")</f>
        <v>No</v>
      </c>
      <c r="H234" s="76"/>
      <c r="I234" s="63"/>
      <c r="J234" s="63" t="str">
        <f>IF(COUNTIF(T234:Z234,2)&gt;0,IF(G234="Yes","Class",""),IF(COUNTIF(T234:Z234,3)&gt;0,IF(COUNTIF(MulticlassFeats,Feats!C234&amp;IF(Feats!D234&lt;&gt;""," ("&amp;Feats!D234&amp;")","")),"Multi",""),""))</f>
        <v/>
      </c>
      <c r="K234" s="63" t="str">
        <f ca="1">IF(OR(NOT(ISERROR(FIND(C234,INDEX(RaceListTable,RaceIndex,39),1))),NOT(ISERROR(FIND(C234,INDEX(RaceListTable,RaceIndex,40),1)))),"Racial","")</f>
        <v/>
      </c>
      <c r="L234" s="63" t="str">
        <f t="shared" ca="1" si="91"/>
        <v>No</v>
      </c>
      <c r="M234" s="63">
        <f t="shared" ca="1" si="92"/>
        <v>0</v>
      </c>
      <c r="N234" s="63" t="s">
        <v>2433</v>
      </c>
      <c r="O234" s="64"/>
      <c r="P234" s="660"/>
      <c r="Q234" s="661"/>
      <c r="R234" s="661"/>
      <c r="V234" s="54">
        <f>IF(ScoundrelFeats&gt;0,1,0)</f>
        <v>0</v>
      </c>
      <c r="W234" s="54">
        <f>IF(ScoutFeats&gt;0,1,0)</f>
        <v>0</v>
      </c>
      <c r="AB234" s="1566" t="str">
        <f t="shared" ca="1" si="93"/>
        <v/>
      </c>
      <c r="AC234" s="1365" t="str">
        <f t="shared" ca="1" si="100"/>
        <v/>
      </c>
      <c r="AD234" s="1365" t="str">
        <f t="shared" ca="1" si="101"/>
        <v/>
      </c>
      <c r="AE234" s="1365" t="str">
        <f t="shared" ca="1" si="102"/>
        <v/>
      </c>
      <c r="AF234" s="1365" t="str">
        <f t="shared" ca="1" si="103"/>
        <v/>
      </c>
      <c r="AG234" s="1467" t="str">
        <f t="shared" ca="1" si="104"/>
        <v/>
      </c>
      <c r="AH234" s="1467" t="str">
        <f t="shared" ca="1" si="105"/>
        <v/>
      </c>
    </row>
    <row r="235" spans="2:36">
      <c r="B235" s="60"/>
      <c r="C235" s="1320" t="s">
        <v>2313</v>
      </c>
      <c r="D235" s="61"/>
      <c r="E235" s="62" t="s">
        <v>2444</v>
      </c>
      <c r="F235" s="1694" t="s">
        <v>5628</v>
      </c>
      <c r="G235" s="63" t="str">
        <f>IF(AND(CharacterLevel&gt;0,Strength&gt;=13),"Yes","No")</f>
        <v>No</v>
      </c>
      <c r="H235" s="76"/>
      <c r="I235" s="63"/>
      <c r="J235" s="63" t="str">
        <f>IF(COUNTIF(T235:Z235,2)&gt;0,IF(G235="Yes","Class",""),IF(COUNTIF(T235:Z235,3)&gt;0,IF(COUNTIF(MulticlassFeats,Feats!C235&amp;IF(Feats!D235&lt;&gt;""," ("&amp;Feats!D235&amp;")","")),"Multi",""),""))</f>
        <v/>
      </c>
      <c r="K235" s="63" t="str">
        <f ca="1">IF(OR(NOT(ISERROR(FIND(C235,INDEX(RaceListTable,RaceIndex,39),1))),NOT(ISERROR(FIND(C235,INDEX(RaceListTable,RaceIndex,40),1)))),"Racial","")</f>
        <v/>
      </c>
      <c r="L235" s="63" t="str">
        <f t="shared" ca="1" si="91"/>
        <v>No</v>
      </c>
      <c r="M235" s="63">
        <f t="shared" ca="1" si="92"/>
        <v>0</v>
      </c>
      <c r="N235" s="63">
        <v>87</v>
      </c>
      <c r="O235" s="64"/>
      <c r="P235" s="660"/>
      <c r="Q235" s="661"/>
      <c r="R235" s="661" t="s">
        <v>4059</v>
      </c>
      <c r="T235" s="54">
        <f>IF(JediFeats&gt;0,1,0)</f>
        <v>0</v>
      </c>
      <c r="X235" s="54">
        <f>IF(SoldierFeats&gt;0,1,0)</f>
        <v>0</v>
      </c>
      <c r="AB235" s="1566" t="str">
        <f t="shared" ca="1" si="93"/>
        <v/>
      </c>
      <c r="AC235" s="1365" t="str">
        <f t="shared" ca="1" si="100"/>
        <v/>
      </c>
      <c r="AD235" s="1365" t="str">
        <f t="shared" ca="1" si="101"/>
        <v/>
      </c>
      <c r="AE235" s="1365" t="str">
        <f t="shared" ca="1" si="102"/>
        <v/>
      </c>
      <c r="AF235" s="1365" t="str">
        <f t="shared" ca="1" si="103"/>
        <v/>
      </c>
      <c r="AG235" s="1467" t="str">
        <f t="shared" ca="1" si="104"/>
        <v/>
      </c>
      <c r="AH235" s="1467" t="str">
        <f t="shared" ca="1" si="105"/>
        <v/>
      </c>
    </row>
    <row r="236" spans="2:36">
      <c r="B236" s="60"/>
      <c r="C236" s="1320" t="s">
        <v>2458</v>
      </c>
      <c r="D236" s="61"/>
      <c r="E236" s="62"/>
      <c r="F236" s="1694" t="s">
        <v>5629</v>
      </c>
      <c r="G236" s="63" t="str">
        <f>IF(CharacterLevel&gt;0,"Yes","No")</f>
        <v>No</v>
      </c>
      <c r="H236" s="76"/>
      <c r="I236" s="63"/>
      <c r="J236" s="63" t="str">
        <f>IF(COUNTIF(T236:Z236,2)&gt;0,IF(G236="Yes","Class",""),IF(COUNTIF(T236:Z236,3)&gt;0,IF(COUNTIF(MulticlassFeats,Feats!C236&amp;IF(Feats!D236&lt;&gt;""," ("&amp;Feats!D236&amp;")","")),"Multi",""),""))</f>
        <v/>
      </c>
      <c r="K236" s="63" t="str">
        <f ca="1">IF(OR(NOT(ISERROR(FIND(C236,INDEX(RaceListTable,RaceIndex,39),1))),NOT(ISERROR(FIND(C236,INDEX(RaceListTable,RaceIndex,40),1)))),"Racial","")</f>
        <v/>
      </c>
      <c r="L236" s="63" t="str">
        <f t="shared" ca="1" si="91"/>
        <v>No</v>
      </c>
      <c r="M236" s="63">
        <f t="shared" ref="M236:M267" ca="1" si="106">IF(L236="Yes",1,0)</f>
        <v>0</v>
      </c>
      <c r="N236" s="63" t="s">
        <v>2433</v>
      </c>
      <c r="O236" s="64"/>
      <c r="P236" s="660"/>
      <c r="Q236" s="661"/>
      <c r="R236" s="661" t="s">
        <v>4059</v>
      </c>
      <c r="X236" s="54">
        <f>IF(SoldierFeats&gt;0,1,0)</f>
        <v>0</v>
      </c>
      <c r="AB236" s="1566" t="str">
        <f t="shared" ref="AB236:AB267" ca="1" si="107">IF(OR(H236&lt;&gt;"",I236&lt;&gt;"",J236&lt;&gt;"",K236&lt;&gt;""),C236&amp;IF(D236&lt;&gt;""," ("&amp;D236&amp;")",""),"")</f>
        <v/>
      </c>
      <c r="AC236" s="1365" t="str">
        <f t="shared" ca="1" si="100"/>
        <v/>
      </c>
      <c r="AD236" s="1365" t="str">
        <f t="shared" ca="1" si="101"/>
        <v/>
      </c>
      <c r="AE236" s="1365" t="str">
        <f t="shared" ca="1" si="102"/>
        <v/>
      </c>
      <c r="AF236" s="1365" t="str">
        <f t="shared" ca="1" si="103"/>
        <v/>
      </c>
      <c r="AG236" s="1467" t="str">
        <f t="shared" ca="1" si="104"/>
        <v/>
      </c>
      <c r="AH236" s="1467" t="str">
        <f t="shared" ca="1" si="105"/>
        <v/>
      </c>
    </row>
    <row r="237" spans="2:36">
      <c r="B237" s="60"/>
      <c r="C237" s="1320" t="s">
        <v>2459</v>
      </c>
      <c r="D237" s="61"/>
      <c r="E237" s="62" t="s">
        <v>2460</v>
      </c>
      <c r="F237" s="1694" t="s">
        <v>5630</v>
      </c>
      <c r="G237" s="63" t="e">
        <f ca="1">IF(AND(BAB&gt;=1,INDEX(SizeTable,MATCH(INDEX(RaceListTable,RaceIndex,13),SizeAbrList,0),3)&gt;=5),"Yes","No")</f>
        <v>#N/A</v>
      </c>
      <c r="H237" s="76"/>
      <c r="I237" s="63"/>
      <c r="J237" s="63" t="str">
        <f>IF(COUNTIF(T237:Z237,2)&gt;0,IF(G237="Yes","Class",""),IF(COUNTIF(T237:Z237,3)&gt;0,IF(COUNTIF(MulticlassFeats,Feats!C237&amp;IF(Feats!D237&lt;&gt;""," ("&amp;Feats!D237&amp;")","")),"Multi",""),""))</f>
        <v/>
      </c>
      <c r="K237" s="63" t="str">
        <f ca="1">IF(OR(NOT(ISERROR(FIND(C237,INDEX(RaceListTable,RaceIndex,39),1))),NOT(ISERROR(FIND(C237,INDEX(RaceListTable,RaceIndex,40),1)))),"Racial","")</f>
        <v/>
      </c>
      <c r="L237" s="63" t="e">
        <f t="shared" ca="1" si="91"/>
        <v>#N/A</v>
      </c>
      <c r="M237" s="63" t="e">
        <f t="shared" ca="1" si="106"/>
        <v>#N/A</v>
      </c>
      <c r="N237" s="63">
        <v>87</v>
      </c>
      <c r="O237" s="64"/>
      <c r="P237" s="660"/>
      <c r="Q237" s="661"/>
      <c r="R237" s="661" t="s">
        <v>4059</v>
      </c>
      <c r="T237" s="54">
        <f>IF(JediFeats&gt;0,1,0)</f>
        <v>0</v>
      </c>
      <c r="AB237" s="1566" t="str">
        <f t="shared" ca="1" si="107"/>
        <v/>
      </c>
      <c r="AC237" s="1365" t="str">
        <f t="shared" ca="1" si="100"/>
        <v/>
      </c>
      <c r="AD237" s="1365" t="str">
        <f t="shared" ca="1" si="101"/>
        <v/>
      </c>
      <c r="AE237" s="1365" t="str">
        <f t="shared" ca="1" si="102"/>
        <v/>
      </c>
      <c r="AF237" s="1365" t="str">
        <f t="shared" ca="1" si="103"/>
        <v/>
      </c>
      <c r="AG237" s="1467" t="str">
        <f t="shared" ca="1" si="104"/>
        <v/>
      </c>
      <c r="AH237" s="1467" t="str">
        <f t="shared" ca="1" si="105"/>
        <v/>
      </c>
    </row>
    <row r="238" spans="2:36">
      <c r="B238" s="60"/>
      <c r="C238" s="1320" t="s">
        <v>2461</v>
      </c>
      <c r="D238" s="61"/>
      <c r="E238" s="62" t="s">
        <v>1056</v>
      </c>
      <c r="F238" s="1694" t="s">
        <v>5631</v>
      </c>
      <c r="G238" s="63" t="str">
        <f>IF(COUNTIF(SpeciesTraits,"Rage")&gt;0,"Yes","No")</f>
        <v>No</v>
      </c>
      <c r="H238" s="76"/>
      <c r="I238" s="63"/>
      <c r="J238" s="63" t="str">
        <f>IF(COUNTIF(T238:Z238,2)&gt;0,IF(G238="Yes","Class",""),IF(COUNTIF(T238:Z238,3)&gt;0,IF(COUNTIF(MulticlassFeats,Feats!C238&amp;IF(Feats!D238&lt;&gt;""," ("&amp;Feats!D238&amp;")","")),"Multi",""),""))</f>
        <v/>
      </c>
      <c r="K238" s="63" t="str">
        <f ca="1">IF(OR(NOT(ISERROR(FIND(C238,INDEX(RaceListTable,RaceIndex,39),1))),NOT(ISERROR(FIND(C238,INDEX(RaceListTable,RaceIndex,40),1)))),"Racial","")</f>
        <v/>
      </c>
      <c r="L238" s="63" t="str">
        <f t="shared" ca="1" si="91"/>
        <v>No</v>
      </c>
      <c r="M238" s="63">
        <f t="shared" ca="1" si="106"/>
        <v>0</v>
      </c>
      <c r="N238" s="63" t="s">
        <v>2453</v>
      </c>
      <c r="O238" s="64"/>
      <c r="P238" s="660"/>
      <c r="Q238" s="661"/>
      <c r="R238" s="661" t="s">
        <v>4059</v>
      </c>
      <c r="AB238" s="1566" t="str">
        <f t="shared" ca="1" si="107"/>
        <v/>
      </c>
      <c r="AC238" s="1365" t="str">
        <f t="shared" ca="1" si="100"/>
        <v/>
      </c>
      <c r="AD238" s="1365" t="str">
        <f t="shared" ca="1" si="101"/>
        <v/>
      </c>
      <c r="AE238" s="1365" t="str">
        <f t="shared" ca="1" si="102"/>
        <v/>
      </c>
      <c r="AF238" s="1365" t="str">
        <f t="shared" ca="1" si="103"/>
        <v/>
      </c>
      <c r="AG238" s="1467" t="str">
        <f t="shared" ca="1" si="104"/>
        <v/>
      </c>
      <c r="AH238" s="1467" t="str">
        <f t="shared" ca="1" si="105"/>
        <v/>
      </c>
    </row>
    <row r="239" spans="2:36">
      <c r="B239" s="60"/>
      <c r="C239" s="1320" t="s">
        <v>1483</v>
      </c>
      <c r="D239" s="61"/>
      <c r="E239" s="62" t="s">
        <v>2373</v>
      </c>
      <c r="F239" s="1694" t="s">
        <v>5632</v>
      </c>
      <c r="G239" s="63" t="str">
        <f ca="1">IF(AND(CharacterLevel&gt;=1,M233&gt;0),"Yes","No")</f>
        <v>No</v>
      </c>
      <c r="H239" s="76"/>
      <c r="I239" s="63"/>
      <c r="J239" s="63" t="str">
        <f>IF(COUNTIF(T239:Z239,2)&gt;0,IF(G239="Yes","Class",""),IF(COUNTIF(T239:Z239,3)&gt;0,IF(COUNTIF(MulticlassFeats,Feats!C239&amp;IF(Feats!D239&lt;&gt;""," ("&amp;Feats!D239&amp;")","")),"Multi",""),""))</f>
        <v/>
      </c>
      <c r="K239" s="63" t="str">
        <f ca="1">IF(OR(NOT(ISERROR(FIND(C239,INDEX(RaceListTable,RaceIndex,39),1))),NOT(ISERROR(FIND(C239,INDEX(RaceListTable,RaceIndex,40),1))),AND(Race="Gran",M233&gt;0)),"Racial","")</f>
        <v/>
      </c>
      <c r="L239" s="63" t="str">
        <f t="shared" ca="1" si="91"/>
        <v>No</v>
      </c>
      <c r="M239" s="63">
        <f t="shared" ca="1" si="106"/>
        <v>0</v>
      </c>
      <c r="N239" s="63">
        <v>87</v>
      </c>
      <c r="O239" s="64"/>
      <c r="P239" s="660"/>
      <c r="Q239" s="661"/>
      <c r="R239" s="661" t="s">
        <v>4059</v>
      </c>
      <c r="V239" s="54">
        <f>IF(ScoundrelFeats&gt;0,1,0)</f>
        <v>0</v>
      </c>
      <c r="W239" s="54">
        <f>IF(ScoutFeats&gt;0,1,0)</f>
        <v>0</v>
      </c>
      <c r="X239" s="54">
        <f>IF(SoldierFeats&gt;0,1,0)</f>
        <v>0</v>
      </c>
      <c r="AB239" s="1566" t="str">
        <f t="shared" ca="1" si="107"/>
        <v/>
      </c>
      <c r="AC239" s="1365" t="str">
        <f t="shared" ca="1" si="100"/>
        <v/>
      </c>
      <c r="AD239" s="1365" t="str">
        <f t="shared" ca="1" si="101"/>
        <v/>
      </c>
      <c r="AE239" s="1365" t="str">
        <f t="shared" ca="1" si="102"/>
        <v/>
      </c>
      <c r="AF239" s="1365" t="str">
        <f t="shared" ca="1" si="103"/>
        <v/>
      </c>
      <c r="AG239" s="1467" t="str">
        <f t="shared" ca="1" si="104"/>
        <v/>
      </c>
      <c r="AH239" s="1467" t="str">
        <f t="shared" ca="1" si="105"/>
        <v/>
      </c>
    </row>
    <row r="240" spans="2:36">
      <c r="B240" s="60"/>
      <c r="C240" s="1320" t="s">
        <v>6687</v>
      </c>
      <c r="D240" s="61"/>
      <c r="E240" s="62" t="s">
        <v>6688</v>
      </c>
      <c r="F240" s="1694" t="s">
        <v>6689</v>
      </c>
      <c r="G240" s="63" t="str">
        <f>IF(AND(CharacterLevel&gt;0,Intelligence&gt;=13),"Yes","No")</f>
        <v>No</v>
      </c>
      <c r="H240" s="76"/>
      <c r="I240" s="63"/>
      <c r="J240" s="63" t="str">
        <f>IF(COUNTIF(T240:Z240,2)&gt;0,IF(G240="Yes","Class",""),IF(COUNTIF(T240:Z240,3)&gt;0,IF(COUNTIF(MulticlassFeats,Feats!C240&amp;IF(Feats!D240&lt;&gt;""," ("&amp;Feats!D240&amp;")","")),"Multi",""),""))</f>
        <v/>
      </c>
      <c r="K240" s="63" t="str">
        <f t="shared" ref="K240:K271" ca="1" si="108">IF(OR(NOT(ISERROR(FIND(C240,INDEX(RaceListTable,RaceIndex,39),1))),NOT(ISERROR(FIND(C240,INDEX(RaceListTable,RaceIndex,40),1)))),"Racial","")</f>
        <v/>
      </c>
      <c r="L240" s="63" t="str">
        <f t="shared" ca="1" si="91"/>
        <v>No</v>
      </c>
      <c r="M240" s="63">
        <f t="shared" ca="1" si="106"/>
        <v>0</v>
      </c>
      <c r="N240" s="63" t="s">
        <v>6755</v>
      </c>
      <c r="O240" s="64"/>
      <c r="P240" s="660"/>
      <c r="Q240" s="661"/>
      <c r="R240" s="661"/>
      <c r="U240" s="54">
        <f>IF(NobleFeats&gt;0,1,0)</f>
        <v>0</v>
      </c>
      <c r="V240" s="54">
        <f>IF(ScoundrelFeats&gt;0,1,0)</f>
        <v>0</v>
      </c>
      <c r="AB240" s="1566" t="str">
        <f t="shared" ca="1" si="107"/>
        <v/>
      </c>
      <c r="AC240" s="1365" t="str">
        <f t="shared" ca="1" si="100"/>
        <v/>
      </c>
      <c r="AD240" s="1365" t="str">
        <f t="shared" ca="1" si="101"/>
        <v/>
      </c>
      <c r="AE240" s="1365" t="str">
        <f t="shared" ca="1" si="102"/>
        <v/>
      </c>
      <c r="AF240" s="1365" t="str">
        <f t="shared" ca="1" si="103"/>
        <v/>
      </c>
      <c r="AG240" s="1467" t="str">
        <f t="shared" ca="1" si="104"/>
        <v/>
      </c>
      <c r="AH240" s="1467" t="str">
        <f t="shared" ca="1" si="105"/>
        <v/>
      </c>
    </row>
    <row r="241" spans="2:34">
      <c r="B241" s="60"/>
      <c r="C241" s="1321" t="s">
        <v>6250</v>
      </c>
      <c r="D241" s="616"/>
      <c r="E241" s="1394" t="s">
        <v>2373</v>
      </c>
      <c r="F241" s="1696" t="s">
        <v>6251</v>
      </c>
      <c r="G241" s="63" t="str">
        <f ca="1">IF(AND(CharacterLevel&gt;=1,M233&gt;0),"Yes","No")</f>
        <v>No</v>
      </c>
      <c r="H241" s="76"/>
      <c r="I241" s="63"/>
      <c r="J241" s="63" t="str">
        <f>IF(COUNTIF(T241:Z241,2)&gt;0,IF(G241="Yes","Class",""),IF(COUNTIF(T241:Z241,3)&gt;0,IF(COUNTIF(MulticlassFeats,Feats!C241&amp;IF(Feats!D241&lt;&gt;""," ("&amp;Feats!D241&amp;")","")),"Multi",""),""))</f>
        <v/>
      </c>
      <c r="K241" s="63" t="str">
        <f t="shared" ca="1" si="108"/>
        <v/>
      </c>
      <c r="L241" s="63" t="str">
        <f t="shared" ca="1" si="91"/>
        <v>No</v>
      </c>
      <c r="M241" s="63">
        <f t="shared" ca="1" si="106"/>
        <v>0</v>
      </c>
      <c r="N241" s="63" t="s">
        <v>6463</v>
      </c>
      <c r="O241" s="64"/>
      <c r="P241" s="660"/>
      <c r="Q241" s="661"/>
      <c r="R241" s="661" t="s">
        <v>4059</v>
      </c>
      <c r="V241" s="54">
        <f>IF(ScoundrelFeats&gt;0,1,0)</f>
        <v>0</v>
      </c>
      <c r="W241" s="54">
        <f>IF(ScoutFeats&gt;0,1,0)</f>
        <v>0</v>
      </c>
      <c r="X241" s="54">
        <f>IF(SoldierFeats&gt;0,1,0)</f>
        <v>0</v>
      </c>
      <c r="AB241" s="1566" t="str">
        <f t="shared" ca="1" si="107"/>
        <v/>
      </c>
      <c r="AC241" s="1365" t="str">
        <f t="shared" ca="1" si="100"/>
        <v/>
      </c>
      <c r="AD241" s="1365" t="str">
        <f t="shared" ca="1" si="101"/>
        <v/>
      </c>
      <c r="AE241" s="1365" t="str">
        <f t="shared" ca="1" si="102"/>
        <v/>
      </c>
      <c r="AF241" s="1365" t="str">
        <f t="shared" ca="1" si="103"/>
        <v/>
      </c>
      <c r="AG241" s="1467" t="str">
        <f t="shared" ca="1" si="104"/>
        <v/>
      </c>
      <c r="AH241" s="1467" t="str">
        <f t="shared" ca="1" si="105"/>
        <v/>
      </c>
    </row>
    <row r="242" spans="2:34">
      <c r="B242" s="1311"/>
      <c r="C242" s="1320" t="s">
        <v>832</v>
      </c>
      <c r="D242" s="61"/>
      <c r="E242" s="62" t="s">
        <v>2268</v>
      </c>
      <c r="F242" s="1694" t="s">
        <v>5633</v>
      </c>
      <c r="G242" s="63" t="str">
        <f>IF(AND(CharacterLevel&gt;0,BAB&gt;=1),"Yes","No")</f>
        <v>No</v>
      </c>
      <c r="H242" s="76"/>
      <c r="I242" s="63"/>
      <c r="J242" s="63" t="str">
        <f>IF(COUNTIF(T242:Z242,2)&gt;0,IF(G242="Yes","Class",""),IF(COUNTIF(T242:Z242,3)&gt;0,IF(COUNTIF(MulticlassFeats,Feats!C242&amp;IF(Feats!D242&lt;&gt;""," ("&amp;Feats!D242&amp;")","")),"Multi",""),""))</f>
        <v/>
      </c>
      <c r="K242" s="63" t="str">
        <f t="shared" ca="1" si="108"/>
        <v/>
      </c>
      <c r="L242" s="63" t="str">
        <f t="shared" ca="1" si="91"/>
        <v>No</v>
      </c>
      <c r="M242" s="63">
        <f t="shared" ca="1" si="106"/>
        <v>0</v>
      </c>
      <c r="N242" s="63">
        <v>87</v>
      </c>
      <c r="O242" s="64"/>
      <c r="P242" s="660"/>
      <c r="Q242" s="661"/>
      <c r="R242" s="661" t="s">
        <v>4060</v>
      </c>
      <c r="T242" s="54">
        <f>IF(JediFeats&gt;0,1,0)</f>
        <v>0</v>
      </c>
      <c r="V242" s="54">
        <f>IF(ScoundrelFeats&gt;0,1,0)</f>
        <v>0</v>
      </c>
      <c r="X242" s="54">
        <f>IF(SoldierFeats&gt;0,1,0)</f>
        <v>0</v>
      </c>
      <c r="AB242" s="1566" t="str">
        <f t="shared" ca="1" si="107"/>
        <v/>
      </c>
      <c r="AC242" s="1365" t="str">
        <f t="shared" ca="1" si="100"/>
        <v/>
      </c>
      <c r="AD242" s="1365" t="str">
        <f t="shared" ca="1" si="101"/>
        <v/>
      </c>
      <c r="AE242" s="1365" t="str">
        <f t="shared" ca="1" si="102"/>
        <v/>
      </c>
      <c r="AF242" s="1365" t="str">
        <f t="shared" ca="1" si="103"/>
        <v/>
      </c>
      <c r="AG242" s="1467" t="str">
        <f t="shared" ca="1" si="104"/>
        <v/>
      </c>
      <c r="AH242" s="1467" t="str">
        <f t="shared" ca="1" si="105"/>
        <v/>
      </c>
    </row>
    <row r="243" spans="2:34">
      <c r="B243" s="60"/>
      <c r="C243" s="1320" t="s">
        <v>2462</v>
      </c>
      <c r="D243" s="61"/>
      <c r="E243" s="62"/>
      <c r="F243" s="1694" t="s">
        <v>5634</v>
      </c>
      <c r="G243" s="63" t="str">
        <f>IF(CharacterLevel&gt;0,"Yes","No")</f>
        <v>No</v>
      </c>
      <c r="H243" s="76"/>
      <c r="I243" s="63"/>
      <c r="J243" s="63" t="str">
        <f>IF(COUNTIF(T243:Z243,2)&gt;0,IF(G243="Yes","Class",""),IF(COUNTIF(T243:Z243,3)&gt;0,IF(COUNTIF(MulticlassFeats,Feats!C243&amp;IF(Feats!D243&lt;&gt;""," ("&amp;Feats!D243&amp;")","")),"Multi",""),""))</f>
        <v/>
      </c>
      <c r="K243" s="63" t="str">
        <f t="shared" ca="1" si="108"/>
        <v/>
      </c>
      <c r="L243" s="63" t="str">
        <f t="shared" ca="1" si="91"/>
        <v>No</v>
      </c>
      <c r="M243" s="63">
        <f t="shared" ca="1" si="106"/>
        <v>0</v>
      </c>
      <c r="N243" s="63" t="s">
        <v>2433</v>
      </c>
      <c r="O243" s="64"/>
      <c r="P243" s="660"/>
      <c r="Q243" s="661"/>
      <c r="R243" s="661" t="s">
        <v>4060</v>
      </c>
      <c r="U243" s="54">
        <f>IF(NobleFeats&gt;0,1,0)</f>
        <v>0</v>
      </c>
      <c r="V243" s="54">
        <f>IF(ScoundrelFeats&gt;0,1,0)</f>
        <v>0</v>
      </c>
      <c r="AB243" s="1566" t="str">
        <f t="shared" ca="1" si="107"/>
        <v/>
      </c>
      <c r="AC243" s="1365" t="str">
        <f t="shared" ca="1" si="100"/>
        <v/>
      </c>
      <c r="AD243" s="1365" t="str">
        <f t="shared" ca="1" si="101"/>
        <v/>
      </c>
      <c r="AE243" s="1365" t="str">
        <f t="shared" ca="1" si="102"/>
        <v/>
      </c>
      <c r="AF243" s="1365" t="str">
        <f t="shared" ca="1" si="103"/>
        <v/>
      </c>
      <c r="AG243" s="1467" t="str">
        <f t="shared" ca="1" si="104"/>
        <v/>
      </c>
      <c r="AH243" s="1467" t="str">
        <f t="shared" ca="1" si="105"/>
        <v/>
      </c>
    </row>
    <row r="244" spans="2:34">
      <c r="B244" s="60"/>
      <c r="C244" s="1320" t="s">
        <v>2463</v>
      </c>
      <c r="D244" s="61"/>
      <c r="E244" s="62" t="s">
        <v>2464</v>
      </c>
      <c r="F244" s="1694" t="s">
        <v>5635</v>
      </c>
      <c r="G244" s="63" t="str">
        <f ca="1">IF(AND(CharacterLevel&gt;0,Strength&gt;=15,M58&gt;0,M229&gt;0,BAB&gt;=1),"Yes","No")</f>
        <v>No</v>
      </c>
      <c r="H244" s="76"/>
      <c r="I244" s="63"/>
      <c r="J244" s="63" t="str">
        <f>IF(COUNTIF(T244:Z244,2)&gt;0,IF(G244="Yes","Class",""),IF(COUNTIF(T244:Z244,3)&gt;0,IF(COUNTIF(MulticlassFeats,Feats!C244&amp;IF(Feats!D244&lt;&gt;""," ("&amp;Feats!D244&amp;")","")),"Multi",""),""))</f>
        <v/>
      </c>
      <c r="K244" s="63" t="str">
        <f t="shared" ca="1" si="108"/>
        <v/>
      </c>
      <c r="L244" s="63" t="str">
        <f t="shared" ca="1" si="91"/>
        <v>No</v>
      </c>
      <c r="M244" s="63">
        <f t="shared" ca="1" si="106"/>
        <v>0</v>
      </c>
      <c r="N244" s="63" t="s">
        <v>2378</v>
      </c>
      <c r="O244" s="64"/>
      <c r="P244" s="660"/>
      <c r="Q244" s="661"/>
      <c r="R244" s="661" t="s">
        <v>4059</v>
      </c>
      <c r="X244" s="54">
        <f>IF(SoldierFeats&gt;0,1,0)</f>
        <v>0</v>
      </c>
      <c r="AB244" s="1566" t="str">
        <f t="shared" ca="1" si="107"/>
        <v/>
      </c>
      <c r="AC244" s="1365" t="str">
        <f t="shared" ca="1" si="100"/>
        <v/>
      </c>
      <c r="AD244" s="1365" t="str">
        <f t="shared" ca="1" si="101"/>
        <v/>
      </c>
      <c r="AE244" s="1365" t="str">
        <f t="shared" ca="1" si="102"/>
        <v/>
      </c>
      <c r="AF244" s="1365" t="str">
        <f t="shared" ca="1" si="103"/>
        <v/>
      </c>
      <c r="AG244" s="1467" t="str">
        <f t="shared" ca="1" si="104"/>
        <v/>
      </c>
      <c r="AH244" s="1467" t="str">
        <f t="shared" ca="1" si="105"/>
        <v/>
      </c>
    </row>
    <row r="245" spans="2:34">
      <c r="B245" s="1311"/>
      <c r="C245" s="1320" t="s">
        <v>6690</v>
      </c>
      <c r="D245" s="61"/>
      <c r="E245" s="62" t="s">
        <v>6691</v>
      </c>
      <c r="F245" s="1694" t="s">
        <v>6692</v>
      </c>
      <c r="G245" s="63" t="str">
        <f>IF(AND(CharacterLevel&gt;0,Strength&gt;=13),"Yes","No")</f>
        <v>No</v>
      </c>
      <c r="H245" s="76"/>
      <c r="I245" s="63"/>
      <c r="J245" s="63" t="str">
        <f>IF(COUNTIF(T245:Z245,2)&gt;0,IF(G245="Yes","Class",""),IF(COUNTIF(T245:Z245,3)&gt;0,IF(COUNTIF(MulticlassFeats,Feats!C245&amp;IF(Feats!D245&lt;&gt;""," ("&amp;Feats!D245&amp;")","")),"Multi",""),""))</f>
        <v/>
      </c>
      <c r="K245" s="63" t="str">
        <f t="shared" ca="1" si="108"/>
        <v/>
      </c>
      <c r="L245" s="63" t="str">
        <f t="shared" ca="1" si="91"/>
        <v>No</v>
      </c>
      <c r="M245" s="63">
        <f t="shared" ca="1" si="106"/>
        <v>0</v>
      </c>
      <c r="N245" s="63" t="s">
        <v>6755</v>
      </c>
      <c r="O245" s="64"/>
      <c r="P245" s="660"/>
      <c r="Q245" s="661"/>
      <c r="R245" s="661"/>
      <c r="AB245" s="1566" t="str">
        <f t="shared" ca="1" si="107"/>
        <v/>
      </c>
      <c r="AC245" s="1365" t="str">
        <f t="shared" ca="1" si="100"/>
        <v/>
      </c>
      <c r="AD245" s="1365" t="str">
        <f t="shared" ca="1" si="101"/>
        <v/>
      </c>
      <c r="AE245" s="1365" t="str">
        <f t="shared" ca="1" si="102"/>
        <v/>
      </c>
      <c r="AF245" s="1365" t="str">
        <f t="shared" ca="1" si="103"/>
        <v/>
      </c>
      <c r="AG245" s="1467" t="str">
        <f t="shared" ca="1" si="104"/>
        <v/>
      </c>
      <c r="AH245" s="1467" t="str">
        <f t="shared" ca="1" si="105"/>
        <v/>
      </c>
    </row>
    <row r="246" spans="2:34" ht="29">
      <c r="B246" s="60"/>
      <c r="C246" s="1320" t="s">
        <v>2465</v>
      </c>
      <c r="D246" s="61"/>
      <c r="E246" s="62" t="s">
        <v>2466</v>
      </c>
      <c r="F246" s="1694" t="s">
        <v>5636</v>
      </c>
      <c r="G246" s="63" t="str">
        <f ca="1">IF(AND(CharacterLevel&gt;0,Dexterity&gt;=15,M242&gt;0,COUNTIF(M344:M345,1)&gt;0),"Yes","No")</f>
        <v>No</v>
      </c>
      <c r="H246" s="76"/>
      <c r="I246" s="63"/>
      <c r="J246" s="63" t="str">
        <f>IF(COUNTIF(T246:Z246,2)&gt;0,IF(G246="Yes","Class",""),IF(COUNTIF(T246:Z246,3)&gt;0,IF(COUNTIF(MulticlassFeats,Feats!C246&amp;IF(Feats!D246&lt;&gt;""," ("&amp;Feats!D246&amp;")","")),"Multi",""),""))</f>
        <v/>
      </c>
      <c r="K246" s="63" t="str">
        <f t="shared" ca="1" si="108"/>
        <v/>
      </c>
      <c r="L246" s="63" t="str">
        <f t="shared" ca="1" si="91"/>
        <v>No</v>
      </c>
      <c r="M246" s="63">
        <f t="shared" ca="1" si="106"/>
        <v>0</v>
      </c>
      <c r="N246" s="63" t="s">
        <v>2467</v>
      </c>
      <c r="O246" s="64"/>
      <c r="P246" s="660"/>
      <c r="Q246" s="661"/>
      <c r="R246" s="661" t="s">
        <v>4059</v>
      </c>
      <c r="U246" s="54">
        <f>IF(NobleFeats&gt;0,1,0)</f>
        <v>0</v>
      </c>
      <c r="V246" s="54">
        <f>IF(ScoundrelFeats&gt;0,1,0)</f>
        <v>0</v>
      </c>
      <c r="W246" s="54">
        <f>IF(ScoutFeats&gt;0,1,0)</f>
        <v>0</v>
      </c>
      <c r="AB246" s="1566" t="str">
        <f t="shared" ca="1" si="107"/>
        <v/>
      </c>
      <c r="AC246" s="1365" t="str">
        <f t="shared" ca="1" si="100"/>
        <v/>
      </c>
      <c r="AD246" s="1365" t="str">
        <f t="shared" ca="1" si="101"/>
        <v/>
      </c>
      <c r="AE246" s="1365" t="str">
        <f t="shared" ca="1" si="102"/>
        <v/>
      </c>
      <c r="AF246" s="1365" t="str">
        <f t="shared" ca="1" si="103"/>
        <v/>
      </c>
      <c r="AG246" s="1467" t="str">
        <f t="shared" ca="1" si="104"/>
        <v/>
      </c>
      <c r="AH246" s="1467" t="str">
        <f t="shared" ca="1" si="105"/>
        <v/>
      </c>
    </row>
    <row r="247" spans="2:34">
      <c r="B247" s="60"/>
      <c r="C247" s="1320" t="s">
        <v>6197</v>
      </c>
      <c r="D247" s="61"/>
      <c r="E247" s="62" t="s">
        <v>2350</v>
      </c>
      <c r="F247" s="1694" t="s">
        <v>5637</v>
      </c>
      <c r="G247" s="63" t="str">
        <f>IF(AND(CharacterLevel&gt;0),"Yes","No")</f>
        <v>No</v>
      </c>
      <c r="H247" s="76"/>
      <c r="I247" s="63"/>
      <c r="J247" s="63" t="str">
        <f>IF(COUNTIF(T247:Z247,2)&gt;0,IF(G247="Yes","Class",""),IF(COUNTIF(T247:Z247,3)&gt;0,IF(COUNTIF(MulticlassFeats,Feats!C247&amp;IF(Feats!D247&lt;&gt;""," ("&amp;Feats!D247&amp;")","")),"Multi",""),""))</f>
        <v/>
      </c>
      <c r="K247" s="63" t="str">
        <f t="shared" ca="1" si="108"/>
        <v/>
      </c>
      <c r="L247" s="63" t="str">
        <f t="shared" ca="1" si="91"/>
        <v>No</v>
      </c>
      <c r="M247" s="63">
        <f t="shared" ca="1" si="106"/>
        <v>0</v>
      </c>
      <c r="N247" s="63" t="s">
        <v>2467</v>
      </c>
      <c r="O247" s="64"/>
      <c r="P247" s="660"/>
      <c r="Q247" s="661"/>
      <c r="R247" s="661" t="s">
        <v>4059</v>
      </c>
      <c r="U247" s="54">
        <f>IF(NobleFeats&gt;0,1,0)</f>
        <v>0</v>
      </c>
      <c r="V247" s="54">
        <f>IF(ScoundrelFeats&gt;0,1,0)</f>
        <v>0</v>
      </c>
      <c r="AB247" s="1566" t="str">
        <f t="shared" ca="1" si="107"/>
        <v/>
      </c>
      <c r="AC247" s="1365" t="str">
        <f ca="1">IF(AB286&lt;&gt;"",AB286&amp;";"&amp;AC248,AC248)</f>
        <v/>
      </c>
      <c r="AD247" s="1365" t="str">
        <f ca="1">IF(AB286&lt;&gt;"",N286&amp;";"&amp;AD248,AD248)</f>
        <v/>
      </c>
      <c r="AE247" s="1365" t="str">
        <f ca="1">IF(AB286&lt;&gt;"",IF(R286="Att Options",AB286&amp;IF(AE248&lt;&gt;"",", ",""),"")&amp;AE248,AE248)</f>
        <v/>
      </c>
      <c r="AF247" s="1365" t="str">
        <f ca="1">IF(AB286&lt;&gt;"",IF(R286="Special Actions",AB286&amp;IF(AF248&lt;&gt;"",", ",""),"")&amp;AF248,AF248)</f>
        <v/>
      </c>
      <c r="AG247" s="1467" t="str">
        <f ca="1">IF(AB286&lt;&gt;"",IF(R286="Defenses",AB286&amp;IF(AG248&lt;&gt;"",", ",""),"")&amp;AG248,AG248)</f>
        <v/>
      </c>
      <c r="AH247" s="1467" t="str">
        <f ca="1">IF(AB286&lt;&gt;"",IF(R286="Speed",AB286&amp;IF(AH248&lt;&gt;"",", ",""),"")&amp;AH248,AH248)</f>
        <v/>
      </c>
    </row>
    <row r="248" spans="2:34">
      <c r="B248" s="60"/>
      <c r="C248" s="1321" t="s">
        <v>6252</v>
      </c>
      <c r="D248" s="616"/>
      <c r="E248" s="1394"/>
      <c r="F248" s="1696" t="s">
        <v>6253</v>
      </c>
      <c r="G248" s="63" t="str">
        <f>IF(CharacterLevel&gt;0,"Yes","No")</f>
        <v>No</v>
      </c>
      <c r="H248" s="76"/>
      <c r="I248" s="63"/>
      <c r="J248" s="63" t="str">
        <f>IF(COUNTIF(T248:Z248,2)&gt;0,IF(G248="Yes","Class",""),IF(COUNTIF(T248:Z248,3)&gt;0,IF(COUNTIF(MulticlassFeats,Feats!C248&amp;IF(Feats!D248&lt;&gt;""," ("&amp;Feats!D248&amp;")","")),"Multi",""),""))</f>
        <v/>
      </c>
      <c r="K248" s="63" t="str">
        <f t="shared" ca="1" si="108"/>
        <v/>
      </c>
      <c r="L248" s="63" t="str">
        <f t="shared" ca="1" si="91"/>
        <v>No</v>
      </c>
      <c r="M248" s="63">
        <f t="shared" ca="1" si="106"/>
        <v>0</v>
      </c>
      <c r="N248" s="63" t="s">
        <v>6463</v>
      </c>
      <c r="O248" s="64"/>
      <c r="P248" s="660"/>
      <c r="Q248" s="661"/>
      <c r="R248" s="661" t="s">
        <v>4059</v>
      </c>
      <c r="T248" s="54">
        <f>IF(JediFeats&gt;0,1,0)</f>
        <v>0</v>
      </c>
      <c r="U248" s="54">
        <f>IF(NobleFeats&gt;0,1,0)</f>
        <v>0</v>
      </c>
      <c r="V248" s="54">
        <f>IF(ScoundrelFeats&gt;0,1,0)</f>
        <v>0</v>
      </c>
      <c r="W248" s="54">
        <f>IF(ScoutFeats&gt;0,1,0)</f>
        <v>0</v>
      </c>
      <c r="X248" s="54">
        <f>IF(SoldierFeats&gt;0,1,0)</f>
        <v>0</v>
      </c>
      <c r="AB248" s="1566" t="str">
        <f t="shared" ca="1" si="107"/>
        <v/>
      </c>
      <c r="AC248" s="1365" t="str">
        <f t="shared" ref="AC248:AC257" ca="1" si="109">IF(AB290&lt;&gt;"",AB290&amp;";"&amp;AC249,AC249)</f>
        <v/>
      </c>
      <c r="AD248" s="1365" t="str">
        <f t="shared" ref="AD248:AD257" ca="1" si="110">IF(AB290&lt;&gt;"",N290&amp;";"&amp;AD249,AD249)</f>
        <v/>
      </c>
      <c r="AE248" s="1365" t="str">
        <f t="shared" ref="AE248:AE257" ca="1" si="111">IF(AB290&lt;&gt;"",IF(R290="Att Options",AB290&amp;IF(AE249&lt;&gt;"",", ",""),"")&amp;AE249,AE249)</f>
        <v/>
      </c>
      <c r="AF248" s="1365" t="str">
        <f t="shared" ref="AF248:AF257" ca="1" si="112">IF(AB290&lt;&gt;"",IF(R290="Special Actions",AB290&amp;IF(AF249&lt;&gt;"",", ",""),"")&amp;AF249,AF249)</f>
        <v/>
      </c>
      <c r="AG248" s="1467" t="str">
        <f t="shared" ref="AG248:AG257" ca="1" si="113">IF(AB290&lt;&gt;"",IF(R290="Defenses",AB290&amp;IF(AG249&lt;&gt;"",", ",""),"")&amp;AG249,AG249)</f>
        <v/>
      </c>
      <c r="AH248" s="1467" t="str">
        <f t="shared" ref="AH248:AH257" ca="1" si="114">IF(AB290&lt;&gt;"",IF(R290="Speed",AB290&amp;IF(AH249&lt;&gt;"",", ",""),"")&amp;AH249,AH249)</f>
        <v/>
      </c>
    </row>
    <row r="249" spans="2:34">
      <c r="B249" s="60"/>
      <c r="C249" s="1320" t="s">
        <v>2468</v>
      </c>
      <c r="D249" s="61"/>
      <c r="E249" s="62" t="s">
        <v>2469</v>
      </c>
      <c r="F249" s="1694" t="s">
        <v>5638</v>
      </c>
      <c r="G249" s="63" t="str">
        <f>IF(AND(CharacterLevel&gt;0,BAB&gt;=1),"Yes","No")</f>
        <v>No</v>
      </c>
      <c r="H249" s="76"/>
      <c r="I249" s="63"/>
      <c r="J249" s="63" t="str">
        <f>IF(COUNTIF(T249:Z249,2)&gt;0,IF(G249="Yes","Class",""),IF(COUNTIF(T249:Z249,3)&gt;0,IF(COUNTIF(MulticlassFeats,Feats!C249&amp;IF(Feats!D249&lt;&gt;""," ("&amp;Feats!D249&amp;")","")),"Multi",""),""))</f>
        <v/>
      </c>
      <c r="K249" s="63" t="str">
        <f t="shared" ca="1" si="108"/>
        <v/>
      </c>
      <c r="L249" s="63" t="str">
        <f t="shared" ca="1" si="91"/>
        <v>No</v>
      </c>
      <c r="M249" s="63">
        <f t="shared" ca="1" si="106"/>
        <v>0</v>
      </c>
      <c r="N249" s="63">
        <v>88</v>
      </c>
      <c r="O249" s="64"/>
      <c r="P249" s="660"/>
      <c r="Q249" s="661"/>
      <c r="R249" s="661" t="s">
        <v>4059</v>
      </c>
      <c r="V249" s="54">
        <f>IF(ScoundrelFeats&gt;0,1,0)</f>
        <v>0</v>
      </c>
      <c r="W249" s="54">
        <f>IF(ScoutFeats&gt;0,1,0)</f>
        <v>0</v>
      </c>
      <c r="X249" s="54">
        <f>IF(SoldierFeats&gt;0,1,0)</f>
        <v>0</v>
      </c>
      <c r="AB249" s="1566" t="str">
        <f t="shared" ca="1" si="107"/>
        <v/>
      </c>
      <c r="AC249" s="1365" t="str">
        <f t="shared" ca="1" si="109"/>
        <v/>
      </c>
      <c r="AD249" s="1365" t="str">
        <f t="shared" ca="1" si="110"/>
        <v/>
      </c>
      <c r="AE249" s="1365" t="str">
        <f t="shared" ca="1" si="111"/>
        <v/>
      </c>
      <c r="AF249" s="1365" t="str">
        <f t="shared" ca="1" si="112"/>
        <v/>
      </c>
      <c r="AG249" s="1467" t="str">
        <f t="shared" ca="1" si="113"/>
        <v/>
      </c>
      <c r="AH249" s="1467" t="str">
        <f t="shared" ca="1" si="114"/>
        <v/>
      </c>
    </row>
    <row r="250" spans="2:34">
      <c r="B250" s="1311"/>
      <c r="C250" s="1320" t="s">
        <v>2419</v>
      </c>
      <c r="D250" s="61"/>
      <c r="E250" s="62" t="s">
        <v>2470</v>
      </c>
      <c r="F250" s="1694" t="s">
        <v>5639</v>
      </c>
      <c r="G250" s="63" t="str">
        <f>IF(AND(CharacterLevel&gt;0,BAB&gt;=1),"Yes","No")</f>
        <v>No</v>
      </c>
      <c r="H250" s="76"/>
      <c r="I250" s="63"/>
      <c r="J250" s="63" t="str">
        <f>IF(COUNTIF(T250:Z250,2)&gt;0,IF(G250="Yes","Class",""),IF(COUNTIF(T250:Z250,3)&gt;0,IF(COUNTIF(MulticlassFeats,Feats!C250&amp;IF(Feats!D250&lt;&gt;""," ("&amp;Feats!D250&amp;")","")),"Multi",""),""))</f>
        <v/>
      </c>
      <c r="K250" s="63" t="str">
        <f t="shared" ca="1" si="108"/>
        <v/>
      </c>
      <c r="L250" s="63" t="str">
        <f t="shared" ca="1" si="91"/>
        <v>No</v>
      </c>
      <c r="M250" s="63">
        <f t="shared" ca="1" si="106"/>
        <v>0</v>
      </c>
      <c r="N250" s="63">
        <v>88</v>
      </c>
      <c r="O250" s="64"/>
      <c r="P250" s="660"/>
      <c r="Q250" s="661"/>
      <c r="R250" s="661" t="s">
        <v>4059</v>
      </c>
      <c r="T250" s="54">
        <f>IF(JediFeats&gt;0,1,0)</f>
        <v>0</v>
      </c>
      <c r="X250" s="54">
        <f>IF(SoldierFeats&gt;0,1,0)</f>
        <v>0</v>
      </c>
      <c r="AB250" s="1566" t="str">
        <f t="shared" ca="1" si="107"/>
        <v/>
      </c>
      <c r="AC250" s="1365" t="str">
        <f t="shared" ca="1" si="109"/>
        <v/>
      </c>
      <c r="AD250" s="1365" t="str">
        <f t="shared" ca="1" si="110"/>
        <v/>
      </c>
      <c r="AE250" s="1365" t="str">
        <f t="shared" ca="1" si="111"/>
        <v/>
      </c>
      <c r="AF250" s="1365" t="str">
        <f t="shared" ca="1" si="112"/>
        <v/>
      </c>
      <c r="AG250" s="1467" t="str">
        <f t="shared" ca="1" si="113"/>
        <v/>
      </c>
      <c r="AH250" s="1467" t="str">
        <f t="shared" ca="1" si="114"/>
        <v/>
      </c>
    </row>
    <row r="251" spans="2:34">
      <c r="B251" s="60"/>
      <c r="C251" s="1320" t="s">
        <v>2471</v>
      </c>
      <c r="D251" s="61"/>
      <c r="E251" s="62"/>
      <c r="F251" s="1694" t="s">
        <v>5640</v>
      </c>
      <c r="G251" s="63" t="str">
        <f>IF(CharacterLevel&gt;0,"Yes","No")</f>
        <v>No</v>
      </c>
      <c r="H251" s="76"/>
      <c r="I251" s="63"/>
      <c r="J251" s="63" t="str">
        <f>IF(COUNTIF(T251:Z251,2)&gt;0,IF(G251="Yes","Class",""),IF(COUNTIF(T251:Z251,3)&gt;0,IF(COUNTIF(MulticlassFeats,Feats!C251&amp;IF(Feats!D251&lt;&gt;""," ("&amp;Feats!D251&amp;")","")),"Multi",""),""))</f>
        <v/>
      </c>
      <c r="K251" s="63" t="str">
        <f t="shared" ca="1" si="108"/>
        <v/>
      </c>
      <c r="L251" s="63" t="str">
        <f t="shared" ca="1" si="91"/>
        <v>No</v>
      </c>
      <c r="M251" s="63">
        <f t="shared" ca="1" si="106"/>
        <v>0</v>
      </c>
      <c r="N251" s="63" t="s">
        <v>2453</v>
      </c>
      <c r="O251" s="64"/>
      <c r="P251" s="660"/>
      <c r="Q251" s="661"/>
      <c r="R251" s="661"/>
      <c r="U251" s="54">
        <f>IF(NobleFeats&gt;0,1,0)</f>
        <v>0</v>
      </c>
      <c r="X251" s="54">
        <f>IF(SoldierFeats&gt;0,1,0)</f>
        <v>0</v>
      </c>
      <c r="AB251" s="1566" t="str">
        <f t="shared" ca="1" si="107"/>
        <v/>
      </c>
      <c r="AC251" s="1365" t="str">
        <f t="shared" ca="1" si="109"/>
        <v/>
      </c>
      <c r="AD251" s="1365" t="str">
        <f t="shared" ca="1" si="110"/>
        <v/>
      </c>
      <c r="AE251" s="1365" t="str">
        <f t="shared" ca="1" si="111"/>
        <v/>
      </c>
      <c r="AF251" s="1365" t="str">
        <f t="shared" ca="1" si="112"/>
        <v/>
      </c>
      <c r="AG251" s="1467" t="str">
        <f t="shared" ca="1" si="113"/>
        <v/>
      </c>
      <c r="AH251" s="1467" t="str">
        <f t="shared" ca="1" si="114"/>
        <v/>
      </c>
    </row>
    <row r="252" spans="2:34">
      <c r="B252" s="1311"/>
      <c r="C252" s="1319" t="s">
        <v>6254</v>
      </c>
      <c r="D252" s="1297"/>
      <c r="E252" s="62" t="s">
        <v>2381</v>
      </c>
      <c r="F252" s="1694" t="s">
        <v>6255</v>
      </c>
      <c r="G252" s="63" t="str">
        <f ca="1">IF(AND(CharacterLevel&gt;=1,M269&gt;0),"Yes","No")</f>
        <v>No</v>
      </c>
      <c r="H252" s="76"/>
      <c r="I252" s="63"/>
      <c r="J252" s="63" t="str">
        <f>IF(COUNTIF(T252:Z252,2)&gt;0,IF(G252="Yes","Class",""),IF(COUNTIF(T252:Z252,3)&gt;0,IF(COUNTIF(MulticlassFeats,Feats!C252&amp;IF(Feats!D252&lt;&gt;""," ("&amp;Feats!D252&amp;")","")),"Multi",""),""))</f>
        <v/>
      </c>
      <c r="K252" s="63" t="str">
        <f t="shared" ca="1" si="108"/>
        <v/>
      </c>
      <c r="L252" s="63" t="str">
        <f t="shared" ca="1" si="91"/>
        <v>No</v>
      </c>
      <c r="M252" s="63">
        <f t="shared" ca="1" si="106"/>
        <v>0</v>
      </c>
      <c r="N252" s="63" t="s">
        <v>6464</v>
      </c>
      <c r="O252" s="64"/>
      <c r="P252" s="660"/>
      <c r="Q252" s="661"/>
      <c r="R252" s="661"/>
      <c r="W252" s="54">
        <f>IF(ScoutFeats&gt;0,1,0)</f>
        <v>0</v>
      </c>
      <c r="X252" s="54">
        <f>IF(SoldierFeats&gt;0,1,0)</f>
        <v>0</v>
      </c>
      <c r="AB252" s="1566" t="str">
        <f t="shared" ca="1" si="107"/>
        <v/>
      </c>
      <c r="AC252" s="1365" t="str">
        <f t="shared" ca="1" si="109"/>
        <v/>
      </c>
      <c r="AD252" s="1365" t="str">
        <f t="shared" ca="1" si="110"/>
        <v/>
      </c>
      <c r="AE252" s="1365" t="str">
        <f t="shared" ca="1" si="111"/>
        <v/>
      </c>
      <c r="AF252" s="1365" t="str">
        <f t="shared" ca="1" si="112"/>
        <v/>
      </c>
      <c r="AG252" s="1467" t="str">
        <f t="shared" ca="1" si="113"/>
        <v/>
      </c>
      <c r="AH252" s="1467" t="str">
        <f t="shared" ca="1" si="114"/>
        <v/>
      </c>
    </row>
    <row r="253" spans="2:34">
      <c r="B253" s="60"/>
      <c r="C253" s="1320" t="s">
        <v>2472</v>
      </c>
      <c r="D253" s="61"/>
      <c r="E253" s="62" t="s">
        <v>2473</v>
      </c>
      <c r="F253" s="1694" t="s">
        <v>5641</v>
      </c>
      <c r="G253" s="63" t="str">
        <f>IF(AND(CharacterLevel&gt;0,COUNTIF(Skills!F18:G24,"Yes")&gt;0),"Yes","No")</f>
        <v>No</v>
      </c>
      <c r="H253" s="76"/>
      <c r="I253" s="63"/>
      <c r="J253" s="63" t="str">
        <f>IF(COUNTIF(T253:Z253,2)&gt;0,IF(G253="Yes","Class",""),IF(COUNTIF(T253:Z253,3)&gt;0,IF(COUNTIF(MulticlassFeats,Feats!C253&amp;IF(Feats!D253&lt;&gt;""," ("&amp;Feats!D253&amp;")","")),"Multi",""),""))</f>
        <v/>
      </c>
      <c r="K253" s="63" t="str">
        <f t="shared" ca="1" si="108"/>
        <v/>
      </c>
      <c r="L253" s="63" t="str">
        <f t="shared" ca="1" si="91"/>
        <v>No</v>
      </c>
      <c r="M253" s="63">
        <f t="shared" ca="1" si="106"/>
        <v>0</v>
      </c>
      <c r="N253" s="63" t="s">
        <v>2474</v>
      </c>
      <c r="O253" s="64"/>
      <c r="P253" s="660"/>
      <c r="Q253" s="661"/>
      <c r="R253" s="661"/>
      <c r="U253" s="54">
        <f>IF(NobleFeats&gt;0,1,0)</f>
        <v>0</v>
      </c>
      <c r="AB253" s="1566" t="str">
        <f t="shared" ca="1" si="107"/>
        <v/>
      </c>
      <c r="AC253" s="1365" t="str">
        <f t="shared" ca="1" si="109"/>
        <v/>
      </c>
      <c r="AD253" s="1365" t="str">
        <f t="shared" ca="1" si="110"/>
        <v/>
      </c>
      <c r="AE253" s="1365" t="str">
        <f t="shared" ca="1" si="111"/>
        <v/>
      </c>
      <c r="AF253" s="1365" t="str">
        <f t="shared" ca="1" si="112"/>
        <v/>
      </c>
      <c r="AG253" s="1467" t="str">
        <f t="shared" ca="1" si="113"/>
        <v/>
      </c>
      <c r="AH253" s="1467" t="str">
        <f t="shared" ca="1" si="114"/>
        <v/>
      </c>
    </row>
    <row r="254" spans="2:34">
      <c r="B254" s="60"/>
      <c r="C254" s="1321" t="s">
        <v>6256</v>
      </c>
      <c r="D254" s="616"/>
      <c r="E254" s="1394"/>
      <c r="F254" s="1696" t="s">
        <v>6257</v>
      </c>
      <c r="G254" s="63" t="str">
        <f>IF(CharacterLevel&gt;0,"Yes","No")</f>
        <v>No</v>
      </c>
      <c r="H254" s="76"/>
      <c r="I254" s="63"/>
      <c r="J254" s="63" t="str">
        <f>IF(COUNTIF(T254:Z254,2)&gt;0,IF(G254="Yes","Class",""),IF(COUNTIF(T254:Z254,3)&gt;0,IF(COUNTIF(MulticlassFeats,Feats!C254&amp;IF(Feats!D254&lt;&gt;""," ("&amp;Feats!D254&amp;")","")),"Multi",""),""))</f>
        <v/>
      </c>
      <c r="K254" s="63" t="str">
        <f t="shared" ca="1" si="108"/>
        <v/>
      </c>
      <c r="L254" s="63" t="str">
        <f t="shared" ca="1" si="91"/>
        <v>No</v>
      </c>
      <c r="M254" s="63">
        <f t="shared" ca="1" si="106"/>
        <v>0</v>
      </c>
      <c r="N254" s="63" t="s">
        <v>6464</v>
      </c>
      <c r="O254" s="64"/>
      <c r="P254" s="660"/>
      <c r="Q254" s="661"/>
      <c r="R254" s="661"/>
      <c r="T254" s="54">
        <f>IF(JediFeats&gt;0,1,0)</f>
        <v>0</v>
      </c>
      <c r="U254" s="54">
        <f>IF(NobleFeats&gt;0,1,0)</f>
        <v>0</v>
      </c>
      <c r="V254" s="54">
        <f>IF(ScoundrelFeats&gt;0,1,0)</f>
        <v>0</v>
      </c>
      <c r="W254" s="54">
        <f>IF(ScoutFeats&gt;0,1,0)</f>
        <v>0</v>
      </c>
      <c r="X254" s="54">
        <f>IF(SoldierFeats&gt;0,1,0)</f>
        <v>0</v>
      </c>
      <c r="AB254" s="1566" t="str">
        <f t="shared" ca="1" si="107"/>
        <v/>
      </c>
      <c r="AC254" s="1365" t="str">
        <f t="shared" ca="1" si="109"/>
        <v/>
      </c>
      <c r="AD254" s="1365" t="str">
        <f t="shared" ca="1" si="110"/>
        <v/>
      </c>
      <c r="AE254" s="1365" t="str">
        <f t="shared" ca="1" si="111"/>
        <v/>
      </c>
      <c r="AF254" s="1365" t="str">
        <f t="shared" ca="1" si="112"/>
        <v/>
      </c>
      <c r="AG254" s="1467" t="str">
        <f t="shared" ca="1" si="113"/>
        <v/>
      </c>
      <c r="AH254" s="1467" t="str">
        <f t="shared" ca="1" si="114"/>
        <v/>
      </c>
    </row>
    <row r="255" spans="2:34">
      <c r="B255" s="60"/>
      <c r="C255" s="1462" t="s">
        <v>8246</v>
      </c>
      <c r="D255" s="1462"/>
      <c r="E255" s="1462"/>
      <c r="F255" s="1695" t="s">
        <v>8245</v>
      </c>
      <c r="G255" s="63" t="str">
        <f>IF(AND(CharacterLevel&gt;0),"Yes","No")</f>
        <v>No</v>
      </c>
      <c r="H255" s="76"/>
      <c r="I255" s="63"/>
      <c r="J255" s="63" t="str">
        <f>IF(COUNTIF(T255:Z255,2)&gt;0,IF(G255="Yes","Class",""),IF(COUNTIF(T255:Z255,3)&gt;0,IF(COUNTIF(MulticlassFeats,Feats!A22&amp;IF(Feats!B22&lt;&gt;""," ("&amp;Feats!B22&amp;")","")),"Multi",""),""))</f>
        <v/>
      </c>
      <c r="K255" s="63" t="str">
        <f t="shared" ca="1" si="108"/>
        <v/>
      </c>
      <c r="L255" s="63" t="str">
        <f t="shared" ca="1" si="91"/>
        <v>No</v>
      </c>
      <c r="M255" s="63">
        <f t="shared" ca="1" si="106"/>
        <v>0</v>
      </c>
      <c r="N255" s="1461" t="s">
        <v>8225</v>
      </c>
      <c r="O255" s="64"/>
      <c r="P255" s="1559"/>
      <c r="R255" s="661"/>
      <c r="S255" s="1463"/>
      <c r="T255" s="660"/>
      <c r="U255" s="660"/>
      <c r="V255" s="660"/>
      <c r="W255" s="660"/>
      <c r="X255" s="660"/>
      <c r="Y255" s="660"/>
      <c r="Z255" s="1562"/>
      <c r="AA255" s="1568"/>
      <c r="AB255" s="1566" t="str">
        <f t="shared" ca="1" si="107"/>
        <v/>
      </c>
      <c r="AC255" s="1365" t="str">
        <f t="shared" ca="1" si="109"/>
        <v/>
      </c>
      <c r="AD255" s="1365" t="str">
        <f t="shared" ca="1" si="110"/>
        <v/>
      </c>
      <c r="AE255" s="1365" t="str">
        <f t="shared" ca="1" si="111"/>
        <v/>
      </c>
      <c r="AF255" s="1365" t="str">
        <f t="shared" ca="1" si="112"/>
        <v/>
      </c>
      <c r="AG255" s="1467" t="str">
        <f t="shared" ca="1" si="113"/>
        <v/>
      </c>
      <c r="AH255" s="1467" t="str">
        <f t="shared" ca="1" si="114"/>
        <v/>
      </c>
    </row>
    <row r="256" spans="2:34">
      <c r="B256" s="60"/>
      <c r="C256" s="1320" t="s">
        <v>4217</v>
      </c>
      <c r="D256" s="61" t="s">
        <v>1381</v>
      </c>
      <c r="E256" s="62" t="s">
        <v>2343</v>
      </c>
      <c r="F256" s="1694" t="s">
        <v>5729</v>
      </c>
      <c r="G256" s="63" t="str">
        <f t="shared" ref="G256:G261" ca="1" si="115">IF(AND(BAB&gt;=6,M346&gt;0,M75&gt;0),"Yes","No")</f>
        <v>No</v>
      </c>
      <c r="H256" s="76"/>
      <c r="I256" s="63"/>
      <c r="J256" s="63" t="str">
        <f>IF(COUNTIF(T256:Z256,2)&gt;0,IF(G256="Yes","Class",""),IF(COUNTIF(T256:Z256,3)&gt;0,IF(COUNTIF(MulticlassFeats,Feats!C256&amp;IF(Feats!D256&lt;&gt;""," ("&amp;Feats!D256&amp;")","")),"Multi",""),""))</f>
        <v/>
      </c>
      <c r="K256" s="63" t="str">
        <f t="shared" ca="1" si="108"/>
        <v/>
      </c>
      <c r="L256" s="63" t="str">
        <f t="shared" ca="1" si="91"/>
        <v>No</v>
      </c>
      <c r="M256" s="63">
        <f t="shared" ca="1" si="106"/>
        <v>0</v>
      </c>
      <c r="N256" s="63" t="s">
        <v>4218</v>
      </c>
      <c r="O256" s="64"/>
      <c r="P256" s="660"/>
      <c r="Q256" s="661"/>
      <c r="R256" s="661" t="s">
        <v>4059</v>
      </c>
      <c r="AB256" s="1566" t="str">
        <f t="shared" ca="1" si="107"/>
        <v/>
      </c>
      <c r="AC256" s="1365" t="str">
        <f t="shared" ca="1" si="109"/>
        <v/>
      </c>
      <c r="AD256" s="1365" t="str">
        <f t="shared" ca="1" si="110"/>
        <v/>
      </c>
      <c r="AE256" s="1365" t="str">
        <f t="shared" ca="1" si="111"/>
        <v/>
      </c>
      <c r="AF256" s="1365" t="str">
        <f t="shared" ca="1" si="112"/>
        <v/>
      </c>
      <c r="AG256" s="1467" t="str">
        <f t="shared" ca="1" si="113"/>
        <v/>
      </c>
      <c r="AH256" s="1467" t="str">
        <f t="shared" ca="1" si="114"/>
        <v/>
      </c>
    </row>
    <row r="257" spans="2:34">
      <c r="B257" s="1311"/>
      <c r="C257" s="1320" t="s">
        <v>4217</v>
      </c>
      <c r="D257" s="61" t="s">
        <v>651</v>
      </c>
      <c r="E257" s="62" t="s">
        <v>2343</v>
      </c>
      <c r="F257" s="1694" t="s">
        <v>5729</v>
      </c>
      <c r="G257" s="63" t="str">
        <f t="shared" ca="1" si="115"/>
        <v>No</v>
      </c>
      <c r="H257" s="76"/>
      <c r="I257" s="63"/>
      <c r="J257" s="63" t="str">
        <f>IF(COUNTIF(T257:Z257,2)&gt;0,IF(G257="Yes","Class",""),IF(COUNTIF(T257:Z257,3)&gt;0,IF(COUNTIF(MulticlassFeats,Feats!C257&amp;IF(Feats!D257&lt;&gt;""," ("&amp;Feats!D257&amp;")","")),"Multi",""),""))</f>
        <v/>
      </c>
      <c r="K257" s="63" t="str">
        <f t="shared" ca="1" si="108"/>
        <v/>
      </c>
      <c r="L257" s="63" t="str">
        <f t="shared" ca="1" si="91"/>
        <v>No</v>
      </c>
      <c r="M257" s="63">
        <f t="shared" ca="1" si="106"/>
        <v>0</v>
      </c>
      <c r="N257" s="63" t="s">
        <v>4218</v>
      </c>
      <c r="O257" s="64"/>
      <c r="P257" s="660"/>
      <c r="Q257" s="661"/>
      <c r="R257" s="661" t="s">
        <v>4059</v>
      </c>
      <c r="AB257" s="1566" t="str">
        <f t="shared" ca="1" si="107"/>
        <v/>
      </c>
      <c r="AC257" s="1365" t="str">
        <f t="shared" ca="1" si="109"/>
        <v/>
      </c>
      <c r="AD257" s="1365" t="str">
        <f t="shared" ca="1" si="110"/>
        <v/>
      </c>
      <c r="AE257" s="1365" t="str">
        <f t="shared" ca="1" si="111"/>
        <v/>
      </c>
      <c r="AF257" s="1365" t="str">
        <f t="shared" ca="1" si="112"/>
        <v/>
      </c>
      <c r="AG257" s="1467" t="str">
        <f t="shared" ca="1" si="113"/>
        <v/>
      </c>
      <c r="AH257" s="1467" t="str">
        <f t="shared" ca="1" si="114"/>
        <v/>
      </c>
    </row>
    <row r="258" spans="2:34">
      <c r="B258" s="60"/>
      <c r="C258" s="1320" t="s">
        <v>4217</v>
      </c>
      <c r="D258" s="61" t="s">
        <v>1520</v>
      </c>
      <c r="E258" s="62" t="s">
        <v>2343</v>
      </c>
      <c r="F258" s="1694" t="s">
        <v>5729</v>
      </c>
      <c r="G258" s="63" t="str">
        <f t="shared" ca="1" si="115"/>
        <v>No</v>
      </c>
      <c r="H258" s="76"/>
      <c r="I258" s="63"/>
      <c r="J258" s="63" t="str">
        <f>IF(COUNTIF(T258:Z258,2)&gt;0,IF(G258="Yes","Class",""),IF(COUNTIF(T258:Z258,3)&gt;0,IF(COUNTIF(MulticlassFeats,Feats!C258&amp;IF(Feats!D258&lt;&gt;""," ("&amp;Feats!D258&amp;")","")),"Multi",""),""))</f>
        <v/>
      </c>
      <c r="K258" s="63" t="str">
        <f t="shared" ca="1" si="108"/>
        <v/>
      </c>
      <c r="L258" s="63" t="str">
        <f t="shared" ca="1" si="91"/>
        <v>No</v>
      </c>
      <c r="M258" s="63">
        <f t="shared" ca="1" si="106"/>
        <v>0</v>
      </c>
      <c r="N258" s="63" t="s">
        <v>4218</v>
      </c>
      <c r="O258" s="64"/>
      <c r="P258" s="660"/>
      <c r="Q258" s="661"/>
      <c r="R258" s="661" t="s">
        <v>4059</v>
      </c>
      <c r="AB258" s="1566" t="str">
        <f t="shared" ca="1" si="107"/>
        <v/>
      </c>
      <c r="AC258" s="1365" t="str">
        <f t="shared" ref="AC258:AC269" ca="1" si="116">IF(AB301&lt;&gt;"",AB301&amp;";"&amp;AC259,AC259)</f>
        <v/>
      </c>
      <c r="AD258" s="1365" t="str">
        <f t="shared" ref="AD258:AD269" ca="1" si="117">IF(AB301&lt;&gt;"",N301&amp;";"&amp;AD259,AD259)</f>
        <v/>
      </c>
      <c r="AE258" s="1365" t="str">
        <f t="shared" ref="AE258:AE269" ca="1" si="118">IF(AB301&lt;&gt;"",IF(R301="Att Options",AB301&amp;IF(AE259&lt;&gt;"",", ",""),"")&amp;AE259,AE259)</f>
        <v/>
      </c>
      <c r="AF258" s="1365" t="str">
        <f t="shared" ref="AF258:AF269" ca="1" si="119">IF(AB301&lt;&gt;"",IF(R301="Special Actions",AB301&amp;IF(AF259&lt;&gt;"",", ",""),"")&amp;AF259,AF259)</f>
        <v/>
      </c>
      <c r="AG258" s="1467" t="str">
        <f t="shared" ref="AG258:AG269" ca="1" si="120">IF(AB301&lt;&gt;"",IF(R301="Defenses",AB301&amp;IF(AG259&lt;&gt;"",", ",""),"")&amp;AG259,AG259)</f>
        <v/>
      </c>
      <c r="AH258" s="1467" t="str">
        <f t="shared" ref="AH258:AH269" ca="1" si="121">IF(AB301&lt;&gt;"",IF(R301="Speed",AB301&amp;IF(AH259&lt;&gt;"",", ",""),"")&amp;AH259,AH259)</f>
        <v/>
      </c>
    </row>
    <row r="259" spans="2:34">
      <c r="B259" s="60"/>
      <c r="C259" s="1320" t="s">
        <v>4217</v>
      </c>
      <c r="D259" s="61" t="s">
        <v>563</v>
      </c>
      <c r="E259" s="62" t="s">
        <v>2343</v>
      </c>
      <c r="F259" s="1694" t="s">
        <v>5729</v>
      </c>
      <c r="G259" s="63" t="str">
        <f t="shared" ca="1" si="115"/>
        <v>No</v>
      </c>
      <c r="H259" s="76"/>
      <c r="I259" s="63"/>
      <c r="J259" s="63" t="str">
        <f>IF(COUNTIF(T259:Z259,2)&gt;0,IF(G259="Yes","Class",""),IF(COUNTIF(T259:Z259,3)&gt;0,IF(COUNTIF(MulticlassFeats,Feats!C259&amp;IF(Feats!D259&lt;&gt;""," ("&amp;Feats!D259&amp;")","")),"Multi",""),""))</f>
        <v/>
      </c>
      <c r="K259" s="63" t="str">
        <f t="shared" ca="1" si="108"/>
        <v/>
      </c>
      <c r="L259" s="63" t="str">
        <f t="shared" ca="1" si="91"/>
        <v>No</v>
      </c>
      <c r="M259" s="63">
        <f t="shared" ca="1" si="106"/>
        <v>0</v>
      </c>
      <c r="N259" s="63" t="s">
        <v>4218</v>
      </c>
      <c r="O259" s="64"/>
      <c r="P259" s="660"/>
      <c r="Q259" s="661"/>
      <c r="R259" s="661" t="s">
        <v>4059</v>
      </c>
      <c r="AB259" s="1566" t="str">
        <f t="shared" ca="1" si="107"/>
        <v/>
      </c>
      <c r="AC259" s="1365" t="str">
        <f t="shared" ca="1" si="116"/>
        <v/>
      </c>
      <c r="AD259" s="1365" t="str">
        <f t="shared" ca="1" si="117"/>
        <v/>
      </c>
      <c r="AE259" s="1365" t="str">
        <f t="shared" ca="1" si="118"/>
        <v/>
      </c>
      <c r="AF259" s="1365" t="str">
        <f t="shared" ca="1" si="119"/>
        <v/>
      </c>
      <c r="AG259" s="1467" t="str">
        <f t="shared" ca="1" si="120"/>
        <v/>
      </c>
      <c r="AH259" s="1467" t="str">
        <f t="shared" ca="1" si="121"/>
        <v/>
      </c>
    </row>
    <row r="260" spans="2:34">
      <c r="B260" s="60"/>
      <c r="C260" s="1320" t="s">
        <v>4217</v>
      </c>
      <c r="D260" s="61" t="s">
        <v>531</v>
      </c>
      <c r="E260" s="62" t="s">
        <v>2343</v>
      </c>
      <c r="F260" s="1694" t="s">
        <v>5729</v>
      </c>
      <c r="G260" s="63" t="str">
        <f t="shared" ca="1" si="115"/>
        <v>No</v>
      </c>
      <c r="H260" s="76"/>
      <c r="I260" s="63"/>
      <c r="J260" s="63" t="str">
        <f>IF(COUNTIF(T260:Z260,2)&gt;0,IF(G260="Yes","Class",""),IF(COUNTIF(T260:Z260,3)&gt;0,IF(COUNTIF(MulticlassFeats,Feats!C260&amp;IF(Feats!D260&lt;&gt;""," ("&amp;Feats!D260&amp;")","")),"Multi",""),""))</f>
        <v/>
      </c>
      <c r="K260" s="63" t="str">
        <f t="shared" ca="1" si="108"/>
        <v/>
      </c>
      <c r="L260" s="63" t="str">
        <f t="shared" ca="1" si="91"/>
        <v>No</v>
      </c>
      <c r="M260" s="63">
        <f t="shared" ca="1" si="106"/>
        <v>0</v>
      </c>
      <c r="N260" s="63" t="s">
        <v>4218</v>
      </c>
      <c r="O260" s="64"/>
      <c r="P260" s="660"/>
      <c r="Q260" s="661"/>
      <c r="R260" s="661" t="s">
        <v>4059</v>
      </c>
      <c r="AB260" s="1566" t="str">
        <f t="shared" ca="1" si="107"/>
        <v/>
      </c>
      <c r="AC260" s="1365" t="str">
        <f t="shared" ca="1" si="116"/>
        <v/>
      </c>
      <c r="AD260" s="1365" t="str">
        <f t="shared" ca="1" si="117"/>
        <v/>
      </c>
      <c r="AE260" s="1365" t="str">
        <f t="shared" ca="1" si="118"/>
        <v/>
      </c>
      <c r="AF260" s="1365" t="str">
        <f t="shared" ca="1" si="119"/>
        <v/>
      </c>
      <c r="AG260" s="1467" t="str">
        <f t="shared" ca="1" si="120"/>
        <v/>
      </c>
      <c r="AH260" s="1467" t="str">
        <f t="shared" ca="1" si="121"/>
        <v/>
      </c>
    </row>
    <row r="261" spans="2:34">
      <c r="B261" s="1311"/>
      <c r="C261" s="1320" t="s">
        <v>4217</v>
      </c>
      <c r="D261" s="61" t="s">
        <v>461</v>
      </c>
      <c r="E261" s="62" t="s">
        <v>2343</v>
      </c>
      <c r="F261" s="1694" t="s">
        <v>5729</v>
      </c>
      <c r="G261" s="63" t="str">
        <f t="shared" ca="1" si="115"/>
        <v>No</v>
      </c>
      <c r="H261" s="76"/>
      <c r="I261" s="63"/>
      <c r="J261" s="63" t="str">
        <f>IF(COUNTIF(T261:Z261,2)&gt;0,IF(G261="Yes","Class",""),IF(COUNTIF(T261:Z261,3)&gt;0,IF(COUNTIF(MulticlassFeats,Feats!C261&amp;IF(Feats!D261&lt;&gt;""," ("&amp;Feats!D261&amp;")","")),"Multi",""),""))</f>
        <v/>
      </c>
      <c r="K261" s="63" t="str">
        <f t="shared" ca="1" si="108"/>
        <v/>
      </c>
      <c r="L261" s="63" t="str">
        <f t="shared" ca="1" si="91"/>
        <v>No</v>
      </c>
      <c r="M261" s="63">
        <f t="shared" ca="1" si="106"/>
        <v>0</v>
      </c>
      <c r="N261" s="63" t="s">
        <v>4218</v>
      </c>
      <c r="O261" s="64"/>
      <c r="P261" s="660"/>
      <c r="Q261" s="661"/>
      <c r="R261" s="661" t="s">
        <v>4059</v>
      </c>
      <c r="AB261" s="1566" t="str">
        <f t="shared" ca="1" si="107"/>
        <v/>
      </c>
      <c r="AC261" s="1365" t="str">
        <f t="shared" ca="1" si="116"/>
        <v/>
      </c>
      <c r="AD261" s="1365" t="str">
        <f t="shared" ca="1" si="117"/>
        <v/>
      </c>
      <c r="AE261" s="1365" t="str">
        <f t="shared" ca="1" si="118"/>
        <v/>
      </c>
      <c r="AF261" s="1365" t="str">
        <f t="shared" ca="1" si="119"/>
        <v/>
      </c>
      <c r="AG261" s="1467" t="str">
        <f t="shared" ca="1" si="120"/>
        <v/>
      </c>
      <c r="AH261" s="1467" t="str">
        <f t="shared" ca="1" si="121"/>
        <v/>
      </c>
    </row>
    <row r="262" spans="2:34">
      <c r="B262" s="60"/>
      <c r="C262" s="1320" t="s">
        <v>4217</v>
      </c>
      <c r="D262" s="61" t="str">
        <f>IF($D$100&lt;&gt;"",$D$100,"")</f>
        <v/>
      </c>
      <c r="E262" s="62" t="s">
        <v>2343</v>
      </c>
      <c r="F262" s="1694" t="s">
        <v>5729</v>
      </c>
      <c r="G262" s="63" t="str">
        <f ca="1">IF(AND(BAB&gt;=6,M$100&gt;0,M$81&gt;0),"Yes","No")</f>
        <v>No</v>
      </c>
      <c r="H262" s="76"/>
      <c r="I262" s="63"/>
      <c r="J262" s="63" t="str">
        <f>IF(COUNTIF(T262:Z262,2)&gt;0,IF(G262="Yes","Class",""),IF(COUNTIF(T262:Z262,3)&gt;0,IF(COUNTIF(MulticlassFeats,Feats!C262&amp;IF(Feats!D262&lt;&gt;""," ("&amp;Feats!D262&amp;")","")),"Multi",""),""))</f>
        <v/>
      </c>
      <c r="K262" s="63" t="str">
        <f t="shared" ca="1" si="108"/>
        <v/>
      </c>
      <c r="L262" s="63" t="str">
        <f t="shared" ca="1" si="91"/>
        <v>No</v>
      </c>
      <c r="M262" s="63">
        <f t="shared" ca="1" si="106"/>
        <v>0</v>
      </c>
      <c r="N262" s="63" t="s">
        <v>4218</v>
      </c>
      <c r="O262" s="64"/>
      <c r="P262" s="660"/>
      <c r="Q262" s="661"/>
      <c r="R262" s="661" t="s">
        <v>4059</v>
      </c>
      <c r="AB262" s="1566" t="str">
        <f t="shared" ca="1" si="107"/>
        <v/>
      </c>
      <c r="AC262" s="1365" t="str">
        <f t="shared" ca="1" si="116"/>
        <v/>
      </c>
      <c r="AD262" s="1365" t="str">
        <f t="shared" ca="1" si="117"/>
        <v/>
      </c>
      <c r="AE262" s="1365" t="str">
        <f t="shared" ca="1" si="118"/>
        <v/>
      </c>
      <c r="AF262" s="1365" t="str">
        <f t="shared" ca="1" si="119"/>
        <v/>
      </c>
      <c r="AG262" s="1467" t="str">
        <f t="shared" ca="1" si="120"/>
        <v/>
      </c>
      <c r="AH262" s="1467" t="str">
        <f t="shared" ca="1" si="121"/>
        <v/>
      </c>
    </row>
    <row r="263" spans="2:34">
      <c r="B263" s="60"/>
      <c r="C263" s="1320" t="s">
        <v>4217</v>
      </c>
      <c r="D263" s="61" t="str">
        <f>IF($D$101&lt;&gt;"",$D$101,"")</f>
        <v/>
      </c>
      <c r="E263" s="62" t="s">
        <v>2343</v>
      </c>
      <c r="F263" s="1694" t="s">
        <v>5729</v>
      </c>
      <c r="G263" s="63" t="str">
        <f ca="1">IF(AND(BAB&gt;=6,M$101&gt;0,M$82&gt;0),"Yes","No")</f>
        <v>No</v>
      </c>
      <c r="H263" s="76"/>
      <c r="I263" s="63"/>
      <c r="J263" s="63" t="str">
        <f>IF(COUNTIF(T263:Z263,2)&gt;0,IF(G263="Yes","Class",""),IF(COUNTIF(T263:Z263,3)&gt;0,IF(COUNTIF(MulticlassFeats,Feats!C263&amp;IF(Feats!D263&lt;&gt;""," ("&amp;Feats!D263&amp;")","")),"Multi",""),""))</f>
        <v/>
      </c>
      <c r="K263" s="63" t="str">
        <f t="shared" ca="1" si="108"/>
        <v/>
      </c>
      <c r="L263" s="63" t="str">
        <f t="shared" ca="1" si="91"/>
        <v>No</v>
      </c>
      <c r="M263" s="63">
        <f t="shared" ca="1" si="106"/>
        <v>0</v>
      </c>
      <c r="N263" s="63" t="s">
        <v>4218</v>
      </c>
      <c r="O263" s="64"/>
      <c r="P263" s="660"/>
      <c r="Q263" s="661"/>
      <c r="R263" s="661" t="s">
        <v>4059</v>
      </c>
      <c r="AB263" s="1566" t="str">
        <f t="shared" ca="1" si="107"/>
        <v/>
      </c>
      <c r="AC263" s="1365" t="str">
        <f t="shared" ca="1" si="116"/>
        <v/>
      </c>
      <c r="AD263" s="1365" t="str">
        <f t="shared" ca="1" si="117"/>
        <v/>
      </c>
      <c r="AE263" s="1365" t="str">
        <f t="shared" ca="1" si="118"/>
        <v/>
      </c>
      <c r="AF263" s="1365" t="str">
        <f t="shared" ca="1" si="119"/>
        <v/>
      </c>
      <c r="AG263" s="1467" t="str">
        <f t="shared" ca="1" si="120"/>
        <v/>
      </c>
      <c r="AH263" s="1467" t="str">
        <f t="shared" ca="1" si="121"/>
        <v/>
      </c>
    </row>
    <row r="264" spans="2:34">
      <c r="B264" s="60"/>
      <c r="C264" s="1320" t="s">
        <v>2475</v>
      </c>
      <c r="D264" s="61"/>
      <c r="E264" s="62"/>
      <c r="F264" s="1694" t="s">
        <v>5642</v>
      </c>
      <c r="G264" s="63" t="str">
        <f>IF(CharacterLevel&gt;0,"Yes","No")</f>
        <v>No</v>
      </c>
      <c r="H264" s="76"/>
      <c r="I264" s="63"/>
      <c r="J264" s="63" t="str">
        <f>IF(COUNTIF(T264:Z264,2)&gt;0,IF(G264="Yes","Class",""),IF(COUNTIF(T264:Z264,3)&gt;0,IF(COUNTIF(MulticlassFeats,Feats!C264&amp;IF(Feats!D264&lt;&gt;""," ("&amp;Feats!D264&amp;")","")),"Multi",""),""))</f>
        <v/>
      </c>
      <c r="K264" s="63" t="str">
        <f t="shared" ca="1" si="108"/>
        <v/>
      </c>
      <c r="L264" s="63" t="str">
        <f t="shared" ca="1" si="91"/>
        <v>No</v>
      </c>
      <c r="M264" s="63">
        <f t="shared" ca="1" si="106"/>
        <v>0</v>
      </c>
      <c r="N264" s="63" t="s">
        <v>2476</v>
      </c>
      <c r="O264" s="64"/>
      <c r="P264" s="660"/>
      <c r="Q264" s="661"/>
      <c r="R264" s="661"/>
      <c r="AB264" s="1566" t="str">
        <f t="shared" ca="1" si="107"/>
        <v/>
      </c>
      <c r="AC264" s="1365" t="str">
        <f t="shared" ca="1" si="116"/>
        <v/>
      </c>
      <c r="AD264" s="1365" t="str">
        <f t="shared" ca="1" si="117"/>
        <v/>
      </c>
      <c r="AE264" s="1365" t="str">
        <f t="shared" ca="1" si="118"/>
        <v/>
      </c>
      <c r="AF264" s="1365" t="str">
        <f t="shared" ca="1" si="119"/>
        <v/>
      </c>
      <c r="AG264" s="1467" t="str">
        <f t="shared" ca="1" si="120"/>
        <v/>
      </c>
      <c r="AH264" s="1467" t="str">
        <f t="shared" ca="1" si="121"/>
        <v/>
      </c>
    </row>
    <row r="265" spans="2:34">
      <c r="B265" s="60"/>
      <c r="C265" s="1462" t="s">
        <v>8244</v>
      </c>
      <c r="D265" s="1462"/>
      <c r="E265" s="1462" t="s">
        <v>8243</v>
      </c>
      <c r="F265" s="1695" t="s">
        <v>8242</v>
      </c>
      <c r="G265" s="63" t="str">
        <f>IF(BAB&gt;=1,"Yes","No")</f>
        <v>No</v>
      </c>
      <c r="H265" s="76"/>
      <c r="I265" s="63"/>
      <c r="J265" s="63" t="str">
        <f>IF(COUNTIF(T265:Z265,2)&gt;0,IF(G265="Yes","Class",""),IF(COUNTIF(T265:Z265,3)&gt;0,IF(COUNTIF(MulticlassFeats,Feats!A23&amp;IF(Feats!B23&lt;&gt;""," ("&amp;Feats!B23&amp;")","")),"Multi",""),""))</f>
        <v/>
      </c>
      <c r="K265" s="63" t="str">
        <f t="shared" ca="1" si="108"/>
        <v/>
      </c>
      <c r="L265" s="63" t="str">
        <f t="shared" ref="L265:L328" ca="1" si="122">IF(AND(G265="Yes",OR(H265&lt;&gt;"",I265&lt;&gt;"",J265&lt;&gt;"",K265&lt;&gt;"")),"Yes","No")</f>
        <v>No</v>
      </c>
      <c r="M265" s="63">
        <f t="shared" ca="1" si="106"/>
        <v>0</v>
      </c>
      <c r="N265" s="1461" t="s">
        <v>8225</v>
      </c>
      <c r="O265" s="64"/>
      <c r="P265" s="1559"/>
      <c r="R265" s="661"/>
      <c r="S265" s="1463"/>
      <c r="T265" s="660"/>
      <c r="U265" s="660"/>
      <c r="V265" s="660"/>
      <c r="W265" s="660"/>
      <c r="X265" s="660"/>
      <c r="Y265" s="660"/>
      <c r="Z265" s="1562"/>
      <c r="AA265" s="1568"/>
      <c r="AB265" s="1566" t="str">
        <f t="shared" ca="1" si="107"/>
        <v/>
      </c>
      <c r="AC265" s="1365" t="str">
        <f t="shared" ca="1" si="116"/>
        <v/>
      </c>
      <c r="AD265" s="1365" t="str">
        <f t="shared" ca="1" si="117"/>
        <v/>
      </c>
      <c r="AE265" s="1365" t="str">
        <f t="shared" ca="1" si="118"/>
        <v/>
      </c>
      <c r="AF265" s="1365" t="str">
        <f t="shared" ca="1" si="119"/>
        <v/>
      </c>
      <c r="AG265" s="1467" t="str">
        <f t="shared" ca="1" si="120"/>
        <v/>
      </c>
      <c r="AH265" s="1467" t="str">
        <f t="shared" ca="1" si="121"/>
        <v/>
      </c>
    </row>
    <row r="266" spans="2:34">
      <c r="B266" s="60"/>
      <c r="C266" s="1320" t="s">
        <v>2477</v>
      </c>
      <c r="D266" s="61"/>
      <c r="E266" s="62" t="s">
        <v>2306</v>
      </c>
      <c r="F266" s="1694" t="s">
        <v>5643</v>
      </c>
      <c r="G266" s="63" t="str">
        <f>IF(AND(CharacterLevel&gt;0,OR(STEndurance&lt;&gt;"",TEndurance&lt;&gt;"")),"Yes","No")</f>
        <v>No</v>
      </c>
      <c r="H266" s="76"/>
      <c r="I266" s="63"/>
      <c r="J266" s="63" t="str">
        <f>IF(COUNTIF(T266:Z266,2)&gt;0,IF(G266="Yes","Class",""),IF(COUNTIF(T266:Z266,3)&gt;0,IF(COUNTIF(MulticlassFeats,Feats!C266&amp;IF(Feats!D266&lt;&gt;""," ("&amp;Feats!D266&amp;")","")),"Multi",""),""))</f>
        <v/>
      </c>
      <c r="K266" s="63" t="str">
        <f t="shared" ca="1" si="108"/>
        <v/>
      </c>
      <c r="L266" s="63" t="str">
        <f t="shared" ca="1" si="122"/>
        <v>No</v>
      </c>
      <c r="M266" s="63">
        <f t="shared" ca="1" si="106"/>
        <v>0</v>
      </c>
      <c r="N266" s="63" t="s">
        <v>2478</v>
      </c>
      <c r="O266" s="64"/>
      <c r="P266" s="660"/>
      <c r="Q266" s="661"/>
      <c r="R266" s="661"/>
      <c r="T266" s="54">
        <f>IF(JediFeats&gt;0,1,0)</f>
        <v>0</v>
      </c>
      <c r="W266" s="54">
        <f>IF(ScoutFeats&gt;0,1,0)</f>
        <v>0</v>
      </c>
      <c r="X266" s="54">
        <f>IF(SoldierFeats&gt;0,1,0)</f>
        <v>0</v>
      </c>
      <c r="AB266" s="1566" t="str">
        <f t="shared" ca="1" si="107"/>
        <v/>
      </c>
      <c r="AC266" s="1365" t="str">
        <f t="shared" ca="1" si="116"/>
        <v/>
      </c>
      <c r="AD266" s="1365" t="str">
        <f t="shared" ca="1" si="117"/>
        <v/>
      </c>
      <c r="AE266" s="1365" t="str">
        <f t="shared" ca="1" si="118"/>
        <v/>
      </c>
      <c r="AF266" s="1365" t="str">
        <f t="shared" ca="1" si="119"/>
        <v/>
      </c>
      <c r="AG266" s="1467" t="str">
        <f t="shared" ca="1" si="120"/>
        <v/>
      </c>
      <c r="AH266" s="1467" t="str">
        <f t="shared" ca="1" si="121"/>
        <v/>
      </c>
    </row>
    <row r="267" spans="2:34">
      <c r="B267" s="60"/>
      <c r="C267" s="1320" t="s">
        <v>6693</v>
      </c>
      <c r="D267" s="61"/>
      <c r="E267" s="62" t="s">
        <v>2350</v>
      </c>
      <c r="F267" s="1694" t="s">
        <v>6694</v>
      </c>
      <c r="G267" s="63" t="str">
        <f ca="1">IF(AND(CharacterLevel&gt;0,$M$350&gt;0),"Yes","No")</f>
        <v>No</v>
      </c>
      <c r="H267" s="76"/>
      <c r="I267" s="63"/>
      <c r="J267" s="63" t="str">
        <f>IF(COUNTIF(T267:Z267,2)&gt;0,IF(G267="Yes","Class",""),IF(COUNTIF(T267:Z267,3)&gt;0,IF(COUNTIF(MulticlassFeats,Feats!C267&amp;IF(Feats!D267&lt;&gt;""," ("&amp;Feats!D267&amp;")","")),"Multi",""),""))</f>
        <v/>
      </c>
      <c r="K267" s="63" t="str">
        <f t="shared" ca="1" si="108"/>
        <v/>
      </c>
      <c r="L267" s="63" t="str">
        <f t="shared" ca="1" si="122"/>
        <v>No</v>
      </c>
      <c r="M267" s="63">
        <f t="shared" ca="1" si="106"/>
        <v>0</v>
      </c>
      <c r="N267" s="63" t="s">
        <v>6755</v>
      </c>
      <c r="O267" s="64"/>
      <c r="P267" s="660"/>
      <c r="Q267" s="661"/>
      <c r="R267" s="661"/>
      <c r="AB267" s="1566" t="str">
        <f t="shared" ca="1" si="107"/>
        <v/>
      </c>
      <c r="AC267" s="1365" t="str">
        <f t="shared" ca="1" si="116"/>
        <v/>
      </c>
      <c r="AD267" s="1365" t="str">
        <f t="shared" ca="1" si="117"/>
        <v/>
      </c>
      <c r="AE267" s="1365" t="str">
        <f t="shared" ca="1" si="118"/>
        <v/>
      </c>
      <c r="AF267" s="1365" t="str">
        <f t="shared" ca="1" si="119"/>
        <v/>
      </c>
      <c r="AG267" s="1467" t="str">
        <f t="shared" ca="1" si="120"/>
        <v/>
      </c>
      <c r="AH267" s="1467" t="str">
        <f t="shared" ca="1" si="121"/>
        <v/>
      </c>
    </row>
    <row r="268" spans="2:34">
      <c r="B268" s="60"/>
      <c r="C268" s="1320" t="s">
        <v>6695</v>
      </c>
      <c r="D268" s="61"/>
      <c r="E268" s="62" t="s">
        <v>6696</v>
      </c>
      <c r="F268" s="1694" t="s">
        <v>6697</v>
      </c>
      <c r="G268" s="63" t="str">
        <f>IF(AND(CharacterLevel&gt;0,OR(TClimb&lt;&gt;"",STClimb&lt;&gt;"",TJump&lt;&gt;"",STJump&lt;&gt;"")),"Yes","No")</f>
        <v>No</v>
      </c>
      <c r="H268" s="76"/>
      <c r="I268" s="63"/>
      <c r="J268" s="63" t="str">
        <f>IF(COUNTIF(T268:Z268,2)&gt;0,IF(G268="Yes","Class",""),IF(COUNTIF(T268:Z268,3)&gt;0,IF(COUNTIF(MulticlassFeats,Feats!C268&amp;IF(Feats!D268&lt;&gt;""," ("&amp;Feats!D268&amp;")","")),"Multi",""),""))</f>
        <v/>
      </c>
      <c r="K268" s="63" t="str">
        <f t="shared" ca="1" si="108"/>
        <v/>
      </c>
      <c r="L268" s="63" t="str">
        <f t="shared" ca="1" si="122"/>
        <v>No</v>
      </c>
      <c r="M268" s="63">
        <f t="shared" ref="M268:M289" ca="1" si="123">IF(L268="Yes",1,0)</f>
        <v>0</v>
      </c>
      <c r="N268" s="63" t="s">
        <v>6756</v>
      </c>
      <c r="O268" s="64"/>
      <c r="P268" s="660"/>
      <c r="Q268" s="661"/>
      <c r="R268" s="661"/>
      <c r="AB268" s="1566" t="str">
        <f t="shared" ref="AB268:AB289" ca="1" si="124">IF(OR(H268&lt;&gt;"",I268&lt;&gt;"",J268&lt;&gt;"",K268&lt;&gt;""),C268&amp;IF(D268&lt;&gt;""," ("&amp;D268&amp;")",""),"")</f>
        <v/>
      </c>
      <c r="AC268" s="1365" t="str">
        <f t="shared" ca="1" si="116"/>
        <v/>
      </c>
      <c r="AD268" s="1365" t="str">
        <f t="shared" ca="1" si="117"/>
        <v/>
      </c>
      <c r="AE268" s="1365" t="str">
        <f t="shared" ca="1" si="118"/>
        <v/>
      </c>
      <c r="AF268" s="1365" t="str">
        <f t="shared" ca="1" si="119"/>
        <v/>
      </c>
      <c r="AG268" s="1467" t="str">
        <f t="shared" ca="1" si="120"/>
        <v/>
      </c>
      <c r="AH268" s="1467" t="str">
        <f t="shared" ca="1" si="121"/>
        <v/>
      </c>
    </row>
    <row r="269" spans="2:34">
      <c r="B269" s="60"/>
      <c r="C269" s="1320" t="s">
        <v>2381</v>
      </c>
      <c r="D269" s="61"/>
      <c r="E269" s="62" t="s">
        <v>2273</v>
      </c>
      <c r="F269" s="1694" t="s">
        <v>5644</v>
      </c>
      <c r="G269" s="63" t="str">
        <f>IF(AND(CharacterLevel&gt;0,Dexterity&gt;=13),"Yes","No")</f>
        <v>No</v>
      </c>
      <c r="H269" s="76"/>
      <c r="I269" s="63"/>
      <c r="J269" s="63" t="str">
        <f>IF(COUNTIF(T269:Z269,2)&gt;0,IF(G269="Yes","Class",""),IF(COUNTIF(T269:Z269,3)&gt;0,IF(COUNTIF(MulticlassFeats,Feats!C269&amp;IF(Feats!D269&lt;&gt;""," ("&amp;Feats!D269&amp;")","")),"Multi",""),""))</f>
        <v/>
      </c>
      <c r="K269" s="63" t="str">
        <f t="shared" ca="1" si="108"/>
        <v/>
      </c>
      <c r="L269" s="63" t="str">
        <f t="shared" ca="1" si="122"/>
        <v>No</v>
      </c>
      <c r="M269" s="63">
        <f t="shared" ca="1" si="123"/>
        <v>0</v>
      </c>
      <c r="N269" s="63">
        <v>88</v>
      </c>
      <c r="O269" s="64"/>
      <c r="P269" s="660"/>
      <c r="Q269" s="661"/>
      <c r="R269" s="661" t="s">
        <v>3669</v>
      </c>
      <c r="T269" s="54">
        <f>IF(JediFeats&gt;0,1,0)</f>
        <v>0</v>
      </c>
      <c r="V269" s="54">
        <f>IF(ScoundrelFeats&gt;0,1,0)</f>
        <v>0</v>
      </c>
      <c r="W269" s="54">
        <f>IF(ScoutFeats&gt;0,1,0)</f>
        <v>0</v>
      </c>
      <c r="X269" s="54">
        <f>IF(SoldierFeats&gt;0,1,0)</f>
        <v>0</v>
      </c>
      <c r="AB269" s="1566" t="str">
        <f t="shared" ca="1" si="124"/>
        <v/>
      </c>
      <c r="AC269" s="1365" t="str">
        <f t="shared" ca="1" si="116"/>
        <v/>
      </c>
      <c r="AD269" s="1365" t="str">
        <f t="shared" ca="1" si="117"/>
        <v/>
      </c>
      <c r="AE269" s="1365" t="str">
        <f t="shared" ca="1" si="118"/>
        <v/>
      </c>
      <c r="AF269" s="1365" t="str">
        <f t="shared" ca="1" si="119"/>
        <v/>
      </c>
      <c r="AG269" s="1467" t="str">
        <f t="shared" ca="1" si="120"/>
        <v/>
      </c>
      <c r="AH269" s="1467" t="str">
        <f t="shared" ca="1" si="121"/>
        <v/>
      </c>
    </row>
    <row r="270" spans="2:34">
      <c r="B270" s="60"/>
      <c r="C270" s="1462" t="s">
        <v>8241</v>
      </c>
      <c r="D270" s="1462"/>
      <c r="E270" s="1462"/>
      <c r="F270" s="1695" t="s">
        <v>8240</v>
      </c>
      <c r="G270" s="63" t="str">
        <f>IF(AND(CharacterLevel&gt;0),"Yes","No")</f>
        <v>No</v>
      </c>
      <c r="H270" s="76"/>
      <c r="I270" s="63"/>
      <c r="J270" s="63" t="str">
        <f>IF(COUNTIF(T270:Z270,2)&gt;0,IF(G270="Yes","Class",""),IF(COUNTIF(T270:Z270,3)&gt;0,IF(COUNTIF(MulticlassFeats,Feats!A24&amp;IF(Feats!B24&lt;&gt;""," ("&amp;Feats!B24&amp;")","")),"Multi",""),""))</f>
        <v/>
      </c>
      <c r="K270" s="63" t="str">
        <f t="shared" ca="1" si="108"/>
        <v/>
      </c>
      <c r="L270" s="63" t="str">
        <f t="shared" ca="1" si="122"/>
        <v>No</v>
      </c>
      <c r="M270" s="63">
        <f t="shared" ca="1" si="123"/>
        <v>0</v>
      </c>
      <c r="N270" s="1461" t="s">
        <v>8225</v>
      </c>
      <c r="O270" s="64"/>
      <c r="P270" s="1559"/>
      <c r="R270" s="661"/>
      <c r="S270" s="1463"/>
      <c r="T270" s="660"/>
      <c r="U270" s="660"/>
      <c r="V270" s="660"/>
      <c r="W270" s="660"/>
      <c r="X270" s="660"/>
      <c r="Y270" s="660"/>
      <c r="Z270" s="1562"/>
      <c r="AA270" s="1568"/>
      <c r="AB270" s="1566" t="str">
        <f t="shared" ca="1" si="124"/>
        <v/>
      </c>
      <c r="AC270" s="1365" t="str">
        <f ca="1">IF(AB314&lt;&gt;"",AB314&amp;";"&amp;AC271,AC271)</f>
        <v/>
      </c>
      <c r="AD270" s="1365" t="str">
        <f ca="1">IF(AB314&lt;&gt;"",N314&amp;";"&amp;AD271,AD271)</f>
        <v/>
      </c>
      <c r="AE270" s="1365" t="str">
        <f ca="1">IF(AB314&lt;&gt;"",IF(R314="Att Options",AB314&amp;IF(AE271&lt;&gt;"",", ",""),"")&amp;AE271,AE271)</f>
        <v/>
      </c>
      <c r="AF270" s="1365" t="str">
        <f ca="1">IF(AB314&lt;&gt;"",IF(R314="Special Actions",AB314&amp;IF(AF271&lt;&gt;"",", ",""),"")&amp;AF271,AF271)</f>
        <v/>
      </c>
      <c r="AG270" s="1467" t="str">
        <f ca="1">IF(AB314&lt;&gt;"",IF(R314="Defenses",AB314&amp;IF(AG271&lt;&gt;"",", ",""),"")&amp;AG271,AG271)</f>
        <v/>
      </c>
      <c r="AH270" s="1467" t="str">
        <f ca="1">IF(AB314&lt;&gt;"",IF(R314="Speed",AB314&amp;IF(AH271&lt;&gt;"",", ",""),"")&amp;AH271,AH271)</f>
        <v/>
      </c>
    </row>
    <row r="271" spans="2:34">
      <c r="B271" s="60"/>
      <c r="C271" s="1320" t="s">
        <v>2479</v>
      </c>
      <c r="D271" s="61" t="s">
        <v>1381</v>
      </c>
      <c r="E271" s="62" t="s">
        <v>2343</v>
      </c>
      <c r="F271" s="1694" t="s">
        <v>5645</v>
      </c>
      <c r="G271" s="63" t="str">
        <f t="shared" ref="G271:G276" ca="1" si="125">IF(AND(BAB&gt;=6,M346&gt;0,M75&gt;0),"Yes","No")</f>
        <v>No</v>
      </c>
      <c r="H271" s="76"/>
      <c r="I271" s="63"/>
      <c r="J271" s="63" t="str">
        <f>IF(COUNTIF(T271:Z271,2)&gt;0,IF(G271="Yes","Class",""),IF(COUNTIF(T271:Z271,3)&gt;0,IF(COUNTIF(MulticlassFeats,Feats!C271&amp;IF(Feats!D271&lt;&gt;""," ("&amp;Feats!D271&amp;")","")),"Multi",""),""))</f>
        <v/>
      </c>
      <c r="K271" s="63" t="str">
        <f t="shared" ca="1" si="108"/>
        <v/>
      </c>
      <c r="L271" s="63" t="str">
        <f t="shared" ca="1" si="122"/>
        <v>No</v>
      </c>
      <c r="M271" s="63">
        <f t="shared" ca="1" si="123"/>
        <v>0</v>
      </c>
      <c r="N271" s="63" t="s">
        <v>2474</v>
      </c>
      <c r="O271" s="64"/>
      <c r="P271" s="660"/>
      <c r="Q271" s="661"/>
      <c r="R271" s="661" t="s">
        <v>4059</v>
      </c>
      <c r="T271" s="54">
        <f t="shared" ref="T271:T278" si="126">IF(JediFeats&gt;0,1,0)</f>
        <v>0</v>
      </c>
      <c r="X271" s="54">
        <f t="shared" ref="X271:X278" si="127">IF(SoldierFeats&gt;0,1,0)</f>
        <v>0</v>
      </c>
      <c r="AB271" s="1566" t="str">
        <f t="shared" ca="1" si="124"/>
        <v/>
      </c>
      <c r="AC271" s="1365" t="str">
        <f ca="1">IF(AB315&lt;&gt;"",AB315&amp;";"&amp;AC272,AC272)</f>
        <v/>
      </c>
      <c r="AD271" s="1365" t="str">
        <f ca="1">IF(AB315&lt;&gt;"",N315&amp;";"&amp;AD272,AD272)</f>
        <v/>
      </c>
      <c r="AE271" s="1365" t="str">
        <f ca="1">IF(AB315&lt;&gt;"",IF(R315="Att Options",AB315&amp;IF(AE272&lt;&gt;"",", ",""),"")&amp;AE272,AE272)</f>
        <v/>
      </c>
      <c r="AF271" s="1365" t="str">
        <f ca="1">IF(AB315&lt;&gt;"",IF(R315="Special Actions",AB315&amp;IF(AF272&lt;&gt;"",", ",""),"")&amp;AF272,AF272)</f>
        <v/>
      </c>
      <c r="AG271" s="1467" t="str">
        <f ca="1">IF(AB315&lt;&gt;"",IF(R315="Defenses",AB315&amp;IF(AG272&lt;&gt;"",", ",""),"")&amp;AG272,AG272)</f>
        <v/>
      </c>
      <c r="AH271" s="1467" t="str">
        <f ca="1">IF(AB315&lt;&gt;"",IF(R315="Speed",AB315&amp;IF(AH272&lt;&gt;"",", ",""),"")&amp;AH272,AH272)</f>
        <v/>
      </c>
    </row>
    <row r="272" spans="2:34">
      <c r="B272" s="1311"/>
      <c r="C272" s="1320" t="s">
        <v>2479</v>
      </c>
      <c r="D272" s="61" t="s">
        <v>651</v>
      </c>
      <c r="E272" s="62" t="s">
        <v>2343</v>
      </c>
      <c r="F272" s="1694" t="s">
        <v>5645</v>
      </c>
      <c r="G272" s="63" t="str">
        <f t="shared" ca="1" si="125"/>
        <v>No</v>
      </c>
      <c r="H272" s="76"/>
      <c r="I272" s="63"/>
      <c r="J272" s="63" t="str">
        <f>IF(COUNTIF(T272:Z272,2)&gt;0,IF(G272="Yes","Class",""),IF(COUNTIF(T272:Z272,3)&gt;0,IF(COUNTIF(MulticlassFeats,Feats!C272&amp;IF(Feats!D272&lt;&gt;""," ("&amp;Feats!D272&amp;")","")),"Multi",""),""))</f>
        <v/>
      </c>
      <c r="K272" s="63" t="str">
        <f t="shared" ref="K272:K293" ca="1" si="128">IF(OR(NOT(ISERROR(FIND(C272,INDEX(RaceListTable,RaceIndex,39),1))),NOT(ISERROR(FIND(C272,INDEX(RaceListTable,RaceIndex,40),1)))),"Racial","")</f>
        <v/>
      </c>
      <c r="L272" s="63" t="str">
        <f t="shared" ca="1" si="122"/>
        <v>No</v>
      </c>
      <c r="M272" s="63">
        <f t="shared" ca="1" si="123"/>
        <v>0</v>
      </c>
      <c r="N272" s="63" t="s">
        <v>2474</v>
      </c>
      <c r="O272" s="64"/>
      <c r="P272" s="660"/>
      <c r="Q272" s="661"/>
      <c r="R272" s="661" t="s">
        <v>4059</v>
      </c>
      <c r="T272" s="54">
        <f t="shared" si="126"/>
        <v>0</v>
      </c>
      <c r="X272" s="54">
        <f t="shared" si="127"/>
        <v>0</v>
      </c>
      <c r="AB272" s="1566" t="str">
        <f t="shared" ca="1" si="124"/>
        <v/>
      </c>
      <c r="AC272" s="1365" t="str">
        <f ca="1">IF(AB316&lt;&gt;"",AB316&amp;";"&amp;AC273,AC273)</f>
        <v/>
      </c>
      <c r="AD272" s="1365" t="str">
        <f ca="1">IF(AB316&lt;&gt;"",N316&amp;";"&amp;AD273,AD273)</f>
        <v/>
      </c>
      <c r="AE272" s="1365" t="str">
        <f ca="1">IF(AB316&lt;&gt;"",IF(R316="Att Options",AB316&amp;IF(AE273&lt;&gt;"",", ",""),"")&amp;AE273,AE273)</f>
        <v/>
      </c>
      <c r="AF272" s="1365" t="str">
        <f ca="1">IF(AB316&lt;&gt;"",IF(R316="Special Actions",AB316&amp;IF(AF273&lt;&gt;"",", ",""),"")&amp;AF273,AF273)</f>
        <v/>
      </c>
      <c r="AG272" s="1467" t="str">
        <f ca="1">IF(AB316&lt;&gt;"",IF(R316="Defenses",AB316&amp;IF(AG273&lt;&gt;"",", ",""),"")&amp;AG273,AG273)</f>
        <v/>
      </c>
      <c r="AH272" s="1467" t="str">
        <f ca="1">IF(AB316&lt;&gt;"",IF(R316="Speed",AB316&amp;IF(AH273&lt;&gt;"",", ",""),"")&amp;AH273,AH273)</f>
        <v/>
      </c>
    </row>
    <row r="273" spans="2:34">
      <c r="B273" s="60"/>
      <c r="C273" s="1320" t="s">
        <v>2479</v>
      </c>
      <c r="D273" s="61"/>
      <c r="E273" s="62" t="s">
        <v>2343</v>
      </c>
      <c r="F273" s="1694" t="s">
        <v>5645</v>
      </c>
      <c r="G273" s="63" t="str">
        <f t="shared" ca="1" si="125"/>
        <v>No</v>
      </c>
      <c r="H273" s="76"/>
      <c r="I273" s="63"/>
      <c r="J273" s="63" t="str">
        <f>IF(COUNTIF(T273:Z273,2)&gt;0,IF(G273="Yes","Class",""),IF(COUNTIF(T273:Z273,3)&gt;0,IF(COUNTIF(MulticlassFeats,Feats!C273&amp;IF(Feats!D273&lt;&gt;""," ("&amp;Feats!D273&amp;")","")),"Multi",""),""))</f>
        <v/>
      </c>
      <c r="K273" s="63" t="str">
        <f t="shared" ca="1" si="128"/>
        <v/>
      </c>
      <c r="L273" s="63" t="str">
        <f t="shared" ca="1" si="122"/>
        <v>No</v>
      </c>
      <c r="M273" s="63">
        <f t="shared" ca="1" si="123"/>
        <v>0</v>
      </c>
      <c r="N273" s="63" t="s">
        <v>2474</v>
      </c>
      <c r="O273" s="64"/>
      <c r="P273" s="660"/>
      <c r="Q273" s="661"/>
      <c r="R273" s="661" t="s">
        <v>4059</v>
      </c>
      <c r="T273" s="54">
        <f t="shared" si="126"/>
        <v>0</v>
      </c>
      <c r="X273" s="54">
        <f t="shared" si="127"/>
        <v>0</v>
      </c>
      <c r="AB273" s="1566" t="str">
        <f t="shared" ca="1" si="124"/>
        <v/>
      </c>
      <c r="AC273" s="1365" t="str">
        <f ca="1">IF(AB317&lt;&gt;"",AB317&amp;";"&amp;AC274,AC274)</f>
        <v/>
      </c>
      <c r="AD273" s="1365" t="str">
        <f ca="1">IF(AB317&lt;&gt;"",N317&amp;";"&amp;AD274,AD274)</f>
        <v/>
      </c>
      <c r="AE273" s="1365" t="str">
        <f ca="1">IF(AB317&lt;&gt;"",IF(R317="Att Options",AB317&amp;IF(AE274&lt;&gt;"",", ",""),"")&amp;AE274,AE274)</f>
        <v/>
      </c>
      <c r="AF273" s="1365" t="str">
        <f ca="1">IF(AB317&lt;&gt;"",IF(R317="Special Actions",AB317&amp;IF(AF274&lt;&gt;"",", ",""),"")&amp;AF274,AF274)</f>
        <v/>
      </c>
      <c r="AG273" s="1467" t="str">
        <f ca="1">IF(AB317&lt;&gt;"",IF(R317="Defenses",AB317&amp;IF(AG274&lt;&gt;"",", ",""),"")&amp;AG274,AG274)</f>
        <v/>
      </c>
      <c r="AH273" s="1467" t="str">
        <f ca="1">IF(AB317&lt;&gt;"",IF(R317="Speed",AB317&amp;IF(AH274&lt;&gt;"",", ",""),"")&amp;AH274,AH274)</f>
        <v/>
      </c>
    </row>
    <row r="274" spans="2:34">
      <c r="B274" s="60"/>
      <c r="C274" s="1320" t="s">
        <v>2479</v>
      </c>
      <c r="D274" s="61"/>
      <c r="E274" s="62" t="s">
        <v>2343</v>
      </c>
      <c r="F274" s="1694" t="s">
        <v>5645</v>
      </c>
      <c r="G274" s="63" t="str">
        <f t="shared" ca="1" si="125"/>
        <v>No</v>
      </c>
      <c r="H274" s="76"/>
      <c r="I274" s="63"/>
      <c r="J274" s="63" t="str">
        <f>IF(COUNTIF(T274:Z274,2)&gt;0,IF(G274="Yes","Class",""),IF(COUNTIF(T274:Z274,3)&gt;0,IF(COUNTIF(MulticlassFeats,Feats!C274&amp;IF(Feats!D274&lt;&gt;""," ("&amp;Feats!D274&amp;")","")),"Multi",""),""))</f>
        <v/>
      </c>
      <c r="K274" s="63" t="str">
        <f t="shared" ca="1" si="128"/>
        <v/>
      </c>
      <c r="L274" s="63" t="str">
        <f t="shared" ca="1" si="122"/>
        <v>No</v>
      </c>
      <c r="M274" s="63">
        <f t="shared" ca="1" si="123"/>
        <v>0</v>
      </c>
      <c r="N274" s="63" t="s">
        <v>2474</v>
      </c>
      <c r="O274" s="64"/>
      <c r="P274" s="660"/>
      <c r="Q274" s="661"/>
      <c r="R274" s="661" t="s">
        <v>4059</v>
      </c>
      <c r="T274" s="54">
        <f t="shared" si="126"/>
        <v>0</v>
      </c>
      <c r="X274" s="54">
        <f t="shared" si="127"/>
        <v>0</v>
      </c>
      <c r="AB274" s="1566" t="str">
        <f t="shared" ca="1" si="124"/>
        <v/>
      </c>
      <c r="AC274" s="1365" t="str">
        <f t="shared" ref="AC274:AC306" ca="1" si="129">IF(AB319&lt;&gt;"",AB319&amp;";"&amp;AC275,AC275)</f>
        <v/>
      </c>
      <c r="AD274" s="1365" t="str">
        <f t="shared" ref="AD274:AD306" ca="1" si="130">IF(AB319&lt;&gt;"",N319&amp;";"&amp;AD275,AD275)</f>
        <v/>
      </c>
      <c r="AE274" s="1365" t="str">
        <f t="shared" ref="AE274:AE306" ca="1" si="131">IF(AB319&lt;&gt;"",IF(R319="Att Options",AB319&amp;IF(AE275&lt;&gt;"",", ",""),"")&amp;AE275,AE275)</f>
        <v/>
      </c>
      <c r="AF274" s="1365" t="str">
        <f t="shared" ref="AF274:AF306" ca="1" si="132">IF(AB319&lt;&gt;"",IF(R319="Special Actions",AB319&amp;IF(AF275&lt;&gt;"",", ",""),"")&amp;AF275,AF275)</f>
        <v/>
      </c>
      <c r="AG274" s="1467" t="str">
        <f t="shared" ref="AG274:AG306" ca="1" si="133">IF(AB319&lt;&gt;"",IF(R319="Defenses",AB319&amp;IF(AG275&lt;&gt;"",", ",""),"")&amp;AG275,AG275)</f>
        <v/>
      </c>
      <c r="AH274" s="1467" t="str">
        <f t="shared" ref="AH274:AH306" ca="1" si="134">IF(AB319&lt;&gt;"",IF(R319="Speed",AB319&amp;IF(AH275&lt;&gt;"",", ",""),"")&amp;AH275,AH275)</f>
        <v/>
      </c>
    </row>
    <row r="275" spans="2:34">
      <c r="B275" s="60"/>
      <c r="C275" s="1320" t="s">
        <v>2479</v>
      </c>
      <c r="D275" s="61" t="s">
        <v>531</v>
      </c>
      <c r="E275" s="62" t="s">
        <v>2343</v>
      </c>
      <c r="F275" s="1694" t="s">
        <v>5645</v>
      </c>
      <c r="G275" s="63" t="str">
        <f t="shared" ca="1" si="125"/>
        <v>No</v>
      </c>
      <c r="H275" s="76"/>
      <c r="I275" s="63"/>
      <c r="J275" s="63" t="str">
        <f>IF(COUNTIF(T275:Z275,2)&gt;0,IF(G275="Yes","Class",""),IF(COUNTIF(T275:Z275,3)&gt;0,IF(COUNTIF(MulticlassFeats,Feats!C275&amp;IF(Feats!D275&lt;&gt;""," ("&amp;Feats!D275&amp;")","")),"Multi",""),""))</f>
        <v/>
      </c>
      <c r="K275" s="63" t="str">
        <f t="shared" ca="1" si="128"/>
        <v/>
      </c>
      <c r="L275" s="63" t="str">
        <f t="shared" ca="1" si="122"/>
        <v>No</v>
      </c>
      <c r="M275" s="63">
        <f t="shared" ca="1" si="123"/>
        <v>0</v>
      </c>
      <c r="N275" s="63" t="s">
        <v>2474</v>
      </c>
      <c r="O275" s="64"/>
      <c r="P275" s="660"/>
      <c r="Q275" s="661"/>
      <c r="R275" s="661" t="s">
        <v>4059</v>
      </c>
      <c r="T275" s="54">
        <f t="shared" si="126"/>
        <v>0</v>
      </c>
      <c r="X275" s="54">
        <f t="shared" si="127"/>
        <v>0</v>
      </c>
      <c r="AB275" s="1566" t="str">
        <f t="shared" ca="1" si="124"/>
        <v/>
      </c>
      <c r="AC275" s="1365" t="str">
        <f t="shared" ca="1" si="129"/>
        <v/>
      </c>
      <c r="AD275" s="1365" t="str">
        <f t="shared" ca="1" si="130"/>
        <v/>
      </c>
      <c r="AE275" s="1365" t="str">
        <f t="shared" ca="1" si="131"/>
        <v/>
      </c>
      <c r="AF275" s="1365" t="str">
        <f t="shared" ca="1" si="132"/>
        <v/>
      </c>
      <c r="AG275" s="1467" t="str">
        <f t="shared" ca="1" si="133"/>
        <v/>
      </c>
      <c r="AH275" s="1467" t="str">
        <f t="shared" ca="1" si="134"/>
        <v/>
      </c>
    </row>
    <row r="276" spans="2:34">
      <c r="B276" s="60"/>
      <c r="C276" s="1320" t="s">
        <v>2479</v>
      </c>
      <c r="D276" s="61" t="s">
        <v>461</v>
      </c>
      <c r="E276" s="62" t="s">
        <v>2343</v>
      </c>
      <c r="F276" s="1694" t="s">
        <v>5645</v>
      </c>
      <c r="G276" s="63" t="str">
        <f t="shared" ca="1" si="125"/>
        <v>No</v>
      </c>
      <c r="H276" s="76"/>
      <c r="I276" s="63"/>
      <c r="J276" s="63" t="str">
        <f>IF(COUNTIF(T276:Z276,2)&gt;0,IF(G276="Yes","Class",""),IF(COUNTIF(T276:Z276,3)&gt;0,IF(COUNTIF(MulticlassFeats,Feats!C276&amp;IF(Feats!D276&lt;&gt;""," ("&amp;Feats!D276&amp;")","")),"Multi",""),""))</f>
        <v/>
      </c>
      <c r="K276" s="63" t="str">
        <f t="shared" ca="1" si="128"/>
        <v/>
      </c>
      <c r="L276" s="63" t="str">
        <f t="shared" ca="1" si="122"/>
        <v>No</v>
      </c>
      <c r="M276" s="63">
        <f t="shared" ca="1" si="123"/>
        <v>0</v>
      </c>
      <c r="N276" s="63" t="s">
        <v>2474</v>
      </c>
      <c r="O276" s="64"/>
      <c r="P276" s="660"/>
      <c r="Q276" s="661"/>
      <c r="R276" s="661" t="s">
        <v>4059</v>
      </c>
      <c r="T276" s="54">
        <f t="shared" si="126"/>
        <v>0</v>
      </c>
      <c r="X276" s="54">
        <f t="shared" si="127"/>
        <v>0</v>
      </c>
      <c r="AB276" s="1566" t="str">
        <f t="shared" ca="1" si="124"/>
        <v/>
      </c>
      <c r="AC276" s="1365" t="str">
        <f t="shared" ca="1" si="129"/>
        <v/>
      </c>
      <c r="AD276" s="1365" t="str">
        <f t="shared" ca="1" si="130"/>
        <v/>
      </c>
      <c r="AE276" s="1365" t="str">
        <f t="shared" ca="1" si="131"/>
        <v/>
      </c>
      <c r="AF276" s="1365" t="str">
        <f t="shared" ca="1" si="132"/>
        <v/>
      </c>
      <c r="AG276" s="1467" t="str">
        <f t="shared" ca="1" si="133"/>
        <v/>
      </c>
      <c r="AH276" s="1467" t="str">
        <f t="shared" ca="1" si="134"/>
        <v/>
      </c>
    </row>
    <row r="277" spans="2:34">
      <c r="B277" s="60"/>
      <c r="C277" s="1320" t="s">
        <v>2479</v>
      </c>
      <c r="D277" s="61" t="str">
        <f>IF($D$100&lt;&gt;"",$D$100,"")</f>
        <v/>
      </c>
      <c r="E277" s="62" t="s">
        <v>2343</v>
      </c>
      <c r="F277" s="1694" t="s">
        <v>5645</v>
      </c>
      <c r="G277" s="63" t="str">
        <f ca="1">IF(AND(BAB&gt;=6,M$100&gt;0,M$81&gt;0),"Yes","No")</f>
        <v>No</v>
      </c>
      <c r="H277" s="76"/>
      <c r="I277" s="63"/>
      <c r="J277" s="63" t="str">
        <f>IF(COUNTIF(T277:Z277,2)&gt;0,IF(G277="Yes","Class",""),IF(COUNTIF(T277:Z277,3)&gt;0,IF(COUNTIF(MulticlassFeats,Feats!C277&amp;IF(Feats!D277&lt;&gt;""," ("&amp;Feats!D277&amp;")","")),"Multi",""),""))</f>
        <v/>
      </c>
      <c r="K277" s="63" t="str">
        <f t="shared" ca="1" si="128"/>
        <v/>
      </c>
      <c r="L277" s="63" t="str">
        <f t="shared" ca="1" si="122"/>
        <v>No</v>
      </c>
      <c r="M277" s="63">
        <f t="shared" ca="1" si="123"/>
        <v>0</v>
      </c>
      <c r="N277" s="63" t="s">
        <v>2474</v>
      </c>
      <c r="O277" s="64"/>
      <c r="P277" s="660"/>
      <c r="Q277" s="661"/>
      <c r="R277" s="661" t="s">
        <v>4059</v>
      </c>
      <c r="T277" s="54">
        <f t="shared" si="126"/>
        <v>0</v>
      </c>
      <c r="X277" s="54">
        <f t="shared" si="127"/>
        <v>0</v>
      </c>
      <c r="AB277" s="1566" t="str">
        <f t="shared" ca="1" si="124"/>
        <v/>
      </c>
      <c r="AC277" s="1365" t="str">
        <f t="shared" ca="1" si="129"/>
        <v/>
      </c>
      <c r="AD277" s="1365" t="str">
        <f t="shared" ca="1" si="130"/>
        <v/>
      </c>
      <c r="AE277" s="1365" t="str">
        <f t="shared" ca="1" si="131"/>
        <v/>
      </c>
      <c r="AF277" s="1365" t="str">
        <f t="shared" ca="1" si="132"/>
        <v/>
      </c>
      <c r="AG277" s="1467" t="str">
        <f t="shared" ca="1" si="133"/>
        <v/>
      </c>
      <c r="AH277" s="1467" t="str">
        <f t="shared" ca="1" si="134"/>
        <v/>
      </c>
    </row>
    <row r="278" spans="2:34">
      <c r="B278" s="60"/>
      <c r="C278" s="1320" t="s">
        <v>2479</v>
      </c>
      <c r="D278" s="61" t="str">
        <f>IF($D$101&lt;&gt;"",$D$101,"")</f>
        <v/>
      </c>
      <c r="E278" s="62" t="s">
        <v>2343</v>
      </c>
      <c r="F278" s="1694" t="s">
        <v>5645</v>
      </c>
      <c r="G278" s="63" t="str">
        <f ca="1">IF(AND(BAB&gt;=6,M$101&gt;0,M$82&gt;0),"Yes","No")</f>
        <v>No</v>
      </c>
      <c r="H278" s="76"/>
      <c r="I278" s="63"/>
      <c r="J278" s="63" t="str">
        <f>IF(COUNTIF(T278:Z278,2)&gt;0,IF(G278="Yes","Class",""),IF(COUNTIF(T278:Z278,3)&gt;0,IF(COUNTIF(MulticlassFeats,Feats!C278&amp;IF(Feats!D278&lt;&gt;""," ("&amp;Feats!D278&amp;")","")),"Multi",""),""))</f>
        <v/>
      </c>
      <c r="K278" s="63" t="str">
        <f t="shared" ca="1" si="128"/>
        <v/>
      </c>
      <c r="L278" s="63" t="str">
        <f t="shared" ca="1" si="122"/>
        <v>No</v>
      </c>
      <c r="M278" s="63">
        <f t="shared" ca="1" si="123"/>
        <v>0</v>
      </c>
      <c r="N278" s="63" t="s">
        <v>2474</v>
      </c>
      <c r="O278" s="64"/>
      <c r="P278" s="660"/>
      <c r="Q278" s="661"/>
      <c r="R278" s="661" t="s">
        <v>4059</v>
      </c>
      <c r="T278" s="54">
        <f t="shared" si="126"/>
        <v>0</v>
      </c>
      <c r="X278" s="54">
        <f t="shared" si="127"/>
        <v>0</v>
      </c>
      <c r="AB278" s="1566" t="str">
        <f t="shared" ca="1" si="124"/>
        <v/>
      </c>
      <c r="AC278" s="1365" t="str">
        <f t="shared" ca="1" si="129"/>
        <v/>
      </c>
      <c r="AD278" s="1365" t="str">
        <f t="shared" ca="1" si="130"/>
        <v/>
      </c>
      <c r="AE278" s="1365" t="str">
        <f t="shared" ca="1" si="131"/>
        <v/>
      </c>
      <c r="AF278" s="1365" t="str">
        <f t="shared" ca="1" si="132"/>
        <v/>
      </c>
      <c r="AG278" s="1467" t="str">
        <f t="shared" ca="1" si="133"/>
        <v/>
      </c>
      <c r="AH278" s="1467" t="str">
        <f t="shared" ca="1" si="134"/>
        <v/>
      </c>
    </row>
    <row r="279" spans="2:34">
      <c r="B279" s="60"/>
      <c r="C279" s="1320" t="s">
        <v>1574</v>
      </c>
      <c r="D279" s="61"/>
      <c r="E279" s="62"/>
      <c r="F279" s="1694" t="s">
        <v>5646</v>
      </c>
      <c r="G279" s="63" t="str">
        <f>IF(CharacterLevel&gt;0,"Yes","No")</f>
        <v>No</v>
      </c>
      <c r="H279" s="76"/>
      <c r="I279" s="63"/>
      <c r="J279" s="63" t="str">
        <f>IF(COUNTIF(T279:Z279,2)&gt;0,IF(G279="Yes","Class",""),IF(COUNTIF(T279:Z279,3)&gt;0,IF(COUNTIF(MulticlassFeats,Feats!C279&amp;IF(Feats!D279&lt;&gt;""," ("&amp;Feats!D279&amp;")","")),"Multi",""),""))</f>
        <v/>
      </c>
      <c r="K279" s="63" t="str">
        <f t="shared" ca="1" si="128"/>
        <v/>
      </c>
      <c r="L279" s="63" t="str">
        <f t="shared" ca="1" si="122"/>
        <v>No</v>
      </c>
      <c r="M279" s="63">
        <f t="shared" ca="1" si="123"/>
        <v>0</v>
      </c>
      <c r="N279" s="63" t="s">
        <v>2474</v>
      </c>
      <c r="O279" s="64"/>
      <c r="P279" s="660"/>
      <c r="Q279" s="661"/>
      <c r="R279" s="661"/>
      <c r="V279" s="54">
        <f>IF(ScoundrelFeats&gt;0,1,0)</f>
        <v>0</v>
      </c>
      <c r="AB279" s="1566" t="str">
        <f t="shared" ca="1" si="124"/>
        <v/>
      </c>
      <c r="AC279" s="1365" t="str">
        <f t="shared" ca="1" si="129"/>
        <v/>
      </c>
      <c r="AD279" s="1365" t="str">
        <f t="shared" ca="1" si="130"/>
        <v/>
      </c>
      <c r="AE279" s="1365" t="str">
        <f t="shared" ca="1" si="131"/>
        <v/>
      </c>
      <c r="AF279" s="1365" t="str">
        <f t="shared" ca="1" si="132"/>
        <v/>
      </c>
      <c r="AG279" s="1467" t="str">
        <f t="shared" ca="1" si="133"/>
        <v/>
      </c>
      <c r="AH279" s="1467" t="str">
        <f t="shared" ca="1" si="134"/>
        <v/>
      </c>
    </row>
    <row r="280" spans="2:34">
      <c r="B280" s="60"/>
      <c r="C280" s="1320" t="s">
        <v>7373</v>
      </c>
      <c r="D280" s="61"/>
      <c r="E280" s="62" t="s">
        <v>7388</v>
      </c>
      <c r="F280" s="1694" t="s">
        <v>7405</v>
      </c>
      <c r="G280" s="63" t="str">
        <f>IF(OR(Droid,Cyborg),"Yes","No")</f>
        <v>No</v>
      </c>
      <c r="H280" s="76"/>
      <c r="I280" s="63"/>
      <c r="J280" s="63" t="str">
        <f>IF(COUNTIF(T280:Z280,2)&gt;0,IF(G280="Yes","Class",""),IF(COUNTIF(T280:Z280,3)&gt;0,IF(COUNTIF(MulticlassFeats,Feats!C280&amp;IF(Feats!D280&lt;&gt;""," ("&amp;Feats!D280&amp;")","")),"Multi",""),""))</f>
        <v/>
      </c>
      <c r="K280" s="63" t="str">
        <f t="shared" ca="1" si="128"/>
        <v/>
      </c>
      <c r="L280" s="63" t="str">
        <f t="shared" ca="1" si="122"/>
        <v>No</v>
      </c>
      <c r="M280" s="63">
        <f t="shared" ca="1" si="123"/>
        <v>0</v>
      </c>
      <c r="N280" s="63" t="s">
        <v>7516</v>
      </c>
      <c r="O280" s="64"/>
      <c r="P280" s="660"/>
      <c r="Q280" s="661"/>
      <c r="R280" s="661"/>
      <c r="AB280" s="1566" t="str">
        <f t="shared" ca="1" si="124"/>
        <v/>
      </c>
      <c r="AC280" s="1365" t="str">
        <f t="shared" ca="1" si="129"/>
        <v/>
      </c>
      <c r="AD280" s="1365" t="str">
        <f t="shared" ca="1" si="130"/>
        <v/>
      </c>
      <c r="AE280" s="1365" t="str">
        <f t="shared" ca="1" si="131"/>
        <v/>
      </c>
      <c r="AF280" s="1365" t="str">
        <f t="shared" ca="1" si="132"/>
        <v/>
      </c>
      <c r="AG280" s="1467" t="str">
        <f t="shared" ca="1" si="133"/>
        <v/>
      </c>
      <c r="AH280" s="1467" t="str">
        <f t="shared" ca="1" si="134"/>
        <v/>
      </c>
    </row>
    <row r="281" spans="2:34">
      <c r="B281" s="60"/>
      <c r="C281" s="1320" t="s">
        <v>2480</v>
      </c>
      <c r="D281" s="61"/>
      <c r="E281" s="62"/>
      <c r="F281" s="1694" t="s">
        <v>5647</v>
      </c>
      <c r="G281" s="63" t="str">
        <f>IF(CharacterLevel&gt;0,"Yes","No")</f>
        <v>No</v>
      </c>
      <c r="H281" s="76"/>
      <c r="I281" s="63"/>
      <c r="J281" s="63" t="str">
        <f>IF(COUNTIF(T281:Z281,2)&gt;0,IF(G281="Yes","Class",""),IF(COUNTIF(T281:Z281,3)&gt;0,IF(COUNTIF(MulticlassFeats,Feats!C281&amp;IF(Feats!D281&lt;&gt;""," ("&amp;Feats!D281&amp;")","")),"Multi",""),""))</f>
        <v/>
      </c>
      <c r="K281" s="63" t="str">
        <f t="shared" ca="1" si="128"/>
        <v/>
      </c>
      <c r="L281" s="63" t="str">
        <f t="shared" ca="1" si="122"/>
        <v>No</v>
      </c>
      <c r="M281" s="63">
        <f t="shared" ca="1" si="123"/>
        <v>0</v>
      </c>
      <c r="N281" s="63" t="s">
        <v>2395</v>
      </c>
      <c r="O281" s="64"/>
      <c r="P281" s="660"/>
      <c r="Q281" s="508"/>
      <c r="R281" s="661"/>
      <c r="X281" s="54">
        <f>IF(SoldierFeats&gt;0,1,0)</f>
        <v>0</v>
      </c>
      <c r="AB281" s="1566" t="str">
        <f t="shared" ca="1" si="124"/>
        <v/>
      </c>
      <c r="AC281" s="1365" t="str">
        <f t="shared" ca="1" si="129"/>
        <v/>
      </c>
      <c r="AD281" s="1365" t="str">
        <f t="shared" ca="1" si="130"/>
        <v/>
      </c>
      <c r="AE281" s="1365" t="str">
        <f t="shared" ca="1" si="131"/>
        <v/>
      </c>
      <c r="AF281" s="1365" t="str">
        <f t="shared" ca="1" si="132"/>
        <v/>
      </c>
      <c r="AG281" s="1467" t="str">
        <f t="shared" ca="1" si="133"/>
        <v/>
      </c>
      <c r="AH281" s="1467" t="str">
        <f t="shared" ca="1" si="134"/>
        <v/>
      </c>
    </row>
    <row r="282" spans="2:34">
      <c r="B282" s="60"/>
      <c r="C282" s="1320" t="s">
        <v>2481</v>
      </c>
      <c r="D282" s="61"/>
      <c r="E282" s="62" t="s">
        <v>2482</v>
      </c>
      <c r="F282" s="1694" t="s">
        <v>5648</v>
      </c>
      <c r="G282" s="63" t="str">
        <f>IF(AND(CharacterLevel&gt;0,Constitution&gt;=13,OR(STEndurance&lt;&gt;"",TEndurance&lt;&gt;"")),"Yes","No")</f>
        <v>No</v>
      </c>
      <c r="H282" s="76"/>
      <c r="I282" s="63"/>
      <c r="J282" s="63" t="str">
        <f>IF(COUNTIF(T282:Z282,2)&gt;0,IF(G282="Yes","Class",""),IF(COUNTIF(T282:Z282,3)&gt;0,IF(COUNTIF(MulticlassFeats,Feats!C282&amp;IF(Feats!D282&lt;&gt;""," ("&amp;Feats!D282&amp;")","")),"Multi",""),""))</f>
        <v/>
      </c>
      <c r="K282" s="63" t="str">
        <f t="shared" ca="1" si="128"/>
        <v/>
      </c>
      <c r="L282" s="63" t="str">
        <f t="shared" ca="1" si="122"/>
        <v>No</v>
      </c>
      <c r="M282" s="63">
        <f t="shared" ca="1" si="123"/>
        <v>0</v>
      </c>
      <c r="N282" s="63">
        <v>88</v>
      </c>
      <c r="O282" s="64"/>
      <c r="P282" s="660"/>
      <c r="Q282" s="661"/>
      <c r="R282" s="661"/>
      <c r="W282" s="54">
        <f>IF(ScoutFeats&gt;0,IF(FirstClass&lt;&gt;"Scout",3,2),0)</f>
        <v>0</v>
      </c>
      <c r="X282" s="54">
        <f>IF(SoldierFeats&gt;0,1,0)</f>
        <v>0</v>
      </c>
      <c r="AB282" s="1566" t="str">
        <f t="shared" ca="1" si="124"/>
        <v/>
      </c>
      <c r="AC282" s="1365" t="str">
        <f t="shared" ca="1" si="129"/>
        <v/>
      </c>
      <c r="AD282" s="1365" t="str">
        <f t="shared" ca="1" si="130"/>
        <v/>
      </c>
      <c r="AE282" s="1365" t="str">
        <f t="shared" ca="1" si="131"/>
        <v/>
      </c>
      <c r="AF282" s="1365" t="str">
        <f t="shared" ca="1" si="132"/>
        <v/>
      </c>
      <c r="AG282" s="1467" t="str">
        <f t="shared" ca="1" si="133"/>
        <v/>
      </c>
      <c r="AH282" s="1467" t="str">
        <f t="shared" ca="1" si="134"/>
        <v/>
      </c>
    </row>
    <row r="283" spans="2:34" ht="29">
      <c r="B283" s="60"/>
      <c r="C283" s="1320" t="s">
        <v>7374</v>
      </c>
      <c r="D283" s="61"/>
      <c r="E283" s="62" t="s">
        <v>7389</v>
      </c>
      <c r="F283" s="1694" t="s">
        <v>7406</v>
      </c>
      <c r="G283" s="63" t="str">
        <f>IF(AND(OR(Droid,Cyborg),OR(STMechanics&lt;&gt;"",TMechanics&lt;&gt;"")),"Yes","No")</f>
        <v>No</v>
      </c>
      <c r="H283" s="76"/>
      <c r="I283" s="63"/>
      <c r="J283" s="63" t="str">
        <f>IF(COUNTIF(T283:Z283,2)&gt;0,IF(G283="Yes","Class",""),IF(COUNTIF(T283:Z283,3)&gt;0,IF(COUNTIF(MulticlassFeats,Feats!C283&amp;IF(Feats!D283&lt;&gt;""," ("&amp;Feats!D283&amp;")","")),"Multi",""),""))</f>
        <v/>
      </c>
      <c r="K283" s="63" t="str">
        <f t="shared" ca="1" si="128"/>
        <v/>
      </c>
      <c r="L283" s="63" t="str">
        <f t="shared" ca="1" si="122"/>
        <v>No</v>
      </c>
      <c r="M283" s="63">
        <f t="shared" ca="1" si="123"/>
        <v>0</v>
      </c>
      <c r="N283" s="63" t="s">
        <v>7517</v>
      </c>
      <c r="O283" s="64"/>
      <c r="P283" s="660"/>
      <c r="Q283" s="661"/>
      <c r="R283" s="661"/>
      <c r="AB283" s="1566" t="str">
        <f t="shared" ca="1" si="124"/>
        <v/>
      </c>
      <c r="AC283" s="1365" t="str">
        <f t="shared" ca="1" si="129"/>
        <v/>
      </c>
      <c r="AD283" s="1365" t="str">
        <f t="shared" ca="1" si="130"/>
        <v/>
      </c>
      <c r="AE283" s="1365" t="str">
        <f t="shared" ca="1" si="131"/>
        <v/>
      </c>
      <c r="AF283" s="1365" t="str">
        <f t="shared" ca="1" si="132"/>
        <v/>
      </c>
      <c r="AG283" s="1467" t="str">
        <f t="shared" ca="1" si="133"/>
        <v/>
      </c>
      <c r="AH283" s="1467" t="str">
        <f t="shared" ca="1" si="134"/>
        <v/>
      </c>
    </row>
    <row r="284" spans="2:34">
      <c r="B284" s="60"/>
      <c r="C284" s="1320" t="s">
        <v>2483</v>
      </c>
      <c r="D284" s="61"/>
      <c r="E284" s="62" t="s">
        <v>2401</v>
      </c>
      <c r="F284" s="1694" t="s">
        <v>5649</v>
      </c>
      <c r="G284" s="63" t="str">
        <f ca="1">IF(AND(CharacterLevel&gt;=1,M314&gt;0),"Yes","No")</f>
        <v>No</v>
      </c>
      <c r="H284" s="76"/>
      <c r="I284" s="63"/>
      <c r="J284" s="63" t="str">
        <f>IF(COUNTIF(T284:Z284,2)&gt;0,IF(G284="Yes","Class",""),IF(COUNTIF(T284:Z284,3)&gt;0,IF(COUNTIF(MulticlassFeats,Feats!C284&amp;IF(Feats!D284&lt;&gt;""," ("&amp;Feats!D284&amp;")","")),"Multi",""),""))</f>
        <v/>
      </c>
      <c r="K284" s="63" t="str">
        <f t="shared" ca="1" si="128"/>
        <v/>
      </c>
      <c r="L284" s="63" t="str">
        <f t="shared" ca="1" si="122"/>
        <v>No</v>
      </c>
      <c r="M284" s="63">
        <f t="shared" ca="1" si="123"/>
        <v>0</v>
      </c>
      <c r="N284" s="63" t="s">
        <v>2478</v>
      </c>
      <c r="O284" s="64"/>
      <c r="P284" s="660"/>
      <c r="Q284" s="661"/>
      <c r="R284" s="661"/>
      <c r="U284" s="54">
        <f>IF(NobleFeats&gt;0,1,0)</f>
        <v>0</v>
      </c>
      <c r="V284" s="54">
        <f>IF(ScoundrelFeats&gt;0,1,0)</f>
        <v>0</v>
      </c>
      <c r="AB284" s="1566" t="str">
        <f t="shared" ca="1" si="124"/>
        <v/>
      </c>
      <c r="AC284" s="1365" t="str">
        <f t="shared" ca="1" si="129"/>
        <v/>
      </c>
      <c r="AD284" s="1365" t="str">
        <f t="shared" ca="1" si="130"/>
        <v/>
      </c>
      <c r="AE284" s="1365" t="str">
        <f t="shared" ca="1" si="131"/>
        <v/>
      </c>
      <c r="AF284" s="1365" t="str">
        <f t="shared" ca="1" si="132"/>
        <v/>
      </c>
      <c r="AG284" s="1467" t="str">
        <f t="shared" ca="1" si="133"/>
        <v/>
      </c>
      <c r="AH284" s="1467" t="str">
        <f t="shared" ca="1" si="134"/>
        <v/>
      </c>
    </row>
    <row r="285" spans="2:34">
      <c r="B285" s="60"/>
      <c r="C285" s="1462" t="s">
        <v>8239</v>
      </c>
      <c r="D285" s="1462"/>
      <c r="E285" s="1462" t="s">
        <v>8238</v>
      </c>
      <c r="F285" s="1695" t="s">
        <v>8237</v>
      </c>
      <c r="G285" s="63" t="str">
        <f>IF(AND(CharacterLevel&gt;0,OR(TPersuasion="Yes",STPersuasion="Yes")),"Yes","No")</f>
        <v>No</v>
      </c>
      <c r="H285" s="76"/>
      <c r="I285" s="63"/>
      <c r="J285" s="63" t="str">
        <f>IF(COUNTIF(T285:Z285,2)&gt;0,IF(G285="Yes","Class",""),IF(COUNTIF(T285:Z285,3)&gt;0,IF(COUNTIF(MulticlassFeats,Feats!A25&amp;IF(Feats!B25&lt;&gt;""," ("&amp;Feats!B25&amp;")","")),"Multi",""),""))</f>
        <v/>
      </c>
      <c r="K285" s="63" t="str">
        <f t="shared" ca="1" si="128"/>
        <v/>
      </c>
      <c r="L285" s="63" t="str">
        <f t="shared" ca="1" si="122"/>
        <v>No</v>
      </c>
      <c r="M285" s="63">
        <f t="shared" ca="1" si="123"/>
        <v>0</v>
      </c>
      <c r="N285" s="1461" t="s">
        <v>8225</v>
      </c>
      <c r="O285" s="64"/>
      <c r="P285" s="1559"/>
      <c r="R285" s="661"/>
      <c r="S285" s="1463"/>
      <c r="T285" s="660"/>
      <c r="U285" s="660"/>
      <c r="V285" s="660"/>
      <c r="W285" s="660"/>
      <c r="X285" s="660"/>
      <c r="Y285" s="660"/>
      <c r="Z285" s="1562"/>
      <c r="AA285" s="1568"/>
      <c r="AB285" s="1566" t="str">
        <f t="shared" ca="1" si="124"/>
        <v/>
      </c>
      <c r="AC285" s="1365" t="str">
        <f t="shared" ca="1" si="129"/>
        <v/>
      </c>
      <c r="AD285" s="1365" t="str">
        <f t="shared" ca="1" si="130"/>
        <v/>
      </c>
      <c r="AE285" s="1365" t="str">
        <f t="shared" ca="1" si="131"/>
        <v/>
      </c>
      <c r="AF285" s="1365" t="str">
        <f t="shared" ca="1" si="132"/>
        <v/>
      </c>
      <c r="AG285" s="1467" t="str">
        <f t="shared" ca="1" si="133"/>
        <v/>
      </c>
      <c r="AH285" s="1467" t="str">
        <f t="shared" ca="1" si="134"/>
        <v/>
      </c>
    </row>
    <row r="286" spans="2:34">
      <c r="B286" s="60"/>
      <c r="C286" s="1320" t="s">
        <v>2484</v>
      </c>
      <c r="D286" s="61"/>
      <c r="E286" s="62"/>
      <c r="F286" s="1694" t="s">
        <v>5650</v>
      </c>
      <c r="G286" s="63" t="str">
        <f>IF(CharacterLevel&gt;0,"Yes","No")</f>
        <v>No</v>
      </c>
      <c r="H286" s="76"/>
      <c r="I286" s="63"/>
      <c r="J286" s="63" t="str">
        <f>IF(COUNTIF(T286:Z286,2)&gt;0,IF(G286="Yes","Class",""),IF(COUNTIF(T286:Z286,3)&gt;0,IF(COUNTIF(MulticlassFeats,Feats!C286&amp;IF(Feats!D286&lt;&gt;""," ("&amp;Feats!D286&amp;")","")),"Multi",""),""))</f>
        <v/>
      </c>
      <c r="K286" s="63" t="str">
        <f t="shared" ca="1" si="128"/>
        <v/>
      </c>
      <c r="L286" s="63" t="str">
        <f t="shared" ca="1" si="122"/>
        <v>No</v>
      </c>
      <c r="M286" s="63">
        <f t="shared" ca="1" si="123"/>
        <v>0</v>
      </c>
      <c r="N286" s="63" t="s">
        <v>2476</v>
      </c>
      <c r="O286" s="64"/>
      <c r="P286" s="660"/>
      <c r="Q286" s="661"/>
      <c r="R286" s="661"/>
      <c r="AB286" s="1566" t="str">
        <f t="shared" ca="1" si="124"/>
        <v/>
      </c>
      <c r="AC286" s="1365" t="str">
        <f t="shared" ca="1" si="129"/>
        <v/>
      </c>
      <c r="AD286" s="1365" t="str">
        <f t="shared" ca="1" si="130"/>
        <v/>
      </c>
      <c r="AE286" s="1365" t="str">
        <f t="shared" ca="1" si="131"/>
        <v/>
      </c>
      <c r="AF286" s="1365" t="str">
        <f t="shared" ca="1" si="132"/>
        <v/>
      </c>
      <c r="AG286" s="1467" t="str">
        <f t="shared" ca="1" si="133"/>
        <v/>
      </c>
      <c r="AH286" s="1467" t="str">
        <f t="shared" ca="1" si="134"/>
        <v/>
      </c>
    </row>
    <row r="287" spans="2:34">
      <c r="B287" s="1311"/>
      <c r="C287" s="1462" t="s">
        <v>8236</v>
      </c>
      <c r="D287" s="1462"/>
      <c r="E287" s="1462"/>
      <c r="F287" s="1695" t="s">
        <v>8235</v>
      </c>
      <c r="G287" s="63" t="str">
        <f>IF(AND(CharacterLevel&gt;0),"Yes","No")</f>
        <v>No</v>
      </c>
      <c r="H287" s="76"/>
      <c r="I287" s="63"/>
      <c r="J287" s="63" t="str">
        <f>IF(COUNTIF(T287:Z287,2)&gt;0,IF(G287="Yes","Class",""),IF(COUNTIF(T287:Z287,3)&gt;0,IF(COUNTIF(MulticlassFeats,Feats!A26&amp;IF(Feats!B26&lt;&gt;""," ("&amp;Feats!B26&amp;")","")),"Multi",""),""))</f>
        <v/>
      </c>
      <c r="K287" s="63" t="str">
        <f t="shared" ca="1" si="128"/>
        <v/>
      </c>
      <c r="L287" s="63" t="str">
        <f t="shared" ca="1" si="122"/>
        <v>No</v>
      </c>
      <c r="M287" s="63">
        <f t="shared" ca="1" si="123"/>
        <v>0</v>
      </c>
      <c r="N287" s="1461" t="s">
        <v>8225</v>
      </c>
      <c r="O287" s="64"/>
      <c r="P287" s="1559"/>
      <c r="R287" s="661"/>
      <c r="S287" s="1463"/>
      <c r="T287" s="660"/>
      <c r="U287" s="660"/>
      <c r="V287" s="660"/>
      <c r="W287" s="660"/>
      <c r="X287" s="660"/>
      <c r="Y287" s="660"/>
      <c r="Z287" s="1562"/>
      <c r="AA287" s="1568"/>
      <c r="AB287" s="1566" t="str">
        <f t="shared" ca="1" si="124"/>
        <v/>
      </c>
      <c r="AC287" s="1365" t="str">
        <f t="shared" ca="1" si="129"/>
        <v/>
      </c>
      <c r="AD287" s="1365" t="str">
        <f t="shared" ca="1" si="130"/>
        <v/>
      </c>
      <c r="AE287" s="1365" t="str">
        <f t="shared" ca="1" si="131"/>
        <v/>
      </c>
      <c r="AF287" s="1365" t="str">
        <f t="shared" ca="1" si="132"/>
        <v/>
      </c>
      <c r="AG287" s="1467" t="str">
        <f t="shared" ca="1" si="133"/>
        <v/>
      </c>
      <c r="AH287" s="1467" t="str">
        <f t="shared" ca="1" si="134"/>
        <v/>
      </c>
    </row>
    <row r="288" spans="2:34">
      <c r="B288" s="60"/>
      <c r="C288" s="1462" t="s">
        <v>8234</v>
      </c>
      <c r="D288" s="1462"/>
      <c r="E288" s="1462"/>
      <c r="F288" s="1695" t="s">
        <v>8233</v>
      </c>
      <c r="G288" s="63" t="str">
        <f>IF(AND(CharacterLevel&gt;0),"Yes","No")</f>
        <v>No</v>
      </c>
      <c r="H288" s="76"/>
      <c r="I288" s="63"/>
      <c r="J288" s="63" t="str">
        <f>IF(COUNTIF(T288:Z288,2)&gt;0,IF(G288="Yes","Class",""),IF(COUNTIF(T288:Z288,3)&gt;0,IF(COUNTIF(MulticlassFeats,Feats!A27&amp;IF(Feats!B27&lt;&gt;""," ("&amp;Feats!B27&amp;")","")),"Multi",""),""))</f>
        <v/>
      </c>
      <c r="K288" s="63" t="str">
        <f t="shared" ca="1" si="128"/>
        <v/>
      </c>
      <c r="L288" s="63" t="str">
        <f t="shared" ca="1" si="122"/>
        <v>No</v>
      </c>
      <c r="M288" s="63">
        <f t="shared" ca="1" si="123"/>
        <v>0</v>
      </c>
      <c r="N288" s="1461" t="s">
        <v>8225</v>
      </c>
      <c r="O288" s="64"/>
      <c r="P288" s="1559"/>
      <c r="R288" s="661"/>
      <c r="S288" s="1463"/>
      <c r="T288" s="660"/>
      <c r="U288" s="660"/>
      <c r="V288" s="660"/>
      <c r="W288" s="660"/>
      <c r="X288" s="660"/>
      <c r="Y288" s="660"/>
      <c r="Z288" s="1562"/>
      <c r="AA288" s="1568"/>
      <c r="AB288" s="1566" t="str">
        <f t="shared" ca="1" si="124"/>
        <v/>
      </c>
      <c r="AC288" s="1365" t="str">
        <f t="shared" ca="1" si="129"/>
        <v/>
      </c>
      <c r="AD288" s="1365" t="str">
        <f t="shared" ca="1" si="130"/>
        <v/>
      </c>
      <c r="AE288" s="1365" t="str">
        <f t="shared" ca="1" si="131"/>
        <v/>
      </c>
      <c r="AF288" s="1365" t="str">
        <f t="shared" ca="1" si="132"/>
        <v/>
      </c>
      <c r="AG288" s="1467" t="str">
        <f t="shared" ca="1" si="133"/>
        <v/>
      </c>
      <c r="AH288" s="1467" t="str">
        <f t="shared" ca="1" si="134"/>
        <v/>
      </c>
    </row>
    <row r="289" spans="2:34">
      <c r="B289" s="60"/>
      <c r="C289" s="1462" t="s">
        <v>8232</v>
      </c>
      <c r="D289" s="1462"/>
      <c r="E289" s="1462"/>
      <c r="F289" s="1695" t="s">
        <v>8231</v>
      </c>
      <c r="G289" s="63" t="str">
        <f>IF(AND(CharacterLevel&gt;0),"Yes","No")</f>
        <v>No</v>
      </c>
      <c r="H289" s="76"/>
      <c r="I289" s="63"/>
      <c r="J289" s="63" t="str">
        <f>IF(COUNTIF(T289:Z289,2)&gt;0,IF(G289="Yes","Class",""),IF(COUNTIF(T289:Z289,3)&gt;0,IF(COUNTIF(MulticlassFeats,Feats!A28&amp;IF(Feats!B28&lt;&gt;""," ("&amp;Feats!B28&amp;")","")),"Multi",""),""))</f>
        <v/>
      </c>
      <c r="K289" s="63" t="str">
        <f t="shared" ca="1" si="128"/>
        <v/>
      </c>
      <c r="L289" s="63" t="str">
        <f t="shared" ca="1" si="122"/>
        <v>No</v>
      </c>
      <c r="M289" s="63">
        <f t="shared" ca="1" si="123"/>
        <v>0</v>
      </c>
      <c r="N289" s="1461" t="s">
        <v>8225</v>
      </c>
      <c r="O289" s="64"/>
      <c r="P289" s="1559"/>
      <c r="R289" s="661"/>
      <c r="S289" s="1463"/>
      <c r="T289" s="660"/>
      <c r="U289" s="660"/>
      <c r="V289" s="660"/>
      <c r="W289" s="660"/>
      <c r="X289" s="660"/>
      <c r="Y289" s="660"/>
      <c r="Z289" s="1562"/>
      <c r="AA289" s="1568"/>
      <c r="AB289" s="1566" t="str">
        <f t="shared" ca="1" si="124"/>
        <v/>
      </c>
      <c r="AC289" s="1365" t="str">
        <f t="shared" ca="1" si="129"/>
        <v/>
      </c>
      <c r="AD289" s="1365" t="str">
        <f t="shared" ca="1" si="130"/>
        <v/>
      </c>
      <c r="AE289" s="1365" t="str">
        <f t="shared" ca="1" si="131"/>
        <v/>
      </c>
      <c r="AF289" s="1365" t="str">
        <f t="shared" ca="1" si="132"/>
        <v/>
      </c>
      <c r="AG289" s="1467" t="str">
        <f t="shared" ca="1" si="133"/>
        <v/>
      </c>
      <c r="AH289" s="1467" t="str">
        <f t="shared" ca="1" si="134"/>
        <v/>
      </c>
    </row>
    <row r="290" spans="2:34">
      <c r="B290" s="60"/>
      <c r="C290" s="1320" t="s">
        <v>1036</v>
      </c>
      <c r="D290" s="61"/>
      <c r="E290" s="62"/>
      <c r="F290" s="1694" t="s">
        <v>5651</v>
      </c>
      <c r="G290" s="63" t="str">
        <f>IF(CharacterLevel&gt;0,"Yes","No")</f>
        <v>No</v>
      </c>
      <c r="H290" s="76"/>
      <c r="I290" s="76"/>
      <c r="J290" s="63" t="str">
        <f>IF(COUNTIF(T290:Z290,2)&gt;0,IF(G290="Yes","Class",""),IF(COUNTIF(T290:Z290,3)&gt;0,IF(COUNTIF(MulticlassFeats,Feats!C290&amp;IF(Feats!D290&lt;&gt;""," ("&amp;Feats!D290&amp;")","")),"Multi",""),""))</f>
        <v/>
      </c>
      <c r="K290" s="63" t="str">
        <f t="shared" ca="1" si="128"/>
        <v/>
      </c>
      <c r="L290" s="63" t="str">
        <f t="shared" ca="1" si="122"/>
        <v>No</v>
      </c>
      <c r="M290" s="63">
        <f ca="1">IF(L290="Yes",H290+I290+IF(J290="Class",1,0)+IF(COUNTIF(NonHeroicStartFeats,"Skill Focus")&gt;0,COUNTIF(NonHeroicStartFeats,"Skill Focus")-1,0)+IF(K290="Yes",1,0),0)</f>
        <v>0</v>
      </c>
      <c r="N290" s="63">
        <v>88</v>
      </c>
      <c r="O290" s="64"/>
      <c r="P290" s="660"/>
      <c r="Q290" s="661"/>
      <c r="R290" s="661"/>
      <c r="T290" s="54">
        <f>IF(JediFeats&gt;0,1,0)</f>
        <v>0</v>
      </c>
      <c r="U290" s="54">
        <f>IF(NobleFeats&gt;0,1,0)</f>
        <v>0</v>
      </c>
      <c r="V290" s="54">
        <f>IF(ScoundrelFeats&gt;0,1,0)</f>
        <v>0</v>
      </c>
      <c r="W290" s="54">
        <f>IF(ScoutFeats&gt;0,1,0)</f>
        <v>0</v>
      </c>
      <c r="X290" s="54">
        <f>IF(SoldierFeats&gt;0,1,0)</f>
        <v>0</v>
      </c>
      <c r="Y290" s="54">
        <f>IF(NonheroicFeats&gt;0,IF(COUNTIF(Class!$R$15:$R$17,Feats!C290)&gt;0,2,1),0)</f>
        <v>0</v>
      </c>
      <c r="AB290" s="1566" t="str">
        <f ca="1">IF(OR(H290&lt;&gt;"",I290&lt;&gt;"",J290&lt;&gt;"",K290&lt;&gt;""),C290&amp;IF(SkillFocusList&lt;&gt;""," ("&amp;SkillFocusList&amp;")","")&amp;IF(D290&lt;&gt;""," ("&amp;D290&amp;")",""),"")</f>
        <v/>
      </c>
      <c r="AC290" s="1365" t="str">
        <f t="shared" ca="1" si="129"/>
        <v/>
      </c>
      <c r="AD290" s="1365" t="str">
        <f t="shared" ca="1" si="130"/>
        <v/>
      </c>
      <c r="AE290" s="1365" t="str">
        <f t="shared" ca="1" si="131"/>
        <v/>
      </c>
      <c r="AF290" s="1365" t="str">
        <f t="shared" ca="1" si="132"/>
        <v/>
      </c>
      <c r="AG290" s="1467" t="str">
        <f t="shared" ca="1" si="133"/>
        <v/>
      </c>
      <c r="AH290" s="1467" t="str">
        <f t="shared" ca="1" si="134"/>
        <v/>
      </c>
    </row>
    <row r="291" spans="2:34">
      <c r="B291" s="60"/>
      <c r="C291" s="1320" t="s">
        <v>2485</v>
      </c>
      <c r="D291" s="61"/>
      <c r="E291" s="62"/>
      <c r="F291" s="1694" t="s">
        <v>5652</v>
      </c>
      <c r="G291" s="63" t="str">
        <f>IF(CharacterLevel&gt;0,"Yes","No")</f>
        <v>No</v>
      </c>
      <c r="H291" s="76"/>
      <c r="I291" s="76"/>
      <c r="J291" s="63" t="str">
        <f>IF(COUNTIF(T291:Z291,2)&gt;0,IF(G291="Yes","Class",""),IF(COUNTIF(T291:Z291,3)&gt;0,IF(COUNTIF(MulticlassFeats,Feats!C291&amp;IF(Feats!D291&lt;&gt;""," ("&amp;Feats!D291&amp;")","")),"Multi",""),""))</f>
        <v/>
      </c>
      <c r="K291" s="63" t="str">
        <f t="shared" ca="1" si="128"/>
        <v/>
      </c>
      <c r="L291" s="63" t="str">
        <f t="shared" ca="1" si="122"/>
        <v>No</v>
      </c>
      <c r="M291" s="63">
        <f ca="1">IF(L291="Yes",H291+I291+IF(J291="Class",1,0)+IF(K291="Yes",1,0)+IF(COUNTIF(NonHeroicStartFeats,"Skill Training")&gt;0,COUNTIF(NonHeroicStartFeats,"Skill Training")-1,0),0)</f>
        <v>0</v>
      </c>
      <c r="N291" s="63">
        <v>88</v>
      </c>
      <c r="O291" s="64"/>
      <c r="P291" s="660"/>
      <c r="Q291" s="661"/>
      <c r="R291" s="661"/>
      <c r="T291" s="54">
        <f>IF(JediFeats&gt;0,1,0)</f>
        <v>0</v>
      </c>
      <c r="U291" s="54">
        <f>IF(NobleFeats&gt;0,1,0)</f>
        <v>0</v>
      </c>
      <c r="V291" s="54">
        <f>IF(ScoundrelFeats&gt;0,1,0)</f>
        <v>0</v>
      </c>
      <c r="W291" s="54">
        <f>IF(ScoutFeats&gt;0,1,0)</f>
        <v>0</v>
      </c>
      <c r="X291" s="54">
        <f>IF(SoldierFeats&gt;0,1,0)</f>
        <v>0</v>
      </c>
      <c r="Y291" s="54">
        <f>IF(NonheroicFeats&gt;0,IF(AND(FirstClass="Nonheroic",Padawan),2,IF(COUNTIF(Class!$R$15:$R$17,Feats!C291)&gt;0,2,1)),0)</f>
        <v>0</v>
      </c>
      <c r="AB291" s="1566" t="str">
        <f ca="1">IF(OR(H291&lt;&gt;"",I291&lt;&gt;"",J291&lt;&gt;"",K291&lt;&gt;""),C291&amp;IF(SkillTrainingList&lt;&gt;""," ("&amp;SkillTrainingList&amp;")","")&amp;IF(D291&lt;&gt;""," ("&amp;D291&amp;")",""),"")</f>
        <v/>
      </c>
      <c r="AC291" s="1365" t="str">
        <f t="shared" ca="1" si="129"/>
        <v/>
      </c>
      <c r="AD291" s="1365" t="str">
        <f t="shared" ca="1" si="130"/>
        <v/>
      </c>
      <c r="AE291" s="1365" t="str">
        <f t="shared" ca="1" si="131"/>
        <v/>
      </c>
      <c r="AF291" s="1365" t="str">
        <f t="shared" ca="1" si="132"/>
        <v/>
      </c>
      <c r="AG291" s="1467" t="str">
        <f t="shared" ca="1" si="133"/>
        <v/>
      </c>
      <c r="AH291" s="1467" t="str">
        <f t="shared" ca="1" si="134"/>
        <v/>
      </c>
    </row>
    <row r="292" spans="2:34" ht="29">
      <c r="B292" s="60"/>
      <c r="C292" s="1320" t="s">
        <v>7375</v>
      </c>
      <c r="D292" s="61"/>
      <c r="E292" s="62" t="s">
        <v>7390</v>
      </c>
      <c r="F292" s="1694" t="s">
        <v>7407</v>
      </c>
      <c r="G292" s="63" t="str">
        <f>IF(Droid,"Yes","No")</f>
        <v>No</v>
      </c>
      <c r="H292" s="76"/>
      <c r="I292" s="76"/>
      <c r="J292" s="63" t="str">
        <f>IF(COUNTIF(T292:Z292,2)&gt;0,IF(G292="Yes","Class",""),IF(COUNTIF(T292:Z292,3)&gt;0,IF(COUNTIF(MulticlassFeats,Feats!C292&amp;IF(Feats!D292&lt;&gt;""," ("&amp;Feats!D292&amp;")","")),"Multi",""),""))</f>
        <v/>
      </c>
      <c r="K292" s="63" t="str">
        <f t="shared" ca="1" si="128"/>
        <v/>
      </c>
      <c r="L292" s="63" t="str">
        <f t="shared" ca="1" si="122"/>
        <v>No</v>
      </c>
      <c r="M292" s="63">
        <f t="shared" ref="M292:M301" ca="1" si="135">IF(L292="Yes",1,0)</f>
        <v>0</v>
      </c>
      <c r="N292" s="63" t="s">
        <v>7517</v>
      </c>
      <c r="O292" s="64"/>
      <c r="P292" s="660"/>
      <c r="Q292" s="661"/>
      <c r="R292" s="661" t="s">
        <v>4059</v>
      </c>
      <c r="AB292" s="1566" t="str">
        <f t="shared" ref="AB292:AB301" ca="1" si="136">IF(OR(H292&lt;&gt;"",I292&lt;&gt;"",J292&lt;&gt;"",K292&lt;&gt;""),C292&amp;IF(D292&lt;&gt;""," ("&amp;D292&amp;")",""),"")</f>
        <v/>
      </c>
      <c r="AC292" s="1365" t="str">
        <f t="shared" ca="1" si="129"/>
        <v/>
      </c>
      <c r="AD292" s="1365" t="str">
        <f t="shared" ca="1" si="130"/>
        <v/>
      </c>
      <c r="AE292" s="1365" t="str">
        <f t="shared" ca="1" si="131"/>
        <v/>
      </c>
      <c r="AF292" s="1365" t="str">
        <f t="shared" ca="1" si="132"/>
        <v/>
      </c>
      <c r="AG292" s="1467" t="str">
        <f t="shared" ca="1" si="133"/>
        <v/>
      </c>
      <c r="AH292" s="1467" t="str">
        <f t="shared" ca="1" si="134"/>
        <v/>
      </c>
    </row>
    <row r="293" spans="2:34">
      <c r="B293" s="60"/>
      <c r="C293" s="1320" t="s">
        <v>2486</v>
      </c>
      <c r="D293" s="61"/>
      <c r="E293" s="62" t="s">
        <v>2342</v>
      </c>
      <c r="F293" s="1694" t="s">
        <v>5653</v>
      </c>
      <c r="G293" s="63" t="str">
        <f ca="1">IF(AND(CharacterLevel&gt;0,M74&gt;0),"Yes","No")</f>
        <v>No</v>
      </c>
      <c r="H293" s="76"/>
      <c r="I293" s="63"/>
      <c r="J293" s="63" t="str">
        <f>IF(COUNTIF(T293:Z293,2)&gt;0,IF(G293="Yes","Class",""),IF(COUNTIF(T293:Z293,3)&gt;0,IF(COUNTIF(MulticlassFeats,Feats!C293&amp;IF(Feats!D293&lt;&gt;""," ("&amp;Feats!D293&amp;")","")),"Multi",""),""))</f>
        <v/>
      </c>
      <c r="K293" s="63" t="str">
        <f t="shared" ca="1" si="128"/>
        <v/>
      </c>
      <c r="L293" s="63" t="str">
        <f t="shared" ca="1" si="122"/>
        <v>No</v>
      </c>
      <c r="M293" s="63">
        <f t="shared" ca="1" si="135"/>
        <v>0</v>
      </c>
      <c r="N293" s="63" t="s">
        <v>2478</v>
      </c>
      <c r="O293" s="64"/>
      <c r="P293" s="660"/>
      <c r="Q293" s="661"/>
      <c r="R293" s="661" t="s">
        <v>4060</v>
      </c>
      <c r="T293" s="54">
        <f>IF(JediFeats&gt;0,1,0)</f>
        <v>0</v>
      </c>
      <c r="W293" s="54">
        <f>IF(ScoutFeats&gt;0,1,0)</f>
        <v>0</v>
      </c>
      <c r="X293" s="54">
        <f>IF(SoldierFeats&gt;0,1,0)</f>
        <v>0</v>
      </c>
      <c r="AB293" s="1566" t="str">
        <f t="shared" ca="1" si="136"/>
        <v/>
      </c>
      <c r="AC293" s="1365" t="str">
        <f t="shared" ca="1" si="129"/>
        <v/>
      </c>
      <c r="AD293" s="1365" t="str">
        <f t="shared" ca="1" si="130"/>
        <v/>
      </c>
      <c r="AE293" s="1365" t="str">
        <f t="shared" ca="1" si="131"/>
        <v/>
      </c>
      <c r="AF293" s="1365" t="str">
        <f t="shared" ca="1" si="132"/>
        <v/>
      </c>
      <c r="AG293" s="1467" t="str">
        <f t="shared" ca="1" si="133"/>
        <v/>
      </c>
      <c r="AH293" s="1467" t="str">
        <f t="shared" ca="1" si="134"/>
        <v/>
      </c>
    </row>
    <row r="294" spans="2:34">
      <c r="B294" s="60"/>
      <c r="C294" s="1320" t="s">
        <v>6698</v>
      </c>
      <c r="D294" s="61"/>
      <c r="E294" s="62" t="s">
        <v>2350</v>
      </c>
      <c r="F294" s="1694" t="s">
        <v>6699</v>
      </c>
      <c r="G294" s="63" t="str">
        <f>IF(CharacterLevel&gt;0,"Yes","No")</f>
        <v>No</v>
      </c>
      <c r="H294" s="76"/>
      <c r="I294" s="63"/>
      <c r="J294" s="63"/>
      <c r="K294" s="63"/>
      <c r="L294" s="63" t="str">
        <f t="shared" si="122"/>
        <v>No</v>
      </c>
      <c r="M294" s="63">
        <f t="shared" si="135"/>
        <v>0</v>
      </c>
      <c r="N294" s="63" t="s">
        <v>6756</v>
      </c>
      <c r="O294" s="64"/>
      <c r="P294" s="660"/>
      <c r="Q294" s="661"/>
      <c r="R294" s="661"/>
      <c r="AB294" s="1566" t="str">
        <f t="shared" si="136"/>
        <v/>
      </c>
      <c r="AC294" s="1365" t="str">
        <f t="shared" ca="1" si="129"/>
        <v/>
      </c>
      <c r="AD294" s="1365" t="str">
        <f t="shared" ca="1" si="130"/>
        <v/>
      </c>
      <c r="AE294" s="1365" t="str">
        <f t="shared" ca="1" si="131"/>
        <v/>
      </c>
      <c r="AF294" s="1365" t="str">
        <f t="shared" ca="1" si="132"/>
        <v/>
      </c>
      <c r="AG294" s="1467" t="str">
        <f t="shared" ca="1" si="133"/>
        <v/>
      </c>
      <c r="AH294" s="1467" t="str">
        <f t="shared" ca="1" si="134"/>
        <v/>
      </c>
    </row>
    <row r="295" spans="2:34">
      <c r="B295" s="60"/>
      <c r="C295" s="1320" t="s">
        <v>2487</v>
      </c>
      <c r="D295" s="61"/>
      <c r="E295" s="62"/>
      <c r="F295" s="1694" t="s">
        <v>5654</v>
      </c>
      <c r="G295" s="63" t="str">
        <f>IF(CharacterLevel&gt;0,"Yes","No")</f>
        <v>No</v>
      </c>
      <c r="H295" s="76"/>
      <c r="I295" s="63"/>
      <c r="J295" s="63" t="str">
        <f>IF(COUNTIF(T295:Z295,2)&gt;0,IF(G295="Yes","Class",""),IF(COUNTIF(T295:Z295,3)&gt;0,IF(COUNTIF(MulticlassFeats,Feats!C295&amp;IF(Feats!D295&lt;&gt;""," ("&amp;Feats!D295&amp;")","")),"Multi",""),""))</f>
        <v/>
      </c>
      <c r="K295" s="63" t="str">
        <f ca="1">IF(OR(NOT(ISERROR(FIND(C295,INDEX(RaceListTable,RaceIndex,39),1))),NOT(ISERROR(FIND(C295,INDEX(RaceListTable,RaceIndex,40),1)))),"Racial","")</f>
        <v/>
      </c>
      <c r="L295" s="63" t="str">
        <f t="shared" ca="1" si="122"/>
        <v>No</v>
      </c>
      <c r="M295" s="63">
        <f t="shared" ca="1" si="135"/>
        <v>0</v>
      </c>
      <c r="N295" s="63" t="s">
        <v>2395</v>
      </c>
      <c r="O295" s="64"/>
      <c r="P295" s="660"/>
      <c r="Q295" s="508"/>
      <c r="R295" s="661" t="s">
        <v>4059</v>
      </c>
      <c r="AB295" s="1566" t="str">
        <f t="shared" ca="1" si="136"/>
        <v/>
      </c>
      <c r="AC295" s="1365" t="str">
        <f t="shared" ca="1" si="129"/>
        <v/>
      </c>
      <c r="AD295" s="1365" t="str">
        <f t="shared" ca="1" si="130"/>
        <v/>
      </c>
      <c r="AE295" s="1365" t="str">
        <f t="shared" ca="1" si="131"/>
        <v/>
      </c>
      <c r="AF295" s="1365" t="str">
        <f t="shared" ca="1" si="132"/>
        <v/>
      </c>
      <c r="AG295" s="1467" t="str">
        <f t="shared" ca="1" si="133"/>
        <v/>
      </c>
      <c r="AH295" s="1467" t="str">
        <f t="shared" ca="1" si="134"/>
        <v/>
      </c>
    </row>
    <row r="296" spans="2:34">
      <c r="B296" s="60"/>
      <c r="C296" s="1320" t="s">
        <v>914</v>
      </c>
      <c r="D296" s="61"/>
      <c r="E296" s="62" t="s">
        <v>2336</v>
      </c>
      <c r="F296" s="1694" t="s">
        <v>5655</v>
      </c>
      <c r="G296" s="63" t="str">
        <f ca="1">IF(AND(CharacterLevel&gt;0,BAB&gt;=4,M239&gt;0),"Yes","No")</f>
        <v>No</v>
      </c>
      <c r="H296" s="76"/>
      <c r="I296" s="63"/>
      <c r="J296" s="63" t="str">
        <f>IF(COUNTIF(T296:Z296,2)&gt;0,IF(G296="Yes","Class",""),IF(COUNTIF(T296:Z296,3)&gt;0,IF(COUNTIF(MulticlassFeats,Feats!C296&amp;IF(Feats!D296&lt;&gt;""," ("&amp;Feats!D296&amp;")","")),"Multi",""),""))</f>
        <v/>
      </c>
      <c r="K296" s="63" t="str">
        <f ca="1">IF(OR(NOT(ISERROR(FIND(C296,INDEX(RaceListTable,RaceIndex,39),1))),NOT(ISERROR(FIND(C296,INDEX(RaceListTable,RaceIndex,40),1)))),"Racial","")</f>
        <v/>
      </c>
      <c r="L296" s="63" t="str">
        <f t="shared" ca="1" si="122"/>
        <v>No</v>
      </c>
      <c r="M296" s="63">
        <f t="shared" ca="1" si="135"/>
        <v>0</v>
      </c>
      <c r="N296" s="63">
        <v>88</v>
      </c>
      <c r="O296" s="64"/>
      <c r="P296" s="660"/>
      <c r="Q296" s="661"/>
      <c r="R296" s="661" t="s">
        <v>4059</v>
      </c>
      <c r="W296" s="54">
        <f>IF(ScoutFeats&gt;0,1,0)</f>
        <v>0</v>
      </c>
      <c r="X296" s="54">
        <f>IF(SoldierFeats&gt;0,1,0)</f>
        <v>0</v>
      </c>
      <c r="AB296" s="1566" t="str">
        <f t="shared" ca="1" si="136"/>
        <v/>
      </c>
      <c r="AC296" s="1365" t="str">
        <f t="shared" ca="1" si="129"/>
        <v/>
      </c>
      <c r="AD296" s="1365" t="str">
        <f t="shared" ca="1" si="130"/>
        <v/>
      </c>
      <c r="AE296" s="1365" t="str">
        <f t="shared" ca="1" si="131"/>
        <v/>
      </c>
      <c r="AF296" s="1365" t="str">
        <f t="shared" ca="1" si="132"/>
        <v/>
      </c>
      <c r="AG296" s="1467" t="str">
        <f t="shared" ca="1" si="133"/>
        <v/>
      </c>
      <c r="AH296" s="1467" t="str">
        <f t="shared" ca="1" si="134"/>
        <v/>
      </c>
    </row>
    <row r="297" spans="2:34">
      <c r="B297" s="60"/>
      <c r="C297" s="1320" t="s">
        <v>2488</v>
      </c>
      <c r="D297" s="61"/>
      <c r="E297" s="62"/>
      <c r="F297" s="1694" t="s">
        <v>5656</v>
      </c>
      <c r="G297" s="63" t="str">
        <f>IF(CharacterLevel&gt;0,"Yes","No")</f>
        <v>No</v>
      </c>
      <c r="H297" s="76"/>
      <c r="I297" s="63"/>
      <c r="J297" s="63" t="str">
        <f>IF(COUNTIF(T297:Z297,2)&gt;0,IF(G297="Yes","Class",""),IF(COUNTIF(T297:Z297,3)&gt;0,IF(COUNTIF(MulticlassFeats,Feats!C297&amp;IF(Feats!D297&lt;&gt;""," ("&amp;Feats!D297&amp;")","")),"Multi",""),""))</f>
        <v/>
      </c>
      <c r="K297" s="63" t="str">
        <f ca="1">IF(OR(NOT(ISERROR(FIND(C297,INDEX(RaceListTable,RaceIndex,39),1))),NOT(ISERROR(FIND(C297,INDEX(RaceListTable,RaceIndex,40),1)))),"Racial","")</f>
        <v/>
      </c>
      <c r="L297" s="63" t="str">
        <f t="shared" ca="1" si="122"/>
        <v>No</v>
      </c>
      <c r="M297" s="63">
        <f t="shared" ca="1" si="135"/>
        <v>0</v>
      </c>
      <c r="N297" s="63" t="s">
        <v>2476</v>
      </c>
      <c r="O297" s="64"/>
      <c r="P297" s="660"/>
      <c r="Q297" s="661"/>
      <c r="R297" s="661" t="s">
        <v>4059</v>
      </c>
      <c r="V297" s="54">
        <f>IF(ScoundrelFeats&gt;0,1,0)</f>
        <v>0</v>
      </c>
      <c r="X297" s="54">
        <f>IF(SoldierFeats&gt;0,1,0)</f>
        <v>0</v>
      </c>
      <c r="AB297" s="1566" t="str">
        <f t="shared" ca="1" si="136"/>
        <v/>
      </c>
      <c r="AC297" s="1365" t="str">
        <f t="shared" ca="1" si="129"/>
        <v/>
      </c>
      <c r="AD297" s="1365" t="str">
        <f t="shared" ca="1" si="130"/>
        <v/>
      </c>
      <c r="AE297" s="1365" t="str">
        <f t="shared" ca="1" si="131"/>
        <v/>
      </c>
      <c r="AF297" s="1365" t="str">
        <f t="shared" ca="1" si="132"/>
        <v/>
      </c>
      <c r="AG297" s="1467" t="str">
        <f t="shared" ca="1" si="133"/>
        <v/>
      </c>
      <c r="AH297" s="1467" t="str">
        <f t="shared" ca="1" si="134"/>
        <v/>
      </c>
    </row>
    <row r="298" spans="2:34">
      <c r="B298" s="60"/>
      <c r="C298" s="1320" t="s">
        <v>2489</v>
      </c>
      <c r="D298" s="61"/>
      <c r="E298" s="62" t="s">
        <v>2490</v>
      </c>
      <c r="F298" s="1694" t="s">
        <v>8840</v>
      </c>
      <c r="G298" s="63" t="str">
        <f ca="1">IF(OR(M249&gt;0,M250&gt;0,Talents!M379&gt;0),"Yes","No")</f>
        <v>No</v>
      </c>
      <c r="H298" s="76"/>
      <c r="I298" s="63"/>
      <c r="J298" s="63" t="str">
        <f>IF(COUNTIF(T298:Z298,2)&gt;0,IF(G298="Yes","Class",""),IF(COUNTIF(T298:Z298,3)&gt;0,IF(COUNTIF(MulticlassFeats,Feats!C298&amp;IF(Feats!D298&lt;&gt;""," ("&amp;Feats!D298&amp;")","")),"Multi",""),""))</f>
        <v/>
      </c>
      <c r="K298" s="63" t="str">
        <f ca="1">IF(OR(NOT(ISERROR(FIND(C298,INDEX(RaceListTable,RaceIndex,39),1))),NOT(ISERROR(FIND(C298,INDEX(RaceListTable,RaceIndex,40),1)))),"Racial","")</f>
        <v/>
      </c>
      <c r="L298" s="63" t="str">
        <f t="shared" ca="1" si="122"/>
        <v>No</v>
      </c>
      <c r="M298" s="63">
        <f t="shared" ca="1" si="135"/>
        <v>0</v>
      </c>
      <c r="N298" s="63" t="s">
        <v>2478</v>
      </c>
      <c r="O298" s="64"/>
      <c r="P298" s="660"/>
      <c r="Q298" s="661"/>
      <c r="R298" s="661" t="s">
        <v>4059</v>
      </c>
      <c r="AB298" s="1566" t="str">
        <f t="shared" ca="1" si="136"/>
        <v/>
      </c>
      <c r="AC298" s="1365" t="str">
        <f t="shared" ca="1" si="129"/>
        <v/>
      </c>
      <c r="AD298" s="1365" t="str">
        <f t="shared" ca="1" si="130"/>
        <v/>
      </c>
      <c r="AE298" s="1365" t="str">
        <f t="shared" ca="1" si="131"/>
        <v/>
      </c>
      <c r="AF298" s="1365" t="str">
        <f t="shared" ca="1" si="132"/>
        <v/>
      </c>
      <c r="AG298" s="1467" t="str">
        <f t="shared" ca="1" si="133"/>
        <v/>
      </c>
      <c r="AH298" s="1467" t="str">
        <f t="shared" ca="1" si="134"/>
        <v/>
      </c>
    </row>
    <row r="299" spans="2:34" ht="29">
      <c r="B299" s="60"/>
      <c r="C299" s="61" t="s">
        <v>6700</v>
      </c>
      <c r="D299" s="61"/>
      <c r="E299" s="62" t="s">
        <v>8838</v>
      </c>
      <c r="F299" s="1694" t="s">
        <v>8839</v>
      </c>
      <c r="G299" s="63" t="str">
        <f>IF(AND(CharacterLevel&gt;0,BAB&gt;=1),"Yes","No")</f>
        <v>No</v>
      </c>
      <c r="H299" s="76"/>
      <c r="I299" s="63"/>
      <c r="J299" s="63"/>
      <c r="K299" s="63"/>
      <c r="L299" s="63" t="str">
        <f t="shared" si="122"/>
        <v>No</v>
      </c>
      <c r="M299" s="63">
        <f t="shared" si="135"/>
        <v>0</v>
      </c>
      <c r="N299" s="63" t="s">
        <v>6756</v>
      </c>
      <c r="O299" s="64"/>
      <c r="P299" s="660"/>
      <c r="Q299" s="661"/>
      <c r="R299" s="661"/>
      <c r="AB299" s="1566" t="str">
        <f t="shared" si="136"/>
        <v/>
      </c>
      <c r="AC299" s="1365" t="str">
        <f t="shared" ca="1" si="129"/>
        <v/>
      </c>
      <c r="AD299" s="1365" t="str">
        <f t="shared" ca="1" si="130"/>
        <v/>
      </c>
      <c r="AE299" s="1365" t="str">
        <f t="shared" ca="1" si="131"/>
        <v/>
      </c>
      <c r="AF299" s="1365" t="str">
        <f t="shared" ca="1" si="132"/>
        <v/>
      </c>
      <c r="AG299" s="1467" t="str">
        <f t="shared" ca="1" si="133"/>
        <v/>
      </c>
      <c r="AH299" s="1467" t="str">
        <f t="shared" ca="1" si="134"/>
        <v/>
      </c>
    </row>
    <row r="300" spans="2:34">
      <c r="B300" s="60"/>
      <c r="C300" s="1462" t="s">
        <v>8230</v>
      </c>
      <c r="D300" s="1462"/>
      <c r="E300" s="1462"/>
      <c r="F300" s="1695" t="s">
        <v>8229</v>
      </c>
      <c r="G300" s="63" t="str">
        <f>IF(AND(CharacterLevel&gt;0),"Yes","No")</f>
        <v>No</v>
      </c>
      <c r="H300" s="76"/>
      <c r="I300" s="63"/>
      <c r="J300" s="63" t="str">
        <f>IF(COUNTIF(T300:Z300,2)&gt;0,IF(G300="Yes","Class",""),IF(COUNTIF(T300:Z300,3)&gt;0,IF(COUNTIF(MulticlassFeats,Feats!A29&amp;IF(Feats!B29&lt;&gt;""," ("&amp;Feats!B29&amp;")","")),"Multi",""),""))</f>
        <v/>
      </c>
      <c r="K300" s="63" t="str">
        <f ca="1">IF(OR(NOT(ISERROR(FIND(C300,INDEX(RaceListTable,RaceIndex,39),1))),NOT(ISERROR(FIND(C300,INDEX(RaceListTable,RaceIndex,40),1)))),"Racial","")</f>
        <v/>
      </c>
      <c r="L300" s="63" t="str">
        <f t="shared" ca="1" si="122"/>
        <v>No</v>
      </c>
      <c r="M300" s="63">
        <f t="shared" ca="1" si="135"/>
        <v>0</v>
      </c>
      <c r="N300" s="1461" t="s">
        <v>8225</v>
      </c>
      <c r="O300" s="64"/>
      <c r="P300" s="1559"/>
      <c r="R300" s="661"/>
      <c r="S300" s="1463"/>
      <c r="T300" s="660"/>
      <c r="U300" s="660"/>
      <c r="V300" s="660"/>
      <c r="W300" s="660"/>
      <c r="X300" s="660"/>
      <c r="Y300" s="660"/>
      <c r="Z300" s="1562"/>
      <c r="AA300" s="1568"/>
      <c r="AB300" s="1566" t="str">
        <f t="shared" ca="1" si="136"/>
        <v/>
      </c>
      <c r="AC300" s="1365" t="str">
        <f t="shared" ca="1" si="129"/>
        <v/>
      </c>
      <c r="AD300" s="1365" t="str">
        <f t="shared" ca="1" si="130"/>
        <v/>
      </c>
      <c r="AE300" s="1365" t="str">
        <f t="shared" ca="1" si="131"/>
        <v/>
      </c>
      <c r="AF300" s="1365" t="str">
        <f t="shared" ca="1" si="132"/>
        <v/>
      </c>
      <c r="AG300" s="1467" t="str">
        <f t="shared" ca="1" si="133"/>
        <v/>
      </c>
      <c r="AH300" s="1467" t="str">
        <f t="shared" ca="1" si="134"/>
        <v/>
      </c>
    </row>
    <row r="301" spans="2:34">
      <c r="B301" s="60"/>
      <c r="C301" s="1320" t="s">
        <v>2491</v>
      </c>
      <c r="D301" s="61"/>
      <c r="E301" s="62" t="s">
        <v>2492</v>
      </c>
      <c r="F301" s="1694" t="s">
        <v>5657</v>
      </c>
      <c r="G301" s="63" t="str">
        <f ca="1">IF(AND(CharacterLevel&gt;0,OR(STMechanics&lt;&gt;"",TMechanics&lt;&gt;""),M314&gt;0),"Yes","No")</f>
        <v>No</v>
      </c>
      <c r="H301" s="76"/>
      <c r="I301" s="63"/>
      <c r="J301" s="63" t="str">
        <f>IF(COUNTIF(T301:Z301,2)&gt;0,IF(G301="Yes","Class",""),IF(COUNTIF(T301:Z301,3)&gt;0,IF(COUNTIF(MulticlassFeats,Feats!C301&amp;IF(Feats!D301&lt;&gt;""," ("&amp;Feats!D301&amp;")","")),"Multi",""),""))</f>
        <v/>
      </c>
      <c r="K301" s="63" t="str">
        <f ca="1">IF(OR(NOT(ISERROR(FIND(C301,INDEX(RaceListTable,RaceIndex,39),1))),NOT(ISERROR(FIND(C301,INDEX(RaceListTable,RaceIndex,40),1)))),"Racial","")</f>
        <v/>
      </c>
      <c r="L301" s="63" t="str">
        <f t="shared" ca="1" si="122"/>
        <v>No</v>
      </c>
      <c r="M301" s="63">
        <f t="shared" ca="1" si="135"/>
        <v>0</v>
      </c>
      <c r="N301" s="63" t="s">
        <v>2493</v>
      </c>
      <c r="O301" s="64"/>
      <c r="P301" s="660"/>
      <c r="Q301" s="662"/>
      <c r="R301" s="661"/>
      <c r="AB301" s="1566" t="str">
        <f t="shared" ca="1" si="136"/>
        <v/>
      </c>
      <c r="AC301" s="1365" t="str">
        <f t="shared" ca="1" si="129"/>
        <v/>
      </c>
      <c r="AD301" s="1365" t="str">
        <f t="shared" ca="1" si="130"/>
        <v/>
      </c>
      <c r="AE301" s="1365" t="str">
        <f t="shared" ca="1" si="131"/>
        <v/>
      </c>
      <c r="AF301" s="1365" t="str">
        <f t="shared" ca="1" si="132"/>
        <v/>
      </c>
      <c r="AG301" s="1467" t="str">
        <f t="shared" ca="1" si="133"/>
        <v/>
      </c>
      <c r="AH301" s="1467" t="str">
        <f t="shared" ca="1" si="134"/>
        <v/>
      </c>
    </row>
    <row r="302" spans="2:34">
      <c r="B302" s="60"/>
      <c r="C302" s="1320" t="s">
        <v>2494</v>
      </c>
      <c r="D302" s="61"/>
      <c r="E302" s="62" t="s">
        <v>2495</v>
      </c>
      <c r="F302" s="1694" t="s">
        <v>5658</v>
      </c>
      <c r="G302" s="63" t="str">
        <f ca="1">IF(AND(CharacterLevel&gt;0,OR(TPilot&lt;&gt;"",ForcePilot,STPilot&lt;&gt;""),M339&gt;0),"Yes","No")</f>
        <v>No</v>
      </c>
      <c r="H302" s="76"/>
      <c r="I302" s="76"/>
      <c r="J302" s="63" t="str">
        <f>IF(COUNTIF(T302:Z302,2)&gt;0,IF(G302="Yes","Class",""),IF(COUNTIF(T302:Z302,3)&gt;0,IF(COUNTIF(MulticlassFeats,Feats!C302&amp;IF(Feats!D302&lt;&gt;""," ("&amp;Feats!D302&amp;")","")),"Multi",""),""))</f>
        <v/>
      </c>
      <c r="K302" s="63" t="str">
        <f ca="1">IF(OR(NOT(ISERROR(FIND(C302,INDEX(RaceListTable,RaceIndex,39),1))),NOT(ISERROR(FIND(C302,INDEX(RaceListTable,RaceIndex,40),1)))),"Racial","")</f>
        <v/>
      </c>
      <c r="L302" s="63" t="str">
        <f t="shared" ca="1" si="122"/>
        <v>No</v>
      </c>
      <c r="M302" s="63">
        <f ca="1">IF(L302="Yes",H302+I302+IF(K302="Yes",1,0),0)</f>
        <v>0</v>
      </c>
      <c r="N302" s="63" t="s">
        <v>2493</v>
      </c>
      <c r="O302" s="64"/>
      <c r="P302" s="660"/>
      <c r="Q302" s="661"/>
      <c r="R302" s="661"/>
      <c r="AB302" s="1566" t="str">
        <f ca="1">IF(OR(H302&lt;&gt;"",I302&lt;&gt;"",J302&lt;&gt;"",K302&lt;&gt;""),C302&amp;IF(M302&gt;1," ("&amp;M302&amp;")","")&amp;IF(D302&lt;&gt;""," ("&amp;D302&amp;")",""),"")</f>
        <v/>
      </c>
      <c r="AC302" s="1365" t="str">
        <f t="shared" ca="1" si="129"/>
        <v/>
      </c>
      <c r="AD302" s="1365" t="str">
        <f t="shared" ca="1" si="130"/>
        <v/>
      </c>
      <c r="AE302" s="1365" t="str">
        <f t="shared" ca="1" si="131"/>
        <v/>
      </c>
      <c r="AF302" s="1365" t="str">
        <f t="shared" ca="1" si="132"/>
        <v/>
      </c>
      <c r="AG302" s="1467" t="str">
        <f t="shared" ca="1" si="133"/>
        <v/>
      </c>
      <c r="AH302" s="1467" t="str">
        <f t="shared" ca="1" si="134"/>
        <v/>
      </c>
    </row>
    <row r="303" spans="2:34">
      <c r="B303" s="60"/>
      <c r="C303" s="1320" t="s">
        <v>2496</v>
      </c>
      <c r="D303" s="61"/>
      <c r="E303" s="62" t="s">
        <v>2306</v>
      </c>
      <c r="F303" s="1694" t="s">
        <v>5659</v>
      </c>
      <c r="G303" s="63" t="str">
        <f>IF(AND(CharacterLevel&gt;0,OR(STEndurance&lt;&gt;"",TEndurance&lt;&gt;"")),"Yes","No")</f>
        <v>No</v>
      </c>
      <c r="H303" s="76"/>
      <c r="I303" s="63"/>
      <c r="J303" s="63" t="str">
        <f>IF(COUNTIF(T303:Z303,2)&gt;0,IF(G303="Yes","Class",""),IF(COUNTIF(T303:Z303,3)&gt;0,IF(COUNTIF(MulticlassFeats,Feats!C303&amp;IF(Feats!D303&lt;&gt;""," ("&amp;Feats!D303&amp;")","")),"Multi",""),""))</f>
        <v/>
      </c>
      <c r="K303" s="63" t="str">
        <f ca="1">IF(OR(NOT(ISERROR(FIND(C303,INDEX(RaceListTable,RaceIndex,39),1))),NOT(ISERROR(FIND(C303,INDEX(RaceListTable,RaceIndex,40),1)))),"Racial","")</f>
        <v/>
      </c>
      <c r="L303" s="63" t="str">
        <f t="shared" ca="1" si="122"/>
        <v>No</v>
      </c>
      <c r="M303" s="63">
        <f t="shared" ref="M303:M334" ca="1" si="137">IF(L303="Yes",1,0)</f>
        <v>0</v>
      </c>
      <c r="N303" s="63" t="s">
        <v>2478</v>
      </c>
      <c r="O303" s="64"/>
      <c r="P303" s="660"/>
      <c r="Q303" s="661"/>
      <c r="R303" s="661" t="s">
        <v>4060</v>
      </c>
      <c r="T303" s="54">
        <f>IF(JediFeats&gt;0,1,0)</f>
        <v>0</v>
      </c>
      <c r="W303" s="54">
        <f>IF(ScoutFeats&gt;0,1,0)</f>
        <v>0</v>
      </c>
      <c r="X303" s="54">
        <f>IF(SoldierFeats&gt;0,1,0)</f>
        <v>0</v>
      </c>
      <c r="AB303" s="1566" t="str">
        <f t="shared" ref="AB303:AB334" ca="1" si="138">IF(OR(H303&lt;&gt;"",I303&lt;&gt;"",J303&lt;&gt;"",K303&lt;&gt;""),C303&amp;IF(D303&lt;&gt;""," ("&amp;D303&amp;")",""),"")</f>
        <v/>
      </c>
      <c r="AC303" s="1365" t="str">
        <f t="shared" ca="1" si="129"/>
        <v/>
      </c>
      <c r="AD303" s="1365" t="str">
        <f t="shared" ca="1" si="130"/>
        <v/>
      </c>
      <c r="AE303" s="1365" t="str">
        <f t="shared" ca="1" si="131"/>
        <v/>
      </c>
      <c r="AF303" s="1365" t="str">
        <f t="shared" ca="1" si="132"/>
        <v/>
      </c>
      <c r="AG303" s="1467" t="str">
        <f t="shared" ca="1" si="133"/>
        <v/>
      </c>
      <c r="AH303" s="1467" t="str">
        <f t="shared" ca="1" si="134"/>
        <v/>
      </c>
    </row>
    <row r="304" spans="2:34">
      <c r="B304" s="60"/>
      <c r="C304" s="1320" t="s">
        <v>6701</v>
      </c>
      <c r="D304" s="61"/>
      <c r="E304" s="62" t="s">
        <v>2308</v>
      </c>
      <c r="F304" s="1694" t="s">
        <v>6702</v>
      </c>
      <c r="G304" s="63" t="str">
        <f ca="1">IF(AND(CharacterLevel&gt;0,$M$43&gt;0),"Yes","No")</f>
        <v>No</v>
      </c>
      <c r="H304" s="76"/>
      <c r="I304" s="63"/>
      <c r="J304" s="63"/>
      <c r="K304" s="63"/>
      <c r="L304" s="63" t="str">
        <f t="shared" ca="1" si="122"/>
        <v>No</v>
      </c>
      <c r="M304" s="63">
        <f t="shared" ca="1" si="137"/>
        <v>0</v>
      </c>
      <c r="N304" s="63" t="s">
        <v>6756</v>
      </c>
      <c r="O304" s="64"/>
      <c r="P304" s="660"/>
      <c r="Q304" s="661"/>
      <c r="R304" s="661"/>
      <c r="AB304" s="1566" t="str">
        <f t="shared" si="138"/>
        <v/>
      </c>
      <c r="AC304" s="1365" t="str">
        <f t="shared" ca="1" si="129"/>
        <v/>
      </c>
      <c r="AD304" s="1365" t="str">
        <f t="shared" ca="1" si="130"/>
        <v/>
      </c>
      <c r="AE304" s="1365" t="str">
        <f t="shared" ca="1" si="131"/>
        <v/>
      </c>
      <c r="AF304" s="1365" t="str">
        <f t="shared" ca="1" si="132"/>
        <v/>
      </c>
      <c r="AG304" s="1467" t="str">
        <f t="shared" ca="1" si="133"/>
        <v/>
      </c>
      <c r="AH304" s="1467" t="str">
        <f t="shared" ca="1" si="134"/>
        <v/>
      </c>
    </row>
    <row r="305" spans="2:36">
      <c r="B305" s="60"/>
      <c r="C305" s="1320" t="s">
        <v>2497</v>
      </c>
      <c r="D305" s="61"/>
      <c r="E305" s="62" t="s">
        <v>2268</v>
      </c>
      <c r="F305" s="1694" t="s">
        <v>5660</v>
      </c>
      <c r="G305" s="63" t="str">
        <f>IF(AND(CharacterLevel&gt;0,BAB&gt;=1),"Yes","No")</f>
        <v>No</v>
      </c>
      <c r="H305" s="76"/>
      <c r="I305" s="63"/>
      <c r="J305" s="63" t="str">
        <f>IF(COUNTIF(T305:Z305,2)&gt;0,IF(G305="Yes","Class",""),IF(COUNTIF(T305:Z305,3)&gt;0,IF(COUNTIF(MulticlassFeats,Feats!C305&amp;IF(Feats!D305&lt;&gt;""," ("&amp;Feats!D305&amp;")","")),"Multi",""),""))</f>
        <v/>
      </c>
      <c r="K305" s="63" t="str">
        <f t="shared" ref="K305:K336" ca="1" si="139">IF(OR(NOT(ISERROR(FIND(C305,INDEX(RaceListTable,RaceIndex,39),1))),NOT(ISERROR(FIND(C305,INDEX(RaceListTable,RaceIndex,40),1)))),"Racial","")</f>
        <v/>
      </c>
      <c r="L305" s="63" t="str">
        <f t="shared" ca="1" si="122"/>
        <v>No</v>
      </c>
      <c r="M305" s="63">
        <f t="shared" ca="1" si="137"/>
        <v>0</v>
      </c>
      <c r="N305" s="63" t="s">
        <v>2474</v>
      </c>
      <c r="O305" s="64"/>
      <c r="P305" s="660"/>
      <c r="Q305" s="661"/>
      <c r="R305" s="661" t="s">
        <v>4059</v>
      </c>
      <c r="X305" s="54">
        <f>IF(SoldierFeats&gt;0,1,0)</f>
        <v>0</v>
      </c>
      <c r="AB305" s="1566" t="str">
        <f t="shared" ca="1" si="138"/>
        <v/>
      </c>
      <c r="AC305" s="1365" t="str">
        <f t="shared" ca="1" si="129"/>
        <v/>
      </c>
      <c r="AD305" s="1365" t="str">
        <f t="shared" ca="1" si="130"/>
        <v/>
      </c>
      <c r="AE305" s="1365" t="str">
        <f t="shared" ca="1" si="131"/>
        <v/>
      </c>
      <c r="AF305" s="1365" t="str">
        <f t="shared" ca="1" si="132"/>
        <v/>
      </c>
      <c r="AG305" s="1467" t="str">
        <f t="shared" ca="1" si="133"/>
        <v/>
      </c>
      <c r="AH305" s="1467" t="str">
        <f t="shared" ca="1" si="134"/>
        <v/>
      </c>
    </row>
    <row r="306" spans="2:36">
      <c r="B306" s="60"/>
      <c r="C306" s="1320" t="s">
        <v>2498</v>
      </c>
      <c r="D306" s="61"/>
      <c r="E306" s="62"/>
      <c r="F306" s="1694" t="s">
        <v>5661</v>
      </c>
      <c r="G306" s="63" t="str">
        <f>IF(CharacterLevel&gt;0,"Yes","No")</f>
        <v>No</v>
      </c>
      <c r="H306" s="76"/>
      <c r="I306" s="63"/>
      <c r="J306" s="63" t="str">
        <f>IF(COUNTIF(T306:Z306,2)&gt;0,IF(G306="Yes","Class",""),IF(COUNTIF(T306:Z306,3)&gt;0,IF(COUNTIF(MulticlassFeats,Feats!C306&amp;IF(Feats!D306&lt;&gt;""," ("&amp;Feats!D306&amp;")","")),"Multi",""),""))</f>
        <v/>
      </c>
      <c r="K306" s="63" t="str">
        <f t="shared" ca="1" si="139"/>
        <v/>
      </c>
      <c r="L306" s="63" t="str">
        <f t="shared" ca="1" si="122"/>
        <v>No</v>
      </c>
      <c r="M306" s="63">
        <f t="shared" ca="1" si="137"/>
        <v>0</v>
      </c>
      <c r="N306" s="63">
        <v>88</v>
      </c>
      <c r="O306" s="64"/>
      <c r="P306" s="660"/>
      <c r="Q306" s="661"/>
      <c r="R306" s="661"/>
      <c r="T306" s="54">
        <f>IF(JediFeats&gt;0,1,0)</f>
        <v>0</v>
      </c>
      <c r="AB306" s="1566" t="str">
        <f t="shared" ca="1" si="138"/>
        <v/>
      </c>
      <c r="AC306" s="1365" t="str">
        <f t="shared" ca="1" si="129"/>
        <v/>
      </c>
      <c r="AD306" s="1365" t="str">
        <f t="shared" ca="1" si="130"/>
        <v/>
      </c>
      <c r="AE306" s="1365" t="str">
        <f t="shared" ca="1" si="131"/>
        <v/>
      </c>
      <c r="AF306" s="1365" t="str">
        <f t="shared" ca="1" si="132"/>
        <v/>
      </c>
      <c r="AG306" s="1467" t="str">
        <f t="shared" ca="1" si="133"/>
        <v/>
      </c>
      <c r="AH306" s="1467" t="str">
        <f t="shared" ca="1" si="134"/>
        <v/>
      </c>
    </row>
    <row r="307" spans="2:36">
      <c r="B307" s="60"/>
      <c r="C307" s="1320" t="s">
        <v>2499</v>
      </c>
      <c r="D307" s="61"/>
      <c r="E307" s="62" t="s">
        <v>6196</v>
      </c>
      <c r="F307" s="1694" t="s">
        <v>5662</v>
      </c>
      <c r="G307" s="63" t="str">
        <f ca="1">IF(AND(CharacterLevel&gt;=9,Intelligence&gt;=17,M314&gt;0),"Yes","No")</f>
        <v>No</v>
      </c>
      <c r="H307" s="76"/>
      <c r="I307" s="63"/>
      <c r="J307" s="63" t="str">
        <f>IF(COUNTIF(T307:Z307,2)&gt;0,IF(G307="Yes","Class",""),IF(COUNTIF(T307:Z307,3)&gt;0,IF(COUNTIF(MulticlassFeats,Feats!C307&amp;IF(Feats!D307&lt;&gt;""," ("&amp;Feats!D307&amp;")","")),"Multi",""),""))</f>
        <v/>
      </c>
      <c r="K307" s="63" t="str">
        <f t="shared" ca="1" si="139"/>
        <v/>
      </c>
      <c r="L307" s="63" t="str">
        <f t="shared" ca="1" si="122"/>
        <v>No</v>
      </c>
      <c r="M307" s="63">
        <f t="shared" ca="1" si="137"/>
        <v>0</v>
      </c>
      <c r="N307" s="63" t="s">
        <v>2478</v>
      </c>
      <c r="O307" s="64"/>
      <c r="P307" s="660"/>
      <c r="Q307" s="661"/>
      <c r="R307" s="661"/>
      <c r="U307" s="54">
        <f>IF(NobleFeats&gt;0,1,0)</f>
        <v>0</v>
      </c>
      <c r="V307" s="54">
        <f>IF(ScoundrelFeats&gt;0,1,0)</f>
        <v>0</v>
      </c>
      <c r="AB307" s="1566" t="str">
        <f t="shared" ca="1" si="138"/>
        <v/>
      </c>
      <c r="AC307" s="1365" t="str">
        <f ca="1">IF(AB14&lt;&gt;"",AB14&amp;";"&amp;AC308,AC308)</f>
        <v/>
      </c>
      <c r="AD307" s="1365" t="str">
        <f ca="1">IF(AB14&lt;&gt;"",N14&amp;";"&amp;AD308,AD308)</f>
        <v/>
      </c>
      <c r="AE307" s="1365" t="str">
        <f ca="1">IF(AB14&lt;&gt;"",IF(R14="Att Options",AB14&amp;IF(AE308&lt;&gt;"",", ",""),"")&amp;AE308,AE308)</f>
        <v/>
      </c>
      <c r="AF307" s="1365" t="str">
        <f ca="1">IF(AB14&lt;&gt;"",IF(R14="Special Actions",AB14&amp;IF(AF308&lt;&gt;"",", ",""),"")&amp;AF308,AF308)</f>
        <v/>
      </c>
      <c r="AG307" s="1467" t="str">
        <f ca="1">IF(AB14&lt;&gt;"",IF(R14="Defenses",AB14&amp;IF(AG308&lt;&gt;"",", ",""),"")&amp;AG308,AG308)</f>
        <v/>
      </c>
      <c r="AH307" s="1467" t="str">
        <f ca="1">IF(AB14&lt;&gt;"",IF(R14="Speed",AB14&amp;IF(AH308&lt;&gt;"",", ",""),"")&amp;AH308,AH308)</f>
        <v/>
      </c>
    </row>
    <row r="308" spans="2:36">
      <c r="B308" s="60"/>
      <c r="C308" s="1320" t="s">
        <v>2500</v>
      </c>
      <c r="D308" s="61"/>
      <c r="E308" s="62" t="s">
        <v>2501</v>
      </c>
      <c r="F308" s="1694" t="s">
        <v>5663</v>
      </c>
      <c r="G308" s="63" t="str">
        <f ca="1">IF(AND(CharacterLevel&gt;0,Strength&gt;13,M347&gt;0,M41&gt;0),"Yes","No")</f>
        <v>No</v>
      </c>
      <c r="H308" s="76"/>
      <c r="I308" s="63"/>
      <c r="J308" s="63" t="str">
        <f>IF(COUNTIF(T308:Z308,2)&gt;0,IF(G308="Yes","Class",""),IF(COUNTIF(T308:Z308,3)&gt;0,IF(COUNTIF(MulticlassFeats,Feats!C308&amp;IF(Feats!D308&lt;&gt;""," ("&amp;Feats!D308&amp;")","")),"Multi",""),""))</f>
        <v/>
      </c>
      <c r="K308" s="63" t="str">
        <f t="shared" ca="1" si="139"/>
        <v/>
      </c>
      <c r="L308" s="63" t="str">
        <f t="shared" ca="1" si="122"/>
        <v>No</v>
      </c>
      <c r="M308" s="63">
        <f t="shared" ca="1" si="137"/>
        <v>0</v>
      </c>
      <c r="N308" s="63" t="s">
        <v>2502</v>
      </c>
      <c r="O308" s="64"/>
      <c r="P308" s="660"/>
      <c r="Q308" s="661"/>
      <c r="R308" s="661" t="s">
        <v>4059</v>
      </c>
      <c r="AB308" s="1566" t="str">
        <f t="shared" ca="1" si="138"/>
        <v/>
      </c>
      <c r="AC308" s="1365" t="str">
        <f ca="1">IF(AB38&lt;&gt;"",AB38&amp;";"&amp;AC309,AC309)</f>
        <v/>
      </c>
      <c r="AD308" s="1365" t="str">
        <f ca="1">IF(AB38&lt;&gt;"",N38&amp;";"&amp;AD309,AD309)</f>
        <v/>
      </c>
      <c r="AE308" s="1365" t="str">
        <f ca="1">IF(AB38&lt;&gt;"",IF(R38="Att Options",AB38&amp;IF(AE309&lt;&gt;"",", ",""),"")&amp;AE309,AE309)</f>
        <v/>
      </c>
      <c r="AF308" s="1365" t="str">
        <f ca="1">IF(AB38&lt;&gt;"",IF(R38="Special Actions",AB38&amp;IF(AF309&lt;&gt;"",", ",""),"")&amp;AF309,AF309)</f>
        <v/>
      </c>
      <c r="AG308" s="1467" t="str">
        <f ca="1">IF(AB38&lt;&gt;"",IF(R38="Defenses",AB38&amp;IF(AG309&lt;&gt;"",", ",""),"")&amp;AG309,AG309)</f>
        <v/>
      </c>
      <c r="AH308" s="1467" t="str">
        <f ca="1">IF(AB38&lt;&gt;"",IF(R38="Speed",AB38&amp;IF(AH309&lt;&gt;"",", ",""),"")&amp;AH309,AH309)</f>
        <v/>
      </c>
    </row>
    <row r="309" spans="2:36">
      <c r="B309" s="60"/>
      <c r="C309" s="1320" t="s">
        <v>2503</v>
      </c>
      <c r="D309" s="61"/>
      <c r="E309" s="62" t="s">
        <v>2334</v>
      </c>
      <c r="F309" s="1694" t="s">
        <v>5664</v>
      </c>
      <c r="G309" s="63" t="str">
        <f>IF(AND(CharacterLevel&gt;0,OR(STTreatInjury&lt;&gt;"",ForceTreatment,TTreatInjury&lt;&gt;"")),"Yes","No")</f>
        <v>No</v>
      </c>
      <c r="H309" s="76"/>
      <c r="I309" s="63"/>
      <c r="J309" s="63" t="str">
        <f>IF(COUNTIF(T309:Z309,2)&gt;0,IF(G309="Yes","Class",""),IF(COUNTIF(T309:Z309,3)&gt;0,IF(COUNTIF(MulticlassFeats,Feats!C309&amp;IF(Feats!D309&lt;&gt;""," ("&amp;Feats!D309&amp;")","")),"Multi",""),""))</f>
        <v/>
      </c>
      <c r="K309" s="63" t="str">
        <f t="shared" ca="1" si="139"/>
        <v/>
      </c>
      <c r="L309" s="63" t="str">
        <f t="shared" ca="1" si="122"/>
        <v>No</v>
      </c>
      <c r="M309" s="63">
        <f t="shared" ca="1" si="137"/>
        <v>0</v>
      </c>
      <c r="N309" s="63">
        <v>88</v>
      </c>
      <c r="O309" s="64"/>
      <c r="P309" s="660"/>
      <c r="Q309" s="661"/>
      <c r="R309" s="661"/>
      <c r="U309" s="54">
        <f>IF(NobleFeats&gt;0,1,0)</f>
        <v>0</v>
      </c>
      <c r="AB309" s="1566" t="str">
        <f t="shared" ca="1" si="138"/>
        <v/>
      </c>
      <c r="AC309" s="1365" t="str">
        <f ca="1">IF(AB39&lt;&gt;"",AB39&amp;";"&amp;AC310,AC310)</f>
        <v/>
      </c>
      <c r="AD309" s="1365" t="str">
        <f ca="1">IF(AB39&lt;&gt;"",N39&amp;";"&amp;AD310,AD310)</f>
        <v/>
      </c>
      <c r="AE309" s="1365" t="str">
        <f ca="1">IF(AB39&lt;&gt;"",IF(R39="Att Options",AB39&amp;IF(AE310&lt;&gt;"",", ",""),"")&amp;AE310,AE310)</f>
        <v/>
      </c>
      <c r="AF309" s="1365" t="str">
        <f ca="1">IF(AB39&lt;&gt;"",IF(R39="Special Actions",AB39&amp;IF(AF310&lt;&gt;"",", ",""),"")&amp;AF310,AF310)</f>
        <v/>
      </c>
      <c r="AG309" s="1467" t="str">
        <f ca="1">IF(AB39&lt;&gt;"",IF(R39="Defenses",AB39&amp;IF(AG310&lt;&gt;"",", ",""),"")&amp;AG310,AG310)</f>
        <v/>
      </c>
      <c r="AH309" s="1467" t="str">
        <f ca="1">IF(AB39&lt;&gt;"",IF(R39="Speed",AB39&amp;IF(AH310&lt;&gt;"",", ",""),"")&amp;AH310,AH310)</f>
        <v/>
      </c>
    </row>
    <row r="310" spans="2:36">
      <c r="B310" s="60"/>
      <c r="C310" s="1320" t="s">
        <v>2504</v>
      </c>
      <c r="D310" s="61"/>
      <c r="E310" s="62" t="s">
        <v>2301</v>
      </c>
      <c r="F310" s="1694" t="s">
        <v>5665</v>
      </c>
      <c r="G310" s="63" t="str">
        <f ca="1">IF(AND(CharacterLevel&gt;0,M53&gt;=1),"Yes","No")</f>
        <v>No</v>
      </c>
      <c r="H310" s="76"/>
      <c r="I310" s="63"/>
      <c r="J310" s="63" t="str">
        <f>IF(COUNTIF(T310:Z310,2)&gt;0,IF(G310="Yes","Class",""),IF(COUNTIF(T310:Z310,3)&gt;0,IF(COUNTIF(MulticlassFeats,Feats!C310&amp;IF(Feats!D310&lt;&gt;""," ("&amp;Feats!D310&amp;")","")),"Multi",""),""))</f>
        <v/>
      </c>
      <c r="K310" s="63" t="str">
        <f t="shared" ca="1" si="139"/>
        <v/>
      </c>
      <c r="L310" s="63" t="str">
        <f t="shared" ca="1" si="122"/>
        <v>No</v>
      </c>
      <c r="M310" s="63">
        <f t="shared" ca="1" si="137"/>
        <v>0</v>
      </c>
      <c r="N310" s="63" t="s">
        <v>2474</v>
      </c>
      <c r="O310" s="64"/>
      <c r="P310" s="660"/>
      <c r="Q310" s="661"/>
      <c r="R310" s="661" t="s">
        <v>4059</v>
      </c>
      <c r="T310" s="54">
        <f>IF(JediFeats&gt;0,1,0)</f>
        <v>0</v>
      </c>
      <c r="AB310" s="1566" t="str">
        <f t="shared" ca="1" si="138"/>
        <v/>
      </c>
      <c r="AC310" s="1365" t="str">
        <f ca="1">IF(AB44&lt;&gt;"",AB44&amp;";"&amp;AC311,AC311)</f>
        <v/>
      </c>
      <c r="AD310" s="1365" t="str">
        <f ca="1">IF(AB44&lt;&gt;"",N44&amp;";"&amp;AD311,AD311)</f>
        <v/>
      </c>
      <c r="AE310" s="1365" t="str">
        <f ca="1">IF(AB44&lt;&gt;"",IF(R44="Att Options",AB44&amp;IF(AE311&lt;&gt;"",", ",""),"")&amp;AE311,AE311)</f>
        <v/>
      </c>
      <c r="AF310" s="1365" t="str">
        <f ca="1">IF(AB44&lt;&gt;"",IF(R44="Special Actions",AB44&amp;IF(AF311&lt;&gt;"",", ",""),"")&amp;AF311,AF311)</f>
        <v/>
      </c>
      <c r="AG310" s="1467" t="str">
        <f ca="1">IF(AB44&lt;&gt;"",IF(R44="Defenses",AB44&amp;IF(AG311&lt;&gt;"",", ",""),"")&amp;AG311,AG311)</f>
        <v/>
      </c>
      <c r="AH310" s="1467" t="str">
        <f ca="1">IF(AB44&lt;&gt;"",IF(R44="Speed",AB44&amp;IF(AH311&lt;&gt;"",", ",""),"")&amp;AH311,AH311)</f>
        <v/>
      </c>
    </row>
    <row r="311" spans="2:36">
      <c r="B311" s="60"/>
      <c r="C311" s="1320" t="s">
        <v>2505</v>
      </c>
      <c r="D311" s="61"/>
      <c r="E311" s="62" t="s">
        <v>2318</v>
      </c>
      <c r="F311" s="1694" t="s">
        <v>5666</v>
      </c>
      <c r="G311" s="63" t="str">
        <f ca="1">IF(AND(CharacterLevel&gt;0,M49&gt;=1),"Yes","No")</f>
        <v>No</v>
      </c>
      <c r="H311" s="76"/>
      <c r="I311" s="63"/>
      <c r="J311" s="63" t="str">
        <f>IF(COUNTIF(T311:Z311,2)&gt;0,IF(G311="Yes","Class",""),IF(COUNTIF(T311:Z311,3)&gt;0,IF(COUNTIF(MulticlassFeats,Feats!C311&amp;IF(Feats!D311&lt;&gt;""," ("&amp;Feats!D311&amp;")","")),"Multi",""),""))</f>
        <v/>
      </c>
      <c r="K311" s="63" t="str">
        <f t="shared" ca="1" si="139"/>
        <v/>
      </c>
      <c r="L311" s="63" t="str">
        <f t="shared" ca="1" si="122"/>
        <v>No</v>
      </c>
      <c r="M311" s="63">
        <f t="shared" ca="1" si="137"/>
        <v>0</v>
      </c>
      <c r="N311" s="63" t="s">
        <v>2506</v>
      </c>
      <c r="O311" s="64"/>
      <c r="P311" s="660"/>
      <c r="Q311" s="661"/>
      <c r="R311" s="661" t="s">
        <v>4060</v>
      </c>
      <c r="T311" s="54">
        <f>IF(JediFeats&gt;0,1,0)</f>
        <v>0</v>
      </c>
      <c r="U311" s="54">
        <f>IF(NobleFeats&gt;0,1,0)</f>
        <v>0</v>
      </c>
      <c r="AB311" s="1566" t="str">
        <f t="shared" ca="1" si="138"/>
        <v/>
      </c>
      <c r="AC311" s="1365" t="str">
        <f ca="1">IF(AB60&lt;&gt;"",AB60&amp;";"&amp;AC312,AC312)</f>
        <v/>
      </c>
      <c r="AD311" s="1365" t="str">
        <f ca="1">IF(AB60&lt;&gt;"",N60&amp;";"&amp;AD312,AD312)</f>
        <v/>
      </c>
      <c r="AE311" s="1365" t="str">
        <f ca="1">IF(AB60&lt;&gt;"",IF(R60="Att Options",AB60&amp;IF(AE312&lt;&gt;"",", ",""),"")&amp;AE312,AE312)</f>
        <v/>
      </c>
      <c r="AF311" s="1365" t="str">
        <f ca="1">IF(AB60&lt;&gt;"",IF(R60="Special Actions",AB60&amp;IF(AF312&lt;&gt;"",", ",""),"")&amp;AF312,AF312)</f>
        <v/>
      </c>
      <c r="AG311" s="1467" t="str">
        <f ca="1">IF(AB60&lt;&gt;"",IF(R60="Defenses",AB60&amp;IF(AG312&lt;&gt;"",", ",""),"")&amp;AG312,AG312)</f>
        <v/>
      </c>
      <c r="AH311" s="1467" t="str">
        <f ca="1">IF(AB60&lt;&gt;"",IF(R60="Speed",AB60&amp;IF(AH312&lt;&gt;"",", ",""),"")&amp;AH312,AH312)</f>
        <v/>
      </c>
    </row>
    <row r="312" spans="2:36">
      <c r="B312" s="60"/>
      <c r="C312" s="1320" t="s">
        <v>2507</v>
      </c>
      <c r="D312" s="61"/>
      <c r="E312" s="62" t="s">
        <v>2508</v>
      </c>
      <c r="F312" s="1694" t="s">
        <v>5667</v>
      </c>
      <c r="G312" s="63" t="str">
        <f ca="1">IF(AND(CharacterLevel&gt;0,M302&gt;0,M339&gt;0),"Yes","No")</f>
        <v>No</v>
      </c>
      <c r="H312" s="76"/>
      <c r="I312" s="63"/>
      <c r="J312" s="63" t="str">
        <f>IF(COUNTIF(T312:Z312,2)&gt;0,IF(G312="Yes","Class",""),IF(COUNTIF(T312:Z312,3)&gt;0,IF(COUNTIF(MulticlassFeats,Feats!C312&amp;IF(Feats!D312&lt;&gt;""," ("&amp;Feats!D312&amp;")","")),"Multi",""),""))</f>
        <v/>
      </c>
      <c r="K312" s="63" t="str">
        <f t="shared" ca="1" si="139"/>
        <v/>
      </c>
      <c r="L312" s="63" t="str">
        <f t="shared" ca="1" si="122"/>
        <v>No</v>
      </c>
      <c r="M312" s="63">
        <f t="shared" ca="1" si="137"/>
        <v>0</v>
      </c>
      <c r="N312" s="63" t="s">
        <v>2493</v>
      </c>
      <c r="O312" s="64"/>
      <c r="P312" s="660"/>
      <c r="Q312" s="662"/>
      <c r="R312" s="661" t="s">
        <v>4060</v>
      </c>
      <c r="AB312" s="1566" t="str">
        <f t="shared" ca="1" si="138"/>
        <v/>
      </c>
      <c r="AC312" s="1365" t="str">
        <f ca="1">IF(AB67&lt;&gt;"",AB67&amp;";"&amp;AC313,AC313)</f>
        <v/>
      </c>
      <c r="AD312" s="1365" t="str">
        <f ca="1">IF(AB67&lt;&gt;"",N67&amp;";"&amp;AD313,AD313)</f>
        <v/>
      </c>
      <c r="AE312" s="1365" t="str">
        <f ca="1">IF(AB67&lt;&gt;"",IF(R67="Att Options",AB67&amp;IF(AE313&lt;&gt;"",", ",""),"")&amp;AE313,AE313)</f>
        <v/>
      </c>
      <c r="AF312" s="1365" t="str">
        <f ca="1">IF(AB67&lt;&gt;"",IF(R67="Special Actions",AB67&amp;IF(AF313&lt;&gt;"",", ",""),"")&amp;AF313,AF313)</f>
        <v/>
      </c>
      <c r="AG312" s="1467" t="str">
        <f ca="1">IF(AB67&lt;&gt;"",IF(R67="Defenses",AB67&amp;IF(AG313&lt;&gt;"",", ",""),"")&amp;AG313,AG313)</f>
        <v/>
      </c>
      <c r="AH312" s="1467" t="str">
        <f ca="1">IF(AB67&lt;&gt;"",IF(R67="Speed",AB67&amp;IF(AH313&lt;&gt;"",", ",""),"")&amp;AH313,AH313)</f>
        <v/>
      </c>
      <c r="AJ312" s="1559"/>
    </row>
    <row r="313" spans="2:36">
      <c r="B313" s="60"/>
      <c r="C313" s="1462" t="s">
        <v>8175</v>
      </c>
      <c r="D313" s="1462"/>
      <c r="E313" s="1462" t="s">
        <v>8174</v>
      </c>
      <c r="F313" s="1695" t="s">
        <v>8173</v>
      </c>
      <c r="G313" s="63" t="str">
        <f>IF(AND(CharacterLevel&gt;0,BAB&gt;=5),"Yes","No")</f>
        <v>No</v>
      </c>
      <c r="H313" s="76"/>
      <c r="I313" s="63"/>
      <c r="J313" s="63" t="str">
        <f>IF(COUNTIF(T313:Z313,2)&gt;0,IF(G313="Yes","Class",""),IF(COUNTIF(T313:Z313,3)&gt;0,IF(COUNTIF(MulticlassFeats,Feats!A49&amp;IF(Feats!B49&lt;&gt;""," ("&amp;Feats!B49&amp;")","")),"Multi",""),""))</f>
        <v/>
      </c>
      <c r="K313" s="63" t="str">
        <f t="shared" ca="1" si="139"/>
        <v/>
      </c>
      <c r="L313" s="63" t="str">
        <f t="shared" ca="1" si="122"/>
        <v>No</v>
      </c>
      <c r="M313" s="63">
        <f t="shared" ca="1" si="137"/>
        <v>0</v>
      </c>
      <c r="N313" s="1461" t="s">
        <v>8166</v>
      </c>
      <c r="O313" s="1462"/>
      <c r="P313" s="1559"/>
      <c r="R313" s="661"/>
      <c r="S313" s="1463"/>
      <c r="T313" s="660"/>
      <c r="U313" s="660"/>
      <c r="V313" s="660"/>
      <c r="W313" s="54">
        <f>IF(ScoutFeats&gt;0,1,0)</f>
        <v>0</v>
      </c>
      <c r="X313" s="54">
        <f>IF(SoldierFeats&gt;0,1,0)</f>
        <v>0</v>
      </c>
      <c r="Y313" s="660"/>
      <c r="Z313" s="1562"/>
      <c r="AA313" s="1568"/>
      <c r="AB313" s="1566" t="str">
        <f t="shared" ca="1" si="138"/>
        <v/>
      </c>
      <c r="AC313" s="1365" t="str">
        <f ca="1">IF(AB72&lt;&gt;"",AB72&amp;";"&amp;AC314,AC314)</f>
        <v/>
      </c>
      <c r="AD313" s="1365" t="str">
        <f ca="1">IF(AB72&lt;&gt;"",N72&amp;";"&amp;AD314,AD314)</f>
        <v/>
      </c>
      <c r="AE313" s="1365" t="str">
        <f ca="1">IF(AB72&lt;&gt;"",IF(R72="Att Options",AB72&amp;IF(AE314&lt;&gt;"",", ",""),"")&amp;AE314,AE314)</f>
        <v/>
      </c>
      <c r="AF313" s="1365" t="str">
        <f ca="1">IF(AB72&lt;&gt;"",IF(R72="Special Actions",AB72&amp;IF(AF314&lt;&gt;"",", ",""),"")&amp;AF314,AF314)</f>
        <v/>
      </c>
      <c r="AG313" s="1467" t="str">
        <f ca="1">IF(AB72&lt;&gt;"",IF(R72="Defenses",AB72&amp;IF(AG314&lt;&gt;"",", ",""),"")&amp;AG314,AG314)</f>
        <v/>
      </c>
      <c r="AH313" s="1467" t="str">
        <f ca="1">IF(AB72&lt;&gt;"",IF(R72="Speed",AB72&amp;IF(AH314&lt;&gt;"",", ",""),"")&amp;AH314,AH314)</f>
        <v/>
      </c>
      <c r="AJ313" s="1559"/>
    </row>
    <row r="314" spans="2:36">
      <c r="B314" s="60"/>
      <c r="C314" s="1320" t="s">
        <v>2401</v>
      </c>
      <c r="D314" s="61"/>
      <c r="E314" s="62" t="s">
        <v>2353</v>
      </c>
      <c r="F314" s="1694" t="s">
        <v>5668</v>
      </c>
      <c r="G314" s="63" t="str">
        <f>IF(AND(CharacterLevel&gt;0,OR(STMechanics&lt;&gt;"",TMechanics&lt;&gt;"")),"Yes","No")</f>
        <v>No</v>
      </c>
      <c r="H314" s="76"/>
      <c r="I314" s="63"/>
      <c r="J314" s="63" t="str">
        <f>IF(COUNTIF(T314:Z314,2)&gt;0,IF(G314="Yes","Class",""),IF(COUNTIF(T314:Z314,3)&gt;0,IF(COUNTIF(MulticlassFeats,Feats!C314&amp;IF(Feats!D314&lt;&gt;""," ("&amp;Feats!D314&amp;")","")),"Multi",""),""))</f>
        <v/>
      </c>
      <c r="K314" s="63" t="str">
        <f t="shared" ca="1" si="139"/>
        <v/>
      </c>
      <c r="L314" s="63" t="str">
        <f t="shared" ca="1" si="122"/>
        <v>No</v>
      </c>
      <c r="M314" s="63">
        <f t="shared" ca="1" si="137"/>
        <v>0</v>
      </c>
      <c r="N314" s="63" t="s">
        <v>2493</v>
      </c>
      <c r="O314" s="64"/>
      <c r="P314" s="660"/>
      <c r="Q314" s="662"/>
      <c r="R314" s="661"/>
      <c r="U314" s="54">
        <f>IF(NobleFeats&gt;0,1,0)</f>
        <v>0</v>
      </c>
      <c r="V314" s="54">
        <f>IF(ScoundrelFeats&gt;0,1,0)</f>
        <v>0</v>
      </c>
      <c r="AB314" s="1566" t="str">
        <f t="shared" ca="1" si="138"/>
        <v/>
      </c>
      <c r="AC314" s="1365" t="str">
        <f ca="1">IF(AB103&lt;&gt;"",AB103&amp;";"&amp;AC315,AC315)</f>
        <v/>
      </c>
      <c r="AD314" s="1365" t="str">
        <f ca="1">IF(AB103&lt;&gt;"",N103&amp;";"&amp;AD315,AD315)</f>
        <v/>
      </c>
      <c r="AE314" s="1365" t="str">
        <f ca="1">IF(AB103&lt;&gt;"",IF(R103="Att Options",AB103&amp;IF(AE315&lt;&gt;"",", ",""),"")&amp;AE315,AE315)</f>
        <v/>
      </c>
      <c r="AF314" s="1365" t="str">
        <f ca="1">IF(AB103&lt;&gt;"",IF(R103="Special Actions",AB103&amp;IF(AF315&lt;&gt;"",", ",""),"")&amp;AF315,AF315)</f>
        <v/>
      </c>
      <c r="AG314" s="1467" t="str">
        <f ca="1">IF(AB103&lt;&gt;"",IF(R103="Defenses",AB103&amp;IF(AG315&lt;&gt;"",", ",""),"")&amp;AG315,AG315)</f>
        <v/>
      </c>
      <c r="AH314" s="1467" t="str">
        <f ca="1">IF(AB103&lt;&gt;"",IF(R103="Speed",AB103&amp;IF(AH315&lt;&gt;"",", ",""),"")&amp;AH315,AH315)</f>
        <v/>
      </c>
      <c r="AJ314" s="1559"/>
    </row>
    <row r="315" spans="2:36">
      <c r="B315" s="60"/>
      <c r="C315" s="1320" t="s">
        <v>2509</v>
      </c>
      <c r="D315" s="61"/>
      <c r="E315" s="62" t="s">
        <v>2041</v>
      </c>
      <c r="F315" s="1694" t="s">
        <v>5669</v>
      </c>
      <c r="G315" s="63" t="str">
        <f ca="1">IF(AND(BAB&gt;=8,M320&gt;0),"Yes","No")</f>
        <v>No</v>
      </c>
      <c r="H315" s="76"/>
      <c r="I315" s="63"/>
      <c r="J315" s="63" t="str">
        <f>IF(COUNTIF(T315:Z315,2)&gt;0,IF(G315="Yes","Class",""),IF(COUNTIF(T315:Z315,3)&gt;0,IF(COUNTIF(MulticlassFeats,Feats!C315&amp;IF(Feats!D315&lt;&gt;""," ("&amp;Feats!D315&amp;")","")),"Multi",""),""))</f>
        <v/>
      </c>
      <c r="K315" s="63" t="str">
        <f t="shared" ca="1" si="139"/>
        <v/>
      </c>
      <c r="L315" s="63" t="str">
        <f t="shared" ca="1" si="122"/>
        <v>No</v>
      </c>
      <c r="M315" s="63">
        <f t="shared" ca="1" si="137"/>
        <v>0</v>
      </c>
      <c r="N315" s="63">
        <v>88</v>
      </c>
      <c r="O315" s="64"/>
      <c r="P315" s="660"/>
      <c r="Q315" s="661"/>
      <c r="R315" s="661" t="s">
        <v>4059</v>
      </c>
      <c r="X315" s="54">
        <f>IF(SoldierFeats&gt;0,1,0)</f>
        <v>0</v>
      </c>
      <c r="AB315" s="1566" t="str">
        <f t="shared" ca="1" si="138"/>
        <v/>
      </c>
      <c r="AC315" s="1365" t="str">
        <f ca="1">IF(AB113&lt;&gt;"",AB113&amp;";"&amp;AC316,AC316)</f>
        <v/>
      </c>
      <c r="AD315" s="1365" t="str">
        <f ca="1">IF(AB113&lt;&gt;"",N113&amp;";"&amp;AD316,AD316)</f>
        <v/>
      </c>
      <c r="AE315" s="1365" t="str">
        <f ca="1">IF(AB113&lt;&gt;"",IF(R113="Att Options",AB113&amp;IF(AE316&lt;&gt;"",", ",""),"")&amp;AE316,AE316)</f>
        <v/>
      </c>
      <c r="AF315" s="1365" t="str">
        <f ca="1">IF(AB113&lt;&gt;"",IF(R113="Special Actions",AB113&amp;IF(AF316&lt;&gt;"",", ",""),"")&amp;AF316,AF316)</f>
        <v/>
      </c>
      <c r="AG315" s="1467" t="str">
        <f ca="1">IF(AB113&lt;&gt;"",IF(R113="Defenses",AB113&amp;IF(AG316&lt;&gt;"",", ",""),"")&amp;AG316,AG316)</f>
        <v/>
      </c>
      <c r="AH315" s="1467" t="str">
        <f ca="1">IF(AB113&lt;&gt;"",IF(R113="Speed",AB113&amp;IF(AH316&lt;&gt;"",", ",""),"")&amp;AH316,AH316)</f>
        <v/>
      </c>
      <c r="AJ315" s="1559"/>
    </row>
    <row r="316" spans="2:36" ht="29">
      <c r="B316" s="60"/>
      <c r="C316" s="1320" t="s">
        <v>7376</v>
      </c>
      <c r="D316" s="61"/>
      <c r="E316" s="62" t="s">
        <v>7391</v>
      </c>
      <c r="F316" s="1694" t="s">
        <v>7408</v>
      </c>
      <c r="G316" s="63" t="str">
        <f>IF(Droid,"Yes","No")</f>
        <v>No</v>
      </c>
      <c r="H316" s="76"/>
      <c r="I316" s="63"/>
      <c r="J316" s="63" t="str">
        <f>IF(COUNTIF(T316:Z316,2)&gt;0,IF(G316="Yes","Class",""),IF(COUNTIF(T316:Z316,3)&gt;0,IF(COUNTIF(MulticlassFeats,Feats!C316&amp;IF(Feats!D316&lt;&gt;""," ("&amp;Feats!D316&amp;")","")),"Multi",""),""))</f>
        <v/>
      </c>
      <c r="K316" s="63" t="str">
        <f t="shared" ca="1" si="139"/>
        <v/>
      </c>
      <c r="L316" s="63" t="str">
        <f t="shared" ca="1" si="122"/>
        <v>No</v>
      </c>
      <c r="M316" s="63">
        <f t="shared" ca="1" si="137"/>
        <v>0</v>
      </c>
      <c r="N316" s="63" t="s">
        <v>7517</v>
      </c>
      <c r="O316" s="64"/>
      <c r="P316" s="660"/>
      <c r="Q316" s="661"/>
      <c r="R316" s="661"/>
      <c r="AB316" s="1566" t="str">
        <f t="shared" ca="1" si="138"/>
        <v/>
      </c>
      <c r="AC316" s="1365" t="str">
        <f ca="1">IF(AB126&lt;&gt;"",AB126&amp;";"&amp;AC317,AC317)</f>
        <v/>
      </c>
      <c r="AD316" s="1365" t="str">
        <f ca="1">IF(AB126&lt;&gt;"",N126&amp;";"&amp;AD317,AD317)</f>
        <v/>
      </c>
      <c r="AE316" s="1365" t="str">
        <f ca="1">IF(AB126&lt;&gt;"",IF(R126="Att Options",AB126&amp;IF(AE317&lt;&gt;"",", ",""),"")&amp;AE317,AE317)</f>
        <v/>
      </c>
      <c r="AF316" s="1365" t="str">
        <f ca="1">IF(AB126&lt;&gt;"",IF(R126="Special Actions",AB126&amp;IF(AF317&lt;&gt;"",", ",""),"")&amp;AF317,AF317)</f>
        <v/>
      </c>
      <c r="AG316" s="1467" t="str">
        <f ca="1">IF(AB126&lt;&gt;"",IF(R126="Defenses",AB126&amp;IF(AG317&lt;&gt;"",", ",""),"")&amp;AG317,AG317)</f>
        <v/>
      </c>
      <c r="AH316" s="1467" t="str">
        <f ca="1">IF(AB126&lt;&gt;"",IF(R126="Speed",AB126&amp;IF(AH317&lt;&gt;"",", ",""),"")&amp;AH317,AH317)</f>
        <v/>
      </c>
      <c r="AJ316" s="1559"/>
    </row>
    <row r="317" spans="2:36">
      <c r="B317" s="60"/>
      <c r="C317" s="1320" t="s">
        <v>449</v>
      </c>
      <c r="D317" s="61"/>
      <c r="E317" s="62"/>
      <c r="F317" s="1694" t="s">
        <v>5670</v>
      </c>
      <c r="G317" s="63" t="str">
        <f>IF(CharacterLevel&gt;0,"Yes","No")</f>
        <v>No</v>
      </c>
      <c r="H317" s="76"/>
      <c r="I317" s="63"/>
      <c r="J317" s="63" t="str">
        <f>IF(COUNTIF(T317:Z317,2)&gt;0,IF(G317="Yes","Class",""),IF(COUNTIF(T317:Z317,3)&gt;0,IF(COUNTIF(MulticlassFeats,Feats!C317&amp;IF(Feats!D317&lt;&gt;""," ("&amp;Feats!D317&amp;")","")),"Multi",""),""))</f>
        <v/>
      </c>
      <c r="K317" s="63" t="str">
        <f t="shared" ca="1" si="139"/>
        <v/>
      </c>
      <c r="L317" s="63" t="str">
        <f t="shared" ca="1" si="122"/>
        <v>No</v>
      </c>
      <c r="M317" s="63">
        <f t="shared" ca="1" si="137"/>
        <v>0</v>
      </c>
      <c r="N317" s="63">
        <v>88</v>
      </c>
      <c r="O317" s="64"/>
      <c r="P317" s="660"/>
      <c r="Q317" s="661"/>
      <c r="R317" s="661"/>
      <c r="X317" s="54">
        <f>IF(SoldierFeats&gt;0,1,0)</f>
        <v>0</v>
      </c>
      <c r="AB317" s="1566" t="str">
        <f t="shared" ca="1" si="138"/>
        <v/>
      </c>
      <c r="AC317" s="1365" t="str">
        <f ca="1">IF(AB135&lt;&gt;"",AB135&amp;";"&amp;AC318,AC318)</f>
        <v/>
      </c>
      <c r="AD317" s="1365" t="str">
        <f ca="1">IF(AB135&lt;&gt;"",N135&amp;";"&amp;AD318,AD318)</f>
        <v/>
      </c>
      <c r="AE317" s="1365" t="str">
        <f ca="1">IF(AB135&lt;&gt;"",IF(R135="Att Options",AB135&amp;IF(AE318&lt;&gt;"",", ",""),"")&amp;AE318,AE318)</f>
        <v/>
      </c>
      <c r="AF317" s="1365" t="str">
        <f ca="1">IF(AB135&lt;&gt;"",IF(R135="Special Actions",AB135&amp;IF(AF318&lt;&gt;"",", ",""),"")&amp;AF318,AF318)</f>
        <v/>
      </c>
      <c r="AG317" s="1467" t="str">
        <f ca="1">IF(AB135&lt;&gt;"",IF(R135="Defenses",AB135&amp;IF(AG318&lt;&gt;"",", ",""),"")&amp;AG318,AG318)</f>
        <v/>
      </c>
      <c r="AH317" s="1467" t="str">
        <f ca="1">IF(AB135&lt;&gt;"",IF(R135="Speed",AB135&amp;IF(AH318&lt;&gt;"",", ",""),"")&amp;AH318,AH318)</f>
        <v/>
      </c>
      <c r="AJ317" s="1559"/>
    </row>
    <row r="318" spans="2:36">
      <c r="B318" s="60"/>
      <c r="C318" s="1462" t="s">
        <v>8172</v>
      </c>
      <c r="D318" s="1462"/>
      <c r="E318" s="1462" t="s">
        <v>8171</v>
      </c>
      <c r="F318" s="1695" t="s">
        <v>8170</v>
      </c>
      <c r="G318" s="63" t="str">
        <f>IF(OR(TRide="Yes",STRide="Yes"),"Yes","No")</f>
        <v>No</v>
      </c>
      <c r="H318" s="76"/>
      <c r="I318" s="63"/>
      <c r="J318" s="63" t="str">
        <f>IF(COUNTIF(T318:Z318,2)&gt;0,IF(G318="Yes","Class",""),IF(COUNTIF(T318:Z318,3)&gt;0,IF(COUNTIF(MulticlassFeats,Feats!A50&amp;IF(Feats!B50&lt;&gt;""," ("&amp;Feats!B50&amp;")","")),"Multi",""),""))</f>
        <v/>
      </c>
      <c r="K318" s="63" t="str">
        <f t="shared" ca="1" si="139"/>
        <v/>
      </c>
      <c r="L318" s="63" t="str">
        <f t="shared" ca="1" si="122"/>
        <v>No</v>
      </c>
      <c r="M318" s="63">
        <f t="shared" ca="1" si="137"/>
        <v>0</v>
      </c>
      <c r="N318" s="1461" t="s">
        <v>8166</v>
      </c>
      <c r="O318" s="1462"/>
      <c r="P318" s="1559"/>
      <c r="R318" s="661"/>
      <c r="S318" s="1463"/>
      <c r="T318" s="660"/>
      <c r="U318" s="660"/>
      <c r="V318" s="660"/>
      <c r="W318" s="54">
        <f>IF(ScoutFeats&gt;0,1,0)</f>
        <v>0</v>
      </c>
      <c r="X318" s="660"/>
      <c r="Y318" s="660"/>
      <c r="Z318" s="1562"/>
      <c r="AA318" s="1568"/>
      <c r="AB318" s="1566" t="str">
        <f t="shared" ca="1" si="138"/>
        <v/>
      </c>
      <c r="AC318" s="1365" t="str">
        <f ca="1">IF(AB142&lt;&gt;"",AB142&amp;";"&amp;AC319,AC319)</f>
        <v/>
      </c>
      <c r="AD318" s="1365" t="str">
        <f ca="1">IF(AB142&lt;&gt;"",N142&amp;";"&amp;AD319,AD319)</f>
        <v/>
      </c>
      <c r="AE318" s="1365" t="str">
        <f ca="1">IF(AB142&lt;&gt;"",IF(R142="Att Options",AB142&amp;IF(AE319&lt;&gt;"",", ",""),"")&amp;AE319,AE319)</f>
        <v/>
      </c>
      <c r="AF318" s="1365" t="str">
        <f ca="1">IF(AB142&lt;&gt;"",IF(R142="Special Actions",AB142&amp;IF(AF319&lt;&gt;"",", ",""),"")&amp;AF319,AF319)</f>
        <v/>
      </c>
      <c r="AG318" s="1467" t="str">
        <f ca="1">IF(AB142&lt;&gt;"",IF(R142="Defenses",AB142&amp;IF(AG319&lt;&gt;"",", ",""),"")&amp;AG319,AG319)</f>
        <v/>
      </c>
      <c r="AH318" s="1467" t="str">
        <f ca="1">IF(AB142&lt;&gt;"",IF(R142="Speed",AB142&amp;IF(AH319&lt;&gt;"",", ",""),"")&amp;AH319,AH319)</f>
        <v/>
      </c>
      <c r="AJ318" s="1559"/>
    </row>
    <row r="319" spans="2:36">
      <c r="B319" s="60"/>
      <c r="C319" s="1320" t="s">
        <v>2510</v>
      </c>
      <c r="D319" s="61"/>
      <c r="E319" s="62"/>
      <c r="F319" s="1694" t="s">
        <v>5671</v>
      </c>
      <c r="G319" s="63" t="str">
        <f>IF(CharacterLevel&gt;0,"Yes","No")</f>
        <v>No</v>
      </c>
      <c r="H319" s="76"/>
      <c r="I319" s="63"/>
      <c r="J319" s="63" t="str">
        <f>IF(COUNTIF(T319:Z319,2)&gt;0,IF(G319="Yes","Class",""),IF(COUNTIF(T319:Z319,3)&gt;0,IF(COUNTIF(MulticlassFeats,Feats!C319&amp;IF(Feats!D319&lt;&gt;""," ("&amp;Feats!D319&amp;")","")),"Multi",""),""))</f>
        <v/>
      </c>
      <c r="K319" s="63" t="str">
        <f t="shared" ca="1" si="139"/>
        <v/>
      </c>
      <c r="L319" s="63" t="str">
        <f t="shared" ca="1" si="122"/>
        <v>No</v>
      </c>
      <c r="M319" s="63">
        <f t="shared" ca="1" si="137"/>
        <v>0</v>
      </c>
      <c r="N319" s="63" t="s">
        <v>2395</v>
      </c>
      <c r="O319" s="64"/>
      <c r="P319" s="660"/>
      <c r="Q319" s="508"/>
      <c r="R319" s="661" t="s">
        <v>4060</v>
      </c>
      <c r="X319" s="54">
        <f t="shared" ref="X319:X331" si="140">IF(SoldierFeats&gt;0,1,0)</f>
        <v>0</v>
      </c>
      <c r="AB319" s="1566" t="str">
        <f t="shared" ca="1" si="138"/>
        <v/>
      </c>
      <c r="AC319" s="1365" t="str">
        <f ca="1">IF(AB154&lt;&gt;"",AB154&amp;";"&amp;AC320,AC320)</f>
        <v/>
      </c>
      <c r="AD319" s="1365" t="str">
        <f ca="1">IF(AB154&lt;&gt;"",N154&amp;";"&amp;AD320,AD320)</f>
        <v/>
      </c>
      <c r="AE319" s="1365" t="str">
        <f ca="1">IF(AB154&lt;&gt;"",IF(R154="Att Options",AB154&amp;IF(AE320&lt;&gt;"",", ",""),"")&amp;AE320,AE320)</f>
        <v/>
      </c>
      <c r="AF319" s="1365" t="str">
        <f ca="1">IF(AB154&lt;&gt;"",IF(R154="Special Actions",AB154&amp;IF(AF320&lt;&gt;"",", ",""),"")&amp;AF320,AF320)</f>
        <v/>
      </c>
      <c r="AG319" s="1467" t="str">
        <f ca="1">IF(AB154&lt;&gt;"",IF(R154="Defenses",AB154&amp;IF(AG320&lt;&gt;"",", ",""),"")&amp;AG320,AG320)</f>
        <v/>
      </c>
      <c r="AH319" s="1467" t="str">
        <f ca="1">IF(AB154&lt;&gt;"",IF(R154="Speed",AB154&amp;IF(AH320&lt;&gt;"",", ",""),"")&amp;AH320,AH320)</f>
        <v/>
      </c>
      <c r="AJ319" s="1559"/>
    </row>
    <row r="320" spans="2:36">
      <c r="B320" s="60"/>
      <c r="C320" s="1320" t="s">
        <v>2041</v>
      </c>
      <c r="D320" s="61"/>
      <c r="E320" s="62" t="s">
        <v>2268</v>
      </c>
      <c r="F320" s="1694" t="s">
        <v>5672</v>
      </c>
      <c r="G320" s="63" t="str">
        <f>IF(AND(CharacterLevel&gt;0,BAB&gt;=1),"Yes","No")</f>
        <v>No</v>
      </c>
      <c r="H320" s="76"/>
      <c r="I320" s="63"/>
      <c r="J320" s="63" t="str">
        <f>IF(COUNTIF(T320:Z320,2)&gt;0,IF(G320="Yes","Class",""),IF(COUNTIF(T320:Z320,3)&gt;0,IF(COUNTIF(MulticlassFeats,Feats!C320&amp;IF(Feats!D320&lt;&gt;""," ("&amp;Feats!D320&amp;")","")),"Multi",""),""))</f>
        <v/>
      </c>
      <c r="K320" s="63" t="str">
        <f t="shared" ca="1" si="139"/>
        <v/>
      </c>
      <c r="L320" s="63" t="str">
        <f t="shared" ca="1" si="122"/>
        <v>No</v>
      </c>
      <c r="M320" s="63">
        <f t="shared" ca="1" si="137"/>
        <v>0</v>
      </c>
      <c r="N320" s="63">
        <v>88</v>
      </c>
      <c r="O320" s="64"/>
      <c r="P320" s="660"/>
      <c r="Q320" s="661"/>
      <c r="R320" s="661" t="s">
        <v>4059</v>
      </c>
      <c r="X320" s="54">
        <f t="shared" si="140"/>
        <v>0</v>
      </c>
      <c r="AB320" s="1566" t="str">
        <f t="shared" ca="1" si="138"/>
        <v/>
      </c>
      <c r="AC320" s="1365" t="str">
        <f ca="1">IF(AB164&lt;&gt;"",AB164&amp;";"&amp;AC321,AC321)</f>
        <v/>
      </c>
      <c r="AD320" s="1365" t="str">
        <f ca="1">IF(AB164&lt;&gt;"",N164&amp;";"&amp;AD321,AD321)</f>
        <v/>
      </c>
      <c r="AE320" s="1365" t="str">
        <f ca="1">IF(AB164&lt;&gt;"",IF(R164="Att Options",AB164&amp;IF(AE321&lt;&gt;"",", ",""),"")&amp;AE321,AE321)</f>
        <v/>
      </c>
      <c r="AF320" s="1365" t="str">
        <f ca="1">IF(AB164&lt;&gt;"",IF(R164="Special Actions",AB164&amp;IF(AF321&lt;&gt;"",", ",""),"")&amp;AF321,AF321)</f>
        <v/>
      </c>
      <c r="AG320" s="1467" t="str">
        <f ca="1">IF(AB164&lt;&gt;"",IF(R164="Defenses",AB164&amp;IF(AG321&lt;&gt;"",", ",""),"")&amp;AG321,AG321)</f>
        <v/>
      </c>
      <c r="AH320" s="1467" t="str">
        <f ca="1">IF(AB164&lt;&gt;"",IF(R164="Speed",AB164&amp;IF(AH321&lt;&gt;"",", ",""),"")&amp;AH321,AH321)</f>
        <v/>
      </c>
      <c r="AJ320" s="1559"/>
    </row>
    <row r="321" spans="2:36">
      <c r="B321" s="60"/>
      <c r="C321" s="1320" t="s">
        <v>2511</v>
      </c>
      <c r="D321" s="61" t="s">
        <v>1381</v>
      </c>
      <c r="E321" s="62" t="s">
        <v>2512</v>
      </c>
      <c r="F321" s="1694" t="s">
        <v>5673</v>
      </c>
      <c r="G321" s="63" t="str">
        <f t="shared" ref="G321:G328" ca="1" si="141">IF(AND(BAB&gt;=9,M75&gt;0),"Yes","No")</f>
        <v>No</v>
      </c>
      <c r="H321" s="76"/>
      <c r="I321" s="63"/>
      <c r="J321" s="63" t="str">
        <f>IF(COUNTIF(T321:Z321,2)&gt;0,IF(G321="Yes","Class",""),IF(COUNTIF(T321:Z321,3)&gt;0,IF(COUNTIF(MulticlassFeats,Feats!C321&amp;IF(Feats!D321&lt;&gt;""," ("&amp;Feats!D321&amp;")","")),"Multi",""),""))</f>
        <v/>
      </c>
      <c r="K321" s="63" t="str">
        <f t="shared" ca="1" si="139"/>
        <v/>
      </c>
      <c r="L321" s="63" t="str">
        <f t="shared" ca="1" si="122"/>
        <v>No</v>
      </c>
      <c r="M321" s="63">
        <f t="shared" ca="1" si="137"/>
        <v>0</v>
      </c>
      <c r="N321" s="63">
        <v>89</v>
      </c>
      <c r="O321" s="64"/>
      <c r="P321" s="660"/>
      <c r="Q321" s="661"/>
      <c r="R321" s="661" t="s">
        <v>4059</v>
      </c>
      <c r="T321" s="54">
        <f t="shared" ref="T321:T331" si="142">IF(JediFeats&gt;0,1,0)</f>
        <v>0</v>
      </c>
      <c r="X321" s="54">
        <f t="shared" si="140"/>
        <v>0</v>
      </c>
      <c r="AB321" s="1566" t="str">
        <f t="shared" ca="1" si="138"/>
        <v/>
      </c>
      <c r="AC321" s="1365" t="str">
        <f ca="1">IF(AB181&lt;&gt;"",AB181&amp;";"&amp;AC322,AC322)</f>
        <v/>
      </c>
      <c r="AD321" s="1365" t="str">
        <f ca="1">IF(AB181&lt;&gt;"",N181&amp;";"&amp;AD322,AD322)</f>
        <v/>
      </c>
      <c r="AE321" s="1365" t="str">
        <f ca="1">IF(AB181&lt;&gt;"",IF(R181="Att Options",AB181&amp;IF(AE322&lt;&gt;"",", ",""),"")&amp;AE322,AE322)</f>
        <v/>
      </c>
      <c r="AF321" s="1365" t="str">
        <f ca="1">IF(AB181&lt;&gt;"",IF(R181="Special Actions",AB181&amp;IF(AF322&lt;&gt;"",", ",""),"")&amp;AF322,AF322)</f>
        <v/>
      </c>
      <c r="AG321" s="1467" t="str">
        <f ca="1">IF(AB181&lt;&gt;"",IF(R181="Defenses",AB181&amp;IF(AG322&lt;&gt;"",", ",""),"")&amp;AG322,AG322)</f>
        <v/>
      </c>
      <c r="AH321" s="1467" t="str">
        <f ca="1">IF(AB181&lt;&gt;"",IF(R181="Speed",AB181&amp;IF(AH322&lt;&gt;"",", ",""),"")&amp;AH322,AH322)</f>
        <v/>
      </c>
      <c r="AJ321" s="1559"/>
    </row>
    <row r="322" spans="2:36">
      <c r="B322" s="60"/>
      <c r="C322" s="1320" t="s">
        <v>2511</v>
      </c>
      <c r="D322" s="61" t="s">
        <v>651</v>
      </c>
      <c r="E322" s="62" t="s">
        <v>2512</v>
      </c>
      <c r="F322" s="1694" t="s">
        <v>5673</v>
      </c>
      <c r="G322" s="63" t="str">
        <f t="shared" ca="1" si="141"/>
        <v>No</v>
      </c>
      <c r="H322" s="76"/>
      <c r="I322" s="63"/>
      <c r="J322" s="63" t="str">
        <f>IF(COUNTIF(T322:Z322,2)&gt;0,IF(G322="Yes","Class",""),IF(COUNTIF(T322:Z322,3)&gt;0,IF(COUNTIF(MulticlassFeats,Feats!C322&amp;IF(Feats!D322&lt;&gt;""," ("&amp;Feats!D322&amp;")","")),"Multi",""),""))</f>
        <v/>
      </c>
      <c r="K322" s="63" t="str">
        <f t="shared" ca="1" si="139"/>
        <v/>
      </c>
      <c r="L322" s="63" t="str">
        <f t="shared" ca="1" si="122"/>
        <v>No</v>
      </c>
      <c r="M322" s="63">
        <f t="shared" ca="1" si="137"/>
        <v>0</v>
      </c>
      <c r="N322" s="63">
        <v>89</v>
      </c>
      <c r="O322" s="64"/>
      <c r="P322" s="660"/>
      <c r="Q322" s="661"/>
      <c r="R322" s="661" t="s">
        <v>4059</v>
      </c>
      <c r="T322" s="54">
        <f t="shared" si="142"/>
        <v>0</v>
      </c>
      <c r="X322" s="54">
        <f t="shared" si="140"/>
        <v>0</v>
      </c>
      <c r="AB322" s="1566" t="str">
        <f t="shared" ca="1" si="138"/>
        <v/>
      </c>
      <c r="AC322" s="1365" t="str">
        <f ca="1">IF(AB182&lt;&gt;"",AB182&amp;";"&amp;AC323,AC323)</f>
        <v/>
      </c>
      <c r="AD322" s="1365" t="str">
        <f ca="1">IF(AB182&lt;&gt;"",N182&amp;";"&amp;AD323,AD323)</f>
        <v/>
      </c>
      <c r="AE322" s="1365" t="str">
        <f ca="1">IF(AB182&lt;&gt;"",IF(R182="Att Options",AB182&amp;IF(AE323&lt;&gt;"",", ",""),"")&amp;AE323,AE323)</f>
        <v/>
      </c>
      <c r="AF322" s="1365" t="str">
        <f ca="1">IF(AB182&lt;&gt;"",IF(R182="Special Actions",AB182&amp;IF(AF323&lt;&gt;"",", ",""),"")&amp;AF323,AF323)</f>
        <v/>
      </c>
      <c r="AG322" s="1467" t="str">
        <f ca="1">IF(AB182&lt;&gt;"",IF(R182="Defenses",AB182&amp;IF(AG323&lt;&gt;"",", ",""),"")&amp;AG323,AG323)</f>
        <v/>
      </c>
      <c r="AH322" s="1467" t="str">
        <f ca="1">IF(AB182&lt;&gt;"",IF(R182="Speed",AB182&amp;IF(AH323&lt;&gt;"",", ",""),"")&amp;AH323,AH323)</f>
        <v/>
      </c>
      <c r="AJ322" s="1559"/>
    </row>
    <row r="323" spans="2:36">
      <c r="B323" s="60"/>
      <c r="C323" s="1320" t="s">
        <v>2511</v>
      </c>
      <c r="D323" s="61" t="s">
        <v>1520</v>
      </c>
      <c r="E323" s="62" t="s">
        <v>2512</v>
      </c>
      <c r="F323" s="1694" t="s">
        <v>5673</v>
      </c>
      <c r="G323" s="63" t="str">
        <f t="shared" ca="1" si="141"/>
        <v>No</v>
      </c>
      <c r="H323" s="76"/>
      <c r="I323" s="63"/>
      <c r="J323" s="63" t="str">
        <f>IF(COUNTIF(T323:Z323,2)&gt;0,IF(G323="Yes","Class",""),IF(COUNTIF(T323:Z323,3)&gt;0,IF(COUNTIF(MulticlassFeats,Feats!C323&amp;IF(Feats!D323&lt;&gt;""," ("&amp;Feats!D323&amp;")","")),"Multi",""),""))</f>
        <v/>
      </c>
      <c r="K323" s="63" t="str">
        <f t="shared" ca="1" si="139"/>
        <v/>
      </c>
      <c r="L323" s="63" t="str">
        <f t="shared" ca="1" si="122"/>
        <v>No</v>
      </c>
      <c r="M323" s="63">
        <f t="shared" ca="1" si="137"/>
        <v>0</v>
      </c>
      <c r="N323" s="63">
        <v>89</v>
      </c>
      <c r="O323" s="64"/>
      <c r="P323" s="660"/>
      <c r="Q323" s="661"/>
      <c r="R323" s="661" t="s">
        <v>4059</v>
      </c>
      <c r="T323" s="54">
        <f t="shared" si="142"/>
        <v>0</v>
      </c>
      <c r="X323" s="54">
        <f t="shared" si="140"/>
        <v>0</v>
      </c>
      <c r="AB323" s="1566" t="str">
        <f t="shared" ca="1" si="138"/>
        <v/>
      </c>
      <c r="AC323" s="1365" t="str">
        <f ca="1">IF(AB226&lt;&gt;"",AB226&amp;";"&amp;AC324,AC324)</f>
        <v/>
      </c>
      <c r="AD323" s="1365" t="str">
        <f ca="1">IF(AB226&lt;&gt;"",N226&amp;";"&amp;AD324,AD324)</f>
        <v/>
      </c>
      <c r="AE323" s="1365" t="str">
        <f ca="1">IF(AB226&lt;&gt;"",IF(R226="Att Options",AB226&amp;IF(AE324&lt;&gt;"",", ",""),"")&amp;AE324,AE324)</f>
        <v/>
      </c>
      <c r="AF323" s="1365" t="str">
        <f ca="1">IF(AB226&lt;&gt;"",IF(R226="Special Actions",AB226&amp;IF(AF324&lt;&gt;"",", ",""),"")&amp;AF324,AF324)</f>
        <v/>
      </c>
      <c r="AG323" s="1467" t="str">
        <f ca="1">IF(AB226&lt;&gt;"",IF(R226="Defenses",AB226&amp;IF(AG324&lt;&gt;"",", ",""),"")&amp;AG324,AG324)</f>
        <v/>
      </c>
      <c r="AH323" s="1467" t="str">
        <f ca="1">IF(AB226&lt;&gt;"",IF(R226="Speed",AB226&amp;IF(AH324&lt;&gt;"",", ",""),"")&amp;AH324,AH324)</f>
        <v/>
      </c>
      <c r="AJ323" s="1559"/>
    </row>
    <row r="324" spans="2:36">
      <c r="B324" s="60"/>
      <c r="C324" s="1320" t="s">
        <v>2511</v>
      </c>
      <c r="D324" s="61" t="s">
        <v>563</v>
      </c>
      <c r="E324" s="62" t="s">
        <v>2512</v>
      </c>
      <c r="F324" s="1694" t="s">
        <v>5673</v>
      </c>
      <c r="G324" s="63" t="str">
        <f t="shared" ca="1" si="141"/>
        <v>No</v>
      </c>
      <c r="H324" s="76"/>
      <c r="I324" s="63"/>
      <c r="J324" s="63" t="str">
        <f>IF(COUNTIF(T324:Z324,2)&gt;0,IF(G324="Yes","Class",""),IF(COUNTIF(T324:Z324,3)&gt;0,IF(COUNTIF(MulticlassFeats,Feats!C324&amp;IF(Feats!D324&lt;&gt;""," ("&amp;Feats!D324&amp;")","")),"Multi",""),""))</f>
        <v/>
      </c>
      <c r="K324" s="63" t="str">
        <f t="shared" ca="1" si="139"/>
        <v/>
      </c>
      <c r="L324" s="63" t="str">
        <f t="shared" ca="1" si="122"/>
        <v>No</v>
      </c>
      <c r="M324" s="63">
        <f t="shared" ca="1" si="137"/>
        <v>0</v>
      </c>
      <c r="N324" s="63">
        <v>89</v>
      </c>
      <c r="O324" s="64"/>
      <c r="P324" s="660"/>
      <c r="Q324" s="661"/>
      <c r="R324" s="661" t="s">
        <v>4059</v>
      </c>
      <c r="T324" s="54">
        <f t="shared" si="142"/>
        <v>0</v>
      </c>
      <c r="X324" s="54">
        <f t="shared" si="140"/>
        <v>0</v>
      </c>
      <c r="AB324" s="1566" t="str">
        <f t="shared" ca="1" si="138"/>
        <v/>
      </c>
      <c r="AC324" s="1365" t="str">
        <f ca="1">IF(AB255&lt;&gt;"",AB255&amp;";"&amp;AC325,AC325)</f>
        <v/>
      </c>
      <c r="AD324" s="1365" t="str">
        <f ca="1">IF(AB255&lt;&gt;"",N255&amp;";"&amp;AD325,AD325)</f>
        <v/>
      </c>
      <c r="AE324" s="1365" t="str">
        <f ca="1">IF(AB255&lt;&gt;"",IF(R255="Att Options",AB255&amp;IF(AE325&lt;&gt;"",", ",""),"")&amp;AE325,AE325)</f>
        <v/>
      </c>
      <c r="AF324" s="1365" t="str">
        <f ca="1">IF(AB255&lt;&gt;"",IF(R255="Special Actions",AB255&amp;IF(AF325&lt;&gt;"",", ",""),"")&amp;AF325,AF325)</f>
        <v/>
      </c>
      <c r="AG324" s="1467" t="str">
        <f ca="1">IF(AB255&lt;&gt;"",IF(R255="Defenses",AB255&amp;IF(AG325&lt;&gt;"",", ",""),"")&amp;AG325,AG325)</f>
        <v/>
      </c>
      <c r="AH324" s="1467" t="str">
        <f ca="1">IF(AB255&lt;&gt;"",IF(R255="Speed",AB255&amp;IF(AH325&lt;&gt;"",", ",""),"")&amp;AH325,AH325)</f>
        <v/>
      </c>
      <c r="AJ324" s="1559"/>
    </row>
    <row r="325" spans="2:36">
      <c r="B325" s="60"/>
      <c r="C325" s="1320" t="s">
        <v>2511</v>
      </c>
      <c r="D325" s="61" t="s">
        <v>531</v>
      </c>
      <c r="E325" s="62" t="s">
        <v>2512</v>
      </c>
      <c r="F325" s="1694" t="s">
        <v>5673</v>
      </c>
      <c r="G325" s="63" t="str">
        <f t="shared" ca="1" si="141"/>
        <v>No</v>
      </c>
      <c r="H325" s="76"/>
      <c r="I325" s="63"/>
      <c r="J325" s="63" t="str">
        <f>IF(COUNTIF(T325:Z325,2)&gt;0,IF(G325="Yes","Class",""),IF(COUNTIF(T325:Z325,3)&gt;0,IF(COUNTIF(MulticlassFeats,Feats!C325&amp;IF(Feats!D325&lt;&gt;""," ("&amp;Feats!D325&amp;")","")),"Multi",""),""))</f>
        <v/>
      </c>
      <c r="K325" s="63" t="str">
        <f t="shared" ca="1" si="139"/>
        <v/>
      </c>
      <c r="L325" s="63" t="str">
        <f t="shared" ca="1" si="122"/>
        <v>No</v>
      </c>
      <c r="M325" s="63">
        <f t="shared" ca="1" si="137"/>
        <v>0</v>
      </c>
      <c r="N325" s="63">
        <v>89</v>
      </c>
      <c r="O325" s="64"/>
      <c r="P325" s="660"/>
      <c r="Q325" s="661"/>
      <c r="R325" s="661" t="s">
        <v>4059</v>
      </c>
      <c r="T325" s="54">
        <f t="shared" si="142"/>
        <v>0</v>
      </c>
      <c r="X325" s="54">
        <f t="shared" si="140"/>
        <v>0</v>
      </c>
      <c r="AB325" s="1566" t="str">
        <f t="shared" ca="1" si="138"/>
        <v/>
      </c>
      <c r="AC325" s="1365" t="str">
        <f ca="1">IF(AB265&lt;&gt;"",AB265&amp;";"&amp;AC326,AC326)</f>
        <v/>
      </c>
      <c r="AD325" s="1365" t="str">
        <f ca="1">IF(AB265&lt;&gt;"",N265&amp;";"&amp;AD326,AD326)</f>
        <v/>
      </c>
      <c r="AE325" s="1365" t="str">
        <f ca="1">IF(AB265&lt;&gt;"",IF(R265="Att Options",AB265&amp;IF(AE326&lt;&gt;"",", ",""),"")&amp;AE326,AE326)</f>
        <v/>
      </c>
      <c r="AF325" s="1365" t="str">
        <f ca="1">IF(AB265&lt;&gt;"",IF(R265="Special Actions",AB265&amp;IF(AF326&lt;&gt;"",", ",""),"")&amp;AF326,AF326)</f>
        <v/>
      </c>
      <c r="AG325" s="1467" t="str">
        <f ca="1">IF(AB265&lt;&gt;"",IF(R265="Defenses",AB265&amp;IF(AG326&lt;&gt;"",", ",""),"")&amp;AG326,AG326)</f>
        <v/>
      </c>
      <c r="AH325" s="1467" t="str">
        <f ca="1">IF(AB265&lt;&gt;"",IF(R265="Speed",AB265&amp;IF(AH326&lt;&gt;"",", ",""),"")&amp;AH326,AH326)</f>
        <v/>
      </c>
      <c r="AJ325" s="1559"/>
    </row>
    <row r="326" spans="2:36">
      <c r="B326" s="60"/>
      <c r="C326" s="1320" t="s">
        <v>2511</v>
      </c>
      <c r="D326" s="61" t="s">
        <v>461</v>
      </c>
      <c r="E326" s="62" t="s">
        <v>2512</v>
      </c>
      <c r="F326" s="1694" t="s">
        <v>5673</v>
      </c>
      <c r="G326" s="63" t="str">
        <f t="shared" ca="1" si="141"/>
        <v>No</v>
      </c>
      <c r="H326" s="76"/>
      <c r="I326" s="63"/>
      <c r="J326" s="63" t="str">
        <f>IF(COUNTIF(T326:Z326,2)&gt;0,IF(G326="Yes","Class",""),IF(COUNTIF(T326:Z326,3)&gt;0,IF(COUNTIF(MulticlassFeats,Feats!C326&amp;IF(Feats!D326&lt;&gt;""," ("&amp;Feats!D326&amp;")","")),"Multi",""),""))</f>
        <v/>
      </c>
      <c r="K326" s="63" t="str">
        <f t="shared" ca="1" si="139"/>
        <v/>
      </c>
      <c r="L326" s="63" t="str">
        <f t="shared" ca="1" si="122"/>
        <v>No</v>
      </c>
      <c r="M326" s="63">
        <f t="shared" ca="1" si="137"/>
        <v>0</v>
      </c>
      <c r="N326" s="63">
        <v>89</v>
      </c>
      <c r="O326" s="64"/>
      <c r="P326" s="660"/>
      <c r="Q326" s="661"/>
      <c r="R326" s="661" t="s">
        <v>4059</v>
      </c>
      <c r="T326" s="54">
        <f t="shared" si="142"/>
        <v>0</v>
      </c>
      <c r="X326" s="54">
        <f t="shared" si="140"/>
        <v>0</v>
      </c>
      <c r="AB326" s="1566" t="str">
        <f t="shared" ca="1" si="138"/>
        <v/>
      </c>
      <c r="AC326" s="1365" t="str">
        <f ca="1">IF(AB270&lt;&gt;"",AB270&amp;";"&amp;AC327,AC327)</f>
        <v/>
      </c>
      <c r="AD326" s="1365" t="str">
        <f ca="1">IF(AB270&lt;&gt;"",N270&amp;";"&amp;AD327,AD327)</f>
        <v/>
      </c>
      <c r="AE326" s="1365" t="str">
        <f ca="1">IF(AB270&lt;&gt;"",IF(R270="Att Options",AB270&amp;IF(AE327&lt;&gt;"",", ",""),"")&amp;AE327,AE327)</f>
        <v/>
      </c>
      <c r="AF326" s="1365" t="str">
        <f ca="1">IF(AB270&lt;&gt;"",IF(R270="Special Actions",AB270&amp;IF(AF327&lt;&gt;"",", ",""),"")&amp;AF327,AF327)</f>
        <v/>
      </c>
      <c r="AG326" s="1467" t="str">
        <f ca="1">IF(AB270&lt;&gt;"",IF(R270="Defenses",AB270&amp;IF(AG327&lt;&gt;"",", ",""),"")&amp;AG327,AG327)</f>
        <v/>
      </c>
      <c r="AH326" s="1467" t="str">
        <f ca="1">IF(AB270&lt;&gt;"",IF(R270="Speed",AB270&amp;IF(AH327&lt;&gt;"",", ",""),"")&amp;AH327,AH327)</f>
        <v/>
      </c>
    </row>
    <row r="327" spans="2:36">
      <c r="B327" s="60"/>
      <c r="C327" s="1320" t="s">
        <v>2511</v>
      </c>
      <c r="D327" s="61" t="str">
        <f>IF($D$100&lt;&gt;"",$D$100,"")</f>
        <v/>
      </c>
      <c r="E327" s="62" t="s">
        <v>2512</v>
      </c>
      <c r="F327" s="1694" t="s">
        <v>5673</v>
      </c>
      <c r="G327" s="63" t="str">
        <f t="shared" ca="1" si="141"/>
        <v>No</v>
      </c>
      <c r="H327" s="76"/>
      <c r="I327" s="63"/>
      <c r="J327" s="63" t="str">
        <f>IF(COUNTIF(T327:Z327,2)&gt;0,IF(G327="Yes","Class",""),IF(COUNTIF(T327:Z327,3)&gt;0,IF(COUNTIF(MulticlassFeats,Feats!C327&amp;IF(Feats!D327&lt;&gt;""," ("&amp;Feats!D327&amp;")","")),"Multi",""),""))</f>
        <v/>
      </c>
      <c r="K327" s="63" t="str">
        <f t="shared" ca="1" si="139"/>
        <v/>
      </c>
      <c r="L327" s="63" t="str">
        <f t="shared" ca="1" si="122"/>
        <v>No</v>
      </c>
      <c r="M327" s="63">
        <f t="shared" ca="1" si="137"/>
        <v>0</v>
      </c>
      <c r="N327" s="63">
        <v>89</v>
      </c>
      <c r="O327" s="64"/>
      <c r="P327" s="660"/>
      <c r="Q327" s="661"/>
      <c r="R327" s="661" t="s">
        <v>4059</v>
      </c>
      <c r="T327" s="54">
        <f t="shared" si="142"/>
        <v>0</v>
      </c>
      <c r="X327" s="54">
        <f t="shared" si="140"/>
        <v>0</v>
      </c>
      <c r="AB327" s="1566" t="str">
        <f t="shared" ca="1" si="138"/>
        <v/>
      </c>
      <c r="AC327" s="1365" t="str">
        <f ca="1">IF(AB285&lt;&gt;"",AB285&amp;";"&amp;AC328,AC328)</f>
        <v/>
      </c>
      <c r="AD327" s="1365" t="str">
        <f ca="1">IF(AB285&lt;&gt;"",N285&amp;";"&amp;AD328,AD328)</f>
        <v/>
      </c>
      <c r="AE327" s="1365" t="str">
        <f ca="1">IF(AB285&lt;&gt;"",IF(R285="Att Options",AB285&amp;IF(AE328&lt;&gt;"",", ",""),"")&amp;AE328,AE328)</f>
        <v/>
      </c>
      <c r="AF327" s="1365" t="str">
        <f ca="1">IF(AB285&lt;&gt;"",IF(R285="Special Actions",AB285&amp;IF(AF328&lt;&gt;"",", ",""),"")&amp;AF328,AF328)</f>
        <v/>
      </c>
      <c r="AG327" s="1467" t="str">
        <f ca="1">IF(AB285&lt;&gt;"",IF(R285="Defenses",AB285&amp;IF(AG328&lt;&gt;"",", ",""),"")&amp;AG328,AG328)</f>
        <v/>
      </c>
      <c r="AH327" s="1467" t="str">
        <f ca="1">IF(AB285&lt;&gt;"",IF(R285="Speed",AB285&amp;IF(AH328&lt;&gt;"",", ",""),"")&amp;AH328,AH328)</f>
        <v/>
      </c>
    </row>
    <row r="328" spans="2:36">
      <c r="B328" s="60"/>
      <c r="C328" s="1320" t="s">
        <v>2511</v>
      </c>
      <c r="D328" s="61" t="str">
        <f>IF($D$101&lt;&gt;"",$D$101,"")</f>
        <v/>
      </c>
      <c r="E328" s="62" t="s">
        <v>2512</v>
      </c>
      <c r="F328" s="1694" t="s">
        <v>5673</v>
      </c>
      <c r="G328" s="63" t="str">
        <f t="shared" ca="1" si="141"/>
        <v>No</v>
      </c>
      <c r="H328" s="76"/>
      <c r="I328" s="63"/>
      <c r="J328" s="63" t="str">
        <f>IF(COUNTIF(T328:Z328,2)&gt;0,IF(G328="Yes","Class",""),IF(COUNTIF(T328:Z328,3)&gt;0,IF(COUNTIF(MulticlassFeats,Feats!C328&amp;IF(Feats!D328&lt;&gt;""," ("&amp;Feats!D328&amp;")","")),"Multi",""),""))</f>
        <v/>
      </c>
      <c r="K328" s="63" t="str">
        <f t="shared" ca="1" si="139"/>
        <v/>
      </c>
      <c r="L328" s="63" t="str">
        <f t="shared" ca="1" si="122"/>
        <v>No</v>
      </c>
      <c r="M328" s="63">
        <f t="shared" ca="1" si="137"/>
        <v>0</v>
      </c>
      <c r="N328" s="63">
        <v>89</v>
      </c>
      <c r="O328" s="64"/>
      <c r="P328" s="660"/>
      <c r="Q328" s="661"/>
      <c r="R328" s="661" t="s">
        <v>4059</v>
      </c>
      <c r="T328" s="54">
        <f t="shared" si="142"/>
        <v>0</v>
      </c>
      <c r="X328" s="54">
        <f t="shared" si="140"/>
        <v>0</v>
      </c>
      <c r="AB328" s="1566" t="str">
        <f t="shared" ca="1" si="138"/>
        <v/>
      </c>
      <c r="AC328" s="1365" t="str">
        <f ca="1">IF(AB287&lt;&gt;"",AB287&amp;";"&amp;AC329,AC329)</f>
        <v/>
      </c>
      <c r="AD328" s="1365" t="str">
        <f ca="1">IF(AB287&lt;&gt;"",N287&amp;";"&amp;AD329,AD329)</f>
        <v/>
      </c>
      <c r="AE328" s="1365" t="str">
        <f ca="1">IF(AB287&lt;&gt;"",IF(R287="Att Options",AB287&amp;IF(AE329&lt;&gt;"",", ",""),"")&amp;AE329,AE329)</f>
        <v/>
      </c>
      <c r="AF328" s="1365" t="str">
        <f ca="1">IF(AB287&lt;&gt;"",IF(R287="Special Actions",AB287&amp;IF(AF329&lt;&gt;"",", ",""),"")&amp;AF329,AF329)</f>
        <v/>
      </c>
      <c r="AG328" s="1467" t="str">
        <f ca="1">IF(AB287&lt;&gt;"",IF(R287="Defenses",AB287&amp;IF(AG329&lt;&gt;"",", ",""),"")&amp;AG329,AG329)</f>
        <v/>
      </c>
      <c r="AH328" s="1467" t="str">
        <f ca="1">IF(AB287&lt;&gt;"",IF(R287="Speed",AB287&amp;IF(AH329&lt;&gt;"",", ",""),"")&amp;AH329,AH329)</f>
        <v/>
      </c>
    </row>
    <row r="329" spans="2:36">
      <c r="B329" s="60"/>
      <c r="C329" s="1320" t="s">
        <v>4204</v>
      </c>
      <c r="D329" s="689"/>
      <c r="E329" s="62" t="s">
        <v>2514</v>
      </c>
      <c r="F329" s="1694" t="s">
        <v>5674</v>
      </c>
      <c r="G329" s="63" t="str">
        <f>IF(AND(BAB&gt;=8),"Yes","No")</f>
        <v>No</v>
      </c>
      <c r="H329" s="76"/>
      <c r="I329" s="63"/>
      <c r="J329" s="63" t="str">
        <f>IF(COUNTIF(T329:Z329,2)&gt;0,IF(G329="Yes","Class",""),IF(COUNTIF(T329:Z329,3)&gt;0,IF(COUNTIF(MulticlassFeats,Feats!C329&amp;IF(Feats!D329&lt;&gt;""," ("&amp;Feats!D329&amp;")","")),"Multi",""),""))</f>
        <v/>
      </c>
      <c r="K329" s="63" t="str">
        <f t="shared" ca="1" si="139"/>
        <v/>
      </c>
      <c r="L329" s="63" t="str">
        <f t="shared" ref="L329:L361" ca="1" si="143">IF(AND(G329="Yes",OR(H329&lt;&gt;"",I329&lt;&gt;"",J329&lt;&gt;"",K329&lt;&gt;"")),"Yes","No")</f>
        <v>No</v>
      </c>
      <c r="M329" s="63">
        <f t="shared" ca="1" si="137"/>
        <v>0</v>
      </c>
      <c r="N329" s="63">
        <v>89</v>
      </c>
      <c r="O329" s="64"/>
      <c r="P329" s="660"/>
      <c r="Q329" s="661"/>
      <c r="R329" s="661"/>
      <c r="T329" s="54">
        <f t="shared" si="142"/>
        <v>0</v>
      </c>
      <c r="X329" s="54">
        <f t="shared" si="140"/>
        <v>0</v>
      </c>
      <c r="AB329" s="1566" t="str">
        <f t="shared" ca="1" si="138"/>
        <v/>
      </c>
      <c r="AC329" s="1365" t="str">
        <f ca="1">IF(AB288&lt;&gt;"",AB288&amp;";"&amp;AC330,AC330)</f>
        <v/>
      </c>
      <c r="AD329" s="1365" t="str">
        <f ca="1">IF(AB288&lt;&gt;"",N288&amp;";"&amp;AD330,AD330)</f>
        <v/>
      </c>
      <c r="AE329" s="1365" t="str">
        <f ca="1">IF(AB288&lt;&gt;"",IF(R288="Att Options",AB288&amp;IF(AE330&lt;&gt;"",", ",""),"")&amp;AE330,AE330)</f>
        <v/>
      </c>
      <c r="AF329" s="1365" t="str">
        <f ca="1">IF(AB288&lt;&gt;"",IF(R288="Special Actions",AB288&amp;IF(AF330&lt;&gt;"",", ",""),"")&amp;AF330,AF330)</f>
        <v/>
      </c>
      <c r="AG329" s="1467" t="str">
        <f ca="1">IF(AB288&lt;&gt;"",IF(R288="Defenses",AB288&amp;IF(AG330&lt;&gt;"",", ",""),"")&amp;AG330,AG330)</f>
        <v/>
      </c>
      <c r="AH329" s="1467" t="str">
        <f ca="1">IF(AB288&lt;&gt;"",IF(R288="Speed",AB288&amp;IF(AH330&lt;&gt;"",", ",""),"")&amp;AH330,AH330)</f>
        <v/>
      </c>
    </row>
    <row r="330" spans="2:36">
      <c r="B330" s="60"/>
      <c r="C330" s="1320" t="s">
        <v>2513</v>
      </c>
      <c r="D330" s="689"/>
      <c r="E330" s="62" t="s">
        <v>2514</v>
      </c>
      <c r="F330" s="1694" t="s">
        <v>5674</v>
      </c>
      <c r="G330" s="63" t="str">
        <f>IF(AND(BAB&gt;=8),"Yes","No")</f>
        <v>No</v>
      </c>
      <c r="H330" s="76"/>
      <c r="I330" s="63"/>
      <c r="J330" s="63" t="str">
        <f>IF(COUNTIF(T330:Z330,2)&gt;0,IF(G330="Yes","Class",""),IF(COUNTIF(T330:Z330,3)&gt;0,IF(COUNTIF(MulticlassFeats,Feats!C330&amp;IF(Feats!D330&lt;&gt;""," ("&amp;Feats!D330&amp;")","")),"Multi",""),""))</f>
        <v/>
      </c>
      <c r="K330" s="63" t="str">
        <f t="shared" ca="1" si="139"/>
        <v/>
      </c>
      <c r="L330" s="63" t="str">
        <f t="shared" ca="1" si="143"/>
        <v>No</v>
      </c>
      <c r="M330" s="63">
        <f t="shared" ca="1" si="137"/>
        <v>0</v>
      </c>
      <c r="N330" s="63">
        <v>89</v>
      </c>
      <c r="O330" s="64"/>
      <c r="P330" s="660"/>
      <c r="Q330" s="661"/>
      <c r="R330" s="661"/>
      <c r="T330" s="54">
        <f t="shared" si="142"/>
        <v>0</v>
      </c>
      <c r="X330" s="54">
        <f t="shared" si="140"/>
        <v>0</v>
      </c>
      <c r="AB330" s="1566" t="str">
        <f t="shared" ca="1" si="138"/>
        <v/>
      </c>
      <c r="AC330" s="1365" t="str">
        <f ca="1">IF(AB289&lt;&gt;"",AB289&amp;";"&amp;AC331,AC331)</f>
        <v/>
      </c>
      <c r="AD330" s="1365" t="str">
        <f ca="1">IF(AB289&lt;&gt;"",N289&amp;";"&amp;AD331,AD331)</f>
        <v/>
      </c>
      <c r="AE330" s="1365" t="str">
        <f ca="1">IF(AB289&lt;&gt;"",IF(R289="Att Options",AB289&amp;IF(AE331&lt;&gt;"",", ",""),"")&amp;AE331,AE331)</f>
        <v/>
      </c>
      <c r="AF330" s="1365" t="str">
        <f ca="1">IF(AB289&lt;&gt;"",IF(R289="Special Actions",AB289&amp;IF(AF331&lt;&gt;"",", ",""),"")&amp;AF331,AF331)</f>
        <v/>
      </c>
      <c r="AG330" s="1467" t="str">
        <f ca="1">IF(AB289&lt;&gt;"",IF(R289="Defenses",AB289&amp;IF(AG331&lt;&gt;"",", ",""),"")&amp;AG331,AG331)</f>
        <v/>
      </c>
      <c r="AH330" s="1467" t="str">
        <f ca="1">IF(AB289&lt;&gt;"",IF(R289="Speed",AB289&amp;IF(AH331&lt;&gt;"",", ",""),"")&amp;AH331,AH331)</f>
        <v/>
      </c>
    </row>
    <row r="331" spans="2:36">
      <c r="B331" s="60"/>
      <c r="C331" s="1320" t="s">
        <v>2515</v>
      </c>
      <c r="D331" s="61"/>
      <c r="E331" s="62"/>
      <c r="F331" s="1694" t="s">
        <v>5675</v>
      </c>
      <c r="G331" s="63" t="str">
        <f>IF(CharacterLevel&gt;0,"Yes","No")</f>
        <v>No</v>
      </c>
      <c r="H331" s="76"/>
      <c r="I331" s="63"/>
      <c r="J331" s="63" t="str">
        <f>IF(COUNTIF(T331:Z331,2)&gt;0,IF(G331="Yes","Class",""),IF(COUNTIF(T331:Z331,3)&gt;0,IF(COUNTIF(MulticlassFeats,Feats!C331&amp;IF(Feats!D331&lt;&gt;""," ("&amp;Feats!D331&amp;")","")),"Multi",""),""))</f>
        <v/>
      </c>
      <c r="K331" s="63" t="str">
        <f t="shared" ca="1" si="139"/>
        <v/>
      </c>
      <c r="L331" s="63" t="str">
        <f t="shared" ca="1" si="143"/>
        <v>No</v>
      </c>
      <c r="M331" s="63">
        <f t="shared" ca="1" si="137"/>
        <v>0</v>
      </c>
      <c r="N331" s="63" t="s">
        <v>2476</v>
      </c>
      <c r="O331" s="64"/>
      <c r="P331" s="660"/>
      <c r="Q331" s="661"/>
      <c r="R331" s="661" t="s">
        <v>4060</v>
      </c>
      <c r="T331" s="54">
        <f t="shared" si="142"/>
        <v>0</v>
      </c>
      <c r="X331" s="54">
        <f t="shared" si="140"/>
        <v>0</v>
      </c>
      <c r="AB331" s="1566" t="str">
        <f t="shared" ca="1" si="138"/>
        <v/>
      </c>
      <c r="AC331" s="1365" t="str">
        <f ca="1">IF(AB300&lt;&gt;"",AB300&amp;";"&amp;AC332,AC332)</f>
        <v/>
      </c>
      <c r="AD331" s="1365" t="str">
        <f ca="1">IF(AB300&lt;&gt;"",N300&amp;";"&amp;AD332,AD332)</f>
        <v/>
      </c>
      <c r="AE331" s="1365" t="str">
        <f ca="1">IF(AB300&lt;&gt;"",IF(R300="Att Options",AB300&amp;IF(AE332&lt;&gt;"",", ",""),"")&amp;AE332,AE332)</f>
        <v/>
      </c>
      <c r="AF331" s="1365" t="str">
        <f ca="1">IF(AB300&lt;&gt;"",IF(R300="Special Actions",AB300&amp;IF(AF332&lt;&gt;"",", ",""),"")&amp;AF332,AF332)</f>
        <v/>
      </c>
      <c r="AG331" s="1467" t="str">
        <f ca="1">IF(AB300&lt;&gt;"",IF(R300="Defenses",AB300&amp;IF(AG332&lt;&gt;"",", ",""),"")&amp;AG332,AG332)</f>
        <v/>
      </c>
      <c r="AH331" s="1467" t="str">
        <f ca="1">IF(AB300&lt;&gt;"",IF(R300="Speed",AB300&amp;IF(AH332&lt;&gt;"",", ",""),"")&amp;AH332,AH332)</f>
        <v/>
      </c>
    </row>
    <row r="332" spans="2:36" ht="29">
      <c r="B332" s="60"/>
      <c r="C332" s="1320" t="s">
        <v>7377</v>
      </c>
      <c r="D332" s="61"/>
      <c r="E332" s="62" t="s">
        <v>7392</v>
      </c>
      <c r="F332" s="1694" t="s">
        <v>7409</v>
      </c>
      <c r="G332" s="63" t="str">
        <f>IF(AND(Droid,Dexterity&gt;=13),"Yes","No")</f>
        <v>No</v>
      </c>
      <c r="H332" s="76"/>
      <c r="I332" s="63"/>
      <c r="J332" s="63" t="str">
        <f>IF(COUNTIF(T332:Z332,2)&gt;0,IF(G332="Yes","Class",""),IF(COUNTIF(T332:Z332,3)&gt;0,IF(COUNTIF(MulticlassFeats,Feats!C332&amp;IF(Feats!D332&lt;&gt;""," ("&amp;Feats!D332&amp;")","")),"Multi",""),""))</f>
        <v/>
      </c>
      <c r="K332" s="63" t="str">
        <f t="shared" ca="1" si="139"/>
        <v/>
      </c>
      <c r="L332" s="63" t="str">
        <f t="shared" ca="1" si="143"/>
        <v>No</v>
      </c>
      <c r="M332" s="63">
        <f t="shared" ca="1" si="137"/>
        <v>0</v>
      </c>
      <c r="N332" s="63" t="s">
        <v>7517</v>
      </c>
      <c r="O332" s="64"/>
      <c r="P332" s="660"/>
      <c r="Q332" s="661"/>
      <c r="R332" s="661"/>
      <c r="AB332" s="1566" t="str">
        <f t="shared" ca="1" si="138"/>
        <v/>
      </c>
      <c r="AC332" s="1365" t="str">
        <f ca="1">IF(AB360&lt;&gt;"",AB360&amp;";"&amp;AC333,AC333)</f>
        <v/>
      </c>
      <c r="AD332" s="1365" t="str">
        <f ca="1">IF(AB360&lt;&gt;"",N360&amp;";"&amp;AD333,AD333)</f>
        <v/>
      </c>
      <c r="AE332" s="1365" t="str">
        <f ca="1">IF(AB360&lt;&gt;"",IF(R360="Att Options",AB360&amp;IF(AE333&lt;&gt;"",", ",""),"")&amp;AE333,AE333)</f>
        <v/>
      </c>
      <c r="AF332" s="1365" t="str">
        <f ca="1">IF(AB360&lt;&gt;"",IF(R360="Special Actions",AB360&amp;IF(AF333&lt;&gt;"",", ",""),"")&amp;AF333,AF333)</f>
        <v/>
      </c>
      <c r="AG332" s="1467" t="str">
        <f ca="1">IF(AB360&lt;&gt;"",IF(R360="Defenses",AB360&amp;IF(AG333&lt;&gt;"",", ",""),"")&amp;AG333,AG333)</f>
        <v/>
      </c>
      <c r="AH332" s="1467" t="str">
        <f ca="1">IF(AB360&lt;&gt;"",IF(R360="Speed",AB360&amp;IF(AH333&lt;&gt;"",", ",""),"")&amp;AH333,AH333)</f>
        <v/>
      </c>
    </row>
    <row r="333" spans="2:36">
      <c r="B333" s="60"/>
      <c r="C333" s="1320" t="s">
        <v>2516</v>
      </c>
      <c r="D333" s="61"/>
      <c r="E333" s="62" t="s">
        <v>2517</v>
      </c>
      <c r="F333" s="1694" t="s">
        <v>5676</v>
      </c>
      <c r="G333" s="63" t="str">
        <f>IF(CharacterLevel&gt;0,"Yes","No")</f>
        <v>No</v>
      </c>
      <c r="H333" s="76"/>
      <c r="I333" s="63"/>
      <c r="J333" s="63" t="str">
        <f>IF(COUNTIF(T333:Z333,2)&gt;0,IF(G333="Yes","Class",""),IF(COUNTIF(T333:Z333,3)&gt;0,IF(COUNTIF(MulticlassFeats,Feats!C333&amp;IF(Feats!D333&lt;&gt;""," ("&amp;Feats!D333&amp;")","")),"Multi",""),""))</f>
        <v/>
      </c>
      <c r="K333" s="63" t="str">
        <f t="shared" ca="1" si="139"/>
        <v/>
      </c>
      <c r="L333" s="63" t="str">
        <f t="shared" ca="1" si="143"/>
        <v>No</v>
      </c>
      <c r="M333" s="63">
        <f t="shared" ca="1" si="137"/>
        <v>0</v>
      </c>
      <c r="N333" s="63" t="s">
        <v>2474</v>
      </c>
      <c r="O333" s="64"/>
      <c r="P333" s="660"/>
      <c r="Q333" s="661"/>
      <c r="R333" s="661" t="s">
        <v>4059</v>
      </c>
      <c r="AB333" s="1566" t="str">
        <f t="shared" ca="1" si="138"/>
        <v/>
      </c>
      <c r="AC333" s="1365" t="str">
        <f ca="1">IF(AB11&lt;&gt;"",AB11&amp;";"&amp;AC334,AC334)</f>
        <v/>
      </c>
      <c r="AD333" s="1365" t="str">
        <f ca="1">IF(AB11&lt;&gt;"",N11&amp;";"&amp;AD334,AD334)</f>
        <v/>
      </c>
      <c r="AE333" s="1365" t="str">
        <f ca="1">IF(AB11&lt;&gt;"",IF(R11="Att Options",AB11&amp;IF(AE334&lt;&gt;"",", ",""),"")&amp;AE334,AE334)</f>
        <v/>
      </c>
      <c r="AF333" s="1365" t="str">
        <f ca="1">IF(AB11&lt;&gt;"",IF(R11="Special Actions",AB11&amp;IF(AF334&lt;&gt;"",", ",""),"")&amp;AF334,AF334)</f>
        <v/>
      </c>
      <c r="AG333" s="1467" t="str">
        <f ca="1">IF(AB11&lt;&gt;"",IF(R11="Defenses",AB11&amp;IF(AG334&lt;&gt;"",", ",""),"")&amp;AG334,AG334)</f>
        <v/>
      </c>
      <c r="AH333" s="1467" t="str">
        <f ca="1">IF(AB11&lt;&gt;"",IF(R11="Speed",AB11&amp;IF(AH334&lt;&gt;"",", ",""),"")&amp;AH334,AH334)</f>
        <v/>
      </c>
    </row>
    <row r="334" spans="2:36">
      <c r="B334" s="60"/>
      <c r="C334" s="1321" t="s">
        <v>6258</v>
      </c>
      <c r="D334" s="616"/>
      <c r="E334" s="1394" t="s">
        <v>2370</v>
      </c>
      <c r="F334" s="1696" t="s">
        <v>6259</v>
      </c>
      <c r="G334" s="63" t="str">
        <f ca="1">IF(M106&gt;0,"Yes","No")</f>
        <v>No</v>
      </c>
      <c r="H334" s="76"/>
      <c r="I334" s="63"/>
      <c r="J334" s="63" t="str">
        <f>IF(COUNTIF(T334:Z334,2)&gt;0,IF(G334="Yes","Class",""),IF(COUNTIF(T334:Z334,3)&gt;0,IF(COUNTIF(MulticlassFeats,Feats!C334&amp;IF(Feats!D334&lt;&gt;""," ("&amp;Feats!D334&amp;")","")),"Multi",""),""))</f>
        <v/>
      </c>
      <c r="K334" s="63" t="str">
        <f t="shared" ca="1" si="139"/>
        <v/>
      </c>
      <c r="L334" s="63" t="str">
        <f t="shared" ca="1" si="143"/>
        <v>No</v>
      </c>
      <c r="M334" s="63">
        <f t="shared" ca="1" si="137"/>
        <v>0</v>
      </c>
      <c r="N334" s="63" t="s">
        <v>6464</v>
      </c>
      <c r="O334" s="64"/>
      <c r="P334" s="660"/>
      <c r="Q334" s="661"/>
      <c r="R334" s="661"/>
      <c r="AB334" s="1566" t="str">
        <f t="shared" ca="1" si="138"/>
        <v/>
      </c>
      <c r="AC334" s="1365" t="str">
        <f ca="1">IF(AB12&lt;&gt;"",AB12&amp;";"&amp;AC335,AC335)</f>
        <v/>
      </c>
      <c r="AD334" s="1365" t="str">
        <f ca="1">IF(AB12&lt;&gt;"",N12&amp;";"&amp;AD335,AD335)</f>
        <v/>
      </c>
      <c r="AE334" s="1365" t="str">
        <f ca="1">IF(AB12&lt;&gt;"",IF(R12="Att Options",AB12&amp;IF(AE335&lt;&gt;"",", ",""),"")&amp;AE335,AE335)</f>
        <v/>
      </c>
      <c r="AF334" s="1365" t="str">
        <f ca="1">IF(AB12&lt;&gt;"",IF(R12="Special Actions",AB12&amp;IF(AF335&lt;&gt;"",", ",""),"")&amp;AF335,AF335)</f>
        <v/>
      </c>
      <c r="AG334" s="1467" t="str">
        <f ca="1">IF(AB12&lt;&gt;"",IF(R12="Defenses",AB12&amp;IF(AG335&lt;&gt;"",", ",""),"")&amp;AG335,AG335)</f>
        <v/>
      </c>
      <c r="AH334" s="1467" t="str">
        <f ca="1">IF(AB12&lt;&gt;"",IF(R12="Speed",AB12&amp;IF(AH335&lt;&gt;"",", ",""),"")&amp;AH335,AH335)</f>
        <v/>
      </c>
    </row>
    <row r="335" spans="2:36">
      <c r="B335" s="60"/>
      <c r="C335" s="1320" t="s">
        <v>2518</v>
      </c>
      <c r="D335" s="61"/>
      <c r="E335" s="62"/>
      <c r="F335" s="1694" t="s">
        <v>5677</v>
      </c>
      <c r="G335" s="63" t="str">
        <f>IF(CharacterLevel&gt;0,"Yes","No")</f>
        <v>No</v>
      </c>
      <c r="H335" s="76"/>
      <c r="I335" s="63"/>
      <c r="J335" s="63" t="str">
        <f>IF(COUNTIF(T335:Z335,2)&gt;0,IF(G335="Yes","Class",""),IF(COUNTIF(T335:Z335,3)&gt;0,IF(COUNTIF(MulticlassFeats,Feats!C335&amp;IF(Feats!D335&lt;&gt;""," ("&amp;Feats!D335&amp;")","")),"Multi",""),""))</f>
        <v/>
      </c>
      <c r="K335" s="63" t="str">
        <f t="shared" ca="1" si="139"/>
        <v/>
      </c>
      <c r="L335" s="63" t="str">
        <f t="shared" ca="1" si="143"/>
        <v>No</v>
      </c>
      <c r="M335" s="63">
        <f t="shared" ref="M335:M361" ca="1" si="144">IF(L335="Yes",1,0)</f>
        <v>0</v>
      </c>
      <c r="N335" s="63" t="s">
        <v>2395</v>
      </c>
      <c r="O335" s="64"/>
      <c r="P335" s="660"/>
      <c r="Q335" s="508"/>
      <c r="R335" s="661" t="s">
        <v>4059</v>
      </c>
      <c r="T335" s="54">
        <f>IF(JediFeats&gt;0,1,0)</f>
        <v>0</v>
      </c>
      <c r="X335" s="54">
        <f>IF(SoldierFeats&gt;0,1,0)</f>
        <v>0</v>
      </c>
      <c r="AB335" s="1566" t="str">
        <f t="shared" ref="AB335:AB361" ca="1" si="145">IF(OR(H335&lt;&gt;"",I335&lt;&gt;"",J335&lt;&gt;"",K335&lt;&gt;""),C335&amp;IF(D335&lt;&gt;""," ("&amp;D335&amp;")",""),"")</f>
        <v/>
      </c>
      <c r="AC335" s="1365" t="str">
        <f ca="1">IF(AB50&lt;&gt;"",AB50&amp;";"&amp;AC336,AC336)</f>
        <v/>
      </c>
      <c r="AD335" s="1365" t="str">
        <f ca="1">IF(AB50&lt;&gt;"",N50&amp;";"&amp;AD336,AD336)</f>
        <v/>
      </c>
      <c r="AE335" s="1365" t="str">
        <f ca="1">IF(AB50&lt;&gt;"",IF(R50="Att Options",AB50&amp;IF(AE336&lt;&gt;"",", ",""),"")&amp;AE336,AE336)</f>
        <v/>
      </c>
      <c r="AF335" s="1365" t="str">
        <f ca="1">IF(AB50&lt;&gt;"",IF(R50="Special Actions",AB50&amp;IF(AF336&lt;&gt;"",", ",""),"")&amp;AF336,AF336)</f>
        <v/>
      </c>
      <c r="AG335" s="1467" t="str">
        <f ca="1">IF(AB50&lt;&gt;"",IF(R50="Defenses",AB50&amp;IF(AG336&lt;&gt;"",", ",""),"")&amp;AG336,AG336)</f>
        <v/>
      </c>
      <c r="AH335" s="1467" t="str">
        <f ca="1">IF(AB50&lt;&gt;"",IF(R50="Speed",AB50&amp;IF(AH336&lt;&gt;"",", ",""),"")&amp;AH336,AH336)</f>
        <v/>
      </c>
    </row>
    <row r="336" spans="2:36">
      <c r="B336" s="60"/>
      <c r="C336" s="1320" t="s">
        <v>4219</v>
      </c>
      <c r="D336" s="61"/>
      <c r="E336" s="62" t="s">
        <v>2323</v>
      </c>
      <c r="F336" s="1694" t="s">
        <v>6195</v>
      </c>
      <c r="G336" s="63" t="str">
        <f>IF(AND(CharacterLevel&gt;0,BAB&gt;=2),"Yes","No")</f>
        <v>No</v>
      </c>
      <c r="H336" s="76"/>
      <c r="I336" s="63"/>
      <c r="J336" s="63" t="str">
        <f>IF(COUNTIF(T336:Z336,2)&gt;0,IF(G336="Yes","Class",""),IF(COUNTIF(T336:Z336,3)&gt;0,IF(COUNTIF(MulticlassFeats,Feats!C336&amp;IF(Feats!D336&lt;&gt;""," ("&amp;Feats!D336&amp;")","")),"Multi",""),""))</f>
        <v/>
      </c>
      <c r="K336" s="63" t="str">
        <f t="shared" ca="1" si="139"/>
        <v/>
      </c>
      <c r="L336" s="63" t="str">
        <f t="shared" ca="1" si="143"/>
        <v>No</v>
      </c>
      <c r="M336" s="63">
        <f t="shared" ca="1" si="144"/>
        <v>0</v>
      </c>
      <c r="N336" s="63">
        <v>89</v>
      </c>
      <c r="O336" s="64"/>
      <c r="P336" s="660"/>
      <c r="Q336" s="508"/>
      <c r="R336" s="661"/>
      <c r="AB336" s="1566" t="str">
        <f t="shared" ca="1" si="145"/>
        <v/>
      </c>
      <c r="AC336" s="1365" t="str">
        <f ca="1">IF(AB98&lt;&gt;"",AB98&amp;";"&amp;AC337,AC337)</f>
        <v/>
      </c>
      <c r="AD336" s="1365" t="str">
        <f ca="1">IF(AB98&lt;&gt;"",N98&amp;";"&amp;AD337,AD337)</f>
        <v/>
      </c>
      <c r="AE336" s="1365" t="str">
        <f ca="1">IF(AB98&lt;&gt;"",IF(R98="Att Options",AB98&amp;IF(AE337&lt;&gt;"",", ",""),"")&amp;AE337,AE337)</f>
        <v/>
      </c>
      <c r="AF336" s="1365" t="str">
        <f ca="1">IF(AB98&lt;&gt;"",IF(R98="Special Actions",AB98&amp;IF(AF337&lt;&gt;"",", ",""),"")&amp;AF337,AF337)</f>
        <v/>
      </c>
      <c r="AG336" s="1467" t="str">
        <f ca="1">IF(AB98&lt;&gt;"",IF(R98="Defenses",AB98&amp;IF(AG337&lt;&gt;"",", ",""),"")&amp;AG337,AG337)</f>
        <v/>
      </c>
      <c r="AH336" s="1467" t="str">
        <f ca="1">IF(AB98&lt;&gt;"",IF(R98="Speed",AB98&amp;IF(AH337&lt;&gt;"",", ",""),"")&amp;AH337,AH337)</f>
        <v/>
      </c>
    </row>
    <row r="337" spans="2:34">
      <c r="B337" s="60"/>
      <c r="C337" s="1320" t="s">
        <v>2519</v>
      </c>
      <c r="D337" s="61"/>
      <c r="E337" s="62" t="s">
        <v>2423</v>
      </c>
      <c r="F337" s="1694" t="s">
        <v>5678</v>
      </c>
      <c r="G337" s="63" t="str">
        <f>IF(AND(CharacterLevel&gt;0,OR(STPerception&lt;&gt;"",ForcePerception,TPerception&lt;&gt;"")),"Yes","No")</f>
        <v>No</v>
      </c>
      <c r="H337" s="76"/>
      <c r="I337" s="63"/>
      <c r="J337" s="63" t="str">
        <f>IF(COUNTIF(T337:Z337,2)&gt;0,IF(G337="Yes","Class",""),IF(COUNTIF(T337:Z337,3)&gt;0,IF(COUNTIF(MulticlassFeats,Feats!C337&amp;IF(Feats!D337&lt;&gt;""," ("&amp;Feats!D337&amp;")","")),"Multi",""),""))</f>
        <v/>
      </c>
      <c r="K337" s="63" t="str">
        <f t="shared" ref="K337:K361" ca="1" si="146">IF(OR(NOT(ISERROR(FIND(C337,INDEX(RaceListTable,RaceIndex,39),1))),NOT(ISERROR(FIND(C337,INDEX(RaceListTable,RaceIndex,40),1)))),"Racial","")</f>
        <v/>
      </c>
      <c r="L337" s="63" t="str">
        <f t="shared" ca="1" si="143"/>
        <v>No</v>
      </c>
      <c r="M337" s="63">
        <f t="shared" ca="1" si="144"/>
        <v>0</v>
      </c>
      <c r="N337" s="63" t="s">
        <v>2520</v>
      </c>
      <c r="O337" s="64"/>
      <c r="P337" s="660"/>
      <c r="Q337" s="508"/>
      <c r="R337" s="661"/>
      <c r="T337" s="54">
        <f>IF(JediFeats&gt;0,1,0)</f>
        <v>0</v>
      </c>
      <c r="U337" s="54">
        <f>IF(NobleFeats&gt;0,1,0)</f>
        <v>0</v>
      </c>
      <c r="AB337" s="1566" t="str">
        <f t="shared" ca="1" si="145"/>
        <v/>
      </c>
      <c r="AC337" s="1365" t="str">
        <f ca="1">IF(AB129&lt;&gt;"",AB129&amp;";"&amp;AC338,AC338)</f>
        <v/>
      </c>
      <c r="AD337" s="1365" t="str">
        <f ca="1">IF(AB129&lt;&gt;"",N129&amp;";"&amp;AD338,AD338)</f>
        <v/>
      </c>
      <c r="AE337" s="1365" t="str">
        <f ca="1">IF(AB129&lt;&gt;"",IF(R129="Att Options",AB129&amp;IF(AE338&lt;&gt;"",", ",""),"")&amp;AE338,AE338)</f>
        <v/>
      </c>
      <c r="AF337" s="1365" t="str">
        <f ca="1">IF(AB129&lt;&gt;"",IF(R129="Special Actions",AB129&amp;IF(AF338&lt;&gt;"",", ",""),"")&amp;AF338,AF338)</f>
        <v/>
      </c>
      <c r="AG337" s="1467" t="str">
        <f ca="1">IF(AB129&lt;&gt;"",IF(R129="Defenses",AB129&amp;IF(AG338&lt;&gt;"",", ",""),"")&amp;AG338,AG338)</f>
        <v/>
      </c>
      <c r="AH337" s="1467" t="str">
        <f ca="1">IF(AB129&lt;&gt;"",IF(R129="Speed",AB129&amp;IF(AH338&lt;&gt;"",", ",""),"")&amp;AH338,AH338)</f>
        <v/>
      </c>
    </row>
    <row r="338" spans="2:34">
      <c r="B338" s="60"/>
      <c r="C338" s="1320" t="s">
        <v>2521</v>
      </c>
      <c r="D338" s="61"/>
      <c r="E338" s="62" t="s">
        <v>2522</v>
      </c>
      <c r="F338" s="1694" t="s">
        <v>5679</v>
      </c>
      <c r="G338" s="63" t="str">
        <f ca="1">IF(AND(CharacterLevel&gt;0,OR(STMechanics&lt;&gt;"",TMechanics&lt;&gt;""),M314&gt;0),"Yes","No")</f>
        <v>No</v>
      </c>
      <c r="H338" s="76"/>
      <c r="I338" s="63"/>
      <c r="J338" s="63" t="str">
        <f>IF(COUNTIF(T338:Z338,2)&gt;0,IF(G338="Yes","Class",""),IF(COUNTIF(T338:Z338,3)&gt;0,IF(COUNTIF(MulticlassFeats,Feats!C338&amp;IF(Feats!D338&lt;&gt;""," ("&amp;Feats!D338&amp;")","")),"Multi",""),""))</f>
        <v/>
      </c>
      <c r="K338" s="63" t="str">
        <f t="shared" ca="1" si="146"/>
        <v/>
      </c>
      <c r="L338" s="63" t="str">
        <f t="shared" ca="1" si="143"/>
        <v>No</v>
      </c>
      <c r="M338" s="63">
        <f t="shared" ca="1" si="144"/>
        <v>0</v>
      </c>
      <c r="N338" s="63" t="s">
        <v>2467</v>
      </c>
      <c r="O338" s="64"/>
      <c r="P338" s="660"/>
      <c r="Q338" s="508"/>
      <c r="R338" s="661"/>
      <c r="V338" s="54">
        <f>IF(ScoundrelFeats&gt;0,1,0)</f>
        <v>0</v>
      </c>
      <c r="W338" s="54">
        <f>IF(ScoutFeats&gt;0,1,0)</f>
        <v>0</v>
      </c>
      <c r="AB338" s="1566" t="str">
        <f t="shared" ca="1" si="145"/>
        <v/>
      </c>
      <c r="AC338" s="1365" t="str">
        <f ca="1">IF(AB132&lt;&gt;"",AB132&amp;";"&amp;AC339,AC339)</f>
        <v/>
      </c>
      <c r="AD338" s="1365" t="str">
        <f ca="1">IF(AB132&lt;&gt;"",N132&amp;";"&amp;AD339,AD339)</f>
        <v/>
      </c>
      <c r="AE338" s="1365" t="str">
        <f ca="1">IF(AB132&lt;&gt;"",IF(R132="Att Options",AB132&amp;IF(AE339&lt;&gt;"",", ",""),"")&amp;AE339,AE339)</f>
        <v/>
      </c>
      <c r="AF338" s="1365" t="str">
        <f ca="1">IF(AB132&lt;&gt;"",IF(R132="Special Actions",AB132&amp;IF(AF339&lt;&gt;"",", ",""),"")&amp;AF339,AF339)</f>
        <v/>
      </c>
      <c r="AG338" s="1467" t="str">
        <f ca="1">IF(AB132&lt;&gt;"",IF(R132="Defenses",AB132&amp;IF(AG339&lt;&gt;"",", ",""),"")&amp;AG339,AG339)</f>
        <v/>
      </c>
      <c r="AH338" s="1467" t="str">
        <f ca="1">IF(AB132&lt;&gt;"",IF(R132="Speed",AB132&amp;IF(AH339&lt;&gt;"",", ",""),"")&amp;AH339,AH339)</f>
        <v/>
      </c>
    </row>
    <row r="339" spans="2:34">
      <c r="B339" s="60"/>
      <c r="C339" s="1320" t="s">
        <v>2523</v>
      </c>
      <c r="D339" s="61"/>
      <c r="E339" s="62" t="s">
        <v>2524</v>
      </c>
      <c r="F339" s="1694" t="s">
        <v>5680</v>
      </c>
      <c r="G339" s="63" t="str">
        <f>IF(AND(CharacterLevel&gt;0,OR(STPilot&lt;&gt;"",TPilot&lt;&gt;"",ForcePilot)),"Yes","No")</f>
        <v>No</v>
      </c>
      <c r="H339" s="76"/>
      <c r="I339" s="63"/>
      <c r="J339" s="63" t="str">
        <f>IF(COUNTIF(T339:Z339,2)&gt;0,IF(G339="Yes","Class",""),IF(COUNTIF(T339:Z339,3)&gt;0,IF(COUNTIF(MulticlassFeats,Feats!C339&amp;IF(Feats!D339&lt;&gt;""," ("&amp;Feats!D339&amp;")","")),"Multi",""),""))</f>
        <v/>
      </c>
      <c r="K339" s="63" t="str">
        <f t="shared" ca="1" si="146"/>
        <v/>
      </c>
      <c r="L339" s="63" t="str">
        <f t="shared" ca="1" si="143"/>
        <v>No</v>
      </c>
      <c r="M339" s="63">
        <f t="shared" ca="1" si="144"/>
        <v>0</v>
      </c>
      <c r="N339" s="63">
        <v>89</v>
      </c>
      <c r="O339" s="64"/>
      <c r="P339" s="660"/>
      <c r="Q339" s="661"/>
      <c r="R339" s="661" t="s">
        <v>4060</v>
      </c>
      <c r="V339" s="54">
        <f>IF(ScoundrelFeats&gt;0,1,0)</f>
        <v>0</v>
      </c>
      <c r="W339" s="54">
        <f>IF(ScoutFeats&gt;0,1,0)</f>
        <v>0</v>
      </c>
      <c r="X339" s="54">
        <f>IF(SoldierFeats&gt;0,1,0)</f>
        <v>0</v>
      </c>
      <c r="AB339" s="1566" t="str">
        <f t="shared" ca="1" si="145"/>
        <v/>
      </c>
      <c r="AC339" s="1365" t="str">
        <f ca="1">IF(AB138&lt;&gt;"",AB138&amp;";"&amp;AC340,AC340)</f>
        <v/>
      </c>
      <c r="AD339" s="1365" t="str">
        <f ca="1">IF(AB138&lt;&gt;"",N138&amp;";"&amp;AD340,AD340)</f>
        <v/>
      </c>
      <c r="AE339" s="1365" t="str">
        <f ca="1">IF(AB138&lt;&gt;"",IF(R138="Att Options",AB138&amp;IF(AE340&lt;&gt;"",", ",""),"")&amp;AE340,AE340)</f>
        <v/>
      </c>
      <c r="AF339" s="1365" t="str">
        <f ca="1">IF(AB138&lt;&gt;"",IF(R138="Special Actions",AB138&amp;IF(AF340&lt;&gt;"",", ",""),"")&amp;AF340,AF340)</f>
        <v/>
      </c>
      <c r="AG339" s="1467" t="str">
        <f ca="1">IF(AB138&lt;&gt;"",IF(R138="Defenses",AB138&amp;IF(AG340&lt;&gt;"",", ",""),"")&amp;AG340,AG340)</f>
        <v/>
      </c>
      <c r="AH339" s="1467" t="str">
        <f ca="1">IF(AB138&lt;&gt;"",IF(R138="Speed",AB138&amp;IF(AH340&lt;&gt;"",", ",""),"")&amp;AH340,AH340)</f>
        <v/>
      </c>
    </row>
    <row r="340" spans="2:34">
      <c r="B340" s="60"/>
      <c r="C340" s="1321" t="s">
        <v>6260</v>
      </c>
      <c r="D340" s="616"/>
      <c r="E340" s="1394" t="s">
        <v>2524</v>
      </c>
      <c r="F340" s="1696" t="s">
        <v>6261</v>
      </c>
      <c r="G340" s="63" t="str">
        <f>IF(AND(CharacterLevel&gt;0,OR(STPilot&lt;&gt;"",TPilot&lt;&gt;"",ForcePilot)),"Yes","No")</f>
        <v>No</v>
      </c>
      <c r="H340" s="76"/>
      <c r="I340" s="63"/>
      <c r="J340" s="63" t="str">
        <f>IF(COUNTIF(T340:Z340,2)&gt;0,IF(G340="Yes","Class",""),IF(COUNTIF(T340:Z340,3)&gt;0,IF(COUNTIF(MulticlassFeats,Feats!C340&amp;IF(Feats!D340&lt;&gt;""," ("&amp;Feats!D340&amp;")","")),"Multi",""),""))</f>
        <v/>
      </c>
      <c r="K340" s="63" t="str">
        <f t="shared" ca="1" si="146"/>
        <v/>
      </c>
      <c r="L340" s="63" t="str">
        <f t="shared" ca="1" si="143"/>
        <v>No</v>
      </c>
      <c r="M340" s="63">
        <f t="shared" ca="1" si="144"/>
        <v>0</v>
      </c>
      <c r="N340" s="63" t="s">
        <v>6464</v>
      </c>
      <c r="O340" s="64"/>
      <c r="P340" s="660"/>
      <c r="Q340" s="661"/>
      <c r="R340" s="661"/>
      <c r="V340" s="54">
        <f>IF(ScoundrelFeats&gt;0,1,0)</f>
        <v>0</v>
      </c>
      <c r="W340" s="54">
        <f>IF(ScoutFeats&gt;0,1,0)</f>
        <v>0</v>
      </c>
      <c r="X340" s="54">
        <f>IF(SoldierFeats&gt;0,1,0)</f>
        <v>0</v>
      </c>
      <c r="AB340" s="1566" t="str">
        <f t="shared" ca="1" si="145"/>
        <v/>
      </c>
      <c r="AC340" s="1365" t="str">
        <f ca="1">IF(AB140&lt;&gt;"",AB140&amp;";"&amp;AC341,AC341)</f>
        <v/>
      </c>
      <c r="AD340" s="1365" t="str">
        <f ca="1">IF(AB140&lt;&gt;"",N140&amp;";"&amp;AD341,AD341)</f>
        <v/>
      </c>
      <c r="AE340" s="1365" t="str">
        <f ca="1">IF(AB140&lt;&gt;"",IF(R140="Att Options",AB140&amp;IF(AE341&lt;&gt;"",", ",""),"")&amp;AE341,AE341)</f>
        <v/>
      </c>
      <c r="AF340" s="1365" t="str">
        <f ca="1">IF(AB140&lt;&gt;"",IF(R140="Special Actions",AB140&amp;IF(AF341&lt;&gt;"",", ",""),"")&amp;AF341,AF341)</f>
        <v/>
      </c>
      <c r="AG340" s="1467" t="str">
        <f ca="1">IF(AB140&lt;&gt;"",IF(R140="Defenses",AB140&amp;IF(AG341&lt;&gt;"",", ",""),"")&amp;AG341,AG341)</f>
        <v/>
      </c>
      <c r="AH340" s="1467" t="str">
        <f ca="1">IF(AB140&lt;&gt;"",IF(R140="Speed",AB140&amp;IF(AH341&lt;&gt;"",", ",""),"")&amp;AH341,AH341)</f>
        <v/>
      </c>
    </row>
    <row r="341" spans="2:34">
      <c r="B341" s="60"/>
      <c r="C341" s="1321" t="s">
        <v>6262</v>
      </c>
      <c r="D341" s="616"/>
      <c r="E341" s="1394" t="s">
        <v>2370</v>
      </c>
      <c r="F341" s="1696" t="s">
        <v>6263</v>
      </c>
      <c r="G341" s="63" t="str">
        <f ca="1">IF(M115&gt;0,"Yes","No")</f>
        <v>No</v>
      </c>
      <c r="H341" s="76"/>
      <c r="I341" s="63"/>
      <c r="J341" s="63" t="str">
        <f>IF(COUNTIF(T341:Z341,2)&gt;0,IF(G341="Yes","Class",""),IF(COUNTIF(T341:Z341,3)&gt;0,IF(COUNTIF(MulticlassFeats,Feats!C341&amp;IF(Feats!D341&lt;&gt;""," ("&amp;Feats!D341&amp;")","")),"Multi",""),""))</f>
        <v/>
      </c>
      <c r="K341" s="63" t="str">
        <f t="shared" ca="1" si="146"/>
        <v/>
      </c>
      <c r="L341" s="63" t="str">
        <f t="shared" ca="1" si="143"/>
        <v>No</v>
      </c>
      <c r="M341" s="63">
        <f t="shared" ca="1" si="144"/>
        <v>0</v>
      </c>
      <c r="N341" s="63" t="s">
        <v>6464</v>
      </c>
      <c r="O341" s="64"/>
      <c r="P341" s="660"/>
      <c r="Q341" s="661"/>
      <c r="R341" s="661"/>
      <c r="AB341" s="1566" t="str">
        <f t="shared" ca="1" si="145"/>
        <v/>
      </c>
      <c r="AC341" s="1365" t="str">
        <f ca="1">IF(AB143&lt;&gt;"",AB143&amp;";"&amp;AC342,AC342)</f>
        <v/>
      </c>
      <c r="AD341" s="1365" t="str">
        <f ca="1">IF(AB143&lt;&gt;"",N143&amp;";"&amp;AD342,AD342)</f>
        <v/>
      </c>
      <c r="AE341" s="1365" t="str">
        <f ca="1">IF(AB143&lt;&gt;"",IF(R143="Att Options",AB143&amp;IF(AE342&lt;&gt;"",", ",""),"")&amp;AE342,AE342)</f>
        <v/>
      </c>
      <c r="AF341" s="1365" t="str">
        <f ca="1">IF(AB143&lt;&gt;"",IF(R143="Special Actions",AB143&amp;IF(AF342&lt;&gt;"",", ",""),"")&amp;AF342,AF342)</f>
        <v/>
      </c>
      <c r="AG341" s="1467" t="str">
        <f ca="1">IF(AB143&lt;&gt;"",IF(R143="Defenses",AB143&amp;IF(AG342&lt;&gt;"",", ",""),"")&amp;AG342,AG342)</f>
        <v/>
      </c>
      <c r="AH341" s="1467" t="str">
        <f ca="1">IF(AB143&lt;&gt;"",IF(R143="Speed",AB143&amp;IF(AH342&lt;&gt;"",", ",""),"")&amp;AH342,AH342)</f>
        <v/>
      </c>
    </row>
    <row r="342" spans="2:34">
      <c r="B342" s="60"/>
      <c r="C342" s="61" t="s">
        <v>2525</v>
      </c>
      <c r="D342" s="61"/>
      <c r="E342" s="62"/>
      <c r="F342" s="1694" t="s">
        <v>5681</v>
      </c>
      <c r="G342" s="63" t="str">
        <f>IF(CharacterLevel&gt;0,"Yes","No")</f>
        <v>No</v>
      </c>
      <c r="H342" s="76"/>
      <c r="I342" s="63"/>
      <c r="J342" s="63" t="str">
        <f>IF(COUNTIF(T342:Z342,2)&gt;0,IF(G342="Yes","Class",""),IF(COUNTIF(T342:Z342,3)&gt;0,IF(COUNTIF(MulticlassFeats,Feats!C342&amp;IF(Feats!D342&lt;&gt;""," ("&amp;Feats!D342&amp;")","")),"Multi",""),""))</f>
        <v/>
      </c>
      <c r="K342" s="63" t="str">
        <f t="shared" ca="1" si="146"/>
        <v/>
      </c>
      <c r="L342" s="63" t="str">
        <f t="shared" ca="1" si="143"/>
        <v>No</v>
      </c>
      <c r="M342" s="63">
        <f t="shared" ca="1" si="144"/>
        <v>0</v>
      </c>
      <c r="N342" s="63" t="s">
        <v>2520</v>
      </c>
      <c r="O342" s="64"/>
      <c r="P342" s="660"/>
      <c r="Q342" s="508"/>
      <c r="R342" s="661" t="s">
        <v>4060</v>
      </c>
      <c r="T342" s="54">
        <f>IF(JediFeats&gt;0,1,0)</f>
        <v>0</v>
      </c>
      <c r="U342" s="54">
        <f>IF(NobleFeats&gt;0,1,0)</f>
        <v>0</v>
      </c>
      <c r="X342" s="54">
        <f>IF(SoldierFeats&gt;0,1,0)</f>
        <v>0</v>
      </c>
      <c r="AB342" s="1566" t="str">
        <f t="shared" ca="1" si="145"/>
        <v/>
      </c>
      <c r="AC342" s="1365" t="str">
        <f ca="1">IF(AB144&lt;&gt;"",AB144&amp;";"&amp;AC343,AC343)</f>
        <v/>
      </c>
      <c r="AD342" s="1365" t="str">
        <f ca="1">IF(AB144&lt;&gt;"",N144&amp;";"&amp;AD343,AD343)</f>
        <v/>
      </c>
      <c r="AE342" s="1365" t="str">
        <f ca="1">IF(AB144&lt;&gt;"",IF(R144="Att Options",AB144&amp;IF(AE343&lt;&gt;"",", ",""),"")&amp;AE343,AE343)</f>
        <v/>
      </c>
      <c r="AF342" s="1365" t="str">
        <f ca="1">IF(AB144&lt;&gt;"",IF(R144="Special Actions",AB144&amp;IF(AF343&lt;&gt;"",", ",""),"")&amp;AF343,AF343)</f>
        <v/>
      </c>
      <c r="AG342" s="1467" t="str">
        <f ca="1">IF(AB144&lt;&gt;"",IF(R144="Defenses",AB144&amp;IF(AG343&lt;&gt;"",", ",""),"")&amp;AG343,AG343)</f>
        <v/>
      </c>
      <c r="AH342" s="1467" t="str">
        <f ca="1">IF(AB144&lt;&gt;"",IF(R144="Speed",AB144&amp;IF(AH343&lt;&gt;"",", ",""),"")&amp;AH343,AH343)</f>
        <v/>
      </c>
    </row>
    <row r="343" spans="2:34">
      <c r="B343" s="60"/>
      <c r="C343" s="61" t="s">
        <v>1715</v>
      </c>
      <c r="D343" s="61"/>
      <c r="E343" s="62" t="s">
        <v>2268</v>
      </c>
      <c r="F343" s="1694" t="s">
        <v>5682</v>
      </c>
      <c r="G343" s="63" t="str">
        <f>IF(AND(CharacterLevel&gt;0,BAB&gt;=1),"Yes","No")</f>
        <v>No</v>
      </c>
      <c r="H343" s="76"/>
      <c r="I343" s="63"/>
      <c r="J343" s="63" t="str">
        <f>IF(COUNTIF(T343:Z343,2)&gt;0,IF(G343="Yes","Class",""),IF(COUNTIF(T343:Z343,3)&gt;0,IF(COUNTIF(MulticlassFeats,Feats!C343&amp;IF(Feats!D343&lt;&gt;""," ("&amp;Feats!D343&amp;")","")),"Multi",""),""))</f>
        <v/>
      </c>
      <c r="K343" s="63" t="str">
        <f t="shared" ca="1" si="146"/>
        <v/>
      </c>
      <c r="L343" s="63" t="str">
        <f t="shared" ca="1" si="143"/>
        <v>No</v>
      </c>
      <c r="M343" s="63">
        <f t="shared" ca="1" si="144"/>
        <v>0</v>
      </c>
      <c r="N343" s="63">
        <v>89</v>
      </c>
      <c r="O343" s="64"/>
      <c r="P343" s="660"/>
      <c r="Q343" s="661"/>
      <c r="R343" s="661"/>
      <c r="T343" s="54">
        <f>IF(JediFeats&gt;0,1,0)</f>
        <v>0</v>
      </c>
      <c r="U343" s="54">
        <f>IF(NobleFeats&gt;0,1,0)</f>
        <v>0</v>
      </c>
      <c r="AB343" s="1566" t="str">
        <f t="shared" ca="1" si="145"/>
        <v/>
      </c>
      <c r="AC343" s="1365" t="str">
        <f ca="1">IF(AB156&lt;&gt;"",AB156&amp;";"&amp;AC344,AC344)</f>
        <v/>
      </c>
      <c r="AD343" s="1365" t="str">
        <f ca="1">IF(AB156&lt;&gt;"",N156&amp;";"&amp;AD344,AD344)</f>
        <v/>
      </c>
      <c r="AE343" s="1365" t="str">
        <f ca="1">IF(AB156&lt;&gt;"",IF(R156="Att Options",AB156&amp;IF(AE344&lt;&gt;"",", ",""),"")&amp;AE344,AE344)</f>
        <v/>
      </c>
      <c r="AF343" s="1365" t="str">
        <f ca="1">IF(AB156&lt;&gt;"",IF(R156="Special Actions",AB156&amp;IF(AF344&lt;&gt;"",", ",""),"")&amp;AF344,AF344)</f>
        <v/>
      </c>
      <c r="AG343" s="1467" t="str">
        <f ca="1">IF(AB156&lt;&gt;"",IF(R156="Defenses",AB156&amp;IF(AG344&lt;&gt;"",", ",""),"")&amp;AG344,AG344)</f>
        <v/>
      </c>
      <c r="AH343" s="1467" t="str">
        <f ca="1">IF(AB156&lt;&gt;"",IF(R156="Speed",AB156&amp;IF(AH344&lt;&gt;"",", ",""),"")&amp;AH344,AH344)</f>
        <v/>
      </c>
    </row>
    <row r="344" spans="2:34">
      <c r="B344" s="60"/>
      <c r="C344" s="61" t="s">
        <v>2526</v>
      </c>
      <c r="D344" s="689" t="s">
        <v>1520</v>
      </c>
      <c r="E344" s="62" t="s">
        <v>2527</v>
      </c>
      <c r="F344" s="1694" t="s">
        <v>5683</v>
      </c>
      <c r="G344" s="63" t="str">
        <f t="shared" ref="G344:G351" si="147">IF(CharacterLevel&gt;0,"Yes","No")</f>
        <v>No</v>
      </c>
      <c r="H344" s="76"/>
      <c r="I344" s="63"/>
      <c r="J344" s="63" t="str">
        <f>IF(COUNTIF(T344:Z344,2)&gt;0,IF(G344="Yes","Class",""),IF(COUNTIF(T344:Z344,3)&gt;0,IF(COUNTIF(MulticlassFeats,Feats!C344&amp;IF(Feats!D344&lt;&gt;""," ("&amp;Feats!D344&amp;")","")),"Multi",""),""))</f>
        <v/>
      </c>
      <c r="K344" s="63" t="str">
        <f t="shared" ca="1" si="146"/>
        <v/>
      </c>
      <c r="L344" s="63" t="str">
        <f t="shared" ca="1" si="143"/>
        <v>No</v>
      </c>
      <c r="M344" s="63">
        <f t="shared" ca="1" si="144"/>
        <v>0</v>
      </c>
      <c r="N344" s="63">
        <v>89</v>
      </c>
      <c r="O344" s="64"/>
      <c r="P344" s="660"/>
      <c r="Q344" s="661"/>
      <c r="R344" s="661"/>
      <c r="T344" s="54">
        <f>IF(JediFeats&gt;0,1,0)</f>
        <v>0</v>
      </c>
      <c r="X344" s="54">
        <f>IF(SoldierFeats&gt;0,1,0)</f>
        <v>0</v>
      </c>
      <c r="AB344" s="1566" t="str">
        <f t="shared" ca="1" si="145"/>
        <v/>
      </c>
      <c r="AC344" s="1365" t="str">
        <f ca="1">IF(AB157&lt;&gt;"",AB157&amp;";"&amp;AC345,AC345)</f>
        <v/>
      </c>
      <c r="AD344" s="1365" t="str">
        <f ca="1">IF(AB157&lt;&gt;"",N157&amp;";"&amp;AD345,AD345)</f>
        <v/>
      </c>
      <c r="AE344" s="1365" t="str">
        <f ca="1">IF(AB157&lt;&gt;"",IF(R157="Att Options",AB157&amp;IF(AE345&lt;&gt;"",", ",""),"")&amp;AE345,AE345)</f>
        <v/>
      </c>
      <c r="AF344" s="1365" t="str">
        <f ca="1">IF(AB157&lt;&gt;"",IF(R157="Special Actions",AB157&amp;IF(AF345&lt;&gt;"",", ",""),"")&amp;AF345,AF345)</f>
        <v/>
      </c>
      <c r="AG344" s="1467" t="str">
        <f ca="1">IF(AB157&lt;&gt;"",IF(R157="Defenses",AB157&amp;IF(AG345&lt;&gt;"",", ",""),"")&amp;AG345,AG345)</f>
        <v/>
      </c>
      <c r="AH344" s="1467" t="str">
        <f ca="1">IF(AB157&lt;&gt;"",IF(R157="Speed",AB157&amp;IF(AH345&lt;&gt;"",", ",""),"")&amp;AH345,AH345)</f>
        <v/>
      </c>
    </row>
    <row r="345" spans="2:34">
      <c r="B345" s="60"/>
      <c r="C345" s="61" t="s">
        <v>2526</v>
      </c>
      <c r="D345" s="689"/>
      <c r="E345" s="62" t="s">
        <v>2527</v>
      </c>
      <c r="F345" s="1694" t="s">
        <v>5683</v>
      </c>
      <c r="G345" s="63" t="str">
        <f t="shared" si="147"/>
        <v>No</v>
      </c>
      <c r="H345" s="76"/>
      <c r="I345" s="63"/>
      <c r="J345" s="63" t="str">
        <f>IF(COUNTIF(T345:Z345,2)&gt;0,IF(G345="Yes","Class",""),IF(COUNTIF(T345:Z345,3)&gt;0,IF(COUNTIF(MulticlassFeats,Feats!C345&amp;IF(Feats!D345&lt;&gt;""," ("&amp;Feats!D345&amp;")","")),"Multi",""),""))</f>
        <v/>
      </c>
      <c r="K345" s="63" t="str">
        <f t="shared" ca="1" si="146"/>
        <v/>
      </c>
      <c r="L345" s="63" t="str">
        <f t="shared" ca="1" si="143"/>
        <v>No</v>
      </c>
      <c r="M345" s="63">
        <f t="shared" ca="1" si="144"/>
        <v>0</v>
      </c>
      <c r="N345" s="63">
        <v>89</v>
      </c>
      <c r="O345" s="64"/>
      <c r="P345" s="660"/>
      <c r="Q345" s="661"/>
      <c r="R345" s="661"/>
      <c r="X345" s="54">
        <f>IF(SoldierFeats&gt;0,1,0)</f>
        <v>0</v>
      </c>
      <c r="AB345" s="1566" t="str">
        <f t="shared" ca="1" si="145"/>
        <v/>
      </c>
      <c r="AC345" s="1365" t="str">
        <f ca="1">IF(AB161&lt;&gt;"",AB161&amp;";"&amp;AC346,AC346)</f>
        <v/>
      </c>
      <c r="AD345" s="1365" t="str">
        <f ca="1">IF(AB161&lt;&gt;"",N161&amp;";"&amp;AD346,AD346)</f>
        <v/>
      </c>
      <c r="AE345" s="1365" t="str">
        <f ca="1">IF(AB161&lt;&gt;"",IF(R161="Att Options",AB161&amp;IF(AE346&lt;&gt;"",", ",""),"")&amp;AE346,AE346)</f>
        <v/>
      </c>
      <c r="AF345" s="1365" t="str">
        <f ca="1">IF(AB161&lt;&gt;"",IF(R161="Special Actions",AB161&amp;IF(AF346&lt;&gt;"",", ",""),"")&amp;AF346,AF346)</f>
        <v/>
      </c>
      <c r="AG345" s="1467" t="str">
        <f ca="1">IF(AB161&lt;&gt;"",IF(R161="Defenses",AB161&amp;IF(AG346&lt;&gt;"",", ",""),"")&amp;AG346,AG346)</f>
        <v/>
      </c>
      <c r="AH345" s="1467" t="str">
        <f ca="1">IF(AB161&lt;&gt;"",IF(R161="Speed",AB161&amp;IF(AH346&lt;&gt;"",", ",""),"")&amp;AH346,AH346)</f>
        <v/>
      </c>
    </row>
    <row r="346" spans="2:34">
      <c r="B346" s="60"/>
      <c r="C346" s="61" t="s">
        <v>2528</v>
      </c>
      <c r="D346" s="61" t="s">
        <v>1381</v>
      </c>
      <c r="E346" s="62"/>
      <c r="F346" s="1694" t="s">
        <v>5684</v>
      </c>
      <c r="G346" s="63" t="str">
        <f t="shared" si="147"/>
        <v>No</v>
      </c>
      <c r="H346" s="76"/>
      <c r="I346" s="63"/>
      <c r="J346" s="63" t="str">
        <f>IF(COUNTIF(T346:Z346,2)&gt;0,IF(G346="Yes","Class",""),IF(COUNTIF(T346:Z346,3)&gt;0,IF(COUNTIF(MulticlassFeats,Feats!C346&amp;IF(Feats!D346&lt;&gt;""," ("&amp;Feats!D346&amp;")","")),"Multi",""),""))</f>
        <v/>
      </c>
      <c r="K346" s="63" t="str">
        <f t="shared" ca="1" si="146"/>
        <v/>
      </c>
      <c r="L346" s="63" t="str">
        <f t="shared" ca="1" si="143"/>
        <v>No</v>
      </c>
      <c r="M346" s="63">
        <f t="shared" ca="1" si="144"/>
        <v>0</v>
      </c>
      <c r="N346" s="63">
        <v>89</v>
      </c>
      <c r="O346" s="64"/>
      <c r="P346" s="660"/>
      <c r="Q346" s="661"/>
      <c r="R346" s="661"/>
      <c r="U346" s="54">
        <f>IF(NobleFeats&gt;0,1,0)</f>
        <v>0</v>
      </c>
      <c r="V346" s="54">
        <f>IF(ScoundrelFeats&gt;0,1,0)</f>
        <v>0</v>
      </c>
      <c r="W346" s="54">
        <f>IF(ScoutFeats&gt;0,1,0)</f>
        <v>0</v>
      </c>
      <c r="X346" s="54">
        <f>IF(SoldierFeats&gt;0,1,0)</f>
        <v>0</v>
      </c>
      <c r="Y346" s="54">
        <f>IF(NonheroicFeats&gt;0,IF(COUNTIF(Class!$R$15:$R$17,Feats!C346&amp;" ("&amp;Feats!D346&amp;")")&gt;0,2,1),0)</f>
        <v>0</v>
      </c>
      <c r="AB346" s="1566" t="str">
        <f t="shared" ca="1" si="145"/>
        <v/>
      </c>
      <c r="AC346" s="1365" t="str">
        <f ca="1">IF(AB162&lt;&gt;"",AB162&amp;";"&amp;AC347,AC347)</f>
        <v/>
      </c>
      <c r="AD346" s="1365" t="str">
        <f ca="1">IF(AB162&lt;&gt;"",N162&amp;";"&amp;AD347,AD347)</f>
        <v/>
      </c>
      <c r="AE346" s="1365" t="str">
        <f ca="1">IF(AB162&lt;&gt;"",IF(R162="Att Options",AB162&amp;IF(AE347&lt;&gt;"",", ",""),"")&amp;AE347,AE347)</f>
        <v/>
      </c>
      <c r="AF346" s="1365" t="str">
        <f ca="1">IF(AB162&lt;&gt;"",IF(R162="Special Actions",AB162&amp;IF(AF347&lt;&gt;"",", ",""),"")&amp;AF347,AF347)</f>
        <v/>
      </c>
      <c r="AG346" s="1467" t="str">
        <f ca="1">IF(AB162&lt;&gt;"",IF(R162="Defenses",AB162&amp;IF(AG347&lt;&gt;"",", ",""),"")&amp;AG347,AG347)</f>
        <v/>
      </c>
      <c r="AH346" s="1467" t="str">
        <f ca="1">IF(AB162&lt;&gt;"",IF(R162="Speed",AB162&amp;IF(AH347&lt;&gt;"",", ",""),"")&amp;AH347,AH347)</f>
        <v/>
      </c>
    </row>
    <row r="347" spans="2:34">
      <c r="B347" s="60"/>
      <c r="C347" s="61" t="s">
        <v>2528</v>
      </c>
      <c r="D347" s="61" t="s">
        <v>651</v>
      </c>
      <c r="E347" s="62"/>
      <c r="F347" s="1694" t="s">
        <v>5684</v>
      </c>
      <c r="G347" s="63" t="str">
        <f t="shared" si="147"/>
        <v>No</v>
      </c>
      <c r="H347" s="76"/>
      <c r="I347" s="63"/>
      <c r="J347" s="63" t="str">
        <f>IF(COUNTIF(T347:Z347,2)&gt;0,IF(G347="Yes","Class",""),IF(COUNTIF(T347:Z347,3)&gt;0,IF(COUNTIF(MulticlassFeats,Feats!C347&amp;IF(Feats!D347&lt;&gt;""," ("&amp;Feats!D347&amp;")","")),"Multi",""),""))</f>
        <v/>
      </c>
      <c r="K347" s="63" t="str">
        <f t="shared" ca="1" si="146"/>
        <v/>
      </c>
      <c r="L347" s="63" t="str">
        <f t="shared" ca="1" si="143"/>
        <v>No</v>
      </c>
      <c r="M347" s="63">
        <f t="shared" ca="1" si="144"/>
        <v>0</v>
      </c>
      <c r="N347" s="63">
        <v>89</v>
      </c>
      <c r="O347" s="64"/>
      <c r="P347" s="660"/>
      <c r="Q347" s="661"/>
      <c r="R347" s="661"/>
      <c r="X347" s="54">
        <f>IF(SoldierFeats&gt;0,1,0)</f>
        <v>0</v>
      </c>
      <c r="Y347" s="54">
        <f>IF(NonheroicFeats&gt;0,IF(COUNTIF(Class!$R$15:$R$17,Feats!C347&amp;" ("&amp;Feats!D347&amp;")")&gt;0,2,1),0)</f>
        <v>0</v>
      </c>
      <c r="AB347" s="1566" t="str">
        <f t="shared" ca="1" si="145"/>
        <v/>
      </c>
      <c r="AC347" s="1365" t="str">
        <f ca="1">IF(AB163&lt;&gt;"",AB163&amp;";"&amp;AC348,AC348)</f>
        <v/>
      </c>
      <c r="AD347" s="1365" t="str">
        <f ca="1">IF(AB163&lt;&gt;"",N163&amp;";"&amp;AD348,AD348)</f>
        <v/>
      </c>
      <c r="AE347" s="1365" t="str">
        <f ca="1">IF(AB163&lt;&gt;"",IF(R163="Att Options",AB163&amp;IF(AE348&lt;&gt;"",", ",""),"")&amp;AE348,AE348)</f>
        <v/>
      </c>
      <c r="AF347" s="1365" t="str">
        <f ca="1">IF(AB163&lt;&gt;"",IF(R163="Special Actions",AB163&amp;IF(AF348&lt;&gt;"",", ",""),"")&amp;AF348,AF348)</f>
        <v/>
      </c>
      <c r="AG347" s="1467" t="str">
        <f ca="1">IF(AB163&lt;&gt;"",IF(R163="Defenses",AB163&amp;IF(AG348&lt;&gt;"",", ",""),"")&amp;AG348,AG348)</f>
        <v/>
      </c>
      <c r="AH347" s="1467" t="str">
        <f ca="1">IF(AB163&lt;&gt;"",IF(R163="Speed",AB163&amp;IF(AH348&lt;&gt;"",", ",""),"")&amp;AH348,AH348)</f>
        <v/>
      </c>
    </row>
    <row r="348" spans="2:34">
      <c r="B348" s="60"/>
      <c r="C348" s="61" t="s">
        <v>2528</v>
      </c>
      <c r="D348" s="61" t="s">
        <v>1520</v>
      </c>
      <c r="E348" s="62"/>
      <c r="F348" s="1694" t="s">
        <v>5684</v>
      </c>
      <c r="G348" s="63" t="str">
        <f t="shared" si="147"/>
        <v>No</v>
      </c>
      <c r="H348" s="76"/>
      <c r="I348" s="63"/>
      <c r="J348" s="63" t="str">
        <f>IF(COUNTIF(T348:Z348,2)&gt;0,IF(G348="Yes","Class",""),IF(COUNTIF(T348:Z348,3)&gt;0,IF(COUNTIF(MulticlassFeats,Feats!C348&amp;IF(Feats!D348&lt;&gt;""," ("&amp;Feats!D348&amp;")","")),"Multi",""),""))</f>
        <v/>
      </c>
      <c r="K348" s="63" t="str">
        <f t="shared" ca="1" si="146"/>
        <v/>
      </c>
      <c r="L348" s="63" t="str">
        <f t="shared" ca="1" si="143"/>
        <v>No</v>
      </c>
      <c r="M348" s="63">
        <f t="shared" ca="1" si="144"/>
        <v>0</v>
      </c>
      <c r="N348" s="63">
        <v>89</v>
      </c>
      <c r="O348" s="64"/>
      <c r="P348" s="660"/>
      <c r="Q348" s="661"/>
      <c r="R348" s="661"/>
      <c r="T348" s="54">
        <f>IF(JediFeats&gt;0,IF(FirstClass&lt;&gt;"Jedi",3,2),0)</f>
        <v>0</v>
      </c>
      <c r="Y348" s="54">
        <f>IF(NonheroicFeats&gt;0,IF(AND(FirstClass="Nonheroic",Padawan),2,0),0)</f>
        <v>0</v>
      </c>
      <c r="AB348" s="1566" t="str">
        <f t="shared" ca="1" si="145"/>
        <v/>
      </c>
      <c r="AC348" s="1365" t="str">
        <f ca="1">IF(AB177&lt;&gt;"",AB177&amp;";"&amp;AC349,AC349)</f>
        <v/>
      </c>
      <c r="AD348" s="1365" t="str">
        <f ca="1">IF(AB177&lt;&gt;"",N177&amp;";"&amp;AD349,AD349)</f>
        <v/>
      </c>
      <c r="AE348" s="1365" t="str">
        <f ca="1">IF(AB177&lt;&gt;"",IF(R177="Att Options",AB177&amp;IF(AE349&lt;&gt;"",", ",""),"")&amp;AE349,AE349)</f>
        <v/>
      </c>
      <c r="AF348" s="1365" t="str">
        <f ca="1">IF(AB177&lt;&gt;"",IF(R177="Special Actions",AB177&amp;IF(AF349&lt;&gt;"",", ",""),"")&amp;AF349,AF349)</f>
        <v/>
      </c>
      <c r="AG348" s="1467" t="str">
        <f ca="1">IF(AB177&lt;&gt;"",IF(R177="Defenses",AB177&amp;IF(AG349&lt;&gt;"",", ",""),"")&amp;AG349,AG349)</f>
        <v/>
      </c>
      <c r="AH348" s="1467" t="str">
        <f ca="1">IF(AB177&lt;&gt;"",IF(R177="Speed",AB177&amp;IF(AH349&lt;&gt;"",", ",""),"")&amp;AH349,AH349)</f>
        <v/>
      </c>
    </row>
    <row r="349" spans="2:34">
      <c r="B349" s="60"/>
      <c r="C349" s="61" t="s">
        <v>2528</v>
      </c>
      <c r="D349" s="61" t="s">
        <v>563</v>
      </c>
      <c r="E349" s="62"/>
      <c r="F349" s="1694" t="s">
        <v>5684</v>
      </c>
      <c r="G349" s="63" t="str">
        <f t="shared" si="147"/>
        <v>No</v>
      </c>
      <c r="H349" s="76"/>
      <c r="I349" s="63"/>
      <c r="J349" s="63" t="str">
        <f>IF(COUNTIF(T349:Z349,2)&gt;0,IF(G349="Yes","Class",""),IF(COUNTIF(T349:Z349,3)&gt;0,IF(COUNTIF(MulticlassFeats,Feats!C349&amp;IF(Feats!D349&lt;&gt;""," ("&amp;Feats!D349&amp;")","")),"Multi",""),""))</f>
        <v/>
      </c>
      <c r="K349" s="63" t="str">
        <f t="shared" ca="1" si="146"/>
        <v/>
      </c>
      <c r="L349" s="63" t="str">
        <f t="shared" ca="1" si="143"/>
        <v>No</v>
      </c>
      <c r="M349" s="63">
        <f t="shared" ca="1" si="144"/>
        <v>0</v>
      </c>
      <c r="N349" s="63">
        <v>89</v>
      </c>
      <c r="O349" s="64"/>
      <c r="P349" s="660"/>
      <c r="Q349" s="661"/>
      <c r="R349" s="661"/>
      <c r="U349" s="54">
        <f>IF(NobleFeats&gt;0,IF(FirstClass&lt;&gt;"Noble",3,IF(COUNTIF(SpeciesTraits,"Primitive")&lt;=0,2,0)),0)</f>
        <v>0</v>
      </c>
      <c r="V349" s="54">
        <f>IF(ScoundrelFeats&gt;0,IF(FirstClass&lt;&gt;"Scoundrel",3,IF(COUNTIF(SpeciesTraits,"Primitive")&lt;=0,2,0)),0)</f>
        <v>0</v>
      </c>
      <c r="W349" s="54">
        <f>IF(ScoutFeats&gt;0,IF(FirstClass&lt;&gt;"Scout",3,IF(COUNTIF(SpeciesTraits,"Primitive")&lt;=0,2,0)),0)</f>
        <v>0</v>
      </c>
      <c r="X349" s="54">
        <f>IF(SoldierFeats&gt;0,IF(FirstClass&lt;&gt;"Soldier",3,IF(COUNTIF(SpeciesTraits,"Primitive")&lt;=0,2,0)),0)</f>
        <v>0</v>
      </c>
      <c r="Y349" s="54">
        <f>IF(NonheroicFeats&gt;0,IF(COUNTIF(Class!$R$15:$R$17,Feats!C349&amp;" ("&amp;Feats!D349&amp;")")&gt;0,2,1),0)</f>
        <v>0</v>
      </c>
      <c r="AB349" s="1566" t="str">
        <f t="shared" ca="1" si="145"/>
        <v/>
      </c>
      <c r="AC349" s="1365" t="str">
        <f ca="1">IF(AB215&lt;&gt;"",AB215&amp;";"&amp;AC350,AC350)</f>
        <v/>
      </c>
      <c r="AD349" s="1365" t="str">
        <f ca="1">IF(AB215&lt;&gt;"",N215&amp;";"&amp;AD350,AD350)</f>
        <v/>
      </c>
      <c r="AE349" s="1365" t="str">
        <f ca="1">IF(AB215&lt;&gt;"",IF(R215="Att Options",AB215&amp;IF(AE350&lt;&gt;"",", ",""),"")&amp;AE350,AE350)</f>
        <v/>
      </c>
      <c r="AF349" s="1365" t="str">
        <f ca="1">IF(AB215&lt;&gt;"",IF(R215="Special Actions",AB215&amp;IF(AF350&lt;&gt;"",", ",""),"")&amp;AF350,AF350)</f>
        <v/>
      </c>
      <c r="AG349" s="1467" t="str">
        <f ca="1">IF(AB215&lt;&gt;"",IF(R215="Defenses",AB215&amp;IF(AG350&lt;&gt;"",", ",""),"")&amp;AG350,AG350)</f>
        <v/>
      </c>
      <c r="AH349" s="1467" t="str">
        <f ca="1">IF(AB215&lt;&gt;"",IF(R215="Speed",AB215&amp;IF(AH350&lt;&gt;"",", ",""),"")&amp;AH350,AH350)</f>
        <v/>
      </c>
    </row>
    <row r="350" spans="2:34">
      <c r="B350" s="60"/>
      <c r="C350" s="61" t="s">
        <v>2528</v>
      </c>
      <c r="D350" s="61" t="s">
        <v>531</v>
      </c>
      <c r="E350" s="62"/>
      <c r="F350" s="1694" t="s">
        <v>5684</v>
      </c>
      <c r="G350" s="63" t="str">
        <f t="shared" si="147"/>
        <v>No</v>
      </c>
      <c r="H350" s="76"/>
      <c r="I350" s="63"/>
      <c r="J350" s="63" t="str">
        <f>IF(COUNTIF(T350:Z350,2)&gt;0,IF(G350="Yes","Class",""),IF(COUNTIF(T350:Z350,3)&gt;0,IF(COUNTIF(MulticlassFeats,Feats!C350&amp;IF(Feats!D350&lt;&gt;""," ("&amp;Feats!D350&amp;")","")),"Multi",""),""))</f>
        <v/>
      </c>
      <c r="K350" s="63" t="str">
        <f t="shared" ca="1" si="146"/>
        <v/>
      </c>
      <c r="L350" s="63" t="str">
        <f t="shared" ca="1" si="143"/>
        <v>No</v>
      </c>
      <c r="M350" s="63">
        <f t="shared" ca="1" si="144"/>
        <v>0</v>
      </c>
      <c r="N350" s="63">
        <v>89</v>
      </c>
      <c r="O350" s="64"/>
      <c r="P350" s="660"/>
      <c r="Q350" s="661"/>
      <c r="R350" s="661"/>
      <c r="U350" s="54">
        <f>IF(NobleFeats&gt;0,1,0)</f>
        <v>0</v>
      </c>
      <c r="V350" s="54">
        <f>IF(ScoundrelFeats&gt;0,1,0)</f>
        <v>0</v>
      </c>
      <c r="W350" s="54">
        <f>IF(ScoutFeats&gt;0,IF(FirstClass&lt;&gt;"Scout",3,IF(COUNTIF(SpeciesTraits,"Primitive")&lt;=0,2,0)),0)</f>
        <v>0</v>
      </c>
      <c r="X350" s="54">
        <f>IF(SoldierFeats&gt;0,IF(FirstClass&lt;&gt;"Soldier",3,IF(COUNTIF(SpeciesTraits,"Primitive")&lt;=0,2,0)),0)</f>
        <v>0</v>
      </c>
      <c r="Y350" s="54">
        <f>IF(NonheroicFeats&gt;0,IF(COUNTIF(Class!$R$15:$R$17,Feats!C350&amp;" ("&amp;Feats!D350&amp;")")&gt;0,2,1),0)</f>
        <v>0</v>
      </c>
      <c r="AB350" s="1566" t="str">
        <f t="shared" ca="1" si="145"/>
        <v/>
      </c>
      <c r="AC350" s="1365" t="str">
        <f ca="1">IF(AB222&lt;&gt;"",AB222&amp;";"&amp;AC351,AC351)</f>
        <v/>
      </c>
      <c r="AD350" s="1365" t="str">
        <f ca="1">IF(AB222&lt;&gt;"",N222&amp;";"&amp;AD351,AD351)</f>
        <v/>
      </c>
      <c r="AE350" s="1365" t="str">
        <f ca="1">IF(AB222&lt;&gt;"",IF(R222="Att Options",AB222&amp;IF(AE351&lt;&gt;"",", ",""),"")&amp;AE351,AE351)</f>
        <v/>
      </c>
      <c r="AF350" s="1365" t="str">
        <f ca="1">IF(AB222&lt;&gt;"",IF(R222="Special Actions",AB222&amp;IF(AF351&lt;&gt;"",", ",""),"")&amp;AF351,AF351)</f>
        <v/>
      </c>
      <c r="AG350" s="1467" t="str">
        <f ca="1">IF(AB222&lt;&gt;"",IF(R222="Defenses",AB222&amp;IF(AG351&lt;&gt;"",", ",""),"")&amp;AG351,AG351)</f>
        <v/>
      </c>
      <c r="AH350" s="1467" t="str">
        <f ca="1">IF(AB222&lt;&gt;"",IF(R222="Speed",AB222&amp;IF(AH351&lt;&gt;"",", ",""),"")&amp;AH351,AH351)</f>
        <v/>
      </c>
    </row>
    <row r="351" spans="2:34">
      <c r="B351" s="60"/>
      <c r="C351" s="61" t="s">
        <v>2528</v>
      </c>
      <c r="D351" s="61" t="s">
        <v>461</v>
      </c>
      <c r="E351" s="62"/>
      <c r="F351" s="1694" t="s">
        <v>5684</v>
      </c>
      <c r="G351" s="63" t="str">
        <f t="shared" si="147"/>
        <v>No</v>
      </c>
      <c r="H351" s="76"/>
      <c r="I351" s="63"/>
      <c r="J351" s="63" t="str">
        <f>IF(COUNTIF(T351:Z351,2)&gt;0,IF(G351="Yes","Class",""),IF(COUNTIF(T351:Z351,3)&gt;0,IF(COUNTIF(MulticlassFeats,Feats!C351&amp;IF(Feats!D351&lt;&gt;""," ("&amp;Feats!D351&amp;")","")),"Multi",""),""))</f>
        <v/>
      </c>
      <c r="K351" s="63" t="str">
        <f t="shared" ca="1" si="146"/>
        <v/>
      </c>
      <c r="L351" s="63" t="str">
        <f t="shared" ca="1" si="143"/>
        <v>No</v>
      </c>
      <c r="M351" s="63">
        <f t="shared" ca="1" si="144"/>
        <v>0</v>
      </c>
      <c r="N351" s="63">
        <v>89</v>
      </c>
      <c r="O351" s="64"/>
      <c r="P351" s="660"/>
      <c r="Q351" s="661"/>
      <c r="R351" s="661"/>
      <c r="T351" s="54">
        <f>IF(JediFeats&gt;0,IF(FirstClass&lt;&gt;"Jedi",3,2),0)</f>
        <v>0</v>
      </c>
      <c r="U351" s="54">
        <f>IF(NobleFeats&gt;0,IF(FirstClass&lt;&gt;"Noble",3,2),0)</f>
        <v>0</v>
      </c>
      <c r="V351" s="54">
        <f>IF(ScoundrelFeats&gt;0,IF(FirstClass&lt;&gt;"Scoundrel",3,2),0)</f>
        <v>0</v>
      </c>
      <c r="W351" s="54">
        <f>IF(ScoutFeats&gt;0,IF(FirstClass&lt;&gt;"Scout",3,2),0)</f>
        <v>0</v>
      </c>
      <c r="X351" s="54">
        <f>IF(SoldierFeats&gt;0,IF(FirstClass&lt;&gt;"Soldier",3,2),0)</f>
        <v>0</v>
      </c>
      <c r="Y351" s="54">
        <f>IF(NonheroicFeats&gt;0,IF(AND(FirstClass="Nonheroic",Padawan),2,IF(COUNTIF(Class!$R$15:$R$17,Feats!C351&amp;" ("&amp;Feats!D351&amp;")")&gt;0,2,1)),0)</f>
        <v>0</v>
      </c>
      <c r="AB351" s="1566" t="str">
        <f t="shared" ca="1" si="145"/>
        <v/>
      </c>
      <c r="AC351" s="1365" t="str">
        <f ca="1">IF(AB313&lt;&gt;"",AB313&amp;";"&amp;AC352,AC352)</f>
        <v/>
      </c>
      <c r="AD351" s="1365" t="str">
        <f ca="1">IF(AB313&lt;&gt;"",N313&amp;";"&amp;AD352,AD352)</f>
        <v/>
      </c>
      <c r="AE351" s="1365" t="str">
        <f ca="1">IF(AB313&lt;&gt;"",IF(R313="Att Options",AB313&amp;IF(AE352&lt;&gt;"",", ",""),"")&amp;AE352,AE352)</f>
        <v/>
      </c>
      <c r="AF351" s="1365" t="str">
        <f ca="1">IF(AB313&lt;&gt;"",IF(R313="Special Actions",AB313&amp;IF(AF352&lt;&gt;"",", ",""),"")&amp;AF352,AF352)</f>
        <v/>
      </c>
      <c r="AG351" s="1467" t="str">
        <f ca="1">IF(AB313&lt;&gt;"",IF(R313="Defenses",AB313&amp;IF(AG352&lt;&gt;"",", ",""),"")&amp;AG352,AG352)</f>
        <v/>
      </c>
      <c r="AH351" s="1467" t="str">
        <f ca="1">IF(AB313&lt;&gt;"",IF(R313="Speed",AB313&amp;IF(AH352&lt;&gt;"",", ",""),"")&amp;AH352,AH352)</f>
        <v/>
      </c>
    </row>
    <row r="352" spans="2:34">
      <c r="B352" s="60"/>
      <c r="C352" s="61" t="s">
        <v>2529</v>
      </c>
      <c r="D352" s="61"/>
      <c r="E352" s="62" t="s">
        <v>2530</v>
      </c>
      <c r="F352" s="1694" t="s">
        <v>5685</v>
      </c>
      <c r="G352" s="63" t="str">
        <f ca="1">IF(AND(BAB&gt;=4,Dexterity&gt;=13,Intelligence&gt;=13,M184&gt;0),"Yes","No")</f>
        <v>No</v>
      </c>
      <c r="H352" s="76"/>
      <c r="I352" s="63"/>
      <c r="J352" s="63" t="str">
        <f>IF(COUNTIF(T352:Z352,2)&gt;0,IF(G352="Yes","Class",""),IF(COUNTIF(T352:Z352,3)&gt;0,IF(COUNTIF(MulticlassFeats,Feats!C352&amp;IF(Feats!D352&lt;&gt;""," ("&amp;Feats!D352&amp;")","")),"Multi",""),""))</f>
        <v/>
      </c>
      <c r="K352" s="63" t="str">
        <f t="shared" ca="1" si="146"/>
        <v/>
      </c>
      <c r="L352" s="63" t="str">
        <f t="shared" ca="1" si="143"/>
        <v>No</v>
      </c>
      <c r="M352" s="63">
        <f t="shared" ca="1" si="144"/>
        <v>0</v>
      </c>
      <c r="N352" s="63">
        <v>89</v>
      </c>
      <c r="O352" s="64"/>
      <c r="P352" s="660"/>
      <c r="Q352" s="661"/>
      <c r="R352" s="661" t="s">
        <v>4059</v>
      </c>
      <c r="AB352" s="1566" t="str">
        <f t="shared" ca="1" si="145"/>
        <v/>
      </c>
      <c r="AC352" s="1365" t="str">
        <f ca="1">IF(AB318&lt;&gt;"",AB318&amp;";"&amp;AC353,AC353)</f>
        <v/>
      </c>
      <c r="AD352" s="1365" t="str">
        <f ca="1">IF(AB318&lt;&gt;"",N318&amp;";"&amp;AD353,AD353)</f>
        <v/>
      </c>
      <c r="AE352" s="1365" t="str">
        <f ca="1">IF(AB318&lt;&gt;"",IF(R318="Att Options",AB318&amp;IF(AE353&lt;&gt;"",", ",""),"")&amp;AE353,AE353)</f>
        <v/>
      </c>
      <c r="AF352" s="1365" t="str">
        <f ca="1">IF(AB318&lt;&gt;"",IF(R318="Special Actions",AB318&amp;IF(AF353&lt;&gt;"",", ",""),"")&amp;AF353,AF353)</f>
        <v/>
      </c>
      <c r="AG352" s="1467" t="str">
        <f ca="1">IF(AB318&lt;&gt;"",IF(R318="Defenses",AB318&amp;IF(AG353&lt;&gt;"",", ",""),"")&amp;AG353,AG353)</f>
        <v/>
      </c>
      <c r="AH352" s="1467" t="str">
        <f ca="1">IF(AB318&lt;&gt;"",IF(R318="Speed",AB318&amp;IF(AH353&lt;&gt;"",", ",""),"")&amp;AH353,AH353)</f>
        <v/>
      </c>
    </row>
    <row r="353" spans="2:34">
      <c r="B353" s="60"/>
      <c r="C353" s="61" t="s">
        <v>2531</v>
      </c>
      <c r="D353" s="61"/>
      <c r="E353" s="62" t="s">
        <v>2419</v>
      </c>
      <c r="F353" s="1694" t="s">
        <v>5686</v>
      </c>
      <c r="G353" s="63" t="str">
        <f ca="1">IF(AND(CharacterLevel&gt;0,M250&gt;=1),"Yes","No")</f>
        <v>No</v>
      </c>
      <c r="H353" s="76"/>
      <c r="I353" s="63"/>
      <c r="J353" s="63" t="str">
        <f>IF(COUNTIF(T353:Z353,2)&gt;0,IF(G353="Yes","Class",""),IF(COUNTIF(T353:Z353,3)&gt;0,IF(COUNTIF(MulticlassFeats,Feats!C353&amp;IF(Feats!D353&lt;&gt;""," ("&amp;Feats!D353&amp;")","")),"Multi",""),""))</f>
        <v/>
      </c>
      <c r="K353" s="63" t="str">
        <f t="shared" ca="1" si="146"/>
        <v/>
      </c>
      <c r="L353" s="63" t="str">
        <f t="shared" ca="1" si="143"/>
        <v>No</v>
      </c>
      <c r="M353" s="63">
        <f t="shared" ca="1" si="144"/>
        <v>0</v>
      </c>
      <c r="N353" s="63" t="s">
        <v>2506</v>
      </c>
      <c r="O353" s="64"/>
      <c r="P353" s="660"/>
      <c r="Q353" s="661"/>
      <c r="R353" s="661" t="s">
        <v>4059</v>
      </c>
      <c r="T353" s="54">
        <f>IF(JediFeats&gt;0,1,0)</f>
        <v>0</v>
      </c>
      <c r="U353" s="54">
        <f>IF(NobleFeats&gt;0,1,0)</f>
        <v>0</v>
      </c>
      <c r="AB353" s="1566" t="str">
        <f t="shared" ca="1" si="145"/>
        <v/>
      </c>
      <c r="AC353" s="1365" t="str">
        <f ca="1">IF(AB354&lt;&gt;"",AB354&amp;";"&amp;AC354,AC354)</f>
        <v/>
      </c>
      <c r="AD353" s="1365" t="str">
        <f ca="1">IF(AB354&lt;&gt;"",N354&amp;";"&amp;AD354,AD354)</f>
        <v/>
      </c>
      <c r="AE353" s="1365" t="str">
        <f ca="1">IF(AB354&lt;&gt;"",IF(R354="Att Options",AB354&amp;IF(AE354&lt;&gt;"",", ",""),"")&amp;AE354,AE354)</f>
        <v/>
      </c>
      <c r="AF353" s="1365" t="str">
        <f ca="1">IF(AB354&lt;&gt;"",IF(R354="Special Actions",AB354&amp;IF(AF354&lt;&gt;"",", ",""),"")&amp;AF354,AF354)</f>
        <v/>
      </c>
      <c r="AG353" s="1467" t="str">
        <f ca="1">IF(AB354&lt;&gt;"",IF(R354="Defenses",AB354&amp;IF(AG354&lt;&gt;"",", ",""),"")&amp;AG354,AG354)</f>
        <v/>
      </c>
      <c r="AH353" s="1467" t="str">
        <f ca="1">IF(AB354&lt;&gt;"",IF(R354="Speed",AB354&amp;IF(AH354&lt;&gt;"",", ",""),"")&amp;AH354,AH354)</f>
        <v/>
      </c>
    </row>
    <row r="354" spans="2:34">
      <c r="B354" s="60"/>
      <c r="C354" s="1462" t="s">
        <v>8169</v>
      </c>
      <c r="D354" s="1462"/>
      <c r="E354" s="1462" t="s">
        <v>8168</v>
      </c>
      <c r="F354" s="1695" t="s">
        <v>8167</v>
      </c>
      <c r="G354" s="63" t="str">
        <f>IF(OR(TSurvival="Yes",STSurvival="Yes"),"Yes","No")</f>
        <v>No</v>
      </c>
      <c r="H354" s="76"/>
      <c r="I354" s="63"/>
      <c r="J354" s="63" t="str">
        <f>IF(COUNTIF(T354:Z354,2)&gt;0,IF(G354="Yes","Class",""),IF(COUNTIF(T354:Z354,3)&gt;0,IF(COUNTIF(MulticlassFeats,Feats!A51&amp;IF(Feats!B51&lt;&gt;""," ("&amp;Feats!B51&amp;")","")),"Multi",""),""))</f>
        <v/>
      </c>
      <c r="K354" s="63" t="str">
        <f t="shared" ca="1" si="146"/>
        <v/>
      </c>
      <c r="L354" s="63" t="str">
        <f t="shared" ca="1" si="143"/>
        <v>No</v>
      </c>
      <c r="M354" s="63">
        <f t="shared" ca="1" si="144"/>
        <v>0</v>
      </c>
      <c r="N354" s="1461" t="s">
        <v>8166</v>
      </c>
      <c r="O354" s="64"/>
      <c r="P354" s="1559"/>
      <c r="R354" s="661"/>
      <c r="S354" s="1463"/>
      <c r="T354" s="660"/>
      <c r="U354" s="660"/>
      <c r="V354" s="660"/>
      <c r="W354" s="54">
        <f>IF(ScoutFeats&gt;0,1,0)</f>
        <v>0</v>
      </c>
      <c r="X354" s="660"/>
      <c r="Y354" s="660"/>
      <c r="Z354" s="1562"/>
      <c r="AA354" s="1568"/>
      <c r="AB354" s="1566" t="str">
        <f t="shared" ca="1" si="145"/>
        <v/>
      </c>
      <c r="AC354" s="1365" t="str">
        <f ca="1">IF(AB352&lt;&gt;"",AB352&amp;";"&amp;AC355,AC355)</f>
        <v/>
      </c>
      <c r="AD354" s="1365" t="str">
        <f ca="1">IF(AB352&lt;&gt;"",N352&amp;";"&amp;AD355,AD355)</f>
        <v/>
      </c>
      <c r="AE354" s="1365" t="str">
        <f ca="1">IF(AB352&lt;&gt;"",IF(R352="Att Options",AB352&amp;IF(AE355&lt;&gt;"",", ",""),"")&amp;AE355,AE355)</f>
        <v/>
      </c>
      <c r="AF354" s="1365" t="str">
        <f ca="1">IF(AB352&lt;&gt;"",IF(R352="Special Actions",AB352&amp;IF(AF355&lt;&gt;"",", ",""),"")&amp;AF355,AF355)</f>
        <v/>
      </c>
      <c r="AG354" s="1467" t="str">
        <f ca="1">IF(AB352&lt;&gt;"",IF(R352="Defenses",AB352&amp;IF(AG355&lt;&gt;"",", ",""),"")&amp;AG355,AG355)</f>
        <v/>
      </c>
      <c r="AH354" s="1467" t="str">
        <f ca="1">IF(AB352&lt;&gt;"",IF(R352="Speed",AB352&amp;IF(AH355&lt;&gt;"",", ",""),"")&amp;AH355,AH355)</f>
        <v/>
      </c>
    </row>
    <row r="355" spans="2:34">
      <c r="B355" s="60"/>
      <c r="C355" s="61" t="s">
        <v>2532</v>
      </c>
      <c r="D355" s="61" t="s">
        <v>1381</v>
      </c>
      <c r="E355" s="62" t="s">
        <v>2533</v>
      </c>
      <c r="F355" s="1694" t="s">
        <v>5687</v>
      </c>
      <c r="G355" s="63" t="str">
        <f ca="1">IF(AND(BAB&gt;=5,M346&gt;0),"Yes","No")</f>
        <v>No</v>
      </c>
      <c r="H355" s="76"/>
      <c r="I355" s="63"/>
      <c r="J355" s="63" t="str">
        <f>IF(COUNTIF(T355:Z355,2)&gt;0,IF(G355="Yes","Class",""),IF(COUNTIF(T355:Z355,3)&gt;0,IF(COUNTIF(MulticlassFeats,Feats!C355&amp;IF(Feats!D355&lt;&gt;""," ("&amp;Feats!D355&amp;")","")),"Multi",""),""))</f>
        <v/>
      </c>
      <c r="K355" s="63" t="str">
        <f t="shared" ca="1" si="146"/>
        <v/>
      </c>
      <c r="L355" s="63" t="str">
        <f t="shared" ca="1" si="143"/>
        <v>No</v>
      </c>
      <c r="M355" s="63">
        <f t="shared" ca="1" si="144"/>
        <v>0</v>
      </c>
      <c r="N355" s="63" t="s">
        <v>2476</v>
      </c>
      <c r="O355" s="64"/>
      <c r="P355" s="660"/>
      <c r="Q355" s="661"/>
      <c r="R355" s="661" t="s">
        <v>4059</v>
      </c>
      <c r="T355" s="54">
        <f>IF(JediFeats&gt;0,1,0)</f>
        <v>0</v>
      </c>
      <c r="X355" s="54">
        <f>IF(SoldierFeats&gt;0,1,0)</f>
        <v>0</v>
      </c>
      <c r="AB355" s="1566" t="str">
        <f t="shared" ca="1" si="145"/>
        <v/>
      </c>
      <c r="AC355" s="1365" t="str">
        <f ca="1">IF(AB353&lt;&gt;"",AB353&amp;";"&amp;AC356,AC356)</f>
        <v/>
      </c>
      <c r="AD355" s="1365" t="str">
        <f ca="1">IF(AB353&lt;&gt;"",N353&amp;";"&amp;AD356,AD356)</f>
        <v/>
      </c>
      <c r="AE355" s="1365" t="str">
        <f ca="1">IF(AB353&lt;&gt;"",IF(R353="Att Options",AB353&amp;IF(AE356&lt;&gt;"",", ",""),"")&amp;AE356,AE356)</f>
        <v/>
      </c>
      <c r="AF355" s="1365" t="str">
        <f ca="1">IF(AB353&lt;&gt;"",IF(R353="Special Actions",AB353&amp;IF(AF356&lt;&gt;"",", ",""),"")&amp;AF356,AF356)</f>
        <v/>
      </c>
      <c r="AG355" s="1467" t="str">
        <f ca="1">IF(AB353&lt;&gt;"",IF(R353="Defenses",AB353&amp;IF(AG356&lt;&gt;"",", ",""),"")&amp;AG356,AG356)</f>
        <v/>
      </c>
      <c r="AH355" s="1467" t="str">
        <f ca="1">IF(AB353&lt;&gt;"",IF(R353="Speed",AB353&amp;IF(AH356&lt;&gt;"",", ",""),"")&amp;AH356,AH356)</f>
        <v/>
      </c>
    </row>
    <row r="356" spans="2:34">
      <c r="B356" s="60"/>
      <c r="C356" s="61" t="s">
        <v>2532</v>
      </c>
      <c r="D356" s="61" t="s">
        <v>1520</v>
      </c>
      <c r="E356" s="62" t="s">
        <v>2533</v>
      </c>
      <c r="F356" s="1694" t="s">
        <v>5687</v>
      </c>
      <c r="G356" s="63" t="str">
        <f ca="1">IF(AND(BAB&gt;=5,M348&gt;0),"Yes","No")</f>
        <v>No</v>
      </c>
      <c r="H356" s="76"/>
      <c r="I356" s="63"/>
      <c r="J356" s="63" t="str">
        <f>IF(COUNTIF(T356:Z356,2)&gt;0,IF(G356="Yes","Class",""),IF(COUNTIF(T356:Z356,3)&gt;0,IF(COUNTIF(MulticlassFeats,Feats!C356&amp;IF(Feats!D356&lt;&gt;""," ("&amp;Feats!D356&amp;")","")),"Multi",""),""))</f>
        <v/>
      </c>
      <c r="K356" s="63" t="str">
        <f t="shared" ca="1" si="146"/>
        <v/>
      </c>
      <c r="L356" s="63" t="str">
        <f t="shared" ca="1" si="143"/>
        <v>No</v>
      </c>
      <c r="M356" s="63">
        <f t="shared" ca="1" si="144"/>
        <v>0</v>
      </c>
      <c r="N356" s="63" t="s">
        <v>2476</v>
      </c>
      <c r="O356" s="64"/>
      <c r="P356" s="660"/>
      <c r="Q356" s="661"/>
      <c r="R356" s="661" t="s">
        <v>4059</v>
      </c>
      <c r="T356" s="54">
        <f>IF(JediFeats&gt;0,1,0)</f>
        <v>0</v>
      </c>
      <c r="X356" s="54">
        <f>IF(SoldierFeats&gt;0,1,0)</f>
        <v>0</v>
      </c>
      <c r="AB356" s="1566" t="str">
        <f t="shared" ca="1" si="145"/>
        <v/>
      </c>
      <c r="AC356" s="1365" t="str">
        <f ca="1">IF(AB355&lt;&gt;"",AB355&amp;";"&amp;AC357,AC357)</f>
        <v/>
      </c>
      <c r="AD356" s="1365" t="str">
        <f ca="1">IF(AB355&lt;&gt;"",N355&amp;";"&amp;AD357,AD357)</f>
        <v/>
      </c>
      <c r="AE356" s="1365" t="str">
        <f ca="1">IF(AB355&lt;&gt;"",IF(R355="Att Options",AB355&amp;IF(AE357&lt;&gt;"",", ",""),"")&amp;AE357,AE357)</f>
        <v/>
      </c>
      <c r="AF356" s="1365" t="str">
        <f ca="1">IF(AB355&lt;&gt;"",IF(R355="Special Actions",AB355&amp;IF(AF357&lt;&gt;"",", ",""),"")&amp;AF357,AF357)</f>
        <v/>
      </c>
      <c r="AG356" s="1467" t="str">
        <f ca="1">IF(AB355&lt;&gt;"",IF(R355="Defenses",AB355&amp;IF(AG357&lt;&gt;"",", ",""),"")&amp;AG357,AG357)</f>
        <v/>
      </c>
      <c r="AH356" s="1467" t="str">
        <f ca="1">IF(AB355&lt;&gt;"",IF(R355="Speed",AB355&amp;IF(AH357&lt;&gt;"",", ",""),"")&amp;AH357,AH357)</f>
        <v/>
      </c>
    </row>
    <row r="357" spans="2:34">
      <c r="B357" s="60"/>
      <c r="C357" s="61" t="s">
        <v>2532</v>
      </c>
      <c r="D357" s="61" t="s">
        <v>461</v>
      </c>
      <c r="E357" s="62" t="s">
        <v>2533</v>
      </c>
      <c r="F357" s="1694" t="s">
        <v>5687</v>
      </c>
      <c r="G357" s="63" t="str">
        <f ca="1">IF(AND(BAB&gt;=5,M351&gt;0),"Yes","No")</f>
        <v>No</v>
      </c>
      <c r="H357" s="76"/>
      <c r="I357" s="63"/>
      <c r="J357" s="63" t="str">
        <f>IF(COUNTIF(T357:Z357,2)&gt;0,IF(G357="Yes","Class",""),IF(COUNTIF(T357:Z357,3)&gt;0,IF(COUNTIF(MulticlassFeats,Feats!C357&amp;IF(Feats!D357&lt;&gt;""," ("&amp;Feats!D357&amp;")","")),"Multi",""),""))</f>
        <v/>
      </c>
      <c r="K357" s="63" t="str">
        <f t="shared" ca="1" si="146"/>
        <v/>
      </c>
      <c r="L357" s="63" t="str">
        <f t="shared" ca="1" si="143"/>
        <v>No</v>
      </c>
      <c r="M357" s="63">
        <f t="shared" ca="1" si="144"/>
        <v>0</v>
      </c>
      <c r="N357" s="63" t="s">
        <v>2476</v>
      </c>
      <c r="O357" s="64"/>
      <c r="P357" s="660"/>
      <c r="Q357" s="661"/>
      <c r="R357" s="661" t="s">
        <v>4059</v>
      </c>
      <c r="T357" s="54">
        <f>IF(JediFeats&gt;0,1,0)</f>
        <v>0</v>
      </c>
      <c r="X357" s="54">
        <f>IF(SoldierFeats&gt;0,1,0)</f>
        <v>0</v>
      </c>
      <c r="AB357" s="1566" t="str">
        <f t="shared" ca="1" si="145"/>
        <v/>
      </c>
      <c r="AC357" s="1365" t="str">
        <f ca="1">IF(AB356&lt;&gt;"",AB356&amp;";"&amp;AC358,AC358)</f>
        <v/>
      </c>
      <c r="AD357" s="1365" t="str">
        <f ca="1">IF(AB356&lt;&gt;"",N356&amp;";"&amp;AD358,AD358)</f>
        <v/>
      </c>
      <c r="AE357" s="1365" t="str">
        <f ca="1">IF(AB356&lt;&gt;"",IF(R356="Att Options",AB356&amp;IF(AE358&lt;&gt;"",", ",""),"")&amp;AE358,AE358)</f>
        <v/>
      </c>
      <c r="AF357" s="1365" t="str">
        <f ca="1">IF(AB356&lt;&gt;"",IF(R356="Special Actions",AB356&amp;IF(AF358&lt;&gt;"",", ",""),"")&amp;AF358,AF358)</f>
        <v/>
      </c>
      <c r="AG357" s="1467" t="str">
        <f ca="1">IF(AB356&lt;&gt;"",IF(R356="Defenses",AB356&amp;IF(AG358&lt;&gt;"",", ",""),"")&amp;AG358,AG358)</f>
        <v/>
      </c>
      <c r="AH357" s="1467" t="str">
        <f ca="1">IF(AB356&lt;&gt;"",IF(R356="Speed",AB356&amp;IF(AH358&lt;&gt;"",", ",""),"")&amp;AH358,AH358)</f>
        <v/>
      </c>
    </row>
    <row r="358" spans="2:34">
      <c r="B358" s="60"/>
      <c r="C358" s="61" t="s">
        <v>2532</v>
      </c>
      <c r="D358" s="61" t="str">
        <f>IF(D100&lt;&gt;"",D100,"")</f>
        <v/>
      </c>
      <c r="E358" s="62" t="s">
        <v>2533</v>
      </c>
      <c r="F358" s="1694" t="s">
        <v>5687</v>
      </c>
      <c r="G358" s="63" t="str">
        <f ca="1">IF(AND(BAB&gt;=5,M100&gt;0),"Yes","No")</f>
        <v>No</v>
      </c>
      <c r="H358" s="76"/>
      <c r="I358" s="63"/>
      <c r="J358" s="63" t="str">
        <f>IF(COUNTIF(T358:Z358,2)&gt;0,IF(G358="Yes","Class",""),IF(COUNTIF(T358:Z358,3)&gt;0,IF(COUNTIF(MulticlassFeats,Feats!C358&amp;IF(Feats!D358&lt;&gt;""," ("&amp;Feats!D358&amp;")","")),"Multi",""),""))</f>
        <v/>
      </c>
      <c r="K358" s="63" t="str">
        <f t="shared" ca="1" si="146"/>
        <v/>
      </c>
      <c r="L358" s="63" t="str">
        <f t="shared" ca="1" si="143"/>
        <v>No</v>
      </c>
      <c r="M358" s="63">
        <f t="shared" ca="1" si="144"/>
        <v>0</v>
      </c>
      <c r="N358" s="63" t="s">
        <v>2476</v>
      </c>
      <c r="O358" s="64"/>
      <c r="P358" s="660"/>
      <c r="Q358" s="661"/>
      <c r="R358" s="661" t="s">
        <v>4059</v>
      </c>
      <c r="T358" s="54">
        <f>IF(JediFeats&gt;0,1,0)</f>
        <v>0</v>
      </c>
      <c r="X358" s="54">
        <f>IF(SoldierFeats&gt;0,1,0)</f>
        <v>0</v>
      </c>
      <c r="AB358" s="1566" t="str">
        <f t="shared" ca="1" si="145"/>
        <v/>
      </c>
      <c r="AC358" s="1365" t="str">
        <f ca="1">IF(AB357&lt;&gt;"",AB357&amp;";"&amp;AC359,AC359)</f>
        <v/>
      </c>
      <c r="AD358" s="1365" t="str">
        <f ca="1">IF(AB357&lt;&gt;"",N357&amp;";"&amp;AD359,AD359)</f>
        <v/>
      </c>
      <c r="AE358" s="1365" t="str">
        <f ca="1">IF(AB357&lt;&gt;"",IF(R357="Att Options",AB357&amp;IF(AE359&lt;&gt;"",", ",""),"")&amp;AE359,AE359)</f>
        <v/>
      </c>
      <c r="AF358" s="1365" t="str">
        <f ca="1">IF(AB357&lt;&gt;"",IF(R357="Special Actions",AB357&amp;IF(AF359&lt;&gt;"",", ",""),"")&amp;AF359,AF359)</f>
        <v/>
      </c>
      <c r="AG358" s="1467" t="str">
        <f ca="1">IF(AB357&lt;&gt;"",IF(R357="Defenses",AB357&amp;IF(AG359&lt;&gt;"",", ",""),"")&amp;AG359,AG359)</f>
        <v/>
      </c>
      <c r="AH358" s="1467" t="str">
        <f ca="1">IF(AB357&lt;&gt;"",IF(R357="Speed",AB357&amp;IF(AH359&lt;&gt;"",", ",""),"")&amp;AH359,AH359)</f>
        <v/>
      </c>
    </row>
    <row r="359" spans="2:34">
      <c r="B359" s="60"/>
      <c r="C359" s="61" t="s">
        <v>2532</v>
      </c>
      <c r="D359" s="61" t="str">
        <f>IF(D101&lt;&gt;"",D101,"")</f>
        <v/>
      </c>
      <c r="E359" s="62" t="s">
        <v>2533</v>
      </c>
      <c r="F359" s="1694" t="s">
        <v>5687</v>
      </c>
      <c r="G359" s="63" t="str">
        <f ca="1">IF(AND(BAB&gt;=5,M101&gt;0),"Yes","No")</f>
        <v>No</v>
      </c>
      <c r="H359" s="76"/>
      <c r="I359" s="63"/>
      <c r="J359" s="63" t="str">
        <f>IF(COUNTIF(T359:Z359,2)&gt;0,IF(G359="Yes","Class",""),IF(COUNTIF(T359:Z359,3)&gt;0,IF(COUNTIF(MulticlassFeats,Feats!C359&amp;IF(Feats!D359&lt;&gt;""," ("&amp;Feats!D359&amp;")","")),"Multi",""),""))</f>
        <v/>
      </c>
      <c r="K359" s="63" t="str">
        <f t="shared" ca="1" si="146"/>
        <v/>
      </c>
      <c r="L359" s="63" t="str">
        <f t="shared" ca="1" si="143"/>
        <v>No</v>
      </c>
      <c r="M359" s="63">
        <f t="shared" ca="1" si="144"/>
        <v>0</v>
      </c>
      <c r="N359" s="63" t="s">
        <v>2476</v>
      </c>
      <c r="O359" s="64"/>
      <c r="P359" s="660"/>
      <c r="Q359" s="661"/>
      <c r="R359" s="661" t="s">
        <v>4059</v>
      </c>
      <c r="T359" s="54">
        <f>IF(JediFeats&gt;0,1,0)</f>
        <v>0</v>
      </c>
      <c r="X359" s="54">
        <f>IF(SoldierFeats&gt;0,1,0)</f>
        <v>0</v>
      </c>
      <c r="AB359" s="1566" t="str">
        <f t="shared" ca="1" si="145"/>
        <v/>
      </c>
      <c r="AC359" s="1365" t="str">
        <f ca="1">IF(AB358&lt;&gt;"",AB358&amp;";"&amp;AC360,AC360)</f>
        <v/>
      </c>
      <c r="AD359" s="1365" t="str">
        <f ca="1">IF(AB358&lt;&gt;"",N358&amp;";"&amp;AD360,AD360)</f>
        <v/>
      </c>
      <c r="AE359" s="1365" t="str">
        <f ca="1">IF(AB358&lt;&gt;"",IF(R358="Att Options",AB358&amp;IF(AE360&lt;&gt;"",", ",""),"")&amp;AE360,AE360)</f>
        <v/>
      </c>
      <c r="AF359" s="1365" t="str">
        <f ca="1">IF(AB358&lt;&gt;"",IF(R358="Special Actions",AB358&amp;IF(AF360&lt;&gt;"",", ",""),"")&amp;AF360,AF360)</f>
        <v/>
      </c>
      <c r="AG359" s="1467" t="str">
        <f ca="1">IF(AB358&lt;&gt;"",IF(R358="Defenses",AB358&amp;IF(AG360&lt;&gt;"",", ",""),"")&amp;AG360,AG360)</f>
        <v/>
      </c>
      <c r="AH359" s="1467" t="str">
        <f ca="1">IF(AB358&lt;&gt;"",IF(R358="Speed",AB358&amp;IF(AH360&lt;&gt;"",", ",""),"")&amp;AH360,AH360)</f>
        <v/>
      </c>
    </row>
    <row r="360" spans="2:34">
      <c r="B360" s="60"/>
      <c r="C360" s="1462" t="s">
        <v>8228</v>
      </c>
      <c r="D360" s="1462"/>
      <c r="E360" s="1462" t="s">
        <v>8227</v>
      </c>
      <c r="F360" s="1695" t="s">
        <v>8226</v>
      </c>
      <c r="G360" s="63" t="str">
        <f>IF(Strength&gt;=13,"Yes","No")</f>
        <v>Yes</v>
      </c>
      <c r="H360" s="76"/>
      <c r="I360" s="63"/>
      <c r="J360" s="63" t="str">
        <f>IF(COUNTIF(T360:Z360,2)&gt;0,IF(G360="Yes","Class",""),IF(COUNTIF(T360:Z360,3)&gt;0,IF(COUNTIF(MulticlassFeats,Feats!A30&amp;IF(Feats!B30&lt;&gt;""," ("&amp;Feats!B30&amp;")","")),"Multi",""),""))</f>
        <v/>
      </c>
      <c r="K360" s="63" t="str">
        <f t="shared" ca="1" si="146"/>
        <v/>
      </c>
      <c r="L360" s="63" t="str">
        <f t="shared" ca="1" si="143"/>
        <v>No</v>
      </c>
      <c r="M360" s="63">
        <f t="shared" ca="1" si="144"/>
        <v>0</v>
      </c>
      <c r="N360" s="1461" t="s">
        <v>8225</v>
      </c>
      <c r="O360" s="64"/>
      <c r="P360" s="1559"/>
      <c r="R360" s="661"/>
      <c r="S360" s="1463"/>
      <c r="T360" s="660"/>
      <c r="U360" s="660"/>
      <c r="V360" s="660"/>
      <c r="W360" s="660"/>
      <c r="X360" s="660"/>
      <c r="Y360" s="660"/>
      <c r="Z360" s="1562"/>
      <c r="AA360" s="1568"/>
      <c r="AB360" s="1566" t="str">
        <f t="shared" ca="1" si="145"/>
        <v/>
      </c>
      <c r="AC360" s="1365" t="str">
        <f ca="1">IF(AB359&lt;&gt;"",AB359&amp;";"&amp;AC361,AC361)</f>
        <v/>
      </c>
      <c r="AD360" s="1365" t="str">
        <f ca="1">IF(AB359&lt;&gt;"",N359&amp;";"&amp;AD361,AD361)</f>
        <v/>
      </c>
      <c r="AE360" s="1365" t="str">
        <f ca="1">IF(AB359&lt;&gt;"",IF(R359="Att Options",AB359&amp;IF(AE361&lt;&gt;"",", ",""),"")&amp;AE361,AE361)</f>
        <v/>
      </c>
      <c r="AF360" s="1365" t="str">
        <f ca="1">IF(AB359&lt;&gt;"",IF(R359="Special Actions",AB359&amp;IF(AF361&lt;&gt;"",", ",""),"")&amp;AF361,AF361)</f>
        <v/>
      </c>
      <c r="AG360" s="1467" t="str">
        <f ca="1">IF(AB359&lt;&gt;"",IF(R359="Defenses",AB359&amp;IF(AG361&lt;&gt;"",", ",""),"")&amp;AG361,AG361)</f>
        <v/>
      </c>
      <c r="AH360" s="1467" t="str">
        <f ca="1">IF(AB359&lt;&gt;"",IF(R359="Speed",AB359&amp;IF(AH361&lt;&gt;"",", ",""),"")&amp;AH361,AH361)</f>
        <v/>
      </c>
    </row>
    <row r="361" spans="2:34">
      <c r="B361" s="60"/>
      <c r="C361" s="61" t="s">
        <v>2534</v>
      </c>
      <c r="D361" s="61"/>
      <c r="E361" s="62" t="s">
        <v>2535</v>
      </c>
      <c r="F361" s="1694" t="s">
        <v>8841</v>
      </c>
      <c r="G361" s="63" t="str">
        <f ca="1">IF(AND(CharacterLevel&gt;=1,M233&gt;0),"Yes","No")</f>
        <v>No</v>
      </c>
      <c r="H361" s="76"/>
      <c r="I361" s="63"/>
      <c r="J361" s="63" t="str">
        <f>IF(COUNTIF(T361:Z361,2)&gt;0,IF(G361="Yes","Class",""),IF(COUNTIF(T361:Z361,3)&gt;0,IF(COUNTIF(MulticlassFeats,Feats!C361&amp;IF(Feats!D361&lt;&gt;""," ("&amp;Feats!D361&amp;")","")),"Multi",""),""))</f>
        <v/>
      </c>
      <c r="K361" s="63" t="str">
        <f t="shared" ca="1" si="146"/>
        <v/>
      </c>
      <c r="L361" s="63" t="str">
        <f t="shared" ca="1" si="143"/>
        <v>No</v>
      </c>
      <c r="M361" s="63">
        <f t="shared" ca="1" si="144"/>
        <v>0</v>
      </c>
      <c r="N361" s="63" t="s">
        <v>2467</v>
      </c>
      <c r="O361" s="64"/>
      <c r="P361" s="660"/>
      <c r="Q361" s="661"/>
      <c r="R361" s="661" t="s">
        <v>4059</v>
      </c>
      <c r="V361" s="54">
        <f>IF(ScoundrelFeats&gt;0,1,0)</f>
        <v>0</v>
      </c>
      <c r="X361" s="54">
        <f>IF(SoldierFeats&gt;0,1,0)</f>
        <v>0</v>
      </c>
      <c r="AB361" s="1566" t="str">
        <f t="shared" ca="1" si="145"/>
        <v/>
      </c>
      <c r="AC361" s="1365" t="str">
        <f ca="1">IF(AB361&lt;&gt;"",AB361&amp;";"&amp;AC366,AC366)</f>
        <v/>
      </c>
      <c r="AD361" s="1365" t="str">
        <f ca="1">IF(AB361&lt;&gt;"",N361&amp;";"&amp;AD366,AD366)</f>
        <v/>
      </c>
      <c r="AE361" s="1365" t="str">
        <f ca="1">IF(AB361&lt;&gt;"",IF(R361="Att Options",AB361&amp;IF(AE366&lt;&gt;"",", ",""),"")&amp;AE366,AE366)</f>
        <v/>
      </c>
      <c r="AF361" s="1365" t="str">
        <f ca="1">IF(AB361&lt;&gt;"",IF(R361="Special Actions",AB361&amp;IF(AF366&lt;&gt;"",", ",""),"")&amp;AF366,AF366)</f>
        <v/>
      </c>
      <c r="AG361" s="1467" t="str">
        <f ca="1">IF(AB361&lt;&gt;"",IF(R361="Defenses",AB361&amp;IF(AG366&lt;&gt;"",", ",""),"")&amp;AG366,AG366)</f>
        <v/>
      </c>
      <c r="AH361" s="1467" t="str">
        <f ca="1">IF(AB361&lt;&gt;"",IF(R361="Speed",AB361&amp;IF(AH366&lt;&gt;"",", ",""),"")&amp;AH366,AH366)</f>
        <v/>
      </c>
    </row>
    <row r="362" spans="2:34" ht="15" thickBot="1">
      <c r="B362" s="65"/>
      <c r="C362" s="66"/>
      <c r="D362" s="66"/>
      <c r="E362" s="67"/>
      <c r="F362" s="68"/>
      <c r="G362" s="68"/>
      <c r="H362" s="68"/>
      <c r="I362" s="68"/>
      <c r="J362" s="68"/>
      <c r="K362" s="68"/>
      <c r="L362" s="68"/>
      <c r="M362" s="68"/>
      <c r="N362" s="68"/>
      <c r="O362" s="69"/>
      <c r="P362" s="660"/>
      <c r="AC362" s="1468" t="s">
        <v>195</v>
      </c>
      <c r="AD362" s="1468" t="s">
        <v>195</v>
      </c>
      <c r="AE362" s="1468" t="str">
        <f>""</f>
        <v/>
      </c>
      <c r="AF362" s="1468" t="s">
        <v>195</v>
      </c>
      <c r="AG362" s="1468" t="s">
        <v>195</v>
      </c>
      <c r="AH362" s="1468" t="s">
        <v>195</v>
      </c>
    </row>
    <row r="363" spans="2:34" ht="15" thickBot="1"/>
    <row r="364" spans="2:34">
      <c r="B364" s="1306"/>
      <c r="C364" s="1307"/>
      <c r="D364" s="1307"/>
      <c r="E364" s="1308"/>
      <c r="F364" s="1309"/>
      <c r="G364" s="1309"/>
      <c r="H364" s="1309"/>
      <c r="I364" s="1309"/>
      <c r="J364" s="1309"/>
      <c r="K364" s="1309"/>
      <c r="L364" s="1309"/>
      <c r="M364" s="1309"/>
      <c r="N364" s="1309"/>
      <c r="O364" s="1310"/>
    </row>
    <row r="365" spans="2:34">
      <c r="B365" s="1311"/>
      <c r="C365" s="71" t="s">
        <v>6458</v>
      </c>
      <c r="D365" s="71"/>
      <c r="E365" s="72" t="s">
        <v>2256</v>
      </c>
      <c r="F365" s="1671" t="s">
        <v>56</v>
      </c>
      <c r="G365" s="73" t="s">
        <v>820</v>
      </c>
      <c r="H365" s="928"/>
      <c r="I365" s="928"/>
      <c r="J365" s="928"/>
      <c r="K365" s="928"/>
      <c r="L365" s="73" t="s">
        <v>2538</v>
      </c>
      <c r="M365" s="73" t="s">
        <v>2257</v>
      </c>
      <c r="N365" s="73" t="s">
        <v>2258</v>
      </c>
      <c r="O365" s="64"/>
    </row>
    <row r="366" spans="2:34">
      <c r="B366" s="1311"/>
      <c r="C366" s="61" t="s">
        <v>6336</v>
      </c>
      <c r="D366" s="61"/>
      <c r="E366" s="62" t="s">
        <v>1353</v>
      </c>
      <c r="F366" s="61" t="s">
        <v>6335</v>
      </c>
      <c r="G366" s="63" t="str">
        <f t="shared" ref="G366:G385" si="148">IF(Race=E366,"Yes","No")</f>
        <v>No</v>
      </c>
      <c r="H366" s="76"/>
      <c r="I366" s="1322"/>
      <c r="J366" s="1322"/>
      <c r="K366" s="1322"/>
      <c r="L366" s="63" t="str">
        <f t="shared" ref="L366:L413" si="149">IF(AND(G366="Yes",OR(H366&lt;&gt;"",I366&lt;&gt;"",J366&lt;&gt;"",K366&lt;&gt;"")),"Yes","No")</f>
        <v>No</v>
      </c>
      <c r="M366" s="63">
        <f t="shared" ref="M366:M413" si="150">IF(L366="Yes",1,0)</f>
        <v>0</v>
      </c>
      <c r="N366" s="63" t="s">
        <v>6465</v>
      </c>
      <c r="O366" s="64"/>
      <c r="AB366" s="1566" t="str">
        <f t="shared" ref="AB366:AB412" si="151">IF(OR(H366&lt;&gt;"",I366&lt;&gt;"",J366&lt;&gt;"",K366&lt;&gt;""),C366&amp;IF(D366&lt;&gt;""," ("&amp;D366&amp;")",""),"")</f>
        <v/>
      </c>
      <c r="AC366" s="1365" t="str">
        <f t="shared" ref="AC366:AC412" si="152">IF(AB366&lt;&gt;"",AB366&amp;";"&amp;AC367,AC367)</f>
        <v/>
      </c>
      <c r="AD366" s="1365" t="str">
        <f t="shared" ref="AD366:AD412" si="153">IF(AB366&lt;&gt;"",N366&amp;";"&amp;AD367,AD367)</f>
        <v/>
      </c>
      <c r="AE366" s="1365" t="str">
        <f t="shared" ref="AE366:AE412" si="154">IF(AB366&lt;&gt;"",IF(R366="Att Options",AB366&amp;IF(AE367&lt;&gt;"",", ",""),"")&amp;AE367,AE367)</f>
        <v/>
      </c>
      <c r="AF366" s="1365" t="str">
        <f t="shared" ref="AF366:AF412" si="155">IF(AB366&lt;&gt;"",IF(R366="Special Actions",AB366&amp;IF(AF367&lt;&gt;"",", ",""),"")&amp;AF367,AF367)</f>
        <v/>
      </c>
      <c r="AG366" s="1467" t="str">
        <f t="shared" ref="AG366:AG412" si="156">IF(AB366&lt;&gt;"",IF(R366="Defenses",AB366&amp;IF(AG367&lt;&gt;"",", ",""),"")&amp;AG367,AG367)</f>
        <v/>
      </c>
      <c r="AH366" s="1467" t="str">
        <f t="shared" ref="AH366:AH412" si="157">IF(AB366&lt;&gt;"",IF(R366="Speed",AB366&amp;IF(AH367&lt;&gt;"",", ",""),"")&amp;AH367,AH367)</f>
        <v/>
      </c>
    </row>
    <row r="367" spans="2:34">
      <c r="B367" s="1311"/>
      <c r="C367" s="61" t="s">
        <v>6347</v>
      </c>
      <c r="D367" s="61"/>
      <c r="E367" s="62" t="s">
        <v>912</v>
      </c>
      <c r="F367" s="61" t="s">
        <v>6346</v>
      </c>
      <c r="G367" s="63" t="str">
        <f t="shared" si="148"/>
        <v>No</v>
      </c>
      <c r="H367" s="76"/>
      <c r="I367" s="1322"/>
      <c r="J367" s="1322"/>
      <c r="K367" s="1322"/>
      <c r="L367" s="63" t="str">
        <f t="shared" si="149"/>
        <v>No</v>
      </c>
      <c r="M367" s="63">
        <f t="shared" si="150"/>
        <v>0</v>
      </c>
      <c r="N367" s="63" t="s">
        <v>6465</v>
      </c>
      <c r="O367" s="64"/>
      <c r="AB367" s="1566" t="str">
        <f t="shared" si="151"/>
        <v/>
      </c>
      <c r="AC367" s="1365" t="str">
        <f t="shared" si="152"/>
        <v/>
      </c>
      <c r="AD367" s="1365" t="str">
        <f t="shared" si="153"/>
        <v/>
      </c>
      <c r="AE367" s="1365" t="str">
        <f t="shared" si="154"/>
        <v/>
      </c>
      <c r="AF367" s="1365" t="str">
        <f t="shared" si="155"/>
        <v/>
      </c>
      <c r="AG367" s="1467" t="str">
        <f t="shared" si="156"/>
        <v/>
      </c>
      <c r="AH367" s="1467" t="str">
        <f t="shared" si="157"/>
        <v/>
      </c>
    </row>
    <row r="368" spans="2:34">
      <c r="B368" s="1311"/>
      <c r="C368" s="61" t="s">
        <v>6353</v>
      </c>
      <c r="D368" s="61"/>
      <c r="E368" s="62" t="s">
        <v>257</v>
      </c>
      <c r="F368" s="61" t="s">
        <v>6352</v>
      </c>
      <c r="G368" s="63" t="str">
        <f t="shared" si="148"/>
        <v>No</v>
      </c>
      <c r="H368" s="76"/>
      <c r="I368" s="1322"/>
      <c r="J368" s="1322"/>
      <c r="K368" s="1322"/>
      <c r="L368" s="63" t="str">
        <f t="shared" si="149"/>
        <v>No</v>
      </c>
      <c r="M368" s="63">
        <f t="shared" si="150"/>
        <v>0</v>
      </c>
      <c r="N368" s="63" t="s">
        <v>6465</v>
      </c>
      <c r="O368" s="64"/>
      <c r="AB368" s="1566" t="str">
        <f t="shared" si="151"/>
        <v/>
      </c>
      <c r="AC368" s="1365" t="str">
        <f t="shared" si="152"/>
        <v/>
      </c>
      <c r="AD368" s="1365" t="str">
        <f t="shared" si="153"/>
        <v/>
      </c>
      <c r="AE368" s="1365" t="str">
        <f t="shared" si="154"/>
        <v/>
      </c>
      <c r="AF368" s="1365" t="str">
        <f t="shared" si="155"/>
        <v/>
      </c>
      <c r="AG368" s="1467" t="str">
        <f t="shared" si="156"/>
        <v/>
      </c>
      <c r="AH368" s="1467" t="str">
        <f t="shared" si="157"/>
        <v/>
      </c>
    </row>
    <row r="369" spans="2:34">
      <c r="B369" s="1311"/>
      <c r="C369" s="61" t="s">
        <v>6272</v>
      </c>
      <c r="D369" s="61"/>
      <c r="E369" s="62" t="s">
        <v>2080</v>
      </c>
      <c r="F369" s="61" t="s">
        <v>6570</v>
      </c>
      <c r="G369" s="63" t="str">
        <f t="shared" si="148"/>
        <v>No</v>
      </c>
      <c r="H369" s="76"/>
      <c r="I369" s="1322"/>
      <c r="J369" s="1322"/>
      <c r="K369" s="1322"/>
      <c r="L369" s="63" t="str">
        <f t="shared" si="149"/>
        <v>No</v>
      </c>
      <c r="M369" s="63">
        <f t="shared" si="150"/>
        <v>0</v>
      </c>
      <c r="N369" s="63" t="s">
        <v>6465</v>
      </c>
      <c r="O369" s="64"/>
      <c r="AB369" s="1566" t="str">
        <f t="shared" si="151"/>
        <v/>
      </c>
      <c r="AC369" s="1365" t="str">
        <f t="shared" si="152"/>
        <v/>
      </c>
      <c r="AD369" s="1365" t="str">
        <f t="shared" si="153"/>
        <v/>
      </c>
      <c r="AE369" s="1365" t="str">
        <f t="shared" si="154"/>
        <v/>
      </c>
      <c r="AF369" s="1365" t="str">
        <f t="shared" si="155"/>
        <v/>
      </c>
      <c r="AG369" s="1467" t="str">
        <f t="shared" si="156"/>
        <v/>
      </c>
      <c r="AH369" s="1467" t="str">
        <f t="shared" si="157"/>
        <v/>
      </c>
    </row>
    <row r="370" spans="2:34">
      <c r="B370" s="1311"/>
      <c r="C370" s="61" t="s">
        <v>6302</v>
      </c>
      <c r="D370" s="61"/>
      <c r="E370" s="62" t="s">
        <v>1929</v>
      </c>
      <c r="F370" s="61" t="s">
        <v>6301</v>
      </c>
      <c r="G370" s="63" t="str">
        <f t="shared" si="148"/>
        <v>No</v>
      </c>
      <c r="H370" s="76"/>
      <c r="I370" s="1322"/>
      <c r="J370" s="1322"/>
      <c r="K370" s="1322"/>
      <c r="L370" s="63" t="str">
        <f t="shared" si="149"/>
        <v>No</v>
      </c>
      <c r="M370" s="63">
        <f t="shared" si="150"/>
        <v>0</v>
      </c>
      <c r="N370" s="63" t="s">
        <v>6465</v>
      </c>
      <c r="O370" s="64"/>
      <c r="AB370" s="1566" t="str">
        <f t="shared" si="151"/>
        <v/>
      </c>
      <c r="AC370" s="1365" t="str">
        <f t="shared" si="152"/>
        <v/>
      </c>
      <c r="AD370" s="1365" t="str">
        <f t="shared" si="153"/>
        <v/>
      </c>
      <c r="AE370" s="1365" t="str">
        <f t="shared" si="154"/>
        <v/>
      </c>
      <c r="AF370" s="1365" t="str">
        <f t="shared" si="155"/>
        <v/>
      </c>
      <c r="AG370" s="1467" t="str">
        <f t="shared" si="156"/>
        <v/>
      </c>
      <c r="AH370" s="1467" t="str">
        <f t="shared" si="157"/>
        <v/>
      </c>
    </row>
    <row r="371" spans="2:34">
      <c r="B371" s="1311"/>
      <c r="C371" s="61" t="s">
        <v>6351</v>
      </c>
      <c r="D371" s="61"/>
      <c r="E371" s="62" t="s">
        <v>257</v>
      </c>
      <c r="F371" s="61" t="s">
        <v>6350</v>
      </c>
      <c r="G371" s="63" t="str">
        <f t="shared" si="148"/>
        <v>No</v>
      </c>
      <c r="H371" s="76"/>
      <c r="I371" s="1322"/>
      <c r="J371" s="1322"/>
      <c r="K371" s="1322"/>
      <c r="L371" s="63" t="str">
        <f t="shared" si="149"/>
        <v>No</v>
      </c>
      <c r="M371" s="63">
        <f t="shared" si="150"/>
        <v>0</v>
      </c>
      <c r="N371" s="63" t="s">
        <v>6465</v>
      </c>
      <c r="O371" s="64"/>
      <c r="AB371" s="1566" t="str">
        <f t="shared" si="151"/>
        <v/>
      </c>
      <c r="AC371" s="1365" t="str">
        <f t="shared" si="152"/>
        <v/>
      </c>
      <c r="AD371" s="1365" t="str">
        <f t="shared" si="153"/>
        <v/>
      </c>
      <c r="AE371" s="1365" t="str">
        <f t="shared" si="154"/>
        <v/>
      </c>
      <c r="AF371" s="1365" t="str">
        <f t="shared" si="155"/>
        <v/>
      </c>
      <c r="AG371" s="1467" t="str">
        <f t="shared" si="156"/>
        <v/>
      </c>
      <c r="AH371" s="1467" t="str">
        <f t="shared" si="157"/>
        <v/>
      </c>
    </row>
    <row r="372" spans="2:34">
      <c r="B372" s="1311"/>
      <c r="C372" s="61" t="s">
        <v>6291</v>
      </c>
      <c r="D372" s="61"/>
      <c r="E372" s="62" t="s">
        <v>2034</v>
      </c>
      <c r="F372" s="61" t="s">
        <v>6290</v>
      </c>
      <c r="G372" s="63" t="str">
        <f t="shared" si="148"/>
        <v>No</v>
      </c>
      <c r="H372" s="76"/>
      <c r="I372" s="1322"/>
      <c r="J372" s="1322"/>
      <c r="K372" s="1322"/>
      <c r="L372" s="63" t="str">
        <f t="shared" si="149"/>
        <v>No</v>
      </c>
      <c r="M372" s="63">
        <f t="shared" si="150"/>
        <v>0</v>
      </c>
      <c r="N372" s="63" t="s">
        <v>6465</v>
      </c>
      <c r="O372" s="64"/>
      <c r="AB372" s="1566" t="str">
        <f t="shared" si="151"/>
        <v/>
      </c>
      <c r="AC372" s="1365" t="str">
        <f t="shared" si="152"/>
        <v/>
      </c>
      <c r="AD372" s="1365" t="str">
        <f t="shared" si="153"/>
        <v/>
      </c>
      <c r="AE372" s="1365" t="str">
        <f t="shared" si="154"/>
        <v/>
      </c>
      <c r="AF372" s="1365" t="str">
        <f t="shared" si="155"/>
        <v/>
      </c>
      <c r="AG372" s="1467" t="str">
        <f t="shared" si="156"/>
        <v/>
      </c>
      <c r="AH372" s="1467" t="str">
        <f t="shared" si="157"/>
        <v/>
      </c>
    </row>
    <row r="373" spans="2:34">
      <c r="B373" s="1311"/>
      <c r="C373" s="61" t="s">
        <v>6300</v>
      </c>
      <c r="D373" s="61"/>
      <c r="E373" s="62" t="s">
        <v>1929</v>
      </c>
      <c r="F373" s="61" t="s">
        <v>6299</v>
      </c>
      <c r="G373" s="63" t="str">
        <f t="shared" si="148"/>
        <v>No</v>
      </c>
      <c r="H373" s="76"/>
      <c r="I373" s="1322"/>
      <c r="J373" s="1322"/>
      <c r="K373" s="1322"/>
      <c r="L373" s="63" t="str">
        <f t="shared" si="149"/>
        <v>No</v>
      </c>
      <c r="M373" s="63">
        <f t="shared" si="150"/>
        <v>0</v>
      </c>
      <c r="N373" s="63" t="s">
        <v>6465</v>
      </c>
      <c r="O373" s="64"/>
      <c r="AB373" s="1566" t="str">
        <f t="shared" si="151"/>
        <v/>
      </c>
      <c r="AC373" s="1365" t="str">
        <f t="shared" si="152"/>
        <v/>
      </c>
      <c r="AD373" s="1365" t="str">
        <f t="shared" si="153"/>
        <v/>
      </c>
      <c r="AE373" s="1365" t="str">
        <f t="shared" si="154"/>
        <v/>
      </c>
      <c r="AF373" s="1365" t="str">
        <f t="shared" si="155"/>
        <v/>
      </c>
      <c r="AG373" s="1467" t="str">
        <f t="shared" si="156"/>
        <v/>
      </c>
      <c r="AH373" s="1467" t="str">
        <f t="shared" si="157"/>
        <v/>
      </c>
    </row>
    <row r="374" spans="2:34">
      <c r="B374" s="1311"/>
      <c r="C374" s="61" t="s">
        <v>6319</v>
      </c>
      <c r="D374" s="61"/>
      <c r="E374" s="62" t="s">
        <v>1564</v>
      </c>
      <c r="F374" s="61" t="s">
        <v>6318</v>
      </c>
      <c r="G374" s="63" t="str">
        <f t="shared" si="148"/>
        <v>No</v>
      </c>
      <c r="H374" s="76"/>
      <c r="I374" s="1322"/>
      <c r="J374" s="1322"/>
      <c r="K374" s="1322"/>
      <c r="L374" s="63" t="str">
        <f t="shared" si="149"/>
        <v>No</v>
      </c>
      <c r="M374" s="63">
        <f t="shared" si="150"/>
        <v>0</v>
      </c>
      <c r="N374" s="63" t="s">
        <v>6465</v>
      </c>
      <c r="O374" s="64"/>
      <c r="AB374" s="1566" t="str">
        <f t="shared" si="151"/>
        <v/>
      </c>
      <c r="AC374" s="1365" t="str">
        <f t="shared" si="152"/>
        <v/>
      </c>
      <c r="AD374" s="1365" t="str">
        <f t="shared" si="153"/>
        <v/>
      </c>
      <c r="AE374" s="1365" t="str">
        <f t="shared" si="154"/>
        <v/>
      </c>
      <c r="AF374" s="1365" t="str">
        <f t="shared" si="155"/>
        <v/>
      </c>
      <c r="AG374" s="1467" t="str">
        <f t="shared" si="156"/>
        <v/>
      </c>
      <c r="AH374" s="1467" t="str">
        <f t="shared" si="157"/>
        <v/>
      </c>
    </row>
    <row r="375" spans="2:34">
      <c r="B375" s="1311"/>
      <c r="C375" s="61" t="s">
        <v>6289</v>
      </c>
      <c r="D375" s="61"/>
      <c r="E375" s="62" t="s">
        <v>2034</v>
      </c>
      <c r="F375" s="61" t="s">
        <v>6288</v>
      </c>
      <c r="G375" s="63" t="str">
        <f t="shared" si="148"/>
        <v>No</v>
      </c>
      <c r="H375" s="76"/>
      <c r="I375" s="1322"/>
      <c r="J375" s="1322"/>
      <c r="K375" s="1322"/>
      <c r="L375" s="63" t="str">
        <f t="shared" si="149"/>
        <v>No</v>
      </c>
      <c r="M375" s="63">
        <f t="shared" si="150"/>
        <v>0</v>
      </c>
      <c r="N375" s="63" t="s">
        <v>6465</v>
      </c>
      <c r="O375" s="64"/>
      <c r="AB375" s="1566" t="str">
        <f t="shared" si="151"/>
        <v/>
      </c>
      <c r="AC375" s="1365" t="str">
        <f t="shared" si="152"/>
        <v/>
      </c>
      <c r="AD375" s="1365" t="str">
        <f t="shared" si="153"/>
        <v/>
      </c>
      <c r="AE375" s="1365" t="str">
        <f t="shared" si="154"/>
        <v/>
      </c>
      <c r="AF375" s="1365" t="str">
        <f t="shared" si="155"/>
        <v/>
      </c>
      <c r="AG375" s="1467" t="str">
        <f t="shared" si="156"/>
        <v/>
      </c>
      <c r="AH375" s="1467" t="str">
        <f t="shared" si="157"/>
        <v/>
      </c>
    </row>
    <row r="376" spans="2:34">
      <c r="B376" s="1311"/>
      <c r="C376" s="61" t="s">
        <v>6308</v>
      </c>
      <c r="D376" s="61"/>
      <c r="E376" s="62" t="s">
        <v>1753</v>
      </c>
      <c r="F376" s="61" t="s">
        <v>6307</v>
      </c>
      <c r="G376" s="63" t="str">
        <f t="shared" si="148"/>
        <v>No</v>
      </c>
      <c r="H376" s="76"/>
      <c r="I376" s="1322"/>
      <c r="J376" s="1322"/>
      <c r="K376" s="1322"/>
      <c r="L376" s="63" t="str">
        <f t="shared" si="149"/>
        <v>No</v>
      </c>
      <c r="M376" s="63">
        <f t="shared" si="150"/>
        <v>0</v>
      </c>
      <c r="N376" s="63" t="s">
        <v>6466</v>
      </c>
      <c r="O376" s="64"/>
      <c r="AB376" s="1566" t="str">
        <f t="shared" si="151"/>
        <v/>
      </c>
      <c r="AC376" s="1365" t="str">
        <f t="shared" si="152"/>
        <v/>
      </c>
      <c r="AD376" s="1365" t="str">
        <f t="shared" si="153"/>
        <v/>
      </c>
      <c r="AE376" s="1365" t="str">
        <f t="shared" si="154"/>
        <v/>
      </c>
      <c r="AF376" s="1365" t="str">
        <f t="shared" si="155"/>
        <v/>
      </c>
      <c r="AG376" s="1467" t="str">
        <f t="shared" si="156"/>
        <v/>
      </c>
      <c r="AH376" s="1467" t="str">
        <f t="shared" si="157"/>
        <v/>
      </c>
    </row>
    <row r="377" spans="2:34">
      <c r="B377" s="1311"/>
      <c r="C377" s="61" t="s">
        <v>6341</v>
      </c>
      <c r="D377" s="61"/>
      <c r="E377" s="62" t="s">
        <v>1300</v>
      </c>
      <c r="F377" s="61" t="s">
        <v>6340</v>
      </c>
      <c r="G377" s="63" t="str">
        <f t="shared" si="148"/>
        <v>No</v>
      </c>
      <c r="H377" s="76"/>
      <c r="I377" s="1322"/>
      <c r="J377" s="1322"/>
      <c r="K377" s="1322"/>
      <c r="L377" s="63" t="str">
        <f t="shared" si="149"/>
        <v>No</v>
      </c>
      <c r="M377" s="63">
        <f t="shared" si="150"/>
        <v>0</v>
      </c>
      <c r="N377" s="63" t="s">
        <v>6466</v>
      </c>
      <c r="O377" s="64"/>
      <c r="AB377" s="1566" t="str">
        <f t="shared" si="151"/>
        <v/>
      </c>
      <c r="AC377" s="1365" t="str">
        <f t="shared" si="152"/>
        <v/>
      </c>
      <c r="AD377" s="1365" t="str">
        <f t="shared" si="153"/>
        <v/>
      </c>
      <c r="AE377" s="1365" t="str">
        <f t="shared" si="154"/>
        <v/>
      </c>
      <c r="AF377" s="1365" t="str">
        <f t="shared" si="155"/>
        <v/>
      </c>
      <c r="AG377" s="1467" t="str">
        <f t="shared" si="156"/>
        <v/>
      </c>
      <c r="AH377" s="1467" t="str">
        <f t="shared" si="157"/>
        <v/>
      </c>
    </row>
    <row r="378" spans="2:34">
      <c r="B378" s="1311"/>
      <c r="C378" s="61" t="s">
        <v>6334</v>
      </c>
      <c r="D378" s="61"/>
      <c r="E378" s="62" t="s">
        <v>1353</v>
      </c>
      <c r="F378" s="61" t="s">
        <v>6573</v>
      </c>
      <c r="G378" s="63" t="str">
        <f t="shared" si="148"/>
        <v>No</v>
      </c>
      <c r="H378" s="76"/>
      <c r="I378" s="1322"/>
      <c r="J378" s="1322"/>
      <c r="K378" s="1322"/>
      <c r="L378" s="63" t="str">
        <f t="shared" si="149"/>
        <v>No</v>
      </c>
      <c r="M378" s="63">
        <f t="shared" si="150"/>
        <v>0</v>
      </c>
      <c r="N378" s="63" t="s">
        <v>6466</v>
      </c>
      <c r="O378" s="64"/>
      <c r="AB378" s="1566" t="str">
        <f t="shared" si="151"/>
        <v/>
      </c>
      <c r="AC378" s="1365" t="str">
        <f t="shared" si="152"/>
        <v/>
      </c>
      <c r="AD378" s="1365" t="str">
        <f t="shared" si="153"/>
        <v/>
      </c>
      <c r="AE378" s="1365" t="str">
        <f t="shared" si="154"/>
        <v/>
      </c>
      <c r="AF378" s="1365" t="str">
        <f t="shared" si="155"/>
        <v/>
      </c>
      <c r="AG378" s="1467" t="str">
        <f t="shared" si="156"/>
        <v/>
      </c>
      <c r="AH378" s="1467" t="str">
        <f t="shared" si="157"/>
        <v/>
      </c>
    </row>
    <row r="379" spans="2:34">
      <c r="B379" s="1311"/>
      <c r="C379" s="61" t="s">
        <v>6296</v>
      </c>
      <c r="D379" s="61"/>
      <c r="E379" s="62" t="s">
        <v>1972</v>
      </c>
      <c r="F379" s="61" t="s">
        <v>6295</v>
      </c>
      <c r="G379" s="63" t="str">
        <f t="shared" si="148"/>
        <v>No</v>
      </c>
      <c r="H379" s="76"/>
      <c r="I379" s="1322"/>
      <c r="J379" s="1322"/>
      <c r="K379" s="1322"/>
      <c r="L379" s="63" t="str">
        <f t="shared" si="149"/>
        <v>No</v>
      </c>
      <c r="M379" s="63">
        <f t="shared" si="150"/>
        <v>0</v>
      </c>
      <c r="N379" s="63" t="s">
        <v>6466</v>
      </c>
      <c r="O379" s="64"/>
      <c r="AB379" s="1566" t="str">
        <f t="shared" si="151"/>
        <v/>
      </c>
      <c r="AC379" s="1365" t="str">
        <f t="shared" si="152"/>
        <v/>
      </c>
      <c r="AD379" s="1365" t="str">
        <f t="shared" si="153"/>
        <v/>
      </c>
      <c r="AE379" s="1365" t="str">
        <f t="shared" si="154"/>
        <v/>
      </c>
      <c r="AF379" s="1365" t="str">
        <f t="shared" si="155"/>
        <v/>
      </c>
      <c r="AG379" s="1467" t="str">
        <f t="shared" si="156"/>
        <v/>
      </c>
      <c r="AH379" s="1467" t="str">
        <f t="shared" si="157"/>
        <v/>
      </c>
    </row>
    <row r="380" spans="2:34">
      <c r="B380" s="1311"/>
      <c r="C380" s="61" t="s">
        <v>6325</v>
      </c>
      <c r="D380" s="61"/>
      <c r="E380" s="62" t="s">
        <v>1491</v>
      </c>
      <c r="F380" s="61" t="s">
        <v>6324</v>
      </c>
      <c r="G380" s="63" t="str">
        <f t="shared" si="148"/>
        <v>No</v>
      </c>
      <c r="H380" s="76"/>
      <c r="I380" s="1322"/>
      <c r="J380" s="1322"/>
      <c r="K380" s="1322"/>
      <c r="L380" s="63" t="str">
        <f t="shared" si="149"/>
        <v>No</v>
      </c>
      <c r="M380" s="63">
        <f t="shared" si="150"/>
        <v>0</v>
      </c>
      <c r="N380" s="63" t="s">
        <v>6466</v>
      </c>
      <c r="O380" s="64"/>
      <c r="AB380" s="1566" t="str">
        <f t="shared" si="151"/>
        <v/>
      </c>
      <c r="AC380" s="1365" t="str">
        <f t="shared" si="152"/>
        <v/>
      </c>
      <c r="AD380" s="1365" t="str">
        <f t="shared" si="153"/>
        <v/>
      </c>
      <c r="AE380" s="1365" t="str">
        <f t="shared" si="154"/>
        <v/>
      </c>
      <c r="AF380" s="1365" t="str">
        <f t="shared" si="155"/>
        <v/>
      </c>
      <c r="AG380" s="1467" t="str">
        <f t="shared" si="156"/>
        <v/>
      </c>
      <c r="AH380" s="1467" t="str">
        <f t="shared" si="157"/>
        <v/>
      </c>
    </row>
    <row r="381" spans="2:34">
      <c r="B381" s="1311"/>
      <c r="C381" s="61" t="s">
        <v>6294</v>
      </c>
      <c r="D381" s="61"/>
      <c r="E381" s="62" t="s">
        <v>1972</v>
      </c>
      <c r="F381" s="61" t="s">
        <v>6575</v>
      </c>
      <c r="G381" s="63" t="str">
        <f t="shared" si="148"/>
        <v>No</v>
      </c>
      <c r="H381" s="76"/>
      <c r="I381" s="1322"/>
      <c r="J381" s="1322"/>
      <c r="K381" s="1322"/>
      <c r="L381" s="63" t="str">
        <f t="shared" si="149"/>
        <v>No</v>
      </c>
      <c r="M381" s="63">
        <f t="shared" si="150"/>
        <v>0</v>
      </c>
      <c r="N381" s="63" t="s">
        <v>6466</v>
      </c>
      <c r="O381" s="64"/>
      <c r="AB381" s="1566" t="str">
        <f t="shared" si="151"/>
        <v/>
      </c>
      <c r="AC381" s="1365" t="str">
        <f t="shared" si="152"/>
        <v/>
      </c>
      <c r="AD381" s="1365" t="str">
        <f t="shared" si="153"/>
        <v/>
      </c>
      <c r="AE381" s="1365" t="str">
        <f t="shared" si="154"/>
        <v/>
      </c>
      <c r="AF381" s="1365" t="str">
        <f t="shared" si="155"/>
        <v/>
      </c>
      <c r="AG381" s="1467" t="str">
        <f t="shared" si="156"/>
        <v/>
      </c>
      <c r="AH381" s="1467" t="str">
        <f t="shared" si="157"/>
        <v/>
      </c>
    </row>
    <row r="382" spans="2:34">
      <c r="B382" s="1311"/>
      <c r="C382" s="61" t="s">
        <v>6279</v>
      </c>
      <c r="D382" s="61"/>
      <c r="E382" s="62" t="s">
        <v>2055</v>
      </c>
      <c r="F382" s="61" t="s">
        <v>6278</v>
      </c>
      <c r="G382" s="63" t="str">
        <f t="shared" si="148"/>
        <v>No</v>
      </c>
      <c r="H382" s="76"/>
      <c r="I382" s="1322"/>
      <c r="J382" s="1322"/>
      <c r="K382" s="1322"/>
      <c r="L382" s="63" t="str">
        <f t="shared" si="149"/>
        <v>No</v>
      </c>
      <c r="M382" s="63">
        <f t="shared" si="150"/>
        <v>0</v>
      </c>
      <c r="N382" s="63" t="s">
        <v>6467</v>
      </c>
      <c r="O382" s="64"/>
      <c r="AB382" s="1566" t="str">
        <f t="shared" si="151"/>
        <v/>
      </c>
      <c r="AC382" s="1365" t="str">
        <f t="shared" si="152"/>
        <v/>
      </c>
      <c r="AD382" s="1365" t="str">
        <f t="shared" si="153"/>
        <v/>
      </c>
      <c r="AE382" s="1365" t="str">
        <f t="shared" si="154"/>
        <v/>
      </c>
      <c r="AF382" s="1365" t="str">
        <f t="shared" si="155"/>
        <v/>
      </c>
      <c r="AG382" s="1467" t="str">
        <f t="shared" si="156"/>
        <v/>
      </c>
      <c r="AH382" s="1467" t="str">
        <f t="shared" si="157"/>
        <v/>
      </c>
    </row>
    <row r="383" spans="2:34">
      <c r="B383" s="1311"/>
      <c r="C383" s="61" t="s">
        <v>1378</v>
      </c>
      <c r="D383" s="61"/>
      <c r="E383" s="62" t="s">
        <v>2090</v>
      </c>
      <c r="F383" s="61" t="s">
        <v>6267</v>
      </c>
      <c r="G383" s="63" t="str">
        <f t="shared" si="148"/>
        <v>No</v>
      </c>
      <c r="H383" s="76"/>
      <c r="I383" s="1322"/>
      <c r="J383" s="1322"/>
      <c r="K383" s="1322"/>
      <c r="L383" s="63" t="str">
        <f t="shared" si="149"/>
        <v>No</v>
      </c>
      <c r="M383" s="63">
        <f t="shared" si="150"/>
        <v>0</v>
      </c>
      <c r="N383" s="63" t="s">
        <v>6467</v>
      </c>
      <c r="O383" s="64"/>
      <c r="AB383" s="1566" t="str">
        <f t="shared" si="151"/>
        <v/>
      </c>
      <c r="AC383" s="1365" t="str">
        <f t="shared" si="152"/>
        <v/>
      </c>
      <c r="AD383" s="1365" t="str">
        <f t="shared" si="153"/>
        <v/>
      </c>
      <c r="AE383" s="1365" t="str">
        <f t="shared" si="154"/>
        <v/>
      </c>
      <c r="AF383" s="1365" t="str">
        <f t="shared" si="155"/>
        <v/>
      </c>
      <c r="AG383" s="1467" t="str">
        <f t="shared" si="156"/>
        <v/>
      </c>
      <c r="AH383" s="1467" t="str">
        <f t="shared" si="157"/>
        <v/>
      </c>
    </row>
    <row r="384" spans="2:34">
      <c r="B384" s="1311"/>
      <c r="C384" s="61" t="s">
        <v>6331</v>
      </c>
      <c r="D384" s="61"/>
      <c r="E384" s="62" t="s">
        <v>1410</v>
      </c>
      <c r="F384" s="61" t="s">
        <v>6330</v>
      </c>
      <c r="G384" s="63" t="str">
        <f t="shared" si="148"/>
        <v>No</v>
      </c>
      <c r="H384" s="76"/>
      <c r="I384" s="1322"/>
      <c r="J384" s="1322"/>
      <c r="K384" s="1322"/>
      <c r="L384" s="63" t="str">
        <f t="shared" si="149"/>
        <v>No</v>
      </c>
      <c r="M384" s="63">
        <f t="shared" si="150"/>
        <v>0</v>
      </c>
      <c r="N384" s="63" t="s">
        <v>6467</v>
      </c>
      <c r="O384" s="64"/>
      <c r="AB384" s="1566" t="str">
        <f t="shared" si="151"/>
        <v/>
      </c>
      <c r="AC384" s="1365" t="str">
        <f t="shared" si="152"/>
        <v/>
      </c>
      <c r="AD384" s="1365" t="str">
        <f t="shared" si="153"/>
        <v/>
      </c>
      <c r="AE384" s="1365" t="str">
        <f t="shared" si="154"/>
        <v/>
      </c>
      <c r="AF384" s="1365" t="str">
        <f t="shared" si="155"/>
        <v/>
      </c>
      <c r="AG384" s="1467" t="str">
        <f t="shared" si="156"/>
        <v/>
      </c>
      <c r="AH384" s="1467" t="str">
        <f t="shared" si="157"/>
        <v/>
      </c>
    </row>
    <row r="385" spans="2:34">
      <c r="B385" s="1311"/>
      <c r="C385" s="61" t="s">
        <v>6266</v>
      </c>
      <c r="D385" s="61"/>
      <c r="E385" s="62" t="s">
        <v>2090</v>
      </c>
      <c r="F385" s="61" t="s">
        <v>6579</v>
      </c>
      <c r="G385" s="63" t="str">
        <f t="shared" si="148"/>
        <v>No</v>
      </c>
      <c r="H385" s="76"/>
      <c r="I385" s="1322"/>
      <c r="J385" s="1322"/>
      <c r="K385" s="1322"/>
      <c r="L385" s="63" t="str">
        <f t="shared" si="149"/>
        <v>No</v>
      </c>
      <c r="M385" s="63">
        <f t="shared" si="150"/>
        <v>0</v>
      </c>
      <c r="N385" s="63" t="s">
        <v>6467</v>
      </c>
      <c r="O385" s="64"/>
      <c r="AB385" s="1566" t="str">
        <f t="shared" si="151"/>
        <v/>
      </c>
      <c r="AC385" s="1365" t="str">
        <f t="shared" si="152"/>
        <v/>
      </c>
      <c r="AD385" s="1365" t="str">
        <f t="shared" si="153"/>
        <v/>
      </c>
      <c r="AE385" s="1365" t="str">
        <f t="shared" si="154"/>
        <v/>
      </c>
      <c r="AF385" s="1365" t="str">
        <f t="shared" si="155"/>
        <v/>
      </c>
      <c r="AG385" s="1467" t="str">
        <f t="shared" si="156"/>
        <v/>
      </c>
      <c r="AH385" s="1467" t="str">
        <f t="shared" si="157"/>
        <v/>
      </c>
    </row>
    <row r="386" spans="2:34">
      <c r="B386" s="1311"/>
      <c r="C386" s="61" t="s">
        <v>6277</v>
      </c>
      <c r="D386" s="61"/>
      <c r="E386" s="62" t="s">
        <v>6276</v>
      </c>
      <c r="F386" s="61" t="s">
        <v>6275</v>
      </c>
      <c r="G386" s="63" t="str">
        <f ca="1">IF(AND(Race="Twi'lek",ForceSensitive="Yes"),"Yes","No")</f>
        <v>No</v>
      </c>
      <c r="H386" s="76"/>
      <c r="I386" s="1322"/>
      <c r="J386" s="1322"/>
      <c r="K386" s="1322"/>
      <c r="L386" s="63" t="str">
        <f ca="1">IF(AND(G386="Yes",OR(H386&lt;&gt;"",I386&lt;&gt;"",J386&lt;&gt;"",K386&lt;&gt;"")),"Yes","No")</f>
        <v>No</v>
      </c>
      <c r="M386" s="63">
        <f ca="1">IF(L386="Yes",1,0)</f>
        <v>0</v>
      </c>
      <c r="N386" s="63" t="s">
        <v>6467</v>
      </c>
      <c r="O386" s="64"/>
      <c r="AB386" s="1566" t="str">
        <f t="shared" si="151"/>
        <v/>
      </c>
      <c r="AC386" s="1365" t="str">
        <f t="shared" si="152"/>
        <v/>
      </c>
      <c r="AD386" s="1365" t="str">
        <f t="shared" si="153"/>
        <v/>
      </c>
      <c r="AE386" s="1365" t="str">
        <f t="shared" si="154"/>
        <v/>
      </c>
      <c r="AF386" s="1365" t="str">
        <f t="shared" si="155"/>
        <v/>
      </c>
      <c r="AG386" s="1467" t="str">
        <f t="shared" si="156"/>
        <v/>
      </c>
      <c r="AH386" s="1467" t="str">
        <f t="shared" si="157"/>
        <v/>
      </c>
    </row>
    <row r="387" spans="2:34">
      <c r="B387" s="1311"/>
      <c r="C387" s="61" t="s">
        <v>6314</v>
      </c>
      <c r="D387" s="61"/>
      <c r="E387" s="62" t="s">
        <v>1601</v>
      </c>
      <c r="F387" s="61" t="s">
        <v>6313</v>
      </c>
      <c r="G387" s="63" t="str">
        <f t="shared" ref="G387:G413" si="158">IF(Race=E387,"Yes","No")</f>
        <v>No</v>
      </c>
      <c r="H387" s="76"/>
      <c r="I387" s="1322"/>
      <c r="J387" s="1322"/>
      <c r="K387" s="1322"/>
      <c r="L387" s="63" t="str">
        <f t="shared" si="149"/>
        <v>No</v>
      </c>
      <c r="M387" s="63">
        <f t="shared" si="150"/>
        <v>0</v>
      </c>
      <c r="N387" s="63" t="s">
        <v>6467</v>
      </c>
      <c r="O387" s="64"/>
      <c r="AB387" s="1566" t="str">
        <f t="shared" si="151"/>
        <v/>
      </c>
      <c r="AC387" s="1365" t="str">
        <f t="shared" si="152"/>
        <v/>
      </c>
      <c r="AD387" s="1365" t="str">
        <f t="shared" si="153"/>
        <v/>
      </c>
      <c r="AE387" s="1365" t="str">
        <f t="shared" si="154"/>
        <v/>
      </c>
      <c r="AF387" s="1365" t="str">
        <f t="shared" si="155"/>
        <v/>
      </c>
      <c r="AG387" s="1467" t="str">
        <f t="shared" si="156"/>
        <v/>
      </c>
      <c r="AH387" s="1467" t="str">
        <f t="shared" si="157"/>
        <v/>
      </c>
    </row>
    <row r="388" spans="2:34">
      <c r="B388" s="1311"/>
      <c r="C388" s="61" t="s">
        <v>6333</v>
      </c>
      <c r="D388" s="61"/>
      <c r="E388" s="62" t="s">
        <v>1353</v>
      </c>
      <c r="F388" s="61" t="s">
        <v>6332</v>
      </c>
      <c r="G388" s="63" t="str">
        <f t="shared" si="158"/>
        <v>No</v>
      </c>
      <c r="H388" s="76"/>
      <c r="I388" s="1322"/>
      <c r="J388" s="1322"/>
      <c r="K388" s="1322"/>
      <c r="L388" s="63" t="str">
        <f t="shared" si="149"/>
        <v>No</v>
      </c>
      <c r="M388" s="63">
        <f t="shared" si="150"/>
        <v>0</v>
      </c>
      <c r="N388" s="63" t="s">
        <v>6467</v>
      </c>
      <c r="O388" s="64"/>
      <c r="AB388" s="1566" t="str">
        <f t="shared" si="151"/>
        <v/>
      </c>
      <c r="AC388" s="1365" t="str">
        <f t="shared" si="152"/>
        <v/>
      </c>
      <c r="AD388" s="1365" t="str">
        <f t="shared" si="153"/>
        <v/>
      </c>
      <c r="AE388" s="1365" t="str">
        <f t="shared" si="154"/>
        <v/>
      </c>
      <c r="AF388" s="1365" t="str">
        <f t="shared" si="155"/>
        <v/>
      </c>
      <c r="AG388" s="1467" t="str">
        <f t="shared" si="156"/>
        <v/>
      </c>
      <c r="AH388" s="1467" t="str">
        <f t="shared" si="157"/>
        <v/>
      </c>
    </row>
    <row r="389" spans="2:34">
      <c r="B389" s="1311"/>
      <c r="C389" s="61" t="s">
        <v>6349</v>
      </c>
      <c r="D389" s="61"/>
      <c r="E389" s="62" t="s">
        <v>257</v>
      </c>
      <c r="F389" s="61" t="s">
        <v>6348</v>
      </c>
      <c r="G389" s="63" t="str">
        <f t="shared" si="158"/>
        <v>No</v>
      </c>
      <c r="H389" s="76"/>
      <c r="I389" s="1322"/>
      <c r="J389" s="1322"/>
      <c r="K389" s="1322"/>
      <c r="L389" s="63" t="str">
        <f t="shared" si="149"/>
        <v>No</v>
      </c>
      <c r="M389" s="63">
        <f t="shared" si="150"/>
        <v>0</v>
      </c>
      <c r="N389" s="63" t="s">
        <v>6467</v>
      </c>
      <c r="O389" s="64"/>
      <c r="AB389" s="1566" t="str">
        <f t="shared" si="151"/>
        <v/>
      </c>
      <c r="AC389" s="1365" t="str">
        <f t="shared" si="152"/>
        <v/>
      </c>
      <c r="AD389" s="1365" t="str">
        <f t="shared" si="153"/>
        <v/>
      </c>
      <c r="AE389" s="1365" t="str">
        <f t="shared" si="154"/>
        <v/>
      </c>
      <c r="AF389" s="1365" t="str">
        <f t="shared" si="155"/>
        <v/>
      </c>
      <c r="AG389" s="1467" t="str">
        <f t="shared" si="156"/>
        <v/>
      </c>
      <c r="AH389" s="1467" t="str">
        <f t="shared" si="157"/>
        <v/>
      </c>
    </row>
    <row r="390" spans="2:34">
      <c r="B390" s="1311"/>
      <c r="C390" s="61" t="s">
        <v>6293</v>
      </c>
      <c r="D390" s="61"/>
      <c r="E390" s="62" t="s">
        <v>1972</v>
      </c>
      <c r="F390" s="61" t="s">
        <v>6292</v>
      </c>
      <c r="G390" s="63" t="str">
        <f t="shared" si="158"/>
        <v>No</v>
      </c>
      <c r="H390" s="76"/>
      <c r="I390" s="1322"/>
      <c r="J390" s="1322"/>
      <c r="K390" s="1322"/>
      <c r="L390" s="63" t="str">
        <f t="shared" si="149"/>
        <v>No</v>
      </c>
      <c r="M390" s="63">
        <f t="shared" si="150"/>
        <v>0</v>
      </c>
      <c r="N390" s="63" t="s">
        <v>6467</v>
      </c>
      <c r="O390" s="64"/>
      <c r="AB390" s="1566" t="str">
        <f t="shared" si="151"/>
        <v/>
      </c>
      <c r="AC390" s="1365" t="str">
        <f t="shared" si="152"/>
        <v/>
      </c>
      <c r="AD390" s="1365" t="str">
        <f t="shared" si="153"/>
        <v/>
      </c>
      <c r="AE390" s="1365" t="str">
        <f t="shared" si="154"/>
        <v/>
      </c>
      <c r="AF390" s="1365" t="str">
        <f t="shared" si="155"/>
        <v/>
      </c>
      <c r="AG390" s="1467" t="str">
        <f t="shared" si="156"/>
        <v/>
      </c>
      <c r="AH390" s="1467" t="str">
        <f t="shared" si="157"/>
        <v/>
      </c>
    </row>
    <row r="391" spans="2:34">
      <c r="B391" s="1311"/>
      <c r="C391" s="61" t="s">
        <v>6345</v>
      </c>
      <c r="D391" s="61"/>
      <c r="E391" s="62" t="s">
        <v>912</v>
      </c>
      <c r="F391" s="61" t="s">
        <v>6344</v>
      </c>
      <c r="G391" s="63" t="str">
        <f t="shared" si="158"/>
        <v>No</v>
      </c>
      <c r="H391" s="76"/>
      <c r="I391" s="1322"/>
      <c r="J391" s="1322"/>
      <c r="K391" s="1322"/>
      <c r="L391" s="63" t="str">
        <f t="shared" si="149"/>
        <v>No</v>
      </c>
      <c r="M391" s="63">
        <f t="shared" si="150"/>
        <v>0</v>
      </c>
      <c r="N391" s="63" t="s">
        <v>6467</v>
      </c>
      <c r="O391" s="64"/>
      <c r="AB391" s="1566" t="str">
        <f t="shared" si="151"/>
        <v/>
      </c>
      <c r="AC391" s="1365" t="str">
        <f t="shared" si="152"/>
        <v/>
      </c>
      <c r="AD391" s="1365" t="str">
        <f t="shared" si="153"/>
        <v/>
      </c>
      <c r="AE391" s="1365" t="str">
        <f t="shared" si="154"/>
        <v/>
      </c>
      <c r="AF391" s="1365" t="str">
        <f t="shared" si="155"/>
        <v/>
      </c>
      <c r="AG391" s="1467" t="str">
        <f t="shared" si="156"/>
        <v/>
      </c>
      <c r="AH391" s="1467" t="str">
        <f t="shared" si="157"/>
        <v/>
      </c>
    </row>
    <row r="392" spans="2:34">
      <c r="B392" s="1311"/>
      <c r="C392" s="61" t="s">
        <v>6306</v>
      </c>
      <c r="D392" s="61"/>
      <c r="E392" s="62" t="s">
        <v>1753</v>
      </c>
      <c r="F392" s="61" t="s">
        <v>6305</v>
      </c>
      <c r="G392" s="63" t="str">
        <f t="shared" si="158"/>
        <v>No</v>
      </c>
      <c r="H392" s="76"/>
      <c r="I392" s="1322"/>
      <c r="J392" s="1322"/>
      <c r="K392" s="1322"/>
      <c r="L392" s="63" t="str">
        <f t="shared" si="149"/>
        <v>No</v>
      </c>
      <c r="M392" s="63">
        <f t="shared" si="150"/>
        <v>0</v>
      </c>
      <c r="N392" s="63" t="s">
        <v>6467</v>
      </c>
      <c r="O392" s="64"/>
      <c r="AB392" s="1566" t="str">
        <f t="shared" si="151"/>
        <v/>
      </c>
      <c r="AC392" s="1365" t="str">
        <f t="shared" si="152"/>
        <v/>
      </c>
      <c r="AD392" s="1365" t="str">
        <f t="shared" si="153"/>
        <v/>
      </c>
      <c r="AE392" s="1365" t="str">
        <f t="shared" si="154"/>
        <v/>
      </c>
      <c r="AF392" s="1365" t="str">
        <f t="shared" si="155"/>
        <v/>
      </c>
      <c r="AG392" s="1467" t="str">
        <f t="shared" si="156"/>
        <v/>
      </c>
      <c r="AH392" s="1467" t="str">
        <f t="shared" si="157"/>
        <v/>
      </c>
    </row>
    <row r="393" spans="2:34">
      <c r="B393" s="1311"/>
      <c r="C393" s="61" t="s">
        <v>6317</v>
      </c>
      <c r="D393" s="61"/>
      <c r="E393" s="62" t="s">
        <v>1564</v>
      </c>
      <c r="F393" s="61" t="s">
        <v>6580</v>
      </c>
      <c r="G393" s="63" t="str">
        <f t="shared" si="158"/>
        <v>No</v>
      </c>
      <c r="H393" s="76"/>
      <c r="I393" s="1322"/>
      <c r="J393" s="1322"/>
      <c r="K393" s="1322"/>
      <c r="L393" s="63" t="str">
        <f t="shared" si="149"/>
        <v>No</v>
      </c>
      <c r="M393" s="63">
        <f t="shared" si="150"/>
        <v>0</v>
      </c>
      <c r="N393" s="63" t="s">
        <v>6467</v>
      </c>
      <c r="O393" s="64"/>
      <c r="AB393" s="1566" t="str">
        <f t="shared" si="151"/>
        <v/>
      </c>
      <c r="AC393" s="1365" t="str">
        <f t="shared" si="152"/>
        <v/>
      </c>
      <c r="AD393" s="1365" t="str">
        <f t="shared" si="153"/>
        <v/>
      </c>
      <c r="AE393" s="1365" t="str">
        <f t="shared" si="154"/>
        <v/>
      </c>
      <c r="AF393" s="1365" t="str">
        <f t="shared" si="155"/>
        <v/>
      </c>
      <c r="AG393" s="1467" t="str">
        <f t="shared" si="156"/>
        <v/>
      </c>
      <c r="AH393" s="1467" t="str">
        <f t="shared" si="157"/>
        <v/>
      </c>
    </row>
    <row r="394" spans="2:34">
      <c r="B394" s="1311"/>
      <c r="C394" s="61" t="s">
        <v>6343</v>
      </c>
      <c r="D394" s="61"/>
      <c r="E394" s="62" t="s">
        <v>912</v>
      </c>
      <c r="F394" s="61" t="s">
        <v>6342</v>
      </c>
      <c r="G394" s="63" t="str">
        <f t="shared" si="158"/>
        <v>No</v>
      </c>
      <c r="H394" s="76"/>
      <c r="I394" s="1322"/>
      <c r="J394" s="1322"/>
      <c r="K394" s="1322"/>
      <c r="L394" s="63" t="str">
        <f t="shared" si="149"/>
        <v>No</v>
      </c>
      <c r="M394" s="63">
        <f t="shared" si="150"/>
        <v>0</v>
      </c>
      <c r="N394" s="63" t="s">
        <v>6468</v>
      </c>
      <c r="O394" s="64"/>
      <c r="AB394" s="1566" t="str">
        <f t="shared" si="151"/>
        <v/>
      </c>
      <c r="AC394" s="1365" t="str">
        <f t="shared" si="152"/>
        <v/>
      </c>
      <c r="AD394" s="1365" t="str">
        <f t="shared" si="153"/>
        <v/>
      </c>
      <c r="AE394" s="1365" t="str">
        <f t="shared" si="154"/>
        <v/>
      </c>
      <c r="AF394" s="1365" t="str">
        <f t="shared" si="155"/>
        <v/>
      </c>
      <c r="AG394" s="1467" t="str">
        <f t="shared" si="156"/>
        <v/>
      </c>
      <c r="AH394" s="1467" t="str">
        <f t="shared" si="157"/>
        <v/>
      </c>
    </row>
    <row r="395" spans="2:34">
      <c r="B395" s="1311"/>
      <c r="C395" s="61" t="s">
        <v>6323</v>
      </c>
      <c r="D395" s="61"/>
      <c r="E395" s="62" t="s">
        <v>1491</v>
      </c>
      <c r="F395" s="61" t="s">
        <v>6322</v>
      </c>
      <c r="G395" s="63" t="str">
        <f t="shared" si="158"/>
        <v>No</v>
      </c>
      <c r="H395" s="76"/>
      <c r="I395" s="1322"/>
      <c r="J395" s="1322"/>
      <c r="K395" s="1322"/>
      <c r="L395" s="63" t="str">
        <f t="shared" si="149"/>
        <v>No</v>
      </c>
      <c r="M395" s="63">
        <f t="shared" si="150"/>
        <v>0</v>
      </c>
      <c r="N395" s="63" t="s">
        <v>6468</v>
      </c>
      <c r="O395" s="64"/>
      <c r="AB395" s="1566" t="str">
        <f t="shared" si="151"/>
        <v/>
      </c>
      <c r="AC395" s="1365" t="str">
        <f t="shared" si="152"/>
        <v/>
      </c>
      <c r="AD395" s="1365" t="str">
        <f t="shared" si="153"/>
        <v/>
      </c>
      <c r="AE395" s="1365" t="str">
        <f t="shared" si="154"/>
        <v/>
      </c>
      <c r="AF395" s="1365" t="str">
        <f t="shared" si="155"/>
        <v/>
      </c>
      <c r="AG395" s="1467" t="str">
        <f t="shared" si="156"/>
        <v/>
      </c>
      <c r="AH395" s="1467" t="str">
        <f t="shared" si="157"/>
        <v/>
      </c>
    </row>
    <row r="396" spans="2:34">
      <c r="B396" s="1311"/>
      <c r="C396" s="61" t="s">
        <v>6285</v>
      </c>
      <c r="D396" s="61"/>
      <c r="E396" s="62" t="s">
        <v>2049</v>
      </c>
      <c r="F396" s="61" t="s">
        <v>6284</v>
      </c>
      <c r="G396" s="63" t="str">
        <f t="shared" si="158"/>
        <v>No</v>
      </c>
      <c r="H396" s="76"/>
      <c r="I396" s="1322"/>
      <c r="J396" s="1322"/>
      <c r="K396" s="1322"/>
      <c r="L396" s="63" t="str">
        <f t="shared" si="149"/>
        <v>No</v>
      </c>
      <c r="M396" s="63">
        <f t="shared" si="150"/>
        <v>0</v>
      </c>
      <c r="N396" s="63" t="s">
        <v>6468</v>
      </c>
      <c r="O396" s="64"/>
      <c r="AB396" s="1566" t="str">
        <f t="shared" si="151"/>
        <v/>
      </c>
      <c r="AC396" s="1365" t="str">
        <f t="shared" si="152"/>
        <v/>
      </c>
      <c r="AD396" s="1365" t="str">
        <f t="shared" si="153"/>
        <v/>
      </c>
      <c r="AE396" s="1365" t="str">
        <f t="shared" si="154"/>
        <v/>
      </c>
      <c r="AF396" s="1365" t="str">
        <f t="shared" si="155"/>
        <v/>
      </c>
      <c r="AG396" s="1467" t="str">
        <f t="shared" si="156"/>
        <v/>
      </c>
      <c r="AH396" s="1467" t="str">
        <f t="shared" si="157"/>
        <v/>
      </c>
    </row>
    <row r="397" spans="2:34">
      <c r="B397" s="1311"/>
      <c r="C397" s="61" t="s">
        <v>6329</v>
      </c>
      <c r="D397" s="61"/>
      <c r="E397" s="62" t="s">
        <v>1410</v>
      </c>
      <c r="F397" s="61" t="s">
        <v>6328</v>
      </c>
      <c r="G397" s="63" t="str">
        <f t="shared" si="158"/>
        <v>No</v>
      </c>
      <c r="H397" s="76"/>
      <c r="I397" s="1322"/>
      <c r="J397" s="1322"/>
      <c r="K397" s="1322"/>
      <c r="L397" s="63" t="str">
        <f t="shared" si="149"/>
        <v>No</v>
      </c>
      <c r="M397" s="63">
        <f t="shared" si="150"/>
        <v>0</v>
      </c>
      <c r="N397" s="63" t="s">
        <v>6468</v>
      </c>
      <c r="O397" s="64"/>
      <c r="AB397" s="1566" t="str">
        <f t="shared" si="151"/>
        <v/>
      </c>
      <c r="AC397" s="1365" t="str">
        <f t="shared" si="152"/>
        <v/>
      </c>
      <c r="AD397" s="1365" t="str">
        <f t="shared" si="153"/>
        <v/>
      </c>
      <c r="AE397" s="1365" t="str">
        <f t="shared" si="154"/>
        <v/>
      </c>
      <c r="AF397" s="1365" t="str">
        <f t="shared" si="155"/>
        <v/>
      </c>
      <c r="AG397" s="1467" t="str">
        <f t="shared" si="156"/>
        <v/>
      </c>
      <c r="AH397" s="1467" t="str">
        <f t="shared" si="157"/>
        <v/>
      </c>
    </row>
    <row r="398" spans="2:34">
      <c r="B398" s="1311"/>
      <c r="C398" s="61" t="s">
        <v>6327</v>
      </c>
      <c r="D398" s="61"/>
      <c r="E398" s="62" t="s">
        <v>1410</v>
      </c>
      <c r="F398" s="61" t="s">
        <v>6326</v>
      </c>
      <c r="G398" s="63" t="str">
        <f t="shared" si="158"/>
        <v>No</v>
      </c>
      <c r="H398" s="76"/>
      <c r="I398" s="1322"/>
      <c r="J398" s="1322"/>
      <c r="K398" s="1322"/>
      <c r="L398" s="63" t="str">
        <f t="shared" si="149"/>
        <v>No</v>
      </c>
      <c r="M398" s="63">
        <f t="shared" si="150"/>
        <v>0</v>
      </c>
      <c r="N398" s="63" t="s">
        <v>6468</v>
      </c>
      <c r="O398" s="64"/>
      <c r="AB398" s="1566" t="str">
        <f t="shared" si="151"/>
        <v/>
      </c>
      <c r="AC398" s="1365" t="str">
        <f t="shared" si="152"/>
        <v/>
      </c>
      <c r="AD398" s="1365" t="str">
        <f t="shared" si="153"/>
        <v/>
      </c>
      <c r="AE398" s="1365" t="str">
        <f t="shared" si="154"/>
        <v/>
      </c>
      <c r="AF398" s="1365" t="str">
        <f t="shared" si="155"/>
        <v/>
      </c>
      <c r="AG398" s="1467" t="str">
        <f t="shared" si="156"/>
        <v/>
      </c>
      <c r="AH398" s="1467" t="str">
        <f t="shared" si="157"/>
        <v/>
      </c>
    </row>
    <row r="399" spans="2:34">
      <c r="B399" s="1311"/>
      <c r="C399" s="61" t="s">
        <v>6312</v>
      </c>
      <c r="D399" s="61"/>
      <c r="E399" s="62" t="s">
        <v>1601</v>
      </c>
      <c r="F399" s="61" t="s">
        <v>6311</v>
      </c>
      <c r="G399" s="63" t="str">
        <f t="shared" si="158"/>
        <v>No</v>
      </c>
      <c r="H399" s="76"/>
      <c r="I399" s="1322"/>
      <c r="J399" s="1322"/>
      <c r="K399" s="1322"/>
      <c r="L399" s="63" t="str">
        <f t="shared" si="149"/>
        <v>No</v>
      </c>
      <c r="M399" s="63">
        <f t="shared" si="150"/>
        <v>0</v>
      </c>
      <c r="N399" s="63" t="s">
        <v>6468</v>
      </c>
      <c r="O399" s="64"/>
      <c r="AB399" s="1566" t="str">
        <f t="shared" si="151"/>
        <v/>
      </c>
      <c r="AC399" s="1365" t="str">
        <f t="shared" si="152"/>
        <v/>
      </c>
      <c r="AD399" s="1365" t="str">
        <f t="shared" si="153"/>
        <v/>
      </c>
      <c r="AE399" s="1365" t="str">
        <f t="shared" si="154"/>
        <v/>
      </c>
      <c r="AF399" s="1365" t="str">
        <f t="shared" si="155"/>
        <v/>
      </c>
      <c r="AG399" s="1467" t="str">
        <f t="shared" si="156"/>
        <v/>
      </c>
      <c r="AH399" s="1467" t="str">
        <f t="shared" si="157"/>
        <v/>
      </c>
    </row>
    <row r="400" spans="2:34">
      <c r="B400" s="1311"/>
      <c r="C400" s="61" t="s">
        <v>6283</v>
      </c>
      <c r="D400" s="61"/>
      <c r="E400" s="62" t="s">
        <v>2049</v>
      </c>
      <c r="F400" s="61" t="s">
        <v>6282</v>
      </c>
      <c r="G400" s="63" t="str">
        <f t="shared" si="158"/>
        <v>No</v>
      </c>
      <c r="H400" s="76"/>
      <c r="I400" s="1322"/>
      <c r="J400" s="1322"/>
      <c r="K400" s="1322"/>
      <c r="L400" s="63" t="str">
        <f t="shared" si="149"/>
        <v>No</v>
      </c>
      <c r="M400" s="63">
        <f t="shared" si="150"/>
        <v>0</v>
      </c>
      <c r="N400" s="63" t="s">
        <v>6468</v>
      </c>
      <c r="O400" s="64"/>
      <c r="AB400" s="1566" t="str">
        <f t="shared" si="151"/>
        <v/>
      </c>
      <c r="AC400" s="1365" t="str">
        <f t="shared" si="152"/>
        <v/>
      </c>
      <c r="AD400" s="1365" t="str">
        <f t="shared" si="153"/>
        <v/>
      </c>
      <c r="AE400" s="1365" t="str">
        <f t="shared" si="154"/>
        <v/>
      </c>
      <c r="AF400" s="1365" t="str">
        <f t="shared" si="155"/>
        <v/>
      </c>
      <c r="AG400" s="1467" t="str">
        <f t="shared" si="156"/>
        <v/>
      </c>
      <c r="AH400" s="1467" t="str">
        <f t="shared" si="157"/>
        <v/>
      </c>
    </row>
    <row r="401" spans="2:34">
      <c r="B401" s="1311"/>
      <c r="C401" s="61" t="s">
        <v>6271</v>
      </c>
      <c r="D401" s="61"/>
      <c r="E401" s="62" t="s">
        <v>2080</v>
      </c>
      <c r="F401" s="61" t="s">
        <v>6270</v>
      </c>
      <c r="G401" s="63" t="str">
        <f t="shared" si="158"/>
        <v>No</v>
      </c>
      <c r="H401" s="76"/>
      <c r="I401" s="1322"/>
      <c r="J401" s="1322"/>
      <c r="K401" s="1322"/>
      <c r="L401" s="63" t="str">
        <f t="shared" si="149"/>
        <v>No</v>
      </c>
      <c r="M401" s="63">
        <f t="shared" si="150"/>
        <v>0</v>
      </c>
      <c r="N401" s="63" t="s">
        <v>6468</v>
      </c>
      <c r="O401" s="64"/>
      <c r="AB401" s="1566" t="str">
        <f t="shared" si="151"/>
        <v/>
      </c>
      <c r="AC401" s="1365" t="str">
        <f t="shared" si="152"/>
        <v/>
      </c>
      <c r="AD401" s="1365" t="str">
        <f t="shared" si="153"/>
        <v/>
      </c>
      <c r="AE401" s="1365" t="str">
        <f t="shared" si="154"/>
        <v/>
      </c>
      <c r="AF401" s="1365" t="str">
        <f t="shared" si="155"/>
        <v/>
      </c>
      <c r="AG401" s="1467" t="str">
        <f t="shared" si="156"/>
        <v/>
      </c>
      <c r="AH401" s="1467" t="str">
        <f t="shared" si="157"/>
        <v/>
      </c>
    </row>
    <row r="402" spans="2:34">
      <c r="B402" s="1311"/>
      <c r="C402" s="61" t="s">
        <v>6310</v>
      </c>
      <c r="D402" s="61"/>
      <c r="E402" s="62" t="s">
        <v>1601</v>
      </c>
      <c r="F402" s="61" t="s">
        <v>6309</v>
      </c>
      <c r="G402" s="63" t="str">
        <f t="shared" si="158"/>
        <v>No</v>
      </c>
      <c r="H402" s="76"/>
      <c r="I402" s="1322"/>
      <c r="J402" s="1322"/>
      <c r="K402" s="1322"/>
      <c r="L402" s="63" t="str">
        <f t="shared" si="149"/>
        <v>No</v>
      </c>
      <c r="M402" s="63">
        <f t="shared" si="150"/>
        <v>0</v>
      </c>
      <c r="N402" s="63" t="s">
        <v>6468</v>
      </c>
      <c r="O402" s="64"/>
      <c r="AB402" s="1566" t="str">
        <f t="shared" si="151"/>
        <v/>
      </c>
      <c r="AC402" s="1365" t="str">
        <f t="shared" si="152"/>
        <v/>
      </c>
      <c r="AD402" s="1365" t="str">
        <f t="shared" si="153"/>
        <v/>
      </c>
      <c r="AE402" s="1365" t="str">
        <f t="shared" si="154"/>
        <v/>
      </c>
      <c r="AF402" s="1365" t="str">
        <f t="shared" si="155"/>
        <v/>
      </c>
      <c r="AG402" s="1467" t="str">
        <f t="shared" si="156"/>
        <v/>
      </c>
      <c r="AH402" s="1467" t="str">
        <f t="shared" si="157"/>
        <v/>
      </c>
    </row>
    <row r="403" spans="2:34">
      <c r="B403" s="1311"/>
      <c r="C403" s="61" t="s">
        <v>6304</v>
      </c>
      <c r="D403" s="61"/>
      <c r="E403" s="62" t="s">
        <v>1753</v>
      </c>
      <c r="F403" s="61" t="s">
        <v>6303</v>
      </c>
      <c r="G403" s="63" t="str">
        <f t="shared" si="158"/>
        <v>No</v>
      </c>
      <c r="H403" s="76"/>
      <c r="I403" s="1322"/>
      <c r="J403" s="1322"/>
      <c r="K403" s="1322"/>
      <c r="L403" s="63" t="str">
        <f t="shared" si="149"/>
        <v>No</v>
      </c>
      <c r="M403" s="63">
        <f t="shared" si="150"/>
        <v>0</v>
      </c>
      <c r="N403" s="63" t="s">
        <v>6468</v>
      </c>
      <c r="O403" s="64"/>
      <c r="AB403" s="1566" t="str">
        <f t="shared" si="151"/>
        <v/>
      </c>
      <c r="AC403" s="1365" t="str">
        <f t="shared" si="152"/>
        <v/>
      </c>
      <c r="AD403" s="1365" t="str">
        <f t="shared" si="153"/>
        <v/>
      </c>
      <c r="AE403" s="1365" t="str">
        <f t="shared" si="154"/>
        <v/>
      </c>
      <c r="AF403" s="1365" t="str">
        <f t="shared" si="155"/>
        <v/>
      </c>
      <c r="AG403" s="1467" t="str">
        <f t="shared" si="156"/>
        <v/>
      </c>
      <c r="AH403" s="1467" t="str">
        <f t="shared" si="157"/>
        <v/>
      </c>
    </row>
    <row r="404" spans="2:34">
      <c r="B404" s="1311"/>
      <c r="C404" s="61" t="s">
        <v>6298</v>
      </c>
      <c r="D404" s="61"/>
      <c r="E404" s="62" t="s">
        <v>1929</v>
      </c>
      <c r="F404" s="61" t="s">
        <v>6297</v>
      </c>
      <c r="G404" s="63" t="str">
        <f t="shared" si="158"/>
        <v>No</v>
      </c>
      <c r="H404" s="76"/>
      <c r="I404" s="1322"/>
      <c r="J404" s="1322"/>
      <c r="K404" s="1322"/>
      <c r="L404" s="63" t="str">
        <f t="shared" si="149"/>
        <v>No</v>
      </c>
      <c r="M404" s="63">
        <f t="shared" si="150"/>
        <v>0</v>
      </c>
      <c r="N404" s="63" t="s">
        <v>6468</v>
      </c>
      <c r="O404" s="64"/>
      <c r="AB404" s="1566" t="str">
        <f t="shared" si="151"/>
        <v/>
      </c>
      <c r="AC404" s="1365" t="str">
        <f t="shared" si="152"/>
        <v/>
      </c>
      <c r="AD404" s="1365" t="str">
        <f t="shared" si="153"/>
        <v/>
      </c>
      <c r="AE404" s="1365" t="str">
        <f t="shared" si="154"/>
        <v/>
      </c>
      <c r="AF404" s="1365" t="str">
        <f t="shared" si="155"/>
        <v/>
      </c>
      <c r="AG404" s="1467" t="str">
        <f t="shared" si="156"/>
        <v/>
      </c>
      <c r="AH404" s="1467" t="str">
        <f t="shared" si="157"/>
        <v/>
      </c>
    </row>
    <row r="405" spans="2:34">
      <c r="B405" s="1311"/>
      <c r="C405" s="61" t="s">
        <v>6339</v>
      </c>
      <c r="D405" s="61"/>
      <c r="E405" s="62" t="s">
        <v>1300</v>
      </c>
      <c r="F405" s="61" t="s">
        <v>6574</v>
      </c>
      <c r="G405" s="63" t="str">
        <f t="shared" si="158"/>
        <v>No</v>
      </c>
      <c r="H405" s="76"/>
      <c r="I405" s="1322"/>
      <c r="J405" s="1322"/>
      <c r="K405" s="1322"/>
      <c r="L405" s="63" t="str">
        <f t="shared" si="149"/>
        <v>No</v>
      </c>
      <c r="M405" s="63">
        <f t="shared" si="150"/>
        <v>0</v>
      </c>
      <c r="N405" s="63" t="s">
        <v>6468</v>
      </c>
      <c r="O405" s="64"/>
      <c r="AB405" s="1566" t="str">
        <f t="shared" si="151"/>
        <v/>
      </c>
      <c r="AC405" s="1365" t="str">
        <f t="shared" si="152"/>
        <v/>
      </c>
      <c r="AD405" s="1365" t="str">
        <f t="shared" si="153"/>
        <v/>
      </c>
      <c r="AE405" s="1365" t="str">
        <f t="shared" si="154"/>
        <v/>
      </c>
      <c r="AF405" s="1365" t="str">
        <f t="shared" si="155"/>
        <v/>
      </c>
      <c r="AG405" s="1467" t="str">
        <f t="shared" si="156"/>
        <v/>
      </c>
      <c r="AH405" s="1467" t="str">
        <f t="shared" si="157"/>
        <v/>
      </c>
    </row>
    <row r="406" spans="2:34">
      <c r="B406" s="1311"/>
      <c r="C406" s="61" t="s">
        <v>6316</v>
      </c>
      <c r="D406" s="61"/>
      <c r="E406" s="62" t="s">
        <v>1564</v>
      </c>
      <c r="F406" s="61" t="s">
        <v>6315</v>
      </c>
      <c r="G406" s="63" t="str">
        <f t="shared" si="158"/>
        <v>No</v>
      </c>
      <c r="H406" s="76"/>
      <c r="I406" s="1322"/>
      <c r="J406" s="1322"/>
      <c r="K406" s="1322"/>
      <c r="L406" s="63" t="str">
        <f t="shared" si="149"/>
        <v>No</v>
      </c>
      <c r="M406" s="63">
        <f t="shared" si="150"/>
        <v>0</v>
      </c>
      <c r="N406" s="63" t="s">
        <v>6469</v>
      </c>
      <c r="O406" s="64"/>
      <c r="AB406" s="1566" t="str">
        <f t="shared" si="151"/>
        <v/>
      </c>
      <c r="AC406" s="1365" t="str">
        <f t="shared" si="152"/>
        <v/>
      </c>
      <c r="AD406" s="1365" t="str">
        <f t="shared" si="153"/>
        <v/>
      </c>
      <c r="AE406" s="1365" t="str">
        <f t="shared" si="154"/>
        <v/>
      </c>
      <c r="AF406" s="1365" t="str">
        <f t="shared" si="155"/>
        <v/>
      </c>
      <c r="AG406" s="1467" t="str">
        <f t="shared" si="156"/>
        <v/>
      </c>
      <c r="AH406" s="1467" t="str">
        <f t="shared" si="157"/>
        <v/>
      </c>
    </row>
    <row r="407" spans="2:34">
      <c r="B407" s="1311"/>
      <c r="C407" s="61" t="s">
        <v>6287</v>
      </c>
      <c r="D407" s="61"/>
      <c r="E407" s="62" t="s">
        <v>2034</v>
      </c>
      <c r="F407" s="61" t="s">
        <v>6286</v>
      </c>
      <c r="G407" s="63" t="str">
        <f t="shared" si="158"/>
        <v>No</v>
      </c>
      <c r="H407" s="76"/>
      <c r="I407" s="1322"/>
      <c r="J407" s="1322"/>
      <c r="K407" s="1322"/>
      <c r="L407" s="63" t="str">
        <f t="shared" si="149"/>
        <v>No</v>
      </c>
      <c r="M407" s="63">
        <f t="shared" si="150"/>
        <v>0</v>
      </c>
      <c r="N407" s="63" t="s">
        <v>6469</v>
      </c>
      <c r="O407" s="64"/>
      <c r="AB407" s="1566" t="str">
        <f t="shared" si="151"/>
        <v/>
      </c>
      <c r="AC407" s="1365" t="str">
        <f t="shared" si="152"/>
        <v/>
      </c>
      <c r="AD407" s="1365" t="str">
        <f t="shared" si="153"/>
        <v/>
      </c>
      <c r="AE407" s="1365" t="str">
        <f t="shared" si="154"/>
        <v/>
      </c>
      <c r="AF407" s="1365" t="str">
        <f t="shared" si="155"/>
        <v/>
      </c>
      <c r="AG407" s="1467" t="str">
        <f t="shared" si="156"/>
        <v/>
      </c>
      <c r="AH407" s="1467" t="str">
        <f t="shared" si="157"/>
        <v/>
      </c>
    </row>
    <row r="408" spans="2:34">
      <c r="B408" s="1311"/>
      <c r="C408" s="61" t="s">
        <v>6274</v>
      </c>
      <c r="D408" s="61"/>
      <c r="E408" s="62" t="s">
        <v>2055</v>
      </c>
      <c r="F408" s="61" t="s">
        <v>6273</v>
      </c>
      <c r="G408" s="63" t="str">
        <f t="shared" si="158"/>
        <v>No</v>
      </c>
      <c r="H408" s="76"/>
      <c r="I408" s="1322"/>
      <c r="J408" s="1322"/>
      <c r="K408" s="1322"/>
      <c r="L408" s="63" t="str">
        <f t="shared" si="149"/>
        <v>No</v>
      </c>
      <c r="M408" s="63">
        <f t="shared" si="150"/>
        <v>0</v>
      </c>
      <c r="N408" s="63" t="s">
        <v>6469</v>
      </c>
      <c r="O408" s="64"/>
      <c r="AB408" s="1566" t="str">
        <f t="shared" si="151"/>
        <v/>
      </c>
      <c r="AC408" s="1365" t="str">
        <f t="shared" si="152"/>
        <v/>
      </c>
      <c r="AD408" s="1365" t="str">
        <f t="shared" si="153"/>
        <v/>
      </c>
      <c r="AE408" s="1365" t="str">
        <f t="shared" si="154"/>
        <v/>
      </c>
      <c r="AF408" s="1365" t="str">
        <f t="shared" si="155"/>
        <v/>
      </c>
      <c r="AG408" s="1467" t="str">
        <f t="shared" si="156"/>
        <v/>
      </c>
      <c r="AH408" s="1467" t="str">
        <f t="shared" si="157"/>
        <v/>
      </c>
    </row>
    <row r="409" spans="2:34">
      <c r="B409" s="1311"/>
      <c r="C409" s="61" t="s">
        <v>6281</v>
      </c>
      <c r="D409" s="61"/>
      <c r="E409" s="62" t="s">
        <v>2049</v>
      </c>
      <c r="F409" s="61" t="s">
        <v>6280</v>
      </c>
      <c r="G409" s="63" t="str">
        <f t="shared" si="158"/>
        <v>No</v>
      </c>
      <c r="H409" s="76"/>
      <c r="I409" s="1322"/>
      <c r="J409" s="1322"/>
      <c r="K409" s="1322"/>
      <c r="L409" s="63" t="str">
        <f t="shared" si="149"/>
        <v>No</v>
      </c>
      <c r="M409" s="63">
        <f t="shared" si="150"/>
        <v>0</v>
      </c>
      <c r="N409" s="63" t="s">
        <v>6469</v>
      </c>
      <c r="O409" s="64"/>
      <c r="AB409" s="1566" t="str">
        <f t="shared" si="151"/>
        <v/>
      </c>
      <c r="AC409" s="1365" t="str">
        <f t="shared" si="152"/>
        <v/>
      </c>
      <c r="AD409" s="1365" t="str">
        <f t="shared" si="153"/>
        <v/>
      </c>
      <c r="AE409" s="1365" t="str">
        <f t="shared" si="154"/>
        <v/>
      </c>
      <c r="AF409" s="1365" t="str">
        <f t="shared" si="155"/>
        <v/>
      </c>
      <c r="AG409" s="1467" t="str">
        <f t="shared" si="156"/>
        <v/>
      </c>
      <c r="AH409" s="1467" t="str">
        <f t="shared" si="157"/>
        <v/>
      </c>
    </row>
    <row r="410" spans="2:34">
      <c r="B410" s="1311"/>
      <c r="C410" s="61" t="s">
        <v>6265</v>
      </c>
      <c r="D410" s="61"/>
      <c r="E410" s="62" t="s">
        <v>2090</v>
      </c>
      <c r="F410" s="61" t="s">
        <v>6264</v>
      </c>
      <c r="G410" s="63" t="str">
        <f t="shared" si="158"/>
        <v>No</v>
      </c>
      <c r="H410" s="76"/>
      <c r="I410" s="1322"/>
      <c r="J410" s="1322"/>
      <c r="K410" s="1322"/>
      <c r="L410" s="63" t="str">
        <f t="shared" si="149"/>
        <v>No</v>
      </c>
      <c r="M410" s="63">
        <f t="shared" si="150"/>
        <v>0</v>
      </c>
      <c r="N410" s="63" t="s">
        <v>6469</v>
      </c>
      <c r="O410" s="64"/>
      <c r="AB410" s="1566" t="str">
        <f t="shared" si="151"/>
        <v/>
      </c>
      <c r="AC410" s="1365" t="str">
        <f t="shared" si="152"/>
        <v/>
      </c>
      <c r="AD410" s="1365" t="str">
        <f t="shared" si="153"/>
        <v/>
      </c>
      <c r="AE410" s="1365" t="str">
        <f t="shared" si="154"/>
        <v/>
      </c>
      <c r="AF410" s="1365" t="str">
        <f t="shared" si="155"/>
        <v/>
      </c>
      <c r="AG410" s="1467" t="str">
        <f t="shared" si="156"/>
        <v/>
      </c>
      <c r="AH410" s="1467" t="str">
        <f t="shared" si="157"/>
        <v/>
      </c>
    </row>
    <row r="411" spans="2:34">
      <c r="B411" s="1311"/>
      <c r="C411" s="61" t="s">
        <v>6338</v>
      </c>
      <c r="D411" s="61"/>
      <c r="E411" s="62" t="s">
        <v>1300</v>
      </c>
      <c r="F411" s="61" t="s">
        <v>6337</v>
      </c>
      <c r="G411" s="63" t="str">
        <f t="shared" si="158"/>
        <v>No</v>
      </c>
      <c r="H411" s="76"/>
      <c r="I411" s="1322"/>
      <c r="J411" s="1322"/>
      <c r="K411" s="1322"/>
      <c r="L411" s="63" t="str">
        <f t="shared" si="149"/>
        <v>No</v>
      </c>
      <c r="M411" s="63">
        <f t="shared" si="150"/>
        <v>0</v>
      </c>
      <c r="N411" s="63" t="s">
        <v>6469</v>
      </c>
      <c r="O411" s="64"/>
      <c r="AB411" s="1566" t="str">
        <f t="shared" si="151"/>
        <v/>
      </c>
      <c r="AC411" s="1365" t="str">
        <f t="shared" si="152"/>
        <v/>
      </c>
      <c r="AD411" s="1365" t="str">
        <f t="shared" si="153"/>
        <v/>
      </c>
      <c r="AE411" s="1365" t="str">
        <f t="shared" si="154"/>
        <v/>
      </c>
      <c r="AF411" s="1365" t="str">
        <f t="shared" si="155"/>
        <v/>
      </c>
      <c r="AG411" s="1467" t="str">
        <f t="shared" si="156"/>
        <v/>
      </c>
      <c r="AH411" s="1467" t="str">
        <f t="shared" si="157"/>
        <v/>
      </c>
    </row>
    <row r="412" spans="2:34">
      <c r="B412" s="1311"/>
      <c r="C412" s="61" t="s">
        <v>6321</v>
      </c>
      <c r="D412" s="61"/>
      <c r="E412" s="62" t="s">
        <v>1491</v>
      </c>
      <c r="F412" s="61" t="s">
        <v>6320</v>
      </c>
      <c r="G412" s="63" t="str">
        <f t="shared" si="158"/>
        <v>No</v>
      </c>
      <c r="H412" s="76"/>
      <c r="I412" s="1322"/>
      <c r="J412" s="1322"/>
      <c r="K412" s="1322"/>
      <c r="L412" s="63" t="str">
        <f t="shared" si="149"/>
        <v>No</v>
      </c>
      <c r="M412" s="63">
        <f t="shared" si="150"/>
        <v>0</v>
      </c>
      <c r="N412" s="63" t="s">
        <v>6469</v>
      </c>
      <c r="O412" s="64"/>
      <c r="AB412" s="1566" t="str">
        <f t="shared" si="151"/>
        <v/>
      </c>
      <c r="AC412" s="1365" t="str">
        <f t="shared" si="152"/>
        <v/>
      </c>
      <c r="AD412" s="1365" t="str">
        <f t="shared" si="153"/>
        <v/>
      </c>
      <c r="AE412" s="1365" t="str">
        <f t="shared" si="154"/>
        <v/>
      </c>
      <c r="AF412" s="1365" t="str">
        <f t="shared" si="155"/>
        <v/>
      </c>
      <c r="AG412" s="1467" t="str">
        <f t="shared" si="156"/>
        <v/>
      </c>
      <c r="AH412" s="1467" t="str">
        <f t="shared" si="157"/>
        <v/>
      </c>
    </row>
    <row r="413" spans="2:34">
      <c r="B413" s="1311"/>
      <c r="C413" s="61" t="s">
        <v>6269</v>
      </c>
      <c r="D413" s="61"/>
      <c r="E413" s="62" t="s">
        <v>2080</v>
      </c>
      <c r="F413" s="61" t="s">
        <v>6268</v>
      </c>
      <c r="G413" s="63" t="str">
        <f t="shared" si="158"/>
        <v>No</v>
      </c>
      <c r="H413" s="76"/>
      <c r="I413" s="1322"/>
      <c r="J413" s="1322"/>
      <c r="K413" s="1322"/>
      <c r="L413" s="63" t="str">
        <f t="shared" si="149"/>
        <v>No</v>
      </c>
      <c r="M413" s="63">
        <f t="shared" si="150"/>
        <v>0</v>
      </c>
      <c r="N413" s="63" t="s">
        <v>6469</v>
      </c>
      <c r="O413" s="64"/>
      <c r="AB413" s="1566" t="str">
        <f>IF(OR(H413&lt;&gt;"",I413&lt;&gt;"",J413&lt;&gt;"",K413&lt;&gt;""),C413&amp;IF(D413&lt;&gt;""," ("&amp;D413&amp;")",""),"")</f>
        <v/>
      </c>
      <c r="AC413" s="1365" t="str">
        <f>IF(AB413&lt;&gt;"",AB413&amp;";"&amp;AC418,AC418)</f>
        <v/>
      </c>
      <c r="AD413" s="1365" t="str">
        <f>IF(AB413&lt;&gt;"",N413&amp;";"&amp;AD418,AD418)</f>
        <v/>
      </c>
      <c r="AE413" s="1365" t="str">
        <f>IF(AB413&lt;&gt;"",IF(R413="Att Options",AB413&amp;IF(AE418&lt;&gt;"",", ",""),"")&amp;AE418,AE418)</f>
        <v/>
      </c>
      <c r="AF413" s="1365" t="str">
        <f>IF(AB413&lt;&gt;"",IF(R413="Special Actions",AB413&amp;IF(AF418&lt;&gt;"",", ",""),"")&amp;AF418,AF418)</f>
        <v/>
      </c>
      <c r="AG413" s="1467" t="str">
        <f>IF(AB413&lt;&gt;"",IF(R413="Defenses",AB413&amp;IF(AG418&lt;&gt;"",", ",""),"")&amp;AG418,AG418)</f>
        <v/>
      </c>
      <c r="AH413" s="1467" t="str">
        <f>IF(AB413&lt;&gt;"",IF(R413="Speed",AB413&amp;IF(AH418&lt;&gt;"",", ",""),"")&amp;AH418,AH418)</f>
        <v/>
      </c>
    </row>
    <row r="414" spans="2:34" ht="15" thickBot="1">
      <c r="B414" s="65"/>
      <c r="C414" s="1312"/>
      <c r="D414" s="1312"/>
      <c r="E414" s="1313"/>
      <c r="F414" s="1314"/>
      <c r="G414" s="1314"/>
      <c r="H414" s="1314"/>
      <c r="I414" s="1314"/>
      <c r="J414" s="1314"/>
      <c r="K414" s="1314"/>
      <c r="L414" s="1314"/>
      <c r="M414" s="1314"/>
      <c r="N414" s="1314"/>
      <c r="O414" s="1315"/>
      <c r="AC414" s="1468" t="s">
        <v>195</v>
      </c>
      <c r="AD414" s="1468" t="s">
        <v>195</v>
      </c>
      <c r="AE414" s="1468" t="str">
        <f>""</f>
        <v/>
      </c>
      <c r="AF414" s="1468" t="s">
        <v>195</v>
      </c>
      <c r="AG414" s="1468" t="s">
        <v>195</v>
      </c>
      <c r="AH414" s="1468" t="s">
        <v>195</v>
      </c>
    </row>
    <row r="415" spans="2:34" ht="15" thickBot="1"/>
    <row r="416" spans="2:34">
      <c r="B416" s="1306"/>
      <c r="C416" s="1307"/>
      <c r="D416" s="1307"/>
      <c r="E416" s="1308"/>
      <c r="F416" s="1309"/>
      <c r="G416" s="1309"/>
      <c r="H416" s="1309"/>
      <c r="I416" s="1309"/>
      <c r="J416" s="1309"/>
      <c r="K416" s="1309"/>
      <c r="L416" s="1309"/>
      <c r="M416" s="1309"/>
      <c r="N416" s="1309"/>
      <c r="O416" s="1310"/>
    </row>
    <row r="417" spans="2:34">
      <c r="B417" s="1311"/>
      <c r="C417" s="920" t="s">
        <v>6953</v>
      </c>
      <c r="D417" s="61"/>
      <c r="E417" s="1367" t="s">
        <v>2256</v>
      </c>
      <c r="F417" s="1675" t="s">
        <v>56</v>
      </c>
      <c r="G417" s="63"/>
      <c r="H417" s="63"/>
      <c r="I417" s="63"/>
      <c r="J417" s="63"/>
      <c r="K417" s="63"/>
      <c r="L417" s="63"/>
      <c r="M417" s="63"/>
      <c r="N417" s="63"/>
      <c r="O417" s="64"/>
      <c r="AB417" s="1566" t="str">
        <f t="shared" ref="AB417:AB424" si="159">IF(OR(H417&lt;&gt;"",I417&lt;&gt;"",J417&lt;&gt;"",K417&lt;&gt;""),C417&amp;IF(D417&lt;&gt;""," ("&amp;D417&amp;")",""),"")</f>
        <v/>
      </c>
      <c r="AC417" s="1365" t="str">
        <f t="shared" ref="AC417:AC424" si="160">IF(AB417&lt;&gt;"",AB417&amp;";"&amp;AC418,AC418)</f>
        <v/>
      </c>
      <c r="AD417" s="1365" t="str">
        <f t="shared" ref="AD417:AD424" si="161">IF(AB417&lt;&gt;"",N417&amp;";"&amp;AD418,AD418)</f>
        <v/>
      </c>
      <c r="AE417" s="1365" t="str">
        <f t="shared" ref="AE417:AE424" si="162">IF(AB417&lt;&gt;"",IF(R417="Att Options",AB417&amp;IF(AE418&lt;&gt;"",", ",""),"")&amp;AE418,AE418)</f>
        <v/>
      </c>
      <c r="AF417" s="1365" t="str">
        <f t="shared" ref="AF417:AF424" si="163">IF(AB417&lt;&gt;"",IF(R417="Special Actions",AB417&amp;IF(AF418&lt;&gt;"",", ",""),"")&amp;AF418,AF418)</f>
        <v/>
      </c>
      <c r="AG417" s="1467" t="str">
        <f t="shared" ref="AG417:AG424" si="164">IF(AB417&lt;&gt;"",IF(R417="Defenses",AB417&amp;IF(AG418&lt;&gt;"",", ",""),"")&amp;AG418,AG418)</f>
        <v/>
      </c>
      <c r="AH417" s="1467" t="str">
        <f t="shared" ref="AH417:AH424" si="165">IF(AB417&lt;&gt;"",IF(R417="Speed",AB417&amp;IF(AH418&lt;&gt;"",", ",""),"")&amp;AH418,AH418)</f>
        <v/>
      </c>
    </row>
    <row r="418" spans="2:34">
      <c r="B418" s="1311"/>
      <c r="C418" s="61" t="s">
        <v>2361</v>
      </c>
      <c r="D418" s="61"/>
      <c r="E418" s="62" t="s">
        <v>6898</v>
      </c>
      <c r="F418" s="1676" t="s">
        <v>6899</v>
      </c>
      <c r="G418" s="63" t="str">
        <f ca="1">IF(AND(CharacterLevel&gt;0,M178&gt;0,Dexterity&gt;=13),"Yes","No")</f>
        <v>No</v>
      </c>
      <c r="H418" s="76"/>
      <c r="I418" s="1322"/>
      <c r="J418" s="1322"/>
      <c r="K418" s="1322"/>
      <c r="L418" s="63" t="str">
        <f t="shared" ref="L418:L425" ca="1" si="166">IF(AND(G418="Yes",OR(H418&lt;&gt;"",I418&lt;&gt;"",J418&lt;&gt;"",K418&lt;&gt;"")),"Yes","No")</f>
        <v>No</v>
      </c>
      <c r="M418" s="63">
        <f t="shared" ref="M418:M425" ca="1" si="167">IF(L418="Yes",1,0)</f>
        <v>0</v>
      </c>
      <c r="N418" s="63" t="s">
        <v>6756</v>
      </c>
      <c r="O418" s="64"/>
      <c r="AB418" s="1566" t="str">
        <f t="shared" si="159"/>
        <v/>
      </c>
      <c r="AC418" s="1365" t="str">
        <f t="shared" si="160"/>
        <v/>
      </c>
      <c r="AD418" s="1365" t="str">
        <f t="shared" si="161"/>
        <v/>
      </c>
      <c r="AE418" s="1365" t="str">
        <f t="shared" si="162"/>
        <v/>
      </c>
      <c r="AF418" s="1365" t="str">
        <f t="shared" si="163"/>
        <v/>
      </c>
      <c r="AG418" s="1467" t="str">
        <f t="shared" si="164"/>
        <v/>
      </c>
      <c r="AH418" s="1467" t="str">
        <f t="shared" si="165"/>
        <v/>
      </c>
    </row>
    <row r="419" spans="2:34">
      <c r="B419" s="1311"/>
      <c r="C419" s="61" t="s">
        <v>6900</v>
      </c>
      <c r="D419" s="61"/>
      <c r="E419" s="62" t="s">
        <v>6901</v>
      </c>
      <c r="F419" s="1676" t="s">
        <v>6902</v>
      </c>
      <c r="G419" s="63" t="str">
        <f ca="1">IF(AND(CharacterLevel&gt;0,M178&gt;0,M49&gt;0),"Yes","No")</f>
        <v>No</v>
      </c>
      <c r="H419" s="76"/>
      <c r="I419" s="1322"/>
      <c r="J419" s="1322"/>
      <c r="K419" s="1322"/>
      <c r="L419" s="63" t="str">
        <f t="shared" ca="1" si="166"/>
        <v>No</v>
      </c>
      <c r="M419" s="63">
        <f t="shared" ca="1" si="167"/>
        <v>0</v>
      </c>
      <c r="N419" s="63" t="s">
        <v>6756</v>
      </c>
      <c r="O419" s="64"/>
      <c r="AB419" s="1566" t="str">
        <f t="shared" si="159"/>
        <v/>
      </c>
      <c r="AC419" s="1365" t="str">
        <f t="shared" si="160"/>
        <v/>
      </c>
      <c r="AD419" s="1365" t="str">
        <f t="shared" si="161"/>
        <v/>
      </c>
      <c r="AE419" s="1365" t="str">
        <f t="shared" si="162"/>
        <v/>
      </c>
      <c r="AF419" s="1365" t="str">
        <f t="shared" si="163"/>
        <v/>
      </c>
      <c r="AG419" s="1467" t="str">
        <f t="shared" si="164"/>
        <v/>
      </c>
      <c r="AH419" s="1467" t="str">
        <f t="shared" si="165"/>
        <v/>
      </c>
    </row>
    <row r="420" spans="2:34">
      <c r="B420" s="1311"/>
      <c r="C420" s="61" t="s">
        <v>6903</v>
      </c>
      <c r="D420" s="61"/>
      <c r="E420" s="62" t="s">
        <v>6904</v>
      </c>
      <c r="F420" s="1676" t="s">
        <v>6905</v>
      </c>
      <c r="G420" s="63" t="str">
        <f ca="1">IF(AND(CharacterLevel&gt;0,M178&gt;0,OR(Skills!F30="Yes",Skills!G30="Yes")),"Yes","No")</f>
        <v>No</v>
      </c>
      <c r="H420" s="76"/>
      <c r="I420" s="1322"/>
      <c r="J420" s="1322"/>
      <c r="K420" s="1322"/>
      <c r="L420" s="63" t="str">
        <f t="shared" ca="1" si="166"/>
        <v>No</v>
      </c>
      <c r="M420" s="63">
        <f t="shared" ca="1" si="167"/>
        <v>0</v>
      </c>
      <c r="N420" s="63" t="s">
        <v>6954</v>
      </c>
      <c r="O420" s="64"/>
      <c r="AB420" s="1566" t="str">
        <f t="shared" si="159"/>
        <v/>
      </c>
      <c r="AC420" s="1365" t="str">
        <f t="shared" si="160"/>
        <v/>
      </c>
      <c r="AD420" s="1365" t="str">
        <f t="shared" si="161"/>
        <v/>
      </c>
      <c r="AE420" s="1365" t="str">
        <f t="shared" si="162"/>
        <v/>
      </c>
      <c r="AF420" s="1365" t="str">
        <f t="shared" si="163"/>
        <v/>
      </c>
      <c r="AG420" s="1467" t="str">
        <f t="shared" si="164"/>
        <v/>
      </c>
      <c r="AH420" s="1467" t="str">
        <f t="shared" si="165"/>
        <v/>
      </c>
    </row>
    <row r="421" spans="2:34">
      <c r="B421" s="1311"/>
      <c r="C421" s="61" t="s">
        <v>6906</v>
      </c>
      <c r="D421" s="61"/>
      <c r="E421" s="62" t="s">
        <v>6907</v>
      </c>
      <c r="F421" s="1676" t="s">
        <v>6908</v>
      </c>
      <c r="G421" s="63" t="str">
        <f ca="1">IF(AND(CharacterLevel&gt;0,M178&gt;0,DualWeap1&gt;0),"Yes","No")</f>
        <v>No</v>
      </c>
      <c r="H421" s="76"/>
      <c r="I421" s="1322"/>
      <c r="J421" s="1322"/>
      <c r="K421" s="1322"/>
      <c r="L421" s="63" t="str">
        <f t="shared" ca="1" si="166"/>
        <v>No</v>
      </c>
      <c r="M421" s="63">
        <f t="shared" ca="1" si="167"/>
        <v>0</v>
      </c>
      <c r="N421" s="63" t="s">
        <v>6954</v>
      </c>
      <c r="O421" s="64"/>
      <c r="AB421" s="1566" t="str">
        <f t="shared" si="159"/>
        <v/>
      </c>
      <c r="AC421" s="1365" t="str">
        <f t="shared" si="160"/>
        <v/>
      </c>
      <c r="AD421" s="1365" t="str">
        <f t="shared" si="161"/>
        <v/>
      </c>
      <c r="AE421" s="1365" t="str">
        <f t="shared" si="162"/>
        <v/>
      </c>
      <c r="AF421" s="1365" t="str">
        <f t="shared" si="163"/>
        <v/>
      </c>
      <c r="AG421" s="1467" t="str">
        <f t="shared" si="164"/>
        <v/>
      </c>
      <c r="AH421" s="1467" t="str">
        <f t="shared" si="165"/>
        <v/>
      </c>
    </row>
    <row r="422" spans="2:34">
      <c r="B422" s="1311"/>
      <c r="C422" s="61" t="s">
        <v>6909</v>
      </c>
      <c r="D422" s="61"/>
      <c r="E422" s="62" t="s">
        <v>6910</v>
      </c>
      <c r="F422" s="1676" t="s">
        <v>6911</v>
      </c>
      <c r="G422" s="63" t="str">
        <f ca="1">IF(AND(CharacterLevel&gt;0,M178&gt;0,M269&gt;0),"Yes","No")</f>
        <v>No</v>
      </c>
      <c r="H422" s="76"/>
      <c r="I422" s="1322"/>
      <c r="J422" s="1322"/>
      <c r="K422" s="1322"/>
      <c r="L422" s="63" t="str">
        <f t="shared" ca="1" si="166"/>
        <v>No</v>
      </c>
      <c r="M422" s="63">
        <f t="shared" ca="1" si="167"/>
        <v>0</v>
      </c>
      <c r="N422" s="63" t="s">
        <v>6954</v>
      </c>
      <c r="O422" s="64"/>
      <c r="AB422" s="1566" t="str">
        <f t="shared" si="159"/>
        <v/>
      </c>
      <c r="AC422" s="1365" t="str">
        <f t="shared" si="160"/>
        <v/>
      </c>
      <c r="AD422" s="1365" t="str">
        <f t="shared" si="161"/>
        <v/>
      </c>
      <c r="AE422" s="1365" t="str">
        <f t="shared" si="162"/>
        <v/>
      </c>
      <c r="AF422" s="1365" t="str">
        <f t="shared" si="163"/>
        <v/>
      </c>
      <c r="AG422" s="1467" t="str">
        <f t="shared" si="164"/>
        <v/>
      </c>
      <c r="AH422" s="1467" t="str">
        <f t="shared" si="165"/>
        <v/>
      </c>
    </row>
    <row r="423" spans="2:34">
      <c r="B423" s="1311"/>
      <c r="C423" s="61" t="s">
        <v>6912</v>
      </c>
      <c r="D423" s="61"/>
      <c r="E423" s="62" t="s">
        <v>6913</v>
      </c>
      <c r="F423" s="1676" t="s">
        <v>6914</v>
      </c>
      <c r="G423" s="63" t="str">
        <f ca="1">IF(AND(CharacterLevel&gt;0,M178&gt;0,M74&gt;0,OR(Skills!F16="Yes",Skills!G16="Yes")),"Yes","No")</f>
        <v>No</v>
      </c>
      <c r="H423" s="76"/>
      <c r="I423" s="1322"/>
      <c r="J423" s="1322"/>
      <c r="K423" s="1322"/>
      <c r="L423" s="63" t="str">
        <f t="shared" ca="1" si="166"/>
        <v>No</v>
      </c>
      <c r="M423" s="63">
        <f t="shared" ca="1" si="167"/>
        <v>0</v>
      </c>
      <c r="N423" s="63" t="s">
        <v>6955</v>
      </c>
      <c r="O423" s="64"/>
      <c r="AB423" s="1566" t="str">
        <f t="shared" si="159"/>
        <v/>
      </c>
      <c r="AC423" s="1365" t="str">
        <f t="shared" si="160"/>
        <v/>
      </c>
      <c r="AD423" s="1365" t="str">
        <f t="shared" si="161"/>
        <v/>
      </c>
      <c r="AE423" s="1365" t="str">
        <f t="shared" si="162"/>
        <v/>
      </c>
      <c r="AF423" s="1365" t="str">
        <f t="shared" si="163"/>
        <v/>
      </c>
      <c r="AG423" s="1467" t="str">
        <f t="shared" si="164"/>
        <v/>
      </c>
      <c r="AH423" s="1467" t="str">
        <f t="shared" si="165"/>
        <v/>
      </c>
    </row>
    <row r="424" spans="2:34">
      <c r="B424" s="1311"/>
      <c r="C424" s="61" t="s">
        <v>6915</v>
      </c>
      <c r="D424" s="61"/>
      <c r="E424" s="62" t="s">
        <v>6916</v>
      </c>
      <c r="F424" s="1676" t="s">
        <v>6917</v>
      </c>
      <c r="G424" s="63" t="str">
        <f ca="1">IF(AND(CharacterLevel&gt;0,M178&gt;0,Strength&gt;=13),"Yes","No")</f>
        <v>No</v>
      </c>
      <c r="H424" s="76"/>
      <c r="I424" s="1322"/>
      <c r="J424" s="1322"/>
      <c r="K424" s="1322"/>
      <c r="L424" s="63" t="str">
        <f t="shared" ca="1" si="166"/>
        <v>No</v>
      </c>
      <c r="M424" s="63">
        <f t="shared" ca="1" si="167"/>
        <v>0</v>
      </c>
      <c r="N424" s="63" t="s">
        <v>6955</v>
      </c>
      <c r="O424" s="64"/>
      <c r="AB424" s="1566" t="str">
        <f t="shared" si="159"/>
        <v/>
      </c>
      <c r="AC424" s="1365" t="str">
        <f t="shared" si="160"/>
        <v/>
      </c>
      <c r="AD424" s="1365" t="str">
        <f t="shared" si="161"/>
        <v/>
      </c>
      <c r="AE424" s="1365" t="str">
        <f t="shared" si="162"/>
        <v/>
      </c>
      <c r="AF424" s="1365" t="str">
        <f t="shared" si="163"/>
        <v/>
      </c>
      <c r="AG424" s="1467" t="str">
        <f t="shared" si="164"/>
        <v/>
      </c>
      <c r="AH424" s="1467" t="str">
        <f t="shared" si="165"/>
        <v/>
      </c>
    </row>
    <row r="425" spans="2:34">
      <c r="B425" s="1311"/>
      <c r="C425" s="61" t="s">
        <v>6918</v>
      </c>
      <c r="D425" s="61"/>
      <c r="E425" s="62" t="s">
        <v>6919</v>
      </c>
      <c r="F425" s="1676" t="s">
        <v>6920</v>
      </c>
      <c r="G425" s="63" t="str">
        <f ca="1">IF(AND(CharacterLevel&gt;0,M178&gt;0,Constitution&gt;=13,Race="Wookiee"),"Yes","No")</f>
        <v>No</v>
      </c>
      <c r="H425" s="76"/>
      <c r="I425" s="1322"/>
      <c r="J425" s="1322"/>
      <c r="K425" s="1322"/>
      <c r="L425" s="63" t="str">
        <f t="shared" ca="1" si="166"/>
        <v>No</v>
      </c>
      <c r="M425" s="63">
        <f t="shared" ca="1" si="167"/>
        <v>0</v>
      </c>
      <c r="N425" s="63" t="s">
        <v>6955</v>
      </c>
      <c r="O425" s="64"/>
      <c r="AB425" s="1566" t="str">
        <f>IF(OR(H425&lt;&gt;"",I425&lt;&gt;"",J425&lt;&gt;"",K425&lt;&gt;""),C425&amp;IF(D425&lt;&gt;""," ("&amp;D425&amp;")",""),"")</f>
        <v/>
      </c>
      <c r="AC425" s="1365" t="str">
        <f>IF(AB425&lt;&gt;"",AB425&amp;";"&amp;AC430,AC430)</f>
        <v/>
      </c>
      <c r="AD425" s="1365" t="str">
        <f>IF(AB425&lt;&gt;"",N425&amp;";"&amp;AD430,AD430)</f>
        <v/>
      </c>
      <c r="AE425" s="1365" t="str">
        <f>IF(AB425&lt;&gt;"",IF(R425="Att Options",AB425&amp;IF(AE430&lt;&gt;"",", ",""),"")&amp;AE430,AE430)</f>
        <v/>
      </c>
      <c r="AF425" s="1365" t="str">
        <f>IF(AB425&lt;&gt;"",IF(R425="Special Actions",AB425&amp;IF(AF430&lt;&gt;"",", ",""),"")&amp;AF430,AF430)</f>
        <v/>
      </c>
      <c r="AG425" s="1467" t="str">
        <f>IF(AB425&lt;&gt;"",IF(R425="Defenses",AB425&amp;IF(AG430&lt;&gt;"",", ",""),"")&amp;AG430,AG430)</f>
        <v/>
      </c>
      <c r="AH425" s="1467" t="str">
        <f>IF(AB425&lt;&gt;"",IF(R425="Speed",AB425&amp;IF(AH430&lt;&gt;"",", ",""),"")&amp;AH430,AH430)</f>
        <v/>
      </c>
    </row>
    <row r="426" spans="2:34" ht="15" thickBot="1">
      <c r="B426" s="65"/>
      <c r="C426" s="66"/>
      <c r="D426" s="66"/>
      <c r="E426" s="67"/>
      <c r="F426" s="1677"/>
      <c r="G426" s="68"/>
      <c r="H426" s="68"/>
      <c r="I426" s="68"/>
      <c r="J426" s="68"/>
      <c r="K426" s="68"/>
      <c r="L426" s="68"/>
      <c r="M426" s="68"/>
      <c r="N426" s="68"/>
      <c r="O426" s="69"/>
    </row>
    <row r="427" spans="2:34" ht="15" thickBot="1">
      <c r="F427" s="1678"/>
    </row>
    <row r="428" spans="2:34">
      <c r="B428" s="1306"/>
      <c r="C428" s="1307"/>
      <c r="D428" s="1307"/>
      <c r="E428" s="1308"/>
      <c r="F428" s="1679"/>
      <c r="G428" s="1309"/>
      <c r="H428" s="1309"/>
      <c r="I428" s="1309"/>
      <c r="J428" s="1309"/>
      <c r="K428" s="1309"/>
      <c r="L428" s="1309"/>
      <c r="M428" s="1309"/>
      <c r="N428" s="1309"/>
      <c r="O428" s="1310"/>
    </row>
    <row r="429" spans="2:34">
      <c r="B429" s="1311"/>
      <c r="C429" s="920" t="s">
        <v>6952</v>
      </c>
      <c r="D429" s="920"/>
      <c r="E429" s="1367" t="s">
        <v>2256</v>
      </c>
      <c r="F429" s="1675" t="s">
        <v>56</v>
      </c>
      <c r="G429" s="63"/>
      <c r="H429" s="63"/>
      <c r="I429" s="63"/>
      <c r="J429" s="63"/>
      <c r="K429" s="63"/>
      <c r="L429" s="63"/>
      <c r="M429" s="63"/>
      <c r="N429" s="63"/>
      <c r="O429" s="64"/>
      <c r="AB429" s="1566" t="str">
        <f t="shared" ref="AB429:AB442" si="168">IF(OR(H429&lt;&gt;"",I429&lt;&gt;"",J429&lt;&gt;"",K429&lt;&gt;""),C429&amp;IF(D429&lt;&gt;""," ("&amp;D429&amp;")",""),"")</f>
        <v/>
      </c>
      <c r="AC429" s="1365" t="str">
        <f t="shared" ref="AC429:AC442" si="169">IF(AB429&lt;&gt;"",AB429&amp;";"&amp;AC430,AC430)</f>
        <v/>
      </c>
      <c r="AD429" s="1365" t="str">
        <f t="shared" ref="AD429:AD442" si="170">IF(AB429&lt;&gt;"",N429&amp;";"&amp;AD430,AD430)</f>
        <v/>
      </c>
      <c r="AE429" s="1365" t="str">
        <f t="shared" ref="AE429:AE442" si="171">IF(AB429&lt;&gt;"",IF(R429="Att Options",AB429&amp;IF(AE430&lt;&gt;"",", ",""),"")&amp;AE430,AE430)</f>
        <v/>
      </c>
      <c r="AF429" s="1365" t="str">
        <f t="shared" ref="AF429:AF442" si="172">IF(AB429&lt;&gt;"",IF(R429="Special Actions",AB429&amp;IF(AF430&lt;&gt;"",", ",""),"")&amp;AF430,AF430)</f>
        <v/>
      </c>
      <c r="AG429" s="1467" t="str">
        <f t="shared" ref="AG429:AG442" si="173">IF(AB429&lt;&gt;"",IF(R429="Defenses",AB429&amp;IF(AG430&lt;&gt;"",", ",""),"")&amp;AG430,AG430)</f>
        <v/>
      </c>
      <c r="AH429" s="1467" t="str">
        <f t="shared" ref="AH429:AH442" si="174">IF(AB429&lt;&gt;"",IF(R429="Speed",AB429&amp;IF(AH430&lt;&gt;"",", ",""),"")&amp;AH430,AH430)</f>
        <v/>
      </c>
    </row>
    <row r="430" spans="2:34">
      <c r="B430" s="1311"/>
      <c r="C430" s="61" t="s">
        <v>6921</v>
      </c>
      <c r="D430" s="61"/>
      <c r="E430" s="62" t="s">
        <v>6922</v>
      </c>
      <c r="F430" s="1676" t="s">
        <v>6923</v>
      </c>
      <c r="G430" s="63" t="str">
        <f>IF(OR(Skills!F32="Yes",Skills!G32="Yes",Skills!Q32="TRUE"),"Yes","No")</f>
        <v>No</v>
      </c>
      <c r="H430" s="76"/>
      <c r="I430" s="1322"/>
      <c r="J430" s="1322"/>
      <c r="K430" s="1322"/>
      <c r="L430" s="63" t="str">
        <f t="shared" ref="L430:L442" si="175">IF(AND(G430="Yes",OR(H430&lt;&gt;"",I430&lt;&gt;"",J430&lt;&gt;"",K430&lt;&gt;"")),"Yes","No")</f>
        <v>No</v>
      </c>
      <c r="M430" s="63">
        <f t="shared" ref="M430:M442" si="176">IF(L430="Yes",1,0)</f>
        <v>0</v>
      </c>
      <c r="N430" s="63" t="s">
        <v>6955</v>
      </c>
      <c r="O430" s="64"/>
      <c r="AB430" s="1566" t="str">
        <f t="shared" si="168"/>
        <v/>
      </c>
      <c r="AC430" s="1365" t="str">
        <f t="shared" si="169"/>
        <v/>
      </c>
      <c r="AD430" s="1365" t="str">
        <f t="shared" si="170"/>
        <v/>
      </c>
      <c r="AE430" s="1365" t="str">
        <f t="shared" si="171"/>
        <v/>
      </c>
      <c r="AF430" s="1365" t="str">
        <f t="shared" si="172"/>
        <v/>
      </c>
      <c r="AG430" s="1467" t="str">
        <f t="shared" si="173"/>
        <v/>
      </c>
      <c r="AH430" s="1467" t="str">
        <f t="shared" si="174"/>
        <v/>
      </c>
    </row>
    <row r="431" spans="2:34">
      <c r="B431" s="1311"/>
      <c r="C431" s="61" t="s">
        <v>6924</v>
      </c>
      <c r="D431" s="61"/>
      <c r="E431" s="62" t="s">
        <v>6925</v>
      </c>
      <c r="F431" s="1676" t="s">
        <v>6926</v>
      </c>
      <c r="G431" s="63" t="str">
        <f>IF(OR(Skills!F12="Yes",Skills!G12="Yes",Skills!Q12="TRUE"),"Yes","No")</f>
        <v>No</v>
      </c>
      <c r="H431" s="76"/>
      <c r="I431" s="1322"/>
      <c r="J431" s="1322"/>
      <c r="K431" s="1322"/>
      <c r="L431" s="63" t="str">
        <f t="shared" si="175"/>
        <v>No</v>
      </c>
      <c r="M431" s="63">
        <f t="shared" si="176"/>
        <v>0</v>
      </c>
      <c r="N431" s="63" t="s">
        <v>6955</v>
      </c>
      <c r="O431" s="64"/>
      <c r="AB431" s="1566" t="str">
        <f t="shared" si="168"/>
        <v/>
      </c>
      <c r="AC431" s="1365" t="str">
        <f t="shared" si="169"/>
        <v/>
      </c>
      <c r="AD431" s="1365" t="str">
        <f t="shared" si="170"/>
        <v/>
      </c>
      <c r="AE431" s="1365" t="str">
        <f t="shared" si="171"/>
        <v/>
      </c>
      <c r="AF431" s="1365" t="str">
        <f t="shared" si="172"/>
        <v/>
      </c>
      <c r="AG431" s="1467" t="str">
        <f t="shared" si="173"/>
        <v/>
      </c>
      <c r="AH431" s="1467" t="str">
        <f t="shared" si="174"/>
        <v/>
      </c>
    </row>
    <row r="432" spans="2:34">
      <c r="B432" s="1311"/>
      <c r="C432" s="61" t="s">
        <v>6927</v>
      </c>
      <c r="D432" s="61"/>
      <c r="E432" s="62" t="s">
        <v>2271</v>
      </c>
      <c r="F432" s="1676" t="s">
        <v>6928</v>
      </c>
      <c r="G432" s="63" t="str">
        <f>IF(OR(Skills!F30="Yes",Skills!G30="Yes",Skills!Q30="TRUE"),"Yes","No")</f>
        <v>No</v>
      </c>
      <c r="H432" s="76"/>
      <c r="I432" s="1322"/>
      <c r="J432" s="1322"/>
      <c r="K432" s="1322"/>
      <c r="L432" s="63" t="str">
        <f t="shared" si="175"/>
        <v>No</v>
      </c>
      <c r="M432" s="63">
        <f t="shared" si="176"/>
        <v>0</v>
      </c>
      <c r="N432" s="63" t="s">
        <v>6955</v>
      </c>
      <c r="O432" s="64"/>
      <c r="AB432" s="1566" t="str">
        <f t="shared" si="168"/>
        <v/>
      </c>
      <c r="AC432" s="1365" t="str">
        <f t="shared" si="169"/>
        <v/>
      </c>
      <c r="AD432" s="1365" t="str">
        <f t="shared" si="170"/>
        <v/>
      </c>
      <c r="AE432" s="1365" t="str">
        <f t="shared" si="171"/>
        <v/>
      </c>
      <c r="AF432" s="1365" t="str">
        <f t="shared" si="172"/>
        <v/>
      </c>
      <c r="AG432" s="1467" t="str">
        <f t="shared" si="173"/>
        <v/>
      </c>
      <c r="AH432" s="1467" t="str">
        <f t="shared" si="174"/>
        <v/>
      </c>
    </row>
    <row r="433" spans="2:35">
      <c r="B433" s="1311"/>
      <c r="C433" s="61" t="s">
        <v>6929</v>
      </c>
      <c r="D433" s="61"/>
      <c r="E433" s="62" t="s">
        <v>2334</v>
      </c>
      <c r="F433" s="1676" t="s">
        <v>6930</v>
      </c>
      <c r="G433" s="63" t="str">
        <f>IF(OR(Skills!F33="Yes",Skills!G33="Yes",Skills!Q33="TRUE"),"Yes","No")</f>
        <v>No</v>
      </c>
      <c r="H433" s="76"/>
      <c r="I433" s="1322"/>
      <c r="J433" s="1322"/>
      <c r="K433" s="1322"/>
      <c r="L433" s="63" t="str">
        <f t="shared" si="175"/>
        <v>No</v>
      </c>
      <c r="M433" s="63">
        <f t="shared" si="176"/>
        <v>0</v>
      </c>
      <c r="N433" s="63" t="s">
        <v>6956</v>
      </c>
      <c r="O433" s="64"/>
      <c r="AB433" s="1566" t="str">
        <f t="shared" si="168"/>
        <v/>
      </c>
      <c r="AC433" s="1365" t="str">
        <f t="shared" si="169"/>
        <v/>
      </c>
      <c r="AD433" s="1365" t="str">
        <f t="shared" si="170"/>
        <v/>
      </c>
      <c r="AE433" s="1365" t="str">
        <f t="shared" si="171"/>
        <v/>
      </c>
      <c r="AF433" s="1365" t="str">
        <f t="shared" si="172"/>
        <v/>
      </c>
      <c r="AG433" s="1467" t="str">
        <f t="shared" si="173"/>
        <v/>
      </c>
      <c r="AH433" s="1467" t="str">
        <f t="shared" si="174"/>
        <v/>
      </c>
    </row>
    <row r="434" spans="2:35">
      <c r="B434" s="1311"/>
      <c r="C434" s="61" t="s">
        <v>6931</v>
      </c>
      <c r="D434" s="61"/>
      <c r="E434" s="62" t="s">
        <v>6932</v>
      </c>
      <c r="F434" s="1676" t="s">
        <v>6933</v>
      </c>
      <c r="G434" s="63" t="str">
        <f>IF(OR(Skills!F29="Yes",Skills!G29="Yes",Skills!Q29="TRUE"),"Yes","No")</f>
        <v>No</v>
      </c>
      <c r="H434" s="76"/>
      <c r="I434" s="1322"/>
      <c r="J434" s="1322"/>
      <c r="K434" s="1322"/>
      <c r="L434" s="63" t="str">
        <f t="shared" si="175"/>
        <v>No</v>
      </c>
      <c r="M434" s="63">
        <f t="shared" si="176"/>
        <v>0</v>
      </c>
      <c r="N434" s="63" t="s">
        <v>6956</v>
      </c>
      <c r="O434" s="64"/>
      <c r="AB434" s="1566" t="str">
        <f t="shared" si="168"/>
        <v/>
      </c>
      <c r="AC434" s="1365" t="str">
        <f t="shared" si="169"/>
        <v/>
      </c>
      <c r="AD434" s="1365" t="str">
        <f t="shared" si="170"/>
        <v/>
      </c>
      <c r="AE434" s="1365" t="str">
        <f t="shared" si="171"/>
        <v/>
      </c>
      <c r="AF434" s="1365" t="str">
        <f t="shared" si="172"/>
        <v/>
      </c>
      <c r="AG434" s="1467" t="str">
        <f t="shared" si="173"/>
        <v/>
      </c>
      <c r="AH434" s="1467" t="str">
        <f t="shared" si="174"/>
        <v/>
      </c>
    </row>
    <row r="435" spans="2:35">
      <c r="B435" s="1311"/>
      <c r="C435" s="61" t="s">
        <v>6934</v>
      </c>
      <c r="D435" s="61"/>
      <c r="E435" s="62" t="s">
        <v>2266</v>
      </c>
      <c r="F435" s="1676" t="s">
        <v>6935</v>
      </c>
      <c r="G435" s="63" t="str">
        <f>IF(OR(Skills!F11="Yes",Skills!G11="Yes",Skills!Q11="TRUE"),"Yes","No")</f>
        <v>No</v>
      </c>
      <c r="H435" s="76"/>
      <c r="I435" s="1322"/>
      <c r="J435" s="1322"/>
      <c r="K435" s="1322"/>
      <c r="L435" s="63" t="str">
        <f t="shared" si="175"/>
        <v>No</v>
      </c>
      <c r="M435" s="63">
        <f t="shared" si="176"/>
        <v>0</v>
      </c>
      <c r="N435" s="63" t="s">
        <v>6956</v>
      </c>
      <c r="O435" s="64"/>
      <c r="AB435" s="1566" t="str">
        <f t="shared" si="168"/>
        <v/>
      </c>
      <c r="AC435" s="1365" t="str">
        <f t="shared" si="169"/>
        <v/>
      </c>
      <c r="AD435" s="1365" t="str">
        <f t="shared" si="170"/>
        <v/>
      </c>
      <c r="AE435" s="1365" t="str">
        <f t="shared" si="171"/>
        <v/>
      </c>
      <c r="AF435" s="1365" t="str">
        <f t="shared" si="172"/>
        <v/>
      </c>
      <c r="AG435" s="1467" t="str">
        <f t="shared" si="173"/>
        <v/>
      </c>
      <c r="AH435" s="1467" t="str">
        <f t="shared" si="174"/>
        <v/>
      </c>
    </row>
    <row r="436" spans="2:35">
      <c r="B436" s="1311"/>
      <c r="C436" s="61" t="s">
        <v>6936</v>
      </c>
      <c r="D436" s="61"/>
      <c r="E436" s="62" t="s">
        <v>6937</v>
      </c>
      <c r="F436" s="1676" t="s">
        <v>6938</v>
      </c>
      <c r="G436" s="63" t="str">
        <f>IF(OR(Skills!F34="Yes",Skills!G34="Yes",Skills!Q34="TRUE"),"Yes","No")</f>
        <v>No</v>
      </c>
      <c r="H436" s="76"/>
      <c r="I436" s="1322"/>
      <c r="J436" s="1322"/>
      <c r="K436" s="1322"/>
      <c r="L436" s="63" t="str">
        <f t="shared" si="175"/>
        <v>No</v>
      </c>
      <c r="M436" s="63">
        <f t="shared" si="176"/>
        <v>0</v>
      </c>
      <c r="N436" s="63" t="s">
        <v>6956</v>
      </c>
      <c r="O436" s="64"/>
      <c r="AB436" s="1566" t="str">
        <f t="shared" si="168"/>
        <v/>
      </c>
      <c r="AC436" s="1365" t="str">
        <f t="shared" si="169"/>
        <v/>
      </c>
      <c r="AD436" s="1365" t="str">
        <f t="shared" si="170"/>
        <v/>
      </c>
      <c r="AE436" s="1365" t="str">
        <f t="shared" si="171"/>
        <v/>
      </c>
      <c r="AF436" s="1365" t="str">
        <f t="shared" si="172"/>
        <v/>
      </c>
      <c r="AG436" s="1467" t="str">
        <f t="shared" si="173"/>
        <v/>
      </c>
      <c r="AH436" s="1467" t="str">
        <f t="shared" si="174"/>
        <v/>
      </c>
    </row>
    <row r="437" spans="2:35">
      <c r="B437" s="1311"/>
      <c r="C437" s="61" t="s">
        <v>6939</v>
      </c>
      <c r="D437" s="61"/>
      <c r="E437" s="62" t="s">
        <v>2353</v>
      </c>
      <c r="F437" s="1676" t="s">
        <v>6940</v>
      </c>
      <c r="G437" s="63" t="str">
        <f>IF(OR(Skills!F25="Yes",Skills!G25="Yes",Skills!Q25="TRUE"),"Yes","No")</f>
        <v>No</v>
      </c>
      <c r="H437" s="76"/>
      <c r="I437" s="1322"/>
      <c r="J437" s="1322"/>
      <c r="K437" s="1322"/>
      <c r="L437" s="63" t="str">
        <f t="shared" si="175"/>
        <v>No</v>
      </c>
      <c r="M437" s="63">
        <f t="shared" si="176"/>
        <v>0</v>
      </c>
      <c r="N437" s="63" t="s">
        <v>6956</v>
      </c>
      <c r="O437" s="64"/>
      <c r="AB437" s="1566" t="str">
        <f t="shared" si="168"/>
        <v/>
      </c>
      <c r="AC437" s="1365" t="str">
        <f t="shared" si="169"/>
        <v/>
      </c>
      <c r="AD437" s="1365" t="str">
        <f t="shared" si="170"/>
        <v/>
      </c>
      <c r="AE437" s="1365" t="str">
        <f t="shared" si="171"/>
        <v/>
      </c>
      <c r="AF437" s="1365" t="str">
        <f t="shared" si="172"/>
        <v/>
      </c>
      <c r="AG437" s="1467" t="str">
        <f t="shared" si="173"/>
        <v/>
      </c>
      <c r="AH437" s="1467" t="str">
        <f t="shared" si="174"/>
        <v/>
      </c>
    </row>
    <row r="438" spans="2:35">
      <c r="B438" s="1311"/>
      <c r="C438" s="61" t="s">
        <v>6941</v>
      </c>
      <c r="D438" s="61"/>
      <c r="E438" s="62" t="s">
        <v>2371</v>
      </c>
      <c r="F438" s="1676" t="s">
        <v>6942</v>
      </c>
      <c r="G438" s="63" t="str">
        <f>IF(OR(Skills!F14="Yes",Skills!G14="Yes",Skills!Q14="TRUE"),"Yes","No")</f>
        <v>No</v>
      </c>
      <c r="H438" s="76"/>
      <c r="I438" s="1322"/>
      <c r="J438" s="1322"/>
      <c r="K438" s="1322"/>
      <c r="L438" s="63" t="str">
        <f t="shared" si="175"/>
        <v>No</v>
      </c>
      <c r="M438" s="63">
        <f t="shared" si="176"/>
        <v>0</v>
      </c>
      <c r="N438" s="63" t="s">
        <v>6787</v>
      </c>
      <c r="O438" s="64"/>
      <c r="AB438" s="1566" t="str">
        <f t="shared" si="168"/>
        <v/>
      </c>
      <c r="AC438" s="1365" t="str">
        <f t="shared" si="169"/>
        <v/>
      </c>
      <c r="AD438" s="1365" t="str">
        <f t="shared" si="170"/>
        <v/>
      </c>
      <c r="AE438" s="1365" t="str">
        <f t="shared" si="171"/>
        <v/>
      </c>
      <c r="AF438" s="1365" t="str">
        <f t="shared" si="172"/>
        <v/>
      </c>
      <c r="AG438" s="1467" t="str">
        <f t="shared" si="173"/>
        <v/>
      </c>
      <c r="AH438" s="1467" t="str">
        <f t="shared" si="174"/>
        <v/>
      </c>
    </row>
    <row r="439" spans="2:35">
      <c r="B439" s="1311"/>
      <c r="C439" s="61" t="s">
        <v>6943</v>
      </c>
      <c r="D439" s="61"/>
      <c r="E439" s="62" t="s">
        <v>6668</v>
      </c>
      <c r="F439" s="1676" t="s">
        <v>6944</v>
      </c>
      <c r="G439" s="63" t="str">
        <f>IF(OR(Skills!F17="Yes",Skills!G17="Yes",Skills!Q17="TRUE"),"Yes","No")</f>
        <v>No</v>
      </c>
      <c r="H439" s="76"/>
      <c r="I439" s="1322"/>
      <c r="J439" s="1322"/>
      <c r="K439" s="1322"/>
      <c r="L439" s="63" t="str">
        <f t="shared" si="175"/>
        <v>No</v>
      </c>
      <c r="M439" s="63">
        <f t="shared" si="176"/>
        <v>0</v>
      </c>
      <c r="N439" s="63" t="s">
        <v>6787</v>
      </c>
      <c r="O439" s="64"/>
      <c r="AB439" s="1566" t="str">
        <f t="shared" si="168"/>
        <v/>
      </c>
      <c r="AC439" s="1365" t="str">
        <f t="shared" si="169"/>
        <v/>
      </c>
      <c r="AD439" s="1365" t="str">
        <f t="shared" si="170"/>
        <v/>
      </c>
      <c r="AE439" s="1365" t="str">
        <f t="shared" si="171"/>
        <v/>
      </c>
      <c r="AF439" s="1365" t="str">
        <f t="shared" si="172"/>
        <v/>
      </c>
      <c r="AG439" s="1467" t="str">
        <f t="shared" si="173"/>
        <v/>
      </c>
      <c r="AH439" s="1467" t="str">
        <f t="shared" si="174"/>
        <v/>
      </c>
    </row>
    <row r="440" spans="2:35">
      <c r="B440" s="1311"/>
      <c r="C440" s="61" t="s">
        <v>6945</v>
      </c>
      <c r="D440" s="61"/>
      <c r="E440" s="62" t="s">
        <v>2524</v>
      </c>
      <c r="F440" s="1676" t="s">
        <v>6946</v>
      </c>
      <c r="G440" s="63" t="str">
        <f>IF(OR(Skills!F28="Yes",Skills!G28="Yes",Skills!Q28="TRUE"),"Yes","No")</f>
        <v>No</v>
      </c>
      <c r="H440" s="76"/>
      <c r="I440" s="1322"/>
      <c r="J440" s="1322"/>
      <c r="K440" s="1322"/>
      <c r="L440" s="63" t="str">
        <f t="shared" si="175"/>
        <v>No</v>
      </c>
      <c r="M440" s="63">
        <f t="shared" si="176"/>
        <v>0</v>
      </c>
      <c r="N440" s="63" t="s">
        <v>6787</v>
      </c>
      <c r="O440" s="64"/>
      <c r="AB440" s="1566" t="str">
        <f t="shared" si="168"/>
        <v/>
      </c>
      <c r="AC440" s="1365" t="str">
        <f t="shared" si="169"/>
        <v/>
      </c>
      <c r="AD440" s="1365" t="str">
        <f t="shared" si="170"/>
        <v/>
      </c>
      <c r="AE440" s="1365" t="str">
        <f t="shared" si="171"/>
        <v/>
      </c>
      <c r="AF440" s="1365" t="str">
        <f t="shared" si="172"/>
        <v/>
      </c>
      <c r="AG440" s="1467" t="str">
        <f t="shared" si="173"/>
        <v/>
      </c>
      <c r="AH440" s="1467" t="str">
        <f t="shared" si="174"/>
        <v/>
      </c>
    </row>
    <row r="441" spans="2:35">
      <c r="B441" s="1311"/>
      <c r="C441" s="61" t="s">
        <v>6947</v>
      </c>
      <c r="D441" s="61"/>
      <c r="E441" s="62" t="s">
        <v>2423</v>
      </c>
      <c r="F441" s="1676" t="s">
        <v>6948</v>
      </c>
      <c r="G441" s="63" t="str">
        <f>IF(OR(Skills!F26="Yes",Skills!G26="Yes",Skills!Q26="TRUE"),"Yes","No")</f>
        <v>No</v>
      </c>
      <c r="H441" s="76"/>
      <c r="I441" s="1322"/>
      <c r="J441" s="1322"/>
      <c r="K441" s="1322"/>
      <c r="L441" s="63" t="str">
        <f t="shared" si="175"/>
        <v>No</v>
      </c>
      <c r="M441" s="63">
        <f t="shared" si="176"/>
        <v>0</v>
      </c>
      <c r="N441" s="63" t="s">
        <v>6787</v>
      </c>
      <c r="O441" s="64"/>
      <c r="AB441" s="1566" t="str">
        <f t="shared" si="168"/>
        <v/>
      </c>
      <c r="AC441" s="1365" t="str">
        <f t="shared" si="169"/>
        <v/>
      </c>
      <c r="AD441" s="1365" t="str">
        <f t="shared" si="170"/>
        <v/>
      </c>
      <c r="AE441" s="1365" t="str">
        <f t="shared" si="171"/>
        <v/>
      </c>
      <c r="AF441" s="1365" t="str">
        <f t="shared" si="172"/>
        <v/>
      </c>
      <c r="AG441" s="1467" t="str">
        <f t="shared" si="173"/>
        <v/>
      </c>
      <c r="AH441" s="1467" t="str">
        <f t="shared" si="174"/>
        <v/>
      </c>
    </row>
    <row r="442" spans="2:35">
      <c r="B442" s="1311"/>
      <c r="C442" s="61" t="s">
        <v>6949</v>
      </c>
      <c r="D442" s="61"/>
      <c r="E442" s="62" t="s">
        <v>6950</v>
      </c>
      <c r="F442" s="1676" t="s">
        <v>6951</v>
      </c>
      <c r="G442" s="63" t="str">
        <f>IF(OR(Skills!F31="Yes",Skills!G31="Yes",Skills!Q31="TRUE"),"Yes","No")</f>
        <v>No</v>
      </c>
      <c r="H442" s="76"/>
      <c r="I442" s="1322"/>
      <c r="J442" s="1322"/>
      <c r="K442" s="1322"/>
      <c r="L442" s="63" t="str">
        <f t="shared" si="175"/>
        <v>No</v>
      </c>
      <c r="M442" s="63">
        <f t="shared" si="176"/>
        <v>0</v>
      </c>
      <c r="N442" s="63" t="s">
        <v>6787</v>
      </c>
      <c r="O442" s="64"/>
      <c r="AB442" s="1566" t="str">
        <f t="shared" si="168"/>
        <v/>
      </c>
      <c r="AC442" s="1365" t="str">
        <f t="shared" si="169"/>
        <v/>
      </c>
      <c r="AD442" s="1365" t="str">
        <f t="shared" si="170"/>
        <v/>
      </c>
      <c r="AE442" s="1365" t="str">
        <f t="shared" si="171"/>
        <v/>
      </c>
      <c r="AF442" s="1365" t="str">
        <f t="shared" si="172"/>
        <v/>
      </c>
      <c r="AG442" s="1467" t="str">
        <f t="shared" si="173"/>
        <v/>
      </c>
      <c r="AH442" s="1467" t="str">
        <f t="shared" si="174"/>
        <v/>
      </c>
    </row>
    <row r="443" spans="2:35" ht="15" thickBot="1">
      <c r="B443" s="65"/>
      <c r="C443" s="66"/>
      <c r="D443" s="66"/>
      <c r="E443" s="67"/>
      <c r="F443" s="68"/>
      <c r="G443" s="68"/>
      <c r="H443" s="68"/>
      <c r="I443" s="68"/>
      <c r="J443" s="68"/>
      <c r="K443" s="68"/>
      <c r="L443" s="68"/>
      <c r="M443" s="68"/>
      <c r="N443" s="68"/>
      <c r="O443" s="69"/>
      <c r="AC443" s="1468" t="s">
        <v>195</v>
      </c>
      <c r="AD443" s="1468" t="s">
        <v>195</v>
      </c>
      <c r="AE443" s="1468" t="s">
        <v>195</v>
      </c>
      <c r="AF443" s="1468" t="s">
        <v>195</v>
      </c>
      <c r="AG443" s="1468" t="s">
        <v>195</v>
      </c>
      <c r="AH443" s="1468" t="s">
        <v>195</v>
      </c>
      <c r="AI443" s="1466" t="s">
        <v>195</v>
      </c>
    </row>
    <row r="445" spans="2:35">
      <c r="F445" s="52"/>
      <c r="G445" s="52"/>
    </row>
  </sheetData>
  <sortState xmlns:xlrd2="http://schemas.microsoft.com/office/spreadsheetml/2017/richdata2" ref="C9:AB361">
    <sortCondition ref="C379:C399"/>
  </sortState>
  <mergeCells count="12">
    <mergeCell ref="Y5:Y8"/>
    <mergeCell ref="Z5:Z8"/>
    <mergeCell ref="I6:I8"/>
    <mergeCell ref="J7:J8"/>
    <mergeCell ref="S5:S8"/>
    <mergeCell ref="T5:T8"/>
    <mergeCell ref="U5:U8"/>
    <mergeCell ref="H7:H8"/>
    <mergeCell ref="K7:K8"/>
    <mergeCell ref="V5:V8"/>
    <mergeCell ref="W5:W8"/>
    <mergeCell ref="X5:X8"/>
  </mergeCells>
  <conditionalFormatting sqref="I9:I361">
    <cfRule type="expression" dxfId="166" priority="50">
      <formula>AND(COUNTIF($T9:$Z9,"&gt;0"),$G9="Yes",$D$6&lt;&gt;0)</formula>
    </cfRule>
  </conditionalFormatting>
  <conditionalFormatting sqref="L366:M413 H366:H413 L418:M425 H418:H425 L430:M442 H430:H442">
    <cfRule type="expression" dxfId="165" priority="41">
      <formula>$L366&lt;&gt;"No"</formula>
    </cfRule>
    <cfRule type="expression" dxfId="164" priority="42">
      <formula>AND($D$5&lt;=0,$D$6&lt;=0)</formula>
    </cfRule>
    <cfRule type="expression" dxfId="163" priority="43">
      <formula>$G366="No"</formula>
    </cfRule>
  </conditionalFormatting>
  <conditionalFormatting sqref="AB425">
    <cfRule type="expression" dxfId="162" priority="29">
      <formula>$G425=""</formula>
    </cfRule>
  </conditionalFormatting>
  <conditionalFormatting sqref="C366:N413 C418:N425 C430:N442 C9:N361">
    <cfRule type="expression" dxfId="161" priority="32">
      <formula>$G9=""</formula>
    </cfRule>
    <cfRule type="expression" dxfId="160" priority="44">
      <formula>$L9&lt;&gt;"No"</formula>
    </cfRule>
    <cfRule type="expression" dxfId="159" priority="47">
      <formula>AND($D$5&lt;=0,$D$6&lt;=0)</formula>
    </cfRule>
    <cfRule type="expression" dxfId="158" priority="49">
      <formula>$G9="No"</formula>
    </cfRule>
  </conditionalFormatting>
  <conditionalFormatting sqref="AC425:AF425">
    <cfRule type="expression" dxfId="157" priority="71">
      <formula>$G425=""</formula>
    </cfRule>
  </conditionalFormatting>
  <dataValidations count="186">
    <dataValidation allowBlank="1" showInputMessage="1" showErrorMessage="1" prompt="Gain a +1 bonus on yourattack roll and deal +1 die damage when making a ranged attack against an adjacent target or a target in your fighting space." sqref="Q361" xr:uid="{00000000-0002-0000-0800-000000000000}"/>
    <dataValidation allowBlank="1" showInputMessage="1" showErrorMessage="1" prompt="Gain extra attack on a second target upon damaging the first target" sqref="Q353" xr:uid="{00000000-0002-0000-0800-000001000000}"/>
    <dataValidation allowBlank="1" showInputMessage="1" showErrorMessage="1" prompt="Make one melee attack against each opponent within reach" sqref="Q352" xr:uid="{00000000-0002-0000-0800-000002000000}"/>
    <dataValidation allowBlank="1" showInputMessage="1" showErrorMessage="1" prompt="Adjacent opponents cannot withdraw from squares which you threaten" sqref="Q355:Q359" xr:uid="{00000000-0002-0000-0800-000003000000}"/>
    <dataValidation type="list" allowBlank="1" showInputMessage="1" showErrorMessage="1" sqref="H366:H413 H293:I301 H9:I104 H430:H442 H418:H425 H165:H170 H172:H176 I165:I176 I122:I124 H123 H107:I121 I105:I106 H177:I289 H125:I164 H303:I361" xr:uid="{00000000-0002-0000-0800-000004000000}">
      <formula1>"Yes"</formula1>
    </dataValidation>
    <dataValidation allowBlank="1" showInputMessage="1" showErrorMessage="1" prompt="Recharge shields or reroute power on a vehide faster than normal." sqref="Q338" xr:uid="{00000000-0002-0000-0800-000005000000}"/>
    <dataValidation allowBlank="1" showInputMessage="1" showErrorMessage="1" prompt="Gain a +2 bonus to Fortitude Defense and Will Defense while fighting defensively." sqref="Q342" xr:uid="{00000000-0002-0000-0800-000006000000}"/>
    <dataValidation allowBlank="1" showInputMessage="1" showErrorMessage="1" prompt="Gain a +5 bonus to Will Defense against Deception and Persuasion checks." sqref="Q337" xr:uid="{00000000-0002-0000-0800-000007000000}"/>
    <dataValidation allowBlank="1" showInputMessage="1" showErrorMessage="1" prompt="Gain a +5 bonus to Fortitude Defense and Will Defense against any effect requiring a Use the Force check." sqref="Q335:Q336" xr:uid="{00000000-0002-0000-0800-000008000000}"/>
    <dataValidation allowBlank="1" showInputMessage="1" showErrorMessage="1" prompt="When you have cover against a enemy's ranged attacks, gain a + 1 bonus on attack rolls against that enemy." sqref="Q319" xr:uid="{00000000-0002-0000-0800-000009000000}"/>
    <dataValidation allowBlank="1" showInputMessage="1" showErrorMessage="1" prompt="You may use Unleashed abilities" sqref="Q333:Q334" xr:uid="{00000000-0002-0000-0800-00000A000000}"/>
    <dataValidation allowBlank="1" showInputMessage="1" showErrorMessage="1" prompt="Add your base attack bonus to the acrobatics DC to tumble through your threatened squares" sqref="Q331:Q332" xr:uid="{00000000-0002-0000-0800-00000B000000}"/>
    <dataValidation allowBlank="1" showInputMessage="1" showErrorMessage="1" prompt="You can make custom modifications to armor, weapons, vehicles, droids, and devices" sqref="Q314" xr:uid="{00000000-0002-0000-0800-00000C000000}"/>
    <dataValidation allowBlank="1" showInputMessage="1" showErrorMessage="1" prompt="Ignore -5 penalty on attack rolls with weapons of a particular type" sqref="Q346:Q351" xr:uid="{00000000-0002-0000-0800-00000D000000}"/>
    <dataValidation allowBlank="1" showInputMessage="1" showErrorMessage="1" prompt="+1 bonus on attack rolls with selected weapon" sqref="Q344:Q345" xr:uid="{00000000-0002-0000-0800-00000E000000}"/>
    <dataValidation allowBlank="1" showInputMessage="1" showErrorMessage="1" prompt="Use Dex modifier instead of Str modifier on attack rolls with light melee weapons and lightsabers" sqref="Q343" xr:uid="{00000000-0002-0000-0800-00000F000000}"/>
    <dataValidation allowBlank="1" showInputMessage="1" showErrorMessage="1" prompt="Negate one attack per round against the vehicle you're piloting" sqref="Q339:Q341" xr:uid="{00000000-0002-0000-0800-000010000000}"/>
    <dataValidation allowBlank="1" showInputMessage="1" showErrorMessage="1" prompt="Deal triple damage on a critical hit" sqref="Q329:Q330" xr:uid="{00000000-0002-0000-0800-000011000000}"/>
    <dataValidation allowBlank="1" showInputMessage="1" showErrorMessage="1" prompt="Make second extra attack during full attack, additional -5 penalty to all attacks" sqref="Q321:Q328" xr:uid="{00000000-0002-0000-0800-000012000000}"/>
    <dataValidation allowBlank="1" showInputMessage="1" showErrorMessage="1" prompt="Trip an opponent that you've grappled, knocking it prone" sqref="Q320" xr:uid="{00000000-0002-0000-0800-000013000000}"/>
    <dataValidation allowBlank="1" showInputMessage="1" showErrorMessage="1" prompt="Gain +1 hit point per character level" sqref="Q317" xr:uid="{00000000-0002-0000-0800-000014000000}"/>
    <dataValidation allowBlank="1" showInputMessage="1" showErrorMessage="1" prompt="Throw a grappled opponent up to 1 square beyond your reach and deal damage" sqref="Q315:Q316" xr:uid="{00000000-0002-0000-0800-000015000000}"/>
    <dataValidation type="list" allowBlank="1" showInputMessage="1" showErrorMessage="1" sqref="D329:D330 D344:D345" xr:uid="{00000000-0002-0000-0800-000016000000}">
      <formula1>WeaponGroupList</formula1>
    </dataValidation>
    <dataValidation allowBlank="1" showInputMessage="1" showErrorMessage="1" prompt="When using a weapon set on autofire, you can reduce the area to 1 square. " sqref="Q295" xr:uid="{00000000-0002-0000-0800-000017000000}"/>
    <dataValidation allowBlank="1" showInputMessage="1" showErrorMessage="1" prompt="Make an attack of opportunity and move 1 square" sqref="Q311" xr:uid="{00000000-0002-0000-0800-000018000000}"/>
    <dataValidation allowBlank="1" showInputMessage="1" showErrorMessage="1" prompt="Install superior equipment upgrades" sqref="Q307" xr:uid="{00000000-0002-0000-0800-000019000000}"/>
    <dataValidation allowBlank="1" showInputMessage="1" showErrorMessage="1" prompt="Move 1 step down the condition track to reduce damage" sqref="Q303:Q304" xr:uid="{00000000-0002-0000-0800-00001A000000}"/>
    <dataValidation allowBlank="1" showInputMessage="1" showErrorMessage="1" prompt="Forgo extra damage to push back opponent" sqref="Q298:Q299" xr:uid="{00000000-0002-0000-0800-00001B000000}"/>
    <dataValidation allowBlank="1" showInputMessage="1" showErrorMessage="1" prompt="Dodge two targets, withdraw at full speed" sqref="Q293:Q294" xr:uid="{00000000-0002-0000-0800-00001C000000}"/>
    <dataValidation allowBlank="1" showInputMessage="1" showErrorMessage="1" prompt="Take -5 penalty to Reflex Defense until your next turn to gain a +2 to ranged attack" sqref="Q297" xr:uid="{00000000-0002-0000-0800-00001D000000}"/>
    <dataValidation allowBlank="1" showInputMessage="1" showErrorMessage="1" prompt="You ignore soft cover when making a ranged attack" sqref="Q296" xr:uid="{00000000-0002-0000-0800-00001E000000}"/>
    <dataValidation type="whole" operator="greaterThan" allowBlank="1" showInputMessage="1" showErrorMessage="1" prompt="You become trained in one class skill_x000a__x000a_(Enter number of times taken)" sqref="Q291:Q292" xr:uid="{00000000-0002-0000-0800-00001F000000}">
      <formula1>0</formula1>
    </dataValidation>
    <dataValidation type="whole" operator="greaterThan" allowBlank="1" showInputMessage="1" showErrorMessage="1" prompt="Gain +5 competence bonus on skill checks with one trained skill_x000a__x000a_(Enter number of times taken)" sqref="Q290" xr:uid="{00000000-0002-0000-0800-000020000000}">
      <formula1>0</formula1>
    </dataValidation>
    <dataValidation allowBlank="1" showInputMessage="1" showErrorMessage="1" prompt="+1 to melee attack rolls for each adjacent ally" sqref="Q310" xr:uid="{00000000-0002-0000-0800-000021000000}"/>
    <dataValidation allowBlank="1" showInputMessage="1" showErrorMessage="1" prompt="You may attack a four square line with an autofire attack, or all of the squares you fly over with a jetpack" sqref="Q305" xr:uid="{00000000-0002-0000-0800-000022000000}"/>
    <dataValidation allowBlank="1" showInputMessage="1" showErrorMessage="1" prompt="Targets lower level than you must end their next turn in cover if you use aid another to impose a penalty on an their attack roll and exceed their Will Defense" sqref="Q308" xr:uid="{00000000-0002-0000-0800-000023000000}"/>
    <dataValidation allowBlank="1" showInputMessage="1" showErrorMessage="1" prompt="You regain all starship maneuvers at the end of any round you roll a natural 20 on an attack roll" sqref="Q312" xr:uid="{00000000-0002-0000-0800-000024000000}"/>
    <dataValidation allowBlank="1" showInputMessage="1" showErrorMessage="1" prompt="You are trained to design (and redesign) starships" sqref="Q301" xr:uid="{00000000-0002-0000-0800-000025000000}"/>
    <dataValidation allowBlank="1" showInputMessage="1" showErrorMessage="1" prompt="You can perform surgery in 10 minutes instead of 1 hour" sqref="Q309" xr:uid="{00000000-0002-0000-0800-000026000000}"/>
    <dataValidation allowBlank="1" showInputMessage="1" showErrorMessage="1" prompt="Roll d8s instead of d6s when you spend a Force Point" sqref="Q306" xr:uid="{00000000-0002-0000-0800-000027000000}"/>
    <dataValidation type="whole" operator="greaterThan" allowBlank="1" showInputMessage="1" showErrorMessage="1" prompt="Learn a number of starship maneuvers equal to 1 + your Wis modifier (minumum 1)_x000a__x000a_(Enter number of times taken)" sqref="Q302" xr:uid="{00000000-0002-0000-0800-000028000000}">
      <formula1>0</formula1>
    </dataValidation>
    <dataValidation type="whole" allowBlank="1" showInputMessage="1" showErrorMessage="1" sqref="H302:I302 H290:I292 H171 H124 H105:H106 H122" xr:uid="{00000000-0002-0000-0800-000029000000}">
      <formula1>1</formula1>
      <formula2>10</formula2>
    </dataValidation>
    <dataValidation type="list" allowBlank="1" showInputMessage="1" showErrorMessage="1" sqref="R9:R361" xr:uid="{00000000-0002-0000-0800-00002A000000}">
      <formula1>"Att Options,Special Actions,Defenses,Speed"</formula1>
    </dataValidation>
    <dataValidation allowBlank="1" showInputMessage="1" showErrorMessage="1" prompt="Once per encounter upon reducing an opponent to 0 hit points or deal damage exceeding their damage threshold, all enemies within six squares take a -2 to defenses until your next turn" sqref="Q286" xr:uid="{00000000-0002-0000-0800-00002B000000}"/>
    <dataValidation allowBlank="1" showInputMessage="1" showErrorMessage="1" prompt="Gain a +1 bonus on an attack roll while adjacent to an ally." sqref="Q281" xr:uid="{00000000-0002-0000-0800-00002C000000}"/>
    <dataValidation allowBlank="1" showInputMessage="1" showErrorMessage="1" prompt="If you hit your target with the first attack from a full attack, then you deal +1 die of damage for each other successful attack" sqref="Q271:Q278" xr:uid="{00000000-0002-0000-0800-00002D000000}"/>
    <dataValidation allowBlank="1" showInputMessage="1" showErrorMessage="1" prompt="Install two traits" sqref="Q284" xr:uid="{00000000-0002-0000-0800-00002E000000}"/>
    <dataValidation allowBlank="1" showInputMessage="1" showErrorMessage="1" prompt="Make a Perception check to retrieve 30 x your result's worth in raw materials from a vehicle or object for use in building an object with the build object application of Mechanics" sqref="Q279:Q280" xr:uid="{00000000-0002-0000-0800-00002F000000}"/>
    <dataValidation allowBlank="1" showInputMessage="1" showErrorMessage="1" prompt="Spend two swift actions to move +1 step along the condition track" sqref="Q282:Q283" xr:uid="{00000000-0002-0000-0800-000030000000}"/>
    <dataValidation allowBlank="1" showInputMessage="1" showErrorMessage="1" prompt="Gain bonus swift action when you catch your second wind" sqref="Q266:Q268" xr:uid="{00000000-0002-0000-0800-000031000000}"/>
    <dataValidation allowBlank="1" showInputMessage="1" showErrorMessage="1" prompt="Move before and after making an attack" sqref="Q269" xr:uid="{00000000-0002-0000-0800-000032000000}"/>
    <dataValidation allowBlank="1" showInputMessage="1" showErrorMessage="1" prompt="Once per encounter gain DR 10 against an incoming attack from which you have cover" sqref="Q264" xr:uid="{00000000-0002-0000-0800-000033000000}"/>
    <dataValidation allowBlank="1" showInputMessage="1" showErrorMessage="1" prompt="You may reroll a check for a Knowledge skill with which you are trained once per day and keep the better result" sqref="Q256:Q263 Q253:Q254" xr:uid="{00000000-0002-0000-0800-000034000000}"/>
    <dataValidation allowBlank="1" showInputMessage="1" showErrorMessage="1" prompt="Thrown razor bugs and thud bugs return to your hand immediately." sqref="Q247:Q248" xr:uid="{00000000-0002-0000-0800-000035000000}"/>
    <dataValidation allowBlank="1" showInputMessage="1" showErrorMessage="1" prompt="You may make a single ranged attack as a reaction to a ranged attack against you that misses." sqref="Q246" xr:uid="{00000000-0002-0000-0800-000036000000}"/>
    <dataValidation allowBlank="1" showInputMessage="1" showErrorMessage="1" prompt="Move an enemy -1 step down the condition track when using the Crush feat" sqref="Q244:Q245" xr:uid="{00000000-0002-0000-0800-000037000000}"/>
    <dataValidation allowBlank="1" showInputMessage="1" showErrorMessage="1" prompt="You may grab two opponents as a standard action." sqref="Q218:Q219" xr:uid="{00000000-0002-0000-0800-000038000000}"/>
    <dataValidation allowBlank="1" showInputMessage="1" showErrorMessage="1" prompt="Add half your Dark Side Score to Use the Force checks to resist detection." sqref="Q228" xr:uid="{00000000-0002-0000-0800-000039000000}"/>
    <dataValidation allowBlank="1" showInputMessage="1" showErrorMessage="1" prompt="Any attempt to negate your attack takes a -5 penaity on the attack roll or skill check." sqref="Q227" xr:uid="{00000000-0002-0000-0800-00003A000000}"/>
    <dataValidation allowBlank="1" showInputMessage="1" showErrorMessage="1" prompt="Sacrifice attack of opportunity to move at half speed" sqref="Q224:Q225" xr:uid="{00000000-0002-0000-0800-00003B000000}"/>
    <dataValidation allowBlank="1" showInputMessage="1" showErrorMessage="1" prompt="Change your size" sqref="Q185" xr:uid="{00000000-0002-0000-0800-00003C000000}"/>
    <dataValidation allowBlank="1" showInputMessage="1" showErrorMessage="1" prompt="Trade attack bonus on melee attacks for a dodge bonus to Reflex Defense" sqref="Q184" xr:uid="{00000000-0002-0000-0800-00003D000000}"/>
    <dataValidation allowBlank="1" showInputMessage="1" showErrorMessage="1" prompt="Grant an additional +2 bonus to a character you are helping with aid another" sqref="Q251:Q252" xr:uid="{00000000-0002-0000-0800-00003E000000}"/>
    <dataValidation allowBlank="1" showInputMessage="1" showErrorMessage="1" prompt="+4 to Strength checks and Strength-based skill checks whilst raging" sqref="Q238" xr:uid="{00000000-0002-0000-0800-00003F000000}"/>
    <dataValidation allowBlank="1" showInputMessage="1" showErrorMessage="1" prompt="Add your Strength as well as your Dexterity bonus to attack rolls with thrown weapons, and increase each range category by your Strength modifier" sqref="Q187:Q212" xr:uid="{00000000-0002-0000-0800-000040000000}"/>
    <dataValidation allowBlank="1" showInputMessage="1" showErrorMessage="1" prompt="Once per encounter, take 10 on any trained skill check when rushed, or take 20 in half the time" sqref="Q243" xr:uid="{00000000-0002-0000-0800-000041000000}"/>
    <dataValidation allowBlank="1" showInputMessage="1" showErrorMessage="1" prompt="Trade attack bonus for damage on ranged attacks (up to your base attack bonus)" sqref="Q236" xr:uid="{00000000-0002-0000-0800-000042000000}"/>
    <dataValidation allowBlank="1" showInputMessage="1" showErrorMessage="1" prompt="Gain +5 to Fortitude Defense against poison, and only take half damage from poisons" sqref="Q234" xr:uid="{00000000-0002-0000-0800-000043000000}"/>
    <dataValidation allowBlank="1" showInputMessage="1" showErrorMessage="1" prompt="Redirect successful attacks against you to hit your mount or vehicle instead once per encounter" sqref="Q216:Q217" xr:uid="{00000000-0002-0000-0800-000044000000}"/>
    <dataValidation allowBlank="1" showInputMessage="1" showErrorMessage="1" prompt="Gain one die of damage on mounted melee attacks if your mount or vehicle has moved its speed" sqref="Q214" xr:uid="{00000000-0002-0000-0800-000045000000}"/>
    <dataValidation allowBlank="1" showInputMessage="1" showErrorMessage="1" prompt="Take a -2 penalty on a melee attack roll to deal +1 die of damage" sqref="Q250" xr:uid="{00000000-0002-0000-0800-000046000000}"/>
    <dataValidation allowBlank="1" showInputMessage="1" showErrorMessage="1" prompt="Take a -2 penalty on a ranged attack roll to deal +1 die of damage" sqref="Q249" xr:uid="{00000000-0002-0000-0800-000047000000}"/>
    <dataValidation allowBlank="1" showInputMessage="1" showErrorMessage="1" prompt="Draw weapon as a swift action" sqref="Q242" xr:uid="{00000000-0002-0000-0800-000048000000}"/>
    <dataValidation allowBlank="1" showInputMessage="1" showErrorMessage="1" prompt="No -5 penalty for shooting into melee" sqref="Q239:Q241" xr:uid="{00000000-0002-0000-0800-000049000000}"/>
    <dataValidation allowBlank="1" showInputMessage="1" showErrorMessage="1" prompt="Gain +2 bonus on your attack roll while charging and deal extra damage" sqref="Q237" xr:uid="{00000000-0002-0000-0800-00004A000000}"/>
    <dataValidation allowBlank="1" showInputMessage="1" showErrorMessage="1" prompt="Trade attack bonus for damage on melee attacks (up to your base attack bonus)" sqref="Q235" xr:uid="{00000000-0002-0000-0800-00004B000000}"/>
    <dataValidation allowBlank="1" showInputMessage="1" showErrorMessage="1" prompt="+1 bonus on ranged attacks and damage against point blank foes" sqref="Q233" xr:uid="{00000000-0002-0000-0800-00004C000000}"/>
    <dataValidation allowBlank="1" showInputMessage="1" showErrorMessage="1" prompt="Grappled opponent is pinned for 1 round, can't move, and loses its Dexterity bonus to Reflex Defense" sqref="Q229:Q232" xr:uid="{00000000-0002-0000-0800-00004D000000}"/>
    <dataValidation allowBlank="1" showInputMessage="1" showErrorMessage="1" prompt="Gain +5 dodge bonus to Reflex Defense against some attacks of opportunity" sqref="Q213" xr:uid="{00000000-0002-0000-0800-00004E000000}"/>
    <dataValidation allowBlank="1" showInputMessage="1" showErrorMessage="1" prompt="Spend two swift actions to deal extra damage in melee" sqref="Q186" xr:uid="{00000000-0002-0000-0800-00004F000000}"/>
    <dataValidation allowBlank="1" showInputMessage="1" showErrorMessage="1" prompt="Increase damage from unarmed attacks by one die step; gain +1 dodge bonus to Reflex Defense" sqref="Q178:Q180 Q183" xr:uid="{00000000-0002-0000-0800-000050000000}"/>
    <dataValidation allowBlank="1" showInputMessage="1" showErrorMessage="1" prompt="You may knock two opponents' heads together after a successful multi-grab." sqref="Q168" xr:uid="{00000000-0002-0000-0800-000051000000}"/>
    <dataValidation allowBlank="1" showInputMessage="1" showErrorMessage="1" prompt="Allied droids benefit from your beneficial mind-affecting effects." sqref="Q169" xr:uid="{00000000-0002-0000-0800-000052000000}"/>
    <dataValidation allowBlank="1" showInputMessage="1" showErrorMessage="1" prompt="Gain one temporary Force Point when targeted by an ally's Force power or Force talent." sqref="Q166" xr:uid="{00000000-0002-0000-0800-000053000000}"/>
    <dataValidation allowBlank="1" showInputMessage="1" showErrorMessage="1" prompt="Draw and fire as a standard action" sqref="Q170" xr:uid="{00000000-0002-0000-0800-000054000000}"/>
    <dataValidation allowBlank="1" showInputMessage="1" showErrorMessage="1" prompt="Attack of opportunity with concealed weapon to greater effect" sqref="Q167" xr:uid="{00000000-0002-0000-0800-000055000000}"/>
    <dataValidation allowBlank="1" showInputMessage="1" showErrorMessage="1" prompt="You can use your Perception modifier to make Gather Information checks, and can make Gather Information checks with favorable circumstances in half the time" sqref="Q165 Q160" xr:uid="{00000000-0002-0000-0800-000056000000}"/>
    <dataValidation type="whole" operator="greaterThan" allowBlank="1" showInputMessage="1" showErrorMessage="1" prompt="Gain a +2 bonus to ranged attack and Will Defense when using Charging Fire" sqref="Q176" xr:uid="{00000000-0002-0000-0800-000057000000}">
      <formula1>0</formula1>
    </dataValidation>
    <dataValidation type="whole" operator="greaterThan" allowBlank="1" showInputMessage="1" showErrorMessage="1" prompt="Once per encounter, use aid another action to grant an ally +5 to attack" sqref="Q174:Q175" xr:uid="{00000000-0002-0000-0800-000058000000}">
      <formula1>0</formula1>
    </dataValidation>
    <dataValidation type="whole" operator="greaterThan" allowBlank="1" showInputMessage="1" showErrorMessage="1" prompt="Once per encounter as a reaction, gain a +2 morale bonus to a defense score until your next turn" sqref="Q172:Q173" xr:uid="{00000000-0002-0000-0800-000059000000}">
      <formula1>0</formula1>
    </dataValidation>
    <dataValidation type="whole" operator="greaterThan" allowBlank="1" showInputMessage="1" showErrorMessage="1" prompt="Gain bonus languages equal to 1 + your Int modifier (minimum 1)_x000a__x000a_(Enter number of times taken)" sqref="Q171" xr:uid="{00000000-0002-0000-0800-00005A000000}">
      <formula1>0</formula1>
    </dataValidation>
    <dataValidation allowBlank="1" showInputMessage="1" showErrorMessage="1" prompt="Withdraw faster when damaged" sqref="Q158" xr:uid="{00000000-0002-0000-0800-00005B000000}"/>
    <dataValidation allowBlank="1" showInputMessage="1" showErrorMessage="1" prompt="Increase Climb and Swim speeds and Jump distance by 2 squares and do not lose Dexterity bonus to Reflex Defense when climbing" sqref="Q159" xr:uid="{00000000-0002-0000-0800-00005C000000}"/>
    <dataValidation allowBlank="1" showInputMessage="1" showErrorMessage="1" prompt="Deception check to push opponent away" sqref="Q145 Q141" xr:uid="{00000000-0002-0000-0800-00005D000000}"/>
    <dataValidation allowBlank="1" showInputMessage="1" showErrorMessage="1" prompt="Move when you catch a second wind" sqref="Q147" xr:uid="{00000000-0002-0000-0800-00005E000000}"/>
    <dataValidation allowBlank="1" showInputMessage="1" showErrorMessage="1" prompt="Shapeshift to impersonate a specific person" sqref="Q146" xr:uid="{00000000-0002-0000-0800-00005F000000}"/>
    <dataValidation allowBlank="1" showInputMessage="1" showErrorMessage="1" prompt="You may move your opponent a number of squares from 2 to half your Strength modifier" sqref="Q149" xr:uid="{00000000-0002-0000-0800-000060000000}"/>
    <dataValidation allowBlank="1" showInputMessage="1" showErrorMessage="1" prompt="Take -5 to attack to gain +2 dice of damage with a light melee weapon or lightsaber" sqref="Q155" xr:uid="{00000000-0002-0000-0800-000061000000}"/>
    <dataValidation allowBlank="1" showInputMessage="1" showErrorMessage="1" prompt="You are not moved down the condition track an extra step by your implant" sqref="Q148" xr:uid="{00000000-0002-0000-0800-000062000000}"/>
    <dataValidation allowBlank="1" showInputMessage="1" showErrorMessage="1" prompt="Gain +5 bonus on melee attacks to disarm an opponent" sqref="Q153" xr:uid="{00000000-0002-0000-0800-000063000000}"/>
    <dataValidation allowBlank="1" showInputMessage="1" showErrorMessage="1" prompt="Gain +1 bonus to all defenses" sqref="Q152" xr:uid="{00000000-0002-0000-0800-000064000000}"/>
    <dataValidation type="whole" operator="greaterThan" allowBlank="1" showInputMessage="1" showErrorMessage="1" prompt="Damage threshold increases by 5_x000a__x000a_(Enter number of times taken)" sqref="Q151" xr:uid="{00000000-0002-0000-0800-000065000000}">
      <formula1>0</formula1>
    </dataValidation>
    <dataValidation allowBlank="1" showInputMessage="1" showErrorMessage="1" prompt="You can charge without moving in a straight line" sqref="Q150" xr:uid="{00000000-0002-0000-0800-000066000000}"/>
    <dataValidation allowBlank="1" showInputMessage="1" showErrorMessage="1" prompt="Swap one trait for another trait" sqref="Q139" xr:uid="{00000000-0002-0000-0800-000067000000}"/>
    <dataValidation allowBlank="1" showInputMessage="1" showErrorMessage="1" prompt="Gain a +5 bonus to resist grab and grapple attacks." sqref="Q134" xr:uid="{00000000-0002-0000-0800-000068000000}"/>
    <dataValidation allowBlank="1" showInputMessage="1" showErrorMessage="1" prompt="You do not move down the condition track the first time an attack exceeds your damage threshold, and you gain access to the Brawler talent tree." sqref="Q130" xr:uid="{00000000-0002-0000-0800-000069000000}"/>
    <dataValidation allowBlank="1" showInputMessage="1" showErrorMessage="1" prompt="Reroll an attack made with a vehicle weapon." sqref="Q137" xr:uid="{00000000-0002-0000-0800-00006A000000}"/>
    <dataValidation allowBlank="1" showInputMessage="1" showErrorMessage="1" prompt="Apply your armor's equipment bonus to your Will Defense." sqref="Q133" xr:uid="{00000000-0002-0000-0800-00006B000000}"/>
    <dataValidation allowBlank="1" showInputMessage="1" showErrorMessage="1" prompt="Make Mechanics and Use Computer checks faster than usual once per encounter" sqref="Q131" xr:uid="{00000000-0002-0000-0800-00006C000000}"/>
    <dataValidation allowBlank="1" showInputMessage="1" showErrorMessage="1" prompt="No limit to cleave attacks each round" sqref="Q136" xr:uid="{00000000-0002-0000-0800-00006D000000}"/>
    <dataValidation allowBlank="1" showInputMessage="1" showErrorMessage="1" prompt="Reduce black-market cost multiplier for licensed and restricted objects by 1" sqref="Q128" xr:uid="{00000000-0002-0000-0800-00006E000000}"/>
    <dataValidation type="whole" operator="greaterThan" allowBlank="1" showInputMessage="1" showErrorMessage="1" prompt="Learn a number of Force powers equal to 1 + your Wis modifier (minimum 1)_x000a__x000a_(Enter number of times taken)" sqref="Q127 Q124:Q125" xr:uid="{00000000-0002-0000-0800-00006F000000}">
      <formula1>0</formula1>
    </dataValidation>
    <dataValidation allowBlank="1" showInputMessage="1" showErrorMessage="1" prompt="You automatically kill an enemy that you reduce to 0 hit points, and you can_perform a coup de grace as a standard action." sqref="Q110:Q111" xr:uid="{00000000-0002-0000-0800-000070000000}"/>
    <dataValidation allowBlank="1" showInputMessage="1" showErrorMessage="1" prompt="Take 10 or 20 on one Strength check or related skill check per encounter" sqref="Q109" xr:uid="{00000000-0002-0000-0800-000071000000}"/>
    <dataValidation allowBlank="1" showInputMessage="1" showErrorMessage="1" prompt="Gain concealment against a target you damage with a burst or splash weapon. " sqref="Q112" xr:uid="{00000000-0002-0000-0800-000072000000}"/>
    <dataValidation allowBlank="1" showInputMessage="1" showErrorMessage="1" prompt="Ignore enimies' dodge and deflection bonuses to Reflex Defense when making area attacks with a weapon set on autofire." sqref="Q115" xr:uid="{00000000-0002-0000-0800-000073000000}"/>
    <dataValidation allowBlank="1" showInputMessage="1" showErrorMessage="1" prompt="Repair multiple droids simultaneously" sqref="Q104" xr:uid="{00000000-0002-0000-0800-000074000000}"/>
    <dataValidation type="whole" operator="greaterThan" allowBlank="1" showInputMessage="1" showErrorMessage="1" prompt="Gain an additional second wind per day_x000a__x000a_(Enter number of times taken)" sqref="Q106" xr:uid="{00000000-0002-0000-0800-000075000000}">
      <formula1>0</formula1>
    </dataValidation>
    <dataValidation type="whole" operator="greaterThan" allowBlank="1" showInputMessage="1" showErrorMessage="1" prompt="Rage one additional time per day_x000a__x000a_(Enter number of times taken)" sqref="Q105" xr:uid="{00000000-0002-0000-0800-000076000000}">
      <formula1>0</formula1>
    </dataValidation>
    <dataValidation allowBlank="1" showInputMessage="1" showErrorMessage="1" prompt="+2 speed when making a running attack" sqref="Q114" xr:uid="{00000000-0002-0000-0800-000077000000}"/>
    <dataValidation allowBlank="1" showInputMessage="1" showErrorMessage="1" prompt="You may use all skills during a rage" sqref="Q117:Q118" xr:uid="{00000000-0002-0000-0800-000078000000}"/>
    <dataValidation allowBlank="1" showInputMessage="1" showErrorMessage="1" prompt="May spend Force Points as a free action even if it is not your turn" sqref="Q121:Q122" xr:uid="{00000000-0002-0000-0800-000079000000}"/>
    <dataValidation allowBlank="1" showInputMessage="1" showErrorMessage="1" prompt="Take -5 penalty to Reflex Defense to gain +2 bonus to melee attack rolls" sqref="Q116" xr:uid="{00000000-0002-0000-0800-00007A000000}"/>
    <dataValidation allowBlank="1" showInputMessage="1" showErrorMessage="1" prompt="You can make Use the Force checks and gain access to Force talents" sqref="Q123" xr:uid="{00000000-0002-0000-0800-00007B000000}"/>
    <dataValidation allowBlank="1" showInputMessage="1" showErrorMessage="1" prompt="Gain three additional Force Points at each level" sqref="Q119:Q120" xr:uid="{00000000-0002-0000-0800-00007C000000}"/>
    <dataValidation allowBlank="1" showInputMessage="1" showErrorMessage="1" prompt="Range penalties for short-, medium-, and long-ranged attacks are reduced" sqref="Q107:Q108" xr:uid="{00000000-0002-0000-0800-00007D000000}"/>
    <dataValidation allowBlank="1" showInputMessage="1" showErrorMessage="1" prompt="Perform surgery on multiple creatures simultaneously." sqref="Q102" xr:uid="{00000000-0002-0000-0800-00007E000000}"/>
    <dataValidation allowBlank="1" showInputMessage="1" showErrorMessage="1" prompt="Wield an exotic weapon without penalty" sqref="Q100:Q101" xr:uid="{00000000-0002-0000-0800-00007F000000}"/>
    <dataValidation type="list" allowBlank="1" showInputMessage="1" showErrorMessage="1" sqref="D100:D101" xr:uid="{00000000-0002-0000-0800-000080000000}">
      <formula1>ExoticWeaponsList</formula1>
    </dataValidation>
    <dataValidation allowBlank="1" showInputMessage="1" showErrorMessage="1" prompt="Double Strength bonus to damage. Once per encounter upon dealing unarmed damage, make an unarmed attack against Fortitude defense to knock opponent prone" sqref="Q99 Q97" xr:uid="{00000000-0002-0000-0800-000081000000}"/>
    <dataValidation allowBlank="1" showInputMessage="1" showErrorMessage="1" prompt="Repair a droid in 10 minutes instead of 1 hour" sqref="Q92" xr:uid="{00000000-0002-0000-0800-000082000000}"/>
    <dataValidation allowBlank="1" showInputMessage="1" showErrorMessage="1" prompt="Deal +2 damage to droid enemies, or +4 when using an ion weapon." sqref="Q90:Q91" xr:uid="{00000000-0002-0000-0800-000083000000}"/>
    <dataValidation allowBlank="1" showInputMessage="1" showErrorMessage="1" prompt="You dive for cover when you avoid area attacks" sqref="Q96" xr:uid="{00000000-0002-0000-0800-000084000000}"/>
    <dataValidation allowBlank="1" showInputMessage="1" showErrorMessage="1" prompt="Reroll Use the Force and Persuasion checks to activate fear effects" sqref="Q83" xr:uid="{00000000-0002-0000-0800-000085000000}"/>
    <dataValidation allowBlank="1" showInputMessage="1" showErrorMessage="1" prompt="Take a no penalty on attacks when attacking with two weapons or both ends of a double weapon" sqref="Q95" xr:uid="{00000000-0002-0000-0800-000086000000}"/>
    <dataValidation allowBlank="1" showInputMessage="1" showErrorMessage="1" prompt="Take a -2 penalty on attacks when attacking with two weapons or both ends of a double weapon" sqref="Q94" xr:uid="{00000000-0002-0000-0800-000087000000}"/>
    <dataValidation allowBlank="1" showInputMessage="1" showErrorMessage="1" prompt="Take a -5 penalty on attacks when attacking with two weapons or both ends of a double weapon" sqref="Q93" xr:uid="{00000000-0002-0000-0800-000088000000}"/>
    <dataValidation allowBlank="1" showInputMessage="1" showErrorMessage="1" prompt="Rage bonus to attacks and damage increases to +4" sqref="Q84:Q89" xr:uid="{00000000-0002-0000-0800-000089000000}"/>
    <dataValidation allowBlank="1" showInputMessage="1" showErrorMessage="1" prompt="Make extra attack during full attack, -5 penalty to all attacks" sqref="Q75:Q82" xr:uid="{00000000-0002-0000-0800-00008A000000}"/>
    <dataValidation allowBlank="1" showInputMessage="1" showErrorMessage="1" prompt="Gain a +1 dodge bonus to Reflex Defense against a selected target" sqref="Q74" xr:uid="{00000000-0002-0000-0800-00008B000000}"/>
    <dataValidation allowBlank="1" showInputMessage="1" showErrorMessage="1" prompt="Reroll missed attack by taking a penalty to Reflex Defense" sqref="Q68:Q71 Q73" xr:uid="{00000000-0002-0000-0800-00008C000000}"/>
    <dataValidation allowBlank="1" showInputMessage="1" showErrorMessage="1" prompt="Allow an ally to deal more damage when you aid his attack." sqref="Q54" xr:uid="{00000000-0002-0000-0800-00008D000000}"/>
    <dataValidation allowBlank="1" showInputMessage="1" showErrorMessage="1" prompt="Flat-footed targets knocked prone on surprise round" sqref="Q65:Q66" xr:uid="{00000000-0002-0000-0800-00008E000000}"/>
    <dataValidation allowBlank="1" showInputMessage="1" showErrorMessage="1" prompt="+1 bonus on attacks when niping; hide as swift action" sqref="Q64" xr:uid="{00000000-0002-0000-0800-00008F000000}"/>
    <dataValidation allowBlank="1" showInputMessage="1" showErrorMessage="1" prompt="When unable to withdraw, +2 on attacks" sqref="Q55" xr:uid="{00000000-0002-0000-0800-000090000000}"/>
    <dataValidation allowBlank="1" showInputMessage="1" showErrorMessage="1" prompt="Gain extra attack upon hitting the first target" sqref="Q48" xr:uid="{00000000-0002-0000-0800-000091000000}"/>
    <dataValidation allowBlank="1" showInputMessage="1" showErrorMessage="1" prompt="Escape grapple and attack" sqref="Q47" xr:uid="{00000000-0002-0000-0800-000092000000}"/>
    <dataValidation allowBlank="1" showInputMessage="1" showErrorMessage="1" prompt="Extra melee attack after dropping target" sqref="Q46" xr:uid="{00000000-0002-0000-0800-000093000000}"/>
    <dataValidation allowBlank="1" showInputMessage="1" showErrorMessage="1" prompt="Make ranged attack at the end of a charge" sqref="Q45" xr:uid="{00000000-0002-0000-0800-000094000000}"/>
    <dataValidation allowBlank="1" showInputMessage="1" showErrorMessage="1" prompt="+2 to attack rolls against flat-footed enemies" sqref="Q59" xr:uid="{00000000-0002-0000-0800-000095000000}"/>
    <dataValidation allowBlank="1" showInputMessage="1" showErrorMessage="1" prompt="If you miss against a target with soft cover, once per round you may immediately make an attack roll against the target providing the soft cover." sqref="Q57" xr:uid="{00000000-0002-0000-0800-000096000000}"/>
    <dataValidation allowBlank="1" showInputMessage="1" showErrorMessage="1" prompt="You may enter rage as a swift action, and end it a round after you declare it finished" sqref="Q52" xr:uid="{00000000-0002-0000-0800-000097000000}"/>
    <dataValidation allowBlank="1" showInputMessage="1" showErrorMessage="1" prompt="Take two consecutive swift actions to increase the critical range of your next melee attack by 1" sqref="Q56" xr:uid="{00000000-0002-0000-0800-000098000000}"/>
    <dataValidation allowBlank="1" showInputMessage="1" showErrorMessage="1" prompt="Reroll any Strength or Constitution based skill checks and add Strength bonus to Fortitude Defense for a turn once per encounter" sqref="Q51" xr:uid="{00000000-0002-0000-0800-000099000000}"/>
    <dataValidation allowBlank="1" showInputMessage="1" showErrorMessage="1" prompt="If you aim, deal extra damage" sqref="Q63" xr:uid="{00000000-0002-0000-0800-00009A000000}"/>
    <dataValidation allowBlank="1" showInputMessage="1" showErrorMessage="1" prompt="Install a cybernetic prosthesis onto a living being" sqref="Q61:Q62" xr:uid="{00000000-0002-0000-0800-00009B000000}"/>
    <dataValidation allowBlank="1" showInputMessage="1" showErrorMessage="1" prompt="Deal unarmed or claw damage to a pinned opponent" sqref="Q58" xr:uid="{00000000-0002-0000-0800-00009C000000}"/>
    <dataValidation allowBlank="1" showInputMessage="1" showErrorMessage="1" prompt="Automatic success with aid another action at point blank range" sqref="Q53" xr:uid="{00000000-0002-0000-0800-00009D000000}"/>
    <dataValidation allowBlank="1" showInputMessage="1" showErrorMessage="1" prompt="Gain additional attacks of opportunity" sqref="Q49" xr:uid="{00000000-0002-0000-0800-00009E000000}"/>
    <dataValidation allowBlank="1" showInputMessage="1" showErrorMessage="1" prompt="Gain +2 to defense of Colossal or smaller vehicles, and projectile attacks which miss your vehicle by 5 or more self-destruct" sqref="Q14 Q9" xr:uid="{00000000-0002-0000-0800-00009F000000}"/>
    <dataValidation allowBlank="1" showInputMessage="1" showErrorMessage="1" prompt="Attacks that would kill your enemy reduces them to O hit points instead." sqref="Q40" xr:uid="{00000000-0002-0000-0800-0000A0000000}"/>
    <dataValidation allowBlank="1" showInputMessage="1" showErrorMessage="1" prompt="Install a biotech prosthesis onto a living being." sqref="Q36" xr:uid="{00000000-0002-0000-0800-0000A1000000}"/>
    <dataValidation allowBlank="1" showInputMessage="1" showErrorMessage="1" prompt="Make custom modifications to Yuuzhan Vong biotech." sqref="Q35" xr:uid="{00000000-0002-0000-0800-0000A2000000}"/>
    <dataValidation allowBlank="1" showInputMessage="1" showErrorMessage="1" prompt="Sweep a wide area while using autofire mode." sqref="Q30" xr:uid="{00000000-0002-0000-0800-0000A3000000}"/>
    <dataValidation allowBlank="1" showInputMessage="1" showErrorMessage="1" prompt="Decrease penalty on autofire attack and inflict extra damage when sustaining fire in the same squares in consecutive rounds." sqref="Q29" xr:uid="{00000000-0002-0000-0800-0000A4000000}"/>
    <dataValidation allowBlank="1" showInputMessage="1" showErrorMessage="1" prompt="Deal +1 die of damage on ranged attacks until the end ofyour next turn after hitting an enemy with two consecutive ranged attacks." sqref="Q28" xr:uid="{00000000-0002-0000-0800-0000A5000000}"/>
    <dataValidation allowBlank="1" showInputMessage="1" showErrorMessage="1" prompt="Deal +1 die of damage on melee or unarmed attacks until the end of your next turn after hitting an enemy with two consecutive melee or unarmed attacks." sqref="Q27" xr:uid="{00000000-0002-0000-0800-0000A6000000}"/>
    <dataValidation allowBlank="1" showInputMessage="1" showErrorMessage="1" prompt="Deal +1 die of damage on melee, unarmed, or ranged attacks until the end of your next turn after hitting an enemy with two consecutive melee, unarmed, or ranged attacks." sqref="Q26" xr:uid="{00000000-0002-0000-0800-0000A7000000}"/>
    <dataValidation allowBlank="1" showInputMessage="1" showErrorMessage="1" prompt="You increase the efficacy of your burst and splash weapon attacks. " sqref="Q23" xr:uid="{00000000-0002-0000-0800-0000A8000000}"/>
    <dataValidation allowBlank="1" showInputMessage="1" showErrorMessage="1" prompt="Move 2 or more squares and gain a +1 bonus on attacks with thrown weapons until the end of your turn." sqref="Q19" xr:uid="{00000000-0002-0000-0800-0000A9000000}"/>
    <dataValidation allowBlank="1" showInputMessage="1" showErrorMessage="1" prompt="Move speed twice as a move action" sqref="Q42" xr:uid="{00000000-0002-0000-0800-0000AA000000}"/>
    <dataValidation allowBlank="1" showInputMessage="1" showErrorMessage="1" prompt="If you deal damage with an autofire attack, your allies gain a +2 bonus to autofire attacks against the same target" sqref="Q37" xr:uid="{00000000-0002-0000-0800-0000AB000000}"/>
    <dataValidation allowBlank="1" showInputMessage="1" showErrorMessage="1" prompt="You may ignore cover and improved cover when throwing a grenade if your attack roll exceeds a Reflex Defense of 15" sqref="Q18" xr:uid="{00000000-0002-0000-0800-0000AC000000}"/>
    <dataValidation allowBlank="1" showInputMessage="1" showErrorMessage="1" prompt="You may always move in the surprise round" sqref="Q31:Q32" xr:uid="{00000000-0002-0000-0800-0000AD000000}"/>
    <dataValidation allowBlank="1" showInputMessage="1" showErrorMessage="1" prompt="Take no damage from area attacks whilst in cover" sqref="Q16:Q17" xr:uid="{00000000-0002-0000-0800-0000AE000000}"/>
    <dataValidation allowBlank="1" showInputMessage="1" showErrorMessage="1" prompt="Add full heroic level to damage against targets who have not yet acted in combat" sqref="Q15" xr:uid="{00000000-0002-0000-0800-0000AF000000}"/>
    <dataValidation allowBlank="1" showInputMessage="1" showErrorMessage="1" prompt="Once per encounter, take a full attack action with proficient weapons as a standard action" sqref="Q10" xr:uid="{00000000-0002-0000-0800-0000B0000000}"/>
    <dataValidation allowBlank="1" showInputMessage="1" showErrorMessage="1" prompt="You can use Double Attack as a standard action at the cost of a Force Point" sqref="Q24:Q25" xr:uid="{00000000-0002-0000-0800-0000B1000000}"/>
    <dataValidation allowBlank="1" showInputMessage="1" showErrorMessage="1" prompt="Take a -5 penalty on an autofire attack to gain +2 dice damage" sqref="Q41" xr:uid="{00000000-0002-0000-0800-0000B2000000}"/>
    <dataValidation allowBlank="1" showInputMessage="1" showErrorMessage="1" prompt="Push opponent 1 square after making a successful melee attack" sqref="Q33:Q34" xr:uid="{00000000-0002-0000-0800-0000B3000000}"/>
    <dataValidation allowBlank="1" showInputMessage="1" showErrorMessage="1" prompt="No penalty on attacks and no armor check penalty while wearing light armor" sqref="Q21" xr:uid="{00000000-0002-0000-0800-0000B4000000}"/>
    <dataValidation allowBlank="1" showInputMessage="1" showErrorMessage="1" prompt="No penalty on attacks and no armor check penalty while wearing medium armor" sqref="Q22" xr:uid="{00000000-0002-0000-0800-0000B5000000}"/>
    <dataValidation allowBlank="1" showInputMessage="1" showErrorMessage="1" prompt="No penalty on attacks and no armor check penalty while wearing heavy armor" sqref="Q20" xr:uid="{00000000-0002-0000-0800-0000B6000000}"/>
    <dataValidation allowBlank="1" showInputMessage="1" showErrorMessage="1" prompt="Gain +2 bonus on next attack against opponent you tumble past" sqref="Q13" xr:uid="{00000000-0002-0000-0800-0000B7000000}"/>
    <dataValidation allowBlank="1" showInputMessage="1" showErrorMessage="1" prompt="If you aim, gain +1 bonus on the attack roll" sqref="Q43" xr:uid="{00000000-0002-0000-0800-0000B8000000}"/>
    <dataValidation allowBlank="1" showInputMessage="1" showErrorMessage="1" prompt="You lead an organization of a scale equal to half your heroic level plus your Charisma bonus, with a +10 to your organization score" sqref="Q220:Q221 Q223" xr:uid="{00000000-0002-0000-0800-0000B9000000}"/>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learFeats">
                <anchor moveWithCells="1" sizeWithCells="1">
                  <from>
                    <xdr:col>12</xdr:col>
                    <xdr:colOff>0</xdr:colOff>
                    <xdr:row>2</xdr:row>
                    <xdr:rowOff>19050</xdr:rowOff>
                  </from>
                  <to>
                    <xdr:col>13</xdr:col>
                    <xdr:colOff>241300</xdr:colOff>
                    <xdr:row>3</xdr:row>
                    <xdr:rowOff>57150</xdr:rowOff>
                  </to>
                </anchor>
              </controlPr>
            </control>
          </mc:Choice>
        </mc:AlternateContent>
        <mc:AlternateContent xmlns:mc="http://schemas.openxmlformats.org/markup-compatibility/2006">
          <mc:Choice Requires="x14">
            <control shapeId="27657" r:id="rId5" name="Button 9">
              <controlPr defaultSize="0" print="0" autoFill="0" autoPict="0" macro="[0]!UnhideFeatDescriptions">
                <anchor moveWithCells="1" sizeWithCells="1">
                  <from>
                    <xdr:col>4</xdr:col>
                    <xdr:colOff>133350</xdr:colOff>
                    <xdr:row>2</xdr:row>
                    <xdr:rowOff>19050</xdr:rowOff>
                  </from>
                  <to>
                    <xdr:col>4</xdr:col>
                    <xdr:colOff>1212850</xdr:colOff>
                    <xdr:row>3</xdr:row>
                    <xdr:rowOff>57150</xdr:rowOff>
                  </to>
                </anchor>
              </controlPr>
            </control>
          </mc:Choice>
        </mc:AlternateContent>
        <mc:AlternateContent xmlns:mc="http://schemas.openxmlformats.org/markup-compatibility/2006">
          <mc:Choice Requires="x14">
            <control shapeId="27658" r:id="rId6" name="Button 10">
              <controlPr defaultSize="0" print="0" autoFill="0" autoPict="0" macro="[0]!HideFeatDescriptions">
                <anchor moveWithCells="1" sizeWithCells="1">
                  <from>
                    <xdr:col>5</xdr:col>
                    <xdr:colOff>133350</xdr:colOff>
                    <xdr:row>2</xdr:row>
                    <xdr:rowOff>19050</xdr:rowOff>
                  </from>
                  <to>
                    <xdr:col>5</xdr:col>
                    <xdr:colOff>1212850</xdr:colOff>
                    <xdr:row>3</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V49"/>
  <sheetViews>
    <sheetView zoomScaleNormal="100" workbookViewId="0">
      <selection activeCell="D6" sqref="D6"/>
    </sheetView>
  </sheetViews>
  <sheetFormatPr defaultColWidth="9.1796875" defaultRowHeight="14.5"/>
  <cols>
    <col min="1" max="1" width="3.453125" style="15" customWidth="1"/>
    <col min="2" max="2" width="2.7265625" style="15" customWidth="1"/>
    <col min="3" max="3" width="9.1796875" style="15"/>
    <col min="4" max="4" width="19.81640625" style="15" customWidth="1"/>
    <col min="5" max="5" width="6.7265625" style="16" customWidth="1"/>
    <col min="6" max="6" width="10.453125" style="16" customWidth="1"/>
    <col min="7" max="7" width="12" style="16" customWidth="1"/>
    <col min="8" max="8" width="3.7265625" style="15" customWidth="1"/>
    <col min="9" max="9" width="9.1796875" style="15"/>
    <col min="10" max="12" width="9.1796875" style="16"/>
    <col min="13" max="13" width="3" style="15" customWidth="1"/>
    <col min="14" max="14" width="3.7265625" style="15" hidden="1" customWidth="1"/>
    <col min="15" max="15" width="3.453125" style="630" customWidth="1"/>
    <col min="16" max="16" width="2.26953125" style="15" customWidth="1"/>
    <col min="17" max="17" width="11.453125" style="15" customWidth="1"/>
    <col min="18" max="18" width="37.81640625" style="15" customWidth="1"/>
    <col min="19" max="19" width="3.54296875" style="15" customWidth="1"/>
    <col min="20" max="20" width="9.1796875" style="15" hidden="1" customWidth="1"/>
    <col min="21" max="21" width="12.54296875" style="15" hidden="1" customWidth="1"/>
    <col min="22" max="22" width="9.1796875" style="15" hidden="1" customWidth="1"/>
    <col min="23" max="34" width="9.1796875" style="15" customWidth="1"/>
    <col min="35" max="16384" width="9.1796875" style="15"/>
  </cols>
  <sheetData>
    <row r="1" spans="1:22" ht="15" thickBot="1">
      <c r="A1" s="938"/>
    </row>
    <row r="2" spans="1:22">
      <c r="B2" s="22"/>
      <c r="C2" s="23"/>
      <c r="D2" s="23"/>
      <c r="E2" s="24"/>
      <c r="F2" s="24"/>
      <c r="G2" s="24"/>
      <c r="H2" s="23"/>
      <c r="I2" s="23"/>
      <c r="J2" s="24"/>
      <c r="K2" s="24"/>
      <c r="L2" s="24"/>
      <c r="M2" s="25"/>
      <c r="P2" s="22"/>
      <c r="Q2" s="23"/>
      <c r="R2" s="23"/>
      <c r="S2" s="25"/>
    </row>
    <row r="3" spans="1:22" s="694" customFormat="1" ht="21">
      <c r="B3" s="26"/>
      <c r="C3" s="693" t="s">
        <v>4102</v>
      </c>
      <c r="D3" s="690"/>
      <c r="E3" s="697"/>
      <c r="F3" s="697"/>
      <c r="G3" s="697"/>
      <c r="H3" s="690"/>
      <c r="I3" s="690"/>
      <c r="J3" s="557" t="str">
        <f>LevelsTaken</f>
        <v/>
      </c>
      <c r="K3" s="697"/>
      <c r="L3" s="697"/>
      <c r="M3" s="29"/>
      <c r="P3" s="26"/>
      <c r="Q3" s="693" t="s">
        <v>4103</v>
      </c>
      <c r="R3" s="690"/>
      <c r="S3" s="29"/>
    </row>
    <row r="4" spans="1:22" s="694" customFormat="1">
      <c r="B4" s="26"/>
      <c r="C4" s="690"/>
      <c r="D4" s="690"/>
      <c r="E4" s="697"/>
      <c r="F4" s="697"/>
      <c r="G4" s="697"/>
      <c r="H4" s="690"/>
      <c r="I4" s="690"/>
      <c r="J4" s="697"/>
      <c r="K4" s="697"/>
      <c r="L4" s="697"/>
      <c r="M4" s="29"/>
      <c r="P4" s="26"/>
      <c r="Q4" s="690"/>
      <c r="R4" s="690"/>
      <c r="S4" s="29"/>
    </row>
    <row r="5" spans="1:22">
      <c r="B5" s="26"/>
      <c r="C5" s="49" t="s">
        <v>2243</v>
      </c>
      <c r="D5" s="49" t="s">
        <v>58</v>
      </c>
      <c r="E5" s="50" t="s">
        <v>3653</v>
      </c>
      <c r="F5" s="50" t="s">
        <v>3654</v>
      </c>
      <c r="G5" s="696" t="s">
        <v>3655</v>
      </c>
      <c r="H5" s="75"/>
      <c r="I5" s="75" t="s">
        <v>79</v>
      </c>
      <c r="J5" s="50" t="s">
        <v>2244</v>
      </c>
      <c r="K5" s="50" t="s">
        <v>2245</v>
      </c>
      <c r="L5" s="50" t="s">
        <v>2246</v>
      </c>
      <c r="M5" s="29"/>
      <c r="P5" s="26"/>
      <c r="Q5" s="49" t="s">
        <v>3652</v>
      </c>
      <c r="R5" s="49"/>
      <c r="S5" s="29"/>
      <c r="V5" s="383" t="s">
        <v>195</v>
      </c>
    </row>
    <row r="6" spans="1:22">
      <c r="B6" s="539">
        <v>1</v>
      </c>
      <c r="C6" s="28" t="s">
        <v>2116</v>
      </c>
      <c r="D6" s="1664" t="s">
        <v>154</v>
      </c>
      <c r="E6" s="27" t="str">
        <f t="shared" ref="E6:E25" si="0">IF(D6&lt;&gt;"None","d"&amp;INDEX(ClassTable,H6,7),"")</f>
        <v/>
      </c>
      <c r="F6" s="27" t="str">
        <f>IF(FirstClass&lt;&gt;"None",IF(G6="",IF(ShowNPCHP,IF(OR(FirstClass="Nonheroic",FirstClass="Beast"),INDEX(ClassTable,H6,7)/2,INDEX(ClassTable,H6,7)*3),INDEX(ClassTable,H6,7)*3)+ConMod+IF(Bioimplant=3,1,0)+IF(Feats!M317&gt;0,1,0),G6),"")</f>
        <v/>
      </c>
      <c r="G6" s="86"/>
      <c r="H6" s="28" t="str">
        <f>IF(D6&lt;&gt;"None",MATCH(D6,ClassList,0),"")</f>
        <v/>
      </c>
      <c r="I6" s="27" t="str">
        <f>IF(D6&lt;&gt;"None",IF(INDEX(ClassTable,H6,3)&lt;1,IF((INT(COUNTIF($D$6:D6,D6)*0.75)-COUNTIF($D$6:D6,D6)*0.75+1)&lt;0.5,0,1),INDEX(ClassTable,H6,3)),"")</f>
        <v/>
      </c>
      <c r="J6" s="27" t="str">
        <f>IF(D6&lt;&gt;"None",INDEX(ClassTable,H6,4),"")</f>
        <v/>
      </c>
      <c r="K6" s="27" t="str">
        <f t="shared" ref="K6:K25" si="1">IF(D6&lt;&gt;"None",INDEX(ClassTable,H6,5),"")</f>
        <v/>
      </c>
      <c r="L6" s="27" t="str">
        <f t="shared" ref="L6:L25" si="2">IF(D6&lt;&gt;"None",INDEX(ClassTable,H6,6),"")</f>
        <v/>
      </c>
      <c r="M6" s="29"/>
      <c r="N6" s="15" t="str">
        <f>FirstClass</f>
        <v>None</v>
      </c>
      <c r="P6" s="26"/>
      <c r="Q6" s="28" t="s">
        <v>191</v>
      </c>
      <c r="R6" s="510"/>
      <c r="S6" s="29"/>
      <c r="U6" s="15" t="str">
        <f>IF(FirstClass&lt;&gt;"None",IF(OR(NOT(ISERROR(FIND("Jedi",FirstClass,1))),NOT(ISERROR(FIND("Sith",FirstClass,1)))),FirstClass,LOWER(FirstClass)),"")</f>
        <v/>
      </c>
      <c r="V6" s="694" t="str">
        <f>IF(U6&lt;&gt;"",IF(ISERROR(FIND(U6,V5,1)),U6&amp;" "&amp;COUNTIF(AllLevels,U6)&amp;V5,V5),V5)</f>
        <v/>
      </c>
    </row>
    <row r="7" spans="1:22">
      <c r="B7" s="539">
        <v>2</v>
      </c>
      <c r="C7" s="28" t="s">
        <v>2117</v>
      </c>
      <c r="D7" s="1664" t="s">
        <v>154</v>
      </c>
      <c r="E7" s="27" t="str">
        <f t="shared" si="0"/>
        <v/>
      </c>
      <c r="F7" s="27" t="str">
        <f>IF(D7&lt;&gt;"None",IF(G7="",IF(ShowNPCHP=TRUE,INT(INDEX(ClassTable,H7,7)/2)+IF(OR(B7=2,B7=4,B7=6,B7=8,B7=10,B7=12,B7=14,B7=16,B7=18,B7=20),1,0),INT(INDEX(ClassTable,H7,7)*0.75))+ConMod+IF(Bioimplant=3,1,0)+IF(Feats!$M$317&gt;0,1,0),G7),"")</f>
        <v/>
      </c>
      <c r="G7" s="86"/>
      <c r="H7" s="28" t="str">
        <f t="shared" ref="H7:H25" si="3">IF(D7&lt;&gt;"None",MATCH(D7,ClassList,0),"")</f>
        <v/>
      </c>
      <c r="I7" s="879" t="str">
        <f>IF(D7&lt;&gt;"None",IF(INDEX(ClassTable,H7,3)&lt;1,IF((INT(COUNTIF($D$6:D7,D7)*0.75)-COUNTIF($D$6:D7,D7)*0.75+1)&lt;0.5,0,1),INDEX(ClassTable,H7,3)),"")</f>
        <v/>
      </c>
      <c r="J7" s="27" t="str">
        <f t="shared" ref="J7:J25" si="4">IF(D7&lt;&gt;"None",INDEX(ClassTable,H7,4),"")</f>
        <v/>
      </c>
      <c r="K7" s="27" t="str">
        <f t="shared" si="1"/>
        <v/>
      </c>
      <c r="L7" s="27" t="str">
        <f t="shared" si="2"/>
        <v/>
      </c>
      <c r="M7" s="29"/>
      <c r="N7" s="15" t="str">
        <f>IF(D7&lt;&gt;"None",D7,N6)</f>
        <v>None</v>
      </c>
      <c r="P7" s="26"/>
      <c r="Q7" s="28" t="s">
        <v>234</v>
      </c>
      <c r="R7" s="510"/>
      <c r="S7" s="29"/>
      <c r="U7" s="15" t="str">
        <f>IF(D7&lt;&gt;"None",IF(OR(NOT(ISERROR(FIND("Jedi",D7,1))),NOT(ISERROR(FIND("Sith",D7,1)))),D7,LOWER(D7)),"")</f>
        <v/>
      </c>
      <c r="V7" s="694" t="str">
        <f t="shared" ref="V7:V14" si="5">IF(U7&lt;&gt;"",IF(ISERROR(FIND(U7,V6,1)),V6&amp;"/"&amp;U7&amp;" "&amp;COUNTIF(AllLevels,U7),V6),V6)</f>
        <v/>
      </c>
    </row>
    <row r="8" spans="1:22">
      <c r="B8" s="539">
        <v>3</v>
      </c>
      <c r="C8" s="28" t="s">
        <v>2118</v>
      </c>
      <c r="D8" s="1664" t="s">
        <v>154</v>
      </c>
      <c r="E8" s="27" t="str">
        <f t="shared" si="0"/>
        <v/>
      </c>
      <c r="F8" s="1106" t="str">
        <f>IF(D8&lt;&gt;"None",IF(G8="",IF(ShowNPCHP,INDEX(ClassTable,H8,7)/2+IF(OR(B8=2,B8=4,B8=6,B8=8,B8=10,B8=12,B8=14,B8=16,B8=18,B8=20),1,0),INT(INDEX(ClassTable,H8,7)*0.75))+ConMod+IF(Bioimplant=3,1,0)+IF(Feats!$M$317&gt;0,1,0),G8),"")</f>
        <v/>
      </c>
      <c r="G8" s="86"/>
      <c r="H8" s="28" t="str">
        <f t="shared" si="3"/>
        <v/>
      </c>
      <c r="I8" s="879" t="str">
        <f>IF(D8&lt;&gt;"None",IF(INDEX(ClassTable,H8,3)&lt;1,IF((INT(COUNTIF($D$6:D8,D8)*0.75)-COUNTIF($D$6:D8,D8)*0.75+1)&lt;0.5,0,1),INDEX(ClassTable,H8,3)),"")</f>
        <v/>
      </c>
      <c r="J8" s="27" t="str">
        <f t="shared" si="4"/>
        <v/>
      </c>
      <c r="K8" s="27" t="str">
        <f t="shared" si="1"/>
        <v/>
      </c>
      <c r="L8" s="27" t="str">
        <f t="shared" si="2"/>
        <v/>
      </c>
      <c r="M8" s="29"/>
      <c r="N8" s="579" t="str">
        <f t="shared" ref="N8:N25" si="6">IF(D8&lt;&gt;"None",D8,N7)</f>
        <v>None</v>
      </c>
      <c r="P8" s="26"/>
      <c r="Q8" s="28" t="s">
        <v>279</v>
      </c>
      <c r="R8" s="510"/>
      <c r="S8" s="29"/>
      <c r="U8" s="1506" t="str">
        <f t="shared" ref="U8:U26" si="7">IF(D8&lt;&gt;"None",IF(OR(NOT(ISERROR(FIND("Jedi",D8,1))),NOT(ISERROR(FIND("Sith",D8,1)))),D8,LOWER(D8)),"")</f>
        <v/>
      </c>
      <c r="V8" s="694" t="str">
        <f t="shared" si="5"/>
        <v/>
      </c>
    </row>
    <row r="9" spans="1:22">
      <c r="B9" s="539">
        <v>4</v>
      </c>
      <c r="C9" s="28" t="s">
        <v>2108</v>
      </c>
      <c r="D9" s="1664" t="s">
        <v>154</v>
      </c>
      <c r="E9" s="27" t="str">
        <f t="shared" si="0"/>
        <v/>
      </c>
      <c r="F9" s="1106" t="str">
        <f>IF(D9&lt;&gt;"None",IF(G9="",IF(ShowNPCHP,INDEX(ClassTable,H9,7)/2+IF(OR(B9=2,B9=4,B9=6,B9=8,B9=10,B9=12,B9=14,B9=16,B9=18,B9=20),1,0),INT(INDEX(ClassTable,H9,7)*0.75))+ConMod+IF(Bioimplant=3,1,0)+IF(Feats!$M$317&gt;0,1,0),G9),"")</f>
        <v/>
      </c>
      <c r="G9" s="86"/>
      <c r="H9" s="28" t="str">
        <f t="shared" si="3"/>
        <v/>
      </c>
      <c r="I9" s="879" t="str">
        <f>IF(D9&lt;&gt;"None",IF(INDEX(ClassTable,H9,3)&lt;1,IF((INT(COUNTIF($D$6:D9,D9)*0.75)-COUNTIF($D$6:D9,D9)*0.75+1)&lt;0.5,0,1),INDEX(ClassTable,H9,3)),"")</f>
        <v/>
      </c>
      <c r="J9" s="27" t="str">
        <f t="shared" si="4"/>
        <v/>
      </c>
      <c r="K9" s="27" t="str">
        <f t="shared" si="1"/>
        <v/>
      </c>
      <c r="L9" s="27" t="str">
        <f t="shared" si="2"/>
        <v/>
      </c>
      <c r="M9" s="29"/>
      <c r="N9" s="579" t="str">
        <f t="shared" si="6"/>
        <v>None</v>
      </c>
      <c r="P9" s="26"/>
      <c r="Q9" s="28" t="s">
        <v>317</v>
      </c>
      <c r="R9" s="510"/>
      <c r="S9" s="29"/>
      <c r="U9" s="1506" t="str">
        <f t="shared" si="7"/>
        <v/>
      </c>
      <c r="V9" s="694" t="str">
        <f t="shared" si="5"/>
        <v/>
      </c>
    </row>
    <row r="10" spans="1:22">
      <c r="B10" s="539">
        <v>5</v>
      </c>
      <c r="C10" s="28" t="s">
        <v>2119</v>
      </c>
      <c r="D10" s="1664" t="s">
        <v>154</v>
      </c>
      <c r="E10" s="27" t="str">
        <f t="shared" si="0"/>
        <v/>
      </c>
      <c r="F10" s="1106" t="str">
        <f>IF(D10&lt;&gt;"None",IF(G10="",IF(ShowNPCHP,INDEX(ClassTable,H10,7)/2+IF(OR(B10=2,B10=4,B10=6,B10=8,B10=10,B10=12,B10=14,B10=16,B10=18,B10=20),1,0),INT(INDEX(ClassTable,H10,7)*0.75))+ConMod+IF(Bioimplant=3,1,0)+IF(Feats!$M$317&gt;0,1,0),G10),"")</f>
        <v/>
      </c>
      <c r="G10" s="86"/>
      <c r="H10" s="28" t="str">
        <f t="shared" si="3"/>
        <v/>
      </c>
      <c r="I10" s="879" t="str">
        <f>IF(D10&lt;&gt;"None",IF(INDEX(ClassTable,H10,3)&lt;1,IF((INT(COUNTIF($D$6:D10,D10)*0.75)-COUNTIF($D$6:D10,D10)*0.75+1)&lt;0.5,0,1),INDEX(ClassTable,H10,3)),"")</f>
        <v/>
      </c>
      <c r="J10" s="27" t="str">
        <f t="shared" si="4"/>
        <v/>
      </c>
      <c r="K10" s="27" t="str">
        <f t="shared" si="1"/>
        <v/>
      </c>
      <c r="L10" s="27" t="str">
        <f t="shared" si="2"/>
        <v/>
      </c>
      <c r="M10" s="29"/>
      <c r="N10" s="579" t="str">
        <f t="shared" si="6"/>
        <v>None</v>
      </c>
      <c r="P10" s="26"/>
      <c r="Q10" s="28" t="s">
        <v>350</v>
      </c>
      <c r="R10" s="510"/>
      <c r="S10" s="29"/>
      <c r="U10" s="1506" t="str">
        <f t="shared" si="7"/>
        <v/>
      </c>
      <c r="V10" s="694" t="str">
        <f t="shared" si="5"/>
        <v/>
      </c>
    </row>
    <row r="11" spans="1:22" ht="15" thickBot="1">
      <c r="B11" s="539">
        <v>6</v>
      </c>
      <c r="C11" s="28" t="s">
        <v>2120</v>
      </c>
      <c r="D11" s="1664" t="s">
        <v>154</v>
      </c>
      <c r="E11" s="27" t="str">
        <f>IF(D11&lt;&gt;"None","d"&amp;INDEX(ClassTable,H11,7),"")</f>
        <v/>
      </c>
      <c r="F11" s="1106" t="str">
        <f>IF(D11&lt;&gt;"None",IF(G11="",IF(ShowNPCHP,INDEX(ClassTable,H11,7)/2+IF(OR(B11=2,B11=4,B11=6,B11=8,B11=10,B11=12,B11=14,B11=16,B11=18,B11=20),1,0),INT(INDEX(ClassTable,H11,7)*0.75))+ConMod+IF(Bioimplant=3,1,0)+IF(Feats!$M$317&gt;0,1,0),G11),"")</f>
        <v/>
      </c>
      <c r="G11" s="86"/>
      <c r="H11" s="28" t="str">
        <f t="shared" si="3"/>
        <v/>
      </c>
      <c r="I11" s="879" t="str">
        <f>IF(D11&lt;&gt;"None",IF(INDEX(ClassTable,H11,3)&lt;1,IF((INT(COUNTIF($D$6:D11,D11)*0.75)-COUNTIF($D$6:D11,D11)*0.75+1)&lt;0.5,0,1),INDEX(ClassTable,H11,3)),"")</f>
        <v/>
      </c>
      <c r="J11" s="27" t="str">
        <f t="shared" si="4"/>
        <v/>
      </c>
      <c r="K11" s="27" t="str">
        <f t="shared" si="1"/>
        <v/>
      </c>
      <c r="L11" s="27" t="str">
        <f t="shared" si="2"/>
        <v/>
      </c>
      <c r="M11" s="29"/>
      <c r="N11" s="579" t="str">
        <f t="shared" si="6"/>
        <v>None</v>
      </c>
      <c r="P11" s="32"/>
      <c r="Q11" s="33"/>
      <c r="R11" s="33"/>
      <c r="S11" s="35"/>
      <c r="U11" s="1506" t="str">
        <f t="shared" si="7"/>
        <v/>
      </c>
      <c r="V11" s="694" t="str">
        <f t="shared" si="5"/>
        <v/>
      </c>
    </row>
    <row r="12" spans="1:22" ht="15" thickBot="1">
      <c r="B12" s="539">
        <v>7</v>
      </c>
      <c r="C12" s="28" t="s">
        <v>2121</v>
      </c>
      <c r="D12" s="1664" t="s">
        <v>154</v>
      </c>
      <c r="E12" s="27" t="str">
        <f t="shared" si="0"/>
        <v/>
      </c>
      <c r="F12" s="1106" t="str">
        <f>IF(D12&lt;&gt;"None",IF(G12="",IF(ShowNPCHP,INDEX(ClassTable,H12,7)/2+IF(OR(B12=2,B12=4,B12=6,B12=8,B12=10,B12=12,B12=14,B12=16,B12=18,B12=20),1,0),INT(INDEX(ClassTable,H12,7)*0.75))+ConMod+IF(Bioimplant=3,1,0)+IF(Feats!$M$317&gt;0,1,0),G12),"")</f>
        <v/>
      </c>
      <c r="G12" s="86"/>
      <c r="H12" s="28" t="str">
        <f t="shared" si="3"/>
        <v/>
      </c>
      <c r="I12" s="879" t="str">
        <f>IF(D12&lt;&gt;"None",IF(INDEX(ClassTable,H12,3)&lt;1,IF((INT(COUNTIF($D$6:D12,D12)*0.75)-COUNTIF($D$6:D12,D12)*0.75+1)&lt;0.5,0,1),INDEX(ClassTable,H12,3)),"")</f>
        <v/>
      </c>
      <c r="J12" s="27" t="str">
        <f t="shared" si="4"/>
        <v/>
      </c>
      <c r="K12" s="27" t="str">
        <f t="shared" si="1"/>
        <v/>
      </c>
      <c r="L12" s="27" t="str">
        <f t="shared" si="2"/>
        <v/>
      </c>
      <c r="M12" s="29"/>
      <c r="N12" s="579" t="str">
        <f t="shared" si="6"/>
        <v>None</v>
      </c>
      <c r="U12" s="1506" t="str">
        <f t="shared" si="7"/>
        <v/>
      </c>
      <c r="V12" s="694" t="str">
        <f t="shared" si="5"/>
        <v/>
      </c>
    </row>
    <row r="13" spans="1:22">
      <c r="B13" s="539">
        <v>8</v>
      </c>
      <c r="C13" s="28" t="s">
        <v>2109</v>
      </c>
      <c r="D13" s="1664" t="s">
        <v>154</v>
      </c>
      <c r="E13" s="27" t="str">
        <f>IF(D13&lt;&gt;"None","d"&amp;INDEX(ClassTable,H13,7),"")</f>
        <v/>
      </c>
      <c r="F13" s="1670" t="str">
        <f>IF(D13&lt;&gt;"None",IF(G13="",IF(ShowNPCHP,INDEX(ClassTable,H13,7)/2+IF(OR(B13=2,B13=4,B13=6,B13=8,B13=10,B13=12,B13=14,B13=16,B13=18,B13=20),1,0),INT(INDEX(ClassTable,H13,7)*0.75))+ConMod+IF(Bioimplant=3,1,0)+IF(Feats!$M$317&gt;0,1,0),G13),"")</f>
        <v/>
      </c>
      <c r="G13" s="86"/>
      <c r="H13" s="28" t="str">
        <f>IF(D13&lt;&gt;"None",MATCH(D13,ClassList,0),"")</f>
        <v/>
      </c>
      <c r="I13" s="879" t="str">
        <f>IF(D13&lt;&gt;"None",IF(INDEX(ClassTable,H13,3)&lt;1,IF((INT(COUNTIF($D$6:D13,D13)*0.75)-COUNTIF($D$6:D13,D13)*0.75+1)&lt;0.5,0,1),INDEX(ClassTable,H13,3)),"")</f>
        <v/>
      </c>
      <c r="J13" s="27" t="str">
        <f t="shared" si="4"/>
        <v/>
      </c>
      <c r="K13" s="27" t="str">
        <f t="shared" si="1"/>
        <v/>
      </c>
      <c r="L13" s="27" t="str">
        <f t="shared" si="2"/>
        <v/>
      </c>
      <c r="M13" s="29"/>
      <c r="N13" s="579" t="str">
        <f t="shared" si="6"/>
        <v>None</v>
      </c>
      <c r="P13" s="982"/>
      <c r="Q13" s="983"/>
      <c r="R13" s="983"/>
      <c r="S13" s="984"/>
      <c r="U13" s="1506" t="str">
        <f t="shared" si="7"/>
        <v/>
      </c>
      <c r="V13" s="694" t="str">
        <f t="shared" si="5"/>
        <v/>
      </c>
    </row>
    <row r="14" spans="1:22">
      <c r="B14" s="539">
        <v>9</v>
      </c>
      <c r="C14" s="28" t="s">
        <v>2122</v>
      </c>
      <c r="D14" s="1664" t="s">
        <v>154</v>
      </c>
      <c r="E14" s="27" t="str">
        <f t="shared" si="0"/>
        <v/>
      </c>
      <c r="F14" s="1106" t="str">
        <f>IF(D14&lt;&gt;"None",IF(G14="",IF(ShowNPCHP,INDEX(ClassTable,H14,7)/2+IF(OR(B14=2,B14=4,B14=6,B14=8,B14=10,B14=12,B14=14,B14=16,B14=18,B14=20),1,0),INT(INDEX(ClassTable,H14,7)*0.75))+ConMod+IF(Bioimplant=3,1,0)+IF(Feats!$M$317&gt;0,1,0),G14),"")</f>
        <v/>
      </c>
      <c r="G14" s="86"/>
      <c r="H14" s="28" t="str">
        <f t="shared" si="3"/>
        <v/>
      </c>
      <c r="I14" s="879" t="str">
        <f>IF(D14&lt;&gt;"None",IF(INDEX(ClassTable,H14,3)&lt;1,IF((INT(COUNTIF($D$6:D14,D14)*0.75)-COUNTIF($D$6:D14,D14)*0.75+1)&lt;0.5,0,1),INDEX(ClassTable,H14,3)),"")</f>
        <v/>
      </c>
      <c r="J14" s="27" t="str">
        <f t="shared" si="4"/>
        <v/>
      </c>
      <c r="K14" s="27" t="str">
        <f t="shared" si="1"/>
        <v/>
      </c>
      <c r="L14" s="27" t="str">
        <f t="shared" si="2"/>
        <v/>
      </c>
      <c r="M14" s="29"/>
      <c r="N14" s="579" t="str">
        <f t="shared" si="6"/>
        <v>None</v>
      </c>
      <c r="P14" s="705"/>
      <c r="Q14" s="981" t="s">
        <v>6631</v>
      </c>
      <c r="R14" s="577"/>
      <c r="S14" s="786"/>
      <c r="U14" s="1506" t="str">
        <f t="shared" si="7"/>
        <v/>
      </c>
      <c r="V14" s="694" t="str">
        <f t="shared" si="5"/>
        <v/>
      </c>
    </row>
    <row r="15" spans="1:22">
      <c r="B15" s="539">
        <v>10</v>
      </c>
      <c r="C15" s="28" t="s">
        <v>2123</v>
      </c>
      <c r="D15" s="1664" t="s">
        <v>154</v>
      </c>
      <c r="E15" s="27" t="str">
        <f t="shared" si="0"/>
        <v/>
      </c>
      <c r="F15" s="1106" t="str">
        <f>IF(D15&lt;&gt;"None",IF(G15="",IF(ShowNPCHP,INDEX(ClassTable,H15,7)/2+IF(OR(B15=2,B15=4,B15=6,B15=8,B15=10,B15=12,B15=14,B15=16,B15=18,B15=20),1,0),INT(INDEX(ClassTable,H15,7)*0.75))+ConMod+IF(Bioimplant=3,1,0)+IF(Feats!$M$317&gt;0,1,0),G15),"")</f>
        <v/>
      </c>
      <c r="G15" s="86"/>
      <c r="H15" s="28" t="str">
        <f t="shared" si="3"/>
        <v/>
      </c>
      <c r="I15" s="879" t="str">
        <f>IF(D15&lt;&gt;"None",IF(INDEX(ClassTable,H15,3)&lt;1,IF((INT(COUNTIF($D$6:D15,D15)*0.75)-COUNTIF($D$6:D15,D15)*0.75+1)&lt;0.5,0,1),INDEX(ClassTable,H15,3)),"")</f>
        <v/>
      </c>
      <c r="J15" s="27" t="str">
        <f t="shared" si="4"/>
        <v/>
      </c>
      <c r="K15" s="27" t="str">
        <f t="shared" si="1"/>
        <v/>
      </c>
      <c r="L15" s="27" t="str">
        <f t="shared" si="2"/>
        <v/>
      </c>
      <c r="M15" s="29"/>
      <c r="N15" s="579" t="str">
        <f t="shared" si="6"/>
        <v>None</v>
      </c>
      <c r="P15" s="705"/>
      <c r="Q15" s="964" t="s">
        <v>5818</v>
      </c>
      <c r="R15" s="985"/>
      <c r="S15" s="786"/>
      <c r="U15" s="1506" t="str">
        <f t="shared" si="7"/>
        <v/>
      </c>
      <c r="V15" s="878" t="str">
        <f t="shared" ref="V15:V25" si="8">IF(U15&lt;&gt;"",IF(ISERROR(FIND(U15,V14,1)),V14&amp;"/"&amp;U15&amp;" "&amp;COUNTIF(AllLevels,U15),V14),V14)</f>
        <v/>
      </c>
    </row>
    <row r="16" spans="1:22">
      <c r="B16" s="539">
        <v>11</v>
      </c>
      <c r="C16" s="28" t="s">
        <v>2124</v>
      </c>
      <c r="D16" s="1664" t="s">
        <v>154</v>
      </c>
      <c r="E16" s="27" t="str">
        <f t="shared" si="0"/>
        <v/>
      </c>
      <c r="F16" s="1106" t="str">
        <f>IF(D16&lt;&gt;"None",IF(G16="",IF(ShowNPCHP,INDEX(ClassTable,H16,7)/2+IF(OR(B16=2,B16=4,B16=6,B16=8,B16=10,B16=12,B16=14,B16=16,B16=18,B16=20),1,0),INT(INDEX(ClassTable,H16,7)*0.75))+ConMod+IF(Bioimplant=3,1,0)+IF(Feats!$M$317&gt;0,1,0),G16),"")</f>
        <v/>
      </c>
      <c r="G16" s="86"/>
      <c r="H16" s="28" t="str">
        <f t="shared" si="3"/>
        <v/>
      </c>
      <c r="I16" s="879" t="str">
        <f>IF(D16&lt;&gt;"None",IF(INDEX(ClassTable,H16,3)&lt;1,IF((INT(COUNTIF($D$6:D16,D16)*0.75)-COUNTIF($D$6:D16,D16)*0.75+1)&lt;0.5,0,1),INDEX(ClassTable,H16,3)),"")</f>
        <v/>
      </c>
      <c r="J16" s="27" t="str">
        <f t="shared" si="4"/>
        <v/>
      </c>
      <c r="K16" s="27" t="str">
        <f t="shared" si="1"/>
        <v/>
      </c>
      <c r="L16" s="27" t="str">
        <f t="shared" si="2"/>
        <v/>
      </c>
      <c r="M16" s="29"/>
      <c r="N16" s="579" t="str">
        <f t="shared" si="6"/>
        <v>None</v>
      </c>
      <c r="P16" s="705"/>
      <c r="Q16" s="964" t="s">
        <v>5819</v>
      </c>
      <c r="R16" s="985"/>
      <c r="S16" s="786"/>
      <c r="U16" s="1506" t="str">
        <f t="shared" si="7"/>
        <v/>
      </c>
      <c r="V16" s="878" t="str">
        <f t="shared" si="8"/>
        <v/>
      </c>
    </row>
    <row r="17" spans="2:22">
      <c r="B17" s="539">
        <v>12</v>
      </c>
      <c r="C17" s="28" t="s">
        <v>2110</v>
      </c>
      <c r="D17" s="1664" t="s">
        <v>154</v>
      </c>
      <c r="E17" s="27" t="str">
        <f t="shared" si="0"/>
        <v/>
      </c>
      <c r="F17" s="1106" t="str">
        <f>IF(D17&lt;&gt;"None",IF(G17="",IF(ShowNPCHP,INDEX(ClassTable,H17,7)/2+IF(OR(B17=2,B17=4,B17=6,B17=8,B17=10,B17=12,B17=14,B17=16,B17=18,B17=20),1,0),INT(INDEX(ClassTable,H17,7)*0.75))+ConMod+IF(Bioimplant=3,1,0)+IF(Feats!$M$317&gt;0,1,0),G17),"")</f>
        <v/>
      </c>
      <c r="G17" s="86"/>
      <c r="H17" s="28" t="str">
        <f t="shared" si="3"/>
        <v/>
      </c>
      <c r="I17" s="879" t="str">
        <f>IF(D17&lt;&gt;"None",IF(INDEX(ClassTable,H17,3)&lt;1,IF((INT(COUNTIF($D$6:D17,D17)*0.75)-COUNTIF($D$6:D17,D17)*0.75+1)&lt;0.5,0,1),INDEX(ClassTable,H17,3)),"")</f>
        <v/>
      </c>
      <c r="J17" s="27" t="str">
        <f t="shared" si="4"/>
        <v/>
      </c>
      <c r="K17" s="27" t="str">
        <f t="shared" si="1"/>
        <v/>
      </c>
      <c r="L17" s="27" t="str">
        <f t="shared" si="2"/>
        <v/>
      </c>
      <c r="M17" s="29"/>
      <c r="N17" s="579" t="str">
        <f t="shared" si="6"/>
        <v>None</v>
      </c>
      <c r="P17" s="705"/>
      <c r="Q17" s="964" t="s">
        <v>5820</v>
      </c>
      <c r="R17" s="985"/>
      <c r="S17" s="786"/>
      <c r="U17" s="1506" t="str">
        <f t="shared" si="7"/>
        <v/>
      </c>
      <c r="V17" s="878" t="str">
        <f t="shared" si="8"/>
        <v/>
      </c>
    </row>
    <row r="18" spans="2:22" ht="15" thickBot="1">
      <c r="B18" s="539">
        <v>13</v>
      </c>
      <c r="C18" s="28" t="s">
        <v>2125</v>
      </c>
      <c r="D18" s="1664" t="s">
        <v>154</v>
      </c>
      <c r="E18" s="27" t="str">
        <f t="shared" si="0"/>
        <v/>
      </c>
      <c r="F18" s="1106" t="str">
        <f>IF(D18&lt;&gt;"None",IF(G18="",IF(ShowNPCHP,INDEX(ClassTable,H18,7)/2+IF(OR(B18=2,B18=4,B18=6,B18=8,B18=10,B18=12,B18=14,B18=16,B18=18,B18=20),1,0),INT(INDEX(ClassTable,H18,7)*0.75))+ConMod+IF(Bioimplant=3,1,0)+IF(Feats!$M$317&gt;0,1,0),G18),"")</f>
        <v/>
      </c>
      <c r="G18" s="86"/>
      <c r="H18" s="28" t="str">
        <f>IF(D18&lt;&gt;"None",MATCH(D18,ClassList,0),"")</f>
        <v/>
      </c>
      <c r="I18" s="879" t="str">
        <f>IF(D18&lt;&gt;"None",IF(INDEX(ClassTable,H18,3)&lt;1,IF((INT(COUNTIF($D$6:D18,D18)*0.75)-COUNTIF($D$6:D18,D18)*0.75+1)&lt;0.5,0,1),INDEX(ClassTable,H18,3)),"")</f>
        <v/>
      </c>
      <c r="J18" s="27" t="str">
        <f t="shared" si="4"/>
        <v/>
      </c>
      <c r="K18" s="27" t="str">
        <f t="shared" si="1"/>
        <v/>
      </c>
      <c r="L18" s="27" t="str">
        <f t="shared" si="2"/>
        <v/>
      </c>
      <c r="M18" s="29"/>
      <c r="N18" s="579" t="str">
        <f t="shared" si="6"/>
        <v>None</v>
      </c>
      <c r="P18" s="986"/>
      <c r="Q18" s="778"/>
      <c r="R18" s="778"/>
      <c r="S18" s="987"/>
      <c r="U18" s="1506" t="str">
        <f t="shared" si="7"/>
        <v/>
      </c>
      <c r="V18" s="878" t="str">
        <f t="shared" si="8"/>
        <v/>
      </c>
    </row>
    <row r="19" spans="2:22">
      <c r="B19" s="539">
        <v>14</v>
      </c>
      <c r="C19" s="28" t="s">
        <v>2126</v>
      </c>
      <c r="D19" s="1664" t="s">
        <v>154</v>
      </c>
      <c r="E19" s="27" t="str">
        <f t="shared" si="0"/>
        <v/>
      </c>
      <c r="F19" s="1106" t="str">
        <f>IF(D19&lt;&gt;"None",IF(G19="",IF(ShowNPCHP,INDEX(ClassTable,H19,7)/2+IF(OR(B19=2,B19=4,B19=6,B19=8,B19=10,B19=12,B19=14,B19=16,B19=18,B19=20),1,0),INT(INDEX(ClassTable,H19,7)*0.75))+ConMod+IF(Bioimplant=3,1,0)+IF(Feats!$M$317&gt;0,1,0),G19),"")</f>
        <v/>
      </c>
      <c r="G19" s="86"/>
      <c r="H19" s="28" t="str">
        <f t="shared" si="3"/>
        <v/>
      </c>
      <c r="I19" s="879" t="str">
        <f>IF(D19&lt;&gt;"None",IF(INDEX(ClassTable,H19,3)&lt;1,IF((INT(COUNTIF($D$6:D19,D19)*0.75)-COUNTIF($D$6:D19,D19)*0.75+1)&lt;0.5,0,1),INDEX(ClassTable,H19,3)),"")</f>
        <v/>
      </c>
      <c r="J19" s="27" t="str">
        <f t="shared" si="4"/>
        <v/>
      </c>
      <c r="K19" s="27" t="str">
        <f t="shared" si="1"/>
        <v/>
      </c>
      <c r="L19" s="27" t="str">
        <f t="shared" si="2"/>
        <v/>
      </c>
      <c r="M19" s="29"/>
      <c r="N19" s="579" t="str">
        <f t="shared" si="6"/>
        <v>None</v>
      </c>
      <c r="P19" s="980"/>
      <c r="Q19" s="980"/>
      <c r="R19" s="980"/>
      <c r="S19" s="980"/>
      <c r="U19" s="1506" t="str">
        <f t="shared" si="7"/>
        <v/>
      </c>
      <c r="V19" s="878" t="str">
        <f t="shared" si="8"/>
        <v/>
      </c>
    </row>
    <row r="20" spans="2:22">
      <c r="B20" s="539">
        <v>15</v>
      </c>
      <c r="C20" s="28" t="s">
        <v>2127</v>
      </c>
      <c r="D20" s="1664" t="s">
        <v>154</v>
      </c>
      <c r="E20" s="27" t="str">
        <f t="shared" si="0"/>
        <v/>
      </c>
      <c r="F20" s="1106" t="str">
        <f>IF(D20&lt;&gt;"None",IF(G20="",IF(ShowNPCHP,INDEX(ClassTable,H20,7)/2+IF(OR(B20=2,B20=4,B20=6,B20=8,B20=10,B20=12,B20=14,B20=16,B20=18,B20=20),1,0),INT(INDEX(ClassTable,H20,7)*0.75))+ConMod+IF(Bioimplant=3,1,0)+IF(Feats!$M$317&gt;0,1,0),G20),"")</f>
        <v/>
      </c>
      <c r="G20" s="86"/>
      <c r="H20" s="28" t="str">
        <f t="shared" si="3"/>
        <v/>
      </c>
      <c r="I20" s="879" t="str">
        <f>IF(D20&lt;&gt;"None",IF(INDEX(ClassTable,H20,3)&lt;1,IF((INT(COUNTIF($D$6:D20,D20)*0.75)-COUNTIF($D$6:D20,D20)*0.75+1)&lt;0.5,0,1),INDEX(ClassTable,H20,3)),"")</f>
        <v/>
      </c>
      <c r="J20" s="27" t="str">
        <f t="shared" si="4"/>
        <v/>
      </c>
      <c r="K20" s="27" t="str">
        <f t="shared" si="1"/>
        <v/>
      </c>
      <c r="L20" s="27" t="str">
        <f t="shared" si="2"/>
        <v/>
      </c>
      <c r="M20" s="29"/>
      <c r="N20" s="579" t="str">
        <f t="shared" si="6"/>
        <v>None</v>
      </c>
      <c r="P20" s="980"/>
      <c r="Q20" s="980"/>
      <c r="R20" s="980"/>
      <c r="S20" s="980"/>
      <c r="U20" s="1506" t="str">
        <f t="shared" si="7"/>
        <v/>
      </c>
      <c r="V20" s="878" t="str">
        <f t="shared" si="8"/>
        <v/>
      </c>
    </row>
    <row r="21" spans="2:22">
      <c r="B21" s="539">
        <v>16</v>
      </c>
      <c r="C21" s="28" t="s">
        <v>2111</v>
      </c>
      <c r="D21" s="1664" t="s">
        <v>154</v>
      </c>
      <c r="E21" s="27" t="str">
        <f t="shared" si="0"/>
        <v/>
      </c>
      <c r="F21" s="1106" t="str">
        <f>IF(D21&lt;&gt;"None",IF(G21="",IF(ShowNPCHP,INDEX(ClassTable,H21,7)/2+IF(OR(B21=2,B21=4,B21=6,B21=8,B21=10,B21=12,B21=14,B21=16,B21=18,B21=20),1,0),INT(INDEX(ClassTable,H21,7)*0.75))+ConMod+IF(Bioimplant=3,1,0)+IF(Feats!$M$317&gt;0,1,0),G21),"")</f>
        <v/>
      </c>
      <c r="G21" s="86"/>
      <c r="H21" s="28" t="str">
        <f t="shared" si="3"/>
        <v/>
      </c>
      <c r="I21" s="879" t="str">
        <f>IF(D21&lt;&gt;"None",IF(INDEX(ClassTable,H21,3)&lt;1,IF((INT(COUNTIF($D$6:D21,D21)*0.75)-COUNTIF($D$6:D21,D21)*0.75+1)&lt;0.5,0,1),INDEX(ClassTable,H21,3)),"")</f>
        <v/>
      </c>
      <c r="J21" s="27" t="str">
        <f t="shared" si="4"/>
        <v/>
      </c>
      <c r="K21" s="27" t="str">
        <f t="shared" si="1"/>
        <v/>
      </c>
      <c r="L21" s="27" t="str">
        <f t="shared" si="2"/>
        <v/>
      </c>
      <c r="M21" s="29"/>
      <c r="N21" s="579" t="str">
        <f t="shared" si="6"/>
        <v>None</v>
      </c>
      <c r="P21" s="980"/>
      <c r="Q21" s="980"/>
      <c r="R21" s="980"/>
      <c r="S21" s="980"/>
      <c r="U21" s="1506" t="str">
        <f t="shared" si="7"/>
        <v/>
      </c>
      <c r="V21" s="878" t="str">
        <f t="shared" si="8"/>
        <v/>
      </c>
    </row>
    <row r="22" spans="2:22">
      <c r="B22" s="539">
        <v>17</v>
      </c>
      <c r="C22" s="28" t="s">
        <v>2128</v>
      </c>
      <c r="D22" s="1664" t="s">
        <v>154</v>
      </c>
      <c r="E22" s="27" t="str">
        <f t="shared" si="0"/>
        <v/>
      </c>
      <c r="F22" s="1106" t="str">
        <f>IF(D22&lt;&gt;"None",IF(G22="",IF(ShowNPCHP,INDEX(ClassTable,H22,7)/2+IF(OR(B22=2,B22=4,B22=6,B22=8,B22=10,B22=12,B22=14,B22=16,B22=18,B22=20),1,0),INT(INDEX(ClassTable,H22,7)*0.75))+ConMod+IF(Bioimplant=3,1,0)+IF(Feats!$M$317&gt;0,1,0),G22),"")</f>
        <v/>
      </c>
      <c r="G22" s="86"/>
      <c r="H22" s="28" t="str">
        <f t="shared" si="3"/>
        <v/>
      </c>
      <c r="I22" s="879" t="str">
        <f>IF(D22&lt;&gt;"None",IF(INDEX(ClassTable,H22,3)&lt;1,IF((INT(COUNTIF($D$6:D22,D22)*0.75)-COUNTIF($D$6:D22,D22)*0.75+1)&lt;0.5,0,1),INDEX(ClassTable,H22,3)),"")</f>
        <v/>
      </c>
      <c r="J22" s="27" t="str">
        <f t="shared" si="4"/>
        <v/>
      </c>
      <c r="K22" s="27" t="str">
        <f t="shared" si="1"/>
        <v/>
      </c>
      <c r="L22" s="27" t="str">
        <f t="shared" si="2"/>
        <v/>
      </c>
      <c r="M22" s="29"/>
      <c r="N22" s="579" t="str">
        <f t="shared" si="6"/>
        <v>None</v>
      </c>
      <c r="P22" s="980"/>
      <c r="Q22" s="980"/>
      <c r="R22" s="980"/>
      <c r="S22" s="980"/>
      <c r="U22" s="1506" t="str">
        <f t="shared" si="7"/>
        <v/>
      </c>
      <c r="V22" s="878" t="str">
        <f t="shared" si="8"/>
        <v/>
      </c>
    </row>
    <row r="23" spans="2:22">
      <c r="B23" s="539">
        <v>18</v>
      </c>
      <c r="C23" s="28" t="s">
        <v>2129</v>
      </c>
      <c r="D23" s="1664" t="s">
        <v>154</v>
      </c>
      <c r="E23" s="27" t="str">
        <f t="shared" si="0"/>
        <v/>
      </c>
      <c r="F23" s="1106" t="str">
        <f>IF(D23&lt;&gt;"None",IF(G23="",IF(ShowNPCHP,INDEX(ClassTable,H23,7)/2+IF(OR(B23=2,B23=4,B23=6,B23=8,B23=10,B23=12,B23=14,B23=16,B23=18,B23=20),1,0),INT(INDEX(ClassTable,H23,7)*0.75))+ConMod+IF(Bioimplant=3,1,0)+IF(Feats!$M$317&gt;0,1,0),G23),"")</f>
        <v/>
      </c>
      <c r="G23" s="86"/>
      <c r="H23" s="28" t="str">
        <f t="shared" si="3"/>
        <v/>
      </c>
      <c r="I23" s="879" t="str">
        <f>IF(D23&lt;&gt;"None",IF(INDEX(ClassTable,H23,3)&lt;1,IF((INT(COUNTIF($D$6:D23,D23)*0.75)-COUNTIF($D$6:D23,D23)*0.75+1)&lt;0.5,0,1),INDEX(ClassTable,H23,3)),"")</f>
        <v/>
      </c>
      <c r="J23" s="27" t="str">
        <f t="shared" si="4"/>
        <v/>
      </c>
      <c r="K23" s="27" t="str">
        <f t="shared" si="1"/>
        <v/>
      </c>
      <c r="L23" s="27" t="str">
        <f t="shared" si="2"/>
        <v/>
      </c>
      <c r="M23" s="29"/>
      <c r="N23" s="579" t="str">
        <f t="shared" si="6"/>
        <v>None</v>
      </c>
      <c r="P23" s="980"/>
      <c r="Q23" s="980"/>
      <c r="R23" s="980"/>
      <c r="S23" s="980"/>
      <c r="U23" s="1506" t="str">
        <f t="shared" si="7"/>
        <v/>
      </c>
      <c r="V23" s="878" t="str">
        <f t="shared" si="8"/>
        <v/>
      </c>
    </row>
    <row r="24" spans="2:22">
      <c r="B24" s="539">
        <v>19</v>
      </c>
      <c r="C24" s="28" t="s">
        <v>2130</v>
      </c>
      <c r="D24" s="1664" t="s">
        <v>154</v>
      </c>
      <c r="E24" s="27" t="str">
        <f t="shared" si="0"/>
        <v/>
      </c>
      <c r="F24" s="1106" t="str">
        <f>IF(D24&lt;&gt;"None",IF(G24="",IF(ShowNPCHP,INDEX(ClassTable,H24,7)/2+IF(OR(B24=2,B24=4,B24=6,B24=8,B24=10,B24=12,B24=14,B24=16,B24=18,B24=20),1,0),INT(INDEX(ClassTable,H24,7)*0.75))+ConMod+IF(Bioimplant=3,1,0)+IF(Feats!$M$317&gt;0,1,0),G24),"")</f>
        <v/>
      </c>
      <c r="G24" s="86"/>
      <c r="H24" s="28" t="str">
        <f t="shared" si="3"/>
        <v/>
      </c>
      <c r="I24" s="879" t="str">
        <f>IF(D24&lt;&gt;"None",IF(INDEX(ClassTable,H24,3)&lt;1,IF((INT(COUNTIF($D$6:D24,D24)*0.75)-COUNTIF($D$6:D24,D24)*0.75+1)&lt;0.5,0,1),INDEX(ClassTable,H24,3)),"")</f>
        <v/>
      </c>
      <c r="J24" s="27" t="str">
        <f t="shared" si="4"/>
        <v/>
      </c>
      <c r="K24" s="27" t="str">
        <f t="shared" si="1"/>
        <v/>
      </c>
      <c r="L24" s="27" t="str">
        <f t="shared" si="2"/>
        <v/>
      </c>
      <c r="M24" s="29"/>
      <c r="N24" s="579" t="str">
        <f t="shared" si="6"/>
        <v>None</v>
      </c>
      <c r="P24" s="980"/>
      <c r="Q24" s="980"/>
      <c r="R24" s="980"/>
      <c r="S24" s="980"/>
      <c r="U24" s="1506" t="str">
        <f t="shared" si="7"/>
        <v/>
      </c>
      <c r="V24" s="878" t="str">
        <f t="shared" si="8"/>
        <v/>
      </c>
    </row>
    <row r="25" spans="2:22">
      <c r="B25" s="539">
        <v>20</v>
      </c>
      <c r="C25" s="28" t="s">
        <v>2112</v>
      </c>
      <c r="D25" s="1664" t="s">
        <v>154</v>
      </c>
      <c r="E25" s="27" t="str">
        <f t="shared" si="0"/>
        <v/>
      </c>
      <c r="F25" s="1106" t="str">
        <f>IF(D25&lt;&gt;"None",IF(G25="",IF(ShowNPCHP,INDEX(ClassTable,H25,7)/2+IF(OR(B25=2,B25=4,B25=6,B25=8,B25=10,B25=12,B25=14,B25=16,B25=18,B25=20),1,0),INT(INDEX(ClassTable,H25,7)*0.75))+ConMod+IF(Bioimplant=3,1,0)+IF(Feats!$M$317&gt;0,1,0),G25),"")</f>
        <v/>
      </c>
      <c r="G25" s="86"/>
      <c r="H25" s="28" t="str">
        <f t="shared" si="3"/>
        <v/>
      </c>
      <c r="I25" s="879" t="str">
        <f>IF(D25&lt;&gt;"None",IF(INDEX(ClassTable,H25,3)&lt;1,IF((INT(COUNTIF($D$6:D25,D25)*0.75)-COUNTIF($D$6:D25,D25)*0.75+1)&lt;0.5,0,1),INDEX(ClassTable,H25,3)),"")</f>
        <v/>
      </c>
      <c r="J25" s="27" t="str">
        <f t="shared" si="4"/>
        <v/>
      </c>
      <c r="K25" s="27" t="str">
        <f t="shared" si="1"/>
        <v/>
      </c>
      <c r="L25" s="27" t="str">
        <f t="shared" si="2"/>
        <v/>
      </c>
      <c r="M25" s="29"/>
      <c r="N25" s="579" t="str">
        <f t="shared" si="6"/>
        <v>None</v>
      </c>
      <c r="P25" s="980"/>
      <c r="Q25" s="980"/>
      <c r="R25" s="980"/>
      <c r="S25" s="980"/>
      <c r="U25" s="1506" t="str">
        <f t="shared" si="7"/>
        <v/>
      </c>
      <c r="V25" s="878" t="str">
        <f t="shared" si="8"/>
        <v/>
      </c>
    </row>
    <row r="26" spans="2:22">
      <c r="B26" s="26"/>
      <c r="C26" s="28"/>
      <c r="D26" s="28"/>
      <c r="E26" s="74" t="s">
        <v>4050</v>
      </c>
      <c r="F26" s="27">
        <f>SUM(F6:F25)*IF(NPCType=3,4,NPCType)+IF(OR(Cyborg,NOT(ISERROR(FIND("Droid",Race,1)))),IF(DroidSize="Large",10,0),0)</f>
        <v>0</v>
      </c>
      <c r="G26" s="27"/>
      <c r="H26" s="28">
        <f>20-COUNTIF(H6:H25,"")</f>
        <v>0</v>
      </c>
      <c r="I26" s="27">
        <f>COUNTIF(I6:I25,1)</f>
        <v>0</v>
      </c>
      <c r="J26" s="27">
        <f>MAX(J6:J25)</f>
        <v>0</v>
      </c>
      <c r="K26" s="27">
        <f>MAX(K6:K25)</f>
        <v>0</v>
      </c>
      <c r="L26" s="27">
        <f>MAX(L6:L25)</f>
        <v>0</v>
      </c>
      <c r="M26" s="29"/>
      <c r="N26" s="579" t="str">
        <f>N25</f>
        <v>None</v>
      </c>
      <c r="P26" s="980"/>
      <c r="Q26" s="980"/>
      <c r="R26" s="980"/>
      <c r="S26" s="980"/>
      <c r="U26" s="1506" t="str">
        <f t="shared" si="7"/>
        <v/>
      </c>
      <c r="V26" s="383" t="str">
        <f>V25</f>
        <v/>
      </c>
    </row>
    <row r="27" spans="2:22" ht="15" thickBot="1">
      <c r="B27" s="32"/>
      <c r="C27" s="33"/>
      <c r="D27" s="33"/>
      <c r="E27" s="1292" t="s">
        <v>6216</v>
      </c>
      <c r="F27" s="1293">
        <f>IF(NPCType=2,5,0)</f>
        <v>0</v>
      </c>
      <c r="G27" s="34"/>
      <c r="H27" s="1061">
        <f>CharacterLevel-COUNTIF(AllLevels,"Nonheroic")-COUNTIF(AllLevels,"Beast")</f>
        <v>0</v>
      </c>
      <c r="I27" s="33"/>
      <c r="J27" s="34"/>
      <c r="K27" s="34"/>
      <c r="L27" s="34"/>
      <c r="M27" s="35"/>
      <c r="P27" s="980"/>
      <c r="Q27" s="980"/>
      <c r="R27" s="980"/>
      <c r="S27" s="980"/>
    </row>
    <row r="28" spans="2:22">
      <c r="R28" s="878"/>
    </row>
    <row r="29" spans="2:22" hidden="1">
      <c r="R29" s="878"/>
    </row>
    <row r="30" spans="2:22" hidden="1">
      <c r="R30" s="878"/>
    </row>
    <row r="31" spans="2:22" hidden="1">
      <c r="R31" s="878"/>
    </row>
    <row r="32" spans="2:22" hidden="1">
      <c r="R32" s="878"/>
    </row>
    <row r="33" spans="18:18" hidden="1">
      <c r="R33" s="878"/>
    </row>
    <row r="34" spans="18:18" hidden="1">
      <c r="R34" s="878"/>
    </row>
    <row r="35" spans="18:18" hidden="1">
      <c r="R35" s="878"/>
    </row>
    <row r="36" spans="18:18" hidden="1">
      <c r="R36" s="878"/>
    </row>
    <row r="37" spans="18:18" hidden="1">
      <c r="R37" s="878"/>
    </row>
    <row r="38" spans="18:18" hidden="1">
      <c r="R38" s="878"/>
    </row>
    <row r="39" spans="18:18" hidden="1">
      <c r="R39" s="878"/>
    </row>
    <row r="40" spans="18:18" hidden="1">
      <c r="R40" s="878"/>
    </row>
    <row r="41" spans="18:18" hidden="1">
      <c r="R41" s="878"/>
    </row>
    <row r="42" spans="18:18" hidden="1">
      <c r="R42" s="878"/>
    </row>
    <row r="43" spans="18:18" hidden="1">
      <c r="R43" s="878"/>
    </row>
    <row r="44" spans="18:18" hidden="1">
      <c r="R44" s="878"/>
    </row>
    <row r="45" spans="18:18" hidden="1">
      <c r="R45" s="878"/>
    </row>
    <row r="46" spans="18:18" hidden="1">
      <c r="R46" s="878"/>
    </row>
    <row r="47" spans="18:18">
      <c r="R47" s="878"/>
    </row>
    <row r="48" spans="18:18">
      <c r="R48" s="878"/>
    </row>
    <row r="49" spans="18:18">
      <c r="R49" s="878"/>
    </row>
  </sheetData>
  <conditionalFormatting sqref="E6:G25">
    <cfRule type="containsText" dxfId="156" priority="2" operator="containsText" text="None">
      <formula>NOT(ISERROR(SEARCH("None",E6)))</formula>
    </cfRule>
  </conditionalFormatting>
  <conditionalFormatting sqref="D6:D25">
    <cfRule type="containsText" dxfId="155" priority="1" operator="containsText" text="None">
      <formula>NOT(ISERROR(SEARCH("None",D6)))</formula>
    </cfRule>
  </conditionalFormatting>
  <dataValidations count="10">
    <dataValidation type="list" allowBlank="1" showInputMessage="1" showErrorMessage="1" sqref="R6" xr:uid="{00000000-0002-0000-0600-000000000000}">
      <formula1>"Force Sensitivity,Weapon Proficiency (lightsabers),Weapon Proficiency (simple)"</formula1>
    </dataValidation>
    <dataValidation type="list" allowBlank="1" showInputMessage="1" showErrorMessage="1" sqref="R10" xr:uid="{00000000-0002-0000-0600-000001000000}">
      <formula1>"Armor Proficiency (light),Armor Proficiency (medium),Weapon Proficiency (pistols),Weapon Proficiency (rifles),eapon Proficiency (simple)"</formula1>
    </dataValidation>
    <dataValidation type="list" allowBlank="1" showInputMessage="1" showErrorMessage="1" sqref="R9" xr:uid="{00000000-0002-0000-0600-000002000000}">
      <formula1>"Shake it Off,Weapon Proficiency (pistols),Weapon Proficiency (rifles),Weapon Proficiency (simple)"</formula1>
    </dataValidation>
    <dataValidation type="list" allowBlank="1" showInputMessage="1" showErrorMessage="1" sqref="R7" xr:uid="{00000000-0002-0000-0600-000003000000}">
      <formula1>"Linguist,Weapon Proficiency (pistols),Weapon Proficiency (simple)"</formula1>
    </dataValidation>
    <dataValidation type="list" allowBlank="1" showInputMessage="1" showErrorMessage="1" sqref="R8" xr:uid="{00000000-0002-0000-0600-000004000000}">
      <formula1>"Point Blank Shot,Weapon Proficiency (pistols),Weapon Proficiency (simple)"</formula1>
    </dataValidation>
    <dataValidation showInputMessage="1" showErrorMessage="1" sqref="E6:G6 E7:E25" xr:uid="{00000000-0002-0000-0600-000005000000}"/>
    <dataValidation type="list" allowBlank="1" showInputMessage="1" showErrorMessage="1" sqref="D6:D8" xr:uid="{00000000-0002-0000-0600-000006000000}">
      <formula1>ClassListBase</formula1>
    </dataValidation>
    <dataValidation type="list" allowBlank="1" showInputMessage="1" showErrorMessage="1" sqref="D13:D25" xr:uid="{00000000-0002-0000-0600-000007000000}">
      <formula1>ClassList</formula1>
    </dataValidation>
    <dataValidation type="list" allowBlank="1" showInputMessage="1" showErrorMessage="1" sqref="R15:R17" xr:uid="{00000000-0002-0000-0600-000008000000}">
      <formula1>"Armor Proficiency (light),Armor Proficiency (medium),Skill Focus,Skill Training,Weapon Proficiency (advanced melee),Weapon Proficiency (heavy),Weapon Proficiency (pistols),Weapon Proficiency (rifles),Weapon Proficiency (simple)"</formula1>
    </dataValidation>
    <dataValidation type="list" allowBlank="1" showInputMessage="1" showErrorMessage="1" sqref="D9:D12" xr:uid="{00000000-0002-0000-0600-000009000000}">
      <formula1>ClassList427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ClearClasses">
                <anchor moveWithCells="1" sizeWithCells="1">
                  <from>
                    <xdr:col>10</xdr:col>
                    <xdr:colOff>69850</xdr:colOff>
                    <xdr:row>1</xdr:row>
                    <xdr:rowOff>114300</xdr:rowOff>
                  </from>
                  <to>
                    <xdr:col>11</xdr:col>
                    <xdr:colOff>209550</xdr:colOff>
                    <xdr:row>3</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I147"/>
  <sheetViews>
    <sheetView showGridLines="0" zoomScaleNormal="100" workbookViewId="0">
      <selection activeCell="F10" sqref="F10"/>
    </sheetView>
  </sheetViews>
  <sheetFormatPr defaultRowHeight="14.5"/>
  <cols>
    <col min="1" max="1" width="3" style="15" customWidth="1"/>
    <col min="2" max="2" width="3" customWidth="1"/>
    <col min="3" max="3" width="29.7265625" customWidth="1"/>
    <col min="4" max="4" width="14.1796875" style="2" customWidth="1"/>
    <col min="5" max="5" width="9.1796875" style="2"/>
    <col min="6" max="7" width="7.81640625" style="2" customWidth="1"/>
    <col min="8" max="8" width="11" style="1612" customWidth="1"/>
    <col min="9" max="9" width="7.1796875" style="2" customWidth="1"/>
    <col min="10" max="10" width="8" style="2" customWidth="1"/>
    <col min="11" max="15" width="9.1796875" style="2"/>
    <col min="16" max="16" width="8.54296875" hidden="1" customWidth="1"/>
    <col min="17" max="18" width="5.81640625" style="15" hidden="1" customWidth="1"/>
    <col min="19" max="73" width="5.81640625" style="16" hidden="1" customWidth="1"/>
    <col min="74" max="74" width="5.81640625" style="1620" hidden="1" customWidth="1"/>
    <col min="75" max="76" width="5.81640625" style="15" hidden="1" customWidth="1"/>
    <col min="77" max="78" width="5.81640625" style="1125" hidden="1" customWidth="1"/>
    <col min="79" max="79" width="5.81640625" style="15" customWidth="1"/>
    <col min="80" max="80" width="10.453125" style="15" customWidth="1"/>
    <col min="81" max="81" width="9.1796875" style="15" customWidth="1"/>
    <col min="82" max="82" width="2.81640625" style="1549" customWidth="1"/>
    <col min="83" max="83" width="4.81640625" style="1549" customWidth="1"/>
    <col min="84" max="84" width="2.81640625" style="15" customWidth="1"/>
    <col min="85" max="90" width="9.1796875" style="15" hidden="1" customWidth="1"/>
    <col min="91" max="93" width="9.1796875" style="15" customWidth="1"/>
    <col min="94" max="101" width="9.1796875" customWidth="1"/>
    <col min="102" max="102" width="2.81640625" customWidth="1"/>
    <col min="103" max="103" width="2.81640625" style="1552" customWidth="1"/>
    <col min="104" max="104" width="2.81640625" customWidth="1"/>
  </cols>
  <sheetData>
    <row r="1" spans="1:139" s="15" customFormat="1" ht="15" thickBot="1">
      <c r="D1" s="16"/>
      <c r="E1" s="16"/>
      <c r="F1" s="16"/>
      <c r="G1" s="16"/>
      <c r="H1" s="16"/>
      <c r="I1" s="16"/>
      <c r="J1" s="16"/>
      <c r="K1" s="16"/>
      <c r="L1" s="16"/>
      <c r="M1" s="16"/>
      <c r="N1" s="16"/>
      <c r="O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20"/>
      <c r="BW1" s="16"/>
      <c r="BX1" s="16"/>
      <c r="BY1" s="16"/>
      <c r="BZ1" s="16"/>
      <c r="CA1" s="16"/>
      <c r="CB1" s="16"/>
      <c r="CC1" s="16"/>
      <c r="CD1" s="16"/>
      <c r="CG1" s="1125"/>
      <c r="CH1" s="1125"/>
      <c r="CL1" s="1549"/>
      <c r="CM1" s="1549"/>
      <c r="DG1" s="1549"/>
    </row>
    <row r="2" spans="1:139">
      <c r="B2" s="22"/>
      <c r="C2" s="23"/>
      <c r="D2" s="24"/>
      <c r="E2" s="24"/>
      <c r="F2" s="24"/>
      <c r="G2" s="24"/>
      <c r="H2" s="1399"/>
      <c r="I2" s="24"/>
      <c r="J2" s="24"/>
      <c r="K2" s="24"/>
      <c r="L2" s="24"/>
      <c r="M2" s="24"/>
      <c r="N2" s="24"/>
      <c r="O2" s="1707"/>
      <c r="P2" s="25"/>
      <c r="CA2" s="22"/>
      <c r="CB2" s="948"/>
      <c r="CC2" s="948"/>
      <c r="CD2" s="1325"/>
      <c r="CE2" s="1325"/>
      <c r="CF2" s="25"/>
      <c r="CP2" s="718"/>
      <c r="CQ2" s="718"/>
      <c r="CR2" s="718"/>
      <c r="CS2" s="718"/>
      <c r="CT2" s="718"/>
      <c r="CU2" s="718"/>
      <c r="CV2" s="718"/>
      <c r="CW2" s="718"/>
      <c r="CX2" s="718"/>
      <c r="CY2" s="1549"/>
      <c r="CZ2" s="979"/>
      <c r="DA2" s="979"/>
      <c r="DB2" s="979"/>
      <c r="DC2" s="979"/>
      <c r="DD2" s="979"/>
      <c r="DE2" s="979"/>
      <c r="DF2" s="979"/>
      <c r="DG2" s="979"/>
      <c r="DH2" s="979"/>
      <c r="DI2" s="979"/>
      <c r="DJ2" s="979"/>
      <c r="DK2" s="979"/>
      <c r="DL2" s="979"/>
      <c r="DM2" s="979"/>
      <c r="DN2" s="979"/>
      <c r="DO2" s="979"/>
      <c r="DP2" s="979"/>
      <c r="DQ2" s="979"/>
      <c r="DR2" s="979"/>
      <c r="DS2" s="979"/>
      <c r="DT2" s="979"/>
      <c r="DU2" s="979"/>
      <c r="DV2" s="979"/>
      <c r="DW2" s="979"/>
      <c r="DX2" s="979"/>
      <c r="DY2" s="979"/>
      <c r="DZ2" s="979"/>
      <c r="EA2" s="979"/>
      <c r="EB2" s="979"/>
      <c r="EC2" s="979"/>
      <c r="ED2" s="979"/>
      <c r="EE2" s="979"/>
      <c r="EF2" s="979"/>
      <c r="EG2" s="979"/>
      <c r="EH2" s="979"/>
      <c r="EI2" s="979"/>
    </row>
    <row r="3" spans="1:139" ht="21">
      <c r="B3" s="26"/>
      <c r="C3" s="48" t="s">
        <v>63</v>
      </c>
      <c r="D3" s="27"/>
      <c r="E3" s="27"/>
      <c r="F3" s="27"/>
      <c r="G3" s="1128"/>
      <c r="H3" s="1613"/>
      <c r="I3" s="27"/>
      <c r="J3" s="27"/>
      <c r="K3" s="27"/>
      <c r="L3" s="27"/>
      <c r="M3" s="876"/>
      <c r="N3" s="876"/>
      <c r="O3" s="619"/>
      <c r="P3" s="29"/>
      <c r="CA3" s="26"/>
      <c r="CB3" s="947"/>
      <c r="CC3" s="947"/>
      <c r="CD3" s="1545"/>
      <c r="CE3" s="1545"/>
      <c r="CF3" s="29"/>
      <c r="CP3" s="718"/>
      <c r="CQ3" s="718"/>
      <c r="CR3" s="718"/>
      <c r="CS3" s="718"/>
      <c r="CT3" s="718"/>
      <c r="CU3" s="718"/>
      <c r="CV3" s="718"/>
      <c r="CW3" s="718"/>
      <c r="CX3" s="718"/>
      <c r="CY3" s="1549"/>
      <c r="CZ3" s="979"/>
      <c r="DA3" s="979"/>
      <c r="DB3" s="979"/>
      <c r="DC3" s="979"/>
      <c r="DD3" s="979"/>
      <c r="DE3" s="979"/>
      <c r="DF3" s="979"/>
      <c r="DG3" s="979"/>
      <c r="DH3" s="979"/>
      <c r="DI3" s="979"/>
      <c r="DJ3" s="979"/>
      <c r="DK3" s="979"/>
      <c r="DL3" s="979"/>
      <c r="DM3" s="979"/>
      <c r="DN3" s="979"/>
      <c r="DO3" s="979"/>
      <c r="DP3" s="979"/>
      <c r="DQ3" s="979"/>
      <c r="DR3" s="979"/>
      <c r="DS3" s="979"/>
      <c r="DT3" s="979"/>
      <c r="DU3" s="979"/>
      <c r="DV3" s="979"/>
      <c r="DW3" s="979"/>
      <c r="DX3" s="979"/>
      <c r="DY3" s="979"/>
      <c r="DZ3" s="979"/>
      <c r="EA3" s="979"/>
      <c r="EB3" s="979"/>
      <c r="EC3" s="979"/>
      <c r="ED3" s="979"/>
      <c r="EE3" s="979"/>
      <c r="EF3" s="979"/>
      <c r="EG3" s="979"/>
      <c r="EH3" s="979"/>
      <c r="EI3" s="979"/>
    </row>
    <row r="4" spans="1:139" ht="14.5" customHeight="1">
      <c r="B4" s="26"/>
      <c r="C4" s="28"/>
      <c r="D4" s="27"/>
      <c r="E4" s="1155" t="s">
        <v>4206</v>
      </c>
      <c r="F4" s="27"/>
      <c r="G4" s="1128"/>
      <c r="H4" s="1613"/>
      <c r="I4" s="27"/>
      <c r="J4" s="27"/>
      <c r="K4" s="27"/>
      <c r="L4" s="27"/>
      <c r="M4" s="876"/>
      <c r="N4" s="876"/>
      <c r="O4" s="619"/>
      <c r="P4" s="29"/>
      <c r="S4" s="16">
        <f>IF(COUNTIF(Class!H6:H25,2),1,0)</f>
        <v>0</v>
      </c>
      <c r="T4" s="16">
        <f>IF(COUNTIF(Class!H6:H25,3),1,0)</f>
        <v>0</v>
      </c>
      <c r="U4" s="16">
        <f>IF(COUNTIF(Class!H6:H25,4),1,0)</f>
        <v>0</v>
      </c>
      <c r="V4" s="16">
        <f>IF(COUNTIF(Class!H6:H25,5),1,0)</f>
        <v>0</v>
      </c>
      <c r="W4" s="16">
        <f>IF(COUNTIF(Class!H6:H25,6),1,0)</f>
        <v>0</v>
      </c>
      <c r="X4" s="16">
        <f>IF(COUNTIF(Class!H6:H25,7),1,0)</f>
        <v>0</v>
      </c>
      <c r="Y4" s="16">
        <f>IF(COUNTIF(Class!H6:H25,8),1,0)</f>
        <v>0</v>
      </c>
      <c r="AA4" s="16">
        <f>IF(COUNTIF(Class!H6:H25,21),1,0)</f>
        <v>0</v>
      </c>
      <c r="AB4" s="16">
        <f>IF(COUNTIF('Character &amp; Species'!AL9,2),1,0)</f>
        <v>0</v>
      </c>
      <c r="AC4" s="16">
        <f>IF(COUNTIF('Character &amp; Species'!AL9,3),1,0)</f>
        <v>0</v>
      </c>
      <c r="AD4" s="16">
        <f>IF(COUNTIF('Character &amp; Species'!AL9,4),1,0)</f>
        <v>0</v>
      </c>
      <c r="AE4" s="16">
        <f>IF(COUNTIF('Character &amp; Species'!AL9,5),1,0)</f>
        <v>0</v>
      </c>
      <c r="AF4" s="16">
        <f>IF(COUNTIF('Character &amp; Species'!AL9,6),1,0)</f>
        <v>0</v>
      </c>
      <c r="AG4" s="16">
        <f>IF(COUNTIF('Character &amp; Species'!AL9,7),1,0)</f>
        <v>0</v>
      </c>
      <c r="AH4" s="16">
        <f>IF(COUNTIF('Character &amp; Species'!AL9,8),1,0)</f>
        <v>0</v>
      </c>
      <c r="AI4" s="16">
        <f>IF(COUNTIF('Character &amp; Species'!AL9,9),1,0)</f>
        <v>0</v>
      </c>
      <c r="AJ4" s="16">
        <f>IF(COUNTIF('Character &amp; Species'!AL9,10),1,0)</f>
        <v>0</v>
      </c>
      <c r="AK4" s="16">
        <f>IF(COUNTIF('Character &amp; Species'!AL9,11),1,0)</f>
        <v>0</v>
      </c>
      <c r="AL4" s="16">
        <f>IF(COUNTIF('Character &amp; Species'!AL9,12),1,0)</f>
        <v>0</v>
      </c>
      <c r="AM4" s="16">
        <f>IF(COUNTIF('Character &amp; Species'!AL9,13),1,0)</f>
        <v>0</v>
      </c>
      <c r="AN4" s="16">
        <f>IF(COUNTIF('Character &amp; Species'!AL9,14),1,0)</f>
        <v>0</v>
      </c>
      <c r="AO4" s="16">
        <f>IF(COUNTIF('Character &amp; Species'!AL9,15),1,0)</f>
        <v>0</v>
      </c>
      <c r="AP4" s="16">
        <f>IF(COUNTIF('Character &amp; Species'!AL9,16),1,0)</f>
        <v>0</v>
      </c>
      <c r="AQ4" s="16">
        <f>IF(COUNTIF('Character &amp; Species'!AL9,17),1,0)</f>
        <v>0</v>
      </c>
      <c r="AR4" s="16">
        <f>IF(COUNTIF('Character &amp; Species'!AL9,18),1,0)</f>
        <v>0</v>
      </c>
      <c r="AS4" s="16">
        <f>IF(COUNTIF('Character &amp; Species'!AL9,19),1,0)</f>
        <v>0</v>
      </c>
      <c r="AT4" s="16">
        <f>IF(COUNTIF('Character &amp; Species'!AL9,20),1,0)</f>
        <v>0</v>
      </c>
      <c r="AU4" s="16">
        <f>IF(COUNTIF('Character &amp; Species'!AL9,21),1,0)</f>
        <v>0</v>
      </c>
      <c r="AV4" s="16">
        <f>IF(COUNTIF('Character &amp; Species'!AL9,22),1,0)</f>
        <v>0</v>
      </c>
      <c r="AW4" s="16">
        <f>IF(COUNTIF('Character &amp; Species'!AL9,23),1,0)</f>
        <v>0</v>
      </c>
      <c r="AX4" s="16">
        <f>IF(COUNTIF('Character &amp; Species'!AL9,24),1,0)</f>
        <v>0</v>
      </c>
      <c r="AY4" s="16">
        <f>IF(COUNTIF('Character &amp; Species'!AL9,25),1,0)</f>
        <v>0</v>
      </c>
      <c r="AZ4" s="16">
        <f>IF(COUNTIF('Character &amp; Species'!AL9,26),1,0)</f>
        <v>0</v>
      </c>
      <c r="BA4" s="16">
        <f>IF(COUNTIF('Character &amp; Species'!AL9,27),1,0)</f>
        <v>0</v>
      </c>
      <c r="BB4" s="16">
        <f>IF(COUNTIF('Character &amp; Species'!AL9,28),1,0)</f>
        <v>0</v>
      </c>
      <c r="BC4" s="16">
        <f>IF(COUNTIF('Character &amp; Species'!AL9,29),1,0)</f>
        <v>0</v>
      </c>
      <c r="BD4" s="16">
        <f>IF(COUNTIF('Character &amp; Species'!AL9,30),1,0)</f>
        <v>0</v>
      </c>
      <c r="BE4" s="16">
        <f>IF(COUNTIF('Character &amp; Species'!AL9,31),1,0)</f>
        <v>0</v>
      </c>
      <c r="BF4" s="16">
        <f>IF(COUNTIF('Character &amp; Species'!AL9,32),1,0)</f>
        <v>0</v>
      </c>
      <c r="BG4" s="16">
        <f>IF(COUNTIF('Character &amp; Species'!AL9,33),1,0)</f>
        <v>0</v>
      </c>
      <c r="BH4" s="16">
        <f>IF(COUNTIF('Character &amp; Species'!AL9,34),1,0)</f>
        <v>0</v>
      </c>
      <c r="BI4" s="16">
        <f>IF(COUNTIF('Character &amp; Species'!AL9,35),1,0)</f>
        <v>0</v>
      </c>
      <c r="BJ4" s="16">
        <f>IF(COUNTIF('Character &amp; Species'!AL9,36),1,0)</f>
        <v>0</v>
      </c>
      <c r="BK4" s="16">
        <f>IF(COUNTIF('Character &amp; Species'!AL9,37),1,0)</f>
        <v>0</v>
      </c>
      <c r="BL4" s="16">
        <f>IF(COUNTIF('Character &amp; Species'!AL9,38),1,0)</f>
        <v>0</v>
      </c>
      <c r="BM4" s="16">
        <f>IF(COUNTIF('Character &amp; Species'!AL9,39),1,0)</f>
        <v>0</v>
      </c>
      <c r="BN4" s="16">
        <f>IF(COUNTIF('Character &amp; Species'!AL9,40),1,0)</f>
        <v>0</v>
      </c>
      <c r="BO4" s="16">
        <f>IF(COUNTIF('Character &amp; Species'!AL9,41),1,0)</f>
        <v>0</v>
      </c>
      <c r="BP4" s="16">
        <f>IF(COUNTIF('Character &amp; Species'!AL9,42),1,0)</f>
        <v>0</v>
      </c>
      <c r="BQ4" s="16">
        <f>IF(COUNTIF('Character &amp; Species'!AL9,43),1,0)</f>
        <v>0</v>
      </c>
      <c r="BR4" s="16">
        <f>IF(COUNTIF('Character &amp; Species'!AL9,44),1,0)</f>
        <v>0</v>
      </c>
      <c r="BS4" s="16">
        <f>IF(COUNTIF('Character &amp; Species'!AL9,45),1,0)</f>
        <v>0</v>
      </c>
      <c r="BT4" s="16">
        <f>IF(COUNTIF('Character &amp; Species'!AL9,46),1,0)</f>
        <v>0</v>
      </c>
      <c r="BU4" s="16">
        <f>IF(COUNTIF('Character &amp; Species'!AL9,47),1,0)</f>
        <v>0</v>
      </c>
      <c r="CA4" s="26"/>
      <c r="CB4" s="947"/>
      <c r="CC4" s="947"/>
      <c r="CD4" s="1545"/>
      <c r="CE4" s="1787" t="s">
        <v>8634</v>
      </c>
      <c r="CF4" s="29"/>
      <c r="CP4" s="718"/>
      <c r="CQ4" s="718"/>
      <c r="CR4" s="718"/>
      <c r="CS4" s="718"/>
      <c r="CT4" s="718"/>
      <c r="CU4" s="718"/>
      <c r="CV4" s="718"/>
      <c r="CW4" s="718"/>
      <c r="CX4" s="718"/>
      <c r="CY4" s="1549"/>
      <c r="CZ4" s="979"/>
      <c r="DA4" s="979"/>
      <c r="DB4" s="979"/>
      <c r="DC4" s="979"/>
      <c r="DD4" s="979"/>
      <c r="DE4" s="979"/>
      <c r="DF4" s="979"/>
      <c r="DG4" s="979"/>
      <c r="DH4" s="979"/>
      <c r="DI4" s="979"/>
      <c r="DJ4" s="979"/>
      <c r="DK4" s="979"/>
      <c r="DL4" s="979"/>
      <c r="DM4" s="979"/>
      <c r="DN4" s="979"/>
      <c r="DO4" s="979"/>
      <c r="DP4" s="979"/>
      <c r="DQ4" s="979"/>
      <c r="DR4" s="979"/>
      <c r="DS4" s="979"/>
      <c r="DT4" s="979"/>
      <c r="DU4" s="979"/>
      <c r="DV4" s="979"/>
      <c r="DW4" s="979"/>
      <c r="DX4" s="979"/>
      <c r="DY4" s="979"/>
      <c r="DZ4" s="979"/>
      <c r="EA4" s="979"/>
      <c r="EB4" s="979"/>
      <c r="EC4" s="979"/>
      <c r="ED4" s="979"/>
      <c r="EE4" s="979"/>
      <c r="EF4" s="979"/>
      <c r="EG4" s="979"/>
      <c r="EH4" s="979"/>
      <c r="EI4" s="979"/>
    </row>
    <row r="5" spans="1:139">
      <c r="B5" s="26"/>
      <c r="C5" s="74" t="s">
        <v>2247</v>
      </c>
      <c r="D5" s="27">
        <f>E5-COUNTIF(F11:F35,"Yes")</f>
        <v>0</v>
      </c>
      <c r="E5" s="27">
        <f>IF(FirstClass&lt;&gt;"None",MAX(1,INDEX(ClassTable,Class!H6,8)+IntMod+IF(AND(Species="Near Human",NearHumanTrait="Naturally acrobatic"),1,0)+IF(NOT(ISERROR(FIND("Bonus Trained Skill",SpeciesTraitsList,1))),1,0),0),0)</f>
        <v>0</v>
      </c>
      <c r="F5" s="27"/>
      <c r="G5" s="1128"/>
      <c r="H5" s="1613"/>
      <c r="I5" s="27"/>
      <c r="J5" s="27"/>
      <c r="K5" s="27"/>
      <c r="L5" s="27"/>
      <c r="M5" s="876"/>
      <c r="N5" s="876"/>
      <c r="O5" s="619"/>
      <c r="P5" s="29"/>
      <c r="S5" s="1783" t="s">
        <v>191</v>
      </c>
      <c r="T5" s="1783" t="s">
        <v>234</v>
      </c>
      <c r="U5" s="1783" t="s">
        <v>279</v>
      </c>
      <c r="V5" s="1783" t="s">
        <v>317</v>
      </c>
      <c r="W5" s="1783" t="s">
        <v>350</v>
      </c>
      <c r="X5" s="1783" t="s">
        <v>378</v>
      </c>
      <c r="Y5" s="1783" t="s">
        <v>708</v>
      </c>
      <c r="Z5" s="1062"/>
      <c r="AA5" s="1783" t="s">
        <v>7</v>
      </c>
      <c r="AB5" s="1783" t="s">
        <v>8684</v>
      </c>
      <c r="AC5" s="1783" t="s">
        <v>8685</v>
      </c>
      <c r="AD5" s="1783" t="s">
        <v>8686</v>
      </c>
      <c r="AE5" s="1783" t="s">
        <v>8687</v>
      </c>
      <c r="AF5" s="1783" t="s">
        <v>8688</v>
      </c>
      <c r="AG5" s="1783" t="s">
        <v>8689</v>
      </c>
      <c r="AH5" s="1783" t="s">
        <v>8690</v>
      </c>
      <c r="AI5" s="1783" t="s">
        <v>8691</v>
      </c>
      <c r="AJ5" s="1783" t="s">
        <v>8692</v>
      </c>
      <c r="AK5" s="1783" t="s">
        <v>8693</v>
      </c>
      <c r="AL5" s="1783" t="s">
        <v>8694</v>
      </c>
      <c r="AM5" s="1783" t="s">
        <v>8695</v>
      </c>
      <c r="AN5" s="1783" t="s">
        <v>8696</v>
      </c>
      <c r="AO5" s="1783" t="s">
        <v>8697</v>
      </c>
      <c r="AP5" s="1783" t="s">
        <v>8698</v>
      </c>
      <c r="AQ5" s="1783" t="s">
        <v>8699</v>
      </c>
      <c r="AR5" s="1783" t="s">
        <v>8729</v>
      </c>
      <c r="AS5" s="1783" t="s">
        <v>8700</v>
      </c>
      <c r="AT5" s="1783" t="s">
        <v>196</v>
      </c>
      <c r="AU5" s="1783" t="s">
        <v>731</v>
      </c>
      <c r="AV5" s="1783" t="s">
        <v>8701</v>
      </c>
      <c r="AW5" s="1783" t="s">
        <v>8702</v>
      </c>
      <c r="AX5" s="1783" t="s">
        <v>8703</v>
      </c>
      <c r="AY5" s="1783" t="s">
        <v>8704</v>
      </c>
      <c r="AZ5" s="1783" t="s">
        <v>8705</v>
      </c>
      <c r="BA5" s="1783" t="s">
        <v>8706</v>
      </c>
      <c r="BB5" s="1783" t="s">
        <v>8707</v>
      </c>
      <c r="BC5" s="1783" t="s">
        <v>8708</v>
      </c>
      <c r="BD5" s="1783" t="s">
        <v>8709</v>
      </c>
      <c r="BE5" s="1783" t="s">
        <v>8710</v>
      </c>
      <c r="BF5" s="1783" t="s">
        <v>8711</v>
      </c>
      <c r="BG5" s="1783" t="s">
        <v>8712</v>
      </c>
      <c r="BH5" s="1783" t="s">
        <v>8713</v>
      </c>
      <c r="BI5" s="1783" t="s">
        <v>8714</v>
      </c>
      <c r="BJ5" s="1783" t="s">
        <v>8715</v>
      </c>
      <c r="BK5" s="1783" t="s">
        <v>8725</v>
      </c>
      <c r="BL5" s="1783" t="s">
        <v>1753</v>
      </c>
      <c r="BM5" s="1783" t="s">
        <v>8716</v>
      </c>
      <c r="BN5" s="1783" t="s">
        <v>8730</v>
      </c>
      <c r="BO5" s="1783" t="s">
        <v>8717</v>
      </c>
      <c r="BP5" s="1783" t="s">
        <v>8718</v>
      </c>
      <c r="BQ5" s="1783" t="s">
        <v>8719</v>
      </c>
      <c r="BR5" s="1783" t="s">
        <v>8720</v>
      </c>
      <c r="BS5" s="1783" t="s">
        <v>8721</v>
      </c>
      <c r="BT5" s="1783" t="s">
        <v>8722</v>
      </c>
      <c r="BU5" s="1783" t="s">
        <v>8723</v>
      </c>
      <c r="BV5" s="1621"/>
      <c r="CA5" s="26"/>
      <c r="CB5" s="947"/>
      <c r="CC5" s="947"/>
      <c r="CD5" s="1545"/>
      <c r="CE5" s="1787"/>
      <c r="CF5" s="29"/>
      <c r="CP5" s="718"/>
      <c r="CQ5" s="718"/>
      <c r="CR5" s="718"/>
      <c r="CS5" s="718"/>
      <c r="CT5" s="718"/>
      <c r="CU5" s="718"/>
      <c r="CV5" s="718"/>
      <c r="CW5" s="718"/>
      <c r="CX5" s="718"/>
      <c r="CY5" s="1549"/>
      <c r="CZ5" s="979"/>
      <c r="DA5" s="979"/>
      <c r="DB5" s="979"/>
      <c r="DC5" s="979"/>
      <c r="DD5" s="979"/>
      <c r="DE5" s="979"/>
      <c r="DF5" s="979"/>
      <c r="DG5" s="979"/>
      <c r="DH5" s="979"/>
      <c r="DI5" s="979"/>
      <c r="DJ5" s="979"/>
      <c r="DK5" s="979"/>
      <c r="DL5" s="979"/>
      <c r="DM5" s="979"/>
      <c r="DN5" s="979"/>
      <c r="DO5" s="979"/>
      <c r="DP5" s="979"/>
      <c r="DQ5" s="979"/>
      <c r="DR5" s="979"/>
      <c r="DS5" s="979"/>
      <c r="DT5" s="979"/>
      <c r="DU5" s="979"/>
      <c r="DV5" s="979"/>
      <c r="DW5" s="979"/>
      <c r="DX5" s="979"/>
      <c r="DY5" s="979"/>
      <c r="DZ5" s="979"/>
      <c r="EA5" s="979"/>
      <c r="EB5" s="979"/>
      <c r="EC5" s="979"/>
      <c r="ED5" s="979"/>
      <c r="EE5" s="979"/>
      <c r="EF5" s="979"/>
      <c r="EG5" s="979"/>
      <c r="EH5" s="979"/>
      <c r="EI5" s="979"/>
    </row>
    <row r="6" spans="1:139">
      <c r="B6" s="26"/>
      <c r="C6" s="74" t="s">
        <v>6154</v>
      </c>
      <c r="D6" s="27">
        <f ca="1">E6-COUNTIF(G11:G35,"Yes")</f>
        <v>0</v>
      </c>
      <c r="E6" s="27">
        <f ca="1">IF(Feats!M291&gt;0,Feats!M291,0)</f>
        <v>0</v>
      </c>
      <c r="F6" s="27"/>
      <c r="G6" s="1642" t="str">
        <f>IF($D$8&gt;0,"Choose skills from background first to finalise class skill list.","")</f>
        <v/>
      </c>
      <c r="H6" s="1613"/>
      <c r="I6" s="27"/>
      <c r="J6" s="27"/>
      <c r="K6" s="27"/>
      <c r="L6" s="27"/>
      <c r="M6" s="876"/>
      <c r="N6" s="876"/>
      <c r="O6" s="619"/>
      <c r="P6" s="29"/>
      <c r="S6" s="1783"/>
      <c r="T6" s="1783"/>
      <c r="U6" s="1783"/>
      <c r="V6" s="1783"/>
      <c r="W6" s="1783"/>
      <c r="X6" s="1783"/>
      <c r="Y6" s="1783"/>
      <c r="Z6" s="1062"/>
      <c r="AA6" s="1783"/>
      <c r="AB6" s="1783"/>
      <c r="AC6" s="1783"/>
      <c r="AD6" s="1783"/>
      <c r="AE6" s="1783"/>
      <c r="AF6" s="1783"/>
      <c r="AG6" s="1783"/>
      <c r="AH6" s="1783"/>
      <c r="AI6" s="1783"/>
      <c r="AJ6" s="1783"/>
      <c r="AK6" s="1783"/>
      <c r="AL6" s="1783"/>
      <c r="AM6" s="1783"/>
      <c r="AN6" s="1783"/>
      <c r="AO6" s="1783"/>
      <c r="AP6" s="1783"/>
      <c r="AQ6" s="1783"/>
      <c r="AR6" s="1783"/>
      <c r="AS6" s="1783"/>
      <c r="AT6" s="1783"/>
      <c r="AU6" s="1783"/>
      <c r="AV6" s="1783"/>
      <c r="AW6" s="1783"/>
      <c r="AX6" s="1783"/>
      <c r="AY6" s="1783"/>
      <c r="AZ6" s="1783"/>
      <c r="BA6" s="1783"/>
      <c r="BB6" s="1783"/>
      <c r="BC6" s="1783"/>
      <c r="BD6" s="1783"/>
      <c r="BE6" s="1783"/>
      <c r="BF6" s="1783"/>
      <c r="BG6" s="1783"/>
      <c r="BH6" s="1783"/>
      <c r="BI6" s="1783"/>
      <c r="BJ6" s="1783"/>
      <c r="BK6" s="1783"/>
      <c r="BL6" s="1783"/>
      <c r="BM6" s="1783"/>
      <c r="BN6" s="1783"/>
      <c r="BO6" s="1783"/>
      <c r="BP6" s="1783"/>
      <c r="BQ6" s="1783"/>
      <c r="BR6" s="1783"/>
      <c r="BS6" s="1783"/>
      <c r="BT6" s="1783"/>
      <c r="BU6" s="1783"/>
      <c r="BV6" s="1621"/>
      <c r="CA6" s="26"/>
      <c r="CB6" s="947"/>
      <c r="CC6" s="947"/>
      <c r="CD6" s="1545"/>
      <c r="CE6" s="1787"/>
      <c r="CF6" s="29"/>
      <c r="CP6" s="718"/>
      <c r="CQ6" s="718"/>
      <c r="CR6" s="718"/>
      <c r="CS6" s="718"/>
      <c r="CT6" s="718"/>
      <c r="CU6" s="718"/>
      <c r="CV6" s="718"/>
      <c r="CW6" s="718"/>
      <c r="CX6" s="718"/>
      <c r="CY6" s="1549"/>
      <c r="CZ6" s="979"/>
      <c r="DA6" s="979"/>
      <c r="DB6" s="979"/>
      <c r="DC6" s="979"/>
      <c r="DD6" s="979"/>
      <c r="DE6" s="979"/>
      <c r="DF6" s="979"/>
      <c r="DG6" s="979"/>
      <c r="DH6" s="979"/>
      <c r="DI6" s="979"/>
      <c r="DJ6" s="979"/>
      <c r="DK6" s="979"/>
      <c r="DL6" s="979"/>
      <c r="DM6" s="979"/>
      <c r="DN6" s="979"/>
      <c r="DO6" s="979"/>
      <c r="DP6" s="979"/>
      <c r="DQ6" s="979"/>
      <c r="DR6" s="979"/>
      <c r="DS6" s="979"/>
      <c r="DT6" s="979"/>
      <c r="DU6" s="979"/>
      <c r="DV6" s="979"/>
      <c r="DW6" s="979"/>
      <c r="DX6" s="979"/>
      <c r="DY6" s="979"/>
      <c r="DZ6" s="979"/>
      <c r="EA6" s="979"/>
      <c r="EB6" s="979"/>
      <c r="EC6" s="979"/>
      <c r="ED6" s="979"/>
      <c r="EE6" s="979"/>
      <c r="EF6" s="979"/>
      <c r="EG6" s="979"/>
      <c r="EH6" s="979"/>
      <c r="EI6" s="979"/>
    </row>
    <row r="7" spans="1:139">
      <c r="B7" s="26"/>
      <c r="C7" s="74" t="s">
        <v>2248</v>
      </c>
      <c r="D7" s="27">
        <f ca="1">E7-COUNTIF(I11:I35,"Yes")</f>
        <v>0</v>
      </c>
      <c r="E7" s="27">
        <f ca="1">0+SkillFocusTimes+IF(Race="Vultan",1,0)</f>
        <v>0</v>
      </c>
      <c r="F7" s="27"/>
      <c r="G7" s="1128"/>
      <c r="H7" s="1607"/>
      <c r="I7" s="27"/>
      <c r="J7" s="1789" t="s">
        <v>2543</v>
      </c>
      <c r="K7" s="27"/>
      <c r="L7" s="27"/>
      <c r="M7" s="876"/>
      <c r="N7" s="876"/>
      <c r="O7" s="619"/>
      <c r="P7" s="29"/>
      <c r="S7" s="1783"/>
      <c r="T7" s="1783"/>
      <c r="U7" s="1783"/>
      <c r="V7" s="1783"/>
      <c r="W7" s="1783"/>
      <c r="X7" s="1783"/>
      <c r="Y7" s="1783"/>
      <c r="Z7" s="1062"/>
      <c r="AA7" s="1783"/>
      <c r="AB7" s="1783"/>
      <c r="AC7" s="1783"/>
      <c r="AD7" s="1783"/>
      <c r="AE7" s="1783"/>
      <c r="AF7" s="1783"/>
      <c r="AG7" s="1783"/>
      <c r="AH7" s="1783"/>
      <c r="AI7" s="1783"/>
      <c r="AJ7" s="1783"/>
      <c r="AK7" s="1783"/>
      <c r="AL7" s="1783"/>
      <c r="AM7" s="1783"/>
      <c r="AN7" s="1783"/>
      <c r="AO7" s="1783"/>
      <c r="AP7" s="1783"/>
      <c r="AQ7" s="1783"/>
      <c r="AR7" s="1783"/>
      <c r="AS7" s="1783"/>
      <c r="AT7" s="1783"/>
      <c r="AU7" s="1783"/>
      <c r="AV7" s="1783"/>
      <c r="AW7" s="1783"/>
      <c r="AX7" s="1783"/>
      <c r="AY7" s="1783"/>
      <c r="AZ7" s="1783"/>
      <c r="BA7" s="1783"/>
      <c r="BB7" s="1783"/>
      <c r="BC7" s="1783"/>
      <c r="BD7" s="1783"/>
      <c r="BE7" s="1783"/>
      <c r="BF7" s="1783"/>
      <c r="BG7" s="1783"/>
      <c r="BH7" s="1783"/>
      <c r="BI7" s="1783"/>
      <c r="BJ7" s="1783"/>
      <c r="BK7" s="1783"/>
      <c r="BL7" s="1783"/>
      <c r="BM7" s="1783"/>
      <c r="BN7" s="1783"/>
      <c r="BO7" s="1783"/>
      <c r="BP7" s="1783"/>
      <c r="BQ7" s="1783"/>
      <c r="BR7" s="1783"/>
      <c r="BS7" s="1783"/>
      <c r="BT7" s="1783"/>
      <c r="BU7" s="1783"/>
      <c r="BV7" s="1621"/>
      <c r="CA7" s="26"/>
      <c r="CB7" s="947"/>
      <c r="CC7" s="947"/>
      <c r="CD7" s="1545"/>
      <c r="CE7" s="1787"/>
      <c r="CF7" s="29"/>
      <c r="CP7" s="718"/>
      <c r="CQ7" s="718"/>
      <c r="CR7" s="718"/>
      <c r="CS7" s="718"/>
      <c r="CT7" s="718"/>
      <c r="CU7" s="718"/>
      <c r="CV7" s="718"/>
      <c r="CW7" s="718"/>
      <c r="CX7" s="718"/>
      <c r="CY7" s="1549"/>
      <c r="CZ7" s="979"/>
      <c r="DA7" s="979"/>
      <c r="DB7" s="979"/>
      <c r="DC7" s="979"/>
      <c r="DD7" s="979"/>
      <c r="DE7" s="979"/>
      <c r="DF7" s="979"/>
      <c r="DG7" s="979"/>
      <c r="DH7" s="979"/>
      <c r="DI7" s="979"/>
      <c r="DJ7" s="979"/>
      <c r="DK7" s="979"/>
      <c r="DL7" s="979"/>
      <c r="DM7" s="979"/>
      <c r="DN7" s="979"/>
      <c r="DO7" s="979"/>
      <c r="DP7" s="979"/>
      <c r="DQ7" s="979"/>
      <c r="DR7" s="979"/>
      <c r="DS7" s="979"/>
      <c r="DT7" s="979"/>
      <c r="DU7" s="979"/>
      <c r="DV7" s="979"/>
      <c r="DW7" s="979"/>
      <c r="DX7" s="979"/>
      <c r="DY7" s="979"/>
      <c r="DZ7" s="979"/>
      <c r="EA7" s="979"/>
      <c r="EB7" s="979"/>
      <c r="EC7" s="979"/>
      <c r="ED7" s="979"/>
      <c r="EE7" s="979"/>
      <c r="EF7" s="979"/>
      <c r="EG7" s="979"/>
      <c r="EH7" s="979"/>
      <c r="EI7" s="979"/>
    </row>
    <row r="8" spans="1:139" s="1611" customFormat="1">
      <c r="A8" s="1610"/>
      <c r="B8" s="1327"/>
      <c r="C8" s="74" t="s">
        <v>8731</v>
      </c>
      <c r="D8" s="1614">
        <f>E8-COUNTIF(H11:H35,"Yes")</f>
        <v>0</v>
      </c>
      <c r="E8" s="1613">
        <f>VLOOKUP('Character &amp; Species'!AJ9,Lists!GL2:GM48,2,FALSE)</f>
        <v>0</v>
      </c>
      <c r="F8" s="1613"/>
      <c r="G8" s="1613"/>
      <c r="H8" s="1607"/>
      <c r="I8" s="1613"/>
      <c r="J8" s="1789"/>
      <c r="K8" s="1613"/>
      <c r="L8" s="1613"/>
      <c r="M8" s="1613"/>
      <c r="N8" s="1613"/>
      <c r="O8" s="619"/>
      <c r="P8" s="29"/>
      <c r="Q8" s="1610"/>
      <c r="R8" s="1610"/>
      <c r="S8" s="1783"/>
      <c r="T8" s="1783"/>
      <c r="U8" s="1783"/>
      <c r="V8" s="1783"/>
      <c r="W8" s="1783"/>
      <c r="X8" s="1783"/>
      <c r="Y8" s="1783"/>
      <c r="Z8" s="1608"/>
      <c r="AA8" s="1783"/>
      <c r="AB8" s="1783"/>
      <c r="AC8" s="1783"/>
      <c r="AD8" s="1783"/>
      <c r="AE8" s="1783"/>
      <c r="AF8" s="1783"/>
      <c r="AG8" s="1783"/>
      <c r="AH8" s="1783"/>
      <c r="AI8" s="1783"/>
      <c r="AJ8" s="1783"/>
      <c r="AK8" s="1783"/>
      <c r="AL8" s="1783"/>
      <c r="AM8" s="1783"/>
      <c r="AN8" s="1783"/>
      <c r="AO8" s="1783"/>
      <c r="AP8" s="1783"/>
      <c r="AQ8" s="1783"/>
      <c r="AR8" s="1783"/>
      <c r="AS8" s="1783"/>
      <c r="AT8" s="1783"/>
      <c r="AU8" s="1783"/>
      <c r="AV8" s="1783"/>
      <c r="AW8" s="1783"/>
      <c r="AX8" s="1783"/>
      <c r="AY8" s="1783"/>
      <c r="AZ8" s="1783"/>
      <c r="BA8" s="1783"/>
      <c r="BB8" s="1783"/>
      <c r="BC8" s="1783"/>
      <c r="BD8" s="1783"/>
      <c r="BE8" s="1783"/>
      <c r="BF8" s="1783"/>
      <c r="BG8" s="1783"/>
      <c r="BH8" s="1783"/>
      <c r="BI8" s="1783"/>
      <c r="BJ8" s="1783"/>
      <c r="BK8" s="1783"/>
      <c r="BL8" s="1783"/>
      <c r="BM8" s="1783"/>
      <c r="BN8" s="1783"/>
      <c r="BO8" s="1783"/>
      <c r="BP8" s="1783"/>
      <c r="BQ8" s="1783"/>
      <c r="BR8" s="1783"/>
      <c r="BS8" s="1783"/>
      <c r="BT8" s="1783"/>
      <c r="BU8" s="1783"/>
      <c r="BV8" s="1621"/>
      <c r="BW8" s="1610"/>
      <c r="BX8" s="1610"/>
      <c r="BY8" s="1610"/>
      <c r="BZ8" s="1610"/>
      <c r="CA8" s="1327"/>
      <c r="CB8" s="1609"/>
      <c r="CC8" s="1609"/>
      <c r="CD8" s="1609"/>
      <c r="CE8" s="1787"/>
      <c r="CF8" s="29"/>
      <c r="CG8" s="1610"/>
      <c r="CH8" s="1610"/>
      <c r="CI8" s="1610"/>
      <c r="CJ8" s="1610"/>
      <c r="CK8" s="1610"/>
      <c r="CL8" s="1610"/>
      <c r="CM8" s="1610"/>
      <c r="CN8" s="1610"/>
      <c r="CO8" s="1610"/>
      <c r="CP8" s="1610"/>
      <c r="CQ8" s="1610"/>
      <c r="CR8" s="1610"/>
      <c r="CS8" s="1610"/>
      <c r="CT8" s="1610"/>
      <c r="CU8" s="1610"/>
      <c r="CV8" s="1610"/>
      <c r="CW8" s="1610"/>
      <c r="CX8" s="1610"/>
      <c r="CY8" s="1610"/>
      <c r="CZ8" s="1610"/>
      <c r="DA8" s="1610"/>
      <c r="DB8" s="1610"/>
      <c r="DC8" s="1610"/>
      <c r="DD8" s="1610"/>
      <c r="DE8" s="1610"/>
      <c r="DF8" s="1610"/>
      <c r="DG8" s="1610"/>
      <c r="DH8" s="1610"/>
      <c r="DI8" s="1610"/>
      <c r="DJ8" s="1610"/>
      <c r="DK8" s="1610"/>
      <c r="DL8" s="1610"/>
      <c r="DM8" s="1610"/>
      <c r="DN8" s="1610"/>
      <c r="DO8" s="1610"/>
      <c r="DP8" s="1610"/>
      <c r="DQ8" s="1610"/>
      <c r="DR8" s="1610"/>
      <c r="DS8" s="1610"/>
      <c r="DT8" s="1610"/>
      <c r="DU8" s="1610"/>
      <c r="DV8" s="1610"/>
      <c r="DW8" s="1610"/>
      <c r="DX8" s="1610"/>
      <c r="DY8" s="1610"/>
      <c r="DZ8" s="1610"/>
      <c r="EA8" s="1610"/>
      <c r="EB8" s="1610"/>
      <c r="EC8" s="1610"/>
      <c r="ED8" s="1610"/>
      <c r="EE8" s="1610"/>
      <c r="EF8" s="1610"/>
      <c r="EG8" s="1610"/>
      <c r="EH8" s="1610"/>
      <c r="EI8" s="1610"/>
    </row>
    <row r="9" spans="1:139">
      <c r="B9" s="26"/>
      <c r="C9" s="28"/>
      <c r="D9" s="27"/>
      <c r="E9" s="1614"/>
      <c r="F9" s="27"/>
      <c r="G9" s="1789" t="s">
        <v>8733</v>
      </c>
      <c r="H9" s="1607"/>
      <c r="I9" s="1789" t="s">
        <v>1036</v>
      </c>
      <c r="J9" s="1789"/>
      <c r="K9" s="27"/>
      <c r="L9" s="1789" t="s">
        <v>2541</v>
      </c>
      <c r="M9" s="862" t="s">
        <v>4639</v>
      </c>
      <c r="N9" s="862"/>
      <c r="O9" s="1785" t="s">
        <v>4640</v>
      </c>
      <c r="P9" s="1785" t="s">
        <v>8853</v>
      </c>
      <c r="S9" s="1783"/>
      <c r="T9" s="1783"/>
      <c r="U9" s="1783"/>
      <c r="V9" s="1783"/>
      <c r="W9" s="1783"/>
      <c r="X9" s="1783"/>
      <c r="Y9" s="1783"/>
      <c r="Z9" s="1062"/>
      <c r="AA9" s="1783"/>
      <c r="AB9" s="1783"/>
      <c r="AC9" s="1783"/>
      <c r="AD9" s="1783"/>
      <c r="AE9" s="1783"/>
      <c r="AF9" s="1783"/>
      <c r="AG9" s="1783"/>
      <c r="AH9" s="1783"/>
      <c r="AI9" s="1783"/>
      <c r="AJ9" s="1783"/>
      <c r="AK9" s="1783"/>
      <c r="AL9" s="1783"/>
      <c r="AM9" s="1783"/>
      <c r="AN9" s="1783"/>
      <c r="AO9" s="1783"/>
      <c r="AP9" s="1783"/>
      <c r="AQ9" s="1783"/>
      <c r="AR9" s="1783"/>
      <c r="AS9" s="1783"/>
      <c r="AT9" s="1783"/>
      <c r="AU9" s="1783"/>
      <c r="AV9" s="1783"/>
      <c r="AW9" s="1783"/>
      <c r="AX9" s="1783"/>
      <c r="AY9" s="1783"/>
      <c r="AZ9" s="1783"/>
      <c r="BA9" s="1783"/>
      <c r="BB9" s="1783"/>
      <c r="BC9" s="1783"/>
      <c r="BD9" s="1783"/>
      <c r="BE9" s="1783"/>
      <c r="BF9" s="1783"/>
      <c r="BG9" s="1783"/>
      <c r="BH9" s="1783"/>
      <c r="BI9" s="1783"/>
      <c r="BJ9" s="1783"/>
      <c r="BK9" s="1783"/>
      <c r="BL9" s="1783"/>
      <c r="BM9" s="1783"/>
      <c r="BN9" s="1783"/>
      <c r="BO9" s="1783"/>
      <c r="BP9" s="1783"/>
      <c r="BQ9" s="1783"/>
      <c r="BR9" s="1783"/>
      <c r="BS9" s="1783"/>
      <c r="BT9" s="1783"/>
      <c r="BU9" s="1783"/>
      <c r="BV9" s="1621"/>
      <c r="CA9" s="26"/>
      <c r="CB9" s="947"/>
      <c r="CC9" s="947"/>
      <c r="CD9" s="1545"/>
      <c r="CE9" s="1787"/>
      <c r="CF9" s="29"/>
      <c r="CP9" s="718"/>
      <c r="CQ9" s="718"/>
      <c r="CR9" s="718"/>
      <c r="CS9" s="718"/>
      <c r="CT9" s="718"/>
      <c r="CU9" s="718"/>
      <c r="CV9" s="718"/>
      <c r="CW9" s="718"/>
      <c r="CX9" s="718"/>
      <c r="CY9" s="1549"/>
      <c r="CZ9" s="979"/>
      <c r="DA9" s="979"/>
      <c r="DB9" s="979"/>
      <c r="DC9" s="979"/>
      <c r="DD9" s="979"/>
      <c r="DE9" s="979"/>
      <c r="DF9" s="979"/>
      <c r="DG9" s="979"/>
      <c r="DH9" s="979"/>
      <c r="DI9" s="979"/>
      <c r="DJ9" s="979"/>
      <c r="DK9" s="979"/>
      <c r="DL9" s="979"/>
      <c r="DM9" s="979"/>
      <c r="DN9" s="979"/>
      <c r="DO9" s="979"/>
      <c r="DP9" s="979"/>
      <c r="DQ9" s="979"/>
      <c r="DR9" s="979"/>
      <c r="DS9" s="979"/>
      <c r="DT9" s="979"/>
      <c r="DU9" s="979"/>
      <c r="DV9" s="979"/>
      <c r="DW9" s="979"/>
      <c r="DX9" s="979"/>
      <c r="DY9" s="979"/>
      <c r="DZ9" s="979"/>
      <c r="EA9" s="979"/>
      <c r="EB9" s="979"/>
      <c r="EC9" s="979"/>
      <c r="ED9" s="979"/>
      <c r="EE9" s="979"/>
      <c r="EF9" s="979"/>
      <c r="EG9" s="979"/>
      <c r="EH9" s="979"/>
      <c r="EI9" s="979"/>
    </row>
    <row r="10" spans="1:139" ht="30">
      <c r="B10" s="26"/>
      <c r="C10" s="49" t="s">
        <v>2250</v>
      </c>
      <c r="D10" s="50" t="s">
        <v>2249</v>
      </c>
      <c r="E10" s="50" t="s">
        <v>58</v>
      </c>
      <c r="F10" s="1625" t="s">
        <v>8732</v>
      </c>
      <c r="G10" s="1790"/>
      <c r="H10" s="1624" t="s">
        <v>8683</v>
      </c>
      <c r="I10" s="1790"/>
      <c r="J10" s="1790"/>
      <c r="K10" s="1120" t="s">
        <v>6153</v>
      </c>
      <c r="L10" s="1790"/>
      <c r="M10" s="863" t="s">
        <v>2243</v>
      </c>
      <c r="N10" s="1288" t="s">
        <v>6198</v>
      </c>
      <c r="O10" s="1786"/>
      <c r="P10" s="1786"/>
      <c r="S10" s="1783"/>
      <c r="T10" s="1783"/>
      <c r="U10" s="1783"/>
      <c r="V10" s="1783"/>
      <c r="W10" s="1783"/>
      <c r="X10" s="1783"/>
      <c r="Y10" s="1783"/>
      <c r="Z10" s="1062" t="s">
        <v>1284</v>
      </c>
      <c r="AA10" s="1783"/>
      <c r="AB10" s="1783"/>
      <c r="AC10" s="1783"/>
      <c r="AD10" s="1783"/>
      <c r="AE10" s="1783"/>
      <c r="AF10" s="1783"/>
      <c r="AG10" s="1783"/>
      <c r="AH10" s="1783"/>
      <c r="AI10" s="1783"/>
      <c r="AJ10" s="1783"/>
      <c r="AK10" s="1783"/>
      <c r="AL10" s="1783"/>
      <c r="AM10" s="1783"/>
      <c r="AN10" s="1783"/>
      <c r="AO10" s="1783"/>
      <c r="AP10" s="1783"/>
      <c r="AQ10" s="1783"/>
      <c r="AR10" s="1783"/>
      <c r="AS10" s="1783"/>
      <c r="AT10" s="1783"/>
      <c r="AU10" s="1783"/>
      <c r="AV10" s="1783"/>
      <c r="AW10" s="1783"/>
      <c r="AX10" s="1783"/>
      <c r="AY10" s="1783"/>
      <c r="AZ10" s="1783"/>
      <c r="BA10" s="1783"/>
      <c r="BB10" s="1783"/>
      <c r="BC10" s="1783"/>
      <c r="BD10" s="1783"/>
      <c r="BE10" s="1783"/>
      <c r="BF10" s="1783"/>
      <c r="BG10" s="1783"/>
      <c r="BH10" s="1783"/>
      <c r="BI10" s="1783"/>
      <c r="BJ10" s="1783"/>
      <c r="BK10" s="1783"/>
      <c r="BL10" s="1783"/>
      <c r="BM10" s="1783"/>
      <c r="BN10" s="1783"/>
      <c r="BO10" s="1783"/>
      <c r="BP10" s="1783"/>
      <c r="BQ10" s="1783"/>
      <c r="BR10" s="1783"/>
      <c r="BS10" s="1783"/>
      <c r="BT10" s="1783"/>
      <c r="BU10" s="1783"/>
      <c r="BV10" s="1621"/>
      <c r="BX10" s="15" t="str">
        <f ca="1">BX11</f>
        <v/>
      </c>
      <c r="BZ10" s="1125" t="str">
        <f>BZ11</f>
        <v/>
      </c>
      <c r="CA10" s="26"/>
      <c r="CB10" s="951" t="s">
        <v>5783</v>
      </c>
      <c r="CC10" s="951" t="s">
        <v>5784</v>
      </c>
      <c r="CD10" s="1546"/>
      <c r="CE10" s="1788"/>
      <c r="CF10" s="29"/>
      <c r="CG10" s="956" t="s">
        <v>7</v>
      </c>
      <c r="CK10" s="960"/>
      <c r="CL10" s="15" t="str">
        <f>CL11</f>
        <v/>
      </c>
      <c r="CP10" s="718"/>
      <c r="CQ10" s="718"/>
      <c r="CR10" s="718"/>
      <c r="CS10" s="718"/>
      <c r="CT10" s="718"/>
      <c r="CU10" s="718"/>
      <c r="CV10" s="718"/>
      <c r="CW10" s="718"/>
      <c r="CX10" s="718"/>
      <c r="CY10" s="1549"/>
      <c r="CZ10" s="979"/>
      <c r="DA10" s="979"/>
      <c r="DB10" s="979"/>
      <c r="DC10" s="979"/>
      <c r="DD10" s="979"/>
      <c r="DE10" s="979"/>
      <c r="DF10" s="979"/>
      <c r="DG10" s="979"/>
      <c r="DH10" s="979"/>
      <c r="DI10" s="979"/>
      <c r="DJ10" s="979"/>
      <c r="DK10" s="979"/>
      <c r="DL10" s="979"/>
      <c r="DM10" s="979"/>
      <c r="DN10" s="979"/>
      <c r="DO10" s="979"/>
      <c r="DP10" s="979"/>
      <c r="DQ10" s="979"/>
      <c r="DR10" s="979"/>
      <c r="DS10" s="979"/>
      <c r="DT10" s="979"/>
      <c r="DU10" s="979"/>
      <c r="DV10" s="979"/>
      <c r="DW10" s="979"/>
      <c r="DX10" s="979"/>
      <c r="DY10" s="979"/>
      <c r="DZ10" s="979"/>
      <c r="EA10" s="979"/>
      <c r="EB10" s="979"/>
      <c r="EC10" s="979"/>
      <c r="ED10" s="979"/>
      <c r="EE10" s="979"/>
      <c r="EF10" s="979"/>
      <c r="EG10" s="979"/>
      <c r="EH10" s="979"/>
      <c r="EI10" s="979"/>
    </row>
    <row r="11" spans="1:139">
      <c r="B11" s="26"/>
      <c r="C11" s="28" t="s">
        <v>185</v>
      </c>
      <c r="D11" s="27" t="s">
        <v>2099</v>
      </c>
      <c r="E11" s="1553" t="str">
        <f ca="1">IF(OR(COUNTIF(S11:AA11,1)&gt;0,CE11="Yes",H11="Yes"),"Yes","No")</f>
        <v>No</v>
      </c>
      <c r="F11" s="1085"/>
      <c r="G11" s="1613"/>
      <c r="H11" s="1619"/>
      <c r="I11" s="1128"/>
      <c r="J11" s="1424" t="str">
        <f t="shared" ref="J11:J35" ca="1" si="0">IF(AND(OR(F11&lt;&gt;"",G11&lt;&gt;""),OR(NOT(ISERROR(FIND(C11,INDEX(RaceListTable,RaceIndex,25),1))),NOT(ISERROR(FIND(C11,INDEX(RaceListTable,RaceIndex,26),1))),NOT(ISERROR(FIND(C11,INDEX(RaceListTable,RaceIndex,27),1))))),"Species","")</f>
        <v/>
      </c>
      <c r="K11" s="51">
        <f>ArmorPenalty</f>
        <v>0</v>
      </c>
      <c r="L11" s="51" t="str">
        <f t="shared" ref="L11:L34" si="1">INDEX(AbilityScoresTable,MATCH(D11,AbilityScoreList,0),13)</f>
        <v/>
      </c>
      <c r="M11" s="51">
        <f t="shared" ref="M11:M35" si="2">IF(CharacterLevel&gt;0,INT(CharacterLevel/2),0)</f>
        <v>0</v>
      </c>
      <c r="N11" s="51">
        <f>Bonuses!D28+IF(Feats!M435&gt;0,3,0)</f>
        <v>0</v>
      </c>
      <c r="O11" s="1705">
        <f ca="1">IF(Q11,MAX(K11+L11+IF(E11="Yes",IF(OR(F11&lt;&gt;"",G11&lt;&gt;"",Q11),5,0)+IF(AND(OR(F11&lt;&gt;"",G11&lt;&gt;"",Q11),OR(I11&lt;&gt;"",J11&lt;&gt;"")),5,0))+INT(CharacterLevel/2)+N11,UsetheForce),K11+IF(L11&lt;&gt;"",L11,0)+IF(E11="Yes",IF(OR(F11&lt;&gt;"",G11&lt;&gt;""),5,0)+IF(AND(OR(F11&lt;&gt;"",G11&lt;&gt;""),OR(I11&lt;&gt;"",J11&lt;&gt;"")),5,0))+INT(CharacterLevel/2))+N11</f>
        <v>0</v>
      </c>
      <c r="P11" s="1706" t="e">
        <f ca="1">IF(Q11,MAX(K11+L11+IF(AND(E11="No",Q11),0,IF(OR(F11&lt;&gt;"",G11&lt;&gt;"",Q11),0,-5)+IF(AND(OR(F11&lt;&gt;"",G11&lt;&gt;"",Q11),OR(I11&lt;&gt;"",J11&lt;&gt;"")),2,0))+INT(CharacterLevel)+N11,SAMUsetheForce),K11+L11+IF(AND(E11="No"),-5,IF(OR(F11&lt;&gt;"",G11&lt;&gt;""),0,-5)+IF(AND(OR(F11&lt;&gt;"",G11&lt;&gt;""),OR(I11&lt;&gt;"",J11&lt;&gt;"")),2,0))+INT(CharacterLevel)+N11)</f>
        <v>#VALUE!</v>
      </c>
      <c r="Q11" s="15" t="b">
        <f>AND(IF(Talents!$M$711&gt;0,TRUE,FALSE),OR(TUsetheForce="Yes",STUsetheForce="Yes"))</f>
        <v>0</v>
      </c>
      <c r="R11" s="1647" t="str">
        <f ca="1">IF(OR(I11&lt;&gt;"",J11&lt;&gt;""),"Yes","")</f>
        <v/>
      </c>
      <c r="S11" s="16">
        <f>IF(JediSkill&gt;0,1,0)</f>
        <v>0</v>
      </c>
      <c r="U11" s="16">
        <f>IF(ScoundrelSkill&gt;0,1,0)</f>
        <v>0</v>
      </c>
      <c r="X11" s="16">
        <f t="shared" ref="X11:X34" si="3">IF(NonheroicSkill&gt;0,1,0)</f>
        <v>0</v>
      </c>
      <c r="Y11" s="16">
        <f>IF(BeastSkill&gt;0,1,0)</f>
        <v>0</v>
      </c>
      <c r="Z11" s="16">
        <f t="shared" ref="Z11:Z34" si="4">IF(ISERROR(FIND("Droid",Race,1)),0,1)</f>
        <v>0</v>
      </c>
      <c r="AA11" s="16" t="e">
        <f t="shared" ref="AA11:AA35" ca="1" si="5">IF(OR(INDEX(RaceListTable,MATCH(Race,RaceList,0),28)&lt;&gt;"",INDEX(RaceListTable,MATCH(Race,RaceList,0),29)&lt;&gt;""),IF(INDEX(RaceListTable,MATCH(Race,RaceList,0),28)=C11,1,IF(INDEX(RaceListTable,MATCH(Race,RaceList,0),29)=C11,1,0)),0)</f>
        <v>#N/A</v>
      </c>
      <c r="AH11" s="16">
        <f>IF(ImprisonedSkill=1,1,0)</f>
        <v>0</v>
      </c>
      <c r="AR11" s="16">
        <f>IF(LawEnforcementSkill=1,1,0)</f>
        <v>0</v>
      </c>
      <c r="BB11" s="16">
        <f>IF(CereaSkill=1,1,0)</f>
        <v>0</v>
      </c>
      <c r="BI11" s="16">
        <v>0</v>
      </c>
      <c r="BV11" s="1620">
        <f>SUM(AB11:BU11)</f>
        <v>0</v>
      </c>
      <c r="BW11" s="997" t="str">
        <f t="shared" ref="BW11:BW35" ca="1" si="6">IF(OR(I11&lt;&gt;"",J11&lt;&gt;""),C11,"")</f>
        <v/>
      </c>
      <c r="BX11" s="383" t="str">
        <f t="shared" ref="BX11:BX35" ca="1" si="7">IF(BW11&lt;&gt;"",BW11&amp;IF(BX12&lt;&gt;"",", "&amp;BX12,""),BX12)</f>
        <v/>
      </c>
      <c r="BY11" s="1125" t="str">
        <f>IF(G11&lt;&gt;"",C11,"")</f>
        <v/>
      </c>
      <c r="BZ11" s="383" t="str">
        <f>IF(BY11&lt;&gt;"",BY11&amp;IF(BZ12&lt;&gt;"",", "&amp;BZ12,""),BZ12)</f>
        <v/>
      </c>
      <c r="CA11" s="26"/>
      <c r="CB11" s="1318" t="str">
        <f t="shared" ref="CB11:CB27" si="8">IF(AND(CG11="Yes (worse)",CI11&lt;&gt;""),CI11,CG11)</f>
        <v/>
      </c>
      <c r="CC11" s="963" t="str">
        <f t="shared" ref="CC11:CC31" si="9">CH11</f>
        <v/>
      </c>
      <c r="CD11" s="1553"/>
      <c r="CE11" s="1543"/>
      <c r="CF11" s="29"/>
      <c r="CG11" s="956" t="str">
        <f t="shared" ref="CG11:CG35" si="10">IF(OR(NOT(ISERROR(MATCH(C11,SkillSpecials1List,0))),NOT(ISERROR(MATCH(C11,SkillSpecials3List,0)))),IF(NOT(ISERROR(MATCH(C11,SkillSpecials1List,0))),"Yes ("&amp;INDEX(SkillSpecialsTable,MATCH(C11,SkillSpecials1List,0),2)&amp;")","")&amp;IF(NOT(ISERROR(MATCH(C11,SkillSpecials3List,0))),"Yes ("&amp;INDEX(SkillSpecialsTable,MATCH(C11,SkillSpecials3List,0),4)&amp;")",""),"")</f>
        <v/>
      </c>
      <c r="CH11" s="956" t="str">
        <f t="shared" ref="CH11:CH35" si="11">IF(OR(NOT(ISERROR(MATCH(C11,SkillSpecialsReroll1List,0))),NOT(ISERROR(MATCH(C11,SkillSpecialsReroll2List,0)))),"Yes","")</f>
        <v/>
      </c>
      <c r="CK11" s="1125" t="str">
        <f>IF(OR(F11&lt;&gt;"",G11&lt;&gt;""),C11&amp;" "&amp;IF(O11&lt;0,"","+")&amp;O11&amp;IF(NOT(ISERROR(FIND("Yes (worse)",CB11,1)))," (can reroll, but must accept second result)","")&amp;IF(NOT(ISERROR(FIND("Yes (better)",CB11,1)))," (can reroll and take the better result)",""),"")</f>
        <v/>
      </c>
      <c r="CL11" s="718" t="str">
        <f t="shared" ref="CL11:CL16" si="12">IF(CK11&lt;&gt;"",CK11&amp;IF(CL12&lt;&gt;"",", "&amp;CL12,""),CL12)</f>
        <v/>
      </c>
      <c r="CP11" s="718"/>
      <c r="CQ11" s="718"/>
      <c r="CR11" s="718"/>
      <c r="CS11" s="718"/>
      <c r="CT11" s="718"/>
      <c r="CU11" s="718"/>
      <c r="CV11" s="718"/>
      <c r="CW11" s="718"/>
      <c r="CX11" s="718"/>
      <c r="CY11" s="1549"/>
      <c r="CZ11" s="979"/>
      <c r="DA11" s="979"/>
      <c r="DB11" s="979"/>
      <c r="DC11" s="979"/>
      <c r="DD11" s="979"/>
      <c r="DE11" s="979"/>
      <c r="DF11" s="979"/>
      <c r="DG11" s="979"/>
      <c r="DH11" s="979"/>
      <c r="DI11" s="979"/>
      <c r="DJ11" s="979"/>
      <c r="DK11" s="979"/>
      <c r="DL11" s="979"/>
      <c r="DM11" s="979"/>
      <c r="DN11" s="979"/>
      <c r="DO11" s="979"/>
      <c r="DP11" s="979"/>
      <c r="DQ11" s="979"/>
      <c r="DR11" s="979"/>
      <c r="DS11" s="979"/>
      <c r="DT11" s="979"/>
      <c r="DU11" s="979"/>
      <c r="DV11" s="979"/>
      <c r="DW11" s="979"/>
      <c r="DX11" s="979"/>
      <c r="DY11" s="979"/>
      <c r="DZ11" s="979"/>
      <c r="EA11" s="979"/>
      <c r="EB11" s="979"/>
      <c r="EC11" s="979"/>
      <c r="ED11" s="979"/>
      <c r="EE11" s="979"/>
      <c r="EF11" s="979"/>
      <c r="EG11" s="979"/>
      <c r="EH11" s="979"/>
      <c r="EI11" s="979"/>
    </row>
    <row r="12" spans="1:139">
      <c r="B12" s="26"/>
      <c r="C12" s="28" t="s">
        <v>228</v>
      </c>
      <c r="D12" s="27" t="s">
        <v>2098</v>
      </c>
      <c r="E12" s="1627" t="str">
        <f t="shared" ref="E12:E26" ca="1" si="13">IF(OR(COUNTIF(S12:AA12,1)&gt;0,CE12="Yes",H12="Yes"),"Yes","No")</f>
        <v>No</v>
      </c>
      <c r="F12" s="1085"/>
      <c r="G12" s="1287"/>
      <c r="H12" s="1626"/>
      <c r="I12" s="1628"/>
      <c r="J12" s="1737" t="str">
        <f t="shared" ca="1" si="0"/>
        <v/>
      </c>
      <c r="K12" s="51">
        <f>ArmorPenalty</f>
        <v>0</v>
      </c>
      <c r="L12" s="51" t="str">
        <f t="shared" si="1"/>
        <v/>
      </c>
      <c r="M12" s="51">
        <f t="shared" si="2"/>
        <v>0</v>
      </c>
      <c r="N12" s="51">
        <f>IF(Race&lt;&gt;"",IF(Race="Krevaaki",2,0),0)+Bonuses!D29+IF(Feats!M431&gt;0,3,0)</f>
        <v>0</v>
      </c>
      <c r="O12" s="1705" t="e">
        <f ca="1">K12+IF(L12&lt;&gt;"",L12,0)+IF(E12="Yes",IF(OR(F12&lt;&gt;"",G12&lt;&gt;""),5,0)+IF(AND(OR(F12&lt;&gt;"",G12&lt;&gt;""),OR(I12&lt;&gt;"",J12&lt;&gt;"")),5,0))+INT(CharacterLevel/2)+N12+IF(Species="Krevaaki",2,0)</f>
        <v>#N/A</v>
      </c>
      <c r="P12" s="1705" t="e">
        <f ca="1">K12+L12+IF(AND(E12="No"),-5,IF(OR(F12&lt;&gt;"",G12&lt;&gt;""),0,-5)+IF(AND(OR(F12&lt;&gt;"",G12&lt;&gt;""),OR(I12&lt;&gt;"",J12&lt;&gt;"")),2,0))+INT(CharacterLevel)+N12</f>
        <v>#VALUE!</v>
      </c>
      <c r="R12" s="1647" t="str">
        <f t="shared" ref="R12:R35" ca="1" si="14">IF(OR(I12&lt;&gt;"",J12&lt;&gt;""),"Yes","")</f>
        <v/>
      </c>
      <c r="V12" s="16">
        <f>IF(ScoutSkill&gt;0,1,0)</f>
        <v>0</v>
      </c>
      <c r="W12" s="16">
        <f>IF(SoldierSkill&gt;0,1,0)</f>
        <v>0</v>
      </c>
      <c r="X12" s="16">
        <f t="shared" si="3"/>
        <v>0</v>
      </c>
      <c r="Y12" s="16">
        <f>IF(BeastSkill&gt;0,1,0)</f>
        <v>0</v>
      </c>
      <c r="Z12" s="16">
        <f t="shared" si="4"/>
        <v>0</v>
      </c>
      <c r="AA12" s="16" t="e">
        <f t="shared" ca="1" si="5"/>
        <v>#N/A</v>
      </c>
      <c r="AF12" s="16">
        <f>IF(EnslavedSkill=1,1,0)</f>
        <v>0</v>
      </c>
      <c r="AQ12" s="16">
        <f>IF(LaborSkill=1,1,0)</f>
        <v>0</v>
      </c>
      <c r="BH12" s="16">
        <f>IF(GamorrSkill=1,1,0)</f>
        <v>0</v>
      </c>
      <c r="BK12" s="16">
        <f>IF(KashyyykSkill=1,1,0)</f>
        <v>0</v>
      </c>
      <c r="BO12" s="16">
        <f>IF(RodiaSkill=1,1,0)</f>
        <v>0</v>
      </c>
      <c r="BR12" s="16">
        <f>IF(SullustSkill=1,1,0)</f>
        <v>0</v>
      </c>
      <c r="BV12" s="1620">
        <f t="shared" ref="BV12:BV35" si="15">SUM(AB12:BU12)</f>
        <v>0</v>
      </c>
      <c r="BW12" s="997" t="str">
        <f t="shared" ca="1" si="6"/>
        <v/>
      </c>
      <c r="BX12" s="383" t="str">
        <f t="shared" ca="1" si="7"/>
        <v/>
      </c>
      <c r="BY12" s="1125" t="str">
        <f t="shared" ref="BY12:BY35" si="16">IF(G12&lt;&gt;"",C12,"")</f>
        <v/>
      </c>
      <c r="BZ12" s="383" t="str">
        <f t="shared" ref="BZ12:BZ35" si="17">IF(BY12&lt;&gt;"",BY12&amp;IF(BZ13&lt;&gt;"",", "&amp;BZ13,""),BZ13)</f>
        <v/>
      </c>
      <c r="CA12" s="26"/>
      <c r="CB12" s="1318" t="str">
        <f t="shared" si="8"/>
        <v/>
      </c>
      <c r="CC12" s="963" t="str">
        <f t="shared" si="9"/>
        <v/>
      </c>
      <c r="CD12" s="1553"/>
      <c r="CE12" s="1543"/>
      <c r="CF12" s="29"/>
      <c r="CG12" s="956" t="str">
        <f>IF(OR(NOT(ISERROR(MATCH(C12,SkillSpecials1List,0))),NOT(ISERROR(MATCH(C12,SkillSpecials3List,0))),COUNTIF('Armor and Defenses'!P29:R40,"Climbing Claws")&gt;0),IF(NOT(ISERROR(MATCH(C12,SkillSpecials1List,0))),"Yes ("&amp;INDEX(SkillSpecialsTable,MATCH(C12,SkillSpecials1List,0),2)&amp;")","")&amp;IF(COUNTIF('Armor and Defenses'!P29:R40,"Climbing Claws")&gt;0,"Yes (better)","")&amp;IF(NOT(ISERROR(MATCH(C12,SkillSpecials3List,0))),"Yes ("&amp;INDEX(SkillSpecialsTable,MATCH(C12,SkillSpecials3List,0),4)&amp;")",""),"")</f>
        <v/>
      </c>
      <c r="CH12" s="956" t="str">
        <f>IF(OR(NOT(ISERROR(MATCH(C12,SkillSpecialsReroll1List,0))),NOT(ISERROR(MATCH(C12,SkillSpecialsReroll2List,0))),COUNTIF('Armor and Defenses'!P29:R40,"Climbing Claws")&gt;0),"Yes","")</f>
        <v/>
      </c>
      <c r="CK12" s="1125" t="str">
        <f>IF(OR(F12&lt;&gt;"",G12&lt;&gt;""),C12&amp;" "&amp;IF(O12&lt;0,"","+")&amp;O12&amp;IF(NOT(ISERROR(FIND("Yes (worse)",CB12,1)))," (can reroll, but must accept second result)","")&amp;IF(NOT(ISERROR(FIND("Yes (better)",CB12,1)))," (can reroll and take the better result)",""),"")</f>
        <v/>
      </c>
      <c r="CL12" s="718" t="str">
        <f t="shared" si="12"/>
        <v/>
      </c>
      <c r="CP12" s="718"/>
      <c r="CQ12" s="718"/>
      <c r="CR12" s="718"/>
      <c r="CS12" s="718"/>
      <c r="CT12" s="718"/>
      <c r="CU12" s="718"/>
      <c r="CV12" s="718"/>
      <c r="CW12" s="718"/>
      <c r="CX12" s="718"/>
      <c r="CY12" s="1549"/>
      <c r="CZ12" s="979"/>
      <c r="DA12" s="979"/>
      <c r="DB12" s="979"/>
      <c r="DC12" s="979"/>
      <c r="DD12" s="979"/>
      <c r="DE12" s="979"/>
      <c r="DF12" s="979"/>
      <c r="DG12" s="979"/>
      <c r="DH12" s="979"/>
      <c r="DI12" s="979"/>
      <c r="DJ12" s="979"/>
      <c r="DK12" s="979"/>
      <c r="DL12" s="979"/>
      <c r="DM12" s="979"/>
      <c r="DN12" s="979"/>
      <c r="DO12" s="979"/>
      <c r="DP12" s="979"/>
      <c r="DQ12" s="979"/>
      <c r="DR12" s="979"/>
      <c r="DS12" s="979"/>
      <c r="DT12" s="979"/>
      <c r="DU12" s="979"/>
      <c r="DV12" s="979"/>
      <c r="DW12" s="979"/>
      <c r="DX12" s="979"/>
      <c r="DY12" s="979"/>
      <c r="DZ12" s="979"/>
      <c r="EA12" s="979"/>
      <c r="EB12" s="979"/>
      <c r="EC12" s="979"/>
      <c r="ED12" s="979"/>
      <c r="EE12" s="979"/>
      <c r="EF12" s="979"/>
      <c r="EG12" s="979"/>
      <c r="EH12" s="979"/>
      <c r="EI12" s="979"/>
    </row>
    <row r="13" spans="1:139">
      <c r="B13" s="26"/>
      <c r="C13" s="28" t="s">
        <v>268</v>
      </c>
      <c r="D13" s="27" t="str">
        <f>IF(NOT(ISERROR(FIND("Social Cunning",SpeciesTraitsList))),IF(MAX(WisMod,ChaMod)=WisMod,"Wisdom","Charisma"),"Charisma")</f>
        <v>Charisma</v>
      </c>
      <c r="E13" s="1627" t="str">
        <f t="shared" ca="1" si="13"/>
        <v>No</v>
      </c>
      <c r="F13" s="1085"/>
      <c r="G13" s="1287"/>
      <c r="H13" s="1628"/>
      <c r="I13" s="1648"/>
      <c r="J13" s="1737" t="str">
        <f t="shared" ca="1" si="0"/>
        <v/>
      </c>
      <c r="K13" s="51">
        <v>0</v>
      </c>
      <c r="L13" s="51" t="str">
        <f>IF(NOT(ISERROR(FIND("Social Cunning",SpeciesTraitsList))),MAX(WisMod,ChaMod),ChaMod)</f>
        <v/>
      </c>
      <c r="M13" s="51">
        <f t="shared" si="2"/>
        <v>0</v>
      </c>
      <c r="N13" s="51">
        <f>Bonuses!D30</f>
        <v>0</v>
      </c>
      <c r="O13" s="1705">
        <f ca="1">IF(Q13,MAX(K13+L13+IF(E13="Yes",IF(OR(F13&lt;&gt;"",G13&lt;&gt;"",Q13),5,0)+IF(AND(OR(F13&lt;&gt;"",G13&lt;&gt;"",Q13),OR(I13&lt;&gt;"",J13&lt;&gt;"")),5,0))+INT(CharacterLevel/2)+N13,UsetheForce),K13+IF(L13&lt;&gt;"",L13,0)+IF(E13="Yes",IF(OR(F13&lt;&gt;"",G13&lt;&gt;""),5,0)+IF(AND(OR(F13&lt;&gt;"",G13&lt;&gt;""),OR(I13&lt;&gt;"",J13&lt;&gt;"")),5,0))+INT(CharacterLevel/2))+N13</f>
        <v>0</v>
      </c>
      <c r="P13" s="1705" t="e">
        <f ca="1">IF(Q13,MAX(K13+L13+IF(AND(E13="No",Q13),0,IF(OR(F13&lt;&gt;"",G13&lt;&gt;"",Q13),0,-5)+IF(AND(OR(F13&lt;&gt;"",G13&lt;&gt;"",Q13),OR(I13&lt;&gt;"",J13&lt;&gt;"")),2,0))+INT(CharacterLevel)+N13,SAMUsetheForce),K13+L13+IF(AND(E13="No"),-5,IF(OR(F13&lt;&gt;"",G13&lt;&gt;""),0,-5)+IF(AND(OR(F13&lt;&gt;"",G13&lt;&gt;""),OR(I13&lt;&gt;"",J13&lt;&gt;"")),2,0))+INT(CharacterLevel)+N13)</f>
        <v>#VALUE!</v>
      </c>
      <c r="Q13" s="1347" t="b">
        <f>AND(IF(Talents!$M$1299&gt;0,TRUE,FALSE),OR(TUsetheForce="Yes",STUsetheForce="Yes"))</f>
        <v>0</v>
      </c>
      <c r="R13" s="1647" t="str">
        <f t="shared" ca="1" si="14"/>
        <v/>
      </c>
      <c r="T13" s="16">
        <f>IF(NobleSkill&gt;0,1,0)</f>
        <v>0</v>
      </c>
      <c r="U13" s="16">
        <f>IF(ScoundrelSkill&gt;0,1,0)</f>
        <v>0</v>
      </c>
      <c r="X13" s="16">
        <f t="shared" si="3"/>
        <v>0</v>
      </c>
      <c r="Z13" s="16">
        <f t="shared" si="4"/>
        <v>0</v>
      </c>
      <c r="AA13" s="16" t="e">
        <f t="shared" ca="1" si="5"/>
        <v>#N/A</v>
      </c>
      <c r="AB13" s="16">
        <f>IF(BankruptSkill=1,1,0)</f>
        <v>0</v>
      </c>
      <c r="AC13" s="16">
        <f>IF(ConspiracySkill=1,1,0)</f>
        <v>0</v>
      </c>
      <c r="AE13" s="16">
        <f>IF(DisgracedSkill=1,1,0)</f>
        <v>0</v>
      </c>
      <c r="AK13" s="16">
        <f>IF(ScarredSkill=1,1,0)</f>
        <v>0</v>
      </c>
      <c r="AN13" s="16">
        <f>IF(CelebritySkill=1,1,0)</f>
        <v>0</v>
      </c>
      <c r="AO13" s="16">
        <f>IF(CriminalSkill=1,1,0)</f>
        <v>0</v>
      </c>
      <c r="AV13" s="16">
        <f>IF(PoliticsSkill=1,1,0)</f>
        <v>0</v>
      </c>
      <c r="AZ13" s="16">
        <f>IF(BespinSkill=1,1,0)</f>
        <v>0</v>
      </c>
      <c r="BA13" s="16">
        <f>IF(BothawuiSkill=1,1,0)</f>
        <v>0</v>
      </c>
      <c r="BN13" s="16">
        <f>IF(NarShaddaaSkill=1,1,0)</f>
        <v>0</v>
      </c>
      <c r="BP13" s="16">
        <f>IF(RylothSkill=1,1,0)</f>
        <v>0</v>
      </c>
      <c r="BQ13" s="16">
        <f>IF(SocorroSkill=1,1,0)</f>
        <v>0</v>
      </c>
      <c r="BS13" s="16">
        <f>IF(TarisSkill=1,1,0)</f>
        <v>0</v>
      </c>
      <c r="BV13" s="1620">
        <f t="shared" si="15"/>
        <v>0</v>
      </c>
      <c r="BW13" s="997" t="str">
        <f t="shared" ca="1" si="6"/>
        <v/>
      </c>
      <c r="BX13" s="383" t="str">
        <f t="shared" ca="1" si="7"/>
        <v/>
      </c>
      <c r="BY13" s="1125" t="str">
        <f t="shared" si="16"/>
        <v/>
      </c>
      <c r="BZ13" s="383" t="str">
        <f t="shared" si="17"/>
        <v/>
      </c>
      <c r="CA13" s="26"/>
      <c r="CB13" s="1318" t="str">
        <f t="shared" si="8"/>
        <v/>
      </c>
      <c r="CC13" s="963" t="str">
        <f t="shared" si="9"/>
        <v/>
      </c>
      <c r="CD13" s="1553"/>
      <c r="CE13" s="1543"/>
      <c r="CF13" s="29"/>
      <c r="CG13" s="956" t="str">
        <f t="shared" si="10"/>
        <v/>
      </c>
      <c r="CH13" s="956" t="str">
        <f t="shared" si="11"/>
        <v/>
      </c>
      <c r="CK13" s="1125" t="str">
        <f>IF(OR(F13&lt;&gt;"",G13&lt;&gt;""),C13&amp;" "&amp;IF(O13&lt;0,"","+")&amp;O13&amp;IF(NOT(ISERROR(FIND("Yes (worse)",CB13,1)))," (can reroll, but must accept second result)","")&amp;IF(NOT(ISERROR(FIND("Yes (better)",CB13,1)))," (can reroll and take the better result)",""),"")</f>
        <v/>
      </c>
      <c r="CL13" s="718" t="str">
        <f t="shared" si="12"/>
        <v/>
      </c>
      <c r="CP13" s="718"/>
      <c r="CQ13" s="718"/>
      <c r="CR13" s="718"/>
      <c r="CS13" s="718"/>
      <c r="CT13" s="718"/>
      <c r="CU13" s="718"/>
      <c r="CV13" s="718"/>
      <c r="CW13" s="718"/>
      <c r="CX13" s="718"/>
      <c r="CY13" s="1549"/>
      <c r="CZ13" s="979"/>
      <c r="DA13" s="979"/>
      <c r="DB13" s="979"/>
      <c r="DC13" s="979"/>
      <c r="DD13" s="979"/>
      <c r="DE13" s="979"/>
      <c r="DF13" s="979"/>
      <c r="DG13" s="979"/>
      <c r="DH13" s="979"/>
      <c r="DI13" s="979"/>
      <c r="DJ13" s="979"/>
      <c r="DK13" s="979"/>
      <c r="DL13" s="979"/>
      <c r="DM13" s="979"/>
      <c r="DN13" s="979"/>
      <c r="DO13" s="979"/>
      <c r="DP13" s="979"/>
      <c r="DQ13" s="979"/>
      <c r="DR13" s="979"/>
      <c r="DS13" s="979"/>
      <c r="DT13" s="979"/>
      <c r="DU13" s="979"/>
      <c r="DV13" s="979"/>
      <c r="DW13" s="979"/>
      <c r="DX13" s="979"/>
      <c r="DY13" s="979"/>
      <c r="DZ13" s="979"/>
      <c r="EA13" s="979"/>
      <c r="EB13" s="979"/>
      <c r="EC13" s="979"/>
      <c r="ED13" s="979"/>
      <c r="EE13" s="979"/>
      <c r="EF13" s="979"/>
      <c r="EG13" s="979"/>
      <c r="EH13" s="979"/>
      <c r="EI13" s="979"/>
    </row>
    <row r="14" spans="1:139">
      <c r="B14" s="26"/>
      <c r="C14" s="28" t="s">
        <v>306</v>
      </c>
      <c r="D14" s="27" t="s">
        <v>2100</v>
      </c>
      <c r="E14" s="1627" t="str">
        <f t="shared" ca="1" si="13"/>
        <v>No</v>
      </c>
      <c r="F14" s="1085"/>
      <c r="G14" s="1623"/>
      <c r="H14" s="1626"/>
      <c r="I14" s="1628"/>
      <c r="J14" s="1737" t="str">
        <f t="shared" ca="1" si="0"/>
        <v/>
      </c>
      <c r="K14" s="51">
        <f>ArmorPenalty</f>
        <v>0</v>
      </c>
      <c r="L14" s="51" t="str">
        <f t="shared" si="1"/>
        <v/>
      </c>
      <c r="M14" s="51">
        <f t="shared" si="2"/>
        <v>0</v>
      </c>
      <c r="N14" s="51">
        <f>Bonuses!D31+IF(Feats!M438&gt;0,3,0)</f>
        <v>0</v>
      </c>
      <c r="O14" s="1705">
        <f ca="1">K14+IF(L14&lt;&gt;"",L14,0)+IF(E14="Yes",IF(OR(F14&lt;&gt;"",G14&lt;&gt;""),5,0)+IF(AND(OR(F14&lt;&gt;"",G14&lt;&gt;""),OR(I14&lt;&gt;"",J14&lt;&gt;"")),5,0))+INT(CharacterLevel/2)+N14</f>
        <v>0</v>
      </c>
      <c r="P14" s="1705" t="e">
        <f ca="1">K14+L14+IF(AND(E14="No"),-5,IF(OR(F14&lt;&gt;"",G14&lt;&gt;""),0,-5)+IF(AND(OR(F14&lt;&gt;"",G14&lt;&gt;""),OR(I14&lt;&gt;"",J14&lt;&gt;"")),2,0))+INT(CharacterLevel)+N14</f>
        <v>#VALUE!</v>
      </c>
      <c r="R14" s="1647" t="str">
        <f t="shared" ca="1" si="14"/>
        <v/>
      </c>
      <c r="S14" s="16">
        <f>IF(JediSkill&gt;0,1,0)</f>
        <v>0</v>
      </c>
      <c r="V14" s="16">
        <f>IF(ScoutSkill&gt;0,1,0)</f>
        <v>0</v>
      </c>
      <c r="W14" s="16">
        <f>IF(SoldierSkill&gt;0,1,0)</f>
        <v>0</v>
      </c>
      <c r="X14" s="16">
        <f t="shared" si="3"/>
        <v>0</v>
      </c>
      <c r="Y14" s="16">
        <f>IF(BeastSkill&gt;0,1,0)</f>
        <v>0</v>
      </c>
      <c r="Z14" s="16">
        <f t="shared" si="4"/>
        <v>0</v>
      </c>
      <c r="AA14" s="16" t="e">
        <f t="shared" ca="1" si="5"/>
        <v>#N/A</v>
      </c>
      <c r="AD14" s="16">
        <f>IF(CrippledSkill=1,1,0)</f>
        <v>0</v>
      </c>
      <c r="AF14" s="16">
        <f>IF(EnslavedSkill=1,1,0)</f>
        <v>0</v>
      </c>
      <c r="AQ14" s="16">
        <f>IF(LaborSkill=1,1,0)</f>
        <v>0</v>
      </c>
      <c r="AT14" s="16">
        <f>IF(MilitarySkill=1,1,0)</f>
        <v>0</v>
      </c>
      <c r="BE14" s="16">
        <f>IF(DorinSkill=1,1,0)</f>
        <v>0</v>
      </c>
      <c r="BH14" s="16">
        <f>IF(GamorrSkill=1,1,0)</f>
        <v>0</v>
      </c>
      <c r="BI14" s="16">
        <f>IF(IridoniaSkill=1,1,0)</f>
        <v>0</v>
      </c>
      <c r="BT14" s="16">
        <f>IF(TatooineSkill=1,1,0)</f>
        <v>0</v>
      </c>
      <c r="BU14" s="16">
        <f>IF(TrandoshaSkill=1,1,0)</f>
        <v>0</v>
      </c>
      <c r="BV14" s="1620">
        <f t="shared" si="15"/>
        <v>0</v>
      </c>
      <c r="BW14" s="997" t="str">
        <f t="shared" ca="1" si="6"/>
        <v/>
      </c>
      <c r="BX14" s="383" t="str">
        <f t="shared" ca="1" si="7"/>
        <v/>
      </c>
      <c r="BY14" s="1125" t="str">
        <f t="shared" si="16"/>
        <v/>
      </c>
      <c r="BZ14" s="383" t="str">
        <f t="shared" si="17"/>
        <v/>
      </c>
      <c r="CA14" s="26"/>
      <c r="CB14" s="1318" t="str">
        <f t="shared" si="8"/>
        <v/>
      </c>
      <c r="CC14" s="963" t="str">
        <f t="shared" si="9"/>
        <v/>
      </c>
      <c r="CD14" s="1553"/>
      <c r="CE14" s="1543"/>
      <c r="CF14" s="29"/>
      <c r="CG14" s="956" t="str">
        <f t="shared" si="10"/>
        <v/>
      </c>
      <c r="CH14" s="956" t="str">
        <f t="shared" si="11"/>
        <v/>
      </c>
      <c r="CK14" s="1125" t="str">
        <f>IF(OR(F14&lt;&gt;"",G14&lt;&gt;""),C14&amp;" "&amp;IF(O14&lt;0,"","+")&amp;O14&amp;IF(NOT(ISERROR(FIND("Yes (worse)",CB14,1)))," (can reroll, but must accept second result)","")&amp;IF(NOT(ISERROR(FIND("Yes (better)",CB14,1)))," (can reroll and take the better result)",""),"")</f>
        <v/>
      </c>
      <c r="CL14" s="718" t="str">
        <f t="shared" si="12"/>
        <v/>
      </c>
      <c r="CP14" s="718"/>
      <c r="CQ14" s="718"/>
      <c r="CR14" s="718"/>
      <c r="CS14" s="718"/>
      <c r="CT14" s="718"/>
      <c r="CU14" s="718"/>
      <c r="CV14" s="718"/>
      <c r="CW14" s="718"/>
      <c r="CX14" s="718"/>
      <c r="CY14" s="1549"/>
      <c r="CZ14" s="979"/>
      <c r="DA14" s="979"/>
      <c r="DB14" s="979"/>
      <c r="DC14" s="979"/>
      <c r="DD14" s="979"/>
      <c r="DE14" s="979"/>
      <c r="DF14" s="979"/>
      <c r="DG14" s="979"/>
      <c r="DH14" s="979"/>
      <c r="DI14" s="979"/>
      <c r="DJ14" s="979"/>
      <c r="DK14" s="979"/>
      <c r="DL14" s="979"/>
      <c r="DM14" s="979"/>
      <c r="DN14" s="979"/>
      <c r="DO14" s="979"/>
      <c r="DP14" s="979"/>
      <c r="DQ14" s="979"/>
      <c r="DR14" s="979"/>
      <c r="DS14" s="979"/>
      <c r="DT14" s="979"/>
      <c r="DU14" s="979"/>
      <c r="DV14" s="979"/>
      <c r="DW14" s="979"/>
      <c r="DX14" s="979"/>
      <c r="DY14" s="979"/>
      <c r="DZ14" s="979"/>
      <c r="EA14" s="979"/>
      <c r="EB14" s="979"/>
      <c r="EC14" s="979"/>
      <c r="ED14" s="979"/>
      <c r="EE14" s="979"/>
      <c r="EF14" s="979"/>
      <c r="EG14" s="979"/>
      <c r="EH14" s="979"/>
      <c r="EI14" s="979"/>
    </row>
    <row r="15" spans="1:139">
      <c r="B15" s="26"/>
      <c r="C15" s="28" t="s">
        <v>342</v>
      </c>
      <c r="D15" s="27" t="s">
        <v>2103</v>
      </c>
      <c r="E15" s="1627" t="str">
        <f t="shared" ca="1" si="13"/>
        <v>No</v>
      </c>
      <c r="F15" s="1085"/>
      <c r="G15" s="1628"/>
      <c r="H15" s="1643"/>
      <c r="I15" s="1128"/>
      <c r="J15" s="1737" t="str">
        <f t="shared" ca="1" si="0"/>
        <v/>
      </c>
      <c r="K15" s="51">
        <v>0</v>
      </c>
      <c r="L15" s="51" t="str">
        <f t="shared" si="1"/>
        <v/>
      </c>
      <c r="M15" s="51">
        <f t="shared" si="2"/>
        <v>0</v>
      </c>
      <c r="N15" s="51">
        <f>Bonuses!D32</f>
        <v>0</v>
      </c>
      <c r="O15" s="1705">
        <f ca="1">IF(Q15,MAX(K15+L15+IF(E15="Yes",IF(OR(F15&lt;&gt;"",G15&lt;&gt;""),5,0)+IF(AND(OR(F15&lt;&gt;"",G15&lt;&gt;""),OR(I15&lt;&gt;"",J15&lt;&gt;"")),5,0))+INT(CharacterLevel/2)+N15,Perception,UsetheForce),K15+IF(L15&lt;&gt;"",L15,0)+IF(E15="Yes",IF(OR(F15&lt;&gt;"",G15&lt;&gt;""),5,0)+IF(AND(OR(F15&lt;&gt;"",G15&lt;&gt;""),OR(I15&lt;&gt;"",J15&lt;&gt;"")),5,0))+INT(CharacterLevel/2))+N15</f>
        <v>0</v>
      </c>
      <c r="P15" s="1705" t="e">
        <f ca="1">IF(Q15,MAX(K15+L15+IF(AND(E15="No",Q15),0,IF(OR(F15&lt;&gt;"",G15&lt;&gt;"",Q15),0,-5)+IF(AND(OR(F15&lt;&gt;"",G15&lt;&gt;"",Q15),OR(I15&lt;&gt;"",J15&lt;&gt;"")),2,0))+INT(CharacterLevel)+N15,SAMUsetheForce),K15+L15+IF(AND(E15="No"),-5,IF(OR(F15&lt;&gt;"",G15&lt;&gt;""),0,-5)+IF(AND(OR(F15&lt;&gt;"",G15&lt;&gt;""),OR(I15&lt;&gt;"",J15&lt;&gt;"")),2,0))+INT(CharacterLevel)+N15)</f>
        <v>#VALUE!</v>
      </c>
      <c r="Q15" s="1133" t="b">
        <f ca="1">AND(OR(TPerception="Yes",FPerception="Yes",Talents!M120&gt;0),OR(I26="Yes",J26="Yes"),OR(Feats!H160="Yes",Feats!I160="Yes"))</f>
        <v>0</v>
      </c>
      <c r="R15" s="1647" t="str">
        <f t="shared" ca="1" si="14"/>
        <v/>
      </c>
      <c r="T15" s="16">
        <f>IF(NobleSkill&gt;0,1,0)</f>
        <v>0</v>
      </c>
      <c r="U15" s="16">
        <f>IF(ScoundrelSkill&gt;0,1,0)</f>
        <v>0</v>
      </c>
      <c r="X15" s="16">
        <f t="shared" si="3"/>
        <v>0</v>
      </c>
      <c r="Z15" s="16">
        <f t="shared" si="4"/>
        <v>0</v>
      </c>
      <c r="AA15" s="16" t="e">
        <f t="shared" ca="1" si="5"/>
        <v>#N/A</v>
      </c>
      <c r="AB15" s="16">
        <f>IF(BankruptSkill=1,1,0)</f>
        <v>0</v>
      </c>
      <c r="AE15" s="16">
        <f>IF(DisgracedSkill=1,1,0)</f>
        <v>0</v>
      </c>
      <c r="AG15" s="16">
        <f>IF(ExiledSkill=1,1,0)</f>
        <v>0</v>
      </c>
      <c r="AH15" s="16">
        <f>IF(ImprisonedSkill=1,1,0)</f>
        <v>0</v>
      </c>
      <c r="AJ15" s="16">
        <f>IF(OrphanedSkill=1,1,0)</f>
        <v>0</v>
      </c>
      <c r="AL15" s="16">
        <f>IF(WidowedSkill=1,1,0)</f>
        <v>0</v>
      </c>
      <c r="AN15" s="16">
        <f>IF(CelebritySkill=1,1,0)</f>
        <v>0</v>
      </c>
      <c r="AO15" s="16">
        <f>IF(CriminalSkill=1,1,0)</f>
        <v>0</v>
      </c>
      <c r="AR15" s="16">
        <f>IF(LawEnforcementSkill=1,1,0)</f>
        <v>0</v>
      </c>
      <c r="AV15" s="16">
        <f>IF(PoliticsSkill=1,1,0)</f>
        <v>0</v>
      </c>
      <c r="BA15" s="16">
        <f>IF(BothawuiSkill=1,1,0)</f>
        <v>0</v>
      </c>
      <c r="BD15" s="16">
        <f>IF(CoruscantSkill=1,1,0)</f>
        <v>0</v>
      </c>
      <c r="BN15" s="16">
        <f>IF(NarShaddaaSkill=1,1,0)</f>
        <v>0</v>
      </c>
      <c r="BV15" s="1620">
        <f t="shared" si="15"/>
        <v>0</v>
      </c>
      <c r="BW15" s="997" t="str">
        <f t="shared" ca="1" si="6"/>
        <v/>
      </c>
      <c r="BX15" s="383" t="str">
        <f t="shared" ca="1" si="7"/>
        <v/>
      </c>
      <c r="BY15" s="1125" t="str">
        <f t="shared" si="16"/>
        <v/>
      </c>
      <c r="BZ15" s="383" t="str">
        <f t="shared" si="17"/>
        <v/>
      </c>
      <c r="CA15" s="26"/>
      <c r="CB15" s="1318" t="str">
        <f t="shared" si="8"/>
        <v/>
      </c>
      <c r="CC15" s="963" t="str">
        <f t="shared" si="9"/>
        <v/>
      </c>
      <c r="CD15" s="1553"/>
      <c r="CE15" s="1543"/>
      <c r="CF15" s="29"/>
      <c r="CG15" s="956" t="str">
        <f t="shared" si="10"/>
        <v/>
      </c>
      <c r="CH15" s="956" t="str">
        <f t="shared" si="11"/>
        <v/>
      </c>
      <c r="CK15" s="1125" t="str">
        <f>IF(OR(F15&lt;&gt;"",G15&lt;&gt;""),C15&amp;" "&amp;IF(O15&lt;0,"","+")&amp;O15&amp;IF(NOT(ISERROR(FIND("Yes (worse)",CB15,1)))," (can reroll, but must accept second result)","")&amp;IF(NOT(ISERROR(FIND("Yes (better)",CB15,1)))," (can reroll and take the better result)",""),"")</f>
        <v/>
      </c>
      <c r="CL15" s="718" t="str">
        <f t="shared" si="12"/>
        <v/>
      </c>
      <c r="CP15" s="718"/>
      <c r="CQ15" s="718"/>
      <c r="CR15" s="718"/>
      <c r="CS15" s="718"/>
      <c r="CT15" s="718"/>
      <c r="CU15" s="718"/>
      <c r="CV15" s="718"/>
      <c r="CW15" s="718"/>
      <c r="CX15" s="718"/>
      <c r="CY15" s="1549"/>
      <c r="CZ15" s="979"/>
      <c r="DA15" s="979"/>
      <c r="DB15" s="979"/>
      <c r="DC15" s="979"/>
      <c r="DD15" s="979"/>
      <c r="DE15" s="979"/>
      <c r="DF15" s="979"/>
      <c r="DG15" s="979"/>
      <c r="DH15" s="979"/>
      <c r="DI15" s="979"/>
      <c r="DJ15" s="979"/>
      <c r="DK15" s="979"/>
      <c r="DL15" s="979"/>
      <c r="DM15" s="979"/>
      <c r="DN15" s="979"/>
      <c r="DO15" s="979"/>
      <c r="DP15" s="979"/>
      <c r="DQ15" s="979"/>
      <c r="DR15" s="979"/>
      <c r="DS15" s="979"/>
      <c r="DT15" s="979"/>
      <c r="DU15" s="979"/>
      <c r="DV15" s="979"/>
      <c r="DW15" s="979"/>
      <c r="DX15" s="979"/>
      <c r="DY15" s="979"/>
      <c r="DZ15" s="979"/>
      <c r="EA15" s="979"/>
      <c r="EB15" s="979"/>
      <c r="EC15" s="979"/>
      <c r="ED15" s="979"/>
      <c r="EE15" s="979"/>
      <c r="EF15" s="979"/>
      <c r="EG15" s="979"/>
      <c r="EH15" s="979"/>
      <c r="EI15" s="979"/>
    </row>
    <row r="16" spans="1:139">
      <c r="B16" s="26"/>
      <c r="C16" s="28" t="s">
        <v>375</v>
      </c>
      <c r="D16" s="27" t="s">
        <v>2099</v>
      </c>
      <c r="E16" s="1627" t="str">
        <f t="shared" ca="1" si="13"/>
        <v>No</v>
      </c>
      <c r="F16" s="1085"/>
      <c r="G16" s="1627"/>
      <c r="H16" s="1626"/>
      <c r="I16" s="1648"/>
      <c r="J16" s="1737" t="str">
        <f t="shared" ca="1" si="0"/>
        <v/>
      </c>
      <c r="K16" s="51">
        <f>ArmorPenalty</f>
        <v>0</v>
      </c>
      <c r="L16" s="51" t="str">
        <f t="shared" si="1"/>
        <v/>
      </c>
      <c r="M16" s="51">
        <f t="shared" si="2"/>
        <v>0</v>
      </c>
      <c r="N16" s="51">
        <f>Bonuses!D33</f>
        <v>0</v>
      </c>
      <c r="O16" s="1705">
        <f ca="1">IF(Q16,MAX(K16+L16+IF(E16="Yes",IF(OR(F16&lt;&gt;"",G16&lt;&gt;"",Q16),5,0)+IF(AND(OR(F16&lt;&gt;"",G16&lt;&gt;"",Q16),OR(I16&lt;&gt;"",J16&lt;&gt;"")),5,0))+INT(CharacterLevel/2)+N16,UsetheForce,Perception),K16+IF(L16&lt;&gt;"",L16,0)+IF(E16="Yes",IF(OR(F16&lt;&gt;"",G16&lt;&gt;""),5,0)+IF(AND(OR(F16&lt;&gt;"",G16&lt;&gt;""),OR(I16&lt;&gt;"",J16&lt;&gt;"")),5,0))+INT(CharacterLevel/2))+N16</f>
        <v>0</v>
      </c>
      <c r="P16" s="1705" t="e">
        <f ca="1">IF(Q16,MAX(K16+L16+IF(AND(E16="No",Q16),0,IF(OR(F16&lt;&gt;"",G16&lt;&gt;"",Q16),0,-5)+IF(AND(OR(F16&lt;&gt;"",G16&lt;&gt;"",Q16),OR(I16&lt;&gt;"",J16&lt;&gt;"")),2,0))+INT(CharacterLevel)+N16,SAMUsetheForce,SAMPerception),K16+L16+IF(AND(E16="No"),-5,IF(OR(F16&lt;&gt;"",G16&lt;&gt;""),0,-5)+IF(AND(OR(F16&lt;&gt;"",G16&lt;&gt;""),OR(I16&lt;&gt;"",J16&lt;&gt;"")),2,0))+INT(CharacterLevel)+N16)</f>
        <v>#VALUE!</v>
      </c>
      <c r="Q16" s="829" t="b">
        <f>OR(AND(IF(Talents!$M$37&gt;0,TRUE,FALSE),OR(TUsetheForce="Yes",STUsetheForce="Yes")),AND(IF(Talents!$M$437&gt;0,TRUE,FALSE),OR(TPerception="Yes",FPerception="Yes",ForcePerception)))</f>
        <v>0</v>
      </c>
      <c r="R16" s="1647" t="str">
        <f t="shared" ca="1" si="14"/>
        <v/>
      </c>
      <c r="S16" s="16">
        <f t="shared" ref="S16:S26" si="18">IF(JediSkill&gt;0,1,0)</f>
        <v>0</v>
      </c>
      <c r="T16" s="16">
        <f>IF(NobleSkill&gt;0,1,0)</f>
        <v>0</v>
      </c>
      <c r="U16" s="16">
        <f>IF(ScoundrelSkill&gt;0,1,0)</f>
        <v>0</v>
      </c>
      <c r="V16" s="16">
        <f t="shared" ref="V16:V26" si="19">IF(ScoutSkill&gt;0,1,0)</f>
        <v>0</v>
      </c>
      <c r="W16" s="16">
        <f>IF(SoldierSkill&gt;0,1,0)</f>
        <v>0</v>
      </c>
      <c r="X16" s="16">
        <f t="shared" si="3"/>
        <v>0</v>
      </c>
      <c r="Y16" s="16">
        <f>IF(BeastSkill&gt;0,1,0)</f>
        <v>0</v>
      </c>
      <c r="Z16" s="16">
        <f t="shared" si="4"/>
        <v>0</v>
      </c>
      <c r="AA16" s="16" t="e">
        <f t="shared" ca="1" si="5"/>
        <v>#N/A</v>
      </c>
      <c r="AP16" s="16">
        <f>IF(ExecutiveSkill=1,1,0)</f>
        <v>0</v>
      </c>
      <c r="BC16" s="16">
        <f>IF(CorelliaSkill=1,1,0)</f>
        <v>0</v>
      </c>
      <c r="BV16" s="1620">
        <f t="shared" si="15"/>
        <v>0</v>
      </c>
      <c r="BW16" s="997" t="str">
        <f t="shared" ca="1" si="6"/>
        <v/>
      </c>
      <c r="BX16" s="383" t="str">
        <f t="shared" ca="1" si="7"/>
        <v/>
      </c>
      <c r="BY16" s="1125" t="str">
        <f t="shared" si="16"/>
        <v/>
      </c>
      <c r="BZ16" s="383" t="str">
        <f t="shared" si="17"/>
        <v/>
      </c>
      <c r="CA16" s="26"/>
      <c r="CB16" s="1318" t="str">
        <f t="shared" si="8"/>
        <v/>
      </c>
      <c r="CC16" s="963" t="str">
        <f t="shared" si="9"/>
        <v/>
      </c>
      <c r="CD16" s="1553"/>
      <c r="CE16" s="1543"/>
      <c r="CF16" s="29"/>
      <c r="CG16" s="956" t="str">
        <f t="shared" si="10"/>
        <v/>
      </c>
      <c r="CH16" s="956" t="str">
        <f t="shared" si="11"/>
        <v/>
      </c>
      <c r="CI16" s="1316" t="str">
        <f>IF(OR(Feats!M394&gt;0),"Yes (better)","")</f>
        <v/>
      </c>
      <c r="CK16" s="997" t="str">
        <f>IF(OR(F16&lt;&gt;"",Q16),IF(Q16,IF(O$35&gt;=O16,C16&amp;" (Use the Force)",C16),C16)&amp;" "&amp;IF(O16&lt;0,"","+")&amp;O16&amp;IF(NOT(ISERROR(FIND("Yes (worse)",CB16,1)))," (can reroll, but must accept second result)","")&amp;IF(NOT(ISERROR(FIND("Yes (better)",CB16,1)))," (can reroll and take the better result)",""),"")</f>
        <v/>
      </c>
      <c r="CL16" s="15" t="str">
        <f t="shared" si="12"/>
        <v/>
      </c>
      <c r="CP16" s="718"/>
      <c r="CQ16" s="718"/>
      <c r="CR16" s="718"/>
      <c r="CS16" s="718"/>
      <c r="CT16" s="718"/>
      <c r="CU16" s="718"/>
      <c r="CV16" s="718"/>
      <c r="CW16" s="718"/>
      <c r="CX16" s="718"/>
      <c r="CY16" s="1549"/>
      <c r="CZ16" s="979"/>
      <c r="DA16" s="979"/>
      <c r="DB16" s="979"/>
      <c r="DC16" s="979"/>
      <c r="DD16" s="979"/>
      <c r="DE16" s="979"/>
      <c r="DF16" s="979"/>
      <c r="DG16" s="979"/>
      <c r="DH16" s="979"/>
      <c r="DI16" s="979"/>
      <c r="DJ16" s="979"/>
      <c r="DK16" s="979"/>
      <c r="DL16" s="979"/>
      <c r="DM16" s="979"/>
      <c r="DN16" s="979"/>
      <c r="DO16" s="979"/>
      <c r="DP16" s="979"/>
      <c r="DQ16" s="979"/>
      <c r="DR16" s="979"/>
      <c r="DS16" s="979"/>
      <c r="DT16" s="979"/>
      <c r="DU16" s="979"/>
      <c r="DV16" s="979"/>
      <c r="DW16" s="979"/>
      <c r="DX16" s="979"/>
      <c r="DY16" s="979"/>
      <c r="DZ16" s="979"/>
      <c r="EA16" s="979"/>
      <c r="EB16" s="979"/>
      <c r="EC16" s="979"/>
      <c r="ED16" s="979"/>
      <c r="EE16" s="979"/>
      <c r="EF16" s="979"/>
      <c r="EG16" s="979"/>
      <c r="EH16" s="979"/>
      <c r="EI16" s="979"/>
    </row>
    <row r="17" spans="2:139">
      <c r="B17" s="26"/>
      <c r="C17" s="28" t="s">
        <v>407</v>
      </c>
      <c r="D17" s="27" t="s">
        <v>2098</v>
      </c>
      <c r="E17" s="1627" t="str">
        <f t="shared" ca="1" si="13"/>
        <v>No</v>
      </c>
      <c r="F17" s="1085"/>
      <c r="G17" s="1633"/>
      <c r="H17" s="1626"/>
      <c r="I17" s="1128"/>
      <c r="J17" s="1737" t="str">
        <f t="shared" ca="1" si="0"/>
        <v/>
      </c>
      <c r="K17" s="51">
        <f>ArmorPenalty</f>
        <v>0</v>
      </c>
      <c r="L17" s="51" t="str">
        <f t="shared" si="1"/>
        <v/>
      </c>
      <c r="M17" s="51">
        <f t="shared" si="2"/>
        <v>0</v>
      </c>
      <c r="N17" s="51">
        <f>Bonuses!D34+IF(Feats!M439&gt;0,3,0)</f>
        <v>0</v>
      </c>
      <c r="O17" s="1705">
        <f t="shared" ref="O17:O25" ca="1" si="20">K17+IF(L17&lt;&gt;"",L17,0)+IF(E17="Yes",IF(OR(F17&lt;&gt;"",G17&lt;&gt;""),5,0)+IF(AND(OR(F17&lt;&gt;"",G17&lt;&gt;""),OR(I17&lt;&gt;"",J17&lt;&gt;"")),5,0))+INT(CharacterLevel/2)+N17</f>
        <v>0</v>
      </c>
      <c r="P17" s="1705" t="e">
        <f t="shared" ref="P17:P25" ca="1" si="21">K17+L17+IF(AND(E17="No"),-5,IF(OR(F17&lt;&gt;"",G17&lt;&gt;""),0,-5)+IF(AND(OR(F17&lt;&gt;"",G17&lt;&gt;""),OR(I17&lt;&gt;"",J17&lt;&gt;"")),2,0))+INT(CharacterLevel)+N17</f>
        <v>#VALUE!</v>
      </c>
      <c r="R17" s="1647" t="str">
        <f t="shared" ca="1" si="14"/>
        <v/>
      </c>
      <c r="S17" s="16">
        <f t="shared" si="18"/>
        <v>0</v>
      </c>
      <c r="V17" s="16">
        <f t="shared" si="19"/>
        <v>0</v>
      </c>
      <c r="W17" s="16">
        <f>IF(SoldierSkill&gt;0,1,0)</f>
        <v>0</v>
      </c>
      <c r="X17" s="16">
        <f t="shared" si="3"/>
        <v>0</v>
      </c>
      <c r="Y17" s="16">
        <f>IF(BeastSkill&gt;0,1,0)</f>
        <v>0</v>
      </c>
      <c r="Z17" s="16">
        <f t="shared" si="4"/>
        <v>0</v>
      </c>
      <c r="AA17" s="16" t="e">
        <f t="shared" ca="1" si="5"/>
        <v>#N/A</v>
      </c>
      <c r="AF17" s="16">
        <f>IF(EnslavedSkill=1,1,0)</f>
        <v>0</v>
      </c>
      <c r="AQ17" s="16">
        <f>IF(LaborSkill=1,1,0)</f>
        <v>0</v>
      </c>
      <c r="BV17" s="1620">
        <f t="shared" si="15"/>
        <v>0</v>
      </c>
      <c r="BW17" s="997" t="str">
        <f t="shared" ca="1" si="6"/>
        <v/>
      </c>
      <c r="BX17" s="383" t="str">
        <f t="shared" ca="1" si="7"/>
        <v/>
      </c>
      <c r="BY17" s="1125" t="str">
        <f t="shared" si="16"/>
        <v/>
      </c>
      <c r="BZ17" s="383" t="str">
        <f t="shared" si="17"/>
        <v/>
      </c>
      <c r="CA17" s="26"/>
      <c r="CB17" s="1318" t="str">
        <f t="shared" si="8"/>
        <v/>
      </c>
      <c r="CC17" s="963" t="str">
        <f t="shared" si="9"/>
        <v/>
      </c>
      <c r="CD17" s="1553"/>
      <c r="CE17" s="1543"/>
      <c r="CF17" s="29"/>
      <c r="CG17" s="956" t="str">
        <f>IF(OR(NOT(ISERROR(MATCH(C17,SkillSpecials1List,0))),NOT(ISERROR(MATCH(C17,SkillSpecials3List,0))),COUNTIF('Armor and Defenses'!P29:R40,"Jump Servos")&gt;0),IF(NOT(ISERROR(MATCH(C17,SkillSpecials1List,0))),"Yes ("&amp;INDEX(SkillSpecialsTable,MATCH(C17,SkillSpecials1List,0),2)&amp;")","")&amp;IF(COUNTIF('Armor and Defenses'!P29:R40,"Jump Servos")&gt;0,"Yes (better)","")&amp;IF(NOT(ISERROR(MATCH(C17,SkillSpecials3List,0))),"Yes ("&amp;INDEX(SkillSpecialsTable,MATCH(C17,SkillSpecials3List,0),4)&amp;")",""),"")</f>
        <v/>
      </c>
      <c r="CH17" s="956" t="str">
        <f>IF(OR(NOT(ISERROR(MATCH(C17,SkillSpecialsReroll1List,0))),NOT(ISERROR(MATCH(C17,SkillSpecialsReroll2List,0))),COUNTIF('Armor and Defenses'!P29:R40,"Jump Servos")&gt;0),"Yes","")</f>
        <v/>
      </c>
      <c r="CK17" s="1125" t="str">
        <f t="shared" ref="CK17:CK25" si="22">IF(OR(F17&lt;&gt;"",G17&lt;&gt;""),C17&amp;" "&amp;IF(O17&lt;0,"","+")&amp;O17&amp;IF(NOT(ISERROR(FIND("Yes (worse)",CB17,1)))," (can reroll, but must accept second result)","")&amp;IF(NOT(ISERROR(FIND("Yes (better)",CB17,1)))," (can reroll and take the better result)",""),"")</f>
        <v/>
      </c>
      <c r="CL17" s="718" t="str">
        <f t="shared" ref="CL17:CL35" si="23">IF(CK17&lt;&gt;"",CK17&amp;IF(CL18&lt;&gt;"",", "&amp;CL18,""),CL18)</f>
        <v/>
      </c>
      <c r="CP17" s="718"/>
      <c r="CQ17" s="718"/>
      <c r="CR17" s="718"/>
      <c r="CS17" s="718"/>
      <c r="CT17" s="718"/>
      <c r="CU17" s="718"/>
      <c r="CV17" s="718"/>
      <c r="CW17" s="718"/>
      <c r="CX17" s="718"/>
      <c r="CY17" s="1549"/>
      <c r="CZ17" s="979"/>
      <c r="DA17" s="979"/>
      <c r="DB17" s="979"/>
      <c r="DC17" s="979"/>
      <c r="DD17" s="979"/>
      <c r="DE17" s="979"/>
      <c r="DF17" s="979"/>
      <c r="DG17" s="979"/>
      <c r="DH17" s="979"/>
      <c r="DI17" s="979"/>
      <c r="DJ17" s="979"/>
      <c r="DK17" s="979"/>
      <c r="DL17" s="979"/>
      <c r="DM17" s="979"/>
      <c r="DN17" s="979"/>
      <c r="DO17" s="979"/>
      <c r="DP17" s="979"/>
      <c r="DQ17" s="979"/>
      <c r="DR17" s="979"/>
      <c r="DS17" s="979"/>
      <c r="DT17" s="979"/>
      <c r="DU17" s="979"/>
      <c r="DV17" s="979"/>
      <c r="DW17" s="979"/>
      <c r="DX17" s="979"/>
      <c r="DY17" s="979"/>
      <c r="DZ17" s="979"/>
      <c r="EA17" s="979"/>
      <c r="EB17" s="979"/>
      <c r="EC17" s="979"/>
      <c r="ED17" s="979"/>
      <c r="EE17" s="979"/>
      <c r="EF17" s="979"/>
      <c r="EG17" s="979"/>
      <c r="EH17" s="979"/>
      <c r="EI17" s="979"/>
    </row>
    <row r="18" spans="2:139">
      <c r="B18" s="26"/>
      <c r="C18" s="28" t="s">
        <v>443</v>
      </c>
      <c r="D18" s="27" t="str">
        <f>IF(AND(Race="Cerean",Feats!M391&gt;0),"Wisdom","Intelligence")</f>
        <v>Intelligence</v>
      </c>
      <c r="E18" s="1627" t="str">
        <f t="shared" ca="1" si="13"/>
        <v>No</v>
      </c>
      <c r="F18" s="1085"/>
      <c r="G18" s="1628"/>
      <c r="H18" s="1633"/>
      <c r="I18" s="1128"/>
      <c r="J18" s="1737" t="str">
        <f t="shared" ca="1" si="0"/>
        <v/>
      </c>
      <c r="K18" s="541">
        <v>0</v>
      </c>
      <c r="L18" s="51" t="str">
        <f t="shared" si="1"/>
        <v/>
      </c>
      <c r="M18" s="51">
        <f t="shared" si="2"/>
        <v>0</v>
      </c>
      <c r="N18" s="51">
        <f>Bonuses!D35</f>
        <v>0</v>
      </c>
      <c r="O18" s="1705">
        <f t="shared" ca="1" si="20"/>
        <v>0</v>
      </c>
      <c r="P18" s="1705" t="e">
        <f t="shared" ca="1" si="21"/>
        <v>#VALUE!</v>
      </c>
      <c r="R18" s="1647" t="str">
        <f t="shared" ca="1" si="14"/>
        <v/>
      </c>
      <c r="S18" s="16">
        <f t="shared" si="18"/>
        <v>0</v>
      </c>
      <c r="T18" s="16">
        <f t="shared" ref="T18:T24" si="24">IF(NobleSkill&gt;0,1,0)</f>
        <v>0</v>
      </c>
      <c r="U18" s="16">
        <f t="shared" ref="U18:U28" si="25">IF(ScoundrelSkill&gt;0,1,0)</f>
        <v>0</v>
      </c>
      <c r="V18" s="16">
        <f t="shared" si="19"/>
        <v>0</v>
      </c>
      <c r="X18" s="16">
        <f t="shared" si="3"/>
        <v>0</v>
      </c>
      <c r="Z18" s="16">
        <f t="shared" si="4"/>
        <v>0</v>
      </c>
      <c r="AA18" s="16" t="e">
        <f t="shared" ca="1" si="5"/>
        <v>#N/A</v>
      </c>
      <c r="AM18" s="16">
        <f t="shared" ref="AM18:AM24" si="26">IF(AcademicSkill=1,1,0)</f>
        <v>0</v>
      </c>
      <c r="AR18" s="16">
        <f>IF(LawEnforcementSkill=1,1,0)</f>
        <v>0</v>
      </c>
      <c r="AX18" s="16">
        <f t="shared" ref="AX18:AX24" si="27">IF(AlderaanSkill=1,1,0)</f>
        <v>0</v>
      </c>
      <c r="AZ18" s="16">
        <f>IF(BespinSkill=1,1,0)</f>
        <v>0</v>
      </c>
      <c r="BD18" s="16">
        <f>IF(CoruscantSkill=1,1,0)</f>
        <v>0</v>
      </c>
      <c r="BV18" s="1620">
        <f t="shared" si="15"/>
        <v>0</v>
      </c>
      <c r="BW18" s="997" t="str">
        <f t="shared" ca="1" si="6"/>
        <v/>
      </c>
      <c r="BX18" s="383" t="str">
        <f t="shared" ca="1" si="7"/>
        <v/>
      </c>
      <c r="BY18" s="1125" t="str">
        <f t="shared" si="16"/>
        <v/>
      </c>
      <c r="BZ18" s="383" t="str">
        <f t="shared" si="17"/>
        <v/>
      </c>
      <c r="CA18" s="26"/>
      <c r="CB18" s="1318" t="str">
        <f t="shared" si="8"/>
        <v/>
      </c>
      <c r="CC18" s="963" t="str">
        <f t="shared" si="9"/>
        <v/>
      </c>
      <c r="CD18" s="1553"/>
      <c r="CE18" s="1543"/>
      <c r="CF18" s="29"/>
      <c r="CG18" s="956" t="str">
        <f t="shared" si="10"/>
        <v/>
      </c>
      <c r="CH18" s="956" t="str">
        <f t="shared" si="11"/>
        <v/>
      </c>
      <c r="CK18" s="1125" t="str">
        <f t="shared" si="22"/>
        <v/>
      </c>
      <c r="CL18" s="718" t="str">
        <f t="shared" si="23"/>
        <v/>
      </c>
      <c r="CP18" s="718"/>
      <c r="CQ18" s="718"/>
      <c r="CR18" s="718"/>
      <c r="CS18" s="718"/>
      <c r="CT18" s="718"/>
      <c r="CU18" s="718"/>
      <c r="CV18" s="718"/>
      <c r="CW18" s="718"/>
      <c r="CX18" s="718"/>
      <c r="CY18" s="1549"/>
      <c r="CZ18" s="979"/>
      <c r="DA18" s="979"/>
      <c r="DB18" s="979"/>
      <c r="DC18" s="979"/>
      <c r="DD18" s="979"/>
      <c r="DE18" s="979"/>
      <c r="DF18" s="979"/>
      <c r="DG18" s="979"/>
      <c r="DH18" s="979"/>
      <c r="DI18" s="979"/>
      <c r="DJ18" s="979"/>
      <c r="DK18" s="979"/>
      <c r="DL18" s="979"/>
      <c r="DM18" s="979"/>
      <c r="DN18" s="979"/>
      <c r="DO18" s="979"/>
      <c r="DP18" s="979"/>
      <c r="DQ18" s="979"/>
      <c r="DR18" s="979"/>
      <c r="DS18" s="979"/>
      <c r="DT18" s="979"/>
      <c r="DU18" s="979"/>
      <c r="DV18" s="979"/>
      <c r="DW18" s="979"/>
      <c r="DX18" s="979"/>
      <c r="DY18" s="979"/>
      <c r="DZ18" s="979"/>
      <c r="EA18" s="979"/>
      <c r="EB18" s="979"/>
      <c r="EC18" s="979"/>
      <c r="ED18" s="979"/>
      <c r="EE18" s="979"/>
      <c r="EF18" s="979"/>
      <c r="EG18" s="979"/>
      <c r="EH18" s="979"/>
      <c r="EI18" s="979"/>
    </row>
    <row r="19" spans="2:139">
      <c r="B19" s="26"/>
      <c r="C19" s="28" t="s">
        <v>346</v>
      </c>
      <c r="D19" s="1318" t="str">
        <f>IF(AND(Race="Cerean",Feats!M392&gt;0),"Wisdom","Intelligence")</f>
        <v>Intelligence</v>
      </c>
      <c r="E19" s="1627" t="str">
        <f t="shared" ca="1" si="13"/>
        <v>No</v>
      </c>
      <c r="F19" s="1085"/>
      <c r="G19" s="1623"/>
      <c r="H19" s="1717"/>
      <c r="I19" s="1128"/>
      <c r="J19" s="1737" t="str">
        <f t="shared" ca="1" si="0"/>
        <v/>
      </c>
      <c r="K19" s="541">
        <v>0</v>
      </c>
      <c r="L19" s="51" t="str">
        <f t="shared" si="1"/>
        <v/>
      </c>
      <c r="M19" s="51">
        <f t="shared" si="2"/>
        <v>0</v>
      </c>
      <c r="N19" s="51">
        <f>Bonuses!D36</f>
        <v>0</v>
      </c>
      <c r="O19" s="1705">
        <f t="shared" ca="1" si="20"/>
        <v>0</v>
      </c>
      <c r="P19" s="1705" t="e">
        <f t="shared" ca="1" si="21"/>
        <v>#VALUE!</v>
      </c>
      <c r="R19" s="1647" t="str">
        <f t="shared" ca="1" si="14"/>
        <v/>
      </c>
      <c r="S19" s="16">
        <f t="shared" si="18"/>
        <v>0</v>
      </c>
      <c r="T19" s="16">
        <f t="shared" si="24"/>
        <v>0</v>
      </c>
      <c r="U19" s="16">
        <f t="shared" si="25"/>
        <v>0</v>
      </c>
      <c r="V19" s="16">
        <f t="shared" si="19"/>
        <v>0</v>
      </c>
      <c r="X19" s="16">
        <f t="shared" si="3"/>
        <v>0</v>
      </c>
      <c r="Z19" s="16">
        <f t="shared" si="4"/>
        <v>0</v>
      </c>
      <c r="AA19" s="16" t="e">
        <f t="shared" ca="1" si="5"/>
        <v>#N/A</v>
      </c>
      <c r="AG19" s="16">
        <f>IF(ExiledSkill=1,1,0)</f>
        <v>0</v>
      </c>
      <c r="AL19" s="16">
        <f>IF(WidowedSkill=1,1,0)</f>
        <v>0</v>
      </c>
      <c r="AM19" s="16">
        <f t="shared" si="26"/>
        <v>0</v>
      </c>
      <c r="AU19" s="16">
        <f>IF(PilotSkillBG=1,1,0)</f>
        <v>0</v>
      </c>
      <c r="AX19" s="16">
        <f t="shared" si="27"/>
        <v>0</v>
      </c>
      <c r="BD19" s="16">
        <f>IF(CoruscantSkill=1,1,0)</f>
        <v>0</v>
      </c>
      <c r="BV19" s="1620">
        <f t="shared" si="15"/>
        <v>0</v>
      </c>
      <c r="BW19" s="997" t="str">
        <f t="shared" ca="1" si="6"/>
        <v/>
      </c>
      <c r="BX19" s="383" t="str">
        <f t="shared" ca="1" si="7"/>
        <v/>
      </c>
      <c r="BY19" s="1125" t="str">
        <f t="shared" si="16"/>
        <v/>
      </c>
      <c r="BZ19" s="383" t="str">
        <f t="shared" si="17"/>
        <v/>
      </c>
      <c r="CA19" s="26"/>
      <c r="CB19" s="1318" t="str">
        <f t="shared" si="8"/>
        <v/>
      </c>
      <c r="CC19" s="963" t="str">
        <f t="shared" si="9"/>
        <v/>
      </c>
      <c r="CD19" s="1553"/>
      <c r="CE19" s="1543"/>
      <c r="CF19" s="29"/>
      <c r="CG19" s="956" t="str">
        <f t="shared" si="10"/>
        <v/>
      </c>
      <c r="CH19" s="956" t="str">
        <f t="shared" si="11"/>
        <v/>
      </c>
      <c r="CK19" s="1125" t="str">
        <f t="shared" si="22"/>
        <v/>
      </c>
      <c r="CL19" s="718" t="str">
        <f t="shared" si="23"/>
        <v/>
      </c>
      <c r="CP19" s="718"/>
      <c r="CQ19" s="718"/>
      <c r="CR19" s="718"/>
      <c r="CS19" s="718"/>
      <c r="CT19" s="718"/>
      <c r="CU19" s="718"/>
      <c r="CV19" s="718"/>
      <c r="CW19" s="718"/>
      <c r="CX19" s="718"/>
      <c r="CY19" s="1549"/>
      <c r="CZ19" s="979"/>
      <c r="DA19" s="979"/>
      <c r="DB19" s="979"/>
      <c r="DC19" s="979"/>
      <c r="DD19" s="979"/>
      <c r="DE19" s="979"/>
      <c r="DF19" s="979"/>
      <c r="DG19" s="979"/>
      <c r="DH19" s="979"/>
      <c r="DI19" s="979"/>
      <c r="DJ19" s="979"/>
      <c r="DK19" s="979"/>
      <c r="DL19" s="979"/>
      <c r="DM19" s="979"/>
      <c r="DN19" s="979"/>
      <c r="DO19" s="979"/>
      <c r="DP19" s="979"/>
      <c r="DQ19" s="979"/>
      <c r="DR19" s="979"/>
      <c r="DS19" s="979"/>
      <c r="DT19" s="979"/>
      <c r="DU19" s="979"/>
      <c r="DV19" s="979"/>
      <c r="DW19" s="979"/>
      <c r="DX19" s="979"/>
      <c r="DY19" s="979"/>
      <c r="DZ19" s="979"/>
      <c r="EA19" s="979"/>
      <c r="EB19" s="979"/>
      <c r="EC19" s="979"/>
      <c r="ED19" s="979"/>
      <c r="EE19" s="979"/>
      <c r="EF19" s="979"/>
      <c r="EG19" s="979"/>
      <c r="EH19" s="979"/>
      <c r="EI19" s="979"/>
    </row>
    <row r="20" spans="2:139">
      <c r="B20" s="26"/>
      <c r="C20" s="28" t="s">
        <v>516</v>
      </c>
      <c r="D20" s="1318" t="str">
        <f>IF(AND(Race="Cerean",Feats!M393&gt;0),"Wisdom","Intelligence")</f>
        <v>Intelligence</v>
      </c>
      <c r="E20" s="1627" t="str">
        <f t="shared" ca="1" si="13"/>
        <v>No</v>
      </c>
      <c r="F20" s="1085"/>
      <c r="G20" s="1287"/>
      <c r="H20" s="1717"/>
      <c r="I20" s="1128"/>
      <c r="J20" s="1737" t="str">
        <f t="shared" ca="1" si="0"/>
        <v/>
      </c>
      <c r="K20" s="541">
        <v>0</v>
      </c>
      <c r="L20" s="51" t="str">
        <f t="shared" si="1"/>
        <v/>
      </c>
      <c r="M20" s="51">
        <f t="shared" si="2"/>
        <v>0</v>
      </c>
      <c r="N20" s="51">
        <f>Bonuses!D37</f>
        <v>0</v>
      </c>
      <c r="O20" s="1705">
        <f t="shared" ca="1" si="20"/>
        <v>0</v>
      </c>
      <c r="P20" s="1705" t="e">
        <f t="shared" ca="1" si="21"/>
        <v>#VALUE!</v>
      </c>
      <c r="R20" s="1647" t="str">
        <f t="shared" ca="1" si="14"/>
        <v/>
      </c>
      <c r="S20" s="16">
        <f t="shared" si="18"/>
        <v>0</v>
      </c>
      <c r="T20" s="16">
        <f t="shared" si="24"/>
        <v>0</v>
      </c>
      <c r="U20" s="16">
        <f t="shared" si="25"/>
        <v>0</v>
      </c>
      <c r="V20" s="16">
        <f t="shared" si="19"/>
        <v>0</v>
      </c>
      <c r="X20" s="16">
        <f t="shared" si="3"/>
        <v>0</v>
      </c>
      <c r="Z20" s="16">
        <f t="shared" si="4"/>
        <v>0</v>
      </c>
      <c r="AA20" s="16" t="e">
        <f t="shared" ca="1" si="5"/>
        <v>#N/A</v>
      </c>
      <c r="AM20" s="16">
        <f t="shared" si="26"/>
        <v>0</v>
      </c>
      <c r="AS20" s="16">
        <f>IF(MedicalSkill=1,1,0)</f>
        <v>0</v>
      </c>
      <c r="AX20" s="16">
        <f t="shared" si="27"/>
        <v>0</v>
      </c>
      <c r="BB20" s="16">
        <f>IF(CereaSkill=1,1,0)</f>
        <v>0</v>
      </c>
      <c r="BJ20" s="16">
        <f>IF(IthorSkill=1,1,0)</f>
        <v>0</v>
      </c>
      <c r="BV20" s="1620">
        <f t="shared" si="15"/>
        <v>0</v>
      </c>
      <c r="BW20" s="997" t="str">
        <f t="shared" ca="1" si="6"/>
        <v/>
      </c>
      <c r="BX20" s="383" t="str">
        <f t="shared" ca="1" si="7"/>
        <v/>
      </c>
      <c r="BY20" s="1125" t="str">
        <f t="shared" si="16"/>
        <v/>
      </c>
      <c r="BZ20" s="383" t="str">
        <f t="shared" si="17"/>
        <v/>
      </c>
      <c r="CA20" s="26"/>
      <c r="CB20" s="1318" t="str">
        <f t="shared" si="8"/>
        <v/>
      </c>
      <c r="CC20" s="963" t="str">
        <f t="shared" si="9"/>
        <v/>
      </c>
      <c r="CD20" s="1553"/>
      <c r="CE20" s="1543"/>
      <c r="CF20" s="29"/>
      <c r="CG20" s="956" t="str">
        <f t="shared" si="10"/>
        <v/>
      </c>
      <c r="CH20" s="956" t="str">
        <f t="shared" si="11"/>
        <v/>
      </c>
      <c r="CK20" s="1125" t="str">
        <f t="shared" si="22"/>
        <v/>
      </c>
      <c r="CL20" s="718" t="str">
        <f t="shared" si="23"/>
        <v/>
      </c>
      <c r="CP20" s="718"/>
      <c r="CQ20" s="718"/>
      <c r="CR20" s="718"/>
      <c r="CS20" s="718"/>
      <c r="CT20" s="718"/>
      <c r="CU20" s="718"/>
      <c r="CV20" s="718"/>
      <c r="CW20" s="718"/>
      <c r="CX20" s="718"/>
      <c r="CY20" s="1549"/>
      <c r="CZ20" s="979"/>
      <c r="DA20" s="979"/>
      <c r="DB20" s="979"/>
      <c r="DC20" s="979"/>
      <c r="DD20" s="979"/>
      <c r="DE20" s="979"/>
      <c r="DF20" s="979"/>
      <c r="DG20" s="979"/>
      <c r="DH20" s="979"/>
      <c r="DI20" s="979"/>
      <c r="DJ20" s="979"/>
      <c r="DK20" s="979"/>
      <c r="DL20" s="979"/>
      <c r="DM20" s="979"/>
      <c r="DN20" s="979"/>
      <c r="DO20" s="979"/>
      <c r="DP20" s="979"/>
      <c r="DQ20" s="979"/>
      <c r="DR20" s="979"/>
      <c r="DS20" s="979"/>
      <c r="DT20" s="979"/>
      <c r="DU20" s="979"/>
      <c r="DV20" s="979"/>
      <c r="DW20" s="979"/>
      <c r="DX20" s="979"/>
      <c r="DY20" s="979"/>
      <c r="DZ20" s="979"/>
      <c r="EA20" s="979"/>
      <c r="EB20" s="979"/>
      <c r="EC20" s="979"/>
      <c r="ED20" s="979"/>
      <c r="EE20" s="979"/>
      <c r="EF20" s="979"/>
      <c r="EG20" s="979"/>
      <c r="EH20" s="979"/>
      <c r="EI20" s="979"/>
    </row>
    <row r="21" spans="2:139">
      <c r="B21" s="26"/>
      <c r="C21" s="28" t="s">
        <v>2544</v>
      </c>
      <c r="D21" s="1318" t="str">
        <f>IF(AND(Race="Cerean",Feats!M394&gt;0),"Wisdom","Intelligence")</f>
        <v>Intelligence</v>
      </c>
      <c r="E21" s="1627" t="str">
        <f t="shared" ca="1" si="13"/>
        <v>No</v>
      </c>
      <c r="F21" s="1085"/>
      <c r="G21" s="1287"/>
      <c r="H21" s="1717"/>
      <c r="I21" s="1128"/>
      <c r="J21" s="1737" t="str">
        <f t="shared" ca="1" si="0"/>
        <v/>
      </c>
      <c r="K21" s="541">
        <v>0</v>
      </c>
      <c r="L21" s="51" t="str">
        <f t="shared" si="1"/>
        <v/>
      </c>
      <c r="M21" s="51">
        <f t="shared" si="2"/>
        <v>0</v>
      </c>
      <c r="N21" s="51">
        <f>Bonuses!D38</f>
        <v>0</v>
      </c>
      <c r="O21" s="1705">
        <f t="shared" ca="1" si="20"/>
        <v>0</v>
      </c>
      <c r="P21" s="1705" t="e">
        <f t="shared" ca="1" si="21"/>
        <v>#VALUE!</v>
      </c>
      <c r="R21" s="1647" t="str">
        <f t="shared" ca="1" si="14"/>
        <v/>
      </c>
      <c r="S21" s="16">
        <f t="shared" si="18"/>
        <v>0</v>
      </c>
      <c r="T21" s="16">
        <f t="shared" si="24"/>
        <v>0</v>
      </c>
      <c r="U21" s="16">
        <f t="shared" si="25"/>
        <v>0</v>
      </c>
      <c r="V21" s="16">
        <f t="shared" si="19"/>
        <v>0</v>
      </c>
      <c r="X21" s="16">
        <f t="shared" si="3"/>
        <v>0</v>
      </c>
      <c r="Z21" s="16">
        <f t="shared" si="4"/>
        <v>0</v>
      </c>
      <c r="AA21" s="16" t="e">
        <f t="shared" ca="1" si="5"/>
        <v>#N/A</v>
      </c>
      <c r="AM21" s="16">
        <f t="shared" si="26"/>
        <v>0</v>
      </c>
      <c r="AX21" s="16">
        <f t="shared" si="27"/>
        <v>0</v>
      </c>
      <c r="BV21" s="1620">
        <f t="shared" si="15"/>
        <v>0</v>
      </c>
      <c r="BW21" s="997" t="str">
        <f t="shared" ca="1" si="6"/>
        <v/>
      </c>
      <c r="BX21" s="383" t="str">
        <f t="shared" ca="1" si="7"/>
        <v/>
      </c>
      <c r="BY21" s="1125" t="str">
        <f t="shared" si="16"/>
        <v/>
      </c>
      <c r="BZ21" s="383" t="str">
        <f t="shared" si="17"/>
        <v/>
      </c>
      <c r="CA21" s="26"/>
      <c r="CB21" s="1318" t="str">
        <f t="shared" si="8"/>
        <v/>
      </c>
      <c r="CC21" s="963" t="str">
        <f t="shared" si="9"/>
        <v/>
      </c>
      <c r="CD21" s="1553"/>
      <c r="CE21" s="1543"/>
      <c r="CF21" s="29"/>
      <c r="CG21" s="956" t="str">
        <f t="shared" si="10"/>
        <v/>
      </c>
      <c r="CH21" s="956" t="str">
        <f t="shared" si="11"/>
        <v/>
      </c>
      <c r="CK21" s="1125" t="str">
        <f t="shared" si="22"/>
        <v/>
      </c>
      <c r="CL21" s="718" t="str">
        <f t="shared" si="23"/>
        <v/>
      </c>
      <c r="CP21" s="718"/>
      <c r="CQ21" s="718"/>
      <c r="CR21" s="718"/>
      <c r="CS21" s="718"/>
      <c r="CT21" s="718"/>
      <c r="CU21" s="718"/>
      <c r="CV21" s="718"/>
      <c r="CW21" s="718"/>
      <c r="CX21" s="718"/>
      <c r="CY21" s="1549"/>
      <c r="CZ21" s="979"/>
      <c r="DA21" s="979"/>
      <c r="DB21" s="979"/>
      <c r="DC21" s="979"/>
      <c r="DD21" s="979"/>
      <c r="DE21" s="979"/>
      <c r="DF21" s="979"/>
      <c r="DG21" s="979"/>
      <c r="DH21" s="979"/>
      <c r="DI21" s="979"/>
      <c r="DJ21" s="979"/>
      <c r="DK21" s="979"/>
      <c r="DL21" s="979"/>
      <c r="DM21" s="979"/>
      <c r="DN21" s="979"/>
      <c r="DO21" s="979"/>
      <c r="DP21" s="979"/>
      <c r="DQ21" s="979"/>
      <c r="DR21" s="979"/>
      <c r="DS21" s="979"/>
      <c r="DT21" s="979"/>
      <c r="DU21" s="979"/>
      <c r="DV21" s="979"/>
      <c r="DW21" s="979"/>
      <c r="DX21" s="979"/>
      <c r="DY21" s="979"/>
      <c r="DZ21" s="979"/>
      <c r="EA21" s="979"/>
      <c r="EB21" s="979"/>
      <c r="EC21" s="979"/>
      <c r="ED21" s="979"/>
      <c r="EE21" s="979"/>
      <c r="EF21" s="979"/>
      <c r="EG21" s="979"/>
      <c r="EH21" s="979"/>
      <c r="EI21" s="979"/>
    </row>
    <row r="22" spans="2:139">
      <c r="B22" s="26"/>
      <c r="C22" s="28" t="s">
        <v>579</v>
      </c>
      <c r="D22" s="1318" t="str">
        <f>IF(AND(Race="Cerean",Feats!M395&gt;0),"Wisdom","Intelligence")</f>
        <v>Intelligence</v>
      </c>
      <c r="E22" s="1627" t="str">
        <f t="shared" ca="1" si="13"/>
        <v>No</v>
      </c>
      <c r="F22" s="1085"/>
      <c r="G22" s="1287"/>
      <c r="H22" s="1717"/>
      <c r="I22" s="1128"/>
      <c r="J22" s="1737" t="str">
        <f t="shared" ca="1" si="0"/>
        <v/>
      </c>
      <c r="K22" s="541">
        <v>0</v>
      </c>
      <c r="L22" s="51" t="str">
        <f t="shared" si="1"/>
        <v/>
      </c>
      <c r="M22" s="51">
        <f t="shared" si="2"/>
        <v>0</v>
      </c>
      <c r="N22" s="51">
        <f>Bonuses!D39</f>
        <v>0</v>
      </c>
      <c r="O22" s="1705">
        <f t="shared" ca="1" si="20"/>
        <v>0</v>
      </c>
      <c r="P22" s="1705" t="e">
        <f t="shared" ca="1" si="21"/>
        <v>#VALUE!</v>
      </c>
      <c r="R22" s="1647" t="str">
        <f t="shared" ca="1" si="14"/>
        <v/>
      </c>
      <c r="S22" s="16">
        <f t="shared" si="18"/>
        <v>0</v>
      </c>
      <c r="T22" s="16">
        <f t="shared" si="24"/>
        <v>0</v>
      </c>
      <c r="U22" s="16">
        <f t="shared" si="25"/>
        <v>0</v>
      </c>
      <c r="V22" s="16">
        <f t="shared" si="19"/>
        <v>0</v>
      </c>
      <c r="X22" s="16">
        <f t="shared" si="3"/>
        <v>0</v>
      </c>
      <c r="Z22" s="16">
        <f t="shared" si="4"/>
        <v>0</v>
      </c>
      <c r="AA22" s="16" t="e">
        <f t="shared" ca="1" si="5"/>
        <v>#N/A</v>
      </c>
      <c r="AM22" s="16">
        <f t="shared" si="26"/>
        <v>0</v>
      </c>
      <c r="AX22" s="16">
        <f t="shared" si="27"/>
        <v>0</v>
      </c>
      <c r="BV22" s="1620">
        <f t="shared" si="15"/>
        <v>0</v>
      </c>
      <c r="BW22" s="997" t="str">
        <f t="shared" ca="1" si="6"/>
        <v/>
      </c>
      <c r="BX22" s="383" t="str">
        <f t="shared" ca="1" si="7"/>
        <v/>
      </c>
      <c r="BY22" s="1125" t="str">
        <f t="shared" si="16"/>
        <v/>
      </c>
      <c r="BZ22" s="383" t="str">
        <f t="shared" si="17"/>
        <v/>
      </c>
      <c r="CA22" s="26"/>
      <c r="CB22" s="1318" t="str">
        <f t="shared" si="8"/>
        <v/>
      </c>
      <c r="CC22" s="963" t="str">
        <f t="shared" si="9"/>
        <v/>
      </c>
      <c r="CD22" s="1553"/>
      <c r="CE22" s="1543"/>
      <c r="CF22" s="29"/>
      <c r="CG22" s="956" t="str">
        <f t="shared" si="10"/>
        <v/>
      </c>
      <c r="CH22" s="956" t="str">
        <f t="shared" si="11"/>
        <v/>
      </c>
      <c r="CK22" s="1125" t="str">
        <f t="shared" si="22"/>
        <v/>
      </c>
      <c r="CL22" s="718" t="str">
        <f t="shared" si="23"/>
        <v/>
      </c>
      <c r="CP22" s="718"/>
      <c r="CQ22" s="718"/>
      <c r="CR22" s="718"/>
      <c r="CS22" s="718"/>
      <c r="CT22" s="718"/>
      <c r="CU22" s="718"/>
      <c r="CV22" s="718"/>
      <c r="CW22" s="718"/>
      <c r="CX22" s="718"/>
      <c r="CY22" s="1549"/>
      <c r="CZ22" s="979"/>
      <c r="DA22" s="979"/>
      <c r="DB22" s="979"/>
      <c r="DC22" s="979"/>
      <c r="DD22" s="979"/>
      <c r="DE22" s="979"/>
      <c r="DF22" s="979"/>
      <c r="DG22" s="979"/>
      <c r="DH22" s="979"/>
      <c r="DI22" s="979"/>
      <c r="DJ22" s="979"/>
      <c r="DK22" s="979"/>
      <c r="DL22" s="979"/>
      <c r="DM22" s="979"/>
      <c r="DN22" s="979"/>
      <c r="DO22" s="979"/>
      <c r="DP22" s="979"/>
      <c r="DQ22" s="979"/>
      <c r="DR22" s="979"/>
      <c r="DS22" s="979"/>
      <c r="DT22" s="979"/>
      <c r="DU22" s="979"/>
      <c r="DV22" s="979"/>
      <c r="DW22" s="979"/>
      <c r="DX22" s="979"/>
      <c r="DY22" s="979"/>
      <c r="DZ22" s="979"/>
      <c r="EA22" s="979"/>
      <c r="EB22" s="979"/>
      <c r="EC22" s="979"/>
      <c r="ED22" s="979"/>
      <c r="EE22" s="979"/>
      <c r="EF22" s="979"/>
      <c r="EG22" s="979"/>
      <c r="EH22" s="979"/>
      <c r="EI22" s="979"/>
    </row>
    <row r="23" spans="2:139">
      <c r="B23" s="26"/>
      <c r="C23" s="28" t="s">
        <v>600</v>
      </c>
      <c r="D23" s="1318" t="str">
        <f>IF(AND(Race="Cerean",Feats!M396&gt;0),"Wisdom","Intelligence")</f>
        <v>Intelligence</v>
      </c>
      <c r="E23" s="1627" t="str">
        <f t="shared" ca="1" si="13"/>
        <v>No</v>
      </c>
      <c r="F23" s="1085"/>
      <c r="G23" s="1287"/>
      <c r="H23" s="1717"/>
      <c r="I23" s="1128"/>
      <c r="J23" s="1737" t="str">
        <f t="shared" ca="1" si="0"/>
        <v/>
      </c>
      <c r="K23" s="541">
        <v>0</v>
      </c>
      <c r="L23" s="51" t="str">
        <f t="shared" si="1"/>
        <v/>
      </c>
      <c r="M23" s="51">
        <f t="shared" si="2"/>
        <v>0</v>
      </c>
      <c r="N23" s="51">
        <f>Bonuses!D40</f>
        <v>0</v>
      </c>
      <c r="O23" s="1705">
        <f t="shared" ca="1" si="20"/>
        <v>0</v>
      </c>
      <c r="P23" s="1705" t="e">
        <f t="shared" ca="1" si="21"/>
        <v>#VALUE!</v>
      </c>
      <c r="R23" s="1647" t="str">
        <f t="shared" ca="1" si="14"/>
        <v/>
      </c>
      <c r="S23" s="16">
        <f t="shared" si="18"/>
        <v>0</v>
      </c>
      <c r="T23" s="16">
        <f t="shared" si="24"/>
        <v>0</v>
      </c>
      <c r="U23" s="16">
        <f t="shared" si="25"/>
        <v>0</v>
      </c>
      <c r="V23" s="16">
        <f t="shared" si="19"/>
        <v>0</v>
      </c>
      <c r="W23" s="16">
        <f>IF(SoldierSkill&gt;0,1,0)</f>
        <v>0</v>
      </c>
      <c r="X23" s="16">
        <f t="shared" si="3"/>
        <v>0</v>
      </c>
      <c r="Z23" s="16">
        <f t="shared" si="4"/>
        <v>0</v>
      </c>
      <c r="AA23" s="16" t="e">
        <f t="shared" ca="1" si="5"/>
        <v>#N/A</v>
      </c>
      <c r="AM23" s="16">
        <f t="shared" si="26"/>
        <v>0</v>
      </c>
      <c r="AX23" s="16">
        <f t="shared" si="27"/>
        <v>0</v>
      </c>
      <c r="BV23" s="1620">
        <f t="shared" si="15"/>
        <v>0</v>
      </c>
      <c r="BW23" s="997" t="str">
        <f t="shared" ca="1" si="6"/>
        <v/>
      </c>
      <c r="BX23" s="383" t="str">
        <f t="shared" ca="1" si="7"/>
        <v/>
      </c>
      <c r="BY23" s="1125" t="str">
        <f t="shared" si="16"/>
        <v/>
      </c>
      <c r="BZ23" s="383" t="str">
        <f t="shared" si="17"/>
        <v/>
      </c>
      <c r="CA23" s="26"/>
      <c r="CB23" s="1318" t="str">
        <f t="shared" si="8"/>
        <v/>
      </c>
      <c r="CC23" s="963" t="str">
        <f t="shared" si="9"/>
        <v/>
      </c>
      <c r="CD23" s="1553"/>
      <c r="CE23" s="1543"/>
      <c r="CF23" s="29"/>
      <c r="CG23" s="956" t="str">
        <f t="shared" si="10"/>
        <v/>
      </c>
      <c r="CH23" s="956" t="str">
        <f t="shared" si="11"/>
        <v/>
      </c>
      <c r="CK23" s="1125" t="str">
        <f t="shared" si="22"/>
        <v/>
      </c>
      <c r="CL23" s="718" t="str">
        <f t="shared" si="23"/>
        <v/>
      </c>
      <c r="CP23" s="718"/>
      <c r="CQ23" s="718"/>
      <c r="CR23" s="718"/>
      <c r="CS23" s="718"/>
      <c r="CT23" s="718"/>
      <c r="CU23" s="718"/>
      <c r="CV23" s="718"/>
      <c r="CW23" s="718"/>
      <c r="CX23" s="718"/>
      <c r="CY23" s="1549"/>
      <c r="CZ23" s="979"/>
      <c r="DA23" s="979"/>
      <c r="DB23" s="979"/>
      <c r="DC23" s="979"/>
      <c r="DD23" s="979"/>
      <c r="DE23" s="979"/>
      <c r="DF23" s="979"/>
      <c r="DG23" s="979"/>
      <c r="DH23" s="979"/>
      <c r="DI23" s="979"/>
      <c r="DJ23" s="979"/>
      <c r="DK23" s="979"/>
      <c r="DL23" s="979"/>
      <c r="DM23" s="979"/>
      <c r="DN23" s="979"/>
      <c r="DO23" s="979"/>
      <c r="DP23" s="979"/>
      <c r="DQ23" s="979"/>
      <c r="DR23" s="979"/>
      <c r="DS23" s="979"/>
      <c r="DT23" s="979"/>
      <c r="DU23" s="979"/>
      <c r="DV23" s="979"/>
      <c r="DW23" s="979"/>
      <c r="DX23" s="979"/>
      <c r="DY23" s="979"/>
      <c r="DZ23" s="979"/>
      <c r="EA23" s="979"/>
      <c r="EB23" s="979"/>
      <c r="EC23" s="979"/>
      <c r="ED23" s="979"/>
      <c r="EE23" s="979"/>
      <c r="EF23" s="979"/>
      <c r="EG23" s="979"/>
      <c r="EH23" s="979"/>
      <c r="EI23" s="979"/>
    </row>
    <row r="24" spans="2:139">
      <c r="B24" s="26"/>
      <c r="C24" s="28" t="s">
        <v>627</v>
      </c>
      <c r="D24" s="1318" t="str">
        <f>IF(AND(Race="Cerean",Feats!M397&gt;0),"Wisdom","Intelligence")</f>
        <v>Intelligence</v>
      </c>
      <c r="E24" s="1627" t="str">
        <f t="shared" ca="1" si="13"/>
        <v>No</v>
      </c>
      <c r="F24" s="1085"/>
      <c r="G24" s="1287"/>
      <c r="H24" s="1717"/>
      <c r="I24" s="1128"/>
      <c r="J24" s="1737" t="str">
        <f t="shared" ca="1" si="0"/>
        <v/>
      </c>
      <c r="K24" s="541">
        <v>0</v>
      </c>
      <c r="L24" s="51" t="str">
        <f t="shared" si="1"/>
        <v/>
      </c>
      <c r="M24" s="51">
        <f t="shared" si="2"/>
        <v>0</v>
      </c>
      <c r="N24" s="51">
        <f>Bonuses!D41</f>
        <v>0</v>
      </c>
      <c r="O24" s="1705">
        <f t="shared" ca="1" si="20"/>
        <v>0</v>
      </c>
      <c r="P24" s="1705" t="e">
        <f t="shared" ca="1" si="21"/>
        <v>#VALUE!</v>
      </c>
      <c r="R24" s="1647" t="str">
        <f t="shared" ca="1" si="14"/>
        <v/>
      </c>
      <c r="S24" s="16">
        <f t="shared" si="18"/>
        <v>0</v>
      </c>
      <c r="T24" s="16">
        <f t="shared" si="24"/>
        <v>0</v>
      </c>
      <c r="U24" s="16">
        <f t="shared" si="25"/>
        <v>0</v>
      </c>
      <c r="V24" s="16">
        <f t="shared" si="19"/>
        <v>0</v>
      </c>
      <c r="X24" s="16">
        <f t="shared" si="3"/>
        <v>0</v>
      </c>
      <c r="Z24" s="16">
        <f t="shared" si="4"/>
        <v>0</v>
      </c>
      <c r="AA24" s="16" t="e">
        <f t="shared" ca="1" si="5"/>
        <v>#N/A</v>
      </c>
      <c r="AM24" s="16">
        <f t="shared" si="26"/>
        <v>0</v>
      </c>
      <c r="AW24" s="16">
        <f>IF(TechnologySkill=1,1,0)</f>
        <v>0</v>
      </c>
      <c r="AX24" s="16">
        <f t="shared" si="27"/>
        <v>0</v>
      </c>
      <c r="BC24" s="16">
        <f>IF(CorelliaSkill=1,1,0)</f>
        <v>0</v>
      </c>
      <c r="BF24" s="16">
        <f>IF(DuroSkill=1,1,0)</f>
        <v>0</v>
      </c>
      <c r="BG24" s="16">
        <f>IF(FondorSkill=1,1,0)</f>
        <v>0</v>
      </c>
      <c r="BV24" s="1620">
        <f t="shared" si="15"/>
        <v>0</v>
      </c>
      <c r="BW24" s="997" t="str">
        <f t="shared" ca="1" si="6"/>
        <v/>
      </c>
      <c r="BX24" s="383" t="str">
        <f t="shared" ca="1" si="7"/>
        <v/>
      </c>
      <c r="BY24" s="1125" t="str">
        <f t="shared" si="16"/>
        <v/>
      </c>
      <c r="BZ24" s="383" t="str">
        <f t="shared" si="17"/>
        <v/>
      </c>
      <c r="CA24" s="26"/>
      <c r="CB24" s="1318" t="str">
        <f t="shared" si="8"/>
        <v/>
      </c>
      <c r="CC24" s="963" t="str">
        <f t="shared" si="9"/>
        <v/>
      </c>
      <c r="CD24" s="1553"/>
      <c r="CE24" s="1543"/>
      <c r="CF24" s="29"/>
      <c r="CG24" s="956" t="str">
        <f t="shared" si="10"/>
        <v/>
      </c>
      <c r="CH24" s="956" t="str">
        <f t="shared" si="11"/>
        <v/>
      </c>
      <c r="CK24" s="1125" t="str">
        <f t="shared" si="22"/>
        <v/>
      </c>
      <c r="CL24" s="718" t="str">
        <f t="shared" si="23"/>
        <v/>
      </c>
      <c r="CP24" s="718"/>
      <c r="CQ24" s="718"/>
      <c r="CR24" s="718"/>
      <c r="CS24" s="718"/>
      <c r="CT24" s="718"/>
      <c r="CU24" s="718"/>
      <c r="CV24" s="718"/>
      <c r="CW24" s="718"/>
      <c r="CX24" s="718"/>
      <c r="CY24" s="1549"/>
      <c r="CZ24" s="979"/>
      <c r="DA24" s="979"/>
      <c r="DB24" s="979"/>
      <c r="DC24" s="979"/>
      <c r="DD24" s="979"/>
      <c r="DE24" s="979"/>
      <c r="DF24" s="979"/>
      <c r="DG24" s="979"/>
      <c r="DH24" s="979"/>
      <c r="DI24" s="979"/>
      <c r="DJ24" s="979"/>
      <c r="DK24" s="979"/>
      <c r="DL24" s="979"/>
      <c r="DM24" s="979"/>
      <c r="DN24" s="979"/>
      <c r="DO24" s="979"/>
      <c r="DP24" s="979"/>
      <c r="DQ24" s="979"/>
      <c r="DR24" s="979"/>
      <c r="DS24" s="979"/>
      <c r="DT24" s="979"/>
      <c r="DU24" s="979"/>
      <c r="DV24" s="979"/>
      <c r="DW24" s="979"/>
      <c r="DX24" s="979"/>
      <c r="DY24" s="979"/>
      <c r="DZ24" s="979"/>
      <c r="EA24" s="979"/>
      <c r="EB24" s="979"/>
      <c r="EC24" s="979"/>
      <c r="ED24" s="979"/>
      <c r="EE24" s="979"/>
      <c r="EF24" s="979"/>
      <c r="EG24" s="979"/>
      <c r="EH24" s="979"/>
      <c r="EI24" s="979"/>
    </row>
    <row r="25" spans="2:139">
      <c r="B25" s="26"/>
      <c r="C25" s="28" t="s">
        <v>550</v>
      </c>
      <c r="D25" s="1318" t="str">
        <f>IF(AND(Race="Cerean",Feats!M398&gt;0),"Wisdom","Intelligence")</f>
        <v>Intelligence</v>
      </c>
      <c r="E25" s="1627" t="str">
        <f t="shared" ca="1" si="13"/>
        <v>No</v>
      </c>
      <c r="F25" s="1085"/>
      <c r="G25" s="1287"/>
      <c r="H25" s="1717"/>
      <c r="I25" s="1628"/>
      <c r="J25" s="1737" t="str">
        <f t="shared" ca="1" si="0"/>
        <v/>
      </c>
      <c r="K25" s="541">
        <v>0</v>
      </c>
      <c r="L25" s="51" t="str">
        <f t="shared" si="1"/>
        <v/>
      </c>
      <c r="M25" s="51">
        <f t="shared" si="2"/>
        <v>0</v>
      </c>
      <c r="N25" s="51">
        <f>Bonuses!D42+IF(Feats!M437&gt;0,3,0)</f>
        <v>0</v>
      </c>
      <c r="O25" s="1705">
        <f t="shared" ca="1" si="20"/>
        <v>0</v>
      </c>
      <c r="P25" s="1705" t="e">
        <f t="shared" ca="1" si="21"/>
        <v>#VALUE!</v>
      </c>
      <c r="R25" s="1647" t="str">
        <f t="shared" ca="1" si="14"/>
        <v/>
      </c>
      <c r="S25" s="16">
        <f t="shared" si="18"/>
        <v>0</v>
      </c>
      <c r="U25" s="16">
        <f t="shared" si="25"/>
        <v>0</v>
      </c>
      <c r="V25" s="16">
        <f t="shared" si="19"/>
        <v>0</v>
      </c>
      <c r="W25" s="16">
        <f>IF(SoldierSkill&gt;0,1,0)</f>
        <v>0</v>
      </c>
      <c r="X25" s="16">
        <f t="shared" si="3"/>
        <v>0</v>
      </c>
      <c r="Z25" s="16">
        <f t="shared" si="4"/>
        <v>0</v>
      </c>
      <c r="AA25" s="16" t="e">
        <f t="shared" ca="1" si="5"/>
        <v>#N/A</v>
      </c>
      <c r="AD25" s="16">
        <f>IF(CrippledSkill=1,1,0)</f>
        <v>0</v>
      </c>
      <c r="AU25" s="16">
        <f>IF(PilotSkillBG=1,1,0)</f>
        <v>0</v>
      </c>
      <c r="AW25" s="16">
        <f>IF(TechnologySkill=1,1,0)</f>
        <v>0</v>
      </c>
      <c r="AY25" s="16">
        <f>IF(BakuraSkill=1,1,0)</f>
        <v>0</v>
      </c>
      <c r="BC25" s="16">
        <f>IF(CorelliaSkill=1,1,0)</f>
        <v>0</v>
      </c>
      <c r="BF25" s="16">
        <f>IF(DuroSkill=1,1,0)</f>
        <v>0</v>
      </c>
      <c r="BG25" s="16">
        <f>IF(FondorSkill=1,1,0)</f>
        <v>0</v>
      </c>
      <c r="BL25" s="16">
        <f>IF(MonCalamariSkill=1,1,0)</f>
        <v>0</v>
      </c>
      <c r="BR25" s="16">
        <f>IF(SullustSkill=1,1,0)</f>
        <v>0</v>
      </c>
      <c r="BS25" s="16">
        <f>IF(TarisSkill=1,1,0)</f>
        <v>0</v>
      </c>
      <c r="BV25" s="1620">
        <f t="shared" si="15"/>
        <v>0</v>
      </c>
      <c r="BW25" s="997" t="str">
        <f t="shared" ca="1" si="6"/>
        <v/>
      </c>
      <c r="BX25" s="383" t="str">
        <f t="shared" ca="1" si="7"/>
        <v/>
      </c>
      <c r="BY25" s="1125" t="str">
        <f t="shared" si="16"/>
        <v/>
      </c>
      <c r="BZ25" s="383" t="str">
        <f t="shared" si="17"/>
        <v/>
      </c>
      <c r="CA25" s="26"/>
      <c r="CB25" s="1318" t="str">
        <f t="shared" si="8"/>
        <v/>
      </c>
      <c r="CC25" s="963" t="str">
        <f t="shared" si="9"/>
        <v/>
      </c>
      <c r="CD25" s="1553"/>
      <c r="CE25" s="1543"/>
      <c r="CF25" s="29"/>
      <c r="CG25" s="956" t="str">
        <f t="shared" si="10"/>
        <v/>
      </c>
      <c r="CH25" s="956" t="str">
        <f t="shared" si="11"/>
        <v/>
      </c>
      <c r="CK25" s="1125" t="str">
        <f t="shared" si="22"/>
        <v/>
      </c>
      <c r="CL25" s="718" t="str">
        <f t="shared" si="23"/>
        <v/>
      </c>
      <c r="CP25" s="718"/>
      <c r="CQ25" s="718"/>
      <c r="CR25" s="718"/>
      <c r="CS25" s="718"/>
      <c r="CT25" s="718"/>
      <c r="CU25" s="718"/>
      <c r="CV25" s="718"/>
      <c r="CW25" s="718"/>
      <c r="CX25" s="718"/>
      <c r="CY25" s="1549"/>
      <c r="CZ25" s="979"/>
      <c r="DA25" s="979"/>
      <c r="DB25" s="979"/>
      <c r="DC25" s="979"/>
      <c r="DD25" s="979"/>
      <c r="DE25" s="979"/>
      <c r="DF25" s="979"/>
      <c r="DG25" s="979"/>
      <c r="DH25" s="979"/>
      <c r="DI25" s="979"/>
      <c r="DJ25" s="979"/>
      <c r="DK25" s="979"/>
      <c r="DL25" s="979"/>
      <c r="DM25" s="979"/>
      <c r="DN25" s="979"/>
      <c r="DO25" s="979"/>
      <c r="DP25" s="979"/>
      <c r="DQ25" s="979"/>
      <c r="DR25" s="979"/>
      <c r="DS25" s="979"/>
      <c r="DT25" s="979"/>
      <c r="DU25" s="979"/>
      <c r="DV25" s="979"/>
      <c r="DW25" s="979"/>
      <c r="DX25" s="979"/>
      <c r="DY25" s="979"/>
      <c r="DZ25" s="979"/>
      <c r="EA25" s="979"/>
      <c r="EB25" s="979"/>
      <c r="EC25" s="979"/>
      <c r="ED25" s="979"/>
      <c r="EE25" s="979"/>
      <c r="EF25" s="979"/>
      <c r="EG25" s="979"/>
      <c r="EH25" s="979"/>
      <c r="EI25" s="979"/>
    </row>
    <row r="26" spans="2:139">
      <c r="B26" s="26"/>
      <c r="C26" s="28" t="s">
        <v>190</v>
      </c>
      <c r="D26" s="27" t="s">
        <v>2102</v>
      </c>
      <c r="E26" s="1627" t="str">
        <f t="shared" ca="1" si="13"/>
        <v>No</v>
      </c>
      <c r="F26" s="1085"/>
      <c r="G26" s="1287"/>
      <c r="H26" s="1626"/>
      <c r="I26" s="1128"/>
      <c r="J26" s="1737" t="str">
        <f t="shared" ca="1" si="0"/>
        <v/>
      </c>
      <c r="K26" s="541">
        <v>0</v>
      </c>
      <c r="L26" s="51" t="str">
        <f t="shared" si="1"/>
        <v/>
      </c>
      <c r="M26" s="51">
        <f t="shared" si="2"/>
        <v>0</v>
      </c>
      <c r="N26" s="51">
        <f>MAX(IF(OR(COUNTIF('Armor and Defenses'!J29:K40,"Helmet Package")&gt;0,'Cybernetics and Biotech'!F48&lt;&gt;""),2,0),IF(COUNTIF('Armor and Defenses'!J29:K40,"Helmet Package, superior")&gt;0,5,0))+Bonuses!D43+IF(Feats!M441&gt;0,3,0)</f>
        <v>0</v>
      </c>
      <c r="O26" s="1705">
        <f ca="1">IF(Q26,MAX(K26+L26+IF(E26="Yes",IF(OR(F26&lt;&gt;"",G26&lt;&gt;"",Q26),5,0)+IF(AND(OR(F26&lt;&gt;"",G26&lt;&gt;"",Q26),OR(I26&lt;&gt;"",J26&lt;&gt;"")),5,0))+INT(CharacterLevel/2)+N26,UsetheForce),K26+IF(L26&lt;&gt;"",L26,0)+IF(E26="Yes",IF(OR(F26&lt;&gt;"",G26&lt;&gt;""),5,0)+IF(AND(OR(F26&lt;&gt;"",G26&lt;&gt;""),OR(I26&lt;&gt;"",J26&lt;&gt;"")),5,0))+INT(CharacterLevel/2))+N26</f>
        <v>0</v>
      </c>
      <c r="P26" s="1705" t="e">
        <f ca="1">IF(Q26,MAX(K26+L26+IF(AND(E26="No",Q26),0,IF(OR(F26&lt;&gt;"",G26&lt;&gt;"",Q26),0,-5)+IF(AND(OR(F26&lt;&gt;"",G26&lt;&gt;"",Q26),OR(I26&lt;&gt;"",J26&lt;&gt;"")),2,0))+INT(CharacterLevel)+N26,SAMUsetheForce),K26+L26+IF(AND(E26="No"),-5,IF(OR(F26&lt;&gt;"",G26&lt;&gt;""),0,-5)+IF(AND(OR(F26&lt;&gt;"",G26&lt;&gt;""),OR(I26&lt;&gt;"",J26&lt;&gt;"")),2,0))+INT(CharacterLevel)+N26)</f>
        <v>#VALUE!</v>
      </c>
      <c r="Q26" s="1700" t="b">
        <f>AND(IF(Talents!$M$120&gt;0,TRUE,FALSE),OR(TUsetheForce="Yes",STUsetheForce="Yes"))</f>
        <v>0</v>
      </c>
      <c r="R26" s="1647" t="str">
        <f t="shared" ca="1" si="14"/>
        <v/>
      </c>
      <c r="S26" s="16">
        <f t="shared" si="18"/>
        <v>0</v>
      </c>
      <c r="T26" s="16">
        <f>IF(NobleSkill&gt;0,1,0)</f>
        <v>0</v>
      </c>
      <c r="U26" s="16">
        <f t="shared" si="25"/>
        <v>0</v>
      </c>
      <c r="V26" s="16">
        <f t="shared" si="19"/>
        <v>0</v>
      </c>
      <c r="W26" s="16">
        <f>IF(SoldierSkill&gt;0,1,0)</f>
        <v>0</v>
      </c>
      <c r="X26" s="16">
        <f t="shared" si="3"/>
        <v>0</v>
      </c>
      <c r="Y26" s="16">
        <f>IF(BeastSkill&gt;0,1,0)</f>
        <v>0</v>
      </c>
      <c r="Z26" s="16">
        <f t="shared" si="4"/>
        <v>0</v>
      </c>
      <c r="AA26" s="16" t="e">
        <f t="shared" ca="1" si="5"/>
        <v>#N/A</v>
      </c>
      <c r="BV26" s="1620">
        <f t="shared" si="15"/>
        <v>0</v>
      </c>
      <c r="BW26" s="997" t="str">
        <f t="shared" ca="1" si="6"/>
        <v/>
      </c>
      <c r="BX26" s="383" t="str">
        <f t="shared" ca="1" si="7"/>
        <v/>
      </c>
      <c r="BY26" s="1125" t="str">
        <f t="shared" si="16"/>
        <v/>
      </c>
      <c r="BZ26" s="383" t="str">
        <f t="shared" si="17"/>
        <v/>
      </c>
      <c r="CA26" s="26"/>
      <c r="CB26" s="1318" t="str">
        <f t="shared" si="8"/>
        <v/>
      </c>
      <c r="CC26" s="963" t="str">
        <f t="shared" si="9"/>
        <v/>
      </c>
      <c r="CD26" s="1553"/>
      <c r="CE26" s="1543"/>
      <c r="CF26" s="29"/>
      <c r="CG26" s="956" t="str">
        <f t="shared" si="10"/>
        <v/>
      </c>
      <c r="CH26" s="956" t="str">
        <f t="shared" si="11"/>
        <v/>
      </c>
      <c r="CI26" s="1316" t="str">
        <f>IF(OR(Feats!M381&gt;0),"Yes (better)","")</f>
        <v/>
      </c>
      <c r="CK26" s="1125" t="str">
        <f>IF(OR(F26&lt;&gt;"",Q26,G26&lt;&gt;""),IF(Q26,IF(O$35&gt;=O26,C26&amp;" (Use the Force)",C26),C26)&amp;" "&amp;IF(O26&lt;0,"","+")&amp;O26&amp;IF(NOT(ISERROR(FIND("Yes (worse)",CB26,1)))," (can reroll, but must accept second result)","")&amp;IF(NOT(ISERROR(FIND("Yes (better)",CB26,1)))," (can reroll and take the better result)",""),"")</f>
        <v/>
      </c>
      <c r="CL26" s="718" t="str">
        <f t="shared" si="23"/>
        <v/>
      </c>
      <c r="CP26" s="718"/>
      <c r="CQ26" s="718"/>
      <c r="CR26" s="718"/>
      <c r="CS26" s="718"/>
      <c r="CT26" s="718"/>
      <c r="CU26" s="718"/>
      <c r="CV26" s="718"/>
      <c r="CW26" s="718"/>
      <c r="CX26" s="718"/>
      <c r="CY26" s="1549"/>
      <c r="CZ26" s="979"/>
      <c r="DA26" s="979"/>
      <c r="DB26" s="979"/>
      <c r="DC26" s="979"/>
      <c r="DD26" s="979"/>
      <c r="DE26" s="979"/>
      <c r="DF26" s="979"/>
      <c r="DG26" s="979"/>
      <c r="DH26" s="979"/>
      <c r="DI26" s="979"/>
      <c r="DJ26" s="979"/>
      <c r="DK26" s="979"/>
      <c r="DL26" s="979"/>
      <c r="DM26" s="979"/>
      <c r="DN26" s="979"/>
      <c r="DO26" s="979"/>
      <c r="DP26" s="979"/>
      <c r="DQ26" s="979"/>
      <c r="DR26" s="979"/>
      <c r="DS26" s="979"/>
      <c r="DT26" s="979"/>
      <c r="DU26" s="979"/>
      <c r="DV26" s="979"/>
      <c r="DW26" s="979"/>
      <c r="DX26" s="979"/>
      <c r="DY26" s="979"/>
      <c r="DZ26" s="979"/>
      <c r="EA26" s="979"/>
      <c r="EB26" s="979"/>
      <c r="EC26" s="979"/>
      <c r="ED26" s="979"/>
      <c r="EE26" s="979"/>
      <c r="EF26" s="979"/>
      <c r="EG26" s="979"/>
      <c r="EH26" s="979"/>
      <c r="EI26" s="979"/>
    </row>
    <row r="27" spans="2:139">
      <c r="B27" s="26"/>
      <c r="C27" s="28" t="s">
        <v>347</v>
      </c>
      <c r="D27" s="27" t="str">
        <f>IF(NOT(ISERROR(FIND("Intellectual Reputation",SpeciesTraitsList))),IF(MAX(IntMod,ChaMod)=IntMod,"Intelligence","Charisma"),IF(NOT(ISERROR(FIND("Social Cunning",SpeciesTraitsList))),IF(MAX(WisMod,ChaMod)=WisMod,"Wisdom","Charisma"),"Charisma"))</f>
        <v>Charisma</v>
      </c>
      <c r="E27" s="27" t="str">
        <f ca="1">IF(OR(COUNTIF(S27:AA27,1)&gt;0,Talents!M571&gt;0,CE27="Yes",H27="Yes"),"Yes","No")</f>
        <v>No</v>
      </c>
      <c r="F27" s="1085"/>
      <c r="G27" s="1287"/>
      <c r="H27" s="1627"/>
      <c r="I27" s="1128"/>
      <c r="J27" s="1737" t="str">
        <f t="shared" ca="1" si="0"/>
        <v/>
      </c>
      <c r="K27" s="541">
        <v>0</v>
      </c>
      <c r="L27" s="51" t="str">
        <f>IF(NOT(ISERROR(FIND("Intellectual Reputation",SpeciesTraitsList))),MAX(IntMod,ChaMod),IF(NOT(ISERROR(FIND("Social Cunning",SpeciesTraitsList))),MAX(WisMod,ChaMod),ChaMod))</f>
        <v/>
      </c>
      <c r="M27" s="51">
        <f t="shared" si="2"/>
        <v>0</v>
      </c>
      <c r="N27" s="51">
        <f>Bonuses!D44</f>
        <v>0</v>
      </c>
      <c r="O27" s="1705">
        <f ca="1">IF(Q27,MAX(K27+L27+IF(E27="Yes",IF(OR(F27&lt;&gt;"",G27&lt;&gt;"",Q27),5,0)+IF(AND(OR(F27&lt;&gt;"",G27&lt;&gt;"",Q27),OR(I27&lt;&gt;"",J27&lt;&gt;"")),5,0))+INT(CharacterLevel/2)+N27,UsetheForce),K27+IF(L27&lt;&gt;"",L27,0)+IF(E27="Yes",IF(OR(F27&lt;&gt;"",G27&lt;&gt;""),5,0)+IF(AND(OR(F27&lt;&gt;"",G27&lt;&gt;""),OR(I27&lt;&gt;"",J27&lt;&gt;"")),5,0))+INT(CharacterLevel/2))+N27</f>
        <v>0</v>
      </c>
      <c r="P27" s="1705" t="e">
        <f ca="1">IF(Q27,MAX(K27+L27+IF(AND(E27="No",Q27),0,IF(OR(F27&lt;&gt;"",G27&lt;&gt;"",Q27),0,-5)+IF(AND(OR(F27&lt;&gt;"",G27&lt;&gt;"",Q27),OR(I27&lt;&gt;"",J27&lt;&gt;"")),2,0))+INT(CharacterLevel)+N27,SAMUsetheForce),K27+L27+IF(AND(E27="No"),-5,IF(OR(F27&lt;&gt;"",G27&lt;&gt;""),0,-5)+IF(AND(OR(F27&lt;&gt;"",G27&lt;&gt;""),OR(I27&lt;&gt;"",J27&lt;&gt;"")),2,0))+INT(CharacterLevel)+N27)</f>
        <v>#VALUE!</v>
      </c>
      <c r="Q27" s="15" t="b">
        <f>AND(IF(Talents!$M$10&gt;0,TRUE,FALSE),OR(TUsetheForce="Yes",STUsetheForce="Yes"))</f>
        <v>0</v>
      </c>
      <c r="R27" s="1647" t="str">
        <f t="shared" ca="1" si="14"/>
        <v/>
      </c>
      <c r="T27" s="16">
        <f>IF(NobleSkill&gt;0,1,0)</f>
        <v>0</v>
      </c>
      <c r="U27" s="16">
        <f t="shared" si="25"/>
        <v>0</v>
      </c>
      <c r="X27" s="16">
        <f t="shared" si="3"/>
        <v>0</v>
      </c>
      <c r="Z27" s="16">
        <f t="shared" si="4"/>
        <v>0</v>
      </c>
      <c r="AA27" s="16" t="e">
        <f t="shared" ca="1" si="5"/>
        <v>#N/A</v>
      </c>
      <c r="AK27" s="16">
        <f>IF(ScarredSkill=1,1,0)</f>
        <v>0</v>
      </c>
      <c r="AM27" s="16">
        <f>IF(AcademicSkill=1,1,0)</f>
        <v>0</v>
      </c>
      <c r="AN27" s="16">
        <f>IF(CelebritySkill=1,1,0)</f>
        <v>0</v>
      </c>
      <c r="AP27" s="16">
        <f>IF(ExecutiveSkill=1,1,0)</f>
        <v>0</v>
      </c>
      <c r="AV27" s="16">
        <f>IF(PoliticsSkill=1,1,0)</f>
        <v>0</v>
      </c>
      <c r="AX27" s="16">
        <f>IF(AlderaanSkill=1,1,0)</f>
        <v>0</v>
      </c>
      <c r="AZ27" s="16">
        <f>IF(BespinSkill=1,1,0)</f>
        <v>0</v>
      </c>
      <c r="BA27" s="16">
        <f>IF(BothawuiSkill=1,1,0)</f>
        <v>0</v>
      </c>
      <c r="BJ27" s="16">
        <f>IF(IthorSkill=1,1,0)</f>
        <v>0</v>
      </c>
      <c r="BK27" s="16">
        <f>IF(KashyyykSkill=1,1,0)</f>
        <v>0</v>
      </c>
      <c r="BL27" s="16">
        <f>IF(MonCalamariSkill=1,1,0)</f>
        <v>0</v>
      </c>
      <c r="BM27" s="16">
        <f>IF(NabooSkill=1,1,0)</f>
        <v>0</v>
      </c>
      <c r="BP27" s="16">
        <f>IF(RylothSkill=1,1,0)</f>
        <v>0</v>
      </c>
      <c r="BU27" s="16">
        <f>IF(TrandoshaSkill=1,1,0)</f>
        <v>0</v>
      </c>
      <c r="BV27" s="1620">
        <f t="shared" si="15"/>
        <v>0</v>
      </c>
      <c r="BW27" s="997" t="str">
        <f t="shared" ca="1" si="6"/>
        <v/>
      </c>
      <c r="BX27" s="383" t="str">
        <f t="shared" ca="1" si="7"/>
        <v/>
      </c>
      <c r="BY27" s="1125" t="str">
        <f t="shared" si="16"/>
        <v/>
      </c>
      <c r="BZ27" s="383" t="str">
        <f t="shared" si="17"/>
        <v/>
      </c>
      <c r="CA27" s="26"/>
      <c r="CB27" s="1318" t="str">
        <f t="shared" si="8"/>
        <v/>
      </c>
      <c r="CC27" s="963" t="str">
        <f t="shared" si="9"/>
        <v/>
      </c>
      <c r="CD27" s="1553"/>
      <c r="CE27" s="1543"/>
      <c r="CF27" s="29"/>
      <c r="CG27" s="956" t="str">
        <f t="shared" si="10"/>
        <v/>
      </c>
      <c r="CH27" s="956" t="str">
        <f t="shared" si="11"/>
        <v/>
      </c>
      <c r="CK27" s="1125" t="str">
        <f>IF(OR(F27&lt;&gt;"",Q27,G27&lt;&gt;""),IF(Q27,IF(O$35&gt;=O27,C27&amp;" (Use the Force)",C27),C27)&amp;" "&amp;IF(O27&lt;0,"","+")&amp;O27&amp;IF(NOT(ISERROR(FIND("Yes (worse)",CB27,1)))," (can reroll, but must accept second result)","")&amp;IF(NOT(ISERROR(FIND("Yes (better)",CB27,1)))," (can reroll and take the better result)",""),"")</f>
        <v/>
      </c>
      <c r="CL27" s="718" t="str">
        <f t="shared" si="23"/>
        <v/>
      </c>
      <c r="CP27" s="718"/>
      <c r="CQ27" s="718"/>
      <c r="CR27" s="718"/>
      <c r="CS27" s="718"/>
      <c r="CT27" s="718"/>
      <c r="CU27" s="718"/>
      <c r="CV27" s="718"/>
      <c r="CW27" s="718"/>
      <c r="CX27" s="718"/>
      <c r="CY27" s="1549"/>
      <c r="CZ27" s="979"/>
      <c r="DA27" s="979"/>
      <c r="DB27" s="979"/>
      <c r="DC27" s="979"/>
      <c r="DD27" s="979"/>
      <c r="DE27" s="979"/>
      <c r="DF27" s="979"/>
      <c r="DG27" s="979"/>
      <c r="DH27" s="979"/>
      <c r="DI27" s="979"/>
      <c r="DJ27" s="979"/>
      <c r="DK27" s="979"/>
      <c r="DL27" s="979"/>
      <c r="DM27" s="979"/>
      <c r="DN27" s="979"/>
      <c r="DO27" s="979"/>
      <c r="DP27" s="979"/>
      <c r="DQ27" s="979"/>
      <c r="DR27" s="979"/>
      <c r="DS27" s="979"/>
      <c r="DT27" s="979"/>
      <c r="DU27" s="979"/>
      <c r="DV27" s="979"/>
      <c r="DW27" s="979"/>
      <c r="DX27" s="979"/>
      <c r="DY27" s="979"/>
      <c r="DZ27" s="979"/>
      <c r="EA27" s="979"/>
      <c r="EB27" s="979"/>
      <c r="EC27" s="979"/>
      <c r="ED27" s="979"/>
      <c r="EE27" s="979"/>
      <c r="EF27" s="979"/>
      <c r="EG27" s="979"/>
      <c r="EH27" s="979"/>
      <c r="EI27" s="979"/>
    </row>
    <row r="28" spans="2:139">
      <c r="B28" s="26"/>
      <c r="C28" s="28" t="s">
        <v>731</v>
      </c>
      <c r="D28" s="27" t="s">
        <v>2099</v>
      </c>
      <c r="E28" s="1627" t="str">
        <f t="shared" ref="E28:E35" ca="1" si="28">IF(OR(COUNTIF(S28:AA28,1)&gt;0,CE28="Yes",H28="Yes"),"Yes","No")</f>
        <v>No</v>
      </c>
      <c r="F28" s="1085"/>
      <c r="G28" s="1287"/>
      <c r="H28" s="1626"/>
      <c r="I28" s="1294"/>
      <c r="J28" s="1737" t="str">
        <f t="shared" ca="1" si="0"/>
        <v/>
      </c>
      <c r="K28" s="541">
        <v>0</v>
      </c>
      <c r="L28" s="51" t="str">
        <f t="shared" si="1"/>
        <v/>
      </c>
      <c r="M28" s="51">
        <f t="shared" si="2"/>
        <v>0</v>
      </c>
      <c r="N28" s="51">
        <f>Bonuses!D45+IF(Feats!M440&gt;0,3,0)</f>
        <v>0</v>
      </c>
      <c r="O28" s="1705">
        <f ca="1">IF(Q28,MAX(K28+L28+IF(E28="Yes",IF(OR(F28&lt;&gt;"",G28&lt;&gt;"",Q28),5,0)+IF(AND(OR(F28&lt;&gt;"",G28&lt;&gt;"",Q28),OR(I28&lt;&gt;"",J28&lt;&gt;"")),5,0))+INT(CharacterLevel/2)+N28,UsetheForce),K28+IF(L28&lt;&gt;"",L28,0)+IF(E28="Yes",IF(OR(F28&lt;&gt;"",G28&lt;&gt;""),5,0)+IF(AND(OR(F28&lt;&gt;"",G28&lt;&gt;""),OR(I28&lt;&gt;"",J28&lt;&gt;"")),5,0))+INT(CharacterLevel/2))+N28</f>
        <v>0</v>
      </c>
      <c r="P28" s="1705" t="e">
        <f ca="1">IF(Q28,MAX(K28+L28+IF(AND(E28="No",Q28),0,IF(OR(F28&lt;&gt;"",G28&lt;&gt;"",Q28),0,-5)+IF(AND(OR(F28&lt;&gt;"",G28&lt;&gt;"",Q28),OR(I28&lt;&gt;"",J28&lt;&gt;"")),2,0))+INT(CharacterLevel)+N28,SAMUsetheForce),K28+L28+IF(AND(E28="No"),-5,IF(OR(F28&lt;&gt;"",G28&lt;&gt;""),0,-5)+IF(AND(OR(F28&lt;&gt;"",G28&lt;&gt;""),OR(I28&lt;&gt;"",J28&lt;&gt;"")),2,0))+INT(CharacterLevel)+N28)</f>
        <v>#VALUE!</v>
      </c>
      <c r="Q28" s="15" t="b">
        <f>AND(IF(Talents!$M$126&gt;0,TRUE,FALSE),OR(TUsetheForce="Yes",STUsetheForce="Yes"))</f>
        <v>0</v>
      </c>
      <c r="R28" s="1647" t="str">
        <f t="shared" ca="1" si="14"/>
        <v/>
      </c>
      <c r="S28" s="16">
        <f>IF(JediSkill&gt;0,1,0)</f>
        <v>0</v>
      </c>
      <c r="T28" s="16">
        <f>IF(NobleSkill&gt;0,1,0)</f>
        <v>0</v>
      </c>
      <c r="U28" s="16">
        <f t="shared" si="25"/>
        <v>0</v>
      </c>
      <c r="V28" s="16">
        <f>IF(ScoutSkill&gt;0,1,0)</f>
        <v>0</v>
      </c>
      <c r="W28" s="16">
        <f>IF(SoldierSkill&gt;0,1,0)</f>
        <v>0</v>
      </c>
      <c r="X28" s="16">
        <f t="shared" si="3"/>
        <v>0</v>
      </c>
      <c r="Z28" s="16">
        <f t="shared" si="4"/>
        <v>0</v>
      </c>
      <c r="AA28" s="16" t="e">
        <f t="shared" ca="1" si="5"/>
        <v>#N/A</v>
      </c>
      <c r="BV28" s="1620">
        <f t="shared" si="15"/>
        <v>0</v>
      </c>
      <c r="BW28" s="997" t="str">
        <f t="shared" ca="1" si="6"/>
        <v/>
      </c>
      <c r="BX28" s="383" t="str">
        <f t="shared" ca="1" si="7"/>
        <v/>
      </c>
      <c r="BY28" s="1125" t="str">
        <f t="shared" si="16"/>
        <v/>
      </c>
      <c r="BZ28" s="383" t="str">
        <f t="shared" si="17"/>
        <v/>
      </c>
      <c r="CA28" s="26"/>
      <c r="CB28" s="963" t="str">
        <f>IF(AND(CG28="Yes (worse)",CI28&lt;&gt;""),CI28,CG28)</f>
        <v/>
      </c>
      <c r="CC28" s="963" t="str">
        <f t="shared" si="9"/>
        <v/>
      </c>
      <c r="CD28" s="1553"/>
      <c r="CE28" s="1543"/>
      <c r="CF28" s="29"/>
      <c r="CG28" s="956" t="str">
        <f t="shared" si="10"/>
        <v/>
      </c>
      <c r="CH28" s="956" t="str">
        <f t="shared" si="11"/>
        <v/>
      </c>
      <c r="CI28" s="15" t="str">
        <f>IF(OR(Feats!M377&gt;0),"Yes (better)","")</f>
        <v/>
      </c>
      <c r="CK28" s="1125" t="str">
        <f>IF(OR(F28&lt;&gt;"",Q28,G28&lt;&gt;""),IF(Q28,IF(O$35&gt;=O28,C28&amp;" (Use the Force)",C28),C28)&amp;" "&amp;IF(O28&lt;0,"","+")&amp;O28&amp;IF(NOT(ISERROR(FIND("Yes (worse)",CB28,1)))," (can reroll, but must accept second result)","")&amp;IF(NOT(ISERROR(FIND("Yes (better)",CB28,1)))," (can reroll and take the better result)",""),"")</f>
        <v/>
      </c>
      <c r="CL28" s="718" t="str">
        <f t="shared" si="23"/>
        <v/>
      </c>
      <c r="CP28" s="718"/>
      <c r="CQ28" s="718"/>
      <c r="CR28" s="718"/>
      <c r="CS28" s="718"/>
      <c r="CT28" s="718"/>
      <c r="CU28" s="718"/>
      <c r="CV28" s="718"/>
      <c r="CW28" s="718"/>
      <c r="CX28" s="718"/>
      <c r="CY28" s="1549"/>
      <c r="CZ28" s="979"/>
      <c r="DA28" s="979"/>
      <c r="DB28" s="979"/>
      <c r="DC28" s="979"/>
      <c r="DD28" s="979"/>
      <c r="DE28" s="979"/>
      <c r="DF28" s="979"/>
      <c r="DG28" s="979"/>
      <c r="DH28" s="979"/>
      <c r="DI28" s="979"/>
      <c r="DJ28" s="979"/>
      <c r="DK28" s="979"/>
      <c r="DL28" s="979"/>
      <c r="DM28" s="979"/>
      <c r="DN28" s="979"/>
      <c r="DO28" s="979"/>
      <c r="DP28" s="979"/>
      <c r="DQ28" s="979"/>
      <c r="DR28" s="979"/>
      <c r="DS28" s="979"/>
      <c r="DT28" s="979"/>
      <c r="DU28" s="979"/>
      <c r="DV28" s="979"/>
      <c r="DW28" s="979"/>
      <c r="DX28" s="979"/>
      <c r="DY28" s="979"/>
      <c r="DZ28" s="979"/>
      <c r="EA28" s="979"/>
      <c r="EB28" s="979"/>
      <c r="EC28" s="979"/>
      <c r="ED28" s="979"/>
      <c r="EE28" s="979"/>
      <c r="EF28" s="979"/>
      <c r="EG28" s="979"/>
      <c r="EH28" s="979"/>
      <c r="EI28" s="979"/>
    </row>
    <row r="29" spans="2:139">
      <c r="B29" s="26"/>
      <c r="C29" s="28" t="s">
        <v>751</v>
      </c>
      <c r="D29" s="27" t="s">
        <v>2099</v>
      </c>
      <c r="E29" s="1627" t="str">
        <f t="shared" ca="1" si="28"/>
        <v>No</v>
      </c>
      <c r="F29" s="1085"/>
      <c r="G29" s="1287"/>
      <c r="H29" s="1626"/>
      <c r="I29" s="1128"/>
      <c r="J29" s="1737" t="str">
        <f t="shared" ca="1" si="0"/>
        <v/>
      </c>
      <c r="K29" s="541">
        <v>0</v>
      </c>
      <c r="L29" s="51" t="str">
        <f t="shared" si="1"/>
        <v/>
      </c>
      <c r="M29" s="51">
        <f t="shared" si="2"/>
        <v>0</v>
      </c>
      <c r="N29" s="51">
        <f>Bonuses!D46+IF(Feats!M434&gt;0,3,0)</f>
        <v>0</v>
      </c>
      <c r="O29" s="1705">
        <f ca="1">K29+IF(L29&lt;&gt;"",L29,0)+IF(E29="Yes",IF(OR(F29&lt;&gt;"",G29&lt;&gt;""),5,0)+IF(AND(OR(F29&lt;&gt;"",G29&lt;&gt;""),OR(I29&lt;&gt;"",J29&lt;&gt;"")),5,0))+INT(CharacterLevel/2)+N29</f>
        <v>0</v>
      </c>
      <c r="P29" s="1705" t="e">
        <f ca="1">K29+L29+IF(AND(E29="No"),-5,IF(OR(F29&lt;&gt;"",G29&lt;&gt;""),0,-5)+IF(AND(OR(F29&lt;&gt;"",G29&lt;&gt;""),OR(I29&lt;&gt;"",J29&lt;&gt;"")),2,0))+INT(CharacterLevel)+N29</f>
        <v>#VALUE!</v>
      </c>
      <c r="R29" s="1647" t="str">
        <f t="shared" ca="1" si="14"/>
        <v/>
      </c>
      <c r="T29" s="16">
        <f>IF(NobleSkill&gt;0,1,0)</f>
        <v>0</v>
      </c>
      <c r="V29" s="16">
        <f>IF(ScoutSkill&gt;0,1,0)</f>
        <v>0</v>
      </c>
      <c r="X29" s="16">
        <f t="shared" si="3"/>
        <v>0</v>
      </c>
      <c r="Z29" s="16">
        <f t="shared" si="4"/>
        <v>0</v>
      </c>
      <c r="AA29" s="16" t="e">
        <f t="shared" ca="1" si="5"/>
        <v>#N/A</v>
      </c>
      <c r="AI29" s="16">
        <f>IF(MaroonedSkill=1,1,0)</f>
        <v>0</v>
      </c>
      <c r="AT29" s="16">
        <f>IF(MilitarySkill=1,1,0)</f>
        <v>0</v>
      </c>
      <c r="BM29" s="16">
        <f>IF(NabooSkill=1,1,0)</f>
        <v>0</v>
      </c>
      <c r="BT29" s="16">
        <f>IF(TatooineSkill=1,1,0)</f>
        <v>0</v>
      </c>
      <c r="BV29" s="1620">
        <f t="shared" si="15"/>
        <v>0</v>
      </c>
      <c r="BW29" s="997" t="str">
        <f t="shared" ca="1" si="6"/>
        <v/>
      </c>
      <c r="BX29" s="383" t="str">
        <f t="shared" ca="1" si="7"/>
        <v/>
      </c>
      <c r="BY29" s="1125" t="str">
        <f t="shared" si="16"/>
        <v/>
      </c>
      <c r="BZ29" s="383" t="str">
        <f t="shared" si="17"/>
        <v/>
      </c>
      <c r="CA29" s="26"/>
      <c r="CB29" s="1318" t="str">
        <f t="shared" ref="CB29:CB35" si="29">IF(AND(CG29="Yes (worse)",CI29&lt;&gt;""),CI29,CG29)</f>
        <v/>
      </c>
      <c r="CC29" s="963" t="str">
        <f t="shared" si="9"/>
        <v/>
      </c>
      <c r="CD29" s="1553"/>
      <c r="CE29" s="1543"/>
      <c r="CF29" s="29"/>
      <c r="CG29" s="956" t="str">
        <f t="shared" si="10"/>
        <v/>
      </c>
      <c r="CH29" s="956" t="str">
        <f t="shared" si="11"/>
        <v/>
      </c>
      <c r="CK29" s="1125" t="str">
        <f>IF(OR(F29&lt;&gt;"",G29&lt;&gt;""),C29&amp;" "&amp;IF(O29&lt;0,"","+")&amp;O29&amp;IF(NOT(ISERROR(FIND("Yes (worse)",CB29,1)))," (can reroll, but must accept second result)","")&amp;IF(NOT(ISERROR(FIND("Yes (better)",CB29,1)))," (can reroll and take the better result)",""),"")</f>
        <v/>
      </c>
      <c r="CL29" s="718" t="str">
        <f t="shared" si="23"/>
        <v/>
      </c>
      <c r="CP29" s="718"/>
      <c r="CQ29" s="718"/>
      <c r="CR29" s="718"/>
      <c r="CS29" s="718"/>
      <c r="CT29" s="718"/>
      <c r="CU29" s="718"/>
      <c r="CV29" s="718"/>
      <c r="CW29" s="718"/>
      <c r="CX29" s="718"/>
      <c r="CY29" s="1549"/>
      <c r="CZ29" s="979"/>
      <c r="DA29" s="979"/>
      <c r="DB29" s="979"/>
      <c r="DC29" s="979"/>
      <c r="DD29" s="979"/>
      <c r="DE29" s="979"/>
      <c r="DF29" s="979"/>
      <c r="DG29" s="979"/>
      <c r="DH29" s="979"/>
      <c r="DI29" s="979"/>
      <c r="DJ29" s="979"/>
      <c r="DK29" s="979"/>
      <c r="DL29" s="979"/>
      <c r="DM29" s="979"/>
      <c r="DN29" s="979"/>
      <c r="DO29" s="979"/>
      <c r="DP29" s="979"/>
      <c r="DQ29" s="979"/>
      <c r="DR29" s="979"/>
      <c r="DS29" s="979"/>
      <c r="DT29" s="979"/>
      <c r="DU29" s="979"/>
      <c r="DV29" s="979"/>
      <c r="DW29" s="979"/>
      <c r="DX29" s="979"/>
      <c r="DY29" s="979"/>
      <c r="DZ29" s="979"/>
      <c r="EA29" s="979"/>
      <c r="EB29" s="979"/>
      <c r="EC29" s="979"/>
      <c r="ED29" s="979"/>
      <c r="EE29" s="979"/>
      <c r="EF29" s="979"/>
      <c r="EG29" s="979"/>
      <c r="EH29" s="979"/>
      <c r="EI29" s="979"/>
    </row>
    <row r="30" spans="2:139">
      <c r="B30" s="26"/>
      <c r="C30" s="28" t="s">
        <v>559</v>
      </c>
      <c r="D30" s="27" t="s">
        <v>2099</v>
      </c>
      <c r="E30" s="1627" t="str">
        <f t="shared" ca="1" si="28"/>
        <v>No</v>
      </c>
      <c r="F30" s="1085"/>
      <c r="G30" s="1294"/>
      <c r="H30" s="1627"/>
      <c r="I30" s="1128"/>
      <c r="J30" s="1737" t="str">
        <f t="shared" ca="1" si="0"/>
        <v/>
      </c>
      <c r="K30" s="51">
        <f>ArmorPenalty</f>
        <v>0</v>
      </c>
      <c r="L30" s="51" t="str">
        <f t="shared" si="1"/>
        <v/>
      </c>
      <c r="M30" s="51">
        <f t="shared" si="2"/>
        <v>0</v>
      </c>
      <c r="N30" s="51">
        <f>IF(Race&lt;&gt;"",INDEX(SizeTable,MATCH(OutputSize,SizeList,0),5)+MAX(IF(COUNTIF('Armor and Defenses'!J29:K40,"Shadowskin")&gt;0,5,0),IF(COUNTIF('Armor and Defenses'!J29:K40,"Shadowskin, Reflec")&gt;0,10,0)),0)+Bonuses!D47+IF(Feats!M432&gt;0,3,0)</f>
        <v>0</v>
      </c>
      <c r="O30" s="1705">
        <f ca="1">IF(Q30,MAX(K30+L30+IF(E30="Yes",IF(OR(F30&lt;&gt;"",G30&lt;&gt;"",Q30),5,0)+IF(AND(OR(F30&lt;&gt;"",G30&lt;&gt;"",Q30),OR(I30&lt;&gt;"",J30&lt;&gt;"")),5,0))+INT(CharacterLevel/2)+N30,UsetheForce),K30+IF(L30&lt;&gt;"",L30,0)+IF(E30="Yes",IF(OR(F30&lt;&gt;"",G30&lt;&gt;""),5,0)+IF(AND(OR(F30&lt;&gt;"",G30&lt;&gt;""),OR(I30&lt;&gt;"",J30&lt;&gt;"")),5,0))+INT(CharacterLevel/2))+N30</f>
        <v>0</v>
      </c>
      <c r="P30" s="1705" t="e">
        <f ca="1">IF(Q30,MAX(K30+L30+IF(AND(E30="No",Q30),0,IF(OR(F30&lt;&gt;"",G30&lt;&gt;"",Q30),0,-5)+IF(AND(OR(F30&lt;&gt;"",G30&lt;&gt;"",Q30),OR(I30&lt;&gt;"",J30&lt;&gt;"")),2,0))+INT(CharacterLevel)+N30,SAMUsetheForce),K30+L30+IF(AND(E30="No"),-5,IF(OR(F30&lt;&gt;"",G30&lt;&gt;""),0,-5)+IF(AND(OR(F30&lt;&gt;"",G30&lt;&gt;""),OR(I30&lt;&gt;"",J30&lt;&gt;"")),2,0))+INT(CharacterLevel)+N30)</f>
        <v>#VALUE!</v>
      </c>
      <c r="Q30" s="1058" t="b">
        <f>AND(IF(Talents!$M$727&gt;0,TRUE,FALSE),OR(TUsetheForce="Yes",STUsetheForce="Yes"))</f>
        <v>0</v>
      </c>
      <c r="R30" s="1647" t="str">
        <f t="shared" ca="1" si="14"/>
        <v/>
      </c>
      <c r="U30" s="16">
        <f>IF(ScoundrelSkill&gt;0,1,0)</f>
        <v>0</v>
      </c>
      <c r="V30" s="16">
        <f>IF(ScoutSkill&gt;0,1,0)</f>
        <v>0</v>
      </c>
      <c r="X30" s="16">
        <f t="shared" si="3"/>
        <v>0</v>
      </c>
      <c r="Y30" s="16">
        <f>IF(BeastSkill&gt;0,1,0)</f>
        <v>0</v>
      </c>
      <c r="Z30" s="16">
        <f t="shared" si="4"/>
        <v>0</v>
      </c>
      <c r="AA30" s="16" t="e">
        <f t="shared" ca="1" si="5"/>
        <v>#N/A</v>
      </c>
      <c r="AC30" s="16">
        <f>IF(ConspiracySkill=1,1,0)</f>
        <v>0</v>
      </c>
      <c r="AE30" s="16">
        <f>IF(DisgracedSkill=1,1,0)</f>
        <v>0</v>
      </c>
      <c r="AH30" s="16">
        <f>IF(ImprisonedSkill=1,1,0)</f>
        <v>0</v>
      </c>
      <c r="AO30" s="16">
        <f>IF(CriminalSkill=1,1,0)</f>
        <v>0</v>
      </c>
      <c r="BN30" s="16">
        <f>IF(NarShaddaaSkill=1,1,0)</f>
        <v>0</v>
      </c>
      <c r="BO30" s="16">
        <f>IF(RodiaSkill=1,1,0)</f>
        <v>0</v>
      </c>
      <c r="BQ30" s="16">
        <f>IF(SocorroSkill=1,1,0)</f>
        <v>0</v>
      </c>
      <c r="BS30" s="16">
        <f>IF(TarisSkill=1,1,0)</f>
        <v>0</v>
      </c>
      <c r="BV30" s="1620">
        <f t="shared" si="15"/>
        <v>0</v>
      </c>
      <c r="BW30" s="997" t="str">
        <f t="shared" ca="1" si="6"/>
        <v/>
      </c>
      <c r="BX30" s="383" t="str">
        <f t="shared" ca="1" si="7"/>
        <v/>
      </c>
      <c r="BY30" s="1125" t="str">
        <f t="shared" si="16"/>
        <v/>
      </c>
      <c r="BZ30" s="383" t="str">
        <f t="shared" si="17"/>
        <v/>
      </c>
      <c r="CA30" s="26"/>
      <c r="CB30" s="1318" t="str">
        <f t="shared" si="29"/>
        <v/>
      </c>
      <c r="CC30" s="963" t="str">
        <f t="shared" si="9"/>
        <v/>
      </c>
      <c r="CD30" s="1553"/>
      <c r="CE30" s="1543"/>
      <c r="CF30" s="29"/>
      <c r="CG30" s="956" t="str">
        <f t="shared" si="10"/>
        <v/>
      </c>
      <c r="CH30" s="956" t="str">
        <f t="shared" si="11"/>
        <v/>
      </c>
      <c r="CI30" s="15" t="str">
        <f>IF(OR(Feats!M378&gt;0),"Yes (better)","")</f>
        <v/>
      </c>
      <c r="CK30" s="1125" t="str">
        <f>IF(OR(F30&lt;&gt;"",Q30,G30&lt;&gt;""),IF(Q30,IF(O$35&gt;=O30,C30&amp;" (Use the Force)",C30),C30)&amp;" "&amp;IF(O30&lt;0,"","+")&amp;O30&amp;IF(NOT(ISERROR(FIND("Yes (worse)",CB30,1)))," (can reroll, but must accept second result)","")&amp;IF(NOT(ISERROR(FIND("Yes (better)",CB30,1)))," (can reroll and take the better result)",""),"")</f>
        <v/>
      </c>
      <c r="CL30" s="718" t="str">
        <f t="shared" si="23"/>
        <v/>
      </c>
      <c r="CP30" s="718"/>
      <c r="CQ30" s="718"/>
      <c r="CR30" s="718"/>
      <c r="CS30" s="718"/>
      <c r="CT30" s="718"/>
      <c r="CU30" s="718"/>
      <c r="CV30" s="718"/>
      <c r="CW30" s="718"/>
      <c r="CX30" s="718"/>
      <c r="CY30" s="1549"/>
      <c r="CZ30" s="979"/>
      <c r="DA30" s="979"/>
      <c r="DB30" s="979"/>
      <c r="DC30" s="979"/>
      <c r="DD30" s="979"/>
      <c r="DE30" s="979"/>
      <c r="DF30" s="979"/>
      <c r="DG30" s="979"/>
      <c r="DH30" s="979"/>
      <c r="DI30" s="979"/>
      <c r="DJ30" s="979"/>
      <c r="DK30" s="979"/>
      <c r="DL30" s="979"/>
      <c r="DM30" s="979"/>
      <c r="DN30" s="979"/>
      <c r="DO30" s="979"/>
      <c r="DP30" s="979"/>
      <c r="DQ30" s="979"/>
      <c r="DR30" s="979"/>
      <c r="DS30" s="979"/>
      <c r="DT30" s="979"/>
      <c r="DU30" s="979"/>
      <c r="DV30" s="979"/>
      <c r="DW30" s="979"/>
      <c r="DX30" s="979"/>
      <c r="DY30" s="979"/>
      <c r="DZ30" s="979"/>
      <c r="EA30" s="979"/>
      <c r="EB30" s="979"/>
      <c r="EC30" s="979"/>
      <c r="ED30" s="979"/>
      <c r="EE30" s="979"/>
      <c r="EF30" s="979"/>
      <c r="EG30" s="979"/>
      <c r="EH30" s="979"/>
      <c r="EI30" s="979"/>
    </row>
    <row r="31" spans="2:139">
      <c r="B31" s="26"/>
      <c r="C31" s="28" t="s">
        <v>795</v>
      </c>
      <c r="D31" s="27" t="s">
        <v>2102</v>
      </c>
      <c r="E31" s="1553" t="str">
        <f t="shared" ca="1" si="28"/>
        <v>No</v>
      </c>
      <c r="F31" s="1085"/>
      <c r="G31" s="1294"/>
      <c r="H31" s="1651"/>
      <c r="I31" s="1128"/>
      <c r="J31" s="1737" t="str">
        <f t="shared" ca="1" si="0"/>
        <v/>
      </c>
      <c r="K31" s="541">
        <v>0</v>
      </c>
      <c r="L31" s="51" t="str">
        <f t="shared" si="1"/>
        <v/>
      </c>
      <c r="M31" s="51">
        <f t="shared" si="2"/>
        <v>0</v>
      </c>
      <c r="N31" s="51">
        <f>Bonuses!D48+IF(Feats!M442&gt;0,3,0)</f>
        <v>0</v>
      </c>
      <c r="O31" s="1705">
        <f ca="1">K31+IF(L31&lt;&gt;"",L31,0)+IF(E31="Yes",IF(OR(F31&lt;&gt;"",G31&lt;&gt;""),5,0)+IF(AND(OR(F31&lt;&gt;"",G31&lt;&gt;""),OR(I31&lt;&gt;"",J31&lt;&gt;"")),5,0))+INT(CharacterLevel/2)+N31</f>
        <v>0</v>
      </c>
      <c r="P31" s="1705" t="e">
        <f ca="1">K31+L31+IF(AND(E31="No"),-5,IF(OR(F31&lt;&gt;"",G31&lt;&gt;""),0,-5)+IF(AND(OR(F31&lt;&gt;"",G31&lt;&gt;""),OR(I31&lt;&gt;"",J31&lt;&gt;"")),2,0))+INT(CharacterLevel)+N31</f>
        <v>#VALUE!</v>
      </c>
      <c r="R31" s="1647" t="str">
        <f t="shared" ca="1" si="14"/>
        <v/>
      </c>
      <c r="V31" s="16">
        <f>IF(ScoutSkill&gt;0,1,0)</f>
        <v>0</v>
      </c>
      <c r="X31" s="16">
        <f t="shared" si="3"/>
        <v>0</v>
      </c>
      <c r="Y31" s="16">
        <f>IF(BeastSkill&gt;0,1,0)</f>
        <v>0</v>
      </c>
      <c r="Z31" s="16">
        <f t="shared" si="4"/>
        <v>0</v>
      </c>
      <c r="AA31" s="16" t="e">
        <f t="shared" ca="1" si="5"/>
        <v>#N/A</v>
      </c>
      <c r="AB31" s="16">
        <f>IF(BankruptSkill=1,1,0)</f>
        <v>0</v>
      </c>
      <c r="AG31" s="16">
        <f>IF(ExiledSkill=1,1,0)</f>
        <v>0</v>
      </c>
      <c r="AI31" s="16">
        <f>IF(MaroonedSkill=1,1,0)</f>
        <v>0</v>
      </c>
      <c r="AJ31" s="16">
        <f>IF(OrphanedSkill=1,1,0)</f>
        <v>0</v>
      </c>
      <c r="BB31" s="16">
        <f>IF(CereaSkill=1,1,0)</f>
        <v>0</v>
      </c>
      <c r="BE31" s="16">
        <f>IF(DorinSkill=1,1,0)</f>
        <v>0</v>
      </c>
      <c r="BH31" s="16">
        <f>IF(GamorrSkill=1,1,0)</f>
        <v>0</v>
      </c>
      <c r="BI31" s="16">
        <f>IF(IridoniaSkill=1,1,0)</f>
        <v>0</v>
      </c>
      <c r="BK31" s="16">
        <f>IF(KashyyykSkill=1,1,0)</f>
        <v>0</v>
      </c>
      <c r="BO31" s="16">
        <f>IF(RodiaSkill=1,1,0)</f>
        <v>0</v>
      </c>
      <c r="BP31" s="16">
        <f>IF(RylothSkill=1,1,0)</f>
        <v>0</v>
      </c>
      <c r="BQ31" s="16">
        <f>IF(SocorroSkill=1,1,0)</f>
        <v>0</v>
      </c>
      <c r="BR31" s="16">
        <f>IF(SullustSkill=1,1,0)</f>
        <v>0</v>
      </c>
      <c r="BT31" s="16">
        <f>IF(TatooineSkill=1,1,0)</f>
        <v>0</v>
      </c>
      <c r="BU31" s="16">
        <f>IF(TrandoshaSkill=1,1,0)</f>
        <v>0</v>
      </c>
      <c r="BV31" s="1620">
        <f t="shared" si="15"/>
        <v>0</v>
      </c>
      <c r="BW31" s="997" t="str">
        <f t="shared" ca="1" si="6"/>
        <v/>
      </c>
      <c r="BX31" s="383" t="str">
        <f t="shared" ca="1" si="7"/>
        <v/>
      </c>
      <c r="BY31" s="1125" t="str">
        <f t="shared" si="16"/>
        <v/>
      </c>
      <c r="BZ31" s="383" t="str">
        <f t="shared" si="17"/>
        <v/>
      </c>
      <c r="CA31" s="26"/>
      <c r="CB31" s="1318" t="str">
        <f t="shared" si="29"/>
        <v/>
      </c>
      <c r="CC31" s="963" t="str">
        <f t="shared" si="9"/>
        <v/>
      </c>
      <c r="CD31" s="1553"/>
      <c r="CE31" s="1543"/>
      <c r="CF31" s="29"/>
      <c r="CG31" s="956" t="str">
        <f t="shared" si="10"/>
        <v/>
      </c>
      <c r="CH31" s="956" t="str">
        <f t="shared" si="11"/>
        <v/>
      </c>
      <c r="CK31" s="1125" t="str">
        <f>IF(OR(F31&lt;&gt;"",G31&lt;&gt;""),C31&amp;" "&amp;IF(O31&lt;0,"","+")&amp;O31&amp;IF(NOT(ISERROR(FIND("Yes (worse)",CB31,1)))," (can reroll, but must accept second result)","")&amp;IF(NOT(ISERROR(FIND("Yes (better)",CB31,1)))," (can reroll and take the better result)",""),"")</f>
        <v/>
      </c>
      <c r="CL31" s="718" t="str">
        <f t="shared" si="23"/>
        <v/>
      </c>
      <c r="CP31" s="718"/>
      <c r="CQ31" s="718"/>
      <c r="CR31" s="718"/>
      <c r="CS31" s="718"/>
      <c r="CT31" s="718"/>
      <c r="CU31" s="718"/>
      <c r="CV31" s="718"/>
      <c r="CW31" s="718"/>
      <c r="CX31" s="718"/>
      <c r="CY31" s="1549"/>
      <c r="CZ31" s="979"/>
      <c r="DA31" s="979"/>
      <c r="DB31" s="979"/>
      <c r="DC31" s="979"/>
      <c r="DD31" s="979"/>
      <c r="DE31" s="979"/>
      <c r="DF31" s="979"/>
      <c r="DG31" s="979"/>
      <c r="DH31" s="979"/>
      <c r="DI31" s="979"/>
      <c r="DJ31" s="979"/>
      <c r="DK31" s="979"/>
      <c r="DL31" s="979"/>
      <c r="DM31" s="979"/>
      <c r="DN31" s="979"/>
      <c r="DO31" s="979"/>
      <c r="DP31" s="979"/>
      <c r="DQ31" s="979"/>
      <c r="DR31" s="979"/>
      <c r="DS31" s="979"/>
      <c r="DT31" s="979"/>
      <c r="DU31" s="979"/>
      <c r="DV31" s="979"/>
      <c r="DW31" s="979"/>
      <c r="DX31" s="979"/>
      <c r="DY31" s="979"/>
      <c r="DZ31" s="979"/>
      <c r="EA31" s="979"/>
      <c r="EB31" s="979"/>
      <c r="EC31" s="979"/>
      <c r="ED31" s="979"/>
      <c r="EE31" s="979"/>
      <c r="EF31" s="979"/>
      <c r="EG31" s="979"/>
      <c r="EH31" s="979"/>
      <c r="EI31" s="979"/>
    </row>
    <row r="32" spans="2:139">
      <c r="B32" s="26"/>
      <c r="C32" s="28" t="s">
        <v>816</v>
      </c>
      <c r="D32" s="27" t="s">
        <v>2098</v>
      </c>
      <c r="E32" s="1627" t="str">
        <f t="shared" ca="1" si="28"/>
        <v>No</v>
      </c>
      <c r="F32" s="1085"/>
      <c r="G32" s="1287"/>
      <c r="H32" s="1626"/>
      <c r="I32" s="1128"/>
      <c r="J32" s="1737" t="str">
        <f t="shared" ca="1" si="0"/>
        <v/>
      </c>
      <c r="K32" s="51">
        <f>ArmorPenalty</f>
        <v>0</v>
      </c>
      <c r="L32" s="51" t="str">
        <f t="shared" si="1"/>
        <v/>
      </c>
      <c r="M32" s="51">
        <f t="shared" si="2"/>
        <v>0</v>
      </c>
      <c r="N32" s="51">
        <f>Bonuses!D49+IF(Feats!M430&gt;0,3,0)</f>
        <v>0</v>
      </c>
      <c r="O32" s="1705">
        <f ca="1">K32+IF(L32&lt;&gt;"",L32,0)+IF(E32="Yes",IF(OR(F32&lt;&gt;"",G32&lt;&gt;""),5,0)+IF(AND(OR(F32&lt;&gt;"",G32&lt;&gt;""),OR(I32&lt;&gt;"",J32&lt;&gt;"")),5,0))+INT(CharacterLevel/2)+N32</f>
        <v>0</v>
      </c>
      <c r="P32" s="1705" t="e">
        <f ca="1">K32+L32+IF(AND(E32="No"),-5,IF(OR(F32&lt;&gt;"",G32&lt;&gt;""),0,-5)+IF(AND(OR(F32&lt;&gt;"",G32&lt;&gt;""),OR(I32&lt;&gt;"",J32&lt;&gt;"")),2,0))+INT(CharacterLevel)+N32</f>
        <v>#VALUE!</v>
      </c>
      <c r="R32" s="1647" t="str">
        <f t="shared" ca="1" si="14"/>
        <v/>
      </c>
      <c r="V32" s="16">
        <f>IF(ScoutSkill&gt;0,1,0)</f>
        <v>0</v>
      </c>
      <c r="W32" s="16">
        <f>IF(SoldierSkill&gt;0,1,0)</f>
        <v>0</v>
      </c>
      <c r="X32" s="16">
        <f t="shared" si="3"/>
        <v>0</v>
      </c>
      <c r="Y32" s="16">
        <f>IF(BeastSkill&gt;0,1,0)</f>
        <v>0</v>
      </c>
      <c r="Z32" s="16">
        <f t="shared" si="4"/>
        <v>0</v>
      </c>
      <c r="AA32" s="16" t="e">
        <f t="shared" ca="1" si="5"/>
        <v>#N/A</v>
      </c>
      <c r="AI32" s="16">
        <f>IF(MaroonedSkill=1,1,0)</f>
        <v>0</v>
      </c>
      <c r="BL32" s="16">
        <f>IF(MonCalamariSkill=1,1,0)</f>
        <v>0</v>
      </c>
      <c r="BM32" s="16">
        <f>IF(NabooSkill=1,1,0)</f>
        <v>0</v>
      </c>
      <c r="BV32" s="1620">
        <f t="shared" si="15"/>
        <v>0</v>
      </c>
      <c r="BW32" s="997" t="str">
        <f t="shared" ca="1" si="6"/>
        <v/>
      </c>
      <c r="BX32" s="383" t="str">
        <f t="shared" ca="1" si="7"/>
        <v/>
      </c>
      <c r="BY32" s="1125" t="str">
        <f t="shared" si="16"/>
        <v/>
      </c>
      <c r="BZ32" s="383" t="str">
        <f t="shared" si="17"/>
        <v/>
      </c>
      <c r="CA32" s="26"/>
      <c r="CB32" s="1318" t="str">
        <f t="shared" si="29"/>
        <v/>
      </c>
      <c r="CC32" s="963" t="str">
        <f>CH32</f>
        <v/>
      </c>
      <c r="CD32" s="1553"/>
      <c r="CE32" s="1543"/>
      <c r="CF32" s="29"/>
      <c r="CG32" s="956" t="str">
        <f>IF(OR(NOT(ISERROR(MATCH(C32,SkillSpecials1List,0))),NOT(ISERROR(MATCH(C32,SkillSpecials3List,0))),COUNTIF('Armor and Defenses'!P29:R40,"Aquatic Adaptation")&gt;0),IF(NOT(ISERROR(MATCH(C32,SkillSpecials1List,0))),"Yes ("&amp;INDEX(SkillSpecialsTable,MATCH(C32,SkillSpecials1List,0),2)&amp;")","")&amp;IF(COUNTIF('Armor and Defenses'!P29:R40,"Aquatic Adaptation")&gt;0,"Yes (better)","")&amp;IF(NOT(ISERROR(MATCH(C32,SkillSpecials3List,0))),"Yes ("&amp;INDEX(SkillSpecialsTable,MATCH(C32,SkillSpecials3List,0),4)&amp;")",""),"")</f>
        <v/>
      </c>
      <c r="CH32" s="956" t="str">
        <f>IF(OR(NOT(ISERROR(MATCH(C32,SkillSpecialsReroll1List,0))),NOT(ISERROR(MATCH(C32,SkillSpecialsReroll2List,0))),COUNTIF('Armor and Defenses'!P29:R40,"Aquatic Adaptation")&gt;0),"Yes","")</f>
        <v/>
      </c>
      <c r="CI32" s="15" t="str">
        <f>IF(OR(Feats!M395&gt;0),"Yes (better)","")</f>
        <v/>
      </c>
      <c r="CK32" s="1125" t="str">
        <f>IF(OR(F32&lt;&gt;"",G32&lt;&gt;""),C32&amp;" "&amp;IF(O32&lt;0,"","+")&amp;O32&amp;IF(NOT(ISERROR(FIND("Yes (worse)",CB32,1)))," (can reroll, but must accept second result)","")&amp;IF(NOT(ISERROR(FIND("Yes (better)",CB32,1)))," (can reroll and take the better result)",""),"")</f>
        <v/>
      </c>
      <c r="CL32" s="718" t="str">
        <f t="shared" si="23"/>
        <v/>
      </c>
      <c r="CP32" s="718"/>
      <c r="CQ32" s="718"/>
      <c r="CR32" s="718"/>
      <c r="CS32" s="718"/>
      <c r="CT32" s="718"/>
      <c r="CU32" s="718"/>
      <c r="CV32" s="718"/>
      <c r="CW32" s="718"/>
      <c r="CX32" s="718"/>
      <c r="CY32" s="1549"/>
      <c r="CZ32" s="979"/>
      <c r="DA32" s="979"/>
      <c r="DB32" s="979"/>
      <c r="DC32" s="979"/>
      <c r="DD32" s="979"/>
      <c r="DE32" s="979"/>
      <c r="DF32" s="979"/>
      <c r="DG32" s="979"/>
      <c r="DH32" s="979"/>
      <c r="DI32" s="979"/>
      <c r="DJ32" s="979"/>
      <c r="DK32" s="979"/>
      <c r="DL32" s="979"/>
      <c r="DM32" s="979"/>
      <c r="DN32" s="979"/>
      <c r="DO32" s="979"/>
      <c r="DP32" s="979"/>
      <c r="DQ32" s="979"/>
      <c r="DR32" s="979"/>
      <c r="DS32" s="979"/>
      <c r="DT32" s="979"/>
      <c r="DU32" s="979"/>
      <c r="DV32" s="979"/>
      <c r="DW32" s="979"/>
      <c r="DX32" s="979"/>
      <c r="DY32" s="979"/>
      <c r="DZ32" s="979"/>
      <c r="EA32" s="979"/>
      <c r="EB32" s="979"/>
      <c r="EC32" s="979"/>
      <c r="ED32" s="979"/>
      <c r="EE32" s="979"/>
      <c r="EF32" s="979"/>
      <c r="EG32" s="979"/>
      <c r="EH32" s="979"/>
      <c r="EI32" s="979"/>
    </row>
    <row r="33" spans="2:139">
      <c r="B33" s="26"/>
      <c r="C33" s="28" t="s">
        <v>836</v>
      </c>
      <c r="D33" s="27" t="s">
        <v>2102</v>
      </c>
      <c r="E33" s="1627" t="str">
        <f t="shared" ca="1" si="28"/>
        <v>No</v>
      </c>
      <c r="F33" s="1085"/>
      <c r="G33" s="1287"/>
      <c r="H33" s="1626"/>
      <c r="I33" s="1646"/>
      <c r="J33" s="1737" t="str">
        <f t="shared" ca="1" si="0"/>
        <v/>
      </c>
      <c r="K33" s="51">
        <v>0</v>
      </c>
      <c r="L33" s="51" t="str">
        <f t="shared" si="1"/>
        <v/>
      </c>
      <c r="M33" s="51">
        <f t="shared" si="2"/>
        <v>0</v>
      </c>
      <c r="N33" s="51">
        <f>Bonuses!D50+IF(Feats!M433&gt;0,3,0)</f>
        <v>0</v>
      </c>
      <c r="O33" s="1705">
        <f ca="1">IF(Q33,MAX(K33+L33+IF(E33="Yes",IF(OR(F33&lt;&gt;"",G33&lt;&gt;"",Q33),5,0)+IF(AND(OR(F33&lt;&gt;"",G33&lt;&gt;"",Q33),OR(I33&lt;&gt;"",J33&lt;&gt;"")),5,0))+INT(CharacterLevel/2)+N33,UsetheForce),K33+IF(L33&lt;&gt;"",L33,0)+IF(E33="Yes",IF(OR(F33&lt;&gt;"",G33&lt;&gt;""),5,0)+IF(AND(OR(F33&lt;&gt;"",G33&lt;&gt;""),OR(I33&lt;&gt;"",J33&lt;&gt;"")),5,0))+INT(CharacterLevel/2))+N33</f>
        <v>0</v>
      </c>
      <c r="P33" s="1705" t="e">
        <f ca="1">IF(Q33,MAX(K33+L33+IF(AND(E33="No",Q33),0,IF(OR(F33&lt;&gt;"",G33&lt;&gt;"",Q33),0,-5)+IF(AND(OR(F33&lt;&gt;"",G33&lt;&gt;"",Q33),OR(I33&lt;&gt;"",J33&lt;&gt;"")),2,0))+INT(CharacterLevel)+N33,SAMUsetheForce),K33+L33+IF(AND(E33="No"),-5,IF(OR(F33&lt;&gt;"",G33&lt;&gt;""),0,-5)+IF(AND(OR(F33&lt;&gt;"",G33&lt;&gt;""),OR(I33&lt;&gt;"",J33&lt;&gt;"")),2,0))+INT(CharacterLevel)+N33)</f>
        <v>#VALUE!</v>
      </c>
      <c r="Q33" s="15" t="b">
        <f>AND(IF(Talents!$M$975&gt;0,TRUE,FALSE),OR(TUsetheForce="Yes",STUsetheForce="Yes"))</f>
        <v>0</v>
      </c>
      <c r="R33" s="1647" t="str">
        <f t="shared" ca="1" si="14"/>
        <v/>
      </c>
      <c r="T33" s="16">
        <f>IF(NobleSkill&gt;0,1,0)</f>
        <v>0</v>
      </c>
      <c r="W33" s="16">
        <f>IF(SoldierSkill&gt;0,1,0)</f>
        <v>0</v>
      </c>
      <c r="X33" s="16">
        <f t="shared" si="3"/>
        <v>0</v>
      </c>
      <c r="Z33" s="16">
        <f t="shared" si="4"/>
        <v>0</v>
      </c>
      <c r="AA33" s="16" t="e">
        <f t="shared" ca="1" si="5"/>
        <v>#N/A</v>
      </c>
      <c r="AD33" s="16">
        <f>IF(CrippledSkill=1,1,0)</f>
        <v>0</v>
      </c>
      <c r="AJ33" s="16">
        <f>IF(OrphanedSkill=1,1,0)</f>
        <v>0</v>
      </c>
      <c r="AK33" s="16">
        <f>IF(ScarredSkill=1,1,0)</f>
        <v>0</v>
      </c>
      <c r="AS33" s="16">
        <f>IF(MedicalSkill=1,1,0)</f>
        <v>0</v>
      </c>
      <c r="AT33" s="16">
        <f>IF(MilitarySkill=1,1,0)</f>
        <v>0</v>
      </c>
      <c r="AX33" s="16">
        <f>IF(AlderaanSkill=1,1,0)</f>
        <v>0</v>
      </c>
      <c r="AY33" s="16">
        <f>IF(BakuraSkill=1,1,0)</f>
        <v>0</v>
      </c>
      <c r="BE33" s="16">
        <f>IF(DorinSkill=1,1,0)</f>
        <v>0</v>
      </c>
      <c r="BJ33" s="16">
        <f>IF(IthorSkill=1,1,0)</f>
        <v>0</v>
      </c>
      <c r="BV33" s="1620">
        <f t="shared" si="15"/>
        <v>0</v>
      </c>
      <c r="BW33" s="997" t="str">
        <f t="shared" ca="1" si="6"/>
        <v/>
      </c>
      <c r="BX33" s="383" t="str">
        <f t="shared" ca="1" si="7"/>
        <v/>
      </c>
      <c r="BY33" s="1125" t="str">
        <f t="shared" si="16"/>
        <v/>
      </c>
      <c r="BZ33" s="383" t="str">
        <f t="shared" si="17"/>
        <v/>
      </c>
      <c r="CA33" s="26"/>
      <c r="CB33" s="1318" t="str">
        <f t="shared" si="29"/>
        <v/>
      </c>
      <c r="CC33" s="963" t="str">
        <f>CH33</f>
        <v/>
      </c>
      <c r="CD33" s="1553"/>
      <c r="CE33" s="1543"/>
      <c r="CF33" s="29"/>
      <c r="CG33" s="956" t="str">
        <f t="shared" si="10"/>
        <v/>
      </c>
      <c r="CH33" s="956" t="str">
        <f t="shared" si="11"/>
        <v/>
      </c>
      <c r="CK33" s="1125" t="str">
        <f>IF(OR(F33&lt;&gt;"",G33&lt;&gt;""),C33&amp;" "&amp;IF(O33&lt;0,"","+")&amp;O33&amp;IF(NOT(ISERROR(FIND("Yes (worse)",CB33,1)))," (can reroll, but must accept second result)","")&amp;IF(NOT(ISERROR(FIND("Yes (better)",CB33,1)))," (can reroll and take the better result)",""),"")</f>
        <v/>
      </c>
      <c r="CL33" s="718" t="str">
        <f t="shared" si="23"/>
        <v/>
      </c>
      <c r="CP33" s="718"/>
      <c r="CQ33" s="718"/>
      <c r="CR33" s="718"/>
      <c r="CS33" s="718"/>
      <c r="CT33" s="718"/>
      <c r="CU33" s="718"/>
      <c r="CV33" s="718"/>
      <c r="CW33" s="718"/>
      <c r="CX33" s="718"/>
      <c r="CY33" s="1549"/>
      <c r="CZ33" s="979"/>
      <c r="DA33" s="979"/>
      <c r="DB33" s="979"/>
      <c r="DC33" s="979"/>
      <c r="DD33" s="979"/>
      <c r="DE33" s="979"/>
      <c r="DF33" s="979"/>
      <c r="DG33" s="979"/>
      <c r="DH33" s="979"/>
      <c r="DI33" s="979"/>
      <c r="DJ33" s="979"/>
      <c r="DK33" s="979"/>
      <c r="DL33" s="979"/>
      <c r="DM33" s="979"/>
      <c r="DN33" s="979"/>
      <c r="DO33" s="979"/>
      <c r="DP33" s="979"/>
      <c r="DQ33" s="979"/>
      <c r="DR33" s="979"/>
      <c r="DS33" s="979"/>
      <c r="DT33" s="979"/>
      <c r="DU33" s="979"/>
      <c r="DV33" s="979"/>
      <c r="DW33" s="979"/>
      <c r="DX33" s="979"/>
      <c r="DY33" s="979"/>
      <c r="DZ33" s="979"/>
      <c r="EA33" s="979"/>
      <c r="EB33" s="979"/>
      <c r="EC33" s="979"/>
      <c r="ED33" s="979"/>
      <c r="EE33" s="979"/>
      <c r="EF33" s="979"/>
      <c r="EG33" s="979"/>
      <c r="EH33" s="979"/>
      <c r="EI33" s="979"/>
    </row>
    <row r="34" spans="2:139">
      <c r="B34" s="26"/>
      <c r="C34" s="28" t="s">
        <v>857</v>
      </c>
      <c r="D34" s="1318" t="str">
        <f>IF(AND(Race="Cerean",Feats!M407&gt;0),"Wisdom","Intelligence")</f>
        <v>Intelligence</v>
      </c>
      <c r="E34" s="1627" t="str">
        <f t="shared" ca="1" si="28"/>
        <v>No</v>
      </c>
      <c r="F34" s="1085"/>
      <c r="G34" s="1287"/>
      <c r="H34" s="1626"/>
      <c r="I34" s="1128"/>
      <c r="J34" s="1737" t="str">
        <f t="shared" ca="1" si="0"/>
        <v/>
      </c>
      <c r="K34" s="51">
        <v>0</v>
      </c>
      <c r="L34" s="51" t="str">
        <f t="shared" si="1"/>
        <v/>
      </c>
      <c r="M34" s="51">
        <f t="shared" si="2"/>
        <v>0</v>
      </c>
      <c r="N34" s="51">
        <f>Bonuses!D51+IF(Feats!M436&gt;0,3,0)</f>
        <v>0</v>
      </c>
      <c r="O34" s="1705">
        <f ca="1">IF(Q34,MAX(K34+L34+IF(E34="Yes",IF(OR(F34&lt;&gt;"",G34&lt;&gt;"",Q34),5,0)+IF(AND(OR(F34&lt;&gt;"",G34&lt;&gt;"",Q34),OR(I34&lt;&gt;"",J34&lt;&gt;"")),5,0))+INT(CharacterLevel/2)+N34,Mechanics),K34+IF(L34&lt;&gt;"",L34,0)+IF(E34="Yes",IF(OR(F34&lt;&gt;"",G34&lt;&gt;""),5,0)+IF(AND(OR(F34&lt;&gt;"",G34&lt;&gt;""),OR(I34&lt;&gt;"",J34&lt;&gt;"")),5,0))+INT(CharacterLevel/2))+N34</f>
        <v>0</v>
      </c>
      <c r="P34" s="1705" t="e">
        <f ca="1">IF(Q34,MAX(K34+L34+IF(AND(E34="No",Q34),0,IF(OR(F34&lt;&gt;"",G34&lt;&gt;"",Q34),0,-5)+IF(AND(OR(F34&lt;&gt;"",G34&lt;&gt;"",Q34),OR(I34&lt;&gt;"",J34&lt;&gt;"")),2,0))+INT(CharacterLevel)+N34,SAMMechanics),K34+L34+IF(AND(E34="No"),-5,IF(OR(F34&lt;&gt;"",G34&lt;&gt;""),0,-5)+IF(AND(OR(F34&lt;&gt;"",G34&lt;&gt;""),OR(I34&lt;&gt;"",J34&lt;&gt;"")),2,0))+INT(CharacterLevel)+N34)</f>
        <v>#VALUE!</v>
      </c>
      <c r="Q34" s="15" t="b">
        <f>AND(IF(Talents!$M$390&gt;0,TRUE,FALSE),OR(TMechanics="Yes",FMechanics="Yes"))</f>
        <v>0</v>
      </c>
      <c r="R34" s="1647" t="str">
        <f t="shared" ca="1" si="14"/>
        <v/>
      </c>
      <c r="T34" s="16">
        <f>IF(NobleSkill&gt;0,1,0)</f>
        <v>0</v>
      </c>
      <c r="U34" s="16">
        <f>IF(ScoundrelSkill&gt;0,1,0)</f>
        <v>0</v>
      </c>
      <c r="W34" s="16">
        <f>IF(SoldierSkill&gt;0,1,0)</f>
        <v>0</v>
      </c>
      <c r="X34" s="16">
        <f t="shared" si="3"/>
        <v>0</v>
      </c>
      <c r="Z34" s="16">
        <f t="shared" si="4"/>
        <v>0</v>
      </c>
      <c r="AA34" s="16" t="e">
        <f t="shared" ca="1" si="5"/>
        <v>#N/A</v>
      </c>
      <c r="AC34" s="16">
        <f>IF(ConspiracySkill=1,1,0)</f>
        <v>0</v>
      </c>
      <c r="AL34" s="16">
        <f>IF(WidowedSkill=1,1,0)</f>
        <v>0</v>
      </c>
      <c r="AM34" s="16">
        <f>IF(AcademicSkill=1,1,0)</f>
        <v>0</v>
      </c>
      <c r="AP34" s="16">
        <f>IF(ExecutiveSkill=1,1,0)</f>
        <v>0</v>
      </c>
      <c r="AS34" s="16">
        <f>IF(MedicalSkill=1,1,0)</f>
        <v>0</v>
      </c>
      <c r="AU34" s="16">
        <f>IF(PilotSkillBG=1,1,0)</f>
        <v>0</v>
      </c>
      <c r="AW34" s="16">
        <f>IF(TechnologySkill=1,1,0)</f>
        <v>0</v>
      </c>
      <c r="AY34" s="16">
        <f>IF(BakuraSkill=1,1,0)</f>
        <v>0</v>
      </c>
      <c r="BF34" s="16">
        <f>IF(DuroSkill=1,1,0)</f>
        <v>0</v>
      </c>
      <c r="BG34" s="16">
        <f>IF(FondorSkill=1,1,0)</f>
        <v>0</v>
      </c>
      <c r="BV34" s="1620">
        <f t="shared" si="15"/>
        <v>0</v>
      </c>
      <c r="BW34" s="997" t="str">
        <f t="shared" ca="1" si="6"/>
        <v/>
      </c>
      <c r="BX34" s="383" t="str">
        <f t="shared" ca="1" si="7"/>
        <v/>
      </c>
      <c r="BY34" s="1125" t="str">
        <f t="shared" si="16"/>
        <v/>
      </c>
      <c r="BZ34" s="383" t="str">
        <f t="shared" si="17"/>
        <v/>
      </c>
      <c r="CA34" s="26"/>
      <c r="CB34" s="1318" t="str">
        <f t="shared" si="29"/>
        <v/>
      </c>
      <c r="CC34" s="963" t="str">
        <f>CH34</f>
        <v/>
      </c>
      <c r="CD34" s="1553"/>
      <c r="CE34" s="1543"/>
      <c r="CF34" s="29"/>
      <c r="CG34" s="956" t="str">
        <f t="shared" si="10"/>
        <v/>
      </c>
      <c r="CH34" s="956" t="str">
        <f t="shared" si="11"/>
        <v/>
      </c>
      <c r="CK34" s="1125" t="str">
        <f>IF(OR(F34&lt;&gt;"",G34&lt;&gt;""),C34&amp;" "&amp;IF(O34&lt;0,"","+")&amp;O34&amp;IF(NOT(ISERROR(FIND("Yes (worse)",CB34,1)))," (can reroll, but must accept second result)","")&amp;IF(NOT(ISERROR(FIND("Yes (better)",CB34,1)))," (can reroll and take the better result)",""),"")</f>
        <v/>
      </c>
      <c r="CL34" s="718" t="str">
        <f t="shared" si="23"/>
        <v/>
      </c>
      <c r="CP34" s="718"/>
      <c r="CQ34" s="718"/>
      <c r="CR34" s="718"/>
      <c r="CS34" s="718"/>
      <c r="CT34" s="718"/>
      <c r="CU34" s="718"/>
      <c r="CV34" s="718"/>
      <c r="CW34" s="718"/>
      <c r="CX34" s="718"/>
      <c r="CY34" s="1549"/>
      <c r="CZ34" s="979"/>
      <c r="DA34" s="979"/>
      <c r="DB34" s="979"/>
      <c r="DC34" s="979"/>
      <c r="DD34" s="979"/>
      <c r="DE34" s="979"/>
      <c r="DF34" s="979"/>
      <c r="DG34" s="979"/>
      <c r="DH34" s="979"/>
      <c r="DI34" s="979"/>
      <c r="DJ34" s="979"/>
      <c r="DK34" s="979"/>
      <c r="DL34" s="979"/>
      <c r="DM34" s="979"/>
      <c r="DN34" s="979"/>
      <c r="DO34" s="979"/>
      <c r="DP34" s="979"/>
      <c r="DQ34" s="979"/>
      <c r="DR34" s="979"/>
      <c r="DS34" s="979"/>
      <c r="DT34" s="979"/>
      <c r="DU34" s="979"/>
      <c r="DV34" s="979"/>
      <c r="DW34" s="979"/>
      <c r="DX34" s="979"/>
      <c r="DY34" s="979"/>
      <c r="DZ34" s="979"/>
      <c r="EA34" s="979"/>
      <c r="EB34" s="979"/>
      <c r="EC34" s="979"/>
      <c r="ED34" s="979"/>
      <c r="EE34" s="979"/>
      <c r="EF34" s="979"/>
      <c r="EG34" s="979"/>
      <c r="EH34" s="979"/>
      <c r="EI34" s="979"/>
    </row>
    <row r="35" spans="2:139">
      <c r="B35" s="26"/>
      <c r="C35" s="28" t="s">
        <v>876</v>
      </c>
      <c r="D35" s="27" t="s">
        <v>2103</v>
      </c>
      <c r="E35" s="1627" t="str">
        <f t="shared" ca="1" si="28"/>
        <v>No</v>
      </c>
      <c r="F35" s="1085"/>
      <c r="G35" s="1537"/>
      <c r="H35" s="1626"/>
      <c r="I35" s="1633"/>
      <c r="J35" s="1737" t="str">
        <f t="shared" ca="1" si="0"/>
        <v/>
      </c>
      <c r="K35" s="51">
        <v>0</v>
      </c>
      <c r="L35" s="51" t="str">
        <f>INDEX(AbilityScoresTable,MATCH(D35,AbilityScoreList,0),13)</f>
        <v/>
      </c>
      <c r="M35" s="51">
        <f t="shared" si="2"/>
        <v>0</v>
      </c>
      <c r="N35" s="51">
        <f>Bonuses!D52+UtFPenalty</f>
        <v>0</v>
      </c>
      <c r="O35" s="1705">
        <f ca="1">K35+IF(L35&lt;&gt;"",L35,0)+IF(E35="Yes",IF(OR(F35&lt;&gt;"",G35&lt;&gt;""),5,0)+IF(AND(OR(F35&lt;&gt;"",G35&lt;&gt;""),OR(I35&lt;&gt;"",J35&lt;&gt;"")),5,0))+INT(CharacterLevel/2)+N35</f>
        <v>0</v>
      </c>
      <c r="P35" s="1705" t="e">
        <f ca="1">K35+L35+IF(AND(E35="No"),-5,IF(OR(F35&lt;&gt;"",G35&lt;&gt;""),0,-5)+IF(AND(OR(F35&lt;&gt;"",G35&lt;&gt;""),OR(I35&lt;&gt;"",J35&lt;&gt;"")),2,0))+INT(CharacterLevel)+N35</f>
        <v>#VALUE!</v>
      </c>
      <c r="R35" s="1647" t="str">
        <f t="shared" ca="1" si="14"/>
        <v/>
      </c>
      <c r="S35" s="16">
        <f>IF(JediSkill&gt;0,1,0)</f>
        <v>0</v>
      </c>
      <c r="T35" s="16">
        <f ca="1">IF(Feats!$M$123&gt;0,1,0)</f>
        <v>0</v>
      </c>
      <c r="U35" s="16">
        <f ca="1">IF(Feats!$M$123&gt;0,1,0)</f>
        <v>0</v>
      </c>
      <c r="V35" s="16">
        <f ca="1">IF(Feats!$M$123&gt;0,1,0)</f>
        <v>0</v>
      </c>
      <c r="W35" s="16">
        <f ca="1">IF(Feats!$M$123&gt;0,1,0)</f>
        <v>0</v>
      </c>
      <c r="X35" s="16">
        <f ca="1">IF(Feats!$M$123&gt;0,1,0)</f>
        <v>0</v>
      </c>
      <c r="Y35" s="16">
        <f ca="1">IF(Feats!$M$123&gt;0,1,0)</f>
        <v>0</v>
      </c>
      <c r="AA35" s="16" t="e">
        <f t="shared" ca="1" si="5"/>
        <v>#N/A</v>
      </c>
      <c r="BV35" s="1620">
        <f t="shared" si="15"/>
        <v>0</v>
      </c>
      <c r="BW35" s="15" t="str">
        <f t="shared" ca="1" si="6"/>
        <v/>
      </c>
      <c r="BX35" s="383" t="str">
        <f t="shared" ca="1" si="7"/>
        <v/>
      </c>
      <c r="BY35" s="1125" t="str">
        <f t="shared" si="16"/>
        <v/>
      </c>
      <c r="BZ35" s="383" t="str">
        <f t="shared" si="17"/>
        <v/>
      </c>
      <c r="CA35" s="26"/>
      <c r="CB35" s="1318" t="str">
        <f t="shared" si="29"/>
        <v/>
      </c>
      <c r="CC35" s="963" t="str">
        <f>CH35</f>
        <v/>
      </c>
      <c r="CD35" s="1553"/>
      <c r="CE35" s="1543"/>
      <c r="CF35" s="29"/>
      <c r="CG35" s="956" t="str">
        <f t="shared" si="10"/>
        <v/>
      </c>
      <c r="CH35" s="956" t="str">
        <f t="shared" si="11"/>
        <v/>
      </c>
      <c r="CK35" s="960" t="str">
        <f>IF(OR(F35&lt;&gt;"",G35&lt;&gt;""),C35&amp;" "&amp;IF(O35&lt;0,"","+")&amp;O35&amp;IF(NOT(ISERROR(FIND("Yes (worse)",CB35,1)))," (can reroll, but must accept second result)","")&amp;IF(NOT(ISERROR(FIND("Yes (better)",CB35,1)))," (can reroll and take the better result)",""),"")</f>
        <v/>
      </c>
      <c r="CL35" s="718" t="str">
        <f t="shared" si="23"/>
        <v/>
      </c>
      <c r="CP35" s="718"/>
      <c r="CQ35" s="718"/>
      <c r="CR35" s="718"/>
      <c r="CS35" s="718"/>
      <c r="CT35" s="718"/>
      <c r="CU35" s="718"/>
      <c r="CV35" s="718"/>
      <c r="CW35" s="718"/>
      <c r="CX35" s="718"/>
      <c r="CY35" s="1549"/>
      <c r="CZ35" s="979"/>
      <c r="DA35" s="979"/>
      <c r="DB35" s="979"/>
      <c r="DC35" s="979"/>
      <c r="DD35" s="979"/>
      <c r="DE35" s="979"/>
      <c r="DF35" s="979"/>
      <c r="DG35" s="979"/>
      <c r="DH35" s="979"/>
      <c r="DI35" s="979"/>
      <c r="DJ35" s="979"/>
      <c r="DK35" s="979"/>
      <c r="DL35" s="979"/>
      <c r="DM35" s="979"/>
      <c r="DN35" s="979"/>
      <c r="DO35" s="979"/>
      <c r="DP35" s="979"/>
      <c r="DQ35" s="979"/>
      <c r="DR35" s="979"/>
      <c r="DS35" s="979"/>
      <c r="DT35" s="979"/>
      <c r="DU35" s="979"/>
      <c r="DV35" s="979"/>
      <c r="DW35" s="979"/>
      <c r="DX35" s="979"/>
      <c r="DY35" s="979"/>
      <c r="DZ35" s="979"/>
      <c r="EA35" s="979"/>
      <c r="EB35" s="979"/>
      <c r="EC35" s="979"/>
      <c r="ED35" s="979"/>
      <c r="EE35" s="979"/>
      <c r="EF35" s="979"/>
      <c r="EG35" s="979"/>
      <c r="EH35" s="979"/>
      <c r="EI35" s="979"/>
    </row>
    <row r="36" spans="2:139" ht="15" thickBot="1">
      <c r="B36" s="32"/>
      <c r="C36" s="33"/>
      <c r="D36" s="34"/>
      <c r="E36" s="34"/>
      <c r="F36" s="34"/>
      <c r="G36" s="34"/>
      <c r="H36" s="34"/>
      <c r="I36" s="34"/>
      <c r="J36" s="34"/>
      <c r="K36" s="34"/>
      <c r="L36" s="34"/>
      <c r="M36" s="34"/>
      <c r="N36" s="34"/>
      <c r="O36" s="1708"/>
      <c r="P36" s="35"/>
      <c r="BX36" s="383" t="s">
        <v>195</v>
      </c>
      <c r="BY36" s="383"/>
      <c r="BZ36" s="383" t="s">
        <v>195</v>
      </c>
      <c r="CA36" s="32"/>
      <c r="CB36" s="950"/>
      <c r="CC36" s="950"/>
      <c r="CD36" s="1551"/>
      <c r="CE36" s="1551"/>
      <c r="CF36" s="35"/>
      <c r="CL36" s="383" t="s">
        <v>195</v>
      </c>
      <c r="CP36" s="718"/>
      <c r="CQ36" s="718"/>
      <c r="CR36" s="718"/>
      <c r="CS36" s="718"/>
      <c r="CT36" s="718"/>
      <c r="CU36" s="718"/>
      <c r="CV36" s="718"/>
      <c r="CW36" s="718"/>
      <c r="CX36" s="718"/>
      <c r="CY36" s="1549"/>
      <c r="CZ36" s="979"/>
      <c r="DA36" s="979"/>
      <c r="DB36" s="979"/>
      <c r="DC36" s="979"/>
      <c r="DD36" s="979"/>
      <c r="DE36" s="979"/>
      <c r="DF36" s="979"/>
      <c r="DG36" s="979"/>
      <c r="DH36" s="979"/>
      <c r="DI36" s="979"/>
      <c r="DJ36" s="979"/>
      <c r="DK36" s="979"/>
      <c r="DL36" s="979"/>
      <c r="DM36" s="979"/>
      <c r="DN36" s="979"/>
      <c r="DO36" s="979"/>
      <c r="DP36" s="979"/>
      <c r="DQ36" s="979"/>
      <c r="DR36" s="979"/>
      <c r="DS36" s="979"/>
      <c r="DT36" s="979"/>
      <c r="DU36" s="979"/>
      <c r="DV36" s="979"/>
      <c r="DW36" s="979"/>
      <c r="DX36" s="979"/>
      <c r="DY36" s="979"/>
      <c r="DZ36" s="979"/>
      <c r="EA36" s="979"/>
      <c r="EB36" s="979"/>
      <c r="EC36" s="979"/>
      <c r="ED36" s="979"/>
      <c r="EE36" s="979"/>
      <c r="EF36" s="979"/>
      <c r="EG36" s="979"/>
      <c r="EH36" s="979"/>
      <c r="EI36" s="979"/>
    </row>
    <row r="37" spans="2:139" s="15" customFormat="1">
      <c r="D37" s="16"/>
      <c r="E37" s="16"/>
      <c r="F37" s="16"/>
      <c r="G37" s="16"/>
      <c r="H37" s="16"/>
      <c r="I37" s="16"/>
      <c r="J37" s="16"/>
      <c r="K37" s="16"/>
      <c r="L37" s="16"/>
      <c r="M37" s="16"/>
      <c r="N37" s="16"/>
      <c r="O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20"/>
      <c r="BY37" s="1125"/>
      <c r="BZ37" s="1125"/>
      <c r="CD37" s="1549"/>
      <c r="CE37" s="1549"/>
      <c r="CY37" s="1549"/>
      <c r="CZ37" s="979"/>
      <c r="DA37" s="979"/>
      <c r="DB37" s="979"/>
      <c r="DC37" s="979"/>
      <c r="DD37" s="979"/>
      <c r="DE37" s="979"/>
      <c r="DF37" s="979"/>
      <c r="DG37" s="979"/>
      <c r="DH37" s="979"/>
      <c r="DI37" s="979"/>
      <c r="DJ37" s="979"/>
      <c r="DK37" s="979"/>
      <c r="DL37" s="979"/>
      <c r="DM37" s="979"/>
      <c r="DN37" s="979"/>
      <c r="DO37" s="979"/>
      <c r="DP37" s="979"/>
      <c r="DQ37" s="979"/>
      <c r="DR37" s="979"/>
      <c r="DS37" s="979"/>
      <c r="DT37" s="979"/>
      <c r="DU37" s="979"/>
      <c r="DV37" s="979"/>
      <c r="DW37" s="979"/>
      <c r="DX37" s="979"/>
      <c r="DY37" s="979"/>
      <c r="DZ37" s="979"/>
      <c r="EA37" s="979"/>
      <c r="EB37" s="979"/>
      <c r="EC37" s="979"/>
      <c r="ED37" s="979"/>
      <c r="EE37" s="979"/>
      <c r="EF37" s="979"/>
      <c r="EG37" s="979"/>
      <c r="EH37" s="979"/>
      <c r="EI37" s="979"/>
    </row>
    <row r="38" spans="2:139" s="15" customFormat="1">
      <c r="D38" s="16"/>
      <c r="E38" s="16"/>
      <c r="F38" s="16"/>
      <c r="G38" s="16"/>
      <c r="H38" s="16"/>
      <c r="I38" s="16"/>
      <c r="J38" s="16"/>
      <c r="K38" s="16"/>
      <c r="L38" s="16"/>
      <c r="M38" s="16"/>
      <c r="N38" s="16"/>
      <c r="O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20"/>
      <c r="BY38" s="1125"/>
      <c r="BZ38" s="1125"/>
      <c r="CD38" s="1549"/>
      <c r="CE38" s="1549"/>
      <c r="CY38" s="1549"/>
      <c r="CZ38" s="979"/>
      <c r="DA38" s="979"/>
      <c r="DB38" s="979"/>
      <c r="DC38" s="979"/>
      <c r="DD38" s="979"/>
      <c r="DE38" s="979"/>
      <c r="DF38" s="979"/>
      <c r="DG38" s="979"/>
      <c r="DH38" s="979"/>
      <c r="DI38" s="979"/>
      <c r="DJ38" s="979"/>
      <c r="DK38" s="979"/>
      <c r="DL38" s="979"/>
      <c r="DM38" s="979"/>
      <c r="DN38" s="979"/>
      <c r="DO38" s="979"/>
      <c r="DP38" s="979"/>
      <c r="DQ38" s="979"/>
      <c r="DR38" s="979"/>
      <c r="DS38" s="979"/>
      <c r="DT38" s="979"/>
      <c r="DU38" s="979"/>
      <c r="DV38" s="979"/>
      <c r="DW38" s="979"/>
      <c r="DX38" s="979"/>
      <c r="DY38" s="979"/>
      <c r="DZ38" s="979"/>
      <c r="EA38" s="979"/>
      <c r="EB38" s="979"/>
      <c r="EC38" s="979"/>
      <c r="ED38" s="979"/>
      <c r="EE38" s="979"/>
      <c r="EF38" s="979"/>
      <c r="EG38" s="979"/>
      <c r="EH38" s="979"/>
      <c r="EI38" s="979"/>
    </row>
    <row r="39" spans="2:139" s="15" customFormat="1">
      <c r="D39" s="16"/>
      <c r="E39" s="16"/>
      <c r="F39" s="16"/>
      <c r="G39" s="16"/>
      <c r="H39" s="16"/>
      <c r="I39" s="16"/>
      <c r="J39" s="16"/>
      <c r="K39" s="16"/>
      <c r="L39" s="16"/>
      <c r="M39" s="16"/>
      <c r="N39" s="16"/>
      <c r="O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20"/>
      <c r="BY39" s="1125"/>
      <c r="BZ39" s="1125"/>
      <c r="CD39" s="1549"/>
      <c r="CE39" s="1549"/>
      <c r="CY39" s="1549"/>
      <c r="CZ39" s="979"/>
      <c r="DA39" s="979"/>
      <c r="DB39" s="979"/>
      <c r="DC39" s="979"/>
      <c r="DD39" s="979"/>
      <c r="DE39" s="979"/>
      <c r="DF39" s="979"/>
      <c r="DG39" s="979"/>
      <c r="DH39" s="979"/>
      <c r="DI39" s="979"/>
      <c r="DJ39" s="979"/>
      <c r="DK39" s="979"/>
      <c r="DL39" s="979"/>
      <c r="DM39" s="979"/>
      <c r="DN39" s="979"/>
      <c r="DO39" s="979"/>
      <c r="DP39" s="979"/>
      <c r="DQ39" s="979"/>
      <c r="DR39" s="979"/>
      <c r="DS39" s="979"/>
      <c r="DT39" s="979"/>
      <c r="DU39" s="979"/>
      <c r="DV39" s="979"/>
      <c r="DW39" s="979"/>
      <c r="DX39" s="979"/>
      <c r="DY39" s="979"/>
      <c r="DZ39" s="979"/>
      <c r="EA39" s="979"/>
      <c r="EB39" s="979"/>
      <c r="EC39" s="979"/>
      <c r="ED39" s="979"/>
      <c r="EE39" s="979"/>
      <c r="EF39" s="979"/>
      <c r="EG39" s="979"/>
      <c r="EH39" s="979"/>
      <c r="EI39" s="979"/>
    </row>
    <row r="40" spans="2:139" s="15" customFormat="1">
      <c r="D40" s="16"/>
      <c r="E40" s="16"/>
      <c r="F40" s="16"/>
      <c r="G40" s="16"/>
      <c r="H40" s="16"/>
      <c r="I40" s="16"/>
      <c r="J40" s="16"/>
      <c r="K40" s="16"/>
      <c r="L40" s="16"/>
      <c r="M40" s="16"/>
      <c r="N40" s="16"/>
      <c r="O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20"/>
      <c r="BY40" s="1125"/>
      <c r="BZ40" s="1125"/>
      <c r="CD40" s="1549"/>
      <c r="CE40" s="1549"/>
      <c r="CY40" s="1549"/>
      <c r="CZ40" s="979"/>
      <c r="DA40" s="979"/>
      <c r="DB40" s="979"/>
      <c r="DC40" s="979"/>
      <c r="DD40" s="979"/>
      <c r="DE40" s="979"/>
      <c r="DF40" s="979"/>
      <c r="DG40" s="979"/>
      <c r="DH40" s="979"/>
      <c r="DI40" s="979"/>
      <c r="DJ40" s="979"/>
      <c r="DK40" s="979"/>
      <c r="DL40" s="979"/>
      <c r="DM40" s="979"/>
      <c r="DN40" s="979"/>
      <c r="DO40" s="979"/>
      <c r="DP40" s="979"/>
      <c r="DQ40" s="979"/>
      <c r="DR40" s="979"/>
      <c r="DS40" s="979"/>
      <c r="DT40" s="979"/>
      <c r="DU40" s="979"/>
      <c r="DV40" s="979"/>
      <c r="DW40" s="979"/>
      <c r="DX40" s="979"/>
      <c r="DY40" s="979"/>
      <c r="DZ40" s="979"/>
      <c r="EA40" s="979"/>
      <c r="EB40" s="979"/>
      <c r="EC40" s="979"/>
      <c r="ED40" s="979"/>
      <c r="EE40" s="979"/>
      <c r="EF40" s="979"/>
      <c r="EG40" s="979"/>
      <c r="EH40" s="979"/>
      <c r="EI40" s="979"/>
    </row>
    <row r="41" spans="2:139" s="15" customFormat="1">
      <c r="D41" s="16"/>
      <c r="E41" s="16"/>
      <c r="F41" s="16"/>
      <c r="G41" s="16"/>
      <c r="H41" s="16"/>
      <c r="I41" s="16"/>
      <c r="J41" s="16"/>
      <c r="K41" s="16"/>
      <c r="L41" s="16"/>
      <c r="M41" s="16"/>
      <c r="N41" s="16"/>
      <c r="O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20"/>
      <c r="BY41" s="1125"/>
      <c r="BZ41" s="1125"/>
      <c r="CD41" s="1549"/>
      <c r="CE41" s="1549"/>
      <c r="CY41" s="1549"/>
      <c r="CZ41" s="979"/>
      <c r="DA41" s="979"/>
      <c r="DB41" s="979"/>
      <c r="DC41" s="979"/>
      <c r="DD41" s="979"/>
      <c r="DE41" s="979"/>
      <c r="DF41" s="979"/>
      <c r="DG41" s="979"/>
      <c r="DH41" s="979"/>
      <c r="DI41" s="979"/>
      <c r="DJ41" s="979"/>
      <c r="DK41" s="979"/>
      <c r="DL41" s="979"/>
      <c r="DM41" s="979"/>
      <c r="DN41" s="979"/>
      <c r="DO41" s="979"/>
      <c r="DP41" s="979"/>
      <c r="DQ41" s="979"/>
      <c r="DR41" s="979"/>
      <c r="DS41" s="979"/>
      <c r="DT41" s="979"/>
      <c r="DU41" s="979"/>
      <c r="DV41" s="979"/>
      <c r="DW41" s="979"/>
      <c r="DX41" s="979"/>
      <c r="DY41" s="979"/>
      <c r="DZ41" s="979"/>
      <c r="EA41" s="979"/>
      <c r="EB41" s="979"/>
      <c r="EC41" s="979"/>
      <c r="ED41" s="979"/>
      <c r="EE41" s="979"/>
      <c r="EF41" s="979"/>
      <c r="EG41" s="979"/>
      <c r="EH41" s="979"/>
      <c r="EI41" s="979"/>
    </row>
    <row r="42" spans="2:139" s="15" customFormat="1">
      <c r="D42" s="16"/>
      <c r="E42" s="16"/>
      <c r="F42" s="16"/>
      <c r="G42" s="16"/>
      <c r="H42" s="16"/>
      <c r="I42" s="16"/>
      <c r="J42" s="16"/>
      <c r="K42" s="16"/>
      <c r="L42" s="16"/>
      <c r="M42" s="16"/>
      <c r="N42" s="16"/>
      <c r="O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20"/>
      <c r="BY42" s="1125"/>
      <c r="BZ42" s="1125"/>
      <c r="CD42" s="1549"/>
      <c r="CE42" s="1549"/>
      <c r="CY42" s="1549"/>
      <c r="CZ42" s="979"/>
      <c r="DA42" s="979"/>
      <c r="DB42" s="979"/>
      <c r="DC42" s="979"/>
      <c r="DD42" s="979"/>
      <c r="DE42" s="979"/>
      <c r="DF42" s="979"/>
      <c r="DG42" s="979"/>
      <c r="DH42" s="979"/>
      <c r="DI42" s="979"/>
      <c r="DJ42" s="979"/>
      <c r="DK42" s="979"/>
      <c r="DL42" s="979"/>
      <c r="DM42" s="979"/>
      <c r="DN42" s="979"/>
      <c r="DO42" s="979"/>
      <c r="DP42" s="979"/>
      <c r="DQ42" s="979"/>
      <c r="DR42" s="979"/>
      <c r="DS42" s="979"/>
      <c r="DT42" s="979"/>
      <c r="DU42" s="979"/>
      <c r="DV42" s="979"/>
      <c r="DW42" s="979"/>
      <c r="DX42" s="979"/>
      <c r="DY42" s="979"/>
      <c r="DZ42" s="979"/>
      <c r="EA42" s="979"/>
      <c r="EB42" s="979"/>
      <c r="EC42" s="979"/>
      <c r="ED42" s="979"/>
      <c r="EE42" s="979"/>
      <c r="EF42" s="979"/>
      <c r="EG42" s="979"/>
      <c r="EH42" s="979"/>
      <c r="EI42" s="979"/>
    </row>
    <row r="43" spans="2:139" s="15" customFormat="1">
      <c r="D43" s="16"/>
      <c r="E43" s="16"/>
      <c r="F43" s="16"/>
      <c r="G43" s="16"/>
      <c r="H43" s="16"/>
      <c r="I43" s="16"/>
      <c r="J43" s="16"/>
      <c r="K43" s="16"/>
      <c r="L43" s="16"/>
      <c r="M43" s="16"/>
      <c r="N43" s="16"/>
      <c r="O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20"/>
      <c r="BY43" s="1125"/>
      <c r="BZ43" s="1125"/>
      <c r="CD43" s="1549"/>
      <c r="CE43" s="1549"/>
      <c r="CY43" s="1549"/>
      <c r="CZ43" s="979"/>
      <c r="DA43" s="979"/>
      <c r="DB43" s="979"/>
      <c r="DC43" s="979"/>
      <c r="DD43" s="979"/>
      <c r="DE43" s="979"/>
      <c r="DF43" s="979"/>
      <c r="DG43" s="979"/>
      <c r="DH43" s="979"/>
      <c r="DI43" s="979"/>
      <c r="DJ43" s="979"/>
      <c r="DK43" s="979"/>
      <c r="DL43" s="979"/>
      <c r="DM43" s="979"/>
      <c r="DN43" s="979"/>
      <c r="DO43" s="979"/>
      <c r="DP43" s="979"/>
      <c r="DQ43" s="979"/>
      <c r="DR43" s="979"/>
      <c r="DS43" s="979"/>
      <c r="DT43" s="979"/>
      <c r="DU43" s="979"/>
      <c r="DV43" s="979"/>
      <c r="DW43" s="979"/>
      <c r="DX43" s="979"/>
      <c r="DY43" s="979"/>
      <c r="DZ43" s="979"/>
      <c r="EA43" s="979"/>
      <c r="EB43" s="979"/>
      <c r="EC43" s="979"/>
      <c r="ED43" s="979"/>
      <c r="EE43" s="979"/>
      <c r="EF43" s="979"/>
      <c r="EG43" s="979"/>
      <c r="EH43" s="979"/>
      <c r="EI43" s="979"/>
    </row>
    <row r="44" spans="2:139" s="15" customFormat="1">
      <c r="D44" s="16"/>
      <c r="E44" s="16"/>
      <c r="F44" s="16"/>
      <c r="G44" s="16"/>
      <c r="H44" s="16"/>
      <c r="I44" s="16"/>
      <c r="J44" s="16"/>
      <c r="K44" s="16"/>
      <c r="L44" s="16"/>
      <c r="M44" s="16"/>
      <c r="N44" s="16"/>
      <c r="O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20"/>
      <c r="BY44" s="1125"/>
      <c r="BZ44" s="1125"/>
      <c r="CD44" s="1549"/>
      <c r="CE44" s="1549"/>
      <c r="CY44" s="1549"/>
      <c r="CZ44" s="979"/>
      <c r="DA44" s="979"/>
      <c r="DB44" s="979"/>
      <c r="DC44" s="979"/>
      <c r="DD44" s="979"/>
      <c r="DE44" s="979"/>
      <c r="DF44" s="979"/>
      <c r="DG44" s="979"/>
      <c r="DH44" s="979"/>
      <c r="DI44" s="979"/>
      <c r="DJ44" s="979"/>
      <c r="DK44" s="979"/>
      <c r="DL44" s="979"/>
      <c r="DM44" s="979"/>
      <c r="DN44" s="979"/>
      <c r="DO44" s="979"/>
      <c r="DP44" s="979"/>
      <c r="DQ44" s="979"/>
      <c r="DR44" s="979"/>
      <c r="DS44" s="979"/>
      <c r="DT44" s="979"/>
      <c r="DU44" s="979"/>
      <c r="DV44" s="979"/>
      <c r="DW44" s="979"/>
      <c r="DX44" s="979"/>
      <c r="DY44" s="979"/>
      <c r="DZ44" s="979"/>
      <c r="EA44" s="979"/>
      <c r="EB44" s="979"/>
      <c r="EC44" s="979"/>
      <c r="ED44" s="979"/>
      <c r="EE44" s="979"/>
      <c r="EF44" s="979"/>
      <c r="EG44" s="979"/>
      <c r="EH44" s="979"/>
      <c r="EI44" s="979"/>
    </row>
    <row r="45" spans="2:139" s="15" customFormat="1">
      <c r="D45" s="16"/>
      <c r="E45" s="16"/>
      <c r="F45" s="16"/>
      <c r="G45" s="16"/>
      <c r="H45" s="16"/>
      <c r="I45" s="16"/>
      <c r="J45" s="16"/>
      <c r="K45" s="16"/>
      <c r="L45" s="16"/>
      <c r="M45" s="16"/>
      <c r="N45" s="16"/>
      <c r="O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20"/>
      <c r="BY45" s="1125"/>
      <c r="BZ45" s="1125"/>
      <c r="CD45" s="1549"/>
      <c r="CE45" s="1549"/>
      <c r="CY45" s="1549"/>
      <c r="CZ45" s="979"/>
      <c r="DA45" s="979"/>
      <c r="DB45" s="979"/>
      <c r="DC45" s="979"/>
      <c r="DD45" s="979"/>
      <c r="DE45" s="979"/>
      <c r="DF45" s="979"/>
      <c r="DG45" s="979"/>
      <c r="DH45" s="979"/>
      <c r="DI45" s="979"/>
      <c r="DJ45" s="979"/>
      <c r="DK45" s="979"/>
      <c r="DL45" s="979"/>
      <c r="DM45" s="979"/>
      <c r="DN45" s="979"/>
      <c r="DO45" s="979"/>
      <c r="DP45" s="979"/>
      <c r="DQ45" s="979"/>
      <c r="DR45" s="979"/>
      <c r="DS45" s="979"/>
      <c r="DT45" s="979"/>
      <c r="DU45" s="979"/>
      <c r="DV45" s="979"/>
      <c r="DW45" s="979"/>
      <c r="DX45" s="979"/>
      <c r="DY45" s="979"/>
      <c r="DZ45" s="979"/>
      <c r="EA45" s="979"/>
      <c r="EB45" s="979"/>
      <c r="EC45" s="979"/>
      <c r="ED45" s="979"/>
      <c r="EE45" s="979"/>
      <c r="EF45" s="979"/>
      <c r="EG45" s="979"/>
      <c r="EH45" s="979"/>
      <c r="EI45" s="979"/>
    </row>
    <row r="46" spans="2:139" s="15" customFormat="1">
      <c r="D46" s="16"/>
      <c r="E46" s="16"/>
      <c r="F46" s="16"/>
      <c r="G46" s="16"/>
      <c r="H46" s="16"/>
      <c r="I46" s="16"/>
      <c r="J46" s="16"/>
      <c r="K46" s="16"/>
      <c r="L46" s="16"/>
      <c r="M46" s="16"/>
      <c r="N46" s="16"/>
      <c r="O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20"/>
      <c r="BY46" s="1125"/>
      <c r="BZ46" s="1125"/>
      <c r="CD46" s="1549"/>
      <c r="CE46" s="1549"/>
      <c r="CY46" s="1549"/>
      <c r="CZ46" s="979"/>
      <c r="DA46" s="979"/>
      <c r="DB46" s="979"/>
      <c r="DC46" s="979"/>
      <c r="DD46" s="979"/>
      <c r="DE46" s="979"/>
      <c r="DF46" s="979"/>
      <c r="DG46" s="979"/>
      <c r="DH46" s="979"/>
      <c r="DI46" s="979"/>
      <c r="DJ46" s="979"/>
      <c r="DK46" s="979"/>
      <c r="DL46" s="979"/>
      <c r="DM46" s="979"/>
      <c r="DN46" s="979"/>
      <c r="DO46" s="979"/>
      <c r="DP46" s="979"/>
      <c r="DQ46" s="979"/>
      <c r="DR46" s="979"/>
      <c r="DS46" s="979"/>
      <c r="DT46" s="979"/>
      <c r="DU46" s="979"/>
      <c r="DV46" s="979"/>
      <c r="DW46" s="979"/>
      <c r="DX46" s="979"/>
      <c r="DY46" s="979"/>
      <c r="DZ46" s="979"/>
      <c r="EA46" s="979"/>
      <c r="EB46" s="979"/>
      <c r="EC46" s="979"/>
      <c r="ED46" s="979"/>
      <c r="EE46" s="979"/>
      <c r="EF46" s="979"/>
      <c r="EG46" s="979"/>
      <c r="EH46" s="979"/>
      <c r="EI46" s="979"/>
    </row>
    <row r="47" spans="2:139" s="15" customFormat="1">
      <c r="D47" s="16"/>
      <c r="E47" s="16"/>
      <c r="F47" s="16"/>
      <c r="G47" s="16"/>
      <c r="H47" s="16"/>
      <c r="I47" s="16"/>
      <c r="J47" s="16"/>
      <c r="K47" s="16"/>
      <c r="L47" s="16"/>
      <c r="M47" s="16"/>
      <c r="N47" s="16"/>
      <c r="O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20"/>
      <c r="BY47" s="1125"/>
      <c r="BZ47" s="1125"/>
      <c r="CD47" s="1549"/>
      <c r="CE47" s="1549"/>
      <c r="CY47" s="1549"/>
      <c r="CZ47" s="979"/>
      <c r="DA47" s="979"/>
      <c r="DB47" s="979"/>
      <c r="DC47" s="979"/>
      <c r="DD47" s="979"/>
      <c r="DE47" s="979"/>
      <c r="DF47" s="979"/>
      <c r="DG47" s="979"/>
      <c r="DH47" s="979"/>
      <c r="DI47" s="979"/>
      <c r="DJ47" s="979"/>
      <c r="DK47" s="979"/>
      <c r="DL47" s="979"/>
      <c r="DM47" s="979"/>
      <c r="DN47" s="979"/>
      <c r="DO47" s="979"/>
      <c r="DP47" s="979"/>
      <c r="DQ47" s="979"/>
      <c r="DR47" s="979"/>
      <c r="DS47" s="979"/>
      <c r="DT47" s="979"/>
      <c r="DU47" s="979"/>
      <c r="DV47" s="979"/>
      <c r="DW47" s="979"/>
      <c r="DX47" s="979"/>
      <c r="DY47" s="979"/>
      <c r="DZ47" s="979"/>
      <c r="EA47" s="979"/>
      <c r="EB47" s="979"/>
      <c r="EC47" s="979"/>
      <c r="ED47" s="979"/>
      <c r="EE47" s="979"/>
      <c r="EF47" s="979"/>
      <c r="EG47" s="979"/>
      <c r="EH47" s="979"/>
      <c r="EI47" s="979"/>
    </row>
    <row r="48" spans="2:139" s="15" customFormat="1">
      <c r="D48" s="16"/>
      <c r="E48" s="16"/>
      <c r="F48" s="16"/>
      <c r="G48" s="16"/>
      <c r="H48" s="16"/>
      <c r="I48" s="16"/>
      <c r="J48" s="16"/>
      <c r="K48" s="16"/>
      <c r="L48" s="16"/>
      <c r="M48" s="16"/>
      <c r="N48" s="16"/>
      <c r="O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20"/>
      <c r="BY48" s="1125"/>
      <c r="BZ48" s="1125"/>
      <c r="CD48" s="1549"/>
      <c r="CE48" s="1549"/>
      <c r="CY48" s="1549"/>
      <c r="CZ48" s="979"/>
      <c r="DA48" s="979"/>
      <c r="DB48" s="979"/>
      <c r="DC48" s="979"/>
      <c r="DD48" s="979"/>
      <c r="DE48" s="979"/>
      <c r="DF48" s="979"/>
      <c r="DG48" s="979"/>
      <c r="DH48" s="979"/>
      <c r="DI48" s="979"/>
      <c r="DJ48" s="979"/>
      <c r="DK48" s="979"/>
      <c r="DL48" s="979"/>
      <c r="DM48" s="979"/>
      <c r="DN48" s="979"/>
      <c r="DO48" s="979"/>
      <c r="DP48" s="979"/>
      <c r="DQ48" s="979"/>
      <c r="DR48" s="979"/>
      <c r="DS48" s="979"/>
      <c r="DT48" s="979"/>
      <c r="DU48" s="979"/>
      <c r="DV48" s="979"/>
      <c r="DW48" s="979"/>
      <c r="DX48" s="979"/>
      <c r="DY48" s="979"/>
      <c r="DZ48" s="979"/>
      <c r="EA48" s="979"/>
      <c r="EB48" s="979"/>
      <c r="EC48" s="979"/>
      <c r="ED48" s="979"/>
      <c r="EE48" s="979"/>
      <c r="EF48" s="979"/>
      <c r="EG48" s="979"/>
      <c r="EH48" s="979"/>
      <c r="EI48" s="979"/>
    </row>
    <row r="49" spans="4:139" s="15" customFormat="1">
      <c r="D49" s="16"/>
      <c r="E49" s="16"/>
      <c r="F49" s="16"/>
      <c r="G49" s="16"/>
      <c r="H49" s="16"/>
      <c r="I49" s="16"/>
      <c r="J49" s="16"/>
      <c r="K49" s="16"/>
      <c r="L49" s="16"/>
      <c r="M49" s="16"/>
      <c r="N49" s="16"/>
      <c r="O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20"/>
      <c r="BY49" s="1125"/>
      <c r="BZ49" s="1125"/>
      <c r="CD49" s="1549"/>
      <c r="CE49" s="1549"/>
      <c r="CY49" s="1549"/>
      <c r="CZ49" s="979"/>
      <c r="DA49" s="979"/>
      <c r="DB49" s="979"/>
      <c r="DC49" s="979"/>
      <c r="DD49" s="979"/>
      <c r="DE49" s="979"/>
      <c r="DF49" s="979"/>
      <c r="DG49" s="979"/>
      <c r="DH49" s="979"/>
      <c r="DI49" s="979"/>
      <c r="DJ49" s="979"/>
      <c r="DK49" s="979"/>
      <c r="DL49" s="979"/>
      <c r="DM49" s="979"/>
      <c r="DN49" s="979"/>
      <c r="DO49" s="979"/>
      <c r="DP49" s="979"/>
      <c r="DQ49" s="979"/>
      <c r="DR49" s="979"/>
      <c r="DS49" s="979"/>
      <c r="DT49" s="979"/>
      <c r="DU49" s="979"/>
      <c r="DV49" s="979"/>
      <c r="DW49" s="979"/>
      <c r="DX49" s="979"/>
      <c r="DY49" s="979"/>
      <c r="DZ49" s="979"/>
      <c r="EA49" s="979"/>
      <c r="EB49" s="979"/>
      <c r="EC49" s="979"/>
      <c r="ED49" s="979"/>
      <c r="EE49" s="979"/>
      <c r="EF49" s="979"/>
      <c r="EG49" s="979"/>
      <c r="EH49" s="979"/>
      <c r="EI49" s="979"/>
    </row>
    <row r="50" spans="4:139" s="15" customFormat="1">
      <c r="D50" s="16"/>
      <c r="E50" s="16"/>
      <c r="F50" s="16"/>
      <c r="G50" s="16"/>
      <c r="H50" s="16"/>
      <c r="I50" s="16"/>
      <c r="J50" s="16"/>
      <c r="K50" s="16"/>
      <c r="L50" s="16"/>
      <c r="M50" s="16"/>
      <c r="N50" s="16"/>
      <c r="O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20"/>
      <c r="BY50" s="1125"/>
      <c r="BZ50" s="1125"/>
      <c r="CD50" s="1549"/>
      <c r="CE50" s="1549"/>
      <c r="CY50" s="1549"/>
      <c r="CZ50" s="979"/>
      <c r="DA50" s="979"/>
      <c r="DB50" s="979"/>
      <c r="DC50" s="979"/>
      <c r="DD50" s="979"/>
      <c r="DE50" s="979"/>
      <c r="DF50" s="979"/>
      <c r="DG50" s="979"/>
      <c r="DH50" s="979"/>
      <c r="DI50" s="979"/>
      <c r="DJ50" s="979"/>
      <c r="DK50" s="979"/>
      <c r="DL50" s="979"/>
      <c r="DM50" s="979"/>
      <c r="DN50" s="979"/>
      <c r="DO50" s="979"/>
      <c r="DP50" s="979"/>
      <c r="DQ50" s="979"/>
      <c r="DR50" s="979"/>
      <c r="DS50" s="979"/>
      <c r="DT50" s="979"/>
      <c r="DU50" s="979"/>
      <c r="DV50" s="979"/>
      <c r="DW50" s="979"/>
      <c r="DX50" s="979"/>
      <c r="DY50" s="979"/>
      <c r="DZ50" s="979"/>
      <c r="EA50" s="979"/>
      <c r="EB50" s="979"/>
      <c r="EC50" s="979"/>
      <c r="ED50" s="979"/>
      <c r="EE50" s="979"/>
      <c r="EF50" s="979"/>
      <c r="EG50" s="979"/>
      <c r="EH50" s="979"/>
      <c r="EI50" s="979"/>
    </row>
    <row r="51" spans="4:139" s="15" customFormat="1">
      <c r="D51" s="16"/>
      <c r="E51" s="16"/>
      <c r="F51" s="16"/>
      <c r="G51" s="16"/>
      <c r="H51" s="16"/>
      <c r="I51" s="16"/>
      <c r="J51" s="16"/>
      <c r="K51" s="16"/>
      <c r="L51" s="16"/>
      <c r="M51" s="16"/>
      <c r="N51" s="16"/>
      <c r="O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20"/>
      <c r="BY51" s="1125"/>
      <c r="BZ51" s="1125"/>
      <c r="CD51" s="1549"/>
      <c r="CE51" s="1549"/>
      <c r="CY51" s="1549"/>
      <c r="CZ51" s="979"/>
      <c r="DA51" s="979"/>
      <c r="DB51" s="979"/>
      <c r="DC51" s="979"/>
      <c r="DD51" s="979"/>
      <c r="DE51" s="979"/>
      <c r="DF51" s="979"/>
      <c r="DG51" s="979"/>
      <c r="DH51" s="979"/>
      <c r="DI51" s="979"/>
      <c r="DJ51" s="979"/>
      <c r="DK51" s="979"/>
      <c r="DL51" s="979"/>
      <c r="DM51" s="979"/>
      <c r="DN51" s="979"/>
      <c r="DO51" s="979"/>
      <c r="DP51" s="979"/>
      <c r="DQ51" s="979"/>
      <c r="DR51" s="979"/>
      <c r="DS51" s="979"/>
      <c r="DT51" s="979"/>
      <c r="DU51" s="979"/>
      <c r="DV51" s="979"/>
      <c r="DW51" s="979"/>
      <c r="DX51" s="979"/>
      <c r="DY51" s="979"/>
      <c r="DZ51" s="979"/>
      <c r="EA51" s="979"/>
      <c r="EB51" s="979"/>
      <c r="EC51" s="979"/>
      <c r="ED51" s="979"/>
      <c r="EE51" s="979"/>
      <c r="EF51" s="979"/>
      <c r="EG51" s="979"/>
      <c r="EH51" s="979"/>
      <c r="EI51" s="979"/>
    </row>
    <row r="52" spans="4:139" s="15" customFormat="1">
      <c r="D52" s="16"/>
      <c r="E52" s="16"/>
      <c r="F52" s="16"/>
      <c r="G52" s="16"/>
      <c r="H52" s="16"/>
      <c r="I52" s="16"/>
      <c r="J52" s="16"/>
      <c r="K52" s="16"/>
      <c r="L52" s="16"/>
      <c r="M52" s="16"/>
      <c r="N52" s="16"/>
      <c r="O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20"/>
      <c r="BY52" s="1125"/>
      <c r="BZ52" s="1125"/>
      <c r="CD52" s="1549"/>
      <c r="CE52" s="1549"/>
      <c r="CY52" s="1549"/>
      <c r="CZ52" s="979"/>
      <c r="DA52" s="979"/>
      <c r="DB52" s="979"/>
      <c r="DC52" s="979"/>
      <c r="DD52" s="979"/>
      <c r="DE52" s="979"/>
      <c r="DF52" s="979"/>
      <c r="DG52" s="979"/>
      <c r="DH52" s="979"/>
      <c r="DI52" s="979"/>
      <c r="DJ52" s="979"/>
      <c r="DK52" s="979"/>
      <c r="DL52" s="979"/>
      <c r="DM52" s="979"/>
      <c r="DN52" s="979"/>
      <c r="DO52" s="979"/>
      <c r="DP52" s="979"/>
      <c r="DQ52" s="979"/>
      <c r="DR52" s="979"/>
      <c r="DS52" s="979"/>
      <c r="DT52" s="979"/>
      <c r="DU52" s="979"/>
      <c r="DV52" s="979"/>
      <c r="DW52" s="979"/>
      <c r="DX52" s="979"/>
      <c r="DY52" s="979"/>
      <c r="DZ52" s="979"/>
      <c r="EA52" s="979"/>
      <c r="EB52" s="979"/>
      <c r="EC52" s="979"/>
      <c r="ED52" s="979"/>
      <c r="EE52" s="979"/>
      <c r="EF52" s="979"/>
      <c r="EG52" s="979"/>
      <c r="EH52" s="979"/>
      <c r="EI52" s="979"/>
    </row>
    <row r="53" spans="4:139" s="15" customFormat="1">
      <c r="D53" s="16"/>
      <c r="E53" s="16"/>
      <c r="F53" s="16"/>
      <c r="G53" s="16"/>
      <c r="H53" s="16"/>
      <c r="I53" s="16"/>
      <c r="J53" s="16"/>
      <c r="K53" s="16"/>
      <c r="L53" s="16"/>
      <c r="M53" s="16"/>
      <c r="N53" s="16"/>
      <c r="O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20"/>
      <c r="BY53" s="1125"/>
      <c r="BZ53" s="1125"/>
      <c r="CD53" s="1549"/>
      <c r="CE53" s="1549"/>
      <c r="CY53" s="1549"/>
      <c r="CZ53" s="979"/>
      <c r="DA53" s="979"/>
      <c r="DB53" s="979"/>
      <c r="DC53" s="979"/>
      <c r="DD53" s="979"/>
      <c r="DE53" s="979"/>
      <c r="DF53" s="979"/>
      <c r="DG53" s="979"/>
      <c r="DH53" s="979"/>
      <c r="DI53" s="979"/>
      <c r="DJ53" s="979"/>
      <c r="DK53" s="979"/>
      <c r="DL53" s="979"/>
      <c r="DM53" s="979"/>
      <c r="DN53" s="979"/>
      <c r="DO53" s="979"/>
      <c r="DP53" s="979"/>
      <c r="DQ53" s="979"/>
      <c r="DR53" s="979"/>
      <c r="DS53" s="979"/>
      <c r="DT53" s="979"/>
      <c r="DU53" s="979"/>
      <c r="DV53" s="979"/>
      <c r="DW53" s="979"/>
      <c r="DX53" s="979"/>
      <c r="DY53" s="979"/>
      <c r="DZ53" s="979"/>
      <c r="EA53" s="979"/>
      <c r="EB53" s="979"/>
      <c r="EC53" s="979"/>
      <c r="ED53" s="979"/>
      <c r="EE53" s="979"/>
      <c r="EF53" s="979"/>
      <c r="EG53" s="979"/>
      <c r="EH53" s="979"/>
      <c r="EI53" s="979"/>
    </row>
    <row r="54" spans="4:139" s="15" customFormat="1">
      <c r="D54" s="16"/>
      <c r="E54" s="16"/>
      <c r="F54" s="16"/>
      <c r="G54" s="16"/>
      <c r="H54" s="16"/>
      <c r="I54" s="16"/>
      <c r="J54" s="16"/>
      <c r="K54" s="16"/>
      <c r="L54" s="16"/>
      <c r="M54" s="16"/>
      <c r="N54" s="16"/>
      <c r="O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20"/>
      <c r="BY54" s="1125"/>
      <c r="BZ54" s="1125"/>
      <c r="CD54" s="1549"/>
      <c r="CE54" s="1549"/>
      <c r="CY54" s="1549"/>
      <c r="CZ54" s="979"/>
      <c r="DA54" s="979"/>
      <c r="DB54" s="979"/>
      <c r="DC54" s="979"/>
      <c r="DD54" s="979"/>
      <c r="DE54" s="979"/>
      <c r="DF54" s="979"/>
      <c r="DG54" s="979"/>
      <c r="DH54" s="979"/>
      <c r="DI54" s="979"/>
      <c r="DJ54" s="979"/>
      <c r="DK54" s="979"/>
      <c r="DL54" s="979"/>
      <c r="DM54" s="979"/>
      <c r="DN54" s="979"/>
      <c r="DO54" s="979"/>
      <c r="DP54" s="979"/>
      <c r="DQ54" s="979"/>
      <c r="DR54" s="979"/>
      <c r="DS54" s="979"/>
      <c r="DT54" s="979"/>
      <c r="DU54" s="979"/>
      <c r="DV54" s="979"/>
      <c r="DW54" s="979"/>
      <c r="DX54" s="979"/>
      <c r="DY54" s="979"/>
      <c r="DZ54" s="979"/>
      <c r="EA54" s="979"/>
      <c r="EB54" s="979"/>
      <c r="EC54" s="979"/>
      <c r="ED54" s="979"/>
      <c r="EE54" s="979"/>
      <c r="EF54" s="979"/>
      <c r="EG54" s="979"/>
      <c r="EH54" s="979"/>
      <c r="EI54" s="979"/>
    </row>
    <row r="55" spans="4:139" s="15" customFormat="1">
      <c r="D55" s="16"/>
      <c r="E55" s="16"/>
      <c r="F55" s="16"/>
      <c r="G55" s="16"/>
      <c r="H55" s="16"/>
      <c r="I55" s="16"/>
      <c r="J55" s="16"/>
      <c r="K55" s="16"/>
      <c r="L55" s="16"/>
      <c r="M55" s="16"/>
      <c r="N55" s="16"/>
      <c r="O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20"/>
      <c r="BY55" s="1125"/>
      <c r="BZ55" s="1125"/>
      <c r="CD55" s="1549"/>
      <c r="CE55" s="1549"/>
      <c r="CY55" s="1549"/>
      <c r="CZ55" s="979"/>
      <c r="DA55" s="979"/>
      <c r="DB55" s="979"/>
      <c r="DC55" s="979"/>
      <c r="DD55" s="979"/>
      <c r="DE55" s="979"/>
      <c r="DF55" s="979"/>
      <c r="DG55" s="979"/>
      <c r="DH55" s="979"/>
      <c r="DI55" s="979"/>
      <c r="DJ55" s="979"/>
      <c r="DK55" s="979"/>
      <c r="DL55" s="979"/>
      <c r="DM55" s="979"/>
      <c r="DN55" s="979"/>
      <c r="DO55" s="979"/>
      <c r="DP55" s="979"/>
      <c r="DQ55" s="979"/>
      <c r="DR55" s="979"/>
      <c r="DS55" s="979"/>
      <c r="DT55" s="979"/>
      <c r="DU55" s="979"/>
      <c r="DV55" s="979"/>
      <c r="DW55" s="979"/>
      <c r="DX55" s="979"/>
      <c r="DY55" s="979"/>
      <c r="DZ55" s="979"/>
      <c r="EA55" s="979"/>
      <c r="EB55" s="979"/>
      <c r="EC55" s="979"/>
      <c r="ED55" s="979"/>
      <c r="EE55" s="979"/>
      <c r="EF55" s="979"/>
      <c r="EG55" s="979"/>
      <c r="EH55" s="979"/>
      <c r="EI55" s="979"/>
    </row>
    <row r="56" spans="4:139" s="15" customFormat="1">
      <c r="D56" s="16"/>
      <c r="E56" s="16"/>
      <c r="F56" s="16"/>
      <c r="G56" s="16"/>
      <c r="H56" s="16"/>
      <c r="I56" s="16"/>
      <c r="J56" s="16"/>
      <c r="K56" s="16"/>
      <c r="L56" s="16"/>
      <c r="M56" s="16"/>
      <c r="N56" s="16"/>
      <c r="O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20"/>
      <c r="BY56" s="1125"/>
      <c r="BZ56" s="1125"/>
      <c r="CD56" s="1549"/>
      <c r="CE56" s="1549"/>
      <c r="CY56" s="1549"/>
      <c r="CZ56" s="979"/>
      <c r="DA56" s="979"/>
      <c r="DB56" s="979"/>
      <c r="DC56" s="979"/>
      <c r="DD56" s="979"/>
      <c r="DE56" s="979"/>
      <c r="DF56" s="979"/>
      <c r="DG56" s="979"/>
      <c r="DH56" s="979"/>
      <c r="DI56" s="979"/>
      <c r="DJ56" s="979"/>
      <c r="DK56" s="979"/>
      <c r="DL56" s="979"/>
      <c r="DM56" s="979"/>
      <c r="DN56" s="979"/>
      <c r="DO56" s="979"/>
      <c r="DP56" s="979"/>
      <c r="DQ56" s="979"/>
      <c r="DR56" s="979"/>
      <c r="DS56" s="979"/>
      <c r="DT56" s="979"/>
      <c r="DU56" s="979"/>
      <c r="DV56" s="979"/>
      <c r="DW56" s="979"/>
      <c r="DX56" s="979"/>
      <c r="DY56" s="979"/>
      <c r="DZ56" s="979"/>
      <c r="EA56" s="979"/>
      <c r="EB56" s="979"/>
      <c r="EC56" s="979"/>
      <c r="ED56" s="979"/>
      <c r="EE56" s="979"/>
      <c r="EF56" s="979"/>
      <c r="EG56" s="979"/>
      <c r="EH56" s="979"/>
      <c r="EI56" s="979"/>
    </row>
    <row r="57" spans="4:139" s="15" customFormat="1">
      <c r="D57" s="16"/>
      <c r="E57" s="16"/>
      <c r="F57" s="16"/>
      <c r="G57" s="16"/>
      <c r="H57" s="16"/>
      <c r="I57" s="16"/>
      <c r="J57" s="16"/>
      <c r="K57" s="16"/>
      <c r="L57" s="16"/>
      <c r="M57" s="16"/>
      <c r="N57" s="16"/>
      <c r="O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20"/>
      <c r="BY57" s="1125"/>
      <c r="BZ57" s="1125"/>
      <c r="CD57" s="1549"/>
      <c r="CE57" s="1549"/>
      <c r="CY57" s="1549"/>
      <c r="CZ57" s="979"/>
      <c r="DA57" s="979"/>
      <c r="DB57" s="979"/>
      <c r="DC57" s="979"/>
      <c r="DD57" s="979"/>
      <c r="DE57" s="979"/>
      <c r="DF57" s="979"/>
      <c r="DG57" s="979"/>
      <c r="DH57" s="979"/>
      <c r="DI57" s="979"/>
      <c r="DJ57" s="979"/>
      <c r="DK57" s="979"/>
      <c r="DL57" s="979"/>
      <c r="DM57" s="979"/>
      <c r="DN57" s="979"/>
      <c r="DO57" s="979"/>
      <c r="DP57" s="979"/>
      <c r="DQ57" s="979"/>
      <c r="DR57" s="979"/>
      <c r="DS57" s="979"/>
      <c r="DT57" s="979"/>
      <c r="DU57" s="979"/>
      <c r="DV57" s="979"/>
      <c r="DW57" s="979"/>
      <c r="DX57" s="979"/>
      <c r="DY57" s="979"/>
      <c r="DZ57" s="979"/>
      <c r="EA57" s="979"/>
      <c r="EB57" s="979"/>
      <c r="EC57" s="979"/>
      <c r="ED57" s="979"/>
      <c r="EE57" s="979"/>
      <c r="EF57" s="979"/>
      <c r="EG57" s="979"/>
      <c r="EH57" s="979"/>
      <c r="EI57" s="979"/>
    </row>
    <row r="58" spans="4:139" s="15" customFormat="1">
      <c r="D58" s="16"/>
      <c r="E58" s="16"/>
      <c r="F58" s="16"/>
      <c r="G58" s="16"/>
      <c r="H58" s="16"/>
      <c r="I58" s="16"/>
      <c r="J58" s="16"/>
      <c r="K58" s="16"/>
      <c r="L58" s="16"/>
      <c r="M58" s="16"/>
      <c r="N58" s="16"/>
      <c r="O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20"/>
      <c r="BY58" s="1125"/>
      <c r="BZ58" s="1125"/>
      <c r="CD58" s="1549"/>
      <c r="CE58" s="1549"/>
      <c r="CY58" s="1549"/>
      <c r="CZ58" s="979"/>
      <c r="DA58" s="979"/>
      <c r="DB58" s="979"/>
      <c r="DC58" s="979"/>
      <c r="DD58" s="979"/>
      <c r="DE58" s="979"/>
      <c r="DF58" s="979"/>
      <c r="DG58" s="979"/>
      <c r="DH58" s="979"/>
      <c r="DI58" s="979"/>
      <c r="DJ58" s="979"/>
      <c r="DK58" s="979"/>
      <c r="DL58" s="979"/>
      <c r="DM58" s="979"/>
      <c r="DN58" s="979"/>
      <c r="DO58" s="979"/>
      <c r="DP58" s="979"/>
      <c r="DQ58" s="979"/>
      <c r="DR58" s="979"/>
      <c r="DS58" s="979"/>
      <c r="DT58" s="979"/>
      <c r="DU58" s="979"/>
      <c r="DV58" s="979"/>
      <c r="DW58" s="979"/>
      <c r="DX58" s="979"/>
      <c r="DY58" s="979"/>
      <c r="DZ58" s="979"/>
      <c r="EA58" s="979"/>
      <c r="EB58" s="979"/>
      <c r="EC58" s="979"/>
      <c r="ED58" s="979"/>
      <c r="EE58" s="979"/>
      <c r="EF58" s="979"/>
      <c r="EG58" s="979"/>
      <c r="EH58" s="979"/>
      <c r="EI58" s="979"/>
    </row>
    <row r="59" spans="4:139" s="15" customFormat="1">
      <c r="D59" s="16"/>
      <c r="E59" s="16"/>
      <c r="F59" s="16"/>
      <c r="G59" s="16"/>
      <c r="H59" s="16"/>
      <c r="I59" s="16"/>
      <c r="J59" s="16"/>
      <c r="K59" s="16"/>
      <c r="L59" s="16"/>
      <c r="M59" s="16"/>
      <c r="N59" s="16"/>
      <c r="O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20"/>
      <c r="BY59" s="1125"/>
      <c r="BZ59" s="1125"/>
      <c r="CD59" s="1549"/>
      <c r="CE59" s="1549"/>
      <c r="CY59" s="1549"/>
      <c r="CZ59" s="979"/>
      <c r="DA59" s="979"/>
      <c r="DB59" s="979"/>
      <c r="DC59" s="979"/>
      <c r="DD59" s="979"/>
      <c r="DE59" s="979"/>
      <c r="DF59" s="979"/>
      <c r="DG59" s="979"/>
      <c r="DH59" s="979"/>
      <c r="DI59" s="979"/>
      <c r="DJ59" s="979"/>
      <c r="DK59" s="979"/>
      <c r="DL59" s="979"/>
      <c r="DM59" s="979"/>
      <c r="DN59" s="979"/>
      <c r="DO59" s="979"/>
      <c r="DP59" s="979"/>
      <c r="DQ59" s="979"/>
      <c r="DR59" s="979"/>
      <c r="DS59" s="979"/>
      <c r="DT59" s="979"/>
      <c r="DU59" s="979"/>
      <c r="DV59" s="979"/>
      <c r="DW59" s="979"/>
      <c r="DX59" s="979"/>
      <c r="DY59" s="979"/>
      <c r="DZ59" s="979"/>
      <c r="EA59" s="979"/>
      <c r="EB59" s="979"/>
      <c r="EC59" s="979"/>
      <c r="ED59" s="979"/>
      <c r="EE59" s="979"/>
      <c r="EF59" s="979"/>
      <c r="EG59" s="979"/>
      <c r="EH59" s="979"/>
      <c r="EI59" s="979"/>
    </row>
    <row r="60" spans="4:139" s="15" customFormat="1">
      <c r="D60" s="16"/>
      <c r="E60" s="16"/>
      <c r="F60" s="16"/>
      <c r="G60" s="16"/>
      <c r="H60" s="16"/>
      <c r="I60" s="16"/>
      <c r="J60" s="16"/>
      <c r="K60" s="16"/>
      <c r="L60" s="16"/>
      <c r="M60" s="16"/>
      <c r="N60" s="16"/>
      <c r="O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20"/>
      <c r="BY60" s="1125"/>
      <c r="BZ60" s="1125"/>
      <c r="CD60" s="1549"/>
      <c r="CE60" s="1549"/>
      <c r="CY60" s="1549"/>
      <c r="CZ60" s="979"/>
      <c r="DA60" s="979"/>
      <c r="DB60" s="979"/>
      <c r="DC60" s="979"/>
      <c r="DD60" s="979"/>
      <c r="DE60" s="979"/>
      <c r="DF60" s="979"/>
      <c r="DG60" s="979"/>
      <c r="DH60" s="979"/>
      <c r="DI60" s="979"/>
      <c r="DJ60" s="979"/>
      <c r="DK60" s="979"/>
      <c r="DL60" s="979"/>
      <c r="DM60" s="979"/>
      <c r="DN60" s="979"/>
      <c r="DO60" s="979"/>
      <c r="DP60" s="979"/>
      <c r="DQ60" s="979"/>
      <c r="DR60" s="979"/>
      <c r="DS60" s="979"/>
      <c r="DT60" s="979"/>
      <c r="DU60" s="979"/>
      <c r="DV60" s="979"/>
      <c r="DW60" s="979"/>
      <c r="DX60" s="979"/>
      <c r="DY60" s="979"/>
      <c r="DZ60" s="979"/>
      <c r="EA60" s="979"/>
      <c r="EB60" s="979"/>
      <c r="EC60" s="979"/>
      <c r="ED60" s="979"/>
      <c r="EE60" s="979"/>
      <c r="EF60" s="979"/>
      <c r="EG60" s="979"/>
      <c r="EH60" s="979"/>
      <c r="EI60" s="979"/>
    </row>
    <row r="61" spans="4:139" s="15" customFormat="1">
      <c r="D61" s="16"/>
      <c r="E61" s="16"/>
      <c r="F61" s="16"/>
      <c r="G61" s="16"/>
      <c r="H61" s="16"/>
      <c r="I61" s="16"/>
      <c r="J61" s="16"/>
      <c r="K61" s="16"/>
      <c r="L61" s="16"/>
      <c r="M61" s="16"/>
      <c r="N61" s="16"/>
      <c r="O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20"/>
      <c r="BY61" s="1125"/>
      <c r="BZ61" s="1125"/>
      <c r="CD61" s="1549"/>
      <c r="CE61" s="1549"/>
      <c r="CY61" s="1549"/>
      <c r="CZ61" s="979"/>
      <c r="DA61" s="979"/>
      <c r="DB61" s="979"/>
      <c r="DC61" s="979"/>
      <c r="DD61" s="979"/>
      <c r="DE61" s="979"/>
      <c r="DF61" s="979"/>
      <c r="DG61" s="979"/>
      <c r="DH61" s="979"/>
      <c r="DI61" s="979"/>
      <c r="DJ61" s="979"/>
      <c r="DK61" s="979"/>
      <c r="DL61" s="979"/>
      <c r="DM61" s="979"/>
      <c r="DN61" s="979"/>
      <c r="DO61" s="979"/>
      <c r="DP61" s="979"/>
      <c r="DQ61" s="979"/>
      <c r="DR61" s="979"/>
      <c r="DS61" s="979"/>
      <c r="DT61" s="979"/>
      <c r="DU61" s="979"/>
      <c r="DV61" s="979"/>
      <c r="DW61" s="979"/>
      <c r="DX61" s="979"/>
      <c r="DY61" s="979"/>
      <c r="DZ61" s="979"/>
      <c r="EA61" s="979"/>
      <c r="EB61" s="979"/>
      <c r="EC61" s="979"/>
      <c r="ED61" s="979"/>
      <c r="EE61" s="979"/>
      <c r="EF61" s="979"/>
      <c r="EG61" s="979"/>
      <c r="EH61" s="979"/>
      <c r="EI61" s="979"/>
    </row>
    <row r="62" spans="4:139" s="15" customFormat="1">
      <c r="D62" s="16"/>
      <c r="E62" s="16"/>
      <c r="F62" s="16"/>
      <c r="G62" s="16"/>
      <c r="H62" s="16"/>
      <c r="I62" s="16"/>
      <c r="J62" s="16"/>
      <c r="K62" s="16"/>
      <c r="L62" s="16"/>
      <c r="M62" s="16"/>
      <c r="N62" s="16"/>
      <c r="O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20"/>
      <c r="BY62" s="1125"/>
      <c r="BZ62" s="1125"/>
      <c r="CD62" s="1549"/>
      <c r="CE62" s="1549"/>
      <c r="CY62" s="1549"/>
      <c r="CZ62" s="979"/>
      <c r="DA62" s="979"/>
      <c r="DB62" s="979"/>
      <c r="DC62" s="979"/>
      <c r="DD62" s="979"/>
      <c r="DE62" s="979"/>
      <c r="DF62" s="979"/>
      <c r="DG62" s="979"/>
      <c r="DH62" s="979"/>
      <c r="DI62" s="979"/>
      <c r="DJ62" s="979"/>
      <c r="DK62" s="979"/>
      <c r="DL62" s="979"/>
      <c r="DM62" s="979"/>
      <c r="DN62" s="979"/>
      <c r="DO62" s="979"/>
      <c r="DP62" s="979"/>
      <c r="DQ62" s="979"/>
      <c r="DR62" s="979"/>
      <c r="DS62" s="979"/>
      <c r="DT62" s="979"/>
      <c r="DU62" s="979"/>
      <c r="DV62" s="979"/>
      <c r="DW62" s="979"/>
      <c r="DX62" s="979"/>
      <c r="DY62" s="979"/>
      <c r="DZ62" s="979"/>
      <c r="EA62" s="979"/>
      <c r="EB62" s="979"/>
      <c r="EC62" s="979"/>
      <c r="ED62" s="979"/>
      <c r="EE62" s="979"/>
      <c r="EF62" s="979"/>
      <c r="EG62" s="979"/>
      <c r="EH62" s="979"/>
      <c r="EI62" s="979"/>
    </row>
    <row r="63" spans="4:139" s="15" customFormat="1">
      <c r="D63" s="16"/>
      <c r="E63" s="16"/>
      <c r="F63" s="16"/>
      <c r="G63" s="16"/>
      <c r="H63" s="16"/>
      <c r="I63" s="16"/>
      <c r="J63" s="16"/>
      <c r="K63" s="16"/>
      <c r="L63" s="16"/>
      <c r="M63" s="16"/>
      <c r="N63" s="16"/>
      <c r="O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20"/>
      <c r="BY63" s="1125"/>
      <c r="BZ63" s="1125"/>
      <c r="CD63" s="1549"/>
      <c r="CE63" s="1549"/>
      <c r="CY63" s="1549"/>
      <c r="CZ63" s="979"/>
      <c r="DA63" s="979"/>
      <c r="DB63" s="979"/>
      <c r="DC63" s="979"/>
      <c r="DD63" s="979"/>
      <c r="DE63" s="979"/>
      <c r="DF63" s="979"/>
      <c r="DG63" s="979"/>
      <c r="DH63" s="979"/>
      <c r="DI63" s="979"/>
      <c r="DJ63" s="979"/>
      <c r="DK63" s="979"/>
      <c r="DL63" s="979"/>
      <c r="DM63" s="979"/>
      <c r="DN63" s="979"/>
      <c r="DO63" s="979"/>
      <c r="DP63" s="979"/>
      <c r="DQ63" s="979"/>
      <c r="DR63" s="979"/>
      <c r="DS63" s="979"/>
      <c r="DT63" s="979"/>
      <c r="DU63" s="979"/>
      <c r="DV63" s="979"/>
      <c r="DW63" s="979"/>
      <c r="DX63" s="979"/>
      <c r="DY63" s="979"/>
      <c r="DZ63" s="979"/>
      <c r="EA63" s="979"/>
      <c r="EB63" s="979"/>
      <c r="EC63" s="979"/>
      <c r="ED63" s="979"/>
      <c r="EE63" s="979"/>
      <c r="EF63" s="979"/>
      <c r="EG63" s="979"/>
      <c r="EH63" s="979"/>
      <c r="EI63" s="979"/>
    </row>
    <row r="64" spans="4:139" s="15" customFormat="1">
      <c r="D64" s="16"/>
      <c r="E64" s="16"/>
      <c r="F64" s="16"/>
      <c r="G64" s="16"/>
      <c r="H64" s="16"/>
      <c r="I64" s="16"/>
      <c r="J64" s="16"/>
      <c r="K64" s="16"/>
      <c r="L64" s="16"/>
      <c r="M64" s="16"/>
      <c r="N64" s="16"/>
      <c r="O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20"/>
      <c r="BY64" s="1125"/>
      <c r="BZ64" s="1125"/>
      <c r="CD64" s="1549"/>
      <c r="CE64" s="1549"/>
      <c r="CY64" s="1549"/>
      <c r="CZ64" s="979"/>
      <c r="DA64" s="979"/>
      <c r="DB64" s="979"/>
      <c r="DC64" s="979"/>
      <c r="DD64" s="979"/>
      <c r="DE64" s="979"/>
      <c r="DF64" s="979"/>
      <c r="DG64" s="979"/>
      <c r="DH64" s="979"/>
      <c r="DI64" s="979"/>
      <c r="DJ64" s="979"/>
      <c r="DK64" s="979"/>
      <c r="DL64" s="979"/>
      <c r="DM64" s="979"/>
      <c r="DN64" s="979"/>
      <c r="DO64" s="979"/>
      <c r="DP64" s="979"/>
      <c r="DQ64" s="979"/>
      <c r="DR64" s="979"/>
      <c r="DS64" s="979"/>
      <c r="DT64" s="979"/>
      <c r="DU64" s="979"/>
      <c r="DV64" s="979"/>
      <c r="DW64" s="979"/>
      <c r="DX64" s="979"/>
      <c r="DY64" s="979"/>
      <c r="DZ64" s="979"/>
      <c r="EA64" s="979"/>
      <c r="EB64" s="979"/>
      <c r="EC64" s="979"/>
      <c r="ED64" s="979"/>
      <c r="EE64" s="979"/>
      <c r="EF64" s="979"/>
      <c r="EG64" s="979"/>
      <c r="EH64" s="979"/>
      <c r="EI64" s="979"/>
    </row>
    <row r="65" spans="4:139" s="15" customFormat="1">
      <c r="D65" s="16"/>
      <c r="E65" s="16"/>
      <c r="F65" s="16"/>
      <c r="G65" s="16"/>
      <c r="H65" s="16"/>
      <c r="I65" s="16"/>
      <c r="J65" s="16"/>
      <c r="K65" s="16"/>
      <c r="L65" s="16"/>
      <c r="M65" s="16"/>
      <c r="N65" s="16"/>
      <c r="O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20"/>
      <c r="BY65" s="1125"/>
      <c r="BZ65" s="1125"/>
      <c r="CD65" s="1549"/>
      <c r="CE65" s="1549"/>
      <c r="CY65" s="1549"/>
      <c r="CZ65" s="979"/>
      <c r="DA65" s="979"/>
      <c r="DB65" s="979"/>
      <c r="DC65" s="979"/>
      <c r="DD65" s="979"/>
      <c r="DE65" s="979"/>
      <c r="DF65" s="979"/>
      <c r="DG65" s="979"/>
      <c r="DH65" s="979"/>
      <c r="DI65" s="979"/>
      <c r="DJ65" s="979"/>
      <c r="DK65" s="979"/>
      <c r="DL65" s="979"/>
      <c r="DM65" s="979"/>
      <c r="DN65" s="979"/>
      <c r="DO65" s="979"/>
      <c r="DP65" s="979"/>
      <c r="DQ65" s="979"/>
      <c r="DR65" s="979"/>
      <c r="DS65" s="979"/>
      <c r="DT65" s="979"/>
      <c r="DU65" s="979"/>
      <c r="DV65" s="979"/>
      <c r="DW65" s="979"/>
      <c r="DX65" s="979"/>
      <c r="DY65" s="979"/>
      <c r="DZ65" s="979"/>
      <c r="EA65" s="979"/>
      <c r="EB65" s="979"/>
      <c r="EC65" s="979"/>
      <c r="ED65" s="979"/>
      <c r="EE65" s="979"/>
      <c r="EF65" s="979"/>
      <c r="EG65" s="979"/>
      <c r="EH65" s="979"/>
      <c r="EI65" s="979"/>
    </row>
    <row r="66" spans="4:139" s="15" customFormat="1">
      <c r="D66" s="16"/>
      <c r="E66" s="16"/>
      <c r="F66" s="16"/>
      <c r="G66" s="16"/>
      <c r="H66" s="16"/>
      <c r="I66" s="16"/>
      <c r="J66" s="16"/>
      <c r="K66" s="16"/>
      <c r="L66" s="16"/>
      <c r="M66" s="16"/>
      <c r="N66" s="16"/>
      <c r="O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20"/>
      <c r="BY66" s="1125"/>
      <c r="BZ66" s="1125"/>
      <c r="CD66" s="1549"/>
      <c r="CE66" s="1549"/>
      <c r="CY66" s="1549"/>
      <c r="CZ66" s="979"/>
      <c r="DA66" s="979"/>
      <c r="DB66" s="979"/>
      <c r="DC66" s="979"/>
      <c r="DD66" s="979"/>
      <c r="DE66" s="979"/>
      <c r="DF66" s="979"/>
      <c r="DG66" s="979"/>
      <c r="DH66" s="979"/>
      <c r="DI66" s="979"/>
      <c r="DJ66" s="979"/>
      <c r="DK66" s="979"/>
      <c r="DL66" s="979"/>
      <c r="DM66" s="979"/>
      <c r="DN66" s="979"/>
      <c r="DO66" s="979"/>
      <c r="DP66" s="979"/>
      <c r="DQ66" s="979"/>
      <c r="DR66" s="979"/>
      <c r="DS66" s="979"/>
      <c r="DT66" s="979"/>
      <c r="DU66" s="979"/>
      <c r="DV66" s="979"/>
      <c r="DW66" s="979"/>
      <c r="DX66" s="979"/>
      <c r="DY66" s="979"/>
      <c r="DZ66" s="979"/>
      <c r="EA66" s="979"/>
      <c r="EB66" s="979"/>
      <c r="EC66" s="979"/>
      <c r="ED66" s="979"/>
      <c r="EE66" s="979"/>
      <c r="EF66" s="979"/>
      <c r="EG66" s="979"/>
      <c r="EH66" s="979"/>
      <c r="EI66" s="979"/>
    </row>
    <row r="67" spans="4:139" s="15" customFormat="1">
      <c r="D67" s="16"/>
      <c r="E67" s="16"/>
      <c r="F67" s="16"/>
      <c r="G67" s="16"/>
      <c r="H67" s="16"/>
      <c r="I67" s="16"/>
      <c r="J67" s="16"/>
      <c r="K67" s="16"/>
      <c r="L67" s="16"/>
      <c r="M67" s="16"/>
      <c r="N67" s="16"/>
      <c r="O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20"/>
      <c r="BY67" s="1125"/>
      <c r="BZ67" s="1125"/>
      <c r="CD67" s="1549"/>
      <c r="CE67" s="1549"/>
      <c r="CY67" s="1549"/>
      <c r="CZ67" s="979"/>
      <c r="DA67" s="979"/>
      <c r="DB67" s="979"/>
      <c r="DC67" s="979"/>
      <c r="DD67" s="979"/>
      <c r="DE67" s="979"/>
      <c r="DF67" s="979"/>
      <c r="DG67" s="979"/>
      <c r="DH67" s="979"/>
      <c r="DI67" s="979"/>
      <c r="DJ67" s="979"/>
      <c r="DK67" s="979"/>
      <c r="DL67" s="979"/>
      <c r="DM67" s="979"/>
      <c r="DN67" s="979"/>
      <c r="DO67" s="979"/>
      <c r="DP67" s="979"/>
      <c r="DQ67" s="979"/>
      <c r="DR67" s="979"/>
      <c r="DS67" s="979"/>
      <c r="DT67" s="979"/>
      <c r="DU67" s="979"/>
      <c r="DV67" s="979"/>
      <c r="DW67" s="979"/>
      <c r="DX67" s="979"/>
      <c r="DY67" s="979"/>
      <c r="DZ67" s="979"/>
      <c r="EA67" s="979"/>
      <c r="EB67" s="979"/>
      <c r="EC67" s="979"/>
      <c r="ED67" s="979"/>
      <c r="EE67" s="979"/>
      <c r="EF67" s="979"/>
      <c r="EG67" s="979"/>
      <c r="EH67" s="979"/>
      <c r="EI67" s="979"/>
    </row>
    <row r="68" spans="4:139" s="15" customFormat="1">
      <c r="D68" s="16"/>
      <c r="E68" s="16"/>
      <c r="F68" s="16"/>
      <c r="G68" s="16"/>
      <c r="H68" s="16"/>
      <c r="I68" s="16"/>
      <c r="J68" s="16"/>
      <c r="K68" s="16"/>
      <c r="L68" s="16"/>
      <c r="M68" s="16"/>
      <c r="N68" s="16"/>
      <c r="O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20"/>
      <c r="BY68" s="1125"/>
      <c r="BZ68" s="1125"/>
      <c r="CD68" s="1549"/>
      <c r="CE68" s="1549"/>
      <c r="CY68" s="1549"/>
      <c r="CZ68" s="979"/>
      <c r="DA68" s="979"/>
      <c r="DB68" s="979"/>
      <c r="DC68" s="979"/>
      <c r="DD68" s="979"/>
      <c r="DE68" s="979"/>
      <c r="DF68" s="979"/>
      <c r="DG68" s="979"/>
      <c r="DH68" s="979"/>
      <c r="DI68" s="979"/>
      <c r="DJ68" s="979"/>
      <c r="DK68" s="979"/>
      <c r="DL68" s="979"/>
      <c r="DM68" s="979"/>
      <c r="DN68" s="979"/>
      <c r="DO68" s="979"/>
      <c r="DP68" s="979"/>
      <c r="DQ68" s="979"/>
      <c r="DR68" s="979"/>
      <c r="DS68" s="979"/>
      <c r="DT68" s="979"/>
      <c r="DU68" s="979"/>
      <c r="DV68" s="979"/>
      <c r="DW68" s="979"/>
      <c r="DX68" s="979"/>
      <c r="DY68" s="979"/>
      <c r="DZ68" s="979"/>
      <c r="EA68" s="979"/>
      <c r="EB68" s="979"/>
      <c r="EC68" s="979"/>
      <c r="ED68" s="979"/>
      <c r="EE68" s="979"/>
      <c r="EF68" s="979"/>
      <c r="EG68" s="979"/>
      <c r="EH68" s="979"/>
      <c r="EI68" s="979"/>
    </row>
    <row r="69" spans="4:139" s="15" customFormat="1">
      <c r="D69" s="16"/>
      <c r="E69" s="16"/>
      <c r="F69" s="16"/>
      <c r="G69" s="16"/>
      <c r="H69" s="16"/>
      <c r="I69" s="16"/>
      <c r="J69" s="16"/>
      <c r="K69" s="16"/>
      <c r="L69" s="16"/>
      <c r="M69" s="16"/>
      <c r="N69" s="16"/>
      <c r="O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20"/>
      <c r="BY69" s="1125"/>
      <c r="BZ69" s="1125"/>
      <c r="CD69" s="1549"/>
      <c r="CE69" s="1549"/>
      <c r="CY69" s="1549"/>
      <c r="CZ69" s="979"/>
      <c r="DA69" s="979"/>
      <c r="DB69" s="979"/>
      <c r="DC69" s="979"/>
      <c r="DD69" s="979"/>
      <c r="DE69" s="979"/>
      <c r="DF69" s="979"/>
      <c r="DG69" s="979"/>
      <c r="DH69" s="979"/>
      <c r="DI69" s="979"/>
      <c r="DJ69" s="979"/>
      <c r="DK69" s="979"/>
      <c r="DL69" s="979"/>
      <c r="DM69" s="979"/>
      <c r="DN69" s="979"/>
      <c r="DO69" s="979"/>
      <c r="DP69" s="979"/>
      <c r="DQ69" s="979"/>
      <c r="DR69" s="979"/>
      <c r="DS69" s="979"/>
      <c r="DT69" s="979"/>
      <c r="DU69" s="979"/>
      <c r="DV69" s="979"/>
      <c r="DW69" s="979"/>
      <c r="DX69" s="979"/>
      <c r="DY69" s="979"/>
      <c r="DZ69" s="979"/>
      <c r="EA69" s="979"/>
      <c r="EB69" s="979"/>
      <c r="EC69" s="979"/>
      <c r="ED69" s="979"/>
      <c r="EE69" s="979"/>
      <c r="EF69" s="979"/>
      <c r="EG69" s="979"/>
      <c r="EH69" s="979"/>
      <c r="EI69" s="979"/>
    </row>
    <row r="70" spans="4:139" s="15" customFormat="1">
      <c r="D70" s="16"/>
      <c r="E70" s="16"/>
      <c r="F70" s="16"/>
      <c r="G70" s="16"/>
      <c r="H70" s="16"/>
      <c r="I70" s="16"/>
      <c r="J70" s="16"/>
      <c r="K70" s="16"/>
      <c r="L70" s="16"/>
      <c r="M70" s="16"/>
      <c r="N70" s="16"/>
      <c r="O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20"/>
      <c r="BY70" s="1125"/>
      <c r="BZ70" s="1125"/>
      <c r="CD70" s="1549"/>
      <c r="CE70" s="1549"/>
      <c r="CY70" s="1549"/>
      <c r="CZ70" s="979"/>
      <c r="DA70" s="979"/>
      <c r="DB70" s="979"/>
      <c r="DC70" s="979"/>
      <c r="DD70" s="979"/>
      <c r="DE70" s="979"/>
      <c r="DF70" s="979"/>
      <c r="DG70" s="979"/>
      <c r="DH70" s="979"/>
      <c r="DI70" s="979"/>
      <c r="DJ70" s="979"/>
      <c r="DK70" s="979"/>
      <c r="DL70" s="979"/>
      <c r="DM70" s="979"/>
      <c r="DN70" s="979"/>
      <c r="DO70" s="979"/>
      <c r="DP70" s="979"/>
      <c r="DQ70" s="979"/>
      <c r="DR70" s="979"/>
      <c r="DS70" s="979"/>
      <c r="DT70" s="979"/>
      <c r="DU70" s="979"/>
      <c r="DV70" s="979"/>
      <c r="DW70" s="979"/>
      <c r="DX70" s="979"/>
      <c r="DY70" s="979"/>
      <c r="DZ70" s="979"/>
      <c r="EA70" s="979"/>
      <c r="EB70" s="979"/>
      <c r="EC70" s="979"/>
      <c r="ED70" s="979"/>
      <c r="EE70" s="979"/>
      <c r="EF70" s="979"/>
      <c r="EG70" s="979"/>
      <c r="EH70" s="979"/>
      <c r="EI70" s="979"/>
    </row>
    <row r="71" spans="4:139" s="15" customFormat="1">
      <c r="D71" s="16"/>
      <c r="E71" s="16"/>
      <c r="F71" s="16"/>
      <c r="G71" s="16"/>
      <c r="H71" s="16"/>
      <c r="I71" s="16"/>
      <c r="J71" s="16"/>
      <c r="K71" s="16"/>
      <c r="L71" s="16"/>
      <c r="M71" s="16"/>
      <c r="N71" s="16"/>
      <c r="O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20"/>
      <c r="BY71" s="1125"/>
      <c r="BZ71" s="1125"/>
      <c r="CD71" s="1549"/>
      <c r="CE71" s="1549"/>
      <c r="CY71" s="1549"/>
      <c r="CZ71" s="979"/>
      <c r="DA71" s="979"/>
      <c r="DB71" s="979"/>
      <c r="DC71" s="979"/>
      <c r="DD71" s="979"/>
      <c r="DE71" s="979"/>
      <c r="DF71" s="979"/>
      <c r="DG71" s="979"/>
      <c r="DH71" s="979"/>
      <c r="DI71" s="979"/>
      <c r="DJ71" s="979"/>
      <c r="DK71" s="979"/>
      <c r="DL71" s="979"/>
      <c r="DM71" s="979"/>
      <c r="DN71" s="979"/>
      <c r="DO71" s="979"/>
      <c r="DP71" s="979"/>
      <c r="DQ71" s="979"/>
      <c r="DR71" s="979"/>
      <c r="DS71" s="979"/>
      <c r="DT71" s="979"/>
      <c r="DU71" s="979"/>
      <c r="DV71" s="979"/>
      <c r="DW71" s="979"/>
      <c r="DX71" s="979"/>
      <c r="DY71" s="979"/>
      <c r="DZ71" s="979"/>
      <c r="EA71" s="979"/>
      <c r="EB71" s="979"/>
      <c r="EC71" s="979"/>
      <c r="ED71" s="979"/>
      <c r="EE71" s="979"/>
      <c r="EF71" s="979"/>
      <c r="EG71" s="979"/>
      <c r="EH71" s="979"/>
      <c r="EI71" s="979"/>
    </row>
    <row r="72" spans="4:139" s="15" customFormat="1">
      <c r="D72" s="16"/>
      <c r="E72" s="16"/>
      <c r="F72" s="16"/>
      <c r="G72" s="16"/>
      <c r="H72" s="16"/>
      <c r="I72" s="16"/>
      <c r="J72" s="16"/>
      <c r="K72" s="16"/>
      <c r="L72" s="16"/>
      <c r="M72" s="16"/>
      <c r="N72" s="16"/>
      <c r="O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20"/>
      <c r="BY72" s="1125"/>
      <c r="BZ72" s="1125"/>
      <c r="CD72" s="1549"/>
      <c r="CE72" s="1549"/>
      <c r="CY72" s="1549"/>
      <c r="CZ72" s="979"/>
      <c r="DA72" s="979"/>
      <c r="DB72" s="979"/>
      <c r="DC72" s="979"/>
      <c r="DD72" s="979"/>
      <c r="DE72" s="979"/>
      <c r="DF72" s="979"/>
      <c r="DG72" s="979"/>
      <c r="DH72" s="979"/>
      <c r="DI72" s="979"/>
      <c r="DJ72" s="979"/>
      <c r="DK72" s="979"/>
      <c r="DL72" s="979"/>
      <c r="DM72" s="979"/>
      <c r="DN72" s="979"/>
      <c r="DO72" s="979"/>
      <c r="DP72" s="979"/>
      <c r="DQ72" s="979"/>
      <c r="DR72" s="979"/>
      <c r="DS72" s="979"/>
      <c r="DT72" s="979"/>
      <c r="DU72" s="979"/>
      <c r="DV72" s="979"/>
      <c r="DW72" s="979"/>
      <c r="DX72" s="979"/>
      <c r="DY72" s="979"/>
      <c r="DZ72" s="979"/>
      <c r="EA72" s="979"/>
      <c r="EB72" s="979"/>
      <c r="EC72" s="979"/>
      <c r="ED72" s="979"/>
      <c r="EE72" s="979"/>
      <c r="EF72" s="979"/>
      <c r="EG72" s="979"/>
      <c r="EH72" s="979"/>
      <c r="EI72" s="979"/>
    </row>
    <row r="73" spans="4:139" s="15" customFormat="1">
      <c r="D73" s="16"/>
      <c r="E73" s="16"/>
      <c r="F73" s="16"/>
      <c r="G73" s="16"/>
      <c r="H73" s="16"/>
      <c r="I73" s="16"/>
      <c r="J73" s="16"/>
      <c r="K73" s="16"/>
      <c r="L73" s="16"/>
      <c r="M73" s="16"/>
      <c r="N73" s="16"/>
      <c r="O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20"/>
      <c r="BY73" s="1125"/>
      <c r="BZ73" s="1125"/>
      <c r="CD73" s="1549"/>
      <c r="CE73" s="1549"/>
      <c r="CY73" s="1549"/>
      <c r="CZ73" s="979"/>
      <c r="DA73" s="979"/>
      <c r="DB73" s="979"/>
      <c r="DC73" s="979"/>
      <c r="DD73" s="979"/>
      <c r="DE73" s="979"/>
      <c r="DF73" s="979"/>
      <c r="DG73" s="979"/>
      <c r="DH73" s="979"/>
      <c r="DI73" s="979"/>
      <c r="DJ73" s="979"/>
      <c r="DK73" s="979"/>
      <c r="DL73" s="979"/>
      <c r="DM73" s="979"/>
      <c r="DN73" s="979"/>
      <c r="DO73" s="979"/>
      <c r="DP73" s="979"/>
      <c r="DQ73" s="979"/>
      <c r="DR73" s="979"/>
      <c r="DS73" s="979"/>
      <c r="DT73" s="979"/>
      <c r="DU73" s="979"/>
      <c r="DV73" s="979"/>
      <c r="DW73" s="979"/>
      <c r="DX73" s="979"/>
      <c r="DY73" s="979"/>
      <c r="DZ73" s="979"/>
      <c r="EA73" s="979"/>
      <c r="EB73" s="979"/>
      <c r="EC73" s="979"/>
      <c r="ED73" s="979"/>
      <c r="EE73" s="979"/>
      <c r="EF73" s="979"/>
      <c r="EG73" s="979"/>
      <c r="EH73" s="979"/>
      <c r="EI73" s="979"/>
    </row>
    <row r="74" spans="4:139" s="15" customFormat="1">
      <c r="D74" s="16"/>
      <c r="E74" s="16"/>
      <c r="F74" s="16"/>
      <c r="G74" s="16"/>
      <c r="H74" s="16"/>
      <c r="I74" s="16"/>
      <c r="J74" s="16"/>
      <c r="K74" s="16"/>
      <c r="L74" s="16"/>
      <c r="M74" s="16"/>
      <c r="N74" s="16"/>
      <c r="O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20"/>
      <c r="BY74" s="1125"/>
      <c r="BZ74" s="1125"/>
      <c r="CD74" s="1549"/>
      <c r="CE74" s="1549"/>
      <c r="CY74" s="1549"/>
      <c r="CZ74" s="979"/>
      <c r="DA74" s="979"/>
      <c r="DB74" s="979"/>
      <c r="DC74" s="979"/>
      <c r="DD74" s="979"/>
      <c r="DE74" s="979"/>
      <c r="DF74" s="979"/>
      <c r="DG74" s="979"/>
      <c r="DH74" s="979"/>
      <c r="DI74" s="979"/>
      <c r="DJ74" s="979"/>
      <c r="DK74" s="979"/>
      <c r="DL74" s="979"/>
      <c r="DM74" s="979"/>
      <c r="DN74" s="979"/>
      <c r="DO74" s="979"/>
      <c r="DP74" s="979"/>
      <c r="DQ74" s="979"/>
      <c r="DR74" s="979"/>
      <c r="DS74" s="979"/>
      <c r="DT74" s="979"/>
      <c r="DU74" s="979"/>
      <c r="DV74" s="979"/>
      <c r="DW74" s="979"/>
      <c r="DX74" s="979"/>
      <c r="DY74" s="979"/>
      <c r="DZ74" s="979"/>
      <c r="EA74" s="979"/>
      <c r="EB74" s="979"/>
      <c r="EC74" s="979"/>
      <c r="ED74" s="979"/>
      <c r="EE74" s="979"/>
      <c r="EF74" s="979"/>
      <c r="EG74" s="979"/>
      <c r="EH74" s="979"/>
      <c r="EI74" s="979"/>
    </row>
    <row r="75" spans="4:139" s="15" customFormat="1">
      <c r="D75" s="16"/>
      <c r="E75" s="16"/>
      <c r="F75" s="16"/>
      <c r="G75" s="16"/>
      <c r="H75" s="16"/>
      <c r="I75" s="16"/>
      <c r="J75" s="16"/>
      <c r="K75" s="16"/>
      <c r="L75" s="16"/>
      <c r="M75" s="16"/>
      <c r="N75" s="16"/>
      <c r="O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20"/>
      <c r="BY75" s="1125"/>
      <c r="BZ75" s="1125"/>
      <c r="CD75" s="1549"/>
      <c r="CE75" s="1549"/>
      <c r="CY75" s="1549"/>
      <c r="CZ75" s="979"/>
      <c r="DA75" s="979"/>
      <c r="DB75" s="979"/>
      <c r="DC75" s="979"/>
      <c r="DD75" s="979"/>
      <c r="DE75" s="979"/>
      <c r="DF75" s="979"/>
      <c r="DG75" s="979"/>
      <c r="DH75" s="979"/>
      <c r="DI75" s="979"/>
      <c r="DJ75" s="979"/>
      <c r="DK75" s="979"/>
      <c r="DL75" s="979"/>
      <c r="DM75" s="979"/>
      <c r="DN75" s="979"/>
      <c r="DO75" s="979"/>
      <c r="DP75" s="979"/>
      <c r="DQ75" s="979"/>
      <c r="DR75" s="979"/>
      <c r="DS75" s="979"/>
      <c r="DT75" s="979"/>
      <c r="DU75" s="979"/>
      <c r="DV75" s="979"/>
      <c r="DW75" s="979"/>
      <c r="DX75" s="979"/>
      <c r="DY75" s="979"/>
      <c r="DZ75" s="979"/>
      <c r="EA75" s="979"/>
      <c r="EB75" s="979"/>
      <c r="EC75" s="979"/>
      <c r="ED75" s="979"/>
      <c r="EE75" s="979"/>
      <c r="EF75" s="979"/>
      <c r="EG75" s="979"/>
      <c r="EH75" s="979"/>
      <c r="EI75" s="979"/>
    </row>
    <row r="76" spans="4:139" s="15" customFormat="1">
      <c r="D76" s="16"/>
      <c r="E76" s="16"/>
      <c r="F76" s="16"/>
      <c r="G76" s="16"/>
      <c r="H76" s="16"/>
      <c r="I76" s="16"/>
      <c r="J76" s="16"/>
      <c r="K76" s="16"/>
      <c r="L76" s="16"/>
      <c r="M76" s="16"/>
      <c r="N76" s="16"/>
      <c r="O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20"/>
      <c r="BY76" s="1125"/>
      <c r="BZ76" s="1125"/>
      <c r="CD76" s="1549"/>
      <c r="CE76" s="1549"/>
      <c r="CY76" s="1549"/>
      <c r="CZ76" s="979"/>
      <c r="DA76" s="979"/>
      <c r="DB76" s="979"/>
      <c r="DC76" s="979"/>
      <c r="DD76" s="979"/>
      <c r="DE76" s="979"/>
      <c r="DF76" s="979"/>
      <c r="DG76" s="979"/>
      <c r="DH76" s="979"/>
      <c r="DI76" s="979"/>
      <c r="DJ76" s="979"/>
      <c r="DK76" s="979"/>
      <c r="DL76" s="979"/>
      <c r="DM76" s="979"/>
      <c r="DN76" s="979"/>
      <c r="DO76" s="979"/>
      <c r="DP76" s="979"/>
      <c r="DQ76" s="979"/>
      <c r="DR76" s="979"/>
      <c r="DS76" s="979"/>
      <c r="DT76" s="979"/>
      <c r="DU76" s="979"/>
      <c r="DV76" s="979"/>
      <c r="DW76" s="979"/>
      <c r="DX76" s="979"/>
      <c r="DY76" s="979"/>
      <c r="DZ76" s="979"/>
      <c r="EA76" s="979"/>
      <c r="EB76" s="979"/>
      <c r="EC76" s="979"/>
      <c r="ED76" s="979"/>
      <c r="EE76" s="979"/>
      <c r="EF76" s="979"/>
      <c r="EG76" s="979"/>
      <c r="EH76" s="979"/>
      <c r="EI76" s="979"/>
    </row>
    <row r="77" spans="4:139" s="15" customFormat="1">
      <c r="D77" s="16"/>
      <c r="E77" s="16"/>
      <c r="F77" s="16"/>
      <c r="G77" s="16"/>
      <c r="H77" s="16"/>
      <c r="I77" s="16"/>
      <c r="J77" s="16"/>
      <c r="K77" s="16"/>
      <c r="L77" s="16"/>
      <c r="M77" s="16"/>
      <c r="N77" s="16"/>
      <c r="O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20"/>
      <c r="BY77" s="1125"/>
      <c r="BZ77" s="1125"/>
      <c r="CD77" s="1549"/>
      <c r="CE77" s="1549"/>
      <c r="CY77" s="1549"/>
      <c r="CZ77" s="979"/>
      <c r="DA77" s="979"/>
      <c r="DB77" s="979"/>
      <c r="DC77" s="979"/>
      <c r="DD77" s="979"/>
      <c r="DE77" s="979"/>
      <c r="DF77" s="979"/>
      <c r="DG77" s="979"/>
      <c r="DH77" s="979"/>
      <c r="DI77" s="979"/>
      <c r="DJ77" s="979"/>
      <c r="DK77" s="979"/>
      <c r="DL77" s="979"/>
      <c r="DM77" s="979"/>
      <c r="DN77" s="979"/>
      <c r="DO77" s="979"/>
      <c r="DP77" s="979"/>
      <c r="DQ77" s="979"/>
      <c r="DR77" s="979"/>
      <c r="DS77" s="979"/>
      <c r="DT77" s="979"/>
      <c r="DU77" s="979"/>
      <c r="DV77" s="979"/>
      <c r="DW77" s="979"/>
      <c r="DX77" s="979"/>
      <c r="DY77" s="979"/>
      <c r="DZ77" s="979"/>
      <c r="EA77" s="979"/>
      <c r="EB77" s="979"/>
      <c r="EC77" s="979"/>
      <c r="ED77" s="979"/>
      <c r="EE77" s="979"/>
      <c r="EF77" s="979"/>
      <c r="EG77" s="979"/>
      <c r="EH77" s="979"/>
      <c r="EI77" s="979"/>
    </row>
    <row r="78" spans="4:139" s="15" customFormat="1">
      <c r="D78" s="16"/>
      <c r="E78" s="16"/>
      <c r="F78" s="16"/>
      <c r="G78" s="16"/>
      <c r="H78" s="16"/>
      <c r="I78" s="16"/>
      <c r="J78" s="16"/>
      <c r="K78" s="16"/>
      <c r="L78" s="16"/>
      <c r="M78" s="16"/>
      <c r="N78" s="16"/>
      <c r="O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20"/>
      <c r="BY78" s="1125"/>
      <c r="BZ78" s="1125"/>
      <c r="CD78" s="1549"/>
      <c r="CE78" s="1549"/>
      <c r="CY78" s="1549"/>
      <c r="CZ78" s="979"/>
      <c r="DA78" s="979"/>
      <c r="DB78" s="979"/>
      <c r="DC78" s="979"/>
      <c r="DD78" s="979"/>
      <c r="DE78" s="979"/>
      <c r="DF78" s="979"/>
      <c r="DG78" s="979"/>
      <c r="DH78" s="979"/>
      <c r="DI78" s="979"/>
      <c r="DJ78" s="979"/>
      <c r="DK78" s="979"/>
      <c r="DL78" s="979"/>
      <c r="DM78" s="979"/>
      <c r="DN78" s="979"/>
      <c r="DO78" s="979"/>
      <c r="DP78" s="979"/>
      <c r="DQ78" s="979"/>
      <c r="DR78" s="979"/>
      <c r="DS78" s="979"/>
      <c r="DT78" s="979"/>
      <c r="DU78" s="979"/>
      <c r="DV78" s="979"/>
      <c r="DW78" s="979"/>
      <c r="DX78" s="979"/>
      <c r="DY78" s="979"/>
      <c r="DZ78" s="979"/>
      <c r="EA78" s="979"/>
      <c r="EB78" s="979"/>
      <c r="EC78" s="979"/>
      <c r="ED78" s="979"/>
      <c r="EE78" s="979"/>
      <c r="EF78" s="979"/>
      <c r="EG78" s="979"/>
      <c r="EH78" s="979"/>
      <c r="EI78" s="979"/>
    </row>
    <row r="79" spans="4:139" s="15" customFormat="1">
      <c r="D79" s="16"/>
      <c r="E79" s="16"/>
      <c r="F79" s="16"/>
      <c r="G79" s="16"/>
      <c r="H79" s="16"/>
      <c r="I79" s="16"/>
      <c r="J79" s="16"/>
      <c r="K79" s="16"/>
      <c r="L79" s="16"/>
      <c r="M79" s="16"/>
      <c r="N79" s="16"/>
      <c r="O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20"/>
      <c r="BY79" s="1125"/>
      <c r="BZ79" s="1125"/>
      <c r="CD79" s="1549"/>
      <c r="CE79" s="1549"/>
      <c r="CY79" s="1549"/>
      <c r="CZ79" s="979"/>
      <c r="DA79" s="979"/>
      <c r="DB79" s="979"/>
      <c r="DC79" s="979"/>
      <c r="DD79" s="979"/>
      <c r="DE79" s="979"/>
      <c r="DF79" s="979"/>
      <c r="DG79" s="979"/>
      <c r="DH79" s="979"/>
      <c r="DI79" s="979"/>
      <c r="DJ79" s="979"/>
      <c r="DK79" s="979"/>
      <c r="DL79" s="979"/>
      <c r="DM79" s="979"/>
      <c r="DN79" s="979"/>
      <c r="DO79" s="979"/>
      <c r="DP79" s="979"/>
      <c r="DQ79" s="979"/>
      <c r="DR79" s="979"/>
      <c r="DS79" s="979"/>
      <c r="DT79" s="979"/>
      <c r="DU79" s="979"/>
      <c r="DV79" s="979"/>
      <c r="DW79" s="979"/>
      <c r="DX79" s="979"/>
      <c r="DY79" s="979"/>
      <c r="DZ79" s="979"/>
      <c r="EA79" s="979"/>
      <c r="EB79" s="979"/>
      <c r="EC79" s="979"/>
      <c r="ED79" s="979"/>
      <c r="EE79" s="979"/>
      <c r="EF79" s="979"/>
      <c r="EG79" s="979"/>
      <c r="EH79" s="979"/>
      <c r="EI79" s="979"/>
    </row>
    <row r="80" spans="4:139" s="15" customFormat="1">
      <c r="D80" s="16"/>
      <c r="E80" s="16"/>
      <c r="F80" s="16"/>
      <c r="G80" s="16"/>
      <c r="H80" s="16"/>
      <c r="I80" s="16"/>
      <c r="J80" s="16"/>
      <c r="K80" s="16"/>
      <c r="L80" s="16"/>
      <c r="M80" s="16"/>
      <c r="N80" s="16"/>
      <c r="O80" s="16"/>
      <c r="S80" s="16"/>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20"/>
      <c r="BY80" s="1125"/>
      <c r="BZ80" s="1125"/>
      <c r="CD80" s="1549"/>
      <c r="CE80" s="1549"/>
      <c r="CY80" s="1549"/>
      <c r="CZ80" s="979"/>
      <c r="DA80" s="979"/>
      <c r="DB80" s="979"/>
      <c r="DC80" s="979"/>
      <c r="DD80" s="979"/>
      <c r="DE80" s="979"/>
      <c r="DF80" s="979"/>
      <c r="DG80" s="979"/>
      <c r="DH80" s="979"/>
      <c r="DI80" s="979"/>
      <c r="DJ80" s="979"/>
      <c r="DK80" s="979"/>
      <c r="DL80" s="979"/>
      <c r="DM80" s="979"/>
      <c r="DN80" s="979"/>
      <c r="DO80" s="979"/>
      <c r="DP80" s="979"/>
      <c r="DQ80" s="979"/>
      <c r="DR80" s="979"/>
      <c r="DS80" s="979"/>
      <c r="DT80" s="979"/>
      <c r="DU80" s="979"/>
      <c r="DV80" s="979"/>
      <c r="DW80" s="979"/>
      <c r="DX80" s="979"/>
      <c r="DY80" s="979"/>
      <c r="DZ80" s="979"/>
      <c r="EA80" s="979"/>
      <c r="EB80" s="979"/>
      <c r="EC80" s="979"/>
      <c r="ED80" s="979"/>
      <c r="EE80" s="979"/>
      <c r="EF80" s="979"/>
      <c r="EG80" s="979"/>
      <c r="EH80" s="979"/>
      <c r="EI80" s="979"/>
    </row>
    <row r="81" spans="4:139" s="15" customFormat="1">
      <c r="D81" s="16"/>
      <c r="E81" s="16"/>
      <c r="F81" s="16"/>
      <c r="G81" s="16"/>
      <c r="H81" s="16"/>
      <c r="I81" s="16"/>
      <c r="J81" s="16"/>
      <c r="K81" s="16"/>
      <c r="L81" s="16"/>
      <c r="M81" s="16"/>
      <c r="N81" s="16"/>
      <c r="O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20"/>
      <c r="BY81" s="1125"/>
      <c r="BZ81" s="1125"/>
      <c r="CD81" s="1549"/>
      <c r="CE81" s="1549"/>
      <c r="CY81" s="1549"/>
      <c r="CZ81" s="979"/>
      <c r="DA81" s="979"/>
      <c r="DB81" s="979"/>
      <c r="DC81" s="979"/>
      <c r="DD81" s="979"/>
      <c r="DE81" s="979"/>
      <c r="DF81" s="979"/>
      <c r="DG81" s="979"/>
      <c r="DH81" s="979"/>
      <c r="DI81" s="979"/>
      <c r="DJ81" s="979"/>
      <c r="DK81" s="979"/>
      <c r="DL81" s="979"/>
      <c r="DM81" s="979"/>
      <c r="DN81" s="979"/>
      <c r="DO81" s="979"/>
      <c r="DP81" s="979"/>
      <c r="DQ81" s="979"/>
      <c r="DR81" s="979"/>
      <c r="DS81" s="979"/>
      <c r="DT81" s="979"/>
      <c r="DU81" s="979"/>
      <c r="DV81" s="979"/>
      <c r="DW81" s="979"/>
      <c r="DX81" s="979"/>
      <c r="DY81" s="979"/>
      <c r="DZ81" s="979"/>
      <c r="EA81" s="979"/>
      <c r="EB81" s="979"/>
      <c r="EC81" s="979"/>
      <c r="ED81" s="979"/>
      <c r="EE81" s="979"/>
      <c r="EF81" s="979"/>
      <c r="EG81" s="979"/>
      <c r="EH81" s="979"/>
      <c r="EI81" s="979"/>
    </row>
    <row r="82" spans="4:139" s="15" customFormat="1">
      <c r="D82" s="16"/>
      <c r="E82" s="16"/>
      <c r="F82" s="16"/>
      <c r="G82" s="16"/>
      <c r="H82" s="16"/>
      <c r="I82" s="16"/>
      <c r="J82" s="16"/>
      <c r="K82" s="16"/>
      <c r="L82" s="16"/>
      <c r="M82" s="16"/>
      <c r="N82" s="16"/>
      <c r="O82" s="16"/>
      <c r="S82" s="16"/>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20"/>
      <c r="BY82" s="1125"/>
      <c r="BZ82" s="1125"/>
      <c r="CD82" s="1549"/>
      <c r="CE82" s="1549"/>
      <c r="CY82" s="1549"/>
      <c r="CZ82" s="979"/>
      <c r="DA82" s="979"/>
      <c r="DB82" s="979"/>
      <c r="DC82" s="979"/>
      <c r="DD82" s="979"/>
      <c r="DE82" s="979"/>
      <c r="DF82" s="979"/>
      <c r="DG82" s="979"/>
      <c r="DH82" s="979"/>
      <c r="DI82" s="979"/>
      <c r="DJ82" s="979"/>
      <c r="DK82" s="979"/>
      <c r="DL82" s="979"/>
      <c r="DM82" s="979"/>
      <c r="DN82" s="979"/>
      <c r="DO82" s="979"/>
      <c r="DP82" s="979"/>
      <c r="DQ82" s="979"/>
      <c r="DR82" s="979"/>
      <c r="DS82" s="979"/>
      <c r="DT82" s="979"/>
      <c r="DU82" s="979"/>
      <c r="DV82" s="979"/>
      <c r="DW82" s="979"/>
      <c r="DX82" s="979"/>
      <c r="DY82" s="979"/>
      <c r="DZ82" s="979"/>
      <c r="EA82" s="979"/>
      <c r="EB82" s="979"/>
      <c r="EC82" s="979"/>
      <c r="ED82" s="979"/>
      <c r="EE82" s="979"/>
      <c r="EF82" s="979"/>
      <c r="EG82" s="979"/>
      <c r="EH82" s="979"/>
      <c r="EI82" s="979"/>
    </row>
    <row r="83" spans="4:139" s="15" customFormat="1">
      <c r="D83" s="16"/>
      <c r="E83" s="16"/>
      <c r="F83" s="16"/>
      <c r="G83" s="16"/>
      <c r="H83" s="16"/>
      <c r="I83" s="16"/>
      <c r="J83" s="16"/>
      <c r="K83" s="16"/>
      <c r="L83" s="16"/>
      <c r="M83" s="16"/>
      <c r="N83" s="16"/>
      <c r="O83" s="16"/>
      <c r="S83" s="16"/>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20"/>
      <c r="BY83" s="1125"/>
      <c r="BZ83" s="1125"/>
      <c r="CD83" s="1549"/>
      <c r="CE83" s="1549"/>
      <c r="CY83" s="1549"/>
      <c r="CZ83" s="979"/>
      <c r="DA83" s="979"/>
      <c r="DB83" s="979"/>
      <c r="DC83" s="979"/>
      <c r="DD83" s="979"/>
      <c r="DE83" s="979"/>
      <c r="DF83" s="979"/>
      <c r="DG83" s="979"/>
      <c r="DH83" s="979"/>
      <c r="DI83" s="979"/>
      <c r="DJ83" s="979"/>
      <c r="DK83" s="979"/>
      <c r="DL83" s="979"/>
      <c r="DM83" s="979"/>
      <c r="DN83" s="979"/>
      <c r="DO83" s="979"/>
      <c r="DP83" s="979"/>
      <c r="DQ83" s="979"/>
      <c r="DR83" s="979"/>
      <c r="DS83" s="979"/>
      <c r="DT83" s="979"/>
      <c r="DU83" s="979"/>
      <c r="DV83" s="979"/>
      <c r="DW83" s="979"/>
      <c r="DX83" s="979"/>
      <c r="DY83" s="979"/>
      <c r="DZ83" s="979"/>
      <c r="EA83" s="979"/>
      <c r="EB83" s="979"/>
      <c r="EC83" s="979"/>
      <c r="ED83" s="979"/>
      <c r="EE83" s="979"/>
      <c r="EF83" s="979"/>
      <c r="EG83" s="979"/>
      <c r="EH83" s="979"/>
      <c r="EI83" s="979"/>
    </row>
    <row r="84" spans="4:139" s="15" customFormat="1">
      <c r="D84" s="16"/>
      <c r="E84" s="16"/>
      <c r="F84" s="16"/>
      <c r="G84" s="16"/>
      <c r="H84" s="16"/>
      <c r="I84" s="16"/>
      <c r="J84" s="16"/>
      <c r="K84" s="16"/>
      <c r="L84" s="16"/>
      <c r="M84" s="16"/>
      <c r="N84" s="16"/>
      <c r="O84" s="16"/>
      <c r="S84" s="16"/>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20"/>
      <c r="BY84" s="1125"/>
      <c r="BZ84" s="1125"/>
      <c r="CD84" s="1549"/>
      <c r="CE84" s="1549"/>
      <c r="CY84" s="1549"/>
      <c r="CZ84" s="979"/>
      <c r="DA84" s="979"/>
      <c r="DB84" s="979"/>
      <c r="DC84" s="979"/>
      <c r="DD84" s="979"/>
      <c r="DE84" s="979"/>
      <c r="DF84" s="979"/>
      <c r="DG84" s="979"/>
      <c r="DH84" s="979"/>
      <c r="DI84" s="979"/>
      <c r="DJ84" s="979"/>
      <c r="DK84" s="979"/>
      <c r="DL84" s="979"/>
      <c r="DM84" s="979"/>
      <c r="DN84" s="979"/>
      <c r="DO84" s="979"/>
      <c r="DP84" s="979"/>
      <c r="DQ84" s="979"/>
      <c r="DR84" s="979"/>
      <c r="DS84" s="979"/>
      <c r="DT84" s="979"/>
      <c r="DU84" s="979"/>
      <c r="DV84" s="979"/>
      <c r="DW84" s="979"/>
      <c r="DX84" s="979"/>
      <c r="DY84" s="979"/>
      <c r="DZ84" s="979"/>
      <c r="EA84" s="979"/>
      <c r="EB84" s="979"/>
      <c r="EC84" s="979"/>
      <c r="ED84" s="979"/>
      <c r="EE84" s="979"/>
      <c r="EF84" s="979"/>
      <c r="EG84" s="979"/>
      <c r="EH84" s="979"/>
      <c r="EI84" s="979"/>
    </row>
    <row r="85" spans="4:139" s="15" customFormat="1">
      <c r="D85" s="16"/>
      <c r="E85" s="16"/>
      <c r="F85" s="16"/>
      <c r="G85" s="16"/>
      <c r="H85" s="16"/>
      <c r="I85" s="16"/>
      <c r="J85" s="16"/>
      <c r="K85" s="16"/>
      <c r="L85" s="16"/>
      <c r="M85" s="16"/>
      <c r="N85" s="16"/>
      <c r="O85" s="16"/>
      <c r="S85" s="16"/>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20"/>
      <c r="BY85" s="1125"/>
      <c r="BZ85" s="1125"/>
      <c r="CD85" s="1549"/>
      <c r="CE85" s="1549"/>
      <c r="CY85" s="1549"/>
      <c r="CZ85" s="979"/>
      <c r="DA85" s="979"/>
      <c r="DB85" s="979"/>
      <c r="DC85" s="979"/>
      <c r="DD85" s="979"/>
      <c r="DE85" s="979"/>
      <c r="DF85" s="979"/>
      <c r="DG85" s="979"/>
      <c r="DH85" s="979"/>
      <c r="DI85" s="979"/>
      <c r="DJ85" s="979"/>
      <c r="DK85" s="979"/>
      <c r="DL85" s="979"/>
      <c r="DM85" s="979"/>
      <c r="DN85" s="979"/>
      <c r="DO85" s="979"/>
      <c r="DP85" s="979"/>
      <c r="DQ85" s="979"/>
      <c r="DR85" s="979"/>
      <c r="DS85" s="979"/>
      <c r="DT85" s="979"/>
      <c r="DU85" s="979"/>
      <c r="DV85" s="979"/>
      <c r="DW85" s="979"/>
      <c r="DX85" s="979"/>
      <c r="DY85" s="979"/>
      <c r="DZ85" s="979"/>
      <c r="EA85" s="979"/>
      <c r="EB85" s="979"/>
      <c r="EC85" s="979"/>
      <c r="ED85" s="979"/>
      <c r="EE85" s="979"/>
      <c r="EF85" s="979"/>
      <c r="EG85" s="979"/>
      <c r="EH85" s="979"/>
      <c r="EI85" s="979"/>
    </row>
    <row r="86" spans="4:139" s="15" customFormat="1">
      <c r="D86" s="16"/>
      <c r="E86" s="16"/>
      <c r="F86" s="16"/>
      <c r="G86" s="16"/>
      <c r="H86" s="16"/>
      <c r="I86" s="16"/>
      <c r="J86" s="16"/>
      <c r="K86" s="16"/>
      <c r="L86" s="16"/>
      <c r="M86" s="16"/>
      <c r="N86" s="16"/>
      <c r="O86" s="16"/>
      <c r="S86" s="16"/>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20"/>
      <c r="BY86" s="1125"/>
      <c r="BZ86" s="1125"/>
      <c r="CD86" s="1549"/>
      <c r="CE86" s="1549"/>
      <c r="CY86" s="1549"/>
      <c r="CZ86" s="979"/>
      <c r="DA86" s="979"/>
      <c r="DB86" s="979"/>
      <c r="DC86" s="979"/>
      <c r="DD86" s="979"/>
      <c r="DE86" s="979"/>
      <c r="DF86" s="979"/>
      <c r="DG86" s="979"/>
      <c r="DH86" s="979"/>
      <c r="DI86" s="979"/>
      <c r="DJ86" s="979"/>
      <c r="DK86" s="979"/>
      <c r="DL86" s="979"/>
      <c r="DM86" s="979"/>
      <c r="DN86" s="979"/>
      <c r="DO86" s="979"/>
      <c r="DP86" s="979"/>
      <c r="DQ86" s="979"/>
      <c r="DR86" s="979"/>
      <c r="DS86" s="979"/>
      <c r="DT86" s="979"/>
      <c r="DU86" s="979"/>
      <c r="DV86" s="979"/>
      <c r="DW86" s="979"/>
      <c r="DX86" s="979"/>
      <c r="DY86" s="979"/>
      <c r="DZ86" s="979"/>
      <c r="EA86" s="979"/>
      <c r="EB86" s="979"/>
      <c r="EC86" s="979"/>
      <c r="ED86" s="979"/>
      <c r="EE86" s="979"/>
      <c r="EF86" s="979"/>
      <c r="EG86" s="979"/>
      <c r="EH86" s="979"/>
      <c r="EI86" s="979"/>
    </row>
    <row r="87" spans="4:139" s="15" customFormat="1">
      <c r="D87" s="16"/>
      <c r="E87" s="16"/>
      <c r="F87" s="16"/>
      <c r="G87" s="16"/>
      <c r="H87" s="16"/>
      <c r="I87" s="16"/>
      <c r="J87" s="16"/>
      <c r="K87" s="16"/>
      <c r="L87" s="16"/>
      <c r="M87" s="16"/>
      <c r="N87" s="16"/>
      <c r="O87" s="16"/>
      <c r="S87" s="16"/>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20"/>
      <c r="BY87" s="1125"/>
      <c r="BZ87" s="1125"/>
      <c r="CD87" s="1549"/>
      <c r="CE87" s="1549"/>
      <c r="CY87" s="1549"/>
      <c r="CZ87" s="979"/>
      <c r="DA87" s="979"/>
      <c r="DB87" s="979"/>
      <c r="DC87" s="979"/>
      <c r="DD87" s="979"/>
      <c r="DE87" s="979"/>
      <c r="DF87" s="979"/>
      <c r="DG87" s="979"/>
      <c r="DH87" s="979"/>
      <c r="DI87" s="979"/>
      <c r="DJ87" s="979"/>
      <c r="DK87" s="979"/>
      <c r="DL87" s="979"/>
      <c r="DM87" s="979"/>
      <c r="DN87" s="979"/>
      <c r="DO87" s="979"/>
      <c r="DP87" s="979"/>
      <c r="DQ87" s="979"/>
      <c r="DR87" s="979"/>
      <c r="DS87" s="979"/>
      <c r="DT87" s="979"/>
      <c r="DU87" s="979"/>
      <c r="DV87" s="979"/>
      <c r="DW87" s="979"/>
      <c r="DX87" s="979"/>
      <c r="DY87" s="979"/>
      <c r="DZ87" s="979"/>
      <c r="EA87" s="979"/>
      <c r="EB87" s="979"/>
      <c r="EC87" s="979"/>
      <c r="ED87" s="979"/>
      <c r="EE87" s="979"/>
      <c r="EF87" s="979"/>
      <c r="EG87" s="979"/>
      <c r="EH87" s="979"/>
      <c r="EI87" s="979"/>
    </row>
    <row r="88" spans="4:139" s="15" customFormat="1">
      <c r="D88" s="16"/>
      <c r="E88" s="16"/>
      <c r="F88" s="16"/>
      <c r="G88" s="16"/>
      <c r="H88" s="16"/>
      <c r="I88" s="16"/>
      <c r="J88" s="16"/>
      <c r="K88" s="16"/>
      <c r="L88" s="16"/>
      <c r="M88" s="16"/>
      <c r="N88" s="16"/>
      <c r="O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20"/>
      <c r="BY88" s="1125"/>
      <c r="BZ88" s="1125"/>
      <c r="CD88" s="1549"/>
      <c r="CE88" s="1549"/>
      <c r="CY88" s="1549"/>
      <c r="CZ88" s="979"/>
      <c r="DA88" s="979"/>
      <c r="DB88" s="979"/>
      <c r="DC88" s="979"/>
      <c r="DD88" s="979"/>
      <c r="DE88" s="979"/>
      <c r="DF88" s="979"/>
      <c r="DG88" s="979"/>
      <c r="DH88" s="979"/>
      <c r="DI88" s="979"/>
      <c r="DJ88" s="979"/>
      <c r="DK88" s="979"/>
      <c r="DL88" s="979"/>
      <c r="DM88" s="979"/>
      <c r="DN88" s="979"/>
      <c r="DO88" s="979"/>
      <c r="DP88" s="979"/>
      <c r="DQ88" s="979"/>
      <c r="DR88" s="979"/>
      <c r="DS88" s="979"/>
      <c r="DT88" s="979"/>
      <c r="DU88" s="979"/>
      <c r="DV88" s="979"/>
      <c r="DW88" s="979"/>
      <c r="DX88" s="979"/>
      <c r="DY88" s="979"/>
      <c r="DZ88" s="979"/>
      <c r="EA88" s="979"/>
      <c r="EB88" s="979"/>
      <c r="EC88" s="979"/>
      <c r="ED88" s="979"/>
      <c r="EE88" s="979"/>
      <c r="EF88" s="979"/>
      <c r="EG88" s="979"/>
      <c r="EH88" s="979"/>
      <c r="EI88" s="979"/>
    </row>
    <row r="89" spans="4:139" s="15" customFormat="1">
      <c r="D89" s="16"/>
      <c r="E89" s="16"/>
      <c r="F89" s="16"/>
      <c r="G89" s="16"/>
      <c r="H89" s="16"/>
      <c r="I89" s="16"/>
      <c r="J89" s="16"/>
      <c r="K89" s="16"/>
      <c r="L89" s="16"/>
      <c r="M89" s="16"/>
      <c r="N89" s="16"/>
      <c r="O89" s="16"/>
      <c r="S89" s="16"/>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20"/>
      <c r="BY89" s="1125"/>
      <c r="BZ89" s="1125"/>
      <c r="CD89" s="1549"/>
      <c r="CE89" s="1549"/>
      <c r="CY89" s="1549"/>
      <c r="CZ89" s="979"/>
      <c r="DA89" s="979"/>
      <c r="DB89" s="979"/>
      <c r="DC89" s="979"/>
      <c r="DD89" s="979"/>
      <c r="DE89" s="979"/>
      <c r="DF89" s="979"/>
      <c r="DG89" s="979"/>
      <c r="DH89" s="979"/>
      <c r="DI89" s="979"/>
      <c r="DJ89" s="979"/>
      <c r="DK89" s="979"/>
      <c r="DL89" s="979"/>
      <c r="DM89" s="979"/>
      <c r="DN89" s="979"/>
      <c r="DO89" s="979"/>
      <c r="DP89" s="979"/>
      <c r="DQ89" s="979"/>
      <c r="DR89" s="979"/>
      <c r="DS89" s="979"/>
      <c r="DT89" s="979"/>
      <c r="DU89" s="979"/>
      <c r="DV89" s="979"/>
      <c r="DW89" s="979"/>
      <c r="DX89" s="979"/>
      <c r="DY89" s="979"/>
      <c r="DZ89" s="979"/>
      <c r="EA89" s="979"/>
      <c r="EB89" s="979"/>
      <c r="EC89" s="979"/>
      <c r="ED89" s="979"/>
      <c r="EE89" s="979"/>
      <c r="EF89" s="979"/>
      <c r="EG89" s="979"/>
      <c r="EH89" s="979"/>
      <c r="EI89" s="979"/>
    </row>
    <row r="90" spans="4:139" s="15" customFormat="1">
      <c r="D90" s="16"/>
      <c r="E90" s="16"/>
      <c r="F90" s="16"/>
      <c r="G90" s="16"/>
      <c r="H90" s="16"/>
      <c r="I90" s="16"/>
      <c r="J90" s="16"/>
      <c r="K90" s="16"/>
      <c r="L90" s="16"/>
      <c r="M90" s="16"/>
      <c r="N90" s="16"/>
      <c r="O90" s="16"/>
      <c r="S90" s="16"/>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20"/>
      <c r="BY90" s="1125"/>
      <c r="BZ90" s="1125"/>
      <c r="CD90" s="1549"/>
      <c r="CE90" s="1549"/>
      <c r="CY90" s="1549"/>
      <c r="CZ90" s="979"/>
      <c r="DA90" s="979"/>
      <c r="DB90" s="979"/>
      <c r="DC90" s="979"/>
      <c r="DD90" s="979"/>
      <c r="DE90" s="979"/>
      <c r="DF90" s="979"/>
      <c r="DG90" s="979"/>
      <c r="DH90" s="979"/>
      <c r="DI90" s="979"/>
      <c r="DJ90" s="979"/>
      <c r="DK90" s="979"/>
      <c r="DL90" s="979"/>
      <c r="DM90" s="979"/>
      <c r="DN90" s="979"/>
      <c r="DO90" s="979"/>
      <c r="DP90" s="979"/>
      <c r="DQ90" s="979"/>
      <c r="DR90" s="979"/>
      <c r="DS90" s="979"/>
      <c r="DT90" s="979"/>
      <c r="DU90" s="979"/>
      <c r="DV90" s="979"/>
      <c r="DW90" s="979"/>
      <c r="DX90" s="979"/>
      <c r="DY90" s="979"/>
      <c r="DZ90" s="979"/>
      <c r="EA90" s="979"/>
      <c r="EB90" s="979"/>
      <c r="EC90" s="979"/>
      <c r="ED90" s="979"/>
      <c r="EE90" s="979"/>
      <c r="EF90" s="979"/>
      <c r="EG90" s="979"/>
      <c r="EH90" s="979"/>
      <c r="EI90" s="979"/>
    </row>
    <row r="91" spans="4:139" s="15" customFormat="1">
      <c r="D91" s="16"/>
      <c r="E91" s="16"/>
      <c r="F91" s="16"/>
      <c r="G91" s="16"/>
      <c r="H91" s="16"/>
      <c r="I91" s="16"/>
      <c r="J91" s="16"/>
      <c r="K91" s="16"/>
      <c r="L91" s="16"/>
      <c r="M91" s="16"/>
      <c r="N91" s="16"/>
      <c r="O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20"/>
      <c r="BY91" s="1125"/>
      <c r="BZ91" s="1125"/>
      <c r="CD91" s="1549"/>
      <c r="CE91" s="1549"/>
      <c r="CY91" s="1549"/>
      <c r="CZ91" s="979"/>
      <c r="DA91" s="979"/>
      <c r="DB91" s="979"/>
      <c r="DC91" s="979"/>
      <c r="DD91" s="979"/>
      <c r="DE91" s="979"/>
      <c r="DF91" s="979"/>
      <c r="DG91" s="979"/>
      <c r="DH91" s="979"/>
      <c r="DI91" s="979"/>
      <c r="DJ91" s="979"/>
      <c r="DK91" s="979"/>
      <c r="DL91" s="979"/>
      <c r="DM91" s="979"/>
      <c r="DN91" s="979"/>
      <c r="DO91" s="979"/>
      <c r="DP91" s="979"/>
      <c r="DQ91" s="979"/>
      <c r="DR91" s="979"/>
      <c r="DS91" s="979"/>
      <c r="DT91" s="979"/>
      <c r="DU91" s="979"/>
      <c r="DV91" s="979"/>
      <c r="DW91" s="979"/>
      <c r="DX91" s="979"/>
      <c r="DY91" s="979"/>
      <c r="DZ91" s="979"/>
      <c r="EA91" s="979"/>
      <c r="EB91" s="979"/>
      <c r="EC91" s="979"/>
      <c r="ED91" s="979"/>
      <c r="EE91" s="979"/>
      <c r="EF91" s="979"/>
      <c r="EG91" s="979"/>
      <c r="EH91" s="979"/>
      <c r="EI91" s="979"/>
    </row>
    <row r="92" spans="4:139" s="15" customFormat="1">
      <c r="D92" s="16"/>
      <c r="E92" s="16"/>
      <c r="F92" s="16"/>
      <c r="G92" s="16"/>
      <c r="H92" s="16"/>
      <c r="I92" s="16"/>
      <c r="J92" s="16"/>
      <c r="K92" s="16"/>
      <c r="L92" s="16"/>
      <c r="M92" s="16"/>
      <c r="N92" s="16"/>
      <c r="O92" s="16"/>
      <c r="S92" s="16"/>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20"/>
      <c r="BY92" s="1125"/>
      <c r="BZ92" s="1125"/>
      <c r="CD92" s="1549"/>
      <c r="CE92" s="1549"/>
      <c r="CY92" s="1549"/>
      <c r="CZ92" s="979"/>
      <c r="DA92" s="979"/>
      <c r="DB92" s="979"/>
      <c r="DC92" s="979"/>
      <c r="DD92" s="979"/>
      <c r="DE92" s="979"/>
      <c r="DF92" s="979"/>
      <c r="DG92" s="979"/>
      <c r="DH92" s="979"/>
      <c r="DI92" s="979"/>
      <c r="DJ92" s="979"/>
      <c r="DK92" s="979"/>
      <c r="DL92" s="979"/>
      <c r="DM92" s="979"/>
      <c r="DN92" s="979"/>
      <c r="DO92" s="979"/>
      <c r="DP92" s="979"/>
      <c r="DQ92" s="979"/>
      <c r="DR92" s="979"/>
      <c r="DS92" s="979"/>
      <c r="DT92" s="979"/>
      <c r="DU92" s="979"/>
      <c r="DV92" s="979"/>
      <c r="DW92" s="979"/>
      <c r="DX92" s="979"/>
      <c r="DY92" s="979"/>
      <c r="DZ92" s="979"/>
      <c r="EA92" s="979"/>
      <c r="EB92" s="979"/>
      <c r="EC92" s="979"/>
      <c r="ED92" s="979"/>
      <c r="EE92" s="979"/>
      <c r="EF92" s="979"/>
      <c r="EG92" s="979"/>
      <c r="EH92" s="979"/>
      <c r="EI92" s="979"/>
    </row>
    <row r="93" spans="4:139" s="15" customFormat="1">
      <c r="D93" s="16"/>
      <c r="E93" s="16"/>
      <c r="F93" s="16"/>
      <c r="G93" s="16"/>
      <c r="H93" s="16"/>
      <c r="I93" s="16"/>
      <c r="J93" s="16"/>
      <c r="K93" s="16"/>
      <c r="L93" s="16"/>
      <c r="M93" s="16"/>
      <c r="N93" s="16"/>
      <c r="O93" s="16"/>
      <c r="S93" s="16"/>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20"/>
      <c r="BY93" s="1125"/>
      <c r="BZ93" s="1125"/>
      <c r="CD93" s="1549"/>
      <c r="CE93" s="1549"/>
      <c r="CY93" s="1549"/>
      <c r="CZ93" s="979"/>
      <c r="DA93" s="979"/>
      <c r="DB93" s="979"/>
      <c r="DC93" s="979"/>
      <c r="DD93" s="979"/>
      <c r="DE93" s="979"/>
      <c r="DF93" s="979"/>
      <c r="DG93" s="979"/>
      <c r="DH93" s="979"/>
      <c r="DI93" s="979"/>
      <c r="DJ93" s="979"/>
      <c r="DK93" s="979"/>
      <c r="DL93" s="979"/>
      <c r="DM93" s="979"/>
      <c r="DN93" s="979"/>
      <c r="DO93" s="979"/>
      <c r="DP93" s="979"/>
      <c r="DQ93" s="979"/>
      <c r="DR93" s="979"/>
      <c r="DS93" s="979"/>
      <c r="DT93" s="979"/>
      <c r="DU93" s="979"/>
      <c r="DV93" s="979"/>
      <c r="DW93" s="979"/>
      <c r="DX93" s="979"/>
      <c r="DY93" s="979"/>
      <c r="DZ93" s="979"/>
      <c r="EA93" s="979"/>
      <c r="EB93" s="979"/>
      <c r="EC93" s="979"/>
      <c r="ED93" s="979"/>
      <c r="EE93" s="979"/>
      <c r="EF93" s="979"/>
      <c r="EG93" s="979"/>
      <c r="EH93" s="979"/>
      <c r="EI93" s="979"/>
    </row>
    <row r="94" spans="4:139" s="15" customFormat="1">
      <c r="D94" s="16"/>
      <c r="E94" s="16"/>
      <c r="F94" s="16"/>
      <c r="G94" s="16"/>
      <c r="H94" s="16"/>
      <c r="I94" s="16"/>
      <c r="J94" s="16"/>
      <c r="K94" s="16"/>
      <c r="L94" s="16"/>
      <c r="M94" s="16"/>
      <c r="N94" s="16"/>
      <c r="O94" s="16"/>
      <c r="S94" s="16"/>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20"/>
      <c r="BY94" s="1125"/>
      <c r="BZ94" s="1125"/>
      <c r="CD94" s="1549"/>
      <c r="CE94" s="1549"/>
      <c r="CY94" s="1549"/>
      <c r="CZ94" s="979"/>
      <c r="DA94" s="979"/>
      <c r="DB94" s="979"/>
      <c r="DC94" s="979"/>
      <c r="DD94" s="979"/>
      <c r="DE94" s="979"/>
      <c r="DF94" s="979"/>
      <c r="DG94" s="979"/>
      <c r="DH94" s="979"/>
      <c r="DI94" s="979"/>
      <c r="DJ94" s="979"/>
      <c r="DK94" s="979"/>
      <c r="DL94" s="979"/>
      <c r="DM94" s="979"/>
      <c r="DN94" s="979"/>
      <c r="DO94" s="979"/>
      <c r="DP94" s="979"/>
      <c r="DQ94" s="979"/>
      <c r="DR94" s="979"/>
      <c r="DS94" s="979"/>
      <c r="DT94" s="979"/>
      <c r="DU94" s="979"/>
      <c r="DV94" s="979"/>
      <c r="DW94" s="979"/>
      <c r="DX94" s="979"/>
      <c r="DY94" s="979"/>
      <c r="DZ94" s="979"/>
      <c r="EA94" s="979"/>
      <c r="EB94" s="979"/>
      <c r="EC94" s="979"/>
      <c r="ED94" s="979"/>
      <c r="EE94" s="979"/>
      <c r="EF94" s="979"/>
      <c r="EG94" s="979"/>
      <c r="EH94" s="979"/>
      <c r="EI94" s="979"/>
    </row>
    <row r="95" spans="4:139" s="15" customFormat="1">
      <c r="D95" s="16"/>
      <c r="E95" s="16"/>
      <c r="F95" s="16"/>
      <c r="G95" s="16"/>
      <c r="H95" s="16"/>
      <c r="I95" s="16"/>
      <c r="J95" s="16"/>
      <c r="K95" s="16"/>
      <c r="L95" s="16"/>
      <c r="M95" s="16"/>
      <c r="N95" s="16"/>
      <c r="O95" s="16"/>
      <c r="S95" s="16"/>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20"/>
      <c r="BY95" s="1125"/>
      <c r="BZ95" s="1125"/>
      <c r="CD95" s="1549"/>
      <c r="CE95" s="1549"/>
      <c r="CY95" s="1549"/>
      <c r="CZ95" s="979"/>
      <c r="DA95" s="979"/>
      <c r="DB95" s="979"/>
      <c r="DC95" s="979"/>
      <c r="DD95" s="979"/>
      <c r="DE95" s="979"/>
      <c r="DF95" s="979"/>
      <c r="DG95" s="979"/>
      <c r="DH95" s="979"/>
      <c r="DI95" s="979"/>
      <c r="DJ95" s="979"/>
      <c r="DK95" s="979"/>
      <c r="DL95" s="979"/>
      <c r="DM95" s="979"/>
      <c r="DN95" s="979"/>
      <c r="DO95" s="979"/>
      <c r="DP95" s="979"/>
      <c r="DQ95" s="979"/>
      <c r="DR95" s="979"/>
      <c r="DS95" s="979"/>
      <c r="DT95" s="979"/>
      <c r="DU95" s="979"/>
      <c r="DV95" s="979"/>
      <c r="DW95" s="979"/>
      <c r="DX95" s="979"/>
      <c r="DY95" s="979"/>
      <c r="DZ95" s="979"/>
      <c r="EA95" s="979"/>
      <c r="EB95" s="979"/>
      <c r="EC95" s="979"/>
      <c r="ED95" s="979"/>
      <c r="EE95" s="979"/>
      <c r="EF95" s="979"/>
      <c r="EG95" s="979"/>
      <c r="EH95" s="979"/>
      <c r="EI95" s="979"/>
    </row>
    <row r="96" spans="4:139" s="15" customFormat="1">
      <c r="D96" s="16"/>
      <c r="E96" s="16"/>
      <c r="F96" s="16"/>
      <c r="G96" s="16"/>
      <c r="H96" s="16"/>
      <c r="I96" s="16"/>
      <c r="J96" s="16"/>
      <c r="K96" s="16"/>
      <c r="L96" s="16"/>
      <c r="M96" s="16"/>
      <c r="N96" s="16"/>
      <c r="O96" s="16"/>
      <c r="S96" s="16"/>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20"/>
      <c r="BY96" s="1125"/>
      <c r="BZ96" s="1125"/>
      <c r="CD96" s="1549"/>
      <c r="CE96" s="1549"/>
      <c r="CY96" s="1549"/>
      <c r="CZ96" s="979"/>
      <c r="DA96" s="979"/>
      <c r="DB96" s="979"/>
      <c r="DC96" s="979"/>
      <c r="DD96" s="979"/>
      <c r="DE96" s="979"/>
      <c r="DF96" s="979"/>
      <c r="DG96" s="979"/>
      <c r="DH96" s="979"/>
      <c r="DI96" s="979"/>
      <c r="DJ96" s="979"/>
      <c r="DK96" s="979"/>
      <c r="DL96" s="979"/>
      <c r="DM96" s="979"/>
      <c r="DN96" s="979"/>
      <c r="DO96" s="979"/>
      <c r="DP96" s="979"/>
      <c r="DQ96" s="979"/>
      <c r="DR96" s="979"/>
      <c r="DS96" s="979"/>
      <c r="DT96" s="979"/>
      <c r="DU96" s="979"/>
      <c r="DV96" s="979"/>
      <c r="DW96" s="979"/>
      <c r="DX96" s="979"/>
      <c r="DY96" s="979"/>
      <c r="DZ96" s="979"/>
      <c r="EA96" s="979"/>
      <c r="EB96" s="979"/>
      <c r="EC96" s="979"/>
      <c r="ED96" s="979"/>
      <c r="EE96" s="979"/>
      <c r="EF96" s="979"/>
      <c r="EG96" s="979"/>
      <c r="EH96" s="979"/>
      <c r="EI96" s="979"/>
    </row>
    <row r="97" spans="4:139" s="15" customFormat="1">
      <c r="D97" s="16"/>
      <c r="E97" s="16"/>
      <c r="F97" s="16"/>
      <c r="G97" s="16"/>
      <c r="H97" s="16"/>
      <c r="I97" s="16"/>
      <c r="J97" s="16"/>
      <c r="K97" s="16"/>
      <c r="L97" s="16"/>
      <c r="M97" s="16"/>
      <c r="N97" s="16"/>
      <c r="O97" s="16"/>
      <c r="S97" s="16"/>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20"/>
      <c r="BY97" s="1125"/>
      <c r="BZ97" s="1125"/>
      <c r="CD97" s="1549"/>
      <c r="CE97" s="1549"/>
      <c r="CY97" s="1549"/>
      <c r="CZ97" s="979"/>
      <c r="DA97" s="979"/>
      <c r="DB97" s="979"/>
      <c r="DC97" s="979"/>
      <c r="DD97" s="979"/>
      <c r="DE97" s="979"/>
      <c r="DF97" s="979"/>
      <c r="DG97" s="979"/>
      <c r="DH97" s="979"/>
      <c r="DI97" s="979"/>
      <c r="DJ97" s="979"/>
      <c r="DK97" s="979"/>
      <c r="DL97" s="979"/>
      <c r="DM97" s="979"/>
      <c r="DN97" s="979"/>
      <c r="DO97" s="979"/>
      <c r="DP97" s="979"/>
      <c r="DQ97" s="979"/>
      <c r="DR97" s="979"/>
      <c r="DS97" s="979"/>
      <c r="DT97" s="979"/>
      <c r="DU97" s="979"/>
      <c r="DV97" s="979"/>
      <c r="DW97" s="979"/>
      <c r="DX97" s="979"/>
      <c r="DY97" s="979"/>
      <c r="DZ97" s="979"/>
      <c r="EA97" s="979"/>
      <c r="EB97" s="979"/>
      <c r="EC97" s="979"/>
      <c r="ED97" s="979"/>
      <c r="EE97" s="979"/>
      <c r="EF97" s="979"/>
      <c r="EG97" s="979"/>
      <c r="EH97" s="979"/>
      <c r="EI97" s="979"/>
    </row>
    <row r="98" spans="4:139" s="15" customFormat="1">
      <c r="D98" s="16"/>
      <c r="E98" s="16"/>
      <c r="F98" s="16"/>
      <c r="G98" s="16"/>
      <c r="H98" s="16"/>
      <c r="I98" s="16"/>
      <c r="J98" s="16"/>
      <c r="K98" s="16"/>
      <c r="L98" s="16"/>
      <c r="M98" s="16"/>
      <c r="N98" s="16"/>
      <c r="O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20"/>
      <c r="BY98" s="1125"/>
      <c r="BZ98" s="1125"/>
      <c r="CD98" s="1549"/>
      <c r="CE98" s="1549"/>
      <c r="CY98" s="1549"/>
      <c r="CZ98" s="979"/>
      <c r="DA98" s="979"/>
      <c r="DB98" s="979"/>
      <c r="DC98" s="979"/>
      <c r="DD98" s="979"/>
      <c r="DE98" s="979"/>
      <c r="DF98" s="979"/>
      <c r="DG98" s="979"/>
      <c r="DH98" s="979"/>
      <c r="DI98" s="979"/>
      <c r="DJ98" s="979"/>
      <c r="DK98" s="979"/>
      <c r="DL98" s="979"/>
      <c r="DM98" s="979"/>
      <c r="DN98" s="979"/>
      <c r="DO98" s="979"/>
      <c r="DP98" s="979"/>
      <c r="DQ98" s="979"/>
      <c r="DR98" s="979"/>
      <c r="DS98" s="979"/>
      <c r="DT98" s="979"/>
      <c r="DU98" s="979"/>
      <c r="DV98" s="979"/>
      <c r="DW98" s="979"/>
      <c r="DX98" s="979"/>
      <c r="DY98" s="979"/>
      <c r="DZ98" s="979"/>
      <c r="EA98" s="979"/>
      <c r="EB98" s="979"/>
      <c r="EC98" s="979"/>
      <c r="ED98" s="979"/>
      <c r="EE98" s="979"/>
      <c r="EF98" s="979"/>
      <c r="EG98" s="979"/>
      <c r="EH98" s="979"/>
      <c r="EI98" s="979"/>
    </row>
    <row r="99" spans="4:139" s="15" customFormat="1">
      <c r="D99" s="16"/>
      <c r="E99" s="16"/>
      <c r="F99" s="16"/>
      <c r="G99" s="16"/>
      <c r="H99" s="16"/>
      <c r="I99" s="16"/>
      <c r="J99" s="16"/>
      <c r="K99" s="16"/>
      <c r="L99" s="16"/>
      <c r="M99" s="16"/>
      <c r="N99" s="16"/>
      <c r="O99" s="16"/>
      <c r="S99" s="16"/>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20"/>
      <c r="BY99" s="1125"/>
      <c r="BZ99" s="1125"/>
      <c r="CD99" s="1549"/>
      <c r="CE99" s="1549"/>
      <c r="CY99" s="1549"/>
      <c r="CZ99" s="979"/>
      <c r="DA99" s="979"/>
      <c r="DB99" s="979"/>
      <c r="DC99" s="979"/>
      <c r="DD99" s="979"/>
      <c r="DE99" s="979"/>
      <c r="DF99" s="979"/>
      <c r="DG99" s="979"/>
      <c r="DH99" s="979"/>
      <c r="DI99" s="979"/>
      <c r="DJ99" s="979"/>
      <c r="DK99" s="979"/>
      <c r="DL99" s="979"/>
      <c r="DM99" s="979"/>
      <c r="DN99" s="979"/>
      <c r="DO99" s="979"/>
      <c r="DP99" s="979"/>
      <c r="DQ99" s="979"/>
      <c r="DR99" s="979"/>
      <c r="DS99" s="979"/>
      <c r="DT99" s="979"/>
      <c r="DU99" s="979"/>
      <c r="DV99" s="979"/>
      <c r="DW99" s="979"/>
      <c r="DX99" s="979"/>
      <c r="DY99" s="979"/>
      <c r="DZ99" s="979"/>
      <c r="EA99" s="979"/>
      <c r="EB99" s="979"/>
      <c r="EC99" s="979"/>
      <c r="ED99" s="979"/>
      <c r="EE99" s="979"/>
      <c r="EF99" s="979"/>
      <c r="EG99" s="979"/>
      <c r="EH99" s="979"/>
      <c r="EI99" s="979"/>
    </row>
    <row r="100" spans="4:139" s="15" customFormat="1">
      <c r="D100" s="16"/>
      <c r="E100" s="16"/>
      <c r="F100" s="16"/>
      <c r="G100" s="16"/>
      <c r="H100" s="16"/>
      <c r="I100" s="16"/>
      <c r="J100" s="16"/>
      <c r="K100" s="16"/>
      <c r="L100" s="16"/>
      <c r="M100" s="16"/>
      <c r="N100" s="16"/>
      <c r="O100" s="16"/>
      <c r="S100" s="16"/>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20"/>
      <c r="BY100" s="1125"/>
      <c r="BZ100" s="1125"/>
      <c r="CD100" s="1549"/>
      <c r="CE100" s="1549"/>
      <c r="CY100" s="1549"/>
      <c r="CZ100" s="979"/>
      <c r="DA100" s="979"/>
      <c r="DB100" s="979"/>
      <c r="DC100" s="979"/>
      <c r="DD100" s="979"/>
      <c r="DE100" s="979"/>
      <c r="DF100" s="979"/>
      <c r="DG100" s="979"/>
      <c r="DH100" s="979"/>
      <c r="DI100" s="979"/>
      <c r="DJ100" s="979"/>
      <c r="DK100" s="979"/>
      <c r="DL100" s="979"/>
      <c r="DM100" s="979"/>
      <c r="DN100" s="979"/>
      <c r="DO100" s="979"/>
      <c r="DP100" s="979"/>
      <c r="DQ100" s="979"/>
      <c r="DR100" s="979"/>
      <c r="DS100" s="979"/>
      <c r="DT100" s="979"/>
      <c r="DU100" s="979"/>
      <c r="DV100" s="979"/>
      <c r="DW100" s="979"/>
      <c r="DX100" s="979"/>
      <c r="DY100" s="979"/>
      <c r="DZ100" s="979"/>
      <c r="EA100" s="979"/>
      <c r="EB100" s="979"/>
      <c r="EC100" s="979"/>
      <c r="ED100" s="979"/>
      <c r="EE100" s="979"/>
      <c r="EF100" s="979"/>
      <c r="EG100" s="979"/>
      <c r="EH100" s="979"/>
      <c r="EI100" s="979"/>
    </row>
    <row r="101" spans="4:139" s="15" customFormat="1">
      <c r="D101" s="16"/>
      <c r="E101" s="16"/>
      <c r="F101" s="16"/>
      <c r="G101" s="16"/>
      <c r="H101" s="16"/>
      <c r="I101" s="16"/>
      <c r="J101" s="16"/>
      <c r="K101" s="16"/>
      <c r="L101" s="16"/>
      <c r="M101" s="16"/>
      <c r="N101" s="16"/>
      <c r="O101" s="16"/>
      <c r="S101" s="16"/>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20"/>
      <c r="BY101" s="1125"/>
      <c r="BZ101" s="1125"/>
      <c r="CD101" s="1549"/>
      <c r="CE101" s="1549"/>
      <c r="CY101" s="1549"/>
      <c r="CZ101" s="979"/>
      <c r="DA101" s="979"/>
      <c r="DB101" s="979"/>
      <c r="DC101" s="979"/>
      <c r="DD101" s="979"/>
      <c r="DE101" s="979"/>
      <c r="DF101" s="979"/>
      <c r="DG101" s="979"/>
      <c r="DH101" s="979"/>
      <c r="DI101" s="979"/>
      <c r="DJ101" s="979"/>
      <c r="DK101" s="979"/>
      <c r="DL101" s="979"/>
      <c r="DM101" s="979"/>
      <c r="DN101" s="979"/>
      <c r="DO101" s="979"/>
      <c r="DP101" s="979"/>
      <c r="DQ101" s="979"/>
      <c r="DR101" s="979"/>
      <c r="DS101" s="979"/>
      <c r="DT101" s="979"/>
      <c r="DU101" s="979"/>
      <c r="DV101" s="979"/>
      <c r="DW101" s="979"/>
      <c r="DX101" s="979"/>
      <c r="DY101" s="979"/>
      <c r="DZ101" s="979"/>
      <c r="EA101" s="979"/>
      <c r="EB101" s="979"/>
      <c r="EC101" s="979"/>
      <c r="ED101" s="979"/>
      <c r="EE101" s="979"/>
      <c r="EF101" s="979"/>
      <c r="EG101" s="979"/>
      <c r="EH101" s="979"/>
      <c r="EI101" s="979"/>
    </row>
    <row r="102" spans="4:139" s="15" customFormat="1">
      <c r="D102" s="16"/>
      <c r="E102" s="16"/>
      <c r="F102" s="16"/>
      <c r="G102" s="16"/>
      <c r="H102" s="16"/>
      <c r="I102" s="16"/>
      <c r="J102" s="16"/>
      <c r="K102" s="16"/>
      <c r="L102" s="16"/>
      <c r="M102" s="16"/>
      <c r="N102" s="16"/>
      <c r="O102" s="16"/>
      <c r="S102" s="16"/>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20"/>
      <c r="BY102" s="1125"/>
      <c r="BZ102" s="1125"/>
      <c r="CD102" s="1549"/>
      <c r="CE102" s="1549"/>
      <c r="CY102" s="1549"/>
      <c r="CZ102" s="979"/>
      <c r="DA102" s="979"/>
      <c r="DB102" s="979"/>
      <c r="DC102" s="979"/>
      <c r="DD102" s="979"/>
      <c r="DE102" s="979"/>
      <c r="DF102" s="979"/>
      <c r="DG102" s="979"/>
      <c r="DH102" s="979"/>
      <c r="DI102" s="979"/>
      <c r="DJ102" s="979"/>
      <c r="DK102" s="979"/>
      <c r="DL102" s="979"/>
      <c r="DM102" s="979"/>
      <c r="DN102" s="979"/>
      <c r="DO102" s="979"/>
      <c r="DP102" s="979"/>
      <c r="DQ102" s="979"/>
      <c r="DR102" s="979"/>
      <c r="DS102" s="979"/>
      <c r="DT102" s="979"/>
      <c r="DU102" s="979"/>
      <c r="DV102" s="979"/>
      <c r="DW102" s="979"/>
      <c r="DX102" s="979"/>
      <c r="DY102" s="979"/>
      <c r="DZ102" s="979"/>
      <c r="EA102" s="979"/>
      <c r="EB102" s="979"/>
      <c r="EC102" s="979"/>
      <c r="ED102" s="979"/>
      <c r="EE102" s="979"/>
      <c r="EF102" s="979"/>
      <c r="EG102" s="979"/>
      <c r="EH102" s="979"/>
      <c r="EI102" s="979"/>
    </row>
    <row r="103" spans="4:139" s="15" customFormat="1">
      <c r="D103" s="16"/>
      <c r="E103" s="16"/>
      <c r="F103" s="16"/>
      <c r="G103" s="16"/>
      <c r="H103" s="16"/>
      <c r="I103" s="16"/>
      <c r="J103" s="16"/>
      <c r="K103" s="16"/>
      <c r="L103" s="16"/>
      <c r="M103" s="16"/>
      <c r="N103" s="16"/>
      <c r="O103" s="16"/>
      <c r="S103" s="16"/>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20"/>
      <c r="BY103" s="1125"/>
      <c r="BZ103" s="1125"/>
      <c r="CD103" s="1549"/>
      <c r="CE103" s="1549"/>
      <c r="CY103" s="1549"/>
      <c r="CZ103" s="979"/>
      <c r="DA103" s="979"/>
      <c r="DB103" s="979"/>
      <c r="DC103" s="979"/>
      <c r="DD103" s="979"/>
      <c r="DE103" s="979"/>
      <c r="DF103" s="979"/>
      <c r="DG103" s="979"/>
      <c r="DH103" s="979"/>
      <c r="DI103" s="979"/>
      <c r="DJ103" s="979"/>
      <c r="DK103" s="979"/>
      <c r="DL103" s="979"/>
      <c r="DM103" s="979"/>
      <c r="DN103" s="979"/>
      <c r="DO103" s="979"/>
      <c r="DP103" s="979"/>
      <c r="DQ103" s="979"/>
      <c r="DR103" s="979"/>
      <c r="DS103" s="979"/>
      <c r="DT103" s="979"/>
      <c r="DU103" s="979"/>
      <c r="DV103" s="979"/>
      <c r="DW103" s="979"/>
      <c r="DX103" s="979"/>
      <c r="DY103" s="979"/>
      <c r="DZ103" s="979"/>
      <c r="EA103" s="979"/>
      <c r="EB103" s="979"/>
      <c r="EC103" s="979"/>
      <c r="ED103" s="979"/>
      <c r="EE103" s="979"/>
      <c r="EF103" s="979"/>
      <c r="EG103" s="979"/>
      <c r="EH103" s="979"/>
      <c r="EI103" s="979"/>
    </row>
    <row r="104" spans="4:139" s="15" customFormat="1">
      <c r="D104" s="16"/>
      <c r="E104" s="16"/>
      <c r="F104" s="16"/>
      <c r="G104" s="16"/>
      <c r="H104" s="16"/>
      <c r="I104" s="16"/>
      <c r="J104" s="16"/>
      <c r="K104" s="16"/>
      <c r="L104" s="16"/>
      <c r="M104" s="16"/>
      <c r="N104" s="16"/>
      <c r="O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20"/>
      <c r="BY104" s="1125"/>
      <c r="BZ104" s="1125"/>
      <c r="CD104" s="1549"/>
      <c r="CE104" s="1549"/>
      <c r="CY104" s="1549"/>
      <c r="CZ104" s="979"/>
      <c r="DA104" s="979"/>
      <c r="DB104" s="979"/>
      <c r="DC104" s="979"/>
      <c r="DD104" s="979"/>
      <c r="DE104" s="979"/>
      <c r="DF104" s="979"/>
      <c r="DG104" s="979"/>
      <c r="DH104" s="979"/>
      <c r="DI104" s="979"/>
      <c r="DJ104" s="979"/>
      <c r="DK104" s="979"/>
      <c r="DL104" s="979"/>
      <c r="DM104" s="979"/>
      <c r="DN104" s="979"/>
      <c r="DO104" s="979"/>
      <c r="DP104" s="979"/>
      <c r="DQ104" s="979"/>
      <c r="DR104" s="979"/>
      <c r="DS104" s="979"/>
      <c r="DT104" s="979"/>
      <c r="DU104" s="979"/>
      <c r="DV104" s="979"/>
      <c r="DW104" s="979"/>
      <c r="DX104" s="979"/>
      <c r="DY104" s="979"/>
      <c r="DZ104" s="979"/>
      <c r="EA104" s="979"/>
      <c r="EB104" s="979"/>
      <c r="EC104" s="979"/>
      <c r="ED104" s="979"/>
      <c r="EE104" s="979"/>
      <c r="EF104" s="979"/>
      <c r="EG104" s="979"/>
      <c r="EH104" s="979"/>
      <c r="EI104" s="979"/>
    </row>
    <row r="105" spans="4:139" s="15" customFormat="1">
      <c r="D105" s="16"/>
      <c r="E105" s="16"/>
      <c r="F105" s="16"/>
      <c r="G105" s="16"/>
      <c r="H105" s="16"/>
      <c r="I105" s="16"/>
      <c r="J105" s="16"/>
      <c r="K105" s="16"/>
      <c r="L105" s="16"/>
      <c r="M105" s="16"/>
      <c r="N105" s="16"/>
      <c r="O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20"/>
      <c r="BY105" s="1125"/>
      <c r="BZ105" s="1125"/>
      <c r="CD105" s="1549"/>
      <c r="CE105" s="1549"/>
      <c r="CY105" s="1549"/>
      <c r="CZ105" s="979"/>
      <c r="DA105" s="979"/>
      <c r="DB105" s="979"/>
      <c r="DC105" s="979"/>
      <c r="DD105" s="979"/>
      <c r="DE105" s="979"/>
      <c r="DF105" s="979"/>
      <c r="DG105" s="979"/>
      <c r="DH105" s="979"/>
      <c r="DI105" s="979"/>
      <c r="DJ105" s="979"/>
      <c r="DK105" s="979"/>
      <c r="DL105" s="979"/>
      <c r="DM105" s="979"/>
      <c r="DN105" s="979"/>
      <c r="DO105" s="979"/>
      <c r="DP105" s="979"/>
      <c r="DQ105" s="979"/>
      <c r="DR105" s="979"/>
      <c r="DS105" s="979"/>
      <c r="DT105" s="979"/>
      <c r="DU105" s="979"/>
      <c r="DV105" s="979"/>
      <c r="DW105" s="979"/>
      <c r="DX105" s="979"/>
      <c r="DY105" s="979"/>
      <c r="DZ105" s="979"/>
      <c r="EA105" s="979"/>
      <c r="EB105" s="979"/>
      <c r="EC105" s="979"/>
      <c r="ED105" s="979"/>
      <c r="EE105" s="979"/>
      <c r="EF105" s="979"/>
      <c r="EG105" s="979"/>
      <c r="EH105" s="979"/>
      <c r="EI105" s="979"/>
    </row>
    <row r="106" spans="4:139" s="15" customFormat="1">
      <c r="D106" s="16"/>
      <c r="E106" s="16"/>
      <c r="F106" s="16"/>
      <c r="G106" s="16"/>
      <c r="H106" s="16"/>
      <c r="I106" s="16"/>
      <c r="J106" s="16"/>
      <c r="K106" s="16"/>
      <c r="L106" s="16"/>
      <c r="M106" s="16"/>
      <c r="N106" s="16"/>
      <c r="O106" s="16"/>
      <c r="S106" s="16"/>
      <c r="T106" s="16"/>
      <c r="U106" s="16"/>
      <c r="V106" s="16"/>
      <c r="W106" s="16"/>
      <c r="X106" s="16"/>
      <c r="Y106" s="16"/>
      <c r="Z106" s="16"/>
      <c r="AA106" s="16"/>
      <c r="AB106" s="16"/>
      <c r="AC106" s="16"/>
      <c r="AD106" s="16"/>
      <c r="AE106" s="16"/>
      <c r="AF106" s="16"/>
      <c r="AG106" s="16"/>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20"/>
      <c r="BY106" s="1125"/>
      <c r="BZ106" s="1125"/>
      <c r="CD106" s="1549"/>
      <c r="CE106" s="1549"/>
      <c r="CY106" s="1549"/>
    </row>
    <row r="107" spans="4:139" s="15" customFormat="1">
      <c r="D107" s="16"/>
      <c r="E107" s="16"/>
      <c r="F107" s="16"/>
      <c r="G107" s="16"/>
      <c r="H107" s="16"/>
      <c r="I107" s="16"/>
      <c r="J107" s="16"/>
      <c r="K107" s="16"/>
      <c r="L107" s="16"/>
      <c r="M107" s="16"/>
      <c r="N107" s="16"/>
      <c r="O107" s="16"/>
      <c r="S107" s="16"/>
      <c r="T107" s="16"/>
      <c r="U107" s="16"/>
      <c r="V107" s="16"/>
      <c r="W107" s="16"/>
      <c r="X107" s="16"/>
      <c r="Y107" s="16"/>
      <c r="Z107" s="16"/>
      <c r="AA107" s="16"/>
      <c r="AB107" s="16"/>
      <c r="AC107" s="16"/>
      <c r="AD107" s="16"/>
      <c r="AE107" s="16"/>
      <c r="AF107" s="16"/>
      <c r="AG107" s="16"/>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20"/>
      <c r="BY107" s="1125"/>
      <c r="BZ107" s="1125"/>
      <c r="CD107" s="1549"/>
      <c r="CE107" s="1549"/>
      <c r="CY107" s="1549"/>
    </row>
    <row r="108" spans="4:139" s="15" customFormat="1">
      <c r="D108" s="16"/>
      <c r="E108" s="16"/>
      <c r="F108" s="16"/>
      <c r="G108" s="16"/>
      <c r="H108" s="16"/>
      <c r="I108" s="16"/>
      <c r="J108" s="16"/>
      <c r="K108" s="16"/>
      <c r="L108" s="16"/>
      <c r="M108" s="16"/>
      <c r="N108" s="16"/>
      <c r="O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20"/>
      <c r="BY108" s="1125"/>
      <c r="BZ108" s="1125"/>
      <c r="CD108" s="1549"/>
      <c r="CE108" s="1549"/>
      <c r="CY108" s="1549"/>
    </row>
    <row r="109" spans="4:139" s="15" customFormat="1">
      <c r="D109" s="16"/>
      <c r="E109" s="16"/>
      <c r="F109" s="16"/>
      <c r="G109" s="16"/>
      <c r="H109" s="16"/>
      <c r="I109" s="16"/>
      <c r="J109" s="16"/>
      <c r="K109" s="16"/>
      <c r="L109" s="16"/>
      <c r="M109" s="16"/>
      <c r="N109" s="16"/>
      <c r="O109" s="16"/>
      <c r="S109" s="16"/>
      <c r="T109" s="16"/>
      <c r="U109" s="16"/>
      <c r="V109" s="16"/>
      <c r="W109" s="16"/>
      <c r="X109" s="16"/>
      <c r="Y109" s="16"/>
      <c r="Z109" s="16"/>
      <c r="AA109" s="16"/>
      <c r="AB109" s="16"/>
      <c r="AC109" s="16"/>
      <c r="AD109" s="16"/>
      <c r="AE109" s="16"/>
      <c r="AF109" s="16"/>
      <c r="AG109" s="16"/>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20"/>
      <c r="BY109" s="1125"/>
      <c r="BZ109" s="1125"/>
      <c r="CD109" s="1549"/>
      <c r="CE109" s="1549"/>
      <c r="CY109" s="1549"/>
    </row>
    <row r="110" spans="4:139" s="15" customFormat="1">
      <c r="D110" s="16"/>
      <c r="E110" s="16"/>
      <c r="F110" s="16"/>
      <c r="G110" s="16"/>
      <c r="H110" s="16"/>
      <c r="I110" s="16"/>
      <c r="J110" s="16"/>
      <c r="K110" s="16"/>
      <c r="L110" s="16"/>
      <c r="M110" s="16"/>
      <c r="N110" s="16"/>
      <c r="O110" s="16"/>
      <c r="S110" s="16"/>
      <c r="T110" s="16"/>
      <c r="U110" s="16"/>
      <c r="V110" s="16"/>
      <c r="W110" s="16"/>
      <c r="X110" s="16"/>
      <c r="Y110" s="16"/>
      <c r="Z110" s="16"/>
      <c r="AA110" s="16"/>
      <c r="AB110" s="16"/>
      <c r="AC110" s="16"/>
      <c r="AD110" s="16"/>
      <c r="AE110" s="16"/>
      <c r="AF110" s="16"/>
      <c r="AG110" s="16"/>
      <c r="AH110" s="16"/>
      <c r="AI110" s="16"/>
      <c r="AJ110" s="16"/>
      <c r="AK110" s="16"/>
      <c r="AL110" s="16"/>
      <c r="AM110" s="16"/>
      <c r="AN110" s="16"/>
      <c r="AO110" s="16"/>
      <c r="AP110" s="16"/>
      <c r="AQ110" s="16"/>
      <c r="AR110" s="16"/>
      <c r="AS110" s="16"/>
      <c r="AT110" s="16"/>
      <c r="AU110" s="16"/>
      <c r="AV110" s="16"/>
      <c r="AW110" s="16"/>
      <c r="AX110" s="16"/>
      <c r="AY110" s="16"/>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20"/>
      <c r="BY110" s="1125"/>
      <c r="BZ110" s="1125"/>
      <c r="CD110" s="1549"/>
      <c r="CE110" s="1549"/>
      <c r="CY110" s="1549"/>
    </row>
    <row r="111" spans="4:139" s="15" customFormat="1">
      <c r="D111" s="16"/>
      <c r="E111" s="16"/>
      <c r="F111" s="16"/>
      <c r="G111" s="16"/>
      <c r="H111" s="16"/>
      <c r="I111" s="16"/>
      <c r="J111" s="16"/>
      <c r="K111" s="16"/>
      <c r="L111" s="16"/>
      <c r="M111" s="16"/>
      <c r="N111" s="16"/>
      <c r="O111" s="16"/>
      <c r="S111" s="16"/>
      <c r="T111" s="16"/>
      <c r="U111" s="16"/>
      <c r="V111" s="16"/>
      <c r="W111" s="16"/>
      <c r="X111" s="16"/>
      <c r="Y111" s="16"/>
      <c r="Z111" s="16"/>
      <c r="AA111" s="16"/>
      <c r="AB111" s="16"/>
      <c r="AC111" s="16"/>
      <c r="AD111" s="16"/>
      <c r="AE111" s="16"/>
      <c r="AF111" s="16"/>
      <c r="AG111" s="16"/>
      <c r="AH111" s="16"/>
      <c r="AI111" s="16"/>
      <c r="AJ111" s="16"/>
      <c r="AK111" s="16"/>
      <c r="AL111" s="16"/>
      <c r="AM111" s="16"/>
      <c r="AN111" s="16"/>
      <c r="AO111" s="16"/>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20"/>
      <c r="BY111" s="1125"/>
      <c r="BZ111" s="1125"/>
      <c r="CD111" s="1549"/>
      <c r="CE111" s="1549"/>
      <c r="CY111" s="1549"/>
    </row>
    <row r="112" spans="4:139" s="15" customFormat="1">
      <c r="D112" s="16"/>
      <c r="E112" s="16"/>
      <c r="F112" s="16"/>
      <c r="G112" s="16"/>
      <c r="H112" s="16"/>
      <c r="I112" s="16"/>
      <c r="J112" s="16"/>
      <c r="K112" s="16"/>
      <c r="L112" s="16"/>
      <c r="M112" s="16"/>
      <c r="N112" s="16"/>
      <c r="O112" s="16"/>
      <c r="S112" s="16"/>
      <c r="T112" s="16"/>
      <c r="U112" s="16"/>
      <c r="V112" s="16"/>
      <c r="W112" s="16"/>
      <c r="X112" s="16"/>
      <c r="Y112" s="16"/>
      <c r="Z112" s="16"/>
      <c r="AA112" s="16"/>
      <c r="AB112" s="16"/>
      <c r="AC112" s="16"/>
      <c r="AD112" s="16"/>
      <c r="AE112" s="16"/>
      <c r="AF112" s="16"/>
      <c r="AG112" s="16"/>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20"/>
      <c r="BY112" s="1125"/>
      <c r="BZ112" s="1125"/>
      <c r="CD112" s="1549"/>
      <c r="CE112" s="1549"/>
      <c r="CY112" s="1549"/>
    </row>
    <row r="113" spans="4:103" s="15" customFormat="1">
      <c r="D113" s="16"/>
      <c r="E113" s="16"/>
      <c r="F113" s="16"/>
      <c r="G113" s="16"/>
      <c r="H113" s="16"/>
      <c r="I113" s="16"/>
      <c r="J113" s="16"/>
      <c r="K113" s="16"/>
      <c r="L113" s="16"/>
      <c r="M113" s="16"/>
      <c r="N113" s="16"/>
      <c r="O113" s="16"/>
      <c r="S113" s="16"/>
      <c r="T113" s="16"/>
      <c r="U113" s="16"/>
      <c r="V113" s="16"/>
      <c r="W113" s="16"/>
      <c r="X113" s="16"/>
      <c r="Y113" s="16"/>
      <c r="Z113" s="16"/>
      <c r="AA113" s="16"/>
      <c r="AB113" s="16"/>
      <c r="AC113" s="16"/>
      <c r="AD113" s="16"/>
      <c r="AE113" s="16"/>
      <c r="AF113" s="16"/>
      <c r="AG113" s="16"/>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20"/>
      <c r="BY113" s="1125"/>
      <c r="BZ113" s="1125"/>
      <c r="CD113" s="1549"/>
      <c r="CE113" s="1549"/>
      <c r="CY113" s="1549"/>
    </row>
    <row r="114" spans="4:103" s="15" customFormat="1">
      <c r="D114" s="16"/>
      <c r="E114" s="16"/>
      <c r="F114" s="16"/>
      <c r="G114" s="16"/>
      <c r="H114" s="16"/>
      <c r="I114" s="16"/>
      <c r="J114" s="16"/>
      <c r="K114" s="16"/>
      <c r="L114" s="16"/>
      <c r="M114" s="16"/>
      <c r="N114" s="16"/>
      <c r="O114" s="16"/>
      <c r="S114" s="16"/>
      <c r="T114" s="16"/>
      <c r="U114" s="16"/>
      <c r="V114" s="16"/>
      <c r="W114" s="16"/>
      <c r="X114" s="16"/>
      <c r="Y114" s="16"/>
      <c r="Z114" s="16"/>
      <c r="AA114" s="16"/>
      <c r="AB114" s="16"/>
      <c r="AC114" s="16"/>
      <c r="AD114" s="16"/>
      <c r="AE114" s="16"/>
      <c r="AF114" s="16"/>
      <c r="AG114" s="16"/>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20"/>
      <c r="BY114" s="1125"/>
      <c r="BZ114" s="1125"/>
      <c r="CD114" s="1549"/>
      <c r="CE114" s="1549"/>
      <c r="CY114" s="1549"/>
    </row>
    <row r="115" spans="4:103" s="15" customFormat="1">
      <c r="D115" s="16"/>
      <c r="E115" s="16"/>
      <c r="F115" s="16"/>
      <c r="G115" s="16"/>
      <c r="H115" s="16"/>
      <c r="I115" s="16"/>
      <c r="J115" s="16"/>
      <c r="K115" s="16"/>
      <c r="L115" s="16"/>
      <c r="M115" s="16"/>
      <c r="N115" s="16"/>
      <c r="O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20"/>
      <c r="BY115" s="1125"/>
      <c r="BZ115" s="1125"/>
      <c r="CD115" s="1549"/>
      <c r="CE115" s="1549"/>
      <c r="CY115" s="1549"/>
    </row>
    <row r="116" spans="4:103" s="15" customFormat="1">
      <c r="D116" s="16"/>
      <c r="E116" s="16"/>
      <c r="F116" s="16"/>
      <c r="G116" s="16"/>
      <c r="H116" s="16"/>
      <c r="I116" s="16"/>
      <c r="J116" s="16"/>
      <c r="K116" s="16"/>
      <c r="L116" s="16"/>
      <c r="M116" s="16"/>
      <c r="N116" s="16"/>
      <c r="O116" s="16"/>
      <c r="S116" s="16"/>
      <c r="T116" s="16"/>
      <c r="U116" s="16"/>
      <c r="V116" s="16"/>
      <c r="W116" s="16"/>
      <c r="X116" s="16"/>
      <c r="Y116" s="16"/>
      <c r="Z116" s="16"/>
      <c r="AA116" s="16"/>
      <c r="AB116" s="16"/>
      <c r="AC116" s="16"/>
      <c r="AD116" s="16"/>
      <c r="AE116" s="16"/>
      <c r="AF116" s="16"/>
      <c r="AG116" s="16"/>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20"/>
      <c r="BY116" s="1125"/>
      <c r="BZ116" s="1125"/>
      <c r="CD116" s="1549"/>
      <c r="CE116" s="1549"/>
      <c r="CY116" s="1549"/>
    </row>
    <row r="117" spans="4:103" s="15" customFormat="1">
      <c r="D117" s="16"/>
      <c r="E117" s="16"/>
      <c r="F117" s="16"/>
      <c r="G117" s="16"/>
      <c r="H117" s="16"/>
      <c r="I117" s="16"/>
      <c r="J117" s="16"/>
      <c r="K117" s="16"/>
      <c r="L117" s="16"/>
      <c r="M117" s="16"/>
      <c r="N117" s="16"/>
      <c r="O117" s="16"/>
      <c r="S117" s="16"/>
      <c r="T117" s="16"/>
      <c r="U117" s="16"/>
      <c r="V117" s="16"/>
      <c r="W117" s="16"/>
      <c r="X117" s="16"/>
      <c r="Y117" s="16"/>
      <c r="Z117" s="16"/>
      <c r="AA117" s="16"/>
      <c r="AB117" s="16"/>
      <c r="AC117" s="16"/>
      <c r="AD117" s="16"/>
      <c r="AE117" s="16"/>
      <c r="AF117" s="16"/>
      <c r="AG117" s="16"/>
      <c r="AH117" s="16"/>
      <c r="AI117" s="16"/>
      <c r="AJ117" s="16"/>
      <c r="AK117" s="16"/>
      <c r="AL117" s="16"/>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20"/>
      <c r="BY117" s="1125"/>
      <c r="BZ117" s="1125"/>
      <c r="CD117" s="1549"/>
      <c r="CE117" s="1549"/>
      <c r="CY117" s="1549"/>
    </row>
    <row r="118" spans="4:103" s="15" customFormat="1">
      <c r="D118" s="16"/>
      <c r="E118" s="16"/>
      <c r="F118" s="16"/>
      <c r="G118" s="16"/>
      <c r="H118" s="16"/>
      <c r="I118" s="16"/>
      <c r="J118" s="16"/>
      <c r="K118" s="16"/>
      <c r="L118" s="16"/>
      <c r="M118" s="16"/>
      <c r="N118" s="16"/>
      <c r="O118" s="16"/>
      <c r="S118" s="16"/>
      <c r="T118" s="16"/>
      <c r="U118" s="16"/>
      <c r="V118" s="16"/>
      <c r="W118" s="16"/>
      <c r="X118" s="16"/>
      <c r="Y118" s="16"/>
      <c r="Z118" s="16"/>
      <c r="AA118" s="16"/>
      <c r="AB118" s="16"/>
      <c r="AC118" s="16"/>
      <c r="AD118" s="16"/>
      <c r="AE118" s="16"/>
      <c r="AF118" s="16"/>
      <c r="AG118" s="16"/>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20"/>
      <c r="BY118" s="1125"/>
      <c r="BZ118" s="1125"/>
      <c r="CD118" s="1549"/>
      <c r="CE118" s="1549"/>
      <c r="CY118" s="1549"/>
    </row>
    <row r="119" spans="4:103" s="15" customFormat="1">
      <c r="D119" s="16"/>
      <c r="E119" s="16"/>
      <c r="F119" s="16"/>
      <c r="G119" s="16"/>
      <c r="H119" s="16"/>
      <c r="I119" s="16"/>
      <c r="J119" s="16"/>
      <c r="K119" s="16"/>
      <c r="L119" s="16"/>
      <c r="M119" s="16"/>
      <c r="N119" s="16"/>
      <c r="O119" s="16"/>
      <c r="S119" s="16"/>
      <c r="T119" s="16"/>
      <c r="U119" s="16"/>
      <c r="V119" s="16"/>
      <c r="W119" s="16"/>
      <c r="X119" s="16"/>
      <c r="Y119" s="16"/>
      <c r="Z119" s="16"/>
      <c r="AA119" s="16"/>
      <c r="AB119" s="16"/>
      <c r="AC119" s="16"/>
      <c r="AD119" s="16"/>
      <c r="AE119" s="16"/>
      <c r="AF119" s="16"/>
      <c r="AG119" s="16"/>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20"/>
      <c r="BY119" s="1125"/>
      <c r="BZ119" s="1125"/>
      <c r="CD119" s="1549"/>
      <c r="CE119" s="1549"/>
      <c r="CY119" s="1549"/>
    </row>
    <row r="120" spans="4:103" s="15" customFormat="1">
      <c r="D120" s="16"/>
      <c r="E120" s="16"/>
      <c r="F120" s="16"/>
      <c r="G120" s="16"/>
      <c r="H120" s="16"/>
      <c r="I120" s="16"/>
      <c r="J120" s="16"/>
      <c r="K120" s="16"/>
      <c r="L120" s="16"/>
      <c r="M120" s="16"/>
      <c r="N120" s="16"/>
      <c r="O120" s="16"/>
      <c r="S120" s="16"/>
      <c r="T120" s="16"/>
      <c r="U120" s="16"/>
      <c r="V120" s="16"/>
      <c r="W120" s="16"/>
      <c r="X120" s="16"/>
      <c r="Y120" s="16"/>
      <c r="Z120" s="16"/>
      <c r="AA120" s="16"/>
      <c r="AB120" s="16"/>
      <c r="AC120" s="16"/>
      <c r="AD120" s="16"/>
      <c r="AE120" s="16"/>
      <c r="AF120" s="16"/>
      <c r="AG120" s="16"/>
      <c r="AH120" s="16"/>
      <c r="AI120" s="16"/>
      <c r="AJ120" s="16"/>
      <c r="AK120" s="16"/>
      <c r="AL120" s="16"/>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20"/>
      <c r="BY120" s="1125"/>
      <c r="BZ120" s="1125"/>
      <c r="CD120" s="1549"/>
      <c r="CE120" s="1549"/>
      <c r="CY120" s="1549"/>
    </row>
    <row r="121" spans="4:103" s="15" customFormat="1">
      <c r="D121" s="16"/>
      <c r="E121" s="16"/>
      <c r="F121" s="16"/>
      <c r="G121" s="16"/>
      <c r="H121" s="16"/>
      <c r="I121" s="16"/>
      <c r="J121" s="16"/>
      <c r="K121" s="16"/>
      <c r="L121" s="16"/>
      <c r="M121" s="16"/>
      <c r="N121" s="16"/>
      <c r="O121" s="16"/>
      <c r="S121" s="16"/>
      <c r="T121" s="16"/>
      <c r="U121" s="16"/>
      <c r="V121" s="16"/>
      <c r="W121" s="16"/>
      <c r="X121" s="16"/>
      <c r="Y121" s="16"/>
      <c r="Z121" s="16"/>
      <c r="AA121" s="16"/>
      <c r="AB121" s="16"/>
      <c r="AC121" s="16"/>
      <c r="AD121" s="16"/>
      <c r="AE121" s="16"/>
      <c r="AF121" s="16"/>
      <c r="AG121" s="16"/>
      <c r="AH121" s="16"/>
      <c r="AI121" s="16"/>
      <c r="AJ121" s="16"/>
      <c r="AK121" s="16"/>
      <c r="AL121" s="16"/>
      <c r="AM121" s="16"/>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20"/>
      <c r="BY121" s="1125"/>
      <c r="BZ121" s="1125"/>
      <c r="CD121" s="1549"/>
      <c r="CE121" s="1549"/>
      <c r="CY121" s="1549"/>
    </row>
    <row r="122" spans="4:103" s="15" customFormat="1">
      <c r="D122" s="16"/>
      <c r="E122" s="16"/>
      <c r="F122" s="16"/>
      <c r="G122" s="16"/>
      <c r="H122" s="16"/>
      <c r="I122" s="16"/>
      <c r="J122" s="16"/>
      <c r="K122" s="16"/>
      <c r="L122" s="16"/>
      <c r="M122" s="16"/>
      <c r="N122" s="16"/>
      <c r="O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20"/>
      <c r="BY122" s="1125"/>
      <c r="BZ122" s="1125"/>
      <c r="CD122" s="1549"/>
      <c r="CE122" s="1549"/>
      <c r="CY122" s="1549"/>
    </row>
    <row r="123" spans="4:103" s="15" customFormat="1">
      <c r="D123" s="16"/>
      <c r="E123" s="16"/>
      <c r="F123" s="16"/>
      <c r="G123" s="16"/>
      <c r="H123" s="16"/>
      <c r="I123" s="16"/>
      <c r="J123" s="16"/>
      <c r="K123" s="16"/>
      <c r="L123" s="16"/>
      <c r="M123" s="16"/>
      <c r="N123" s="16"/>
      <c r="O123" s="16"/>
      <c r="S123" s="16"/>
      <c r="T123" s="16"/>
      <c r="U123" s="16"/>
      <c r="V123" s="16"/>
      <c r="W123" s="16"/>
      <c r="X123" s="16"/>
      <c r="Y123" s="16"/>
      <c r="Z123" s="16"/>
      <c r="AA123" s="16"/>
      <c r="AB123" s="16"/>
      <c r="AC123" s="16"/>
      <c r="AD123" s="16"/>
      <c r="AE123" s="16"/>
      <c r="AF123" s="16"/>
      <c r="AG123" s="16"/>
      <c r="AH123" s="16"/>
      <c r="AI123" s="16"/>
      <c r="AJ123" s="16"/>
      <c r="AK123" s="16"/>
      <c r="AL123" s="16"/>
      <c r="AM123" s="16"/>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20"/>
      <c r="BY123" s="1125"/>
      <c r="BZ123" s="1125"/>
      <c r="CD123" s="1549"/>
      <c r="CE123" s="1549"/>
      <c r="CY123" s="1549"/>
    </row>
    <row r="124" spans="4:103" s="15" customFormat="1">
      <c r="D124" s="16"/>
      <c r="E124" s="16"/>
      <c r="F124" s="16"/>
      <c r="G124" s="16"/>
      <c r="H124" s="16"/>
      <c r="I124" s="16"/>
      <c r="J124" s="16"/>
      <c r="K124" s="16"/>
      <c r="L124" s="16"/>
      <c r="M124" s="16"/>
      <c r="N124" s="16"/>
      <c r="O124" s="16"/>
      <c r="S124" s="16"/>
      <c r="T124" s="16"/>
      <c r="U124" s="16"/>
      <c r="V124" s="16"/>
      <c r="W124" s="16"/>
      <c r="X124" s="16"/>
      <c r="Y124" s="16"/>
      <c r="Z124" s="16"/>
      <c r="AA124" s="16"/>
      <c r="AB124" s="16"/>
      <c r="AC124" s="16"/>
      <c r="AD124" s="16"/>
      <c r="AE124" s="16"/>
      <c r="AF124" s="16"/>
      <c r="AG124" s="16"/>
      <c r="AH124" s="16"/>
      <c r="AI124" s="16"/>
      <c r="AJ124" s="16"/>
      <c r="AK124" s="16"/>
      <c r="AL124" s="16"/>
      <c r="AM124" s="16"/>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20"/>
      <c r="BY124" s="1125"/>
      <c r="BZ124" s="1125"/>
      <c r="CD124" s="1549"/>
      <c r="CE124" s="1549"/>
      <c r="CY124" s="1549"/>
    </row>
    <row r="125" spans="4:103" s="15" customFormat="1">
      <c r="D125" s="16"/>
      <c r="E125" s="16"/>
      <c r="F125" s="16"/>
      <c r="G125" s="16"/>
      <c r="H125" s="16"/>
      <c r="I125" s="16"/>
      <c r="J125" s="16"/>
      <c r="K125" s="16"/>
      <c r="L125" s="16"/>
      <c r="M125" s="16"/>
      <c r="N125" s="16"/>
      <c r="O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20"/>
      <c r="BY125" s="1125"/>
      <c r="BZ125" s="1125"/>
      <c r="CD125" s="1549"/>
      <c r="CE125" s="1549"/>
      <c r="CY125" s="1549"/>
    </row>
    <row r="126" spans="4:103" s="15" customFormat="1">
      <c r="D126" s="16"/>
      <c r="E126" s="16"/>
      <c r="F126" s="16"/>
      <c r="G126" s="16"/>
      <c r="H126" s="16"/>
      <c r="I126" s="16"/>
      <c r="J126" s="16"/>
      <c r="K126" s="16"/>
      <c r="L126" s="16"/>
      <c r="M126" s="16"/>
      <c r="N126" s="16"/>
      <c r="O126" s="16"/>
      <c r="S126" s="16"/>
      <c r="T126" s="16"/>
      <c r="U126" s="16"/>
      <c r="V126" s="16"/>
      <c r="W126" s="16"/>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20"/>
      <c r="BY126" s="1125"/>
      <c r="BZ126" s="1125"/>
      <c r="CD126" s="1549"/>
      <c r="CE126" s="1549"/>
      <c r="CY126" s="1549"/>
    </row>
    <row r="127" spans="4:103" s="15" customFormat="1">
      <c r="D127" s="16"/>
      <c r="E127" s="16"/>
      <c r="F127" s="16"/>
      <c r="G127" s="16"/>
      <c r="H127" s="16"/>
      <c r="I127" s="16"/>
      <c r="J127" s="16"/>
      <c r="K127" s="16"/>
      <c r="L127" s="16"/>
      <c r="M127" s="16"/>
      <c r="N127" s="16"/>
      <c r="O127" s="16"/>
      <c r="S127" s="16"/>
      <c r="T127" s="16"/>
      <c r="U127" s="16"/>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20"/>
      <c r="BY127" s="1125"/>
      <c r="BZ127" s="1125"/>
      <c r="CD127" s="1549"/>
      <c r="CE127" s="1549"/>
      <c r="CY127" s="1549"/>
    </row>
    <row r="128" spans="4:103" s="15" customFormat="1">
      <c r="D128" s="16"/>
      <c r="E128" s="16"/>
      <c r="F128" s="16"/>
      <c r="G128" s="16"/>
      <c r="H128" s="16"/>
      <c r="I128" s="16"/>
      <c r="J128" s="16"/>
      <c r="K128" s="16"/>
      <c r="L128" s="16"/>
      <c r="M128" s="16"/>
      <c r="N128" s="16"/>
      <c r="O128" s="16"/>
      <c r="S128" s="16"/>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20"/>
      <c r="BY128" s="1125"/>
      <c r="BZ128" s="1125"/>
      <c r="CD128" s="1549"/>
      <c r="CE128" s="1549"/>
      <c r="CY128" s="1549"/>
    </row>
    <row r="129" spans="4:103" s="15" customFormat="1">
      <c r="D129" s="16"/>
      <c r="E129" s="16"/>
      <c r="F129" s="16"/>
      <c r="G129" s="16"/>
      <c r="H129" s="16"/>
      <c r="I129" s="16"/>
      <c r="J129" s="16"/>
      <c r="K129" s="16"/>
      <c r="L129" s="16"/>
      <c r="M129" s="16"/>
      <c r="N129" s="16"/>
      <c r="O129" s="16"/>
      <c r="S129" s="16"/>
      <c r="T129" s="16"/>
      <c r="U129" s="16"/>
      <c r="V129" s="16"/>
      <c r="W129" s="16"/>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20"/>
      <c r="BY129" s="1125"/>
      <c r="BZ129" s="1125"/>
      <c r="CD129" s="1549"/>
      <c r="CE129" s="1549"/>
      <c r="CY129" s="1549"/>
    </row>
    <row r="130" spans="4:103" s="15" customFormat="1">
      <c r="D130" s="16"/>
      <c r="E130" s="16"/>
      <c r="F130" s="16"/>
      <c r="G130" s="16"/>
      <c r="H130" s="16"/>
      <c r="I130" s="16"/>
      <c r="J130" s="16"/>
      <c r="K130" s="16"/>
      <c r="L130" s="16"/>
      <c r="M130" s="16"/>
      <c r="N130" s="16"/>
      <c r="O130" s="16"/>
      <c r="S130" s="16"/>
      <c r="T130" s="16"/>
      <c r="U130" s="16"/>
      <c r="V130" s="16"/>
      <c r="W130" s="16"/>
      <c r="X130" s="16"/>
      <c r="Y130" s="16"/>
      <c r="Z130" s="16"/>
      <c r="AA130" s="16"/>
      <c r="AB130" s="16"/>
      <c r="AC130" s="16"/>
      <c r="AD130" s="16"/>
      <c r="AE130" s="16"/>
      <c r="AF130" s="16"/>
      <c r="AG130" s="16"/>
      <c r="AH130" s="16"/>
      <c r="AI130" s="16"/>
      <c r="AJ130" s="16"/>
      <c r="AK130" s="16"/>
      <c r="AL130" s="16"/>
      <c r="AM130" s="16"/>
      <c r="AN130" s="16"/>
      <c r="AO130" s="16"/>
      <c r="AP130" s="16"/>
      <c r="AQ130" s="16"/>
      <c r="AR130" s="16"/>
      <c r="AS130" s="16"/>
      <c r="AT130" s="16"/>
      <c r="AU130" s="16"/>
      <c r="AV130" s="16"/>
      <c r="AW130" s="16"/>
      <c r="AX130" s="16"/>
      <c r="AY130" s="16"/>
      <c r="AZ130" s="16"/>
      <c r="BA130" s="16"/>
      <c r="BB130" s="16"/>
      <c r="BC130" s="16"/>
      <c r="BD130" s="16"/>
      <c r="BE130" s="16"/>
      <c r="BF130" s="16"/>
      <c r="BG130" s="16"/>
      <c r="BH130" s="16"/>
      <c r="BI130" s="16"/>
      <c r="BJ130" s="16"/>
      <c r="BK130" s="16"/>
      <c r="BL130" s="16"/>
      <c r="BM130" s="16"/>
      <c r="BN130" s="16"/>
      <c r="BO130" s="16"/>
      <c r="BP130" s="16"/>
      <c r="BQ130" s="16"/>
      <c r="BR130" s="16"/>
      <c r="BS130" s="16"/>
      <c r="BT130" s="16"/>
      <c r="BU130" s="16"/>
      <c r="BV130" s="1620"/>
      <c r="BY130" s="1125"/>
      <c r="BZ130" s="1125"/>
      <c r="CD130" s="1549"/>
      <c r="CE130" s="1549"/>
      <c r="CY130" s="1549"/>
    </row>
    <row r="131" spans="4:103" s="15" customFormat="1">
      <c r="D131" s="16"/>
      <c r="E131" s="16"/>
      <c r="F131" s="16"/>
      <c r="G131" s="16"/>
      <c r="H131" s="16"/>
      <c r="I131" s="16"/>
      <c r="J131" s="16"/>
      <c r="K131" s="16"/>
      <c r="L131" s="16"/>
      <c r="M131" s="16"/>
      <c r="N131" s="16"/>
      <c r="O131" s="16"/>
      <c r="S131" s="16"/>
      <c r="T131" s="16"/>
      <c r="U131" s="16"/>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20"/>
      <c r="BY131" s="1125"/>
      <c r="BZ131" s="1125"/>
      <c r="CD131" s="1549"/>
      <c r="CE131" s="1549"/>
      <c r="CY131" s="1549"/>
    </row>
    <row r="132" spans="4:103" s="15" customFormat="1">
      <c r="D132" s="16"/>
      <c r="E132" s="16"/>
      <c r="F132" s="16"/>
      <c r="G132" s="16"/>
      <c r="H132" s="16"/>
      <c r="I132" s="16"/>
      <c r="J132" s="16"/>
      <c r="K132" s="16"/>
      <c r="L132" s="16"/>
      <c r="M132" s="16"/>
      <c r="N132" s="16"/>
      <c r="O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20"/>
      <c r="BY132" s="1125"/>
      <c r="BZ132" s="1125"/>
      <c r="CD132" s="1549"/>
      <c r="CE132" s="1549"/>
      <c r="CY132" s="1549"/>
    </row>
    <row r="133" spans="4:103" s="15" customFormat="1">
      <c r="D133" s="16"/>
      <c r="E133" s="16"/>
      <c r="F133" s="16"/>
      <c r="G133" s="16"/>
      <c r="H133" s="16"/>
      <c r="I133" s="16"/>
      <c r="J133" s="16"/>
      <c r="K133" s="16"/>
      <c r="L133" s="16"/>
      <c r="M133" s="16"/>
      <c r="N133" s="16"/>
      <c r="O133" s="16"/>
      <c r="S133" s="16"/>
      <c r="T133" s="16"/>
      <c r="U133" s="16"/>
      <c r="V133" s="16"/>
      <c r="W133" s="16"/>
      <c r="X133" s="16"/>
      <c r="Y133" s="16"/>
      <c r="Z133" s="16"/>
      <c r="AA133" s="16"/>
      <c r="AB133" s="16"/>
      <c r="AC133" s="16"/>
      <c r="AD133" s="16"/>
      <c r="AE133" s="16"/>
      <c r="AF133" s="16"/>
      <c r="AG133" s="16"/>
      <c r="AH133" s="16"/>
      <c r="AI133" s="16"/>
      <c r="AJ133" s="16"/>
      <c r="AK133" s="16"/>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20"/>
      <c r="BY133" s="1125"/>
      <c r="BZ133" s="1125"/>
      <c r="CD133" s="1549"/>
      <c r="CE133" s="1549"/>
      <c r="CY133" s="1549"/>
    </row>
    <row r="134" spans="4:103" s="15" customFormat="1">
      <c r="D134" s="16"/>
      <c r="E134" s="16"/>
      <c r="F134" s="16"/>
      <c r="G134" s="16"/>
      <c r="H134" s="16"/>
      <c r="I134" s="16"/>
      <c r="J134" s="16"/>
      <c r="K134" s="16"/>
      <c r="L134" s="16"/>
      <c r="M134" s="16"/>
      <c r="N134" s="16"/>
      <c r="O134" s="16"/>
      <c r="S134" s="16"/>
      <c r="T134" s="16"/>
      <c r="U134" s="16"/>
      <c r="V134" s="16"/>
      <c r="W134" s="16"/>
      <c r="X134" s="16"/>
      <c r="Y134" s="16"/>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6"/>
      <c r="BU134" s="16"/>
      <c r="BV134" s="1620"/>
      <c r="BY134" s="1125"/>
      <c r="BZ134" s="1125"/>
      <c r="CD134" s="1549"/>
      <c r="CE134" s="1549"/>
      <c r="CY134" s="1549"/>
    </row>
    <row r="135" spans="4:103" s="15" customFormat="1">
      <c r="D135" s="16"/>
      <c r="E135" s="16"/>
      <c r="F135" s="16"/>
      <c r="G135" s="16"/>
      <c r="H135" s="16"/>
      <c r="I135" s="16"/>
      <c r="J135" s="16"/>
      <c r="K135" s="16"/>
      <c r="L135" s="16"/>
      <c r="M135" s="16"/>
      <c r="N135" s="16"/>
      <c r="O135" s="16"/>
      <c r="S135" s="16"/>
      <c r="T135" s="16"/>
      <c r="U135" s="16"/>
      <c r="V135" s="16"/>
      <c r="W135" s="16"/>
      <c r="X135" s="16"/>
      <c r="Y135" s="16"/>
      <c r="Z135" s="16"/>
      <c r="AA135" s="16"/>
      <c r="AB135" s="16"/>
      <c r="AC135" s="16"/>
      <c r="AD135" s="16"/>
      <c r="AE135" s="16"/>
      <c r="AF135" s="16"/>
      <c r="AG135" s="16"/>
      <c r="AH135" s="16"/>
      <c r="AI135" s="16"/>
      <c r="AJ135" s="16"/>
      <c r="AK135" s="16"/>
      <c r="AL135" s="16"/>
      <c r="AM135" s="16"/>
      <c r="AN135" s="16"/>
      <c r="AO135" s="16"/>
      <c r="AP135" s="16"/>
      <c r="AQ135" s="16"/>
      <c r="AR135" s="16"/>
      <c r="AS135" s="16"/>
      <c r="AT135" s="16"/>
      <c r="AU135" s="16"/>
      <c r="AV135" s="16"/>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20"/>
      <c r="BY135" s="1125"/>
      <c r="BZ135" s="1125"/>
      <c r="CD135" s="1549"/>
      <c r="CE135" s="1549"/>
      <c r="CY135" s="1549"/>
    </row>
    <row r="136" spans="4:103" s="15" customFormat="1">
      <c r="D136" s="16"/>
      <c r="E136" s="16"/>
      <c r="F136" s="16"/>
      <c r="G136" s="16"/>
      <c r="H136" s="16"/>
      <c r="I136" s="16"/>
      <c r="J136" s="16"/>
      <c r="K136" s="16"/>
      <c r="L136" s="16"/>
      <c r="M136" s="16"/>
      <c r="N136" s="16"/>
      <c r="O136" s="16"/>
      <c r="S136" s="16"/>
      <c r="T136" s="16"/>
      <c r="U136" s="16"/>
      <c r="V136" s="16"/>
      <c r="W136" s="16"/>
      <c r="X136" s="16"/>
      <c r="Y136" s="16"/>
      <c r="Z136" s="16"/>
      <c r="AA136" s="16"/>
      <c r="AB136" s="16"/>
      <c r="AC136" s="16"/>
      <c r="AD136" s="16"/>
      <c r="AE136" s="16"/>
      <c r="AF136" s="16"/>
      <c r="AG136" s="16"/>
      <c r="AH136" s="16"/>
      <c r="AI136" s="16"/>
      <c r="AJ136" s="16"/>
      <c r="AK136" s="16"/>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20"/>
      <c r="BY136" s="1125"/>
      <c r="BZ136" s="1125"/>
      <c r="CD136" s="1549"/>
      <c r="CE136" s="1549"/>
      <c r="CY136" s="1549"/>
    </row>
    <row r="137" spans="4:103" s="15" customFormat="1">
      <c r="D137" s="16"/>
      <c r="E137" s="16"/>
      <c r="F137" s="16"/>
      <c r="G137" s="16"/>
      <c r="H137" s="16"/>
      <c r="I137" s="16"/>
      <c r="J137" s="16"/>
      <c r="K137" s="16"/>
      <c r="L137" s="16"/>
      <c r="M137" s="16"/>
      <c r="N137" s="16"/>
      <c r="O137" s="16"/>
      <c r="S137" s="16"/>
      <c r="T137" s="16"/>
      <c r="U137" s="16"/>
      <c r="V137" s="16"/>
      <c r="W137" s="16"/>
      <c r="X137" s="16"/>
      <c r="Y137" s="16"/>
      <c r="Z137" s="16"/>
      <c r="AA137" s="16"/>
      <c r="AB137" s="16"/>
      <c r="AC137" s="16"/>
      <c r="AD137" s="16"/>
      <c r="AE137" s="16"/>
      <c r="AF137" s="16"/>
      <c r="AG137" s="16"/>
      <c r="AH137" s="16"/>
      <c r="AI137" s="16"/>
      <c r="AJ137" s="16"/>
      <c r="AK137" s="16"/>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20"/>
      <c r="BY137" s="1125"/>
      <c r="BZ137" s="1125"/>
      <c r="CD137" s="1549"/>
      <c r="CE137" s="1549"/>
      <c r="CY137" s="1549"/>
    </row>
    <row r="138" spans="4:103" s="15" customFormat="1">
      <c r="D138" s="16"/>
      <c r="E138" s="16"/>
      <c r="F138" s="16"/>
      <c r="G138" s="16"/>
      <c r="H138" s="16"/>
      <c r="I138" s="16"/>
      <c r="J138" s="16"/>
      <c r="K138" s="16"/>
      <c r="L138" s="16"/>
      <c r="M138" s="16"/>
      <c r="N138" s="16"/>
      <c r="O138" s="16"/>
      <c r="S138" s="16"/>
      <c r="T138" s="16"/>
      <c r="U138" s="16"/>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c r="BK138" s="16"/>
      <c r="BL138" s="16"/>
      <c r="BM138" s="16"/>
      <c r="BN138" s="16"/>
      <c r="BO138" s="16"/>
      <c r="BP138" s="16"/>
      <c r="BQ138" s="16"/>
      <c r="BR138" s="16"/>
      <c r="BS138" s="16"/>
      <c r="BT138" s="16"/>
      <c r="BU138" s="16"/>
      <c r="BV138" s="1620"/>
      <c r="BY138" s="1125"/>
      <c r="BZ138" s="1125"/>
      <c r="CD138" s="1549"/>
      <c r="CE138" s="1549"/>
      <c r="CY138" s="1549"/>
    </row>
    <row r="139" spans="4:103" s="15" customFormat="1">
      <c r="D139" s="16"/>
      <c r="E139" s="16"/>
      <c r="F139" s="16"/>
      <c r="G139" s="16"/>
      <c r="H139" s="16"/>
      <c r="I139" s="16"/>
      <c r="J139" s="16"/>
      <c r="K139" s="16"/>
      <c r="L139" s="16"/>
      <c r="M139" s="16"/>
      <c r="N139" s="16"/>
      <c r="O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20"/>
      <c r="BY139" s="1125"/>
      <c r="BZ139" s="1125"/>
      <c r="CD139" s="1549"/>
      <c r="CE139" s="1549"/>
      <c r="CY139" s="1549"/>
    </row>
    <row r="140" spans="4:103" s="15" customFormat="1">
      <c r="D140" s="16"/>
      <c r="E140" s="16"/>
      <c r="F140" s="16"/>
      <c r="G140" s="16"/>
      <c r="H140" s="16"/>
      <c r="I140" s="16"/>
      <c r="J140" s="16"/>
      <c r="K140" s="16"/>
      <c r="L140" s="16"/>
      <c r="M140" s="16"/>
      <c r="N140" s="16"/>
      <c r="O140" s="16"/>
      <c r="S140" s="16"/>
      <c r="T140" s="16"/>
      <c r="U140" s="16"/>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20"/>
      <c r="BY140" s="1125"/>
      <c r="BZ140" s="1125"/>
      <c r="CD140" s="1549"/>
      <c r="CE140" s="1549"/>
      <c r="CY140" s="1549"/>
    </row>
    <row r="141" spans="4:103" s="15" customFormat="1">
      <c r="D141" s="16"/>
      <c r="E141" s="16"/>
      <c r="F141" s="16"/>
      <c r="G141" s="16"/>
      <c r="H141" s="16"/>
      <c r="I141" s="16"/>
      <c r="J141" s="16"/>
      <c r="K141" s="16"/>
      <c r="L141" s="16"/>
      <c r="M141" s="16"/>
      <c r="N141" s="16"/>
      <c r="O141" s="16"/>
      <c r="S141" s="16"/>
      <c r="T141" s="16"/>
      <c r="U141" s="16"/>
      <c r="V141" s="16"/>
      <c r="W141" s="16"/>
      <c r="X141" s="16"/>
      <c r="Y141" s="16"/>
      <c r="Z141" s="16"/>
      <c r="AA141" s="16"/>
      <c r="AB141" s="16"/>
      <c r="AC141" s="16"/>
      <c r="AD141" s="16"/>
      <c r="AE141" s="16"/>
      <c r="AF141" s="16"/>
      <c r="AG141" s="16"/>
      <c r="AH141" s="16"/>
      <c r="AI141" s="16"/>
      <c r="AJ141" s="16"/>
      <c r="AK141" s="16"/>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20"/>
      <c r="BY141" s="1125"/>
      <c r="BZ141" s="1125"/>
      <c r="CD141" s="1549"/>
      <c r="CE141" s="1549"/>
      <c r="CY141" s="1549"/>
    </row>
    <row r="142" spans="4:103" s="15" customFormat="1">
      <c r="D142" s="16"/>
      <c r="E142" s="16"/>
      <c r="F142" s="16"/>
      <c r="G142" s="16"/>
      <c r="H142" s="16"/>
      <c r="I142" s="16"/>
      <c r="J142" s="16"/>
      <c r="K142" s="16"/>
      <c r="L142" s="16"/>
      <c r="M142" s="16"/>
      <c r="N142" s="16"/>
      <c r="O142" s="16"/>
      <c r="S142" s="16"/>
      <c r="T142" s="16"/>
      <c r="U142" s="16"/>
      <c r="V142" s="16"/>
      <c r="W142" s="16"/>
      <c r="X142" s="16"/>
      <c r="Y142" s="16"/>
      <c r="Z142" s="16"/>
      <c r="AA142" s="16"/>
      <c r="AB142" s="16"/>
      <c r="AC142" s="16"/>
      <c r="AD142" s="16"/>
      <c r="AE142" s="16"/>
      <c r="AF142" s="16"/>
      <c r="AG142" s="16"/>
      <c r="AH142" s="16"/>
      <c r="AI142" s="16"/>
      <c r="AJ142" s="16"/>
      <c r="AK142" s="16"/>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20"/>
      <c r="BY142" s="1125"/>
      <c r="BZ142" s="1125"/>
      <c r="CD142" s="1549"/>
      <c r="CE142" s="1549"/>
      <c r="CY142" s="1549"/>
    </row>
    <row r="143" spans="4:103" s="15" customFormat="1">
      <c r="D143" s="16"/>
      <c r="E143" s="16"/>
      <c r="F143" s="16"/>
      <c r="G143" s="16"/>
      <c r="H143" s="16"/>
      <c r="I143" s="16"/>
      <c r="J143" s="16"/>
      <c r="K143" s="16"/>
      <c r="L143" s="16"/>
      <c r="M143" s="16"/>
      <c r="N143" s="16"/>
      <c r="O143" s="16"/>
      <c r="S143" s="16"/>
      <c r="T143" s="16"/>
      <c r="U143" s="16"/>
      <c r="V143" s="16"/>
      <c r="W143" s="16"/>
      <c r="X143" s="16"/>
      <c r="Y143" s="16"/>
      <c r="Z143" s="16"/>
      <c r="AA143" s="16"/>
      <c r="AB143" s="16"/>
      <c r="AC143" s="16"/>
      <c r="AD143" s="16"/>
      <c r="AE143" s="16"/>
      <c r="AF143" s="16"/>
      <c r="AG143" s="16"/>
      <c r="AH143" s="16"/>
      <c r="AI143" s="16"/>
      <c r="AJ143" s="16"/>
      <c r="AK143" s="16"/>
      <c r="AL143" s="16"/>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20"/>
      <c r="BY143" s="1125"/>
      <c r="BZ143" s="1125"/>
      <c r="CD143" s="1549"/>
      <c r="CE143" s="1549"/>
      <c r="CY143" s="1549"/>
    </row>
    <row r="144" spans="4:103" s="15" customFormat="1">
      <c r="D144" s="16"/>
      <c r="E144" s="16"/>
      <c r="F144" s="16"/>
      <c r="G144" s="16"/>
      <c r="H144" s="16"/>
      <c r="I144" s="16"/>
      <c r="J144" s="16"/>
      <c r="K144" s="16"/>
      <c r="L144" s="16"/>
      <c r="M144" s="16"/>
      <c r="N144" s="16"/>
      <c r="O144" s="16"/>
      <c r="S144" s="16"/>
      <c r="T144" s="16"/>
      <c r="U144" s="16"/>
      <c r="V144" s="16"/>
      <c r="W144" s="16"/>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20"/>
      <c r="BY144" s="1125"/>
      <c r="BZ144" s="1125"/>
      <c r="CD144" s="1549"/>
      <c r="CE144" s="1549"/>
      <c r="CY144" s="1549"/>
    </row>
    <row r="145" spans="4:103" s="15" customFormat="1">
      <c r="D145" s="16"/>
      <c r="E145" s="16"/>
      <c r="F145" s="16"/>
      <c r="G145" s="16"/>
      <c r="H145" s="16"/>
      <c r="I145" s="16"/>
      <c r="J145" s="16"/>
      <c r="K145" s="16"/>
      <c r="L145" s="16"/>
      <c r="M145" s="16"/>
      <c r="N145" s="16"/>
      <c r="O145" s="16"/>
      <c r="S145" s="16"/>
      <c r="T145" s="16"/>
      <c r="U145" s="16"/>
      <c r="V145" s="16"/>
      <c r="W145" s="16"/>
      <c r="X145" s="16"/>
      <c r="Y145" s="16"/>
      <c r="Z145" s="16"/>
      <c r="AA145" s="16"/>
      <c r="AB145" s="16"/>
      <c r="AC145" s="16"/>
      <c r="AD145" s="16"/>
      <c r="AE145" s="16"/>
      <c r="AF145" s="16"/>
      <c r="AG145" s="16"/>
      <c r="AH145" s="16"/>
      <c r="AI145" s="16"/>
      <c r="AJ145" s="16"/>
      <c r="AK145" s="16"/>
      <c r="AL145" s="16"/>
      <c r="AM145" s="16"/>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20"/>
      <c r="BY145" s="1125"/>
      <c r="BZ145" s="1125"/>
      <c r="CD145" s="1549"/>
      <c r="CE145" s="1549"/>
      <c r="CY145" s="1549"/>
    </row>
    <row r="146" spans="4:103" s="15" customFormat="1">
      <c r="D146" s="16"/>
      <c r="E146" s="16"/>
      <c r="F146" s="16"/>
      <c r="G146" s="16"/>
      <c r="H146" s="16"/>
      <c r="I146" s="16"/>
      <c r="J146" s="16"/>
      <c r="K146" s="16"/>
      <c r="L146" s="16"/>
      <c r="M146" s="16"/>
      <c r="N146" s="16"/>
      <c r="O146" s="16"/>
      <c r="S146" s="16"/>
      <c r="T146" s="16"/>
      <c r="U146" s="16"/>
      <c r="V146" s="16"/>
      <c r="W146" s="16"/>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20"/>
      <c r="BY146" s="1125"/>
      <c r="BZ146" s="1125"/>
      <c r="CD146" s="1549"/>
      <c r="CE146" s="1549"/>
      <c r="CY146" s="1549"/>
    </row>
    <row r="147" spans="4:103" s="15" customFormat="1">
      <c r="D147" s="16"/>
      <c r="E147" s="16"/>
      <c r="F147" s="16"/>
      <c r="G147" s="16"/>
      <c r="H147" s="16"/>
      <c r="I147" s="16"/>
      <c r="J147" s="16"/>
      <c r="K147" s="16"/>
      <c r="L147" s="16"/>
      <c r="M147" s="16"/>
      <c r="N147" s="16"/>
      <c r="O147" s="16"/>
      <c r="S147" s="16"/>
      <c r="T147" s="16"/>
      <c r="U147" s="16"/>
      <c r="V147" s="16"/>
      <c r="W147" s="16"/>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20"/>
      <c r="BY147" s="1125"/>
      <c r="BZ147" s="1125"/>
      <c r="CD147" s="1549"/>
      <c r="CE147" s="1549"/>
      <c r="CY147" s="1549"/>
    </row>
  </sheetData>
  <mergeCells count="61">
    <mergeCell ref="CE4:CE10"/>
    <mergeCell ref="G9:G10"/>
    <mergeCell ref="Y5:Y10"/>
    <mergeCell ref="AA5:AA10"/>
    <mergeCell ref="O9:O10"/>
    <mergeCell ref="L9:L10"/>
    <mergeCell ref="I9:I10"/>
    <mergeCell ref="J7:J10"/>
    <mergeCell ref="S5:S10"/>
    <mergeCell ref="T5:T10"/>
    <mergeCell ref="U5:U10"/>
    <mergeCell ref="V5:V10"/>
    <mergeCell ref="W5:W10"/>
    <mergeCell ref="X5:X10"/>
    <mergeCell ref="AB5:AB10"/>
    <mergeCell ref="AC5:AC10"/>
    <mergeCell ref="AD5:AD10"/>
    <mergeCell ref="AE5:AE10"/>
    <mergeCell ref="AF5:AF10"/>
    <mergeCell ref="AG5:AG10"/>
    <mergeCell ref="AH5:AH10"/>
    <mergeCell ref="AI5:AI10"/>
    <mergeCell ref="AJ5:AJ10"/>
    <mergeCell ref="AK5:AK10"/>
    <mergeCell ref="AL5:AL10"/>
    <mergeCell ref="AM5:AM10"/>
    <mergeCell ref="AN5:AN10"/>
    <mergeCell ref="AO5:AO10"/>
    <mergeCell ref="AP5:AP10"/>
    <mergeCell ref="AQ5:AQ10"/>
    <mergeCell ref="AR5:AR10"/>
    <mergeCell ref="AS5:AS10"/>
    <mergeCell ref="AT5:AT10"/>
    <mergeCell ref="AU5:AU10"/>
    <mergeCell ref="AV5:AV10"/>
    <mergeCell ref="AW5:AW10"/>
    <mergeCell ref="BD5:BD10"/>
    <mergeCell ref="BE5:BE10"/>
    <mergeCell ref="BF5:BF10"/>
    <mergeCell ref="BG5:BG10"/>
    <mergeCell ref="AX5:AX10"/>
    <mergeCell ref="AY5:AY10"/>
    <mergeCell ref="AZ5:AZ10"/>
    <mergeCell ref="BA5:BA10"/>
    <mergeCell ref="BB5:BB10"/>
    <mergeCell ref="P9:P10"/>
    <mergeCell ref="BR5:BR10"/>
    <mergeCell ref="BS5:BS10"/>
    <mergeCell ref="BT5:BT10"/>
    <mergeCell ref="BU5:BU10"/>
    <mergeCell ref="BM5:BM10"/>
    <mergeCell ref="BN5:BN10"/>
    <mergeCell ref="BO5:BO10"/>
    <mergeCell ref="BP5:BP10"/>
    <mergeCell ref="BQ5:BQ10"/>
    <mergeCell ref="BH5:BH10"/>
    <mergeCell ref="BI5:BI10"/>
    <mergeCell ref="BJ5:BJ10"/>
    <mergeCell ref="BK5:BK10"/>
    <mergeCell ref="BL5:BL10"/>
    <mergeCell ref="BC5:BC10"/>
  </mergeCells>
  <conditionalFormatting sqref="G11:G35">
    <cfRule type="expression" dxfId="154" priority="24">
      <formula>AND($E$6&gt;0,COUNTIF($G$11:$G$35,"Yes")&lt;$E$6)</formula>
    </cfRule>
  </conditionalFormatting>
  <conditionalFormatting sqref="F11:F35">
    <cfRule type="expression" dxfId="153" priority="23">
      <formula>AND($E$5&gt;0,COUNTIF($F$11:$F$35,"Yes")&lt;$E$5)</formula>
    </cfRule>
  </conditionalFormatting>
  <conditionalFormatting sqref="C11:N35">
    <cfRule type="expression" dxfId="152" priority="18">
      <formula>OR($F11="Yes",$G11="Yes",$Q11)</formula>
    </cfRule>
    <cfRule type="expression" dxfId="151" priority="20">
      <formula>AND(OR($AB11=1,$AC11=1,$AD11=1,$AE11=1,$AF11=1,$AG11=1,$AH11=1,$AI11=1,$AJ11=1,$AK11=1,$AL11=1,$AM11=1,$AN11=1,$AO11=1,$AP11=1,$AQ11=1,$AR11=1,$AS11=1,$AT11=1,$AU11=1,$AV11=1,$AW11=1,$AX11=1,$AY11=1,$AZ11=1,$BA11=1,$BB11=1,$BC11=1,$BD11=1,$BE11=1,$BF11=1,$BG11=1,$BH11=1,$BI11=1,$BJ11=1,$BK11=1,$BL11=1,$BM11=1,$BN11=1,$BO11=1,$BP11=1,$BQ11=1,$BR11=1,$BS11=1,$BT11=1,$BU11=1),$E11="No",$H11="",$D$8&gt;0)</formula>
    </cfRule>
    <cfRule type="expression" dxfId="150" priority="21">
      <formula>AND($E11="No",$H11="")</formula>
    </cfRule>
    <cfRule type="expression" dxfId="149" priority="22">
      <formula>AND($D$5&lt;=0,$D$6&lt;=0,$D$8&lt;=0)</formula>
    </cfRule>
  </conditionalFormatting>
  <conditionalFormatting sqref="I11:I35">
    <cfRule type="expression" dxfId="148" priority="10">
      <formula>AND($D$7&gt;0,OR($F11="Yes",$G11="Yes",$Q11))</formula>
    </cfRule>
  </conditionalFormatting>
  <conditionalFormatting sqref="C34:N34">
    <cfRule type="expression" dxfId="147" priority="9">
      <formula>AND($F$25&lt;&gt;"",$Q34=TRUE)</formula>
    </cfRule>
  </conditionalFormatting>
  <conditionalFormatting sqref="O33:O34">
    <cfRule type="expression" dxfId="146" priority="2">
      <formula>AND($F$35&lt;&gt;"",$Q33)</formula>
    </cfRule>
  </conditionalFormatting>
  <conditionalFormatting sqref="O30">
    <cfRule type="expression" dxfId="145" priority="3">
      <formula>AND($F$35&lt;&gt;"",$Q30)</formula>
    </cfRule>
    <cfRule type="expression" dxfId="144" priority="4">
      <formula>AND($F$35&lt;&gt;"",$Q30)</formula>
    </cfRule>
  </conditionalFormatting>
  <conditionalFormatting sqref="O34">
    <cfRule type="expression" dxfId="143" priority="1">
      <formula>AND($F$25&lt;&gt;"",$Q34=TRUE)</formula>
    </cfRule>
  </conditionalFormatting>
  <conditionalFormatting sqref="O11:P35">
    <cfRule type="expression" dxfId="142" priority="5">
      <formula>OR($F11="Yes",$G11="Yes",$Q11)</formula>
    </cfRule>
    <cfRule type="expression" dxfId="141" priority="6">
      <formula>AND(OR($AB11=1,$AC11=1,$AD11=1,$AE11=1,$AF11=1,$AG11=1,$AH11=1,$AI11=1,$AJ11=1,$AK11=1,$AL11=1,$AM11=1,$AN11=1,$AO11=1,$AP11=1,$AQ11=1,$AR11=1,$AS11=1,$AT11=1,$AU11=1,$AV11=1,$AW11=1,$AX11=1,$AY11=1,$AZ11=1,$BA11=1,$BB11=1,$BC11=1,$BD11=1,$BE11=1,$BF11=1,$BG11=1,$BH11=1,$BI11=1,$BJ11=1,$BK11=1,$BL11=1,$BM11=1,$BN11=1,$BO11=1,$BP11=1,$BQ11=1,$BR11=1,$BS11=1,$BT11=1,$BU11=1),$E11="No",$H11="",$D$8&gt;0)</formula>
    </cfRule>
    <cfRule type="expression" dxfId="140" priority="7">
      <formula>AND($E11="No",$H11="")</formula>
    </cfRule>
    <cfRule type="expression" dxfId="139" priority="8">
      <formula>AND($D$5&lt;=0,$D$6&lt;=0,$D$8&lt;=0)</formula>
    </cfRule>
  </conditionalFormatting>
  <dataValidations count="3">
    <dataValidation type="list" allowBlank="1" showInputMessage="1" showErrorMessage="1" sqref="CE11:CE35" xr:uid="{00000000-0002-0000-0700-000000000000}">
      <formula1>"Yes,No"</formula1>
    </dataValidation>
    <dataValidation type="list" allowBlank="1" showInputMessage="1" showErrorMessage="1" sqref="F11:F35 I11:I35" xr:uid="{00000000-0002-0000-0700-000001000000}">
      <formula1>",Yes"</formula1>
    </dataValidation>
    <dataValidation type="list" allowBlank="1" showInputMessage="1" showErrorMessage="1" sqref="G11:H35" xr:uid="{00000000-0002-0000-0700-000002000000}">
      <formula1>"Yes"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learSkills">
                <anchor moveWithCells="1" sizeWithCells="1">
                  <from>
                    <xdr:col>13</xdr:col>
                    <xdr:colOff>127000</xdr:colOff>
                    <xdr:row>2</xdr:row>
                    <xdr:rowOff>12700</xdr:rowOff>
                  </from>
                  <to>
                    <xdr:col>14</xdr:col>
                    <xdr:colOff>342900</xdr:colOff>
                    <xdr:row>3</xdr:row>
                    <xdr:rowOff>31750</xdr:rowOff>
                  </to>
                </anchor>
              </controlPr>
            </control>
          </mc:Choice>
        </mc:AlternateContent>
        <mc:AlternateContent xmlns:mc="http://schemas.openxmlformats.org/markup-compatibility/2006">
          <mc:Choice Requires="x14">
            <control shapeId="4131" r:id="rId5" name="Button 35">
              <controlPr defaultSize="0" print="0" autoFill="0" autoPict="0" macro="[0]!Button35_Click">
                <anchor moveWithCells="1" sizeWithCells="1">
                  <from>
                    <xdr:col>13</xdr:col>
                    <xdr:colOff>107950</xdr:colOff>
                    <xdr:row>4</xdr:row>
                    <xdr:rowOff>38100</xdr:rowOff>
                  </from>
                  <to>
                    <xdr:col>14</xdr:col>
                    <xdr:colOff>361950</xdr:colOff>
                    <xdr:row>5</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JA417"/>
  <sheetViews>
    <sheetView zoomScale="60" zoomScaleNormal="60" workbookViewId="0">
      <pane ySplit="1" topLeftCell="A80" activePane="bottomLeft" state="frozen"/>
      <selection activeCell="G1" sqref="G1"/>
      <selection pane="bottomLeft" activeCell="A107" sqref="A107"/>
    </sheetView>
  </sheetViews>
  <sheetFormatPr defaultRowHeight="14.5"/>
  <cols>
    <col min="8" max="9" width="9.1796875" style="873"/>
    <col min="10" max="10" width="22" style="1323" customWidth="1"/>
    <col min="11" max="11" width="9.1796875" style="3"/>
    <col min="12" max="12" width="14.54296875" style="3" customWidth="1"/>
    <col min="13" max="18" width="4.7265625" style="3" customWidth="1"/>
    <col min="19" max="21" width="9.1796875" style="3"/>
    <col min="22" max="28" width="4.453125" style="3" customWidth="1"/>
    <col min="29" max="33" width="23.81640625" style="3" customWidth="1"/>
    <col min="34" max="34" width="16.81640625" style="3" customWidth="1"/>
    <col min="35" max="35" width="15.7265625" style="3" customWidth="1"/>
    <col min="36" max="36" width="14.54296875" style="3" customWidth="1"/>
    <col min="37" max="37" width="17.1796875" style="3" customWidth="1"/>
    <col min="38" max="38" width="14" style="3" customWidth="1"/>
    <col min="39" max="39" width="15" style="3" customWidth="1"/>
    <col min="40" max="45" width="9.1796875" style="3" customWidth="1"/>
    <col min="46" max="46" width="10.453125" style="3" customWidth="1"/>
    <col min="47" max="65" width="9.1796875" style="3" customWidth="1"/>
    <col min="66" max="66" width="9.1796875" style="8" customWidth="1"/>
    <col min="67" max="67" width="21.54296875" customWidth="1"/>
    <col min="68" max="73" width="8.54296875" style="954" customWidth="1"/>
    <col min="74" max="74" width="82.81640625" style="456" customWidth="1"/>
    <col min="75" max="75" width="9.1796875" style="12"/>
    <col min="76" max="76" width="18.81640625" style="12" customWidth="1"/>
    <col min="77" max="86" width="9.1796875" style="19"/>
    <col min="87" max="93" width="9.1796875" style="3"/>
    <col min="94" max="94" width="24.1796875" style="3" customWidth="1"/>
    <col min="95" max="102" width="9.1796875" style="3"/>
    <col min="103" max="103" width="9.1796875" style="8"/>
    <col min="104" max="104" width="20.7265625" style="12" customWidth="1"/>
    <col min="105" max="105" width="9.1796875" style="14"/>
    <col min="106" max="106" width="18.453125" style="19" customWidth="1"/>
    <col min="107" max="107" width="44.81640625" style="12" customWidth="1"/>
    <col min="114" max="114" width="30.26953125" customWidth="1"/>
    <col min="115" max="115" width="14.453125" customWidth="1"/>
    <col min="126" max="126" width="37.81640625" customWidth="1"/>
    <col min="127" max="127" width="22.7265625" style="640" customWidth="1"/>
    <col min="128" max="131" width="13.453125" customWidth="1"/>
    <col min="133" max="133" width="9.1796875" style="382"/>
    <col min="134" max="139" width="9.1796875" customWidth="1"/>
    <col min="142" max="142" width="33.1796875" customWidth="1"/>
    <col min="144" max="144" width="28.1796875" style="1323" customWidth="1"/>
    <col min="145" max="147" width="9.1796875" style="3"/>
    <col min="148" max="148" width="15.453125" style="3" customWidth="1"/>
    <col min="149" max="149" width="5.453125" style="19" customWidth="1"/>
    <col min="150" max="155" width="7.54296875" style="19" customWidth="1"/>
    <col min="156" max="156" width="22" style="3" customWidth="1"/>
    <col min="157" max="158" width="9.1796875" style="3" customWidth="1"/>
    <col min="159" max="159" width="27.7265625" style="3" customWidth="1"/>
    <col min="160" max="167" width="9.1796875" style="3" customWidth="1"/>
    <col min="168" max="169" width="9.1796875" style="3"/>
    <col min="170" max="170" width="19.1796875" style="3" customWidth="1"/>
    <col min="171" max="173" width="9.1796875" style="3"/>
    <col min="174" max="174" width="30.54296875" style="3" customWidth="1"/>
    <col min="175" max="175" width="42" style="8" customWidth="1"/>
    <col min="180" max="180" width="24" style="12" customWidth="1"/>
    <col min="181" max="183" width="9.1796875" style="3"/>
    <col min="184" max="184" width="9.1796875" style="8"/>
    <col min="185" max="185" width="29.7265625" style="12" customWidth="1"/>
    <col min="186" max="186" width="10.7265625" style="3" customWidth="1"/>
    <col min="187" max="189" width="8.1796875" style="19" customWidth="1"/>
    <col min="190" max="190" width="29.7265625" style="3" customWidth="1"/>
    <col min="191" max="191" width="29.7265625" style="8" customWidth="1"/>
    <col min="192" max="192" width="33.54296875" style="12" customWidth="1"/>
    <col min="193" max="196" width="9.1796875" style="3"/>
    <col min="197" max="197" width="9.1796875" style="8"/>
    <col min="198" max="198" width="23.1796875" style="12" customWidth="1"/>
    <col min="199" max="200" width="9.1796875" style="3"/>
    <col min="201" max="201" width="9.1796875" style="8"/>
    <col min="202" max="202" width="32.54296875" style="12" customWidth="1"/>
    <col min="203" max="207" width="9.1796875" style="3"/>
    <col min="208" max="208" width="18.7265625" style="3" customWidth="1"/>
    <col min="209" max="209" width="16.453125" style="3" customWidth="1"/>
    <col min="210" max="210" width="12.7265625" style="3" customWidth="1"/>
    <col min="211" max="211" width="71" style="8" customWidth="1"/>
    <col min="212" max="212" width="26.453125" style="12" customWidth="1"/>
    <col min="213" max="215" width="9.1796875" style="3"/>
    <col min="216" max="216" width="77.26953125" style="3" customWidth="1"/>
    <col min="217" max="217" width="24.7265625" style="12" customWidth="1"/>
    <col min="218" max="218" width="12.453125" style="3" customWidth="1"/>
    <col min="219" max="219" width="7.7265625" style="3" customWidth="1"/>
    <col min="220" max="220" width="6.26953125" style="8" customWidth="1"/>
    <col min="221" max="221" width="47" style="8" customWidth="1"/>
    <col min="222" max="222" width="29.54296875" style="12" customWidth="1"/>
    <col min="223" max="226" width="9.1796875" style="3"/>
    <col min="227" max="227" width="42.453125" style="3" customWidth="1"/>
    <col min="228" max="228" width="39" style="8" customWidth="1"/>
    <col min="229" max="229" width="13.7265625" style="12" customWidth="1"/>
    <col min="230" max="230" width="9.1796875" style="3"/>
    <col min="231" max="231" width="10.453125" style="3" customWidth="1"/>
    <col min="232" max="232" width="9.1796875" style="3"/>
    <col min="233" max="233" width="49.81640625" style="8" customWidth="1"/>
    <col min="235" max="235" width="9.1796875" style="1323"/>
    <col min="236" max="236" width="9.1796875" style="8"/>
  </cols>
  <sheetData>
    <row r="1" spans="1:241" s="1" customFormat="1">
      <c r="A1" s="1" t="s">
        <v>0</v>
      </c>
      <c r="B1" s="1" t="s">
        <v>1</v>
      </c>
      <c r="C1" s="1" t="s">
        <v>2</v>
      </c>
      <c r="D1" s="1" t="s">
        <v>3</v>
      </c>
      <c r="E1" s="1" t="s">
        <v>4</v>
      </c>
      <c r="F1" s="1" t="s">
        <v>5</v>
      </c>
      <c r="G1" s="1" t="s">
        <v>6</v>
      </c>
      <c r="J1" s="9" t="s">
        <v>7</v>
      </c>
      <c r="K1" s="10" t="s">
        <v>8</v>
      </c>
      <c r="L1" s="10" t="s">
        <v>9</v>
      </c>
      <c r="M1" s="21" t="s">
        <v>1</v>
      </c>
      <c r="N1" s="21" t="s">
        <v>2</v>
      </c>
      <c r="O1" s="21" t="s">
        <v>3</v>
      </c>
      <c r="P1" s="21" t="s">
        <v>4</v>
      </c>
      <c r="Q1" s="21" t="s">
        <v>5</v>
      </c>
      <c r="R1" s="21" t="s">
        <v>6</v>
      </c>
      <c r="S1" s="10" t="s">
        <v>10</v>
      </c>
      <c r="T1" s="10"/>
      <c r="U1" s="10"/>
      <c r="V1" s="10" t="s">
        <v>11</v>
      </c>
      <c r="W1" s="10" t="s">
        <v>12</v>
      </c>
      <c r="X1" s="10" t="s">
        <v>13</v>
      </c>
      <c r="Y1" s="10" t="s">
        <v>14</v>
      </c>
      <c r="Z1" s="10" t="s">
        <v>15</v>
      </c>
      <c r="AA1" s="10" t="s">
        <v>16</v>
      </c>
      <c r="AB1" s="10" t="s">
        <v>17</v>
      </c>
      <c r="AC1" s="10" t="s">
        <v>18</v>
      </c>
      <c r="AD1" s="10" t="s">
        <v>19</v>
      </c>
      <c r="AE1" s="10" t="s">
        <v>20</v>
      </c>
      <c r="AF1" s="10" t="s">
        <v>21</v>
      </c>
      <c r="AG1" s="10" t="s">
        <v>22</v>
      </c>
      <c r="AH1" s="10" t="s">
        <v>23</v>
      </c>
      <c r="AI1" s="10" t="s">
        <v>24</v>
      </c>
      <c r="AJ1" s="10" t="s">
        <v>25</v>
      </c>
      <c r="AK1" s="10" t="s">
        <v>26</v>
      </c>
      <c r="AL1" s="10" t="s">
        <v>27</v>
      </c>
      <c r="AM1" s="10" t="s">
        <v>28</v>
      </c>
      <c r="AN1" s="10" t="s">
        <v>4041</v>
      </c>
      <c r="AO1" s="10" t="s">
        <v>29</v>
      </c>
      <c r="AP1" s="10" t="s">
        <v>30</v>
      </c>
      <c r="AQ1" s="10" t="s">
        <v>31</v>
      </c>
      <c r="AR1" s="10" t="s">
        <v>32</v>
      </c>
      <c r="AS1" s="10" t="s">
        <v>33</v>
      </c>
      <c r="AT1" s="10" t="s">
        <v>34</v>
      </c>
      <c r="AU1" s="10" t="s">
        <v>35</v>
      </c>
      <c r="AV1" s="10" t="s">
        <v>36</v>
      </c>
      <c r="AW1" s="10" t="s">
        <v>37</v>
      </c>
      <c r="AX1" s="10" t="s">
        <v>38</v>
      </c>
      <c r="AY1" s="10" t="s">
        <v>39</v>
      </c>
      <c r="AZ1" s="10" t="s">
        <v>40</v>
      </c>
      <c r="BA1" s="10" t="s">
        <v>41</v>
      </c>
      <c r="BB1" s="10" t="s">
        <v>42</v>
      </c>
      <c r="BC1" s="10" t="s">
        <v>43</v>
      </c>
      <c r="BD1" s="10" t="s">
        <v>44</v>
      </c>
      <c r="BE1" s="10" t="s">
        <v>45</v>
      </c>
      <c r="BF1" s="10" t="s">
        <v>46</v>
      </c>
      <c r="BG1" s="10" t="s">
        <v>47</v>
      </c>
      <c r="BH1" s="10" t="s">
        <v>48</v>
      </c>
      <c r="BI1" s="10" t="s">
        <v>49</v>
      </c>
      <c r="BJ1" s="10" t="s">
        <v>50</v>
      </c>
      <c r="BK1" s="10" t="s">
        <v>51</v>
      </c>
      <c r="BL1" s="10" t="s">
        <v>52</v>
      </c>
      <c r="BM1" s="10" t="s">
        <v>53</v>
      </c>
      <c r="BN1" s="11" t="s">
        <v>54</v>
      </c>
      <c r="BO1" s="1" t="s">
        <v>55</v>
      </c>
      <c r="BP1" s="953"/>
      <c r="BQ1" s="953"/>
      <c r="BR1" s="953"/>
      <c r="BS1" s="953"/>
      <c r="BT1" s="953"/>
      <c r="BU1" s="953"/>
      <c r="BV1" s="965" t="s">
        <v>56</v>
      </c>
      <c r="BW1" s="9" t="s">
        <v>57</v>
      </c>
      <c r="BX1" s="9" t="s">
        <v>58</v>
      </c>
      <c r="BY1" s="18" t="s">
        <v>8</v>
      </c>
      <c r="BZ1" s="18" t="s">
        <v>59</v>
      </c>
      <c r="CA1" s="18" t="s">
        <v>60</v>
      </c>
      <c r="CB1" s="18" t="s">
        <v>61</v>
      </c>
      <c r="CC1" s="18" t="s">
        <v>31</v>
      </c>
      <c r="CD1" s="18" t="s">
        <v>62</v>
      </c>
      <c r="CE1" s="18" t="s">
        <v>63</v>
      </c>
      <c r="CF1" s="18" t="s">
        <v>64</v>
      </c>
      <c r="CG1" s="18" t="s">
        <v>65</v>
      </c>
      <c r="CH1" s="18" t="s">
        <v>66</v>
      </c>
      <c r="CI1" s="10" t="s">
        <v>67</v>
      </c>
      <c r="CJ1" s="10" t="s">
        <v>68</v>
      </c>
      <c r="CK1" s="10" t="s">
        <v>69</v>
      </c>
      <c r="CL1" s="10" t="s">
        <v>70</v>
      </c>
      <c r="CM1" s="10" t="s">
        <v>71</v>
      </c>
      <c r="CN1" s="10" t="s">
        <v>72</v>
      </c>
      <c r="CO1" s="10" t="s">
        <v>73</v>
      </c>
      <c r="CP1" s="10" t="s">
        <v>74</v>
      </c>
      <c r="CQ1" s="10" t="s">
        <v>75</v>
      </c>
      <c r="CR1" s="10" t="s">
        <v>76</v>
      </c>
      <c r="CS1" s="10" t="s">
        <v>77</v>
      </c>
      <c r="CT1" s="10" t="s">
        <v>78</v>
      </c>
      <c r="CU1" s="10" t="s">
        <v>79</v>
      </c>
      <c r="CV1" s="10" t="s">
        <v>80</v>
      </c>
      <c r="CW1" s="10" t="s">
        <v>81</v>
      </c>
      <c r="CX1" s="10" t="s">
        <v>82</v>
      </c>
      <c r="CY1" s="11" t="s">
        <v>83</v>
      </c>
      <c r="CZ1" s="9" t="s">
        <v>84</v>
      </c>
      <c r="DA1" s="13" t="s">
        <v>85</v>
      </c>
      <c r="DB1" s="851"/>
      <c r="DC1" s="852" t="s">
        <v>86</v>
      </c>
      <c r="DD1" s="1" t="s">
        <v>48</v>
      </c>
      <c r="DE1" s="1" t="s">
        <v>29</v>
      </c>
      <c r="DF1" s="1" t="s">
        <v>30</v>
      </c>
      <c r="DG1" s="1" t="s">
        <v>87</v>
      </c>
      <c r="DH1" s="1" t="s">
        <v>88</v>
      </c>
      <c r="DI1" s="1" t="s">
        <v>8</v>
      </c>
      <c r="DJ1" s="1" t="s">
        <v>89</v>
      </c>
      <c r="DK1" s="1" t="s">
        <v>90</v>
      </c>
      <c r="DL1" s="1" t="s">
        <v>91</v>
      </c>
      <c r="DM1" s="1" t="s">
        <v>92</v>
      </c>
      <c r="DN1" s="1" t="s">
        <v>93</v>
      </c>
      <c r="DO1" s="1" t="s">
        <v>94</v>
      </c>
      <c r="DP1" s="1" t="s">
        <v>95</v>
      </c>
      <c r="DQ1" s="1" t="s">
        <v>96</v>
      </c>
      <c r="DR1" s="1" t="s">
        <v>97</v>
      </c>
      <c r="DS1" s="1" t="s">
        <v>98</v>
      </c>
      <c r="DT1" s="1" t="s">
        <v>6124</v>
      </c>
      <c r="DU1" s="1" t="s">
        <v>6125</v>
      </c>
      <c r="DV1" s="1" t="s">
        <v>99</v>
      </c>
      <c r="DW1" s="1" t="s">
        <v>3750</v>
      </c>
      <c r="DX1" s="1" t="s">
        <v>100</v>
      </c>
      <c r="DY1" s="1" t="s">
        <v>101</v>
      </c>
      <c r="DZ1" s="1" t="s">
        <v>102</v>
      </c>
      <c r="EA1" s="1" t="s">
        <v>103</v>
      </c>
      <c r="EB1" s="1" t="s">
        <v>104</v>
      </c>
      <c r="EC1" s="1" t="s">
        <v>3680</v>
      </c>
      <c r="ED1" s="1" t="s">
        <v>1</v>
      </c>
      <c r="EE1" s="1" t="s">
        <v>2</v>
      </c>
      <c r="EF1" s="1" t="s">
        <v>3</v>
      </c>
      <c r="EG1" s="1" t="s">
        <v>4</v>
      </c>
      <c r="EH1" s="1" t="s">
        <v>5</v>
      </c>
      <c r="EI1" s="1" t="s">
        <v>6</v>
      </c>
      <c r="EJ1" s="1" t="s">
        <v>105</v>
      </c>
      <c r="EK1" s="1" t="s">
        <v>106</v>
      </c>
      <c r="EL1" s="1" t="s">
        <v>107</v>
      </c>
      <c r="EM1" s="1" t="s">
        <v>108</v>
      </c>
      <c r="EN1" s="582" t="s">
        <v>109</v>
      </c>
      <c r="EO1" s="10" t="s">
        <v>8</v>
      </c>
      <c r="EP1" s="10" t="s">
        <v>110</v>
      </c>
      <c r="EQ1" s="10" t="s">
        <v>111</v>
      </c>
      <c r="ER1" s="10" t="s">
        <v>112</v>
      </c>
      <c r="ES1" s="18" t="s">
        <v>11</v>
      </c>
      <c r="ET1" s="18" t="s">
        <v>113</v>
      </c>
      <c r="EU1" s="18" t="s">
        <v>114</v>
      </c>
      <c r="EV1" s="18" t="s">
        <v>115</v>
      </c>
      <c r="EW1" s="18" t="s">
        <v>116</v>
      </c>
      <c r="EX1" s="18" t="s">
        <v>3715</v>
      </c>
      <c r="EY1" s="18" t="s">
        <v>3716</v>
      </c>
      <c r="EZ1" s="10" t="s">
        <v>48</v>
      </c>
      <c r="FA1" s="10" t="s">
        <v>117</v>
      </c>
      <c r="FB1" s="10" t="s">
        <v>118</v>
      </c>
      <c r="FC1" s="10" t="s">
        <v>73</v>
      </c>
      <c r="FD1" s="10" t="s">
        <v>119</v>
      </c>
      <c r="FE1" s="10" t="s">
        <v>120</v>
      </c>
      <c r="FF1" s="10" t="s">
        <v>121</v>
      </c>
      <c r="FG1" s="10" t="s">
        <v>122</v>
      </c>
      <c r="FH1" s="10" t="s">
        <v>123</v>
      </c>
      <c r="FI1" s="10" t="s">
        <v>124</v>
      </c>
      <c r="FJ1" s="10" t="s">
        <v>125</v>
      </c>
      <c r="FK1" s="10" t="s">
        <v>126</v>
      </c>
      <c r="FL1" s="10" t="s">
        <v>105</v>
      </c>
      <c r="FM1" s="10" t="s">
        <v>106</v>
      </c>
      <c r="FN1" s="10" t="s">
        <v>127</v>
      </c>
      <c r="FO1" s="10" t="s">
        <v>128</v>
      </c>
      <c r="FP1" s="10" t="s">
        <v>129</v>
      </c>
      <c r="FQ1" s="10"/>
      <c r="FR1" s="10" t="s">
        <v>75</v>
      </c>
      <c r="FS1" s="11" t="s">
        <v>130</v>
      </c>
      <c r="FT1" s="1" t="s">
        <v>131</v>
      </c>
      <c r="FW1" s="1" t="s">
        <v>132</v>
      </c>
      <c r="FX1" s="9" t="s">
        <v>127</v>
      </c>
      <c r="FY1" s="10" t="s">
        <v>105</v>
      </c>
      <c r="FZ1" s="10" t="s">
        <v>106</v>
      </c>
      <c r="GA1" s="10" t="s">
        <v>107</v>
      </c>
      <c r="GB1" s="11" t="s">
        <v>133</v>
      </c>
      <c r="GC1" s="9" t="s">
        <v>134</v>
      </c>
      <c r="GD1" s="10" t="s">
        <v>8</v>
      </c>
      <c r="GE1" s="18" t="s">
        <v>105</v>
      </c>
      <c r="GF1" s="18" t="s">
        <v>106</v>
      </c>
      <c r="GG1" s="18" t="s">
        <v>135</v>
      </c>
      <c r="GH1" s="10" t="s">
        <v>107</v>
      </c>
      <c r="GI1" s="11" t="s">
        <v>133</v>
      </c>
      <c r="GJ1" s="9" t="s">
        <v>136</v>
      </c>
      <c r="GK1" s="10" t="s">
        <v>8</v>
      </c>
      <c r="GL1" s="10" t="s">
        <v>105</v>
      </c>
      <c r="GM1" s="10" t="s">
        <v>106</v>
      </c>
      <c r="GN1" s="10" t="s">
        <v>107</v>
      </c>
      <c r="GO1" s="11" t="s">
        <v>108</v>
      </c>
      <c r="GP1" s="9" t="s">
        <v>137</v>
      </c>
      <c r="GQ1" s="10" t="s">
        <v>8</v>
      </c>
      <c r="GR1" s="10" t="s">
        <v>105</v>
      </c>
      <c r="GS1" s="11" t="s">
        <v>107</v>
      </c>
      <c r="GT1" s="9" t="s">
        <v>138</v>
      </c>
      <c r="GU1" s="10" t="s">
        <v>8</v>
      </c>
      <c r="GV1" s="10" t="s">
        <v>139</v>
      </c>
      <c r="GW1" s="10" t="s">
        <v>140</v>
      </c>
      <c r="GX1" s="10" t="s">
        <v>3741</v>
      </c>
      <c r="GY1" s="10" t="s">
        <v>3740</v>
      </c>
      <c r="GZ1" s="10" t="s">
        <v>3738</v>
      </c>
      <c r="HA1" s="10" t="s">
        <v>3737</v>
      </c>
      <c r="HB1" s="10" t="s">
        <v>3742</v>
      </c>
      <c r="HC1" s="11" t="s">
        <v>141</v>
      </c>
      <c r="HD1" s="9" t="s">
        <v>142</v>
      </c>
      <c r="HE1" s="10" t="s">
        <v>8</v>
      </c>
      <c r="HF1" s="10" t="s">
        <v>139</v>
      </c>
      <c r="HG1" s="10" t="s">
        <v>140</v>
      </c>
      <c r="HH1" s="10" t="s">
        <v>141</v>
      </c>
      <c r="HI1" s="9" t="s">
        <v>143</v>
      </c>
      <c r="HJ1" s="10" t="s">
        <v>8</v>
      </c>
      <c r="HK1" s="10" t="s">
        <v>105</v>
      </c>
      <c r="HL1" s="11" t="s">
        <v>88</v>
      </c>
      <c r="HM1" s="11" t="s">
        <v>141</v>
      </c>
      <c r="HN1" s="9" t="s">
        <v>144</v>
      </c>
      <c r="HO1" s="10" t="s">
        <v>8</v>
      </c>
      <c r="HP1" s="10" t="s">
        <v>105</v>
      </c>
      <c r="HQ1" s="10" t="s">
        <v>88</v>
      </c>
      <c r="HR1" s="10" t="s">
        <v>106</v>
      </c>
      <c r="HS1" s="10" t="s">
        <v>56</v>
      </c>
      <c r="HT1" s="11" t="s">
        <v>141</v>
      </c>
      <c r="HU1" s="9" t="s">
        <v>145</v>
      </c>
      <c r="HV1" s="10" t="s">
        <v>8</v>
      </c>
      <c r="HW1" s="10" t="s">
        <v>139</v>
      </c>
      <c r="HX1" s="10" t="s">
        <v>140</v>
      </c>
      <c r="HY1" s="11" t="s">
        <v>141</v>
      </c>
      <c r="HZ1" s="1" t="s">
        <v>63</v>
      </c>
      <c r="IA1" s="9" t="s">
        <v>146</v>
      </c>
      <c r="IB1" s="11" t="s">
        <v>147</v>
      </c>
      <c r="IC1" s="1" t="s">
        <v>8030</v>
      </c>
    </row>
    <row r="2" spans="1:241">
      <c r="J2" s="1339"/>
      <c r="K2" s="1031">
        <v>2</v>
      </c>
      <c r="L2" s="1031">
        <f>K2+1</f>
        <v>3</v>
      </c>
      <c r="M2" s="1031">
        <f>L2+1</f>
        <v>4</v>
      </c>
      <c r="N2" s="1031">
        <f t="shared" ref="N2:BN2" si="0">M2+1</f>
        <v>5</v>
      </c>
      <c r="O2" s="1031">
        <f t="shared" si="0"/>
        <v>6</v>
      </c>
      <c r="P2" s="1031">
        <f t="shared" si="0"/>
        <v>7</v>
      </c>
      <c r="Q2" s="1031">
        <f t="shared" si="0"/>
        <v>8</v>
      </c>
      <c r="R2" s="1031">
        <f t="shared" si="0"/>
        <v>9</v>
      </c>
      <c r="S2" s="1031">
        <f t="shared" si="0"/>
        <v>10</v>
      </c>
      <c r="T2" s="1031">
        <f t="shared" si="0"/>
        <v>11</v>
      </c>
      <c r="U2" s="1031">
        <f t="shared" si="0"/>
        <v>12</v>
      </c>
      <c r="V2" s="1031">
        <f t="shared" si="0"/>
        <v>13</v>
      </c>
      <c r="W2" s="1031">
        <f t="shared" si="0"/>
        <v>14</v>
      </c>
      <c r="X2" s="1031">
        <f t="shared" si="0"/>
        <v>15</v>
      </c>
      <c r="Y2" s="1031">
        <f t="shared" si="0"/>
        <v>16</v>
      </c>
      <c r="Z2" s="1031">
        <f t="shared" si="0"/>
        <v>17</v>
      </c>
      <c r="AA2" s="1031">
        <f t="shared" si="0"/>
        <v>18</v>
      </c>
      <c r="AB2" s="1031">
        <f t="shared" si="0"/>
        <v>19</v>
      </c>
      <c r="AC2" s="1031">
        <f t="shared" si="0"/>
        <v>20</v>
      </c>
      <c r="AD2" s="1031">
        <f t="shared" si="0"/>
        <v>21</v>
      </c>
      <c r="AE2" s="1031">
        <f t="shared" si="0"/>
        <v>22</v>
      </c>
      <c r="AF2" s="1031">
        <f t="shared" si="0"/>
        <v>23</v>
      </c>
      <c r="AG2" s="1031">
        <f t="shared" si="0"/>
        <v>24</v>
      </c>
      <c r="AH2" s="1031">
        <f t="shared" si="0"/>
        <v>25</v>
      </c>
      <c r="AI2" s="1031">
        <f t="shared" si="0"/>
        <v>26</v>
      </c>
      <c r="AJ2" s="1031">
        <f t="shared" si="0"/>
        <v>27</v>
      </c>
      <c r="AK2" s="1031">
        <f t="shared" si="0"/>
        <v>28</v>
      </c>
      <c r="AL2" s="1031">
        <f t="shared" si="0"/>
        <v>29</v>
      </c>
      <c r="AM2" s="1031">
        <f t="shared" si="0"/>
        <v>30</v>
      </c>
      <c r="AN2" s="1031">
        <f t="shared" si="0"/>
        <v>31</v>
      </c>
      <c r="AO2" s="1031">
        <f t="shared" si="0"/>
        <v>32</v>
      </c>
      <c r="AP2" s="1031">
        <f t="shared" si="0"/>
        <v>33</v>
      </c>
      <c r="AQ2" s="1031">
        <f t="shared" si="0"/>
        <v>34</v>
      </c>
      <c r="AR2" s="1031">
        <f t="shared" si="0"/>
        <v>35</v>
      </c>
      <c r="AS2" s="1031">
        <f t="shared" si="0"/>
        <v>36</v>
      </c>
      <c r="AT2" s="1031">
        <f t="shared" si="0"/>
        <v>37</v>
      </c>
      <c r="AU2" s="1031">
        <f t="shared" si="0"/>
        <v>38</v>
      </c>
      <c r="AV2" s="1031">
        <f t="shared" si="0"/>
        <v>39</v>
      </c>
      <c r="AW2" s="1031">
        <f t="shared" si="0"/>
        <v>40</v>
      </c>
      <c r="AX2" s="1031">
        <f t="shared" si="0"/>
        <v>41</v>
      </c>
      <c r="AY2" s="1031">
        <f t="shared" si="0"/>
        <v>42</v>
      </c>
      <c r="AZ2" s="1031">
        <f t="shared" si="0"/>
        <v>43</v>
      </c>
      <c r="BA2" s="1031">
        <f t="shared" si="0"/>
        <v>44</v>
      </c>
      <c r="BB2" s="1031">
        <f t="shared" si="0"/>
        <v>45</v>
      </c>
      <c r="BC2" s="1031">
        <f t="shared" si="0"/>
        <v>46</v>
      </c>
      <c r="BD2" s="1031">
        <f t="shared" si="0"/>
        <v>47</v>
      </c>
      <c r="BE2" s="1031">
        <f t="shared" si="0"/>
        <v>48</v>
      </c>
      <c r="BF2" s="1031">
        <f t="shared" si="0"/>
        <v>49</v>
      </c>
      <c r="BG2" s="1031">
        <f t="shared" si="0"/>
        <v>50</v>
      </c>
      <c r="BH2" s="1031">
        <f t="shared" si="0"/>
        <v>51</v>
      </c>
      <c r="BI2" s="1031">
        <f t="shared" si="0"/>
        <v>52</v>
      </c>
      <c r="BJ2" s="1031">
        <f t="shared" si="0"/>
        <v>53</v>
      </c>
      <c r="BK2" s="1031">
        <f t="shared" si="0"/>
        <v>54</v>
      </c>
      <c r="BL2" s="1031">
        <f t="shared" si="0"/>
        <v>55</v>
      </c>
      <c r="BM2" s="1031">
        <f t="shared" si="0"/>
        <v>56</v>
      </c>
      <c r="BN2" s="1032">
        <f t="shared" si="0"/>
        <v>57</v>
      </c>
      <c r="BO2" t="s">
        <v>2252</v>
      </c>
      <c r="BP2" s="954" t="s">
        <v>5786</v>
      </c>
      <c r="BQ2" s="952" t="s">
        <v>5808</v>
      </c>
      <c r="BR2" s="954" t="s">
        <v>5787</v>
      </c>
      <c r="BS2" s="955" t="s">
        <v>5811</v>
      </c>
      <c r="BT2" s="955" t="s">
        <v>5788</v>
      </c>
      <c r="BU2" s="955" t="s">
        <v>5789</v>
      </c>
      <c r="BX2" s="1171" t="s">
        <v>195</v>
      </c>
      <c r="BY2" s="1031">
        <v>2</v>
      </c>
      <c r="BZ2" s="1031">
        <f t="shared" ref="BZ2:CV2" si="1">BY2+1</f>
        <v>3</v>
      </c>
      <c r="CA2" s="1031">
        <f t="shared" si="1"/>
        <v>4</v>
      </c>
      <c r="CB2" s="1031">
        <f t="shared" si="1"/>
        <v>5</v>
      </c>
      <c r="CC2" s="1031">
        <f t="shared" si="1"/>
        <v>6</v>
      </c>
      <c r="CD2" s="1031">
        <f t="shared" si="1"/>
        <v>7</v>
      </c>
      <c r="CE2" s="1031">
        <f t="shared" si="1"/>
        <v>8</v>
      </c>
      <c r="CF2" s="1031">
        <f t="shared" si="1"/>
        <v>9</v>
      </c>
      <c r="CG2" s="1031">
        <f t="shared" si="1"/>
        <v>10</v>
      </c>
      <c r="CH2" s="1031">
        <f t="shared" si="1"/>
        <v>11</v>
      </c>
      <c r="CI2" s="1031">
        <f t="shared" si="1"/>
        <v>12</v>
      </c>
      <c r="CJ2" s="1031">
        <f t="shared" si="1"/>
        <v>13</v>
      </c>
      <c r="CK2" s="1031">
        <f t="shared" si="1"/>
        <v>14</v>
      </c>
      <c r="CL2" s="1031">
        <f t="shared" si="1"/>
        <v>15</v>
      </c>
      <c r="CM2" s="1031">
        <f t="shared" si="1"/>
        <v>16</v>
      </c>
      <c r="CN2" s="1031">
        <f t="shared" si="1"/>
        <v>17</v>
      </c>
      <c r="CO2" s="1031">
        <f t="shared" si="1"/>
        <v>18</v>
      </c>
      <c r="CP2" s="1031">
        <f t="shared" si="1"/>
        <v>19</v>
      </c>
      <c r="CQ2" s="1031">
        <f t="shared" si="1"/>
        <v>20</v>
      </c>
      <c r="CR2" s="1031">
        <f t="shared" si="1"/>
        <v>21</v>
      </c>
      <c r="CS2" s="1031">
        <f t="shared" si="1"/>
        <v>22</v>
      </c>
      <c r="CT2" s="1031">
        <f t="shared" si="1"/>
        <v>23</v>
      </c>
      <c r="CU2" s="1031">
        <f t="shared" si="1"/>
        <v>24</v>
      </c>
      <c r="CV2" s="1031">
        <f t="shared" si="1"/>
        <v>25</v>
      </c>
      <c r="CW2" s="1167">
        <f>SUM(CW3:CW47)+TalentBonus</f>
        <v>0</v>
      </c>
      <c r="CX2" s="1167"/>
      <c r="CY2" s="1169"/>
      <c r="DB2" s="19" t="str">
        <f ca="1">DB3</f>
        <v/>
      </c>
      <c r="DC2" s="1171" t="s">
        <v>195</v>
      </c>
      <c r="DD2" s="1030">
        <v>2</v>
      </c>
      <c r="DE2" s="1031">
        <f t="shared" ref="DE2:EM2" si="2">DD2+1</f>
        <v>3</v>
      </c>
      <c r="DF2" s="1031">
        <f t="shared" si="2"/>
        <v>4</v>
      </c>
      <c r="DG2" s="1031">
        <f t="shared" si="2"/>
        <v>5</v>
      </c>
      <c r="DH2" s="1031">
        <f t="shared" si="2"/>
        <v>6</v>
      </c>
      <c r="DI2" s="1031">
        <f t="shared" si="2"/>
        <v>7</v>
      </c>
      <c r="DJ2" s="1031">
        <f t="shared" si="2"/>
        <v>8</v>
      </c>
      <c r="DK2" s="1031">
        <f t="shared" si="2"/>
        <v>9</v>
      </c>
      <c r="DL2" s="1031">
        <f t="shared" si="2"/>
        <v>10</v>
      </c>
      <c r="DM2" s="1031">
        <f t="shared" si="2"/>
        <v>11</v>
      </c>
      <c r="DN2" s="1031">
        <f t="shared" si="2"/>
        <v>12</v>
      </c>
      <c r="DO2" s="1031">
        <f t="shared" si="2"/>
        <v>13</v>
      </c>
      <c r="DP2" s="1031">
        <f t="shared" si="2"/>
        <v>14</v>
      </c>
      <c r="DQ2" s="1031">
        <f t="shared" si="2"/>
        <v>15</v>
      </c>
      <c r="DR2" s="1031">
        <f t="shared" si="2"/>
        <v>16</v>
      </c>
      <c r="DS2" s="1031">
        <f t="shared" si="2"/>
        <v>17</v>
      </c>
      <c r="DT2" s="1031">
        <f t="shared" si="2"/>
        <v>18</v>
      </c>
      <c r="DU2" s="1031">
        <f t="shared" si="2"/>
        <v>19</v>
      </c>
      <c r="DV2" s="1031">
        <f t="shared" si="2"/>
        <v>20</v>
      </c>
      <c r="DW2" s="1031">
        <f t="shared" si="2"/>
        <v>21</v>
      </c>
      <c r="DX2" s="1031">
        <f t="shared" si="2"/>
        <v>22</v>
      </c>
      <c r="DY2" s="1031">
        <f t="shared" si="2"/>
        <v>23</v>
      </c>
      <c r="DZ2" s="1031">
        <f t="shared" si="2"/>
        <v>24</v>
      </c>
      <c r="EA2" s="1031">
        <f t="shared" si="2"/>
        <v>25</v>
      </c>
      <c r="EB2" s="1031">
        <f t="shared" si="2"/>
        <v>26</v>
      </c>
      <c r="EC2" s="1031">
        <f t="shared" si="2"/>
        <v>27</v>
      </c>
      <c r="ED2" s="1031">
        <f t="shared" si="2"/>
        <v>28</v>
      </c>
      <c r="EE2" s="1031">
        <f t="shared" si="2"/>
        <v>29</v>
      </c>
      <c r="EF2" s="1031">
        <f t="shared" si="2"/>
        <v>30</v>
      </c>
      <c r="EG2" s="1031">
        <f t="shared" si="2"/>
        <v>31</v>
      </c>
      <c r="EH2" s="1031">
        <f t="shared" si="2"/>
        <v>32</v>
      </c>
      <c r="EI2" s="1031">
        <f t="shared" si="2"/>
        <v>33</v>
      </c>
      <c r="EJ2" s="1031">
        <f t="shared" si="2"/>
        <v>34</v>
      </c>
      <c r="EK2" s="1031">
        <f t="shared" si="2"/>
        <v>35</v>
      </c>
      <c r="EL2" s="1031">
        <f t="shared" si="2"/>
        <v>36</v>
      </c>
      <c r="EM2" s="1031">
        <f t="shared" si="2"/>
        <v>37</v>
      </c>
      <c r="EN2" s="1334"/>
      <c r="EO2" s="1031">
        <v>2</v>
      </c>
      <c r="EP2" s="1031">
        <f t="shared" ref="EP2:FS2" si="3">EO2+1</f>
        <v>3</v>
      </c>
      <c r="EQ2" s="1031">
        <f t="shared" si="3"/>
        <v>4</v>
      </c>
      <c r="ER2" s="1031">
        <f t="shared" si="3"/>
        <v>5</v>
      </c>
      <c r="ES2" s="1031">
        <f t="shared" si="3"/>
        <v>6</v>
      </c>
      <c r="ET2" s="1031">
        <f t="shared" si="3"/>
        <v>7</v>
      </c>
      <c r="EU2" s="1031">
        <f t="shared" si="3"/>
        <v>8</v>
      </c>
      <c r="EV2" s="1031">
        <f t="shared" si="3"/>
        <v>9</v>
      </c>
      <c r="EW2" s="1031">
        <f t="shared" si="3"/>
        <v>10</v>
      </c>
      <c r="EX2" s="1031">
        <f t="shared" si="3"/>
        <v>11</v>
      </c>
      <c r="EY2" s="1031">
        <f t="shared" si="3"/>
        <v>12</v>
      </c>
      <c r="EZ2" s="1031">
        <f t="shared" si="3"/>
        <v>13</v>
      </c>
      <c r="FA2" s="1031">
        <f t="shared" si="3"/>
        <v>14</v>
      </c>
      <c r="FB2" s="1031">
        <f t="shared" si="3"/>
        <v>15</v>
      </c>
      <c r="FC2" s="1031">
        <f t="shared" si="3"/>
        <v>16</v>
      </c>
      <c r="FD2" s="1031">
        <f t="shared" si="3"/>
        <v>17</v>
      </c>
      <c r="FE2" s="1031">
        <f t="shared" si="3"/>
        <v>18</v>
      </c>
      <c r="FF2" s="1031">
        <f t="shared" si="3"/>
        <v>19</v>
      </c>
      <c r="FG2" s="1031">
        <f t="shared" si="3"/>
        <v>20</v>
      </c>
      <c r="FH2" s="1031">
        <f t="shared" si="3"/>
        <v>21</v>
      </c>
      <c r="FI2" s="1031">
        <f t="shared" si="3"/>
        <v>22</v>
      </c>
      <c r="FJ2" s="1031">
        <f t="shared" si="3"/>
        <v>23</v>
      </c>
      <c r="FK2" s="1031">
        <f t="shared" si="3"/>
        <v>24</v>
      </c>
      <c r="FL2" s="1031">
        <f t="shared" si="3"/>
        <v>25</v>
      </c>
      <c r="FM2" s="1031">
        <f t="shared" si="3"/>
        <v>26</v>
      </c>
      <c r="FN2" s="1031">
        <f t="shared" si="3"/>
        <v>27</v>
      </c>
      <c r="FO2" s="1031">
        <f t="shared" si="3"/>
        <v>28</v>
      </c>
      <c r="FP2" s="1031">
        <f t="shared" si="3"/>
        <v>29</v>
      </c>
      <c r="FQ2" s="1031">
        <f t="shared" si="3"/>
        <v>30</v>
      </c>
      <c r="FR2" s="1031">
        <f t="shared" si="3"/>
        <v>31</v>
      </c>
      <c r="FS2" s="1032">
        <f t="shared" si="3"/>
        <v>32</v>
      </c>
      <c r="GC2" s="1029"/>
      <c r="GD2" s="1167"/>
      <c r="GE2" s="1168"/>
      <c r="GF2" s="1168"/>
      <c r="GG2" s="1168"/>
      <c r="GH2" s="1167"/>
      <c r="GI2" s="1169"/>
      <c r="HD2" s="1029"/>
      <c r="HE2" s="1167"/>
      <c r="HF2" s="1167"/>
      <c r="HG2" s="1167"/>
      <c r="HH2" s="1167"/>
    </row>
    <row r="3" spans="1:241">
      <c r="A3" t="s">
        <v>188</v>
      </c>
      <c r="B3">
        <v>-4</v>
      </c>
      <c r="C3">
        <v>-2</v>
      </c>
      <c r="D3">
        <v>-4</v>
      </c>
      <c r="E3">
        <v>-2</v>
      </c>
      <c r="F3">
        <v>-2</v>
      </c>
      <c r="G3">
        <v>-2</v>
      </c>
      <c r="H3" s="873">
        <v>1</v>
      </c>
      <c r="I3" s="873">
        <f>IF(A9&lt;H4,1,0)</f>
        <v>1</v>
      </c>
      <c r="J3" s="1323" t="s">
        <v>271</v>
      </c>
      <c r="K3" s="3" t="s">
        <v>230</v>
      </c>
      <c r="L3" s="3" t="s">
        <v>271</v>
      </c>
      <c r="M3" s="4"/>
      <c r="N3" s="4">
        <v>2</v>
      </c>
      <c r="O3" s="4"/>
      <c r="P3" s="4"/>
      <c r="Q3" s="4"/>
      <c r="R3" s="4">
        <v>-2</v>
      </c>
      <c r="S3" s="3" t="s">
        <v>273</v>
      </c>
      <c r="T3" s="3" t="s">
        <v>271</v>
      </c>
      <c r="V3" s="3" t="s">
        <v>274</v>
      </c>
      <c r="W3" s="3">
        <v>13</v>
      </c>
      <c r="X3" s="3">
        <v>19</v>
      </c>
      <c r="Y3" s="3">
        <v>46</v>
      </c>
      <c r="Z3" s="3">
        <v>61</v>
      </c>
      <c r="AA3" s="3">
        <v>80</v>
      </c>
      <c r="AB3" s="3">
        <v>4</v>
      </c>
      <c r="AC3" s="3" t="s">
        <v>275</v>
      </c>
      <c r="AD3" s="3" t="s">
        <v>276</v>
      </c>
      <c r="BO3" t="s">
        <v>7970</v>
      </c>
      <c r="BV3" s="456" t="s">
        <v>8002</v>
      </c>
      <c r="BW3" s="12">
        <v>0</v>
      </c>
      <c r="BX3" s="12" t="s">
        <v>154</v>
      </c>
      <c r="BY3" s="19" t="s">
        <v>155</v>
      </c>
      <c r="BZ3" s="19">
        <v>0</v>
      </c>
      <c r="CA3" s="19">
        <v>0</v>
      </c>
      <c r="CB3" s="19">
        <v>0</v>
      </c>
      <c r="CC3" s="19">
        <v>0</v>
      </c>
      <c r="CD3" s="19">
        <v>0</v>
      </c>
      <c r="CE3" s="19">
        <v>0</v>
      </c>
      <c r="CF3" s="19">
        <v>0</v>
      </c>
      <c r="CG3" s="19">
        <v>0</v>
      </c>
      <c r="CH3" s="19">
        <v>1</v>
      </c>
      <c r="CP3" s="3" t="s">
        <v>156</v>
      </c>
      <c r="CQ3" s="3" t="s">
        <v>157</v>
      </c>
      <c r="CV3" s="3">
        <v>0</v>
      </c>
      <c r="CW3" s="3">
        <v>0</v>
      </c>
      <c r="CX3" s="3">
        <v>0</v>
      </c>
      <c r="CY3" s="8">
        <v>0</v>
      </c>
      <c r="CZ3" s="12" t="s">
        <v>158</v>
      </c>
      <c r="DA3" s="14" t="str">
        <f>IF(OR(INT(CT16/2)&gt;0,INT(CT33/2)&gt;0),"Command Cover +"&amp;INT(CT16/2)+INT(CT33/2),"")</f>
        <v/>
      </c>
      <c r="DB3" s="854" t="str">
        <f ca="1">IF(DA3&lt;&gt;"",DA3&amp;IF(DB4&lt;&gt;"",", "&amp;DB4,""),DB4)</f>
        <v/>
      </c>
      <c r="DC3" s="12" t="s">
        <v>671</v>
      </c>
      <c r="DE3">
        <v>0</v>
      </c>
      <c r="DF3">
        <v>0</v>
      </c>
      <c r="DG3">
        <v>0</v>
      </c>
      <c r="DH3">
        <v>0</v>
      </c>
      <c r="DI3" t="s">
        <v>155</v>
      </c>
      <c r="DJ3" t="s">
        <v>195</v>
      </c>
      <c r="DK3" t="s">
        <v>195</v>
      </c>
      <c r="DM3" t="s">
        <v>195</v>
      </c>
      <c r="DO3" t="s">
        <v>195</v>
      </c>
      <c r="DQ3" t="s">
        <v>195</v>
      </c>
      <c r="DS3" t="s">
        <v>195</v>
      </c>
      <c r="DU3" t="s">
        <v>195</v>
      </c>
      <c r="DV3" t="s">
        <v>195</v>
      </c>
      <c r="EB3" t="s">
        <v>3719</v>
      </c>
      <c r="ED3">
        <v>0</v>
      </c>
      <c r="EE3">
        <v>0</v>
      </c>
      <c r="EF3">
        <v>0</v>
      </c>
      <c r="EG3">
        <v>0</v>
      </c>
      <c r="EH3">
        <v>0</v>
      </c>
      <c r="EI3">
        <v>0</v>
      </c>
      <c r="EJ3">
        <v>0</v>
      </c>
      <c r="EK3">
        <v>0</v>
      </c>
      <c r="EL3">
        <v>0</v>
      </c>
      <c r="EN3" s="1331" t="s">
        <v>6542</v>
      </c>
      <c r="ES3" s="3"/>
      <c r="ET3" s="3"/>
      <c r="EU3" s="3"/>
      <c r="EV3" s="3"/>
      <c r="EW3" s="3"/>
      <c r="EX3" s="3"/>
      <c r="EY3" s="3"/>
      <c r="FU3" t="s">
        <v>163</v>
      </c>
      <c r="FV3" t="s">
        <v>163</v>
      </c>
      <c r="FW3" s="548" t="s">
        <v>164</v>
      </c>
      <c r="FX3" s="12" t="s">
        <v>165</v>
      </c>
      <c r="FY3" s="3">
        <v>20</v>
      </c>
      <c r="FZ3" s="3">
        <v>0.1</v>
      </c>
      <c r="GA3" s="3" t="s">
        <v>166</v>
      </c>
      <c r="GB3" s="8" t="s">
        <v>167</v>
      </c>
      <c r="GC3" s="12" t="s">
        <v>4467</v>
      </c>
      <c r="GD3" s="569" t="s">
        <v>3800</v>
      </c>
      <c r="GE3" s="19">
        <v>200</v>
      </c>
      <c r="GF3" s="19">
        <v>1</v>
      </c>
      <c r="GG3" s="19" t="s">
        <v>209</v>
      </c>
      <c r="GH3" s="3" t="str">
        <f>GC3</f>
        <v>8-2A medical bundle</v>
      </c>
      <c r="GI3" s="8" t="str">
        <f>GH3&amp;"s"</f>
        <v>8-2A medical bundles</v>
      </c>
      <c r="GJ3" s="12" t="s">
        <v>172</v>
      </c>
      <c r="GK3" s="3" t="s">
        <v>173</v>
      </c>
      <c r="GL3" s="3">
        <v>2000</v>
      </c>
      <c r="GM3" s="3">
        <v>0.5</v>
      </c>
      <c r="GN3" s="3" t="s">
        <v>174</v>
      </c>
      <c r="GO3" s="8" t="s">
        <v>175</v>
      </c>
      <c r="GP3" s="12" t="s">
        <v>176</v>
      </c>
      <c r="GQ3" s="3" t="s">
        <v>173</v>
      </c>
      <c r="GR3" s="3">
        <v>1750</v>
      </c>
      <c r="GS3" s="8" t="s">
        <v>177</v>
      </c>
      <c r="GT3" s="12" t="s">
        <v>178</v>
      </c>
      <c r="GU3" s="3" t="s">
        <v>173</v>
      </c>
      <c r="GV3" s="3">
        <v>0.1</v>
      </c>
      <c r="GW3" s="3">
        <v>1000</v>
      </c>
      <c r="GX3" s="569" t="s">
        <v>3735</v>
      </c>
      <c r="GY3" s="569"/>
      <c r="GZ3" s="569" t="s">
        <v>497</v>
      </c>
      <c r="HA3" s="569"/>
      <c r="HB3" s="569"/>
      <c r="HC3" s="8" t="s">
        <v>179</v>
      </c>
      <c r="HD3" s="12" t="s">
        <v>6578</v>
      </c>
      <c r="HE3" s="569" t="s">
        <v>154</v>
      </c>
      <c r="HF3" s="569">
        <v>0</v>
      </c>
      <c r="HG3" s="569">
        <v>0</v>
      </c>
      <c r="HI3" s="12" t="s">
        <v>180</v>
      </c>
      <c r="HJ3" s="3" t="s">
        <v>169</v>
      </c>
      <c r="HL3" s="8">
        <v>0</v>
      </c>
      <c r="HN3" s="12" t="s">
        <v>181</v>
      </c>
      <c r="HO3" s="3" t="s">
        <v>169</v>
      </c>
      <c r="HP3" s="3">
        <v>500</v>
      </c>
      <c r="HQ3" s="3">
        <v>1</v>
      </c>
      <c r="HS3" s="3" t="s">
        <v>2133</v>
      </c>
      <c r="HT3" s="8" t="s">
        <v>182</v>
      </c>
      <c r="HU3" s="12" t="s">
        <v>183</v>
      </c>
      <c r="HV3" s="3" t="s">
        <v>173</v>
      </c>
      <c r="HW3" s="3">
        <v>0.1</v>
      </c>
      <c r="HX3" s="3">
        <v>1000</v>
      </c>
      <c r="HY3" s="8" t="s">
        <v>184</v>
      </c>
      <c r="HZ3" t="s">
        <v>185</v>
      </c>
      <c r="IA3" s="1323" t="s">
        <v>186</v>
      </c>
      <c r="IB3" s="8" t="s">
        <v>187</v>
      </c>
      <c r="IC3" t="str">
        <f>IF(EQ3="EWP",EN3&amp;";","")</f>
        <v/>
      </c>
      <c r="ID3" t="str">
        <f>IF(IC3&lt;&gt;"",IC3&amp;ID4,ID4)</f>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
        <f>1</f>
        <v>1</v>
      </c>
      <c r="IF3" s="1540">
        <f>FIND(";",$ID$3,IF2+1)</f>
        <v>11</v>
      </c>
      <c r="IG3" s="1540" t="str">
        <f>IF(NOT(ISERROR(IF3)),MID($ID$3,IF2+1,IF3-IF2-1),"")</f>
        <v>Amphistaff</v>
      </c>
    </row>
    <row r="4" spans="1:241">
      <c r="A4" t="s">
        <v>345</v>
      </c>
      <c r="B4">
        <v>-1</v>
      </c>
      <c r="C4">
        <v>-1</v>
      </c>
      <c r="D4">
        <v>-1</v>
      </c>
      <c r="E4">
        <v>-1</v>
      </c>
      <c r="F4">
        <v>-1</v>
      </c>
      <c r="G4">
        <v>-1</v>
      </c>
      <c r="H4" s="1027" t="str">
        <f>IF(CharacterAge&lt;&gt;"",INDEX(RaceListTable,MATCH(Race,RaceList,0),14),"")</f>
        <v/>
      </c>
      <c r="I4" s="873">
        <f>IF(AND($A$9&gt;=H4,$A$9&lt;H5),2,0)</f>
        <v>0</v>
      </c>
      <c r="J4" s="1323" t="s">
        <v>310</v>
      </c>
      <c r="K4" s="3" t="s">
        <v>445</v>
      </c>
      <c r="L4" s="3" t="s">
        <v>310</v>
      </c>
      <c r="M4" s="4">
        <v>2</v>
      </c>
      <c r="N4" s="4"/>
      <c r="O4" s="4"/>
      <c r="P4" s="4">
        <v>-2</v>
      </c>
      <c r="Q4" s="4"/>
      <c r="R4" s="4">
        <v>-2</v>
      </c>
      <c r="S4" s="3" t="s">
        <v>311</v>
      </c>
      <c r="V4" s="3" t="s">
        <v>149</v>
      </c>
      <c r="W4" s="3">
        <v>12</v>
      </c>
      <c r="X4" s="3">
        <v>17</v>
      </c>
      <c r="Y4" s="3">
        <v>50</v>
      </c>
      <c r="Z4" s="3">
        <v>77</v>
      </c>
      <c r="AA4" s="3">
        <v>90</v>
      </c>
      <c r="AB4" s="3">
        <v>6</v>
      </c>
      <c r="AC4" s="3" t="s">
        <v>151</v>
      </c>
      <c r="AD4" s="3" t="s">
        <v>312</v>
      </c>
      <c r="AE4" s="3" t="s">
        <v>313</v>
      </c>
      <c r="AF4" s="3" t="s">
        <v>314</v>
      </c>
      <c r="AP4" s="3">
        <v>1</v>
      </c>
      <c r="BO4" t="s">
        <v>152</v>
      </c>
      <c r="BV4" s="456" t="s">
        <v>153</v>
      </c>
      <c r="BW4" s="12">
        <v>1</v>
      </c>
      <c r="BX4" s="12" t="s">
        <v>191</v>
      </c>
      <c r="BY4" s="19" t="s">
        <v>155</v>
      </c>
      <c r="BZ4" s="19">
        <v>1</v>
      </c>
      <c r="CA4" s="19">
        <v>1</v>
      </c>
      <c r="CB4" s="19">
        <v>1</v>
      </c>
      <c r="CC4" s="19">
        <v>1</v>
      </c>
      <c r="CD4" s="19">
        <v>10</v>
      </c>
      <c r="CE4" s="19">
        <v>2</v>
      </c>
      <c r="CF4" s="19">
        <v>100</v>
      </c>
      <c r="CG4" s="19">
        <v>5</v>
      </c>
      <c r="CH4" s="19">
        <v>1</v>
      </c>
      <c r="CP4" s="3" t="s">
        <v>192</v>
      </c>
      <c r="CQ4" s="3" t="s">
        <v>191</v>
      </c>
      <c r="CT4" s="3">
        <f t="shared" ref="CT4:CT39" si="4">COUNTIF(AllLevels,BX4)</f>
        <v>0</v>
      </c>
      <c r="CU4" s="3">
        <f t="shared" ref="CU4:CU39" si="5">INT(BZ4*CT4)</f>
        <v>0</v>
      </c>
      <c r="CV4" s="3">
        <f>INT(CT4/2)</f>
        <v>0</v>
      </c>
      <c r="CW4" s="17">
        <f>INT((CT4/2)+0.5)</f>
        <v>0</v>
      </c>
      <c r="CZ4" s="12" t="s">
        <v>193</v>
      </c>
      <c r="DA4" s="14" t="str">
        <f>IF(OR(INT(CT18/2)&gt;0),CZ4&amp;" "&amp;INT(CT18/2)+IF(Talents!M914&gt;0,ArmorFortBonus,0)&amp;"/-","")</f>
        <v/>
      </c>
      <c r="DB4" s="854" t="str">
        <f t="shared" ref="DB4:DB43" ca="1" si="6">IF(DA4&lt;&gt;"",DA4&amp;IF(DB5&lt;&gt;"",", "&amp;DB5,""),DB5)</f>
        <v/>
      </c>
      <c r="DC4" s="12" t="s">
        <v>843</v>
      </c>
      <c r="DF4">
        <v>1</v>
      </c>
      <c r="DI4" t="s">
        <v>155</v>
      </c>
      <c r="DJ4" t="s">
        <v>89</v>
      </c>
      <c r="DV4" t="s">
        <v>195</v>
      </c>
      <c r="DX4" t="s">
        <v>456</v>
      </c>
      <c r="EB4" t="s">
        <v>3719</v>
      </c>
      <c r="EJ4">
        <v>1000</v>
      </c>
      <c r="EK4">
        <v>1</v>
      </c>
      <c r="EL4" t="s">
        <v>844</v>
      </c>
      <c r="EM4" t="s">
        <v>845</v>
      </c>
      <c r="EN4" s="1331" t="s">
        <v>6541</v>
      </c>
      <c r="ES4" s="3"/>
      <c r="ET4" s="3"/>
      <c r="EU4" s="3"/>
      <c r="EV4" s="3"/>
      <c r="EW4" s="3"/>
      <c r="EX4" s="3"/>
      <c r="EY4" s="3"/>
      <c r="FU4" t="s">
        <v>163</v>
      </c>
      <c r="FV4" t="s">
        <v>163</v>
      </c>
      <c r="FX4" s="12" t="s">
        <v>205</v>
      </c>
      <c r="FY4" s="3">
        <v>100</v>
      </c>
      <c r="FZ4" s="3">
        <v>2</v>
      </c>
      <c r="GA4" s="3" t="s">
        <v>206</v>
      </c>
      <c r="GB4" s="8" t="s">
        <v>207</v>
      </c>
      <c r="GC4" s="12" t="s">
        <v>168</v>
      </c>
      <c r="GD4" s="3" t="s">
        <v>169</v>
      </c>
      <c r="GE4" s="19">
        <v>3000</v>
      </c>
      <c r="GF4" s="19">
        <v>3</v>
      </c>
      <c r="GG4" s="19" t="s">
        <v>170</v>
      </c>
      <c r="GH4" s="3" t="s">
        <v>168</v>
      </c>
      <c r="GI4" s="8" t="s">
        <v>171</v>
      </c>
      <c r="GJ4" s="12" t="s">
        <v>212</v>
      </c>
      <c r="GK4" s="3" t="s">
        <v>173</v>
      </c>
      <c r="GL4" s="3">
        <v>1200</v>
      </c>
      <c r="GM4" s="3">
        <v>0.5</v>
      </c>
      <c r="GN4" s="3" t="s">
        <v>213</v>
      </c>
      <c r="GO4" s="8" t="s">
        <v>214</v>
      </c>
      <c r="GP4" s="12" t="s">
        <v>215</v>
      </c>
      <c r="GQ4" s="3" t="s">
        <v>173</v>
      </c>
      <c r="GR4" s="3">
        <v>4000</v>
      </c>
      <c r="GS4" s="8" t="s">
        <v>216</v>
      </c>
      <c r="GT4" s="12" t="s">
        <v>217</v>
      </c>
      <c r="GU4" s="3" t="s">
        <v>173</v>
      </c>
      <c r="GV4" s="3">
        <v>0.1</v>
      </c>
      <c r="GW4" s="3">
        <v>1000</v>
      </c>
      <c r="HC4" s="8" t="s">
        <v>218</v>
      </c>
      <c r="HD4" s="12" t="s">
        <v>178</v>
      </c>
      <c r="HE4" s="3" t="s">
        <v>173</v>
      </c>
      <c r="HF4" s="3">
        <v>0.1</v>
      </c>
      <c r="HG4" s="3">
        <v>1000</v>
      </c>
      <c r="HH4" s="3" t="s">
        <v>2132</v>
      </c>
      <c r="HI4" s="12" t="s">
        <v>221</v>
      </c>
      <c r="HJ4" s="3" t="s">
        <v>173</v>
      </c>
      <c r="HK4" s="3">
        <v>1200</v>
      </c>
      <c r="HL4" s="8">
        <v>2</v>
      </c>
      <c r="HM4" s="8" t="s">
        <v>222</v>
      </c>
      <c r="HN4" s="12" t="s">
        <v>223</v>
      </c>
      <c r="HO4" s="3" t="s">
        <v>173</v>
      </c>
      <c r="HP4" s="3">
        <v>3000</v>
      </c>
      <c r="HQ4" s="3">
        <v>1</v>
      </c>
      <c r="HS4" s="3" t="s">
        <v>224</v>
      </c>
      <c r="HT4" s="8" t="s">
        <v>225</v>
      </c>
      <c r="HU4" s="12" t="s">
        <v>226</v>
      </c>
      <c r="HV4" s="3" t="s">
        <v>173</v>
      </c>
      <c r="HW4" s="3">
        <v>0.1</v>
      </c>
      <c r="HX4" s="3">
        <v>1000</v>
      </c>
      <c r="HY4" s="8" t="s">
        <v>227</v>
      </c>
      <c r="HZ4" t="s">
        <v>228</v>
      </c>
      <c r="IA4" s="1323" t="s">
        <v>229</v>
      </c>
      <c r="IB4" s="8" t="s">
        <v>230</v>
      </c>
      <c r="IC4" s="1540" t="str">
        <f>IF(EQ4="EWP",EN4&amp;";","")</f>
        <v/>
      </c>
      <c r="ID4" s="1540" t="str">
        <f t="shared" ref="ID4:ID67" si="7">IF(IC4&lt;&gt;"",IC4&amp;ID5,ID5)</f>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
        <f>IE3+1</f>
        <v>2</v>
      </c>
      <c r="IF4" s="1540">
        <f t="shared" ref="IF4:IF67" si="8">FIND(";",$ID$3,IF3+1)</f>
        <v>42</v>
      </c>
      <c r="IG4" s="1540" t="str">
        <f t="shared" ref="IG4:IG67" si="9">IF(NOT(ISERROR(IF4)),MID($ID$3,IF3+1,IF4-IF3-1),"")</f>
        <v>Amphistaff (quarterstaff form)</v>
      </c>
    </row>
    <row r="5" spans="1:241">
      <c r="A5" t="s">
        <v>148</v>
      </c>
      <c r="B5">
        <v>0</v>
      </c>
      <c r="C5">
        <v>0</v>
      </c>
      <c r="D5">
        <v>0</v>
      </c>
      <c r="E5">
        <v>0</v>
      </c>
      <c r="F5">
        <v>0</v>
      </c>
      <c r="G5">
        <v>0</v>
      </c>
      <c r="H5" s="1027" t="str">
        <f>IF(CharacterAge&lt;&gt;"",INDEX(RaceListTable,MATCH(Race,RaceList,0),15),"")</f>
        <v/>
      </c>
      <c r="I5" s="1027">
        <f>IF(AND($A$9&gt;=H5,$A$9&lt;H6),3,0)</f>
        <v>0</v>
      </c>
      <c r="J5" s="1323" t="s">
        <v>7935</v>
      </c>
      <c r="K5" s="569" t="s">
        <v>7946</v>
      </c>
      <c r="L5" s="3" t="str">
        <f>J5</f>
        <v>Anzati</v>
      </c>
      <c r="S5" s="569" t="s">
        <v>7948</v>
      </c>
      <c r="T5" s="3" t="s">
        <v>273</v>
      </c>
      <c r="V5" s="569" t="s">
        <v>149</v>
      </c>
      <c r="W5" s="569">
        <v>13</v>
      </c>
      <c r="X5" s="569">
        <v>100</v>
      </c>
      <c r="Y5" s="569">
        <v>650</v>
      </c>
      <c r="Z5" s="569">
        <v>800</v>
      </c>
      <c r="AA5" s="569">
        <v>951</v>
      </c>
      <c r="AB5" s="569">
        <v>6</v>
      </c>
      <c r="AC5" s="569" t="s">
        <v>7949</v>
      </c>
      <c r="AD5" s="569" t="s">
        <v>7950</v>
      </c>
      <c r="AE5" s="3" t="s">
        <v>7951</v>
      </c>
      <c r="AF5" s="569" t="s">
        <v>6294</v>
      </c>
      <c r="AG5" s="569" t="s">
        <v>953</v>
      </c>
      <c r="BO5" t="s">
        <v>7323</v>
      </c>
      <c r="BP5" s="1552" t="s">
        <v>185</v>
      </c>
      <c r="BQ5" s="1552" t="s">
        <v>5810</v>
      </c>
      <c r="BV5" s="456" t="s">
        <v>7324</v>
      </c>
      <c r="BW5" s="12">
        <v>2</v>
      </c>
      <c r="BX5" s="12" t="s">
        <v>234</v>
      </c>
      <c r="BY5" s="19" t="s">
        <v>155</v>
      </c>
      <c r="BZ5" s="19">
        <v>0.75</v>
      </c>
      <c r="CA5" s="19">
        <v>1</v>
      </c>
      <c r="CB5" s="19">
        <v>0</v>
      </c>
      <c r="CC5" s="19">
        <v>2</v>
      </c>
      <c r="CD5" s="19">
        <v>6</v>
      </c>
      <c r="CE5" s="19">
        <v>6</v>
      </c>
      <c r="CF5" s="19">
        <v>400</v>
      </c>
      <c r="CG5" s="19">
        <v>5</v>
      </c>
      <c r="CH5" s="19">
        <v>1</v>
      </c>
      <c r="CP5" s="3" t="s">
        <v>235</v>
      </c>
      <c r="CQ5" s="3" t="s">
        <v>2134</v>
      </c>
      <c r="CT5" s="3">
        <f t="shared" si="4"/>
        <v>0</v>
      </c>
      <c r="CU5" s="3">
        <f t="shared" si="5"/>
        <v>0</v>
      </c>
      <c r="CV5" s="3">
        <f>INT(CT5/2)</f>
        <v>0</v>
      </c>
      <c r="CW5" s="17">
        <f>INT((CT5/2)+0.5)</f>
        <v>0</v>
      </c>
      <c r="CZ5" s="12" t="s">
        <v>236</v>
      </c>
      <c r="DA5" s="14" t="str">
        <f>IF(CT18&gt;0,CZ5,"")</f>
        <v/>
      </c>
      <c r="DB5" s="854" t="str">
        <f t="shared" ca="1" si="6"/>
        <v/>
      </c>
      <c r="DC5" s="12" t="s">
        <v>1271</v>
      </c>
      <c r="DF5">
        <v>2</v>
      </c>
      <c r="DH5">
        <v>1</v>
      </c>
      <c r="DI5" t="s">
        <v>155</v>
      </c>
      <c r="DJ5" t="s">
        <v>89</v>
      </c>
      <c r="DV5" t="s">
        <v>195</v>
      </c>
      <c r="DX5" t="s">
        <v>418</v>
      </c>
      <c r="EB5" t="s">
        <v>3719</v>
      </c>
      <c r="EJ5">
        <v>2000</v>
      </c>
      <c r="EK5">
        <v>5</v>
      </c>
      <c r="EL5" t="s">
        <v>1272</v>
      </c>
      <c r="EM5" t="s">
        <v>1273</v>
      </c>
      <c r="EN5" s="1323" t="s">
        <v>8076</v>
      </c>
      <c r="EO5" s="569" t="s">
        <v>7946</v>
      </c>
      <c r="EP5" s="569" t="s">
        <v>160</v>
      </c>
      <c r="EQ5" s="1552" t="s">
        <v>460</v>
      </c>
      <c r="ER5" s="1552" t="e">
        <f ca="1">IF(Species="Gungan","simple","advanced melee")</f>
        <v>#N/A</v>
      </c>
      <c r="ES5" s="1552" t="s">
        <v>149</v>
      </c>
      <c r="EV5" s="1552" t="s">
        <v>202</v>
      </c>
      <c r="EZ5" s="1552" t="s">
        <v>8082</v>
      </c>
      <c r="FA5" s="1552" t="s">
        <v>321</v>
      </c>
      <c r="FB5" s="1552"/>
      <c r="FD5" s="1558">
        <v>2</v>
      </c>
      <c r="FE5" s="1552">
        <v>8</v>
      </c>
      <c r="FL5" s="1558">
        <v>1500</v>
      </c>
      <c r="FM5" s="1552">
        <v>1.3</v>
      </c>
      <c r="FN5" s="569" t="s">
        <v>360</v>
      </c>
      <c r="FP5" s="569">
        <v>2</v>
      </c>
      <c r="FQ5" s="569" t="s">
        <v>3745</v>
      </c>
      <c r="FR5" s="3" t="s">
        <v>8084</v>
      </c>
      <c r="FS5" s="8" t="str">
        <f>FR5&amp;"s"</f>
        <v>electropoles</v>
      </c>
      <c r="FU5" t="s">
        <v>163</v>
      </c>
      <c r="FV5" t="s">
        <v>163</v>
      </c>
      <c r="FX5" s="12" t="s">
        <v>244</v>
      </c>
      <c r="FY5" s="3">
        <v>50</v>
      </c>
      <c r="FZ5" s="3">
        <v>1</v>
      </c>
      <c r="GA5" s="3" t="s">
        <v>245</v>
      </c>
      <c r="GB5" s="8" t="s">
        <v>246</v>
      </c>
      <c r="GC5" s="12" t="s">
        <v>208</v>
      </c>
      <c r="GD5" s="3" t="s">
        <v>155</v>
      </c>
      <c r="GE5" s="19">
        <v>100</v>
      </c>
      <c r="GF5" s="19">
        <v>1.5</v>
      </c>
      <c r="GG5" s="19" t="s">
        <v>209</v>
      </c>
      <c r="GH5" s="3" t="s">
        <v>210</v>
      </c>
      <c r="GI5" s="8" t="s">
        <v>211</v>
      </c>
      <c r="GJ5" s="12" t="s">
        <v>252</v>
      </c>
      <c r="GK5" s="3" t="s">
        <v>173</v>
      </c>
      <c r="GL5" s="3">
        <v>1000</v>
      </c>
      <c r="GM5" s="3">
        <v>0.5</v>
      </c>
      <c r="GN5" s="3" t="s">
        <v>253</v>
      </c>
      <c r="GO5" s="8" t="s">
        <v>254</v>
      </c>
      <c r="GP5" s="12" t="s">
        <v>255</v>
      </c>
      <c r="GQ5" s="3" t="s">
        <v>173</v>
      </c>
      <c r="GR5" s="3">
        <v>5000</v>
      </c>
      <c r="GS5" s="8" t="s">
        <v>256</v>
      </c>
      <c r="GT5" s="12" t="s">
        <v>257</v>
      </c>
      <c r="GU5" s="3" t="s">
        <v>173</v>
      </c>
      <c r="GV5" s="3">
        <v>0.1</v>
      </c>
      <c r="GW5" s="3">
        <v>1000</v>
      </c>
      <c r="GZ5" s="3" t="s">
        <v>1372</v>
      </c>
      <c r="HB5" s="3" t="s">
        <v>115</v>
      </c>
      <c r="HC5" s="8" t="s">
        <v>258</v>
      </c>
      <c r="HD5" s="12" t="s">
        <v>6051</v>
      </c>
      <c r="HE5" s="569" t="s">
        <v>2152</v>
      </c>
      <c r="HF5" s="569">
        <v>4</v>
      </c>
      <c r="HG5" s="569">
        <v>0</v>
      </c>
      <c r="HH5" s="569" t="s">
        <v>6052</v>
      </c>
      <c r="HI5" s="12" t="s">
        <v>261</v>
      </c>
      <c r="HJ5" s="3" t="s">
        <v>169</v>
      </c>
      <c r="HK5" s="3">
        <v>100</v>
      </c>
      <c r="HL5" s="8">
        <v>0</v>
      </c>
      <c r="HM5" s="8" t="s">
        <v>262</v>
      </c>
      <c r="HN5" s="12" t="s">
        <v>263</v>
      </c>
      <c r="HO5" s="3" t="s">
        <v>169</v>
      </c>
      <c r="HP5" s="3">
        <v>900</v>
      </c>
      <c r="HQ5" s="3">
        <v>0</v>
      </c>
      <c r="HS5" s="3" t="s">
        <v>264</v>
      </c>
      <c r="HT5" s="8" t="s">
        <v>265</v>
      </c>
      <c r="HU5" s="12" t="s">
        <v>266</v>
      </c>
      <c r="HV5" s="3" t="s">
        <v>173</v>
      </c>
      <c r="HW5" s="3">
        <v>0.1</v>
      </c>
      <c r="HX5" s="3">
        <v>1000</v>
      </c>
      <c r="HY5" s="8" t="s">
        <v>267</v>
      </c>
      <c r="HZ5" t="s">
        <v>268</v>
      </c>
      <c r="IA5" s="1323" t="s">
        <v>2135</v>
      </c>
      <c r="IB5" s="8" t="s">
        <v>269</v>
      </c>
      <c r="IC5" s="1540" t="str">
        <f>IF(EQ5="EWP",EN5&amp;";","")</f>
        <v/>
      </c>
      <c r="ID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 s="1540">
        <f t="shared" ref="IE5:IE68" si="10">IE4+1</f>
        <v>3</v>
      </c>
      <c r="IF5" s="1540">
        <f t="shared" si="8"/>
        <v>66</v>
      </c>
      <c r="IG5" s="1540" t="str">
        <f t="shared" si="9"/>
        <v>Amphistaff (spear form)</v>
      </c>
    </row>
    <row r="6" spans="1:241">
      <c r="A6" t="s">
        <v>231</v>
      </c>
      <c r="B6">
        <v>-1</v>
      </c>
      <c r="C6">
        <v>-1</v>
      </c>
      <c r="D6">
        <v>-1</v>
      </c>
      <c r="E6">
        <v>1</v>
      </c>
      <c r="F6">
        <v>1</v>
      </c>
      <c r="G6">
        <v>1</v>
      </c>
      <c r="H6" s="1027" t="str">
        <f>IF(CharacterAge&lt;&gt;"",INDEX(RaceListTable,MATCH(Race,RaceList,0),16),"")</f>
        <v/>
      </c>
      <c r="I6" s="1027">
        <f>IF(AND($A$9&gt;=H6,$A$9&lt;H7),4,0)</f>
        <v>0</v>
      </c>
      <c r="J6" s="1323" t="s">
        <v>446</v>
      </c>
      <c r="K6" s="3" t="s">
        <v>7942</v>
      </c>
      <c r="L6" s="3" t="s">
        <v>446</v>
      </c>
      <c r="M6" s="4"/>
      <c r="N6" s="4"/>
      <c r="O6" s="4">
        <v>2</v>
      </c>
      <c r="P6" s="4"/>
      <c r="Q6" s="4">
        <v>-2</v>
      </c>
      <c r="R6" s="4">
        <v>-2</v>
      </c>
      <c r="S6" s="3" t="s">
        <v>273</v>
      </c>
      <c r="T6" s="3" t="s">
        <v>446</v>
      </c>
      <c r="V6" s="3" t="s">
        <v>149</v>
      </c>
      <c r="W6" s="3">
        <v>12</v>
      </c>
      <c r="X6" s="3">
        <v>17</v>
      </c>
      <c r="Y6" s="3">
        <v>51</v>
      </c>
      <c r="Z6" s="3">
        <v>70</v>
      </c>
      <c r="AA6" s="3">
        <v>80</v>
      </c>
      <c r="AB6" s="3">
        <v>6</v>
      </c>
      <c r="AC6" s="3" t="s">
        <v>447</v>
      </c>
      <c r="AD6" s="3" t="s">
        <v>448</v>
      </c>
      <c r="AW6" s="3" t="s">
        <v>449</v>
      </c>
      <c r="BO6" t="s">
        <v>7971</v>
      </c>
      <c r="BV6" s="456" t="s">
        <v>7989</v>
      </c>
      <c r="BW6" s="12">
        <v>3</v>
      </c>
      <c r="BX6" s="12" t="s">
        <v>279</v>
      </c>
      <c r="BY6" s="19" t="s">
        <v>155</v>
      </c>
      <c r="BZ6" s="19">
        <v>0.75</v>
      </c>
      <c r="CA6" s="19">
        <v>2</v>
      </c>
      <c r="CB6" s="19">
        <v>0</v>
      </c>
      <c r="CC6" s="19">
        <v>1</v>
      </c>
      <c r="CD6" s="19">
        <v>6</v>
      </c>
      <c r="CE6" s="19">
        <v>4</v>
      </c>
      <c r="CF6" s="19">
        <v>250</v>
      </c>
      <c r="CG6" s="19">
        <v>5</v>
      </c>
      <c r="CH6" s="19">
        <v>1</v>
      </c>
      <c r="CP6" s="3" t="s">
        <v>280</v>
      </c>
      <c r="CQ6" s="3" t="s">
        <v>2136</v>
      </c>
      <c r="CT6" s="3">
        <f t="shared" si="4"/>
        <v>0</v>
      </c>
      <c r="CU6" s="3">
        <f t="shared" si="5"/>
        <v>0</v>
      </c>
      <c r="CV6" s="3">
        <f>INT(CT6/2)</f>
        <v>0</v>
      </c>
      <c r="CW6" s="17">
        <f>INT((CT6/2)+0.5)</f>
        <v>0</v>
      </c>
      <c r="CZ6" s="12" t="s">
        <v>281</v>
      </c>
      <c r="DA6" s="14" t="str">
        <f>IF(OR(INT(CT13/2)&gt;0),CZ6&amp;" "&amp;INT(CT13/2),"")</f>
        <v/>
      </c>
      <c r="DB6" s="854" t="str">
        <f t="shared" ca="1" si="6"/>
        <v/>
      </c>
      <c r="DC6" s="683" t="s">
        <v>6061</v>
      </c>
      <c r="DD6" t="s">
        <v>321</v>
      </c>
      <c r="EN6" s="1323" t="s">
        <v>1380</v>
      </c>
      <c r="EO6" s="3" t="s">
        <v>155</v>
      </c>
      <c r="EP6" s="3" t="s">
        <v>160</v>
      </c>
      <c r="EQ6" s="3" t="s">
        <v>460</v>
      </c>
      <c r="ER6" s="3" t="s">
        <v>1381</v>
      </c>
      <c r="ES6" s="19" t="s">
        <v>201</v>
      </c>
      <c r="EU6" s="19" t="s">
        <v>202</v>
      </c>
      <c r="EV6" s="19" t="s">
        <v>202</v>
      </c>
      <c r="EZ6" s="3" t="s">
        <v>1382</v>
      </c>
      <c r="FA6" s="3" t="s">
        <v>204</v>
      </c>
      <c r="FD6" s="3">
        <v>2</v>
      </c>
      <c r="FE6" s="3">
        <v>6</v>
      </c>
      <c r="FG6" s="3">
        <v>2</v>
      </c>
      <c r="FH6" s="3">
        <v>6</v>
      </c>
      <c r="FL6" s="3">
        <v>3000</v>
      </c>
      <c r="FM6" s="3">
        <v>2</v>
      </c>
      <c r="FN6" s="3" t="s">
        <v>360</v>
      </c>
      <c r="FP6" s="3">
        <v>2</v>
      </c>
      <c r="FQ6" s="3" t="str">
        <f>IF(EP6="R",IF(EQ6&lt;&gt;"EWP",ER6,"pistols"),"")</f>
        <v/>
      </c>
      <c r="FR6" s="3" t="s">
        <v>1383</v>
      </c>
      <c r="FS6" s="8" t="s">
        <v>1384</v>
      </c>
      <c r="FU6" t="s">
        <v>163</v>
      </c>
      <c r="FV6" t="s">
        <v>163</v>
      </c>
      <c r="FX6" s="12" t="s">
        <v>290</v>
      </c>
      <c r="FY6" s="3">
        <v>50</v>
      </c>
      <c r="FZ6" s="3">
        <v>1</v>
      </c>
      <c r="GA6" s="3" t="s">
        <v>291</v>
      </c>
      <c r="GB6" s="8" t="s">
        <v>292</v>
      </c>
      <c r="GC6" s="12" t="s">
        <v>6597</v>
      </c>
      <c r="GD6" s="569" t="s">
        <v>6222</v>
      </c>
      <c r="GE6" s="19">
        <v>3000</v>
      </c>
      <c r="GF6" s="19">
        <v>0.5</v>
      </c>
      <c r="GG6" s="19" t="s">
        <v>249</v>
      </c>
      <c r="GH6" s="1086" t="s">
        <v>6598</v>
      </c>
      <c r="GI6" s="1427" t="s">
        <v>6599</v>
      </c>
      <c r="GJ6" s="12" t="s">
        <v>89</v>
      </c>
      <c r="GK6" s="3" t="s">
        <v>155</v>
      </c>
      <c r="GL6" s="3">
        <v>500</v>
      </c>
      <c r="GM6" s="3">
        <v>0.5</v>
      </c>
      <c r="GP6" s="12" t="s">
        <v>296</v>
      </c>
      <c r="GQ6" s="3" t="s">
        <v>173</v>
      </c>
      <c r="GR6" s="3">
        <v>2000</v>
      </c>
      <c r="GS6" s="8" t="s">
        <v>297</v>
      </c>
      <c r="GT6" s="12" t="s">
        <v>183</v>
      </c>
      <c r="GU6" s="3" t="s">
        <v>173</v>
      </c>
      <c r="GV6" s="3">
        <v>0.1</v>
      </c>
      <c r="GW6" s="3">
        <v>1000</v>
      </c>
      <c r="GX6" s="569" t="s">
        <v>3735</v>
      </c>
      <c r="GY6" s="569"/>
      <c r="GZ6" s="569" t="s">
        <v>497</v>
      </c>
      <c r="HA6" s="569"/>
      <c r="HB6" s="569"/>
      <c r="HC6" s="8" t="s">
        <v>298</v>
      </c>
      <c r="HD6" s="12" t="s">
        <v>219</v>
      </c>
      <c r="HE6" s="3" t="s">
        <v>173</v>
      </c>
      <c r="HF6" s="3">
        <v>0.1</v>
      </c>
      <c r="HG6" s="3">
        <v>1000</v>
      </c>
      <c r="HH6" s="3" t="s">
        <v>220</v>
      </c>
      <c r="HI6" s="12" t="s">
        <v>300</v>
      </c>
      <c r="HJ6" s="3" t="s">
        <v>173</v>
      </c>
      <c r="HL6" s="8">
        <v>0</v>
      </c>
      <c r="HM6" s="8" t="s">
        <v>301</v>
      </c>
      <c r="HN6" s="12" t="s">
        <v>302</v>
      </c>
      <c r="HO6" s="3" t="s">
        <v>169</v>
      </c>
      <c r="HP6" s="3">
        <v>200</v>
      </c>
      <c r="HQ6" s="3">
        <v>1</v>
      </c>
      <c r="HS6" s="3" t="s">
        <v>2137</v>
      </c>
      <c r="HT6" s="8" t="s">
        <v>303</v>
      </c>
      <c r="HU6" s="12" t="s">
        <v>304</v>
      </c>
      <c r="HV6" s="3" t="s">
        <v>173</v>
      </c>
      <c r="HW6" s="3">
        <v>0.1</v>
      </c>
      <c r="HX6" s="3">
        <v>1000</v>
      </c>
      <c r="HY6" s="8" t="s">
        <v>305</v>
      </c>
      <c r="HZ6" t="s">
        <v>306</v>
      </c>
      <c r="IA6" s="1323" t="s">
        <v>307</v>
      </c>
      <c r="IB6" s="8" t="s">
        <v>308</v>
      </c>
      <c r="IC6" s="1540" t="str">
        <f>IF(EQ6="EWP",EN6&amp;";","")</f>
        <v/>
      </c>
      <c r="ID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 s="1540">
        <f t="shared" si="10"/>
        <v>4</v>
      </c>
      <c r="IF6" s="1540">
        <f t="shared" si="8"/>
        <v>89</v>
      </c>
      <c r="IG6" s="1540" t="str">
        <f t="shared" si="9"/>
        <v>Amphistaff (whip form)</v>
      </c>
    </row>
    <row r="7" spans="1:241">
      <c r="A7" t="s">
        <v>270</v>
      </c>
      <c r="B7">
        <v>-3</v>
      </c>
      <c r="C7">
        <v>-3</v>
      </c>
      <c r="D7">
        <v>-3</v>
      </c>
      <c r="E7">
        <v>2</v>
      </c>
      <c r="F7">
        <v>2</v>
      </c>
      <c r="G7">
        <v>2</v>
      </c>
      <c r="H7" s="1027" t="str">
        <f>IF(CharacterAge&lt;&gt;"",INDEX(RaceListTable,MATCH(Race,RaceList,0),17),"")</f>
        <v/>
      </c>
      <c r="I7" s="1027">
        <f>IF(AND($A$9&gt;=H7,$A$9&lt;H8),5,0)</f>
        <v>0</v>
      </c>
      <c r="J7" s="1323" t="s">
        <v>481</v>
      </c>
      <c r="K7" s="3" t="s">
        <v>445</v>
      </c>
      <c r="L7" s="3" t="s">
        <v>481</v>
      </c>
      <c r="M7" s="4"/>
      <c r="N7" s="4"/>
      <c r="O7" s="4"/>
      <c r="P7" s="4"/>
      <c r="Q7" s="4">
        <v>-2</v>
      </c>
      <c r="R7" s="4">
        <v>2</v>
      </c>
      <c r="S7" s="3" t="s">
        <v>483</v>
      </c>
      <c r="V7" s="3" t="s">
        <v>149</v>
      </c>
      <c r="W7" s="3">
        <v>13</v>
      </c>
      <c r="X7" s="3">
        <v>19</v>
      </c>
      <c r="Y7" s="3">
        <v>45</v>
      </c>
      <c r="Z7" s="3">
        <v>77</v>
      </c>
      <c r="AA7" s="3">
        <v>100</v>
      </c>
      <c r="AB7" s="3">
        <v>6</v>
      </c>
      <c r="AC7" s="3" t="s">
        <v>484</v>
      </c>
      <c r="AP7" s="3">
        <v>2</v>
      </c>
      <c r="BO7" t="s">
        <v>232</v>
      </c>
      <c r="BP7" s="1552" t="s">
        <v>347</v>
      </c>
      <c r="BQ7" s="1552" t="s">
        <v>5809</v>
      </c>
      <c r="BV7" s="456" t="s">
        <v>233</v>
      </c>
      <c r="BW7" s="12">
        <v>4</v>
      </c>
      <c r="BX7" s="12" t="s">
        <v>317</v>
      </c>
      <c r="BY7" s="19" t="s">
        <v>155</v>
      </c>
      <c r="BZ7" s="19">
        <v>0.75</v>
      </c>
      <c r="CA7" s="19">
        <v>2</v>
      </c>
      <c r="CB7" s="19">
        <v>1</v>
      </c>
      <c r="CC7" s="19">
        <v>0</v>
      </c>
      <c r="CD7" s="19">
        <v>8</v>
      </c>
      <c r="CE7" s="19">
        <v>5</v>
      </c>
      <c r="CF7" s="19">
        <v>250</v>
      </c>
      <c r="CG7" s="19">
        <v>5</v>
      </c>
      <c r="CH7" s="19">
        <v>1</v>
      </c>
      <c r="CP7" s="3" t="s">
        <v>318</v>
      </c>
      <c r="CQ7" s="3" t="s">
        <v>2138</v>
      </c>
      <c r="CT7" s="3">
        <f t="shared" si="4"/>
        <v>0</v>
      </c>
      <c r="CU7" s="3">
        <f t="shared" si="5"/>
        <v>0</v>
      </c>
      <c r="CV7" s="3">
        <f>INT(CT7/2)</f>
        <v>0</v>
      </c>
      <c r="CW7" s="17">
        <f>INT((CT7/2)+0.5)</f>
        <v>0</v>
      </c>
      <c r="CZ7" s="12" t="s">
        <v>319</v>
      </c>
      <c r="DA7" s="14" t="str">
        <f>IF(OR(CT28&gt;0,CT38&gt;0),CZ7,"")</f>
        <v/>
      </c>
      <c r="DB7" s="854" t="str">
        <f t="shared" ca="1" si="6"/>
        <v/>
      </c>
      <c r="DC7" s="12" t="s">
        <v>6013</v>
      </c>
      <c r="DD7" t="s">
        <v>321</v>
      </c>
      <c r="DE7">
        <v>6</v>
      </c>
      <c r="DF7">
        <v>2</v>
      </c>
      <c r="DG7">
        <v>3</v>
      </c>
      <c r="DH7">
        <v>1</v>
      </c>
      <c r="DI7" t="s">
        <v>155</v>
      </c>
      <c r="DJ7" t="s">
        <v>283</v>
      </c>
      <c r="DV7" t="s">
        <v>195</v>
      </c>
      <c r="DX7" t="s">
        <v>417</v>
      </c>
      <c r="DY7" t="s">
        <v>284</v>
      </c>
      <c r="EB7" t="s">
        <v>196</v>
      </c>
      <c r="EC7" s="382" t="s">
        <v>118</v>
      </c>
      <c r="EJ7">
        <v>8000</v>
      </c>
      <c r="EK7" s="1074">
        <v>8.9</v>
      </c>
      <c r="EL7" t="s">
        <v>6017</v>
      </c>
      <c r="EM7" t="s">
        <v>6018</v>
      </c>
      <c r="EN7" s="1332" t="s">
        <v>6502</v>
      </c>
      <c r="EO7" s="569" t="s">
        <v>6222</v>
      </c>
      <c r="EP7" s="569" t="s">
        <v>160</v>
      </c>
      <c r="EQ7" s="3" t="s">
        <v>460</v>
      </c>
      <c r="ER7" s="569" t="s">
        <v>1381</v>
      </c>
      <c r="ES7" s="1085" t="s">
        <v>201</v>
      </c>
      <c r="ET7" s="3"/>
      <c r="EU7" s="3"/>
      <c r="EV7" s="3"/>
      <c r="EW7" s="3"/>
      <c r="EX7" s="3"/>
      <c r="EY7" s="3"/>
      <c r="EZ7" s="569" t="s">
        <v>1434</v>
      </c>
      <c r="FA7" s="569" t="s">
        <v>204</v>
      </c>
      <c r="FC7" s="569" t="s">
        <v>6526</v>
      </c>
      <c r="FD7" s="569">
        <v>2</v>
      </c>
      <c r="FE7" s="569">
        <v>8</v>
      </c>
      <c r="FL7" s="569">
        <v>3500</v>
      </c>
      <c r="FM7" s="569">
        <v>5</v>
      </c>
      <c r="FN7" s="3" t="s">
        <v>360</v>
      </c>
      <c r="FP7" s="3">
        <v>2</v>
      </c>
      <c r="FQ7" s="569" t="str">
        <f>IF(EP7="R",IF(EQ7&lt;&gt;"EWP",ER7,"pistols"),"")</f>
        <v/>
      </c>
      <c r="FR7" s="3" t="str">
        <f>LOWER(EN7)</f>
        <v>energy lance</v>
      </c>
      <c r="FS7" s="8" t="str">
        <f>FR7&amp;"s"</f>
        <v>energy lances</v>
      </c>
      <c r="FU7" t="s">
        <v>163</v>
      </c>
      <c r="FV7" t="s">
        <v>163</v>
      </c>
      <c r="FX7" s="12" t="s">
        <v>326</v>
      </c>
      <c r="FY7" s="3">
        <v>200</v>
      </c>
      <c r="FZ7" s="3">
        <v>4</v>
      </c>
      <c r="GA7" s="3" t="s">
        <v>327</v>
      </c>
      <c r="GB7" s="8" t="s">
        <v>328</v>
      </c>
      <c r="GC7" s="12" t="s">
        <v>4523</v>
      </c>
      <c r="GF7" s="19">
        <v>1</v>
      </c>
      <c r="GG7" s="19" t="s">
        <v>209</v>
      </c>
      <c r="GH7" s="569" t="s">
        <v>4525</v>
      </c>
      <c r="GI7" s="8" t="str">
        <f>GH7</f>
        <v>ancient Jedi robes</v>
      </c>
      <c r="GJ7" s="12" t="s">
        <v>283</v>
      </c>
      <c r="GK7" s="3" t="s">
        <v>155</v>
      </c>
      <c r="GL7" s="3">
        <v>4000</v>
      </c>
      <c r="GM7" s="3">
        <v>1</v>
      </c>
      <c r="GN7" s="3" t="s">
        <v>332</v>
      </c>
      <c r="GO7" s="8" t="s">
        <v>333</v>
      </c>
      <c r="GP7" s="12" t="s">
        <v>334</v>
      </c>
      <c r="GQ7" s="3" t="s">
        <v>173</v>
      </c>
      <c r="GR7" s="3">
        <v>5000</v>
      </c>
      <c r="GS7" s="8" t="s">
        <v>335</v>
      </c>
      <c r="GT7" s="12" t="s">
        <v>336</v>
      </c>
      <c r="GU7" s="3" t="s">
        <v>173</v>
      </c>
      <c r="GV7" s="3">
        <v>0.2</v>
      </c>
      <c r="GW7" s="3">
        <v>0</v>
      </c>
      <c r="HC7" s="8" t="s">
        <v>337</v>
      </c>
      <c r="HD7" s="12" t="s">
        <v>259</v>
      </c>
      <c r="HE7" s="3" t="s">
        <v>173</v>
      </c>
      <c r="HF7" s="3">
        <v>0.1</v>
      </c>
      <c r="HG7" s="3">
        <v>1000</v>
      </c>
      <c r="HH7" s="3" t="s">
        <v>260</v>
      </c>
      <c r="HI7" s="12" t="s">
        <v>339</v>
      </c>
      <c r="HJ7" s="3" t="s">
        <v>169</v>
      </c>
      <c r="HK7" s="3">
        <v>750</v>
      </c>
      <c r="HL7" s="8">
        <v>1</v>
      </c>
      <c r="HN7" s="12" t="s">
        <v>339</v>
      </c>
      <c r="HO7" s="3" t="s">
        <v>169</v>
      </c>
      <c r="HP7" s="3">
        <v>750</v>
      </c>
      <c r="HQ7" s="3">
        <v>1</v>
      </c>
      <c r="HS7" s="3" t="s">
        <v>340</v>
      </c>
      <c r="HT7" s="8" t="s">
        <v>341</v>
      </c>
      <c r="HZ7" t="s">
        <v>342</v>
      </c>
      <c r="IA7" s="1323" t="s">
        <v>343</v>
      </c>
      <c r="IB7" s="8" t="s">
        <v>344</v>
      </c>
      <c r="IC7" s="1540" t="str">
        <f>IF(EQ7="EWP",EN7&amp;";","")</f>
        <v/>
      </c>
      <c r="ID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 s="1540">
        <f t="shared" si="10"/>
        <v>5</v>
      </c>
      <c r="IF7" s="1540">
        <f t="shared" si="8"/>
        <v>99</v>
      </c>
      <c r="IG7" s="1540" t="str">
        <f t="shared" si="9"/>
        <v>Arg'garok</v>
      </c>
    </row>
    <row r="8" spans="1:241">
      <c r="A8" t="s">
        <v>309</v>
      </c>
      <c r="B8">
        <v>-6</v>
      </c>
      <c r="C8">
        <v>-6</v>
      </c>
      <c r="D8">
        <v>-6</v>
      </c>
      <c r="E8">
        <v>3</v>
      </c>
      <c r="F8">
        <v>3</v>
      </c>
      <c r="G8">
        <v>3</v>
      </c>
      <c r="H8" s="1027" t="str">
        <f>IF(CharacterAge&lt;&gt;"",INDEX(RaceListTable,MATCH(Race,RaceList,0),18),"")</f>
        <v/>
      </c>
      <c r="I8" s="1027">
        <f>IF(AND($A$9&gt;=H8,$A$9&lt;H9),6,0)</f>
        <v>0</v>
      </c>
      <c r="J8" s="1323" t="s">
        <v>178</v>
      </c>
      <c r="K8" s="3" t="s">
        <v>269</v>
      </c>
      <c r="L8" s="3" t="s">
        <v>178</v>
      </c>
      <c r="M8" s="4"/>
      <c r="N8" s="4"/>
      <c r="O8" s="4"/>
      <c r="P8" s="4">
        <v>2</v>
      </c>
      <c r="Q8" s="4"/>
      <c r="R8" s="4">
        <v>-2</v>
      </c>
      <c r="S8" s="3" t="s">
        <v>178</v>
      </c>
      <c r="V8" s="3" t="s">
        <v>149</v>
      </c>
      <c r="W8" s="3">
        <v>13</v>
      </c>
      <c r="X8" s="3">
        <v>19</v>
      </c>
      <c r="Y8" s="3">
        <v>45</v>
      </c>
      <c r="Z8" s="3">
        <v>77</v>
      </c>
      <c r="AA8" s="3">
        <v>100</v>
      </c>
      <c r="AB8" s="3">
        <v>6</v>
      </c>
      <c r="AC8" s="3" t="s">
        <v>517</v>
      </c>
      <c r="AD8" s="3" t="s">
        <v>518</v>
      </c>
      <c r="AE8" s="3" t="s">
        <v>519</v>
      </c>
      <c r="BO8" t="s">
        <v>6557</v>
      </c>
      <c r="BP8" s="1552" t="s">
        <v>375</v>
      </c>
      <c r="BQ8" s="1552" t="s">
        <v>5810</v>
      </c>
      <c r="BV8" s="456" t="s">
        <v>6558</v>
      </c>
      <c r="BW8" s="12">
        <v>5</v>
      </c>
      <c r="BX8" s="12" t="s">
        <v>350</v>
      </c>
      <c r="BY8" s="19" t="s">
        <v>155</v>
      </c>
      <c r="BZ8" s="19">
        <v>1</v>
      </c>
      <c r="CA8" s="19">
        <v>1</v>
      </c>
      <c r="CB8" s="19">
        <v>2</v>
      </c>
      <c r="CC8" s="19">
        <v>0</v>
      </c>
      <c r="CD8" s="19">
        <v>10</v>
      </c>
      <c r="CE8" s="19">
        <v>3</v>
      </c>
      <c r="CF8" s="19">
        <v>250</v>
      </c>
      <c r="CG8" s="19">
        <v>5</v>
      </c>
      <c r="CH8" s="19">
        <v>1</v>
      </c>
      <c r="CP8" s="3" t="s">
        <v>351</v>
      </c>
      <c r="CQ8" s="3" t="s">
        <v>2139</v>
      </c>
      <c r="CT8" s="3">
        <f t="shared" si="4"/>
        <v>0</v>
      </c>
      <c r="CU8" s="3">
        <f t="shared" si="5"/>
        <v>0</v>
      </c>
      <c r="CV8" s="3">
        <f>INT(CT8/2)</f>
        <v>0</v>
      </c>
      <c r="CW8" s="17">
        <f>INT((CT8/2)+0.5)</f>
        <v>0</v>
      </c>
      <c r="CZ8" s="12" t="s">
        <v>352</v>
      </c>
      <c r="DA8" s="14" t="str">
        <f>IF(CT21&gt;0,CZ8,"")</f>
        <v/>
      </c>
      <c r="DB8" s="854" t="str">
        <f t="shared" ca="1" si="6"/>
        <v/>
      </c>
      <c r="DC8" s="12" t="s">
        <v>6957</v>
      </c>
      <c r="DD8" t="s">
        <v>321</v>
      </c>
      <c r="DE8">
        <v>2</v>
      </c>
      <c r="DG8">
        <v>3</v>
      </c>
      <c r="DH8" s="569">
        <v>2</v>
      </c>
      <c r="DI8" t="s">
        <v>6758</v>
      </c>
      <c r="DV8" t="s">
        <v>6964</v>
      </c>
      <c r="EB8" t="s">
        <v>610</v>
      </c>
      <c r="EJ8">
        <v>4000</v>
      </c>
      <c r="EK8">
        <v>6</v>
      </c>
      <c r="EL8" t="s">
        <v>6957</v>
      </c>
      <c r="EM8" t="str">
        <f>"suits of "&amp;EL8</f>
        <v>suits of Barabel microbe armor</v>
      </c>
      <c r="EN8" s="1323" t="s">
        <v>1433</v>
      </c>
      <c r="EO8" s="3" t="s">
        <v>155</v>
      </c>
      <c r="EP8" s="3" t="s">
        <v>160</v>
      </c>
      <c r="EQ8" s="3" t="s">
        <v>460</v>
      </c>
      <c r="ER8" s="3" t="s">
        <v>1381</v>
      </c>
      <c r="ES8" s="19" t="s">
        <v>149</v>
      </c>
      <c r="EV8" s="19" t="s">
        <v>202</v>
      </c>
      <c r="EZ8" s="3" t="s">
        <v>1434</v>
      </c>
      <c r="FA8" s="3" t="s">
        <v>204</v>
      </c>
      <c r="FD8" s="3">
        <v>2</v>
      </c>
      <c r="FE8" s="3">
        <v>8</v>
      </c>
      <c r="FL8" s="3">
        <v>500</v>
      </c>
      <c r="FM8" s="3">
        <v>2</v>
      </c>
      <c r="FN8" s="3" t="s">
        <v>360</v>
      </c>
      <c r="FP8" s="3">
        <v>2</v>
      </c>
      <c r="FQ8" s="3" t="str">
        <f>IF(EP8="R",IF(EQ8&lt;&gt;"EWP",ER8,"pistols"),"")</f>
        <v/>
      </c>
      <c r="FR8" s="3" t="s">
        <v>1435</v>
      </c>
      <c r="FS8" s="8" t="s">
        <v>1436</v>
      </c>
      <c r="FX8" s="12" t="s">
        <v>360</v>
      </c>
      <c r="FY8" s="3">
        <v>10</v>
      </c>
      <c r="FZ8" s="3">
        <v>0</v>
      </c>
      <c r="GA8" s="3" t="s">
        <v>361</v>
      </c>
      <c r="GB8" s="8" t="s">
        <v>362</v>
      </c>
      <c r="GC8" s="12" t="s">
        <v>4524</v>
      </c>
      <c r="GF8" s="19">
        <v>1</v>
      </c>
      <c r="GG8" s="19" t="s">
        <v>209</v>
      </c>
      <c r="GH8" s="569" t="s">
        <v>4526</v>
      </c>
      <c r="GI8" s="8" t="str">
        <f>GH8</f>
        <v>ancient Sith robes</v>
      </c>
      <c r="GJ8" s="12" t="s">
        <v>363</v>
      </c>
      <c r="GK8" s="3" t="s">
        <v>155</v>
      </c>
      <c r="GL8" s="3">
        <v>2000</v>
      </c>
      <c r="GM8" s="3">
        <v>0.75</v>
      </c>
      <c r="GP8" s="12" t="s">
        <v>364</v>
      </c>
      <c r="GQ8" s="3" t="s">
        <v>173</v>
      </c>
      <c r="GR8" s="3">
        <v>4250</v>
      </c>
      <c r="GS8" s="8" t="s">
        <v>365</v>
      </c>
      <c r="GT8" s="12" t="s">
        <v>366</v>
      </c>
      <c r="GU8" s="3" t="s">
        <v>173</v>
      </c>
      <c r="GV8" s="3">
        <v>0.1</v>
      </c>
      <c r="GW8" s="3">
        <v>1000</v>
      </c>
      <c r="HC8" s="8" t="s">
        <v>367</v>
      </c>
      <c r="HD8" s="12" t="s">
        <v>183</v>
      </c>
      <c r="HE8" s="3" t="s">
        <v>173</v>
      </c>
      <c r="HF8" s="3">
        <v>0.1</v>
      </c>
      <c r="HG8" s="3">
        <v>1000</v>
      </c>
      <c r="HH8" s="3" t="s">
        <v>299</v>
      </c>
      <c r="HI8" s="12" t="s">
        <v>370</v>
      </c>
      <c r="HJ8" s="3" t="s">
        <v>173</v>
      </c>
      <c r="HL8" s="8">
        <v>0</v>
      </c>
      <c r="HM8" s="8" t="s">
        <v>371</v>
      </c>
      <c r="HN8" s="12" t="s">
        <v>372</v>
      </c>
      <c r="HO8" s="3" t="s">
        <v>169</v>
      </c>
      <c r="HP8" s="3">
        <v>500</v>
      </c>
      <c r="HQ8" s="3">
        <v>1</v>
      </c>
      <c r="HS8" s="3" t="s">
        <v>373</v>
      </c>
      <c r="HT8" s="8" t="s">
        <v>374</v>
      </c>
      <c r="HZ8" t="s">
        <v>375</v>
      </c>
      <c r="IA8" s="1323" t="s">
        <v>376</v>
      </c>
      <c r="IB8" s="8" t="s">
        <v>377</v>
      </c>
      <c r="IC8" s="1540" t="str">
        <f t="shared" ref="IC8:IC39" si="11">IF(EQ9="EWP",EN9&amp;";","")</f>
        <v/>
      </c>
      <c r="ID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 s="1540">
        <f t="shared" si="10"/>
        <v>6</v>
      </c>
      <c r="IF8" s="1540">
        <f t="shared" si="8"/>
        <v>105</v>
      </c>
      <c r="IG8" s="1540" t="str">
        <f t="shared" si="9"/>
        <v>Cesta</v>
      </c>
    </row>
    <row r="9" spans="1:241">
      <c r="A9">
        <f>CharacterAge</f>
        <v>0</v>
      </c>
      <c r="B9">
        <f>IF(AND($A$9&lt;&gt;"",$A$9&lt;&gt;0),INDEX(AgeTable,$I$9,2),0)</f>
        <v>0</v>
      </c>
      <c r="C9" s="1027">
        <f>IF(AND($A$9&lt;&gt;"",$A$9&lt;&gt;0),INDEX(AgeTable,$I$9,3),0)</f>
        <v>0</v>
      </c>
      <c r="D9" s="1027">
        <f>IF(AND($A$9&lt;&gt;"",$A$9&lt;&gt;0),INDEX(AgeTable,$I$9,4),0)</f>
        <v>0</v>
      </c>
      <c r="E9" s="1027">
        <f>IF(AND($A$9&lt;&gt;"",$A$9&lt;&gt;0),INDEX(AgeTable,$I$9,5),0)</f>
        <v>0</v>
      </c>
      <c r="F9" s="1027">
        <f>IF(AND($A$9&lt;&gt;"",$A$9&lt;&gt;0),INDEX(AgeTable,$I$9,6),0)</f>
        <v>0</v>
      </c>
      <c r="G9" s="1027">
        <f>IF(AND($A$9&lt;&gt;"",$A$9&lt;&gt;0),INDEX(AgeTable,$I$9,7),0)</f>
        <v>0</v>
      </c>
      <c r="H9" s="873">
        <v>900000</v>
      </c>
      <c r="I9" s="873">
        <f>SUM(I3:I8)</f>
        <v>1</v>
      </c>
      <c r="J9" s="1323" t="s">
        <v>548</v>
      </c>
      <c r="K9" s="3" t="s">
        <v>269</v>
      </c>
      <c r="L9" s="3" t="s">
        <v>548</v>
      </c>
      <c r="M9" s="4">
        <v>0</v>
      </c>
      <c r="N9" s="4"/>
      <c r="O9" s="4">
        <v>-2</v>
      </c>
      <c r="P9" s="4"/>
      <c r="Q9" s="4"/>
      <c r="R9" s="4"/>
      <c r="S9" s="3" t="s">
        <v>178</v>
      </c>
      <c r="V9" s="3" t="s">
        <v>149</v>
      </c>
      <c r="W9" s="3">
        <v>9</v>
      </c>
      <c r="X9" s="3">
        <v>14</v>
      </c>
      <c r="Y9" s="3">
        <v>31</v>
      </c>
      <c r="Z9" s="3">
        <v>46</v>
      </c>
      <c r="AA9" s="3">
        <v>56</v>
      </c>
      <c r="AB9" s="3">
        <v>6</v>
      </c>
      <c r="AC9" s="3" t="s">
        <v>549</v>
      </c>
      <c r="AH9" s="3" t="str">
        <f>IF(ArkanianSkillFocus&lt;&gt;"",ArkanianSkillFocus,"")</f>
        <v/>
      </c>
      <c r="BO9" t="s">
        <v>277</v>
      </c>
      <c r="BV9" s="456" t="s">
        <v>278</v>
      </c>
      <c r="BW9" s="12">
        <v>6</v>
      </c>
      <c r="BX9" s="12" t="s">
        <v>378</v>
      </c>
      <c r="BY9" s="19" t="s">
        <v>155</v>
      </c>
      <c r="BZ9" s="19">
        <v>0.75</v>
      </c>
      <c r="CA9" s="19">
        <v>0</v>
      </c>
      <c r="CB9" s="19">
        <v>0</v>
      </c>
      <c r="CC9" s="19">
        <v>0</v>
      </c>
      <c r="CD9" s="19">
        <v>4</v>
      </c>
      <c r="CE9" s="19">
        <v>1</v>
      </c>
      <c r="CF9" s="19">
        <v>0</v>
      </c>
      <c r="CG9" s="19">
        <v>0</v>
      </c>
      <c r="CH9" s="19">
        <v>1</v>
      </c>
      <c r="CP9" s="3" t="s">
        <v>379</v>
      </c>
      <c r="CQ9" s="3" t="s">
        <v>2140</v>
      </c>
      <c r="CT9" s="3">
        <f t="shared" si="4"/>
        <v>0</v>
      </c>
      <c r="CU9" s="3">
        <f t="shared" si="5"/>
        <v>0</v>
      </c>
      <c r="CW9" s="17"/>
      <c r="CZ9" s="12" t="s">
        <v>380</v>
      </c>
      <c r="DA9" s="14" t="str">
        <f>IF(CT21&gt;0,CZ9,"")</f>
        <v/>
      </c>
      <c r="DB9" s="854" t="str">
        <f t="shared" ca="1" si="6"/>
        <v/>
      </c>
      <c r="DC9" s="12" t="s">
        <v>320</v>
      </c>
      <c r="DD9" t="s">
        <v>321</v>
      </c>
      <c r="DE9">
        <v>5</v>
      </c>
      <c r="DF9">
        <v>2</v>
      </c>
      <c r="DG9">
        <v>3</v>
      </c>
      <c r="DH9">
        <v>1</v>
      </c>
      <c r="DI9" t="s">
        <v>173</v>
      </c>
      <c r="DV9" s="640" t="s">
        <v>195</v>
      </c>
      <c r="EB9" s="382" t="s">
        <v>196</v>
      </c>
      <c r="EJ9">
        <v>3500</v>
      </c>
      <c r="EK9">
        <v>10</v>
      </c>
      <c r="EL9" t="s">
        <v>322</v>
      </c>
      <c r="EM9" t="s">
        <v>323</v>
      </c>
      <c r="EN9" s="1323" t="s">
        <v>1804</v>
      </c>
      <c r="EO9" s="3" t="s">
        <v>272</v>
      </c>
      <c r="EP9" s="3" t="s">
        <v>160</v>
      </c>
      <c r="EQ9" s="3" t="s">
        <v>460</v>
      </c>
      <c r="ER9" s="3" t="s">
        <v>1381</v>
      </c>
      <c r="ES9" s="19" t="s">
        <v>201</v>
      </c>
      <c r="EZ9" s="3" t="s">
        <v>203</v>
      </c>
      <c r="FA9" s="3" t="s">
        <v>204</v>
      </c>
      <c r="FC9" s="3" t="s">
        <v>1805</v>
      </c>
      <c r="FD9" s="3">
        <v>2</v>
      </c>
      <c r="FE9" s="3">
        <v>12</v>
      </c>
      <c r="FL9" s="3">
        <v>1500</v>
      </c>
      <c r="FM9" s="3">
        <v>10</v>
      </c>
      <c r="FN9" s="3" t="s">
        <v>360</v>
      </c>
      <c r="FP9" s="3">
        <v>2</v>
      </c>
      <c r="FQ9" s="3" t="str">
        <f>IF(EP9="R",IF(EQ9&lt;&gt;"EWP",ER9,"pistols"),"")</f>
        <v/>
      </c>
      <c r="FR9" s="3" t="s">
        <v>1806</v>
      </c>
      <c r="FS9" s="8" t="s">
        <v>1807</v>
      </c>
      <c r="FX9" s="12" t="s">
        <v>388</v>
      </c>
      <c r="FY9" s="3">
        <v>50</v>
      </c>
      <c r="FZ9" s="3">
        <v>0.1</v>
      </c>
      <c r="GA9" s="3" t="s">
        <v>389</v>
      </c>
      <c r="GB9" s="8" t="s">
        <v>390</v>
      </c>
      <c r="GC9" s="12" t="s">
        <v>8149</v>
      </c>
      <c r="GD9" s="3" t="s">
        <v>7946</v>
      </c>
      <c r="GE9" s="1426">
        <v>2500</v>
      </c>
      <c r="GF9" s="19">
        <v>0.8</v>
      </c>
      <c r="GG9" s="19" t="s">
        <v>249</v>
      </c>
      <c r="GH9" s="3" t="str">
        <f>LOWER(GC9)</f>
        <v>antidote synthesizer</v>
      </c>
      <c r="GI9" s="8" t="str">
        <f>GH9&amp;"s"</f>
        <v>antidote synthesizers</v>
      </c>
      <c r="GJ9" s="12" t="s">
        <v>394</v>
      </c>
      <c r="GK9" s="3" t="s">
        <v>248</v>
      </c>
      <c r="GL9" s="3">
        <v>8000</v>
      </c>
      <c r="GM9" s="3">
        <v>1</v>
      </c>
      <c r="GN9" s="3" t="s">
        <v>395</v>
      </c>
      <c r="GO9" s="8" t="s">
        <v>396</v>
      </c>
      <c r="GP9" s="12" t="s">
        <v>397</v>
      </c>
      <c r="GQ9" s="3" t="s">
        <v>173</v>
      </c>
      <c r="GR9" s="3">
        <v>2500</v>
      </c>
      <c r="GS9" s="8" t="s">
        <v>398</v>
      </c>
      <c r="GT9" s="12" t="s">
        <v>399</v>
      </c>
      <c r="GU9" s="3" t="s">
        <v>173</v>
      </c>
      <c r="GV9" s="3">
        <v>0.1</v>
      </c>
      <c r="GW9" s="3">
        <v>1000</v>
      </c>
      <c r="GZ9" s="3" t="s">
        <v>357</v>
      </c>
      <c r="HA9" s="3" t="s">
        <v>242</v>
      </c>
      <c r="HC9" s="8" t="s">
        <v>400</v>
      </c>
      <c r="HD9" s="12" t="s">
        <v>336</v>
      </c>
      <c r="HE9" s="3" t="s">
        <v>173</v>
      </c>
      <c r="HF9" s="3">
        <v>0.2</v>
      </c>
      <c r="HG9" s="3">
        <v>0</v>
      </c>
      <c r="HH9" s="3" t="s">
        <v>338</v>
      </c>
      <c r="HI9" s="12" t="s">
        <v>402</v>
      </c>
      <c r="HJ9" s="3" t="s">
        <v>169</v>
      </c>
      <c r="HK9" s="3">
        <v>800</v>
      </c>
      <c r="HL9" s="8">
        <v>0</v>
      </c>
      <c r="HM9" s="8" t="s">
        <v>403</v>
      </c>
      <c r="HN9" s="12" t="s">
        <v>404</v>
      </c>
      <c r="HO9" s="3" t="s">
        <v>169</v>
      </c>
      <c r="HP9" s="3">
        <v>600</v>
      </c>
      <c r="HQ9" s="3">
        <v>1</v>
      </c>
      <c r="HS9" s="3" t="s">
        <v>405</v>
      </c>
      <c r="HT9" s="8" t="s">
        <v>406</v>
      </c>
      <c r="HZ9" t="s">
        <v>407</v>
      </c>
      <c r="IA9" s="1323" t="s">
        <v>2141</v>
      </c>
      <c r="IB9" s="8" t="s">
        <v>408</v>
      </c>
      <c r="IC9" s="1540" t="str">
        <f t="shared" si="11"/>
        <v/>
      </c>
      <c r="ID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 s="1540">
        <f t="shared" si="10"/>
        <v>7</v>
      </c>
      <c r="IF9" s="1540">
        <f t="shared" si="8"/>
        <v>115</v>
      </c>
      <c r="IG9" s="1540" t="str">
        <f t="shared" si="9"/>
        <v>Darkstick</v>
      </c>
    </row>
    <row r="10" spans="1:241">
      <c r="J10" s="1323" t="s">
        <v>7335</v>
      </c>
      <c r="K10" s="569" t="s">
        <v>7180</v>
      </c>
      <c r="L10" s="569" t="str">
        <f>LEFT(J10,FIND("Chassis",J10,1)-2)</f>
        <v>Astromech Droid</v>
      </c>
      <c r="P10" s="3">
        <v>2</v>
      </c>
      <c r="R10" s="569">
        <v>-2</v>
      </c>
      <c r="S10" s="569" t="s">
        <v>273</v>
      </c>
      <c r="T10" s="3" t="s">
        <v>1285</v>
      </c>
      <c r="V10" s="569" t="s">
        <v>274</v>
      </c>
      <c r="W10" s="569">
        <v>0</v>
      </c>
      <c r="X10" s="569">
        <v>0</v>
      </c>
      <c r="Y10" s="569">
        <v>999</v>
      </c>
      <c r="Z10" s="569">
        <v>999</v>
      </c>
      <c r="AA10" s="569">
        <v>999</v>
      </c>
      <c r="AB10" s="569">
        <v>4</v>
      </c>
      <c r="AC10" s="569" t="s">
        <v>7345</v>
      </c>
      <c r="AD10" s="569" t="s">
        <v>1259</v>
      </c>
      <c r="AE10" s="3" t="s">
        <v>7349</v>
      </c>
      <c r="AF10" s="3" t="str">
        <f>IF(DroidManufacturer&lt;&gt;"",DroidManufacturer&amp;" Droid","")</f>
        <v/>
      </c>
      <c r="AH10" s="569" t="s">
        <v>550</v>
      </c>
      <c r="AI10" s="3" t="s">
        <v>857</v>
      </c>
      <c r="AK10" s="3" t="s">
        <v>550</v>
      </c>
      <c r="BO10" t="s">
        <v>315</v>
      </c>
      <c r="BP10" s="954" t="s">
        <v>751</v>
      </c>
      <c r="BQ10" s="1552" t="s">
        <v>5810</v>
      </c>
      <c r="BV10" s="456" t="s">
        <v>316</v>
      </c>
      <c r="BW10" s="12">
        <v>7</v>
      </c>
      <c r="BX10" s="1173" t="s">
        <v>708</v>
      </c>
      <c r="BY10" s="19" t="s">
        <v>155</v>
      </c>
      <c r="BZ10" s="19">
        <v>0.75</v>
      </c>
      <c r="CA10" s="19">
        <v>0</v>
      </c>
      <c r="CB10" s="19">
        <v>0</v>
      </c>
      <c r="CC10" s="19">
        <v>0</v>
      </c>
      <c r="CD10" s="19">
        <v>8</v>
      </c>
      <c r="CE10" s="19">
        <v>1</v>
      </c>
      <c r="CF10" s="19">
        <v>0</v>
      </c>
      <c r="CG10" s="19">
        <v>0</v>
      </c>
      <c r="CH10" s="19">
        <v>1</v>
      </c>
      <c r="CP10" s="3" t="s">
        <v>754</v>
      </c>
      <c r="CQ10" s="3" t="s">
        <v>2167</v>
      </c>
      <c r="CT10" s="3">
        <f t="shared" si="4"/>
        <v>0</v>
      </c>
      <c r="CU10" s="3">
        <f t="shared" si="5"/>
        <v>0</v>
      </c>
      <c r="CZ10" s="12" t="s">
        <v>415</v>
      </c>
      <c r="DA10" s="14" t="str">
        <f>IF(CT28&gt;0,CZ10,"")</f>
        <v/>
      </c>
      <c r="DB10" s="854" t="str">
        <f t="shared" ca="1" si="6"/>
        <v/>
      </c>
      <c r="DC10" s="12" t="s">
        <v>353</v>
      </c>
      <c r="DD10" t="s">
        <v>321</v>
      </c>
      <c r="DE10">
        <v>4</v>
      </c>
      <c r="DF10">
        <v>2</v>
      </c>
      <c r="DG10">
        <v>3</v>
      </c>
      <c r="DH10">
        <v>2</v>
      </c>
      <c r="DI10" t="s">
        <v>173</v>
      </c>
      <c r="DJ10" t="s">
        <v>283</v>
      </c>
      <c r="DV10" t="s">
        <v>195</v>
      </c>
      <c r="DX10" t="s">
        <v>284</v>
      </c>
      <c r="EB10" s="382" t="s">
        <v>196</v>
      </c>
      <c r="EJ10">
        <v>6500</v>
      </c>
      <c r="EK10" s="1074">
        <v>12</v>
      </c>
      <c r="EL10" t="s">
        <v>354</v>
      </c>
      <c r="EM10" t="s">
        <v>355</v>
      </c>
      <c r="EN10" s="1332" t="s">
        <v>6503</v>
      </c>
      <c r="EO10" s="569" t="s">
        <v>6222</v>
      </c>
      <c r="EP10" s="569" t="s">
        <v>160</v>
      </c>
      <c r="EQ10" s="3" t="s">
        <v>460</v>
      </c>
      <c r="ER10" s="569" t="s">
        <v>1381</v>
      </c>
      <c r="ES10" s="1085" t="s">
        <v>201</v>
      </c>
      <c r="ET10" s="3"/>
      <c r="EU10" s="3"/>
      <c r="EV10" s="3"/>
      <c r="EW10" s="3"/>
      <c r="EX10" s="3"/>
      <c r="EY10" s="3"/>
      <c r="EZ10" s="569" t="s">
        <v>1382</v>
      </c>
      <c r="FA10" s="569" t="s">
        <v>321</v>
      </c>
      <c r="FC10" s="569" t="s">
        <v>6526</v>
      </c>
      <c r="FD10" s="569">
        <v>28</v>
      </c>
      <c r="FL10" s="569">
        <v>2500</v>
      </c>
      <c r="FM10" s="569">
        <v>5</v>
      </c>
      <c r="FN10" s="3" t="s">
        <v>360</v>
      </c>
      <c r="FP10" s="3">
        <v>2</v>
      </c>
      <c r="FQ10" s="569" t="str">
        <f>IF(EP10="R",IF(EQ10&lt;&gt;"EWP",ER10,"pistols"),"")</f>
        <v/>
      </c>
      <c r="FR10" s="3" t="str">
        <f>LOWER(EN10)</f>
        <v>power lance</v>
      </c>
      <c r="FS10" s="8" t="str">
        <f>FR10&amp;"s"</f>
        <v>power lances</v>
      </c>
      <c r="FX10" s="12" t="s">
        <v>164</v>
      </c>
      <c r="FY10" s="3">
        <v>200</v>
      </c>
      <c r="FZ10" s="3">
        <v>0.5</v>
      </c>
      <c r="GA10" s="3" t="s">
        <v>427</v>
      </c>
      <c r="GB10" s="8" t="s">
        <v>428</v>
      </c>
      <c r="GC10" s="12" t="s">
        <v>7521</v>
      </c>
      <c r="GD10" s="3" t="s">
        <v>155</v>
      </c>
      <c r="GE10" s="19">
        <v>2000</v>
      </c>
      <c r="GF10" s="19">
        <v>1</v>
      </c>
      <c r="GG10" s="19" t="s">
        <v>209</v>
      </c>
      <c r="GH10" s="1085" t="s">
        <v>7520</v>
      </c>
      <c r="GI10" s="8" t="s">
        <v>7522</v>
      </c>
      <c r="GJ10" s="12" t="s">
        <v>432</v>
      </c>
      <c r="GK10" s="3" t="s">
        <v>173</v>
      </c>
      <c r="GL10" s="3">
        <v>1250</v>
      </c>
      <c r="GM10" s="3">
        <v>0.5</v>
      </c>
      <c r="GN10" s="3" t="s">
        <v>433</v>
      </c>
      <c r="GO10" s="8" t="s">
        <v>434</v>
      </c>
      <c r="GT10" s="12" t="s">
        <v>435</v>
      </c>
      <c r="GU10" s="3" t="s">
        <v>173</v>
      </c>
      <c r="GV10" s="3">
        <v>0.1</v>
      </c>
      <c r="GW10" s="3">
        <v>1000</v>
      </c>
      <c r="HB10" s="3" t="s">
        <v>115</v>
      </c>
      <c r="HC10" s="8" t="s">
        <v>436</v>
      </c>
      <c r="HD10" s="12" t="s">
        <v>368</v>
      </c>
      <c r="HE10" s="3" t="s">
        <v>173</v>
      </c>
      <c r="HF10" s="3">
        <v>0.1</v>
      </c>
      <c r="HG10" s="3">
        <v>1000</v>
      </c>
      <c r="HH10" s="3" t="s">
        <v>369</v>
      </c>
      <c r="HI10" s="12" t="s">
        <v>438</v>
      </c>
      <c r="HJ10" s="3" t="s">
        <v>173</v>
      </c>
      <c r="HK10" s="3">
        <v>2000</v>
      </c>
      <c r="HL10" s="8">
        <v>1</v>
      </c>
      <c r="HM10" s="8" t="s">
        <v>439</v>
      </c>
      <c r="HN10" s="12" t="s">
        <v>440</v>
      </c>
      <c r="HO10" s="3" t="s">
        <v>169</v>
      </c>
      <c r="HP10" s="3">
        <v>600</v>
      </c>
      <c r="HQ10" s="3">
        <v>1</v>
      </c>
      <c r="HS10" s="3" t="s">
        <v>441</v>
      </c>
      <c r="HT10" s="8" t="s">
        <v>442</v>
      </c>
      <c r="HZ10" t="s">
        <v>443</v>
      </c>
      <c r="IA10" s="1323" t="s">
        <v>444</v>
      </c>
      <c r="IB10" s="8" t="s">
        <v>445</v>
      </c>
      <c r="IC10" s="1540" t="str">
        <f t="shared" si="11"/>
        <v/>
      </c>
      <c r="ID1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 s="1540">
        <f t="shared" si="10"/>
        <v>8</v>
      </c>
      <c r="IF10" s="1540">
        <f t="shared" si="8"/>
        <v>135</v>
      </c>
      <c r="IG10" s="1540" t="str">
        <f t="shared" si="9"/>
        <v>Felucian skullblade</v>
      </c>
    </row>
    <row r="11" spans="1:241">
      <c r="A11" s="742" t="s">
        <v>3717</v>
      </c>
      <c r="J11" s="1323" t="s">
        <v>601</v>
      </c>
      <c r="K11" s="3" t="s">
        <v>377</v>
      </c>
      <c r="L11" s="3" t="s">
        <v>601</v>
      </c>
      <c r="M11" s="4"/>
      <c r="N11" s="4">
        <v>2</v>
      </c>
      <c r="O11" s="4">
        <v>-2</v>
      </c>
      <c r="P11" s="4"/>
      <c r="Q11" s="4">
        <v>-2</v>
      </c>
      <c r="R11" s="4">
        <v>2</v>
      </c>
      <c r="S11" s="3" t="s">
        <v>273</v>
      </c>
      <c r="T11" s="3" t="s">
        <v>601</v>
      </c>
      <c r="V11" s="3" t="s">
        <v>149</v>
      </c>
      <c r="W11" s="3">
        <v>13</v>
      </c>
      <c r="X11" s="3">
        <v>16</v>
      </c>
      <c r="Y11" s="3">
        <v>40</v>
      </c>
      <c r="Z11" s="3">
        <v>53</v>
      </c>
      <c r="AA11" s="3">
        <v>65</v>
      </c>
      <c r="AB11" s="3">
        <v>6</v>
      </c>
      <c r="AC11" s="3" t="s">
        <v>348</v>
      </c>
      <c r="AD11" s="3" t="s">
        <v>602</v>
      </c>
      <c r="AE11" s="3" t="s">
        <v>603</v>
      </c>
      <c r="BO11" t="s">
        <v>348</v>
      </c>
      <c r="BV11" s="456" t="s">
        <v>349</v>
      </c>
      <c r="BW11" s="12">
        <f>BW10+1</f>
        <v>8</v>
      </c>
      <c r="BX11" s="12" t="s">
        <v>410</v>
      </c>
      <c r="BY11" s="19" t="s">
        <v>155</v>
      </c>
      <c r="BZ11" s="19">
        <v>0.75</v>
      </c>
      <c r="CA11" s="19">
        <v>4</v>
      </c>
      <c r="CB11" s="19">
        <v>2</v>
      </c>
      <c r="CC11" s="19">
        <v>0</v>
      </c>
      <c r="CD11" s="19">
        <v>8</v>
      </c>
      <c r="CG11" s="19">
        <v>6</v>
      </c>
      <c r="CH11" s="19">
        <v>7</v>
      </c>
      <c r="CI11" s="3" t="s">
        <v>411</v>
      </c>
      <c r="CJ11" s="3" t="s">
        <v>412</v>
      </c>
      <c r="CK11" s="3" t="s">
        <v>413</v>
      </c>
      <c r="CP11" s="3" t="s">
        <v>414</v>
      </c>
      <c r="CQ11" s="3" t="s">
        <v>2142</v>
      </c>
      <c r="CT11" s="3">
        <f t="shared" si="4"/>
        <v>0</v>
      </c>
      <c r="CU11" s="3">
        <f t="shared" si="5"/>
        <v>0</v>
      </c>
      <c r="CW11" s="17">
        <f>INT((CT11/2)+0.5)</f>
        <v>0</v>
      </c>
      <c r="CZ11" s="12" t="s">
        <v>454</v>
      </c>
      <c r="DA11" s="14" t="str">
        <f>IF(OR(INT(CT33/2)&gt;0),CZ11&amp;" "&amp;INT(CT33/2),"")</f>
        <v/>
      </c>
      <c r="DB11" s="854" t="str">
        <f t="shared" ca="1" si="6"/>
        <v/>
      </c>
      <c r="DC11" s="12" t="s">
        <v>455</v>
      </c>
      <c r="DD11" t="s">
        <v>321</v>
      </c>
      <c r="DE11">
        <v>5</v>
      </c>
      <c r="DF11">
        <v>1</v>
      </c>
      <c r="DG11">
        <v>3</v>
      </c>
      <c r="DH11">
        <v>3</v>
      </c>
      <c r="DI11" t="s">
        <v>169</v>
      </c>
      <c r="DJ11" t="s">
        <v>283</v>
      </c>
      <c r="DK11">
        <v>6</v>
      </c>
      <c r="DW11" s="640" t="s">
        <v>3692</v>
      </c>
      <c r="EB11" s="382" t="s">
        <v>610</v>
      </c>
      <c r="EC11" s="382" t="s">
        <v>118</v>
      </c>
      <c r="EJ11">
        <v>3500</v>
      </c>
      <c r="EK11">
        <v>6.9</v>
      </c>
      <c r="EL11" t="s">
        <v>457</v>
      </c>
      <c r="EM11" t="s">
        <v>458</v>
      </c>
      <c r="EN11" s="1323" t="s">
        <v>4277</v>
      </c>
      <c r="EO11" s="3" t="s">
        <v>3800</v>
      </c>
      <c r="EP11" s="3" t="s">
        <v>160</v>
      </c>
      <c r="EQ11" s="569" t="s">
        <v>460</v>
      </c>
      <c r="ER11" s="569" t="s">
        <v>1381</v>
      </c>
      <c r="ES11" s="19" t="s">
        <v>201</v>
      </c>
      <c r="EU11" s="19" t="s">
        <v>202</v>
      </c>
      <c r="EV11" s="19" t="s">
        <v>202</v>
      </c>
      <c r="EZ11" s="3" t="s">
        <v>4278</v>
      </c>
      <c r="FA11" s="3" t="s">
        <v>3718</v>
      </c>
      <c r="FB11" s="3" t="s">
        <v>118</v>
      </c>
      <c r="FC11" s="569" t="s">
        <v>4279</v>
      </c>
      <c r="FD11" s="3">
        <v>2</v>
      </c>
      <c r="FE11" s="3">
        <v>6</v>
      </c>
      <c r="FG11" s="3">
        <v>2</v>
      </c>
      <c r="FH11" s="3">
        <v>6</v>
      </c>
      <c r="FI11" s="569"/>
      <c r="FL11" s="3">
        <v>4500</v>
      </c>
      <c r="FM11" s="3">
        <v>2.2000000000000002</v>
      </c>
      <c r="FN11" s="3" t="s">
        <v>360</v>
      </c>
      <c r="FP11" s="3">
        <v>2</v>
      </c>
      <c r="FR11" s="3" t="s">
        <v>4280</v>
      </c>
      <c r="FS11" s="8" t="str">
        <f>FR11&amp;"s"</f>
        <v>san-ni staffs</v>
      </c>
      <c r="FX11" s="12" t="s">
        <v>464</v>
      </c>
      <c r="FY11" s="3">
        <v>250</v>
      </c>
      <c r="FZ11" s="3">
        <v>0.5</v>
      </c>
      <c r="GA11" s="3" t="s">
        <v>465</v>
      </c>
      <c r="GB11" s="8" t="s">
        <v>466</v>
      </c>
      <c r="GC11" s="1323" t="s">
        <v>7283</v>
      </c>
      <c r="GD11" s="3" t="s">
        <v>6758</v>
      </c>
      <c r="GE11" s="19">
        <v>50</v>
      </c>
      <c r="GF11" s="19">
        <v>0</v>
      </c>
      <c r="GG11" s="19" t="s">
        <v>249</v>
      </c>
      <c r="GH11" s="3" t="str">
        <f>LOWER(GC11)</f>
        <v>anti-rad dose</v>
      </c>
      <c r="GI11" s="8" t="str">
        <f>GH11&amp;"s"</f>
        <v>anti-rad doses</v>
      </c>
      <c r="GJ11" s="1323"/>
      <c r="GT11" s="12" t="s">
        <v>473</v>
      </c>
      <c r="GU11" s="3" t="s">
        <v>173</v>
      </c>
      <c r="GV11" s="3">
        <v>0.1</v>
      </c>
      <c r="GW11" s="3">
        <v>1000</v>
      </c>
      <c r="GX11" s="3" t="s">
        <v>3736</v>
      </c>
      <c r="GZ11" s="569" t="s">
        <v>497</v>
      </c>
      <c r="HC11" s="8" t="s">
        <v>474</v>
      </c>
      <c r="HD11" s="12" t="s">
        <v>399</v>
      </c>
      <c r="HE11" s="3" t="s">
        <v>173</v>
      </c>
      <c r="HF11" s="3">
        <v>0.1</v>
      </c>
      <c r="HG11" s="3">
        <v>1000</v>
      </c>
      <c r="HH11" s="3" t="s">
        <v>401</v>
      </c>
      <c r="HI11" s="12" t="s">
        <v>477</v>
      </c>
      <c r="HJ11" s="3" t="s">
        <v>169</v>
      </c>
      <c r="HK11" s="3">
        <v>1000</v>
      </c>
      <c r="HL11" s="8">
        <v>1</v>
      </c>
      <c r="HN11" s="12" t="s">
        <v>478</v>
      </c>
      <c r="HO11" s="3" t="s">
        <v>169</v>
      </c>
      <c r="HP11" s="3">
        <v>250</v>
      </c>
      <c r="HQ11" s="3">
        <v>1</v>
      </c>
      <c r="HS11" s="3" t="s">
        <v>479</v>
      </c>
      <c r="HT11" s="8" t="s">
        <v>480</v>
      </c>
      <c r="HZ11" t="s">
        <v>346</v>
      </c>
      <c r="IA11" s="1323" t="s">
        <v>2145</v>
      </c>
      <c r="IB11" s="8" t="s">
        <v>2146</v>
      </c>
      <c r="IC11" s="1540" t="str">
        <f t="shared" si="11"/>
        <v/>
      </c>
      <c r="ID1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 s="1540">
        <f t="shared" si="10"/>
        <v>9</v>
      </c>
      <c r="IF11" s="1540">
        <f t="shared" si="8"/>
        <v>140</v>
      </c>
      <c r="IG11" s="1540" t="str">
        <f t="shared" si="9"/>
        <v>Fira</v>
      </c>
    </row>
    <row r="12" spans="1:241">
      <c r="A12" s="742" t="s">
        <v>13</v>
      </c>
      <c r="J12" s="1323" t="s">
        <v>628</v>
      </c>
      <c r="K12" s="3" t="s">
        <v>7885</v>
      </c>
      <c r="L12" s="3" t="s">
        <v>628</v>
      </c>
      <c r="M12" s="4">
        <v>2</v>
      </c>
      <c r="N12" s="4">
        <v>-2</v>
      </c>
      <c r="O12" s="4"/>
      <c r="P12" s="4"/>
      <c r="Q12" s="4">
        <v>-2</v>
      </c>
      <c r="R12" s="4"/>
      <c r="S12" s="3" t="s">
        <v>628</v>
      </c>
      <c r="V12" s="3" t="s">
        <v>149</v>
      </c>
      <c r="W12" s="3">
        <v>9</v>
      </c>
      <c r="X12" s="3">
        <v>16</v>
      </c>
      <c r="Y12" s="3">
        <v>41</v>
      </c>
      <c r="Z12" s="3">
        <v>60</v>
      </c>
      <c r="AA12" s="3">
        <v>80</v>
      </c>
      <c r="AB12" s="3">
        <v>6</v>
      </c>
      <c r="AC12" s="3" t="s">
        <v>629</v>
      </c>
      <c r="AD12" s="3" t="s">
        <v>517</v>
      </c>
      <c r="AE12" s="3" t="s">
        <v>151</v>
      </c>
      <c r="AF12" s="3" t="s">
        <v>630</v>
      </c>
      <c r="AG12" s="569" t="s">
        <v>7298</v>
      </c>
      <c r="AO12" s="3">
        <v>2</v>
      </c>
      <c r="BF12" s="3" t="s">
        <v>631</v>
      </c>
      <c r="BG12" s="3" t="str">
        <f ca="1">"1d"&amp;MIN(12,UnarmedDieIncreases*2+6)</f>
        <v>1d6</v>
      </c>
      <c r="BH12" s="3" t="s">
        <v>633</v>
      </c>
      <c r="BI12" s="3" t="s">
        <v>634</v>
      </c>
      <c r="BJ12" s="3" t="str">
        <f ca="1">"1d"&amp;MIN(12,UnarmedDieIncreases*2+6)</f>
        <v>1d6</v>
      </c>
      <c r="BK12" s="3" t="s">
        <v>635</v>
      </c>
      <c r="BL12" s="3" t="s">
        <v>636</v>
      </c>
      <c r="BM12" s="3" t="str">
        <f ca="1">"1d"&amp;MIN(12,UnarmedDieIncreases*2+6)</f>
        <v>1d6</v>
      </c>
      <c r="BN12" s="8" t="s">
        <v>637</v>
      </c>
      <c r="BO12" t="s">
        <v>6564</v>
      </c>
      <c r="BV12" s="456" t="s">
        <v>6559</v>
      </c>
      <c r="BW12" s="12">
        <f t="shared" ref="BW12:BW42" si="12">BW11+1</f>
        <v>9</v>
      </c>
      <c r="BX12" s="12" t="s">
        <v>1120</v>
      </c>
      <c r="BY12" s="19" t="s">
        <v>169</v>
      </c>
      <c r="BZ12" s="19">
        <v>1</v>
      </c>
      <c r="CA12" s="19">
        <v>4</v>
      </c>
      <c r="CB12" s="19">
        <v>2</v>
      </c>
      <c r="CC12" s="19">
        <v>0</v>
      </c>
      <c r="CD12" s="19">
        <v>10</v>
      </c>
      <c r="CG12" s="19">
        <v>6</v>
      </c>
      <c r="CH12" s="19">
        <v>7</v>
      </c>
      <c r="CI12" s="3" t="s">
        <v>411</v>
      </c>
      <c r="CJ12" s="3" t="s">
        <v>1121</v>
      </c>
      <c r="CK12" s="3" t="s">
        <v>1122</v>
      </c>
      <c r="CL12" s="3" t="s">
        <v>1123</v>
      </c>
      <c r="CP12" s="3" t="s">
        <v>1124</v>
      </c>
      <c r="CQ12" s="3" t="s">
        <v>1125</v>
      </c>
      <c r="CT12" s="3">
        <f t="shared" si="4"/>
        <v>0</v>
      </c>
      <c r="CU12" s="3">
        <f t="shared" si="5"/>
        <v>0</v>
      </c>
      <c r="CW12" s="17">
        <f>INT((CT12/2)+0.5)</f>
        <v>0</v>
      </c>
      <c r="CZ12" s="12" t="s">
        <v>491</v>
      </c>
      <c r="DA12" s="14" t="str">
        <f>IF(CT38&gt;0,CZ12,"")</f>
        <v/>
      </c>
      <c r="DB12" s="854" t="str">
        <f t="shared" ca="1" si="6"/>
        <v/>
      </c>
      <c r="DC12" s="12" t="s">
        <v>526</v>
      </c>
      <c r="DD12" t="s">
        <v>321</v>
      </c>
      <c r="DE12">
        <v>2</v>
      </c>
      <c r="DG12">
        <v>5</v>
      </c>
      <c r="DH12" s="1024">
        <v>1</v>
      </c>
      <c r="DI12" t="s">
        <v>155</v>
      </c>
      <c r="DJ12" t="s">
        <v>89</v>
      </c>
      <c r="DV12" t="s">
        <v>195</v>
      </c>
      <c r="EB12" s="873" t="s">
        <v>3719</v>
      </c>
      <c r="EJ12">
        <v>500</v>
      </c>
      <c r="EK12">
        <v>3</v>
      </c>
      <c r="EL12" t="s">
        <v>527</v>
      </c>
      <c r="EM12" t="s">
        <v>528</v>
      </c>
      <c r="EN12" s="1323" t="s">
        <v>6989</v>
      </c>
      <c r="EO12" s="3" t="s">
        <v>6758</v>
      </c>
      <c r="EP12" s="3" t="s">
        <v>160</v>
      </c>
      <c r="EQ12" s="3" t="s">
        <v>460</v>
      </c>
      <c r="ER12" s="3" t="s">
        <v>1381</v>
      </c>
      <c r="ES12" s="19" t="s">
        <v>201</v>
      </c>
      <c r="EV12" s="19" t="s">
        <v>1337</v>
      </c>
      <c r="EZ12" s="3" t="s">
        <v>497</v>
      </c>
      <c r="FA12" s="3" t="s">
        <v>321</v>
      </c>
      <c r="FC12" s="3" t="s">
        <v>6990</v>
      </c>
      <c r="FL12" s="3">
        <v>450</v>
      </c>
      <c r="FM12" s="3">
        <v>1.4</v>
      </c>
      <c r="FR12" s="3" t="s">
        <v>6991</v>
      </c>
      <c r="FS12" s="8" t="s">
        <v>6992</v>
      </c>
      <c r="FX12" s="12" t="s">
        <v>501</v>
      </c>
      <c r="FY12" s="3">
        <v>250</v>
      </c>
      <c r="FZ12" s="3">
        <v>0.5</v>
      </c>
      <c r="GA12" s="3" t="s">
        <v>502</v>
      </c>
      <c r="GB12" s="8" t="s">
        <v>503</v>
      </c>
      <c r="GC12" s="12" t="s">
        <v>247</v>
      </c>
      <c r="GD12" s="3" t="s">
        <v>248</v>
      </c>
      <c r="GE12" s="19">
        <v>750</v>
      </c>
      <c r="GF12" s="19">
        <v>0.2</v>
      </c>
      <c r="GG12" s="19" t="s">
        <v>249</v>
      </c>
      <c r="GH12" s="3" t="s">
        <v>250</v>
      </c>
      <c r="GI12" s="8" t="s">
        <v>251</v>
      </c>
      <c r="GJ12" s="12" t="s">
        <v>470</v>
      </c>
      <c r="GK12" s="3" t="s">
        <v>173</v>
      </c>
      <c r="GL12" s="3">
        <v>1500</v>
      </c>
      <c r="GM12" s="3">
        <v>0.5</v>
      </c>
      <c r="GN12" s="3" t="s">
        <v>471</v>
      </c>
      <c r="GO12" s="8" t="s">
        <v>472</v>
      </c>
      <c r="GT12" s="12" t="s">
        <v>509</v>
      </c>
      <c r="GU12" s="3" t="s">
        <v>173</v>
      </c>
      <c r="GV12" s="3">
        <v>0.1</v>
      </c>
      <c r="GW12" s="3">
        <v>1000</v>
      </c>
      <c r="HB12" s="3" t="s">
        <v>115</v>
      </c>
      <c r="HC12" s="8" t="s">
        <v>510</v>
      </c>
      <c r="HD12" s="12" t="s">
        <v>437</v>
      </c>
      <c r="HE12" s="3" t="s">
        <v>173</v>
      </c>
      <c r="HF12" s="3">
        <v>0.1</v>
      </c>
      <c r="HG12" s="3">
        <v>0</v>
      </c>
      <c r="HH12" s="3" t="s">
        <v>2143</v>
      </c>
      <c r="HI12" s="12" t="s">
        <v>513</v>
      </c>
      <c r="HJ12" s="3" t="s">
        <v>173</v>
      </c>
      <c r="HK12" s="3">
        <v>3000</v>
      </c>
      <c r="HL12" s="8">
        <v>1</v>
      </c>
      <c r="HM12" s="8" t="s">
        <v>514</v>
      </c>
      <c r="HN12" s="12" t="s">
        <v>284</v>
      </c>
      <c r="HO12" s="3" t="s">
        <v>155</v>
      </c>
      <c r="HP12" s="3">
        <v>4000</v>
      </c>
      <c r="HQ12" s="3">
        <v>0</v>
      </c>
      <c r="HR12" s="3">
        <v>1</v>
      </c>
      <c r="HS12" s="3" t="s">
        <v>332</v>
      </c>
      <c r="HT12" s="8" t="s">
        <v>515</v>
      </c>
      <c r="HZ12" t="s">
        <v>516</v>
      </c>
      <c r="IB12" s="8" t="s">
        <v>3814</v>
      </c>
      <c r="IC12" s="1540" t="str">
        <f t="shared" si="11"/>
        <v/>
      </c>
      <c r="ID1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 s="1540">
        <f t="shared" si="10"/>
        <v>10</v>
      </c>
      <c r="IF12" s="1540">
        <f t="shared" si="8"/>
        <v>148</v>
      </c>
      <c r="IG12" s="1540" t="str">
        <f t="shared" si="9"/>
        <v>Garrote</v>
      </c>
    </row>
    <row r="13" spans="1:241">
      <c r="A13" s="742" t="s">
        <v>4188</v>
      </c>
      <c r="J13" s="1323" t="s">
        <v>7336</v>
      </c>
      <c r="K13" s="569" t="s">
        <v>7180</v>
      </c>
      <c r="L13" s="569" t="str">
        <f>LEFT(J13,FIND("Chassis",J13,1)-2)</f>
        <v>Battle Droid</v>
      </c>
      <c r="N13" s="3">
        <v>2</v>
      </c>
      <c r="P13" s="3">
        <v>-2</v>
      </c>
      <c r="S13" s="569" t="s">
        <v>273</v>
      </c>
      <c r="T13" s="3" t="s">
        <v>1285</v>
      </c>
      <c r="V13" s="569" t="s">
        <v>149</v>
      </c>
      <c r="W13" s="569">
        <v>0</v>
      </c>
      <c r="X13" s="569">
        <v>0</v>
      </c>
      <c r="Y13" s="569">
        <v>999</v>
      </c>
      <c r="Z13" s="569">
        <v>999</v>
      </c>
      <c r="AA13" s="569">
        <v>999</v>
      </c>
      <c r="AB13" s="569">
        <v>6</v>
      </c>
      <c r="AC13" s="3" t="s">
        <v>7344</v>
      </c>
      <c r="AD13" s="569" t="s">
        <v>1259</v>
      </c>
      <c r="AE13" s="3" t="s">
        <v>7350</v>
      </c>
      <c r="AF13" s="569" t="s">
        <v>7351</v>
      </c>
      <c r="AG13" s="3" t="str">
        <f>IF(DroidManufacturer&lt;&gt;"",DroidManufacturer&amp;" Droid","")</f>
        <v/>
      </c>
      <c r="BO13" t="s">
        <v>6565</v>
      </c>
      <c r="BV13" s="456" t="s">
        <v>6560</v>
      </c>
      <c r="BW13" s="12">
        <f t="shared" si="12"/>
        <v>10</v>
      </c>
      <c r="BX13" s="12" t="s">
        <v>450</v>
      </c>
      <c r="BY13" s="19" t="s">
        <v>155</v>
      </c>
      <c r="BZ13" s="19">
        <v>1</v>
      </c>
      <c r="CA13" s="19">
        <v>4</v>
      </c>
      <c r="CB13" s="19">
        <v>2</v>
      </c>
      <c r="CC13" s="19">
        <v>0</v>
      </c>
      <c r="CD13" s="19">
        <v>10</v>
      </c>
      <c r="CG13" s="19">
        <v>6</v>
      </c>
      <c r="CH13" s="19">
        <v>7</v>
      </c>
      <c r="CI13" s="3" t="s">
        <v>411</v>
      </c>
      <c r="CJ13" s="3" t="s">
        <v>451</v>
      </c>
      <c r="CK13" s="3" t="s">
        <v>452</v>
      </c>
      <c r="CP13" s="3" t="s">
        <v>453</v>
      </c>
      <c r="CQ13" s="3" t="s">
        <v>2144</v>
      </c>
      <c r="CT13" s="3">
        <f t="shared" si="4"/>
        <v>0</v>
      </c>
      <c r="CU13" s="3">
        <f t="shared" si="5"/>
        <v>0</v>
      </c>
      <c r="CW13" s="17">
        <f>INT((CT13/2)+0.5)</f>
        <v>0</v>
      </c>
      <c r="CZ13" s="12" t="s">
        <v>525</v>
      </c>
      <c r="DA13" s="14" t="str">
        <f>IF(CT23&gt;1,CZ13&amp;" +"&amp;INT(CT23/2),"")</f>
        <v/>
      </c>
      <c r="DB13" s="854" t="str">
        <f t="shared" ca="1" si="6"/>
        <v/>
      </c>
      <c r="DC13" s="12" t="s">
        <v>6035</v>
      </c>
      <c r="DD13" t="s">
        <v>321</v>
      </c>
      <c r="DE13">
        <v>2</v>
      </c>
      <c r="DF13">
        <v>1</v>
      </c>
      <c r="DG13">
        <v>4</v>
      </c>
      <c r="DH13">
        <v>1</v>
      </c>
      <c r="DI13" t="s">
        <v>173</v>
      </c>
      <c r="EB13" t="s">
        <v>3719</v>
      </c>
      <c r="EK13" s="1074"/>
      <c r="EL13" t="s">
        <v>6037</v>
      </c>
      <c r="EM13" t="s">
        <v>6036</v>
      </c>
      <c r="EN13" s="1323" t="s">
        <v>2221</v>
      </c>
      <c r="EO13" s="3" t="s">
        <v>2159</v>
      </c>
      <c r="EP13" s="3" t="s">
        <v>160</v>
      </c>
      <c r="EQ13" s="3" t="s">
        <v>460</v>
      </c>
      <c r="ER13" s="3" t="s">
        <v>1381</v>
      </c>
      <c r="ES13" s="19" t="s">
        <v>274</v>
      </c>
      <c r="ET13" s="19" t="s">
        <v>321</v>
      </c>
      <c r="EZ13" s="3" t="s">
        <v>203</v>
      </c>
      <c r="FA13" s="3" t="s">
        <v>204</v>
      </c>
      <c r="FC13" s="3" t="s">
        <v>2222</v>
      </c>
      <c r="FD13" s="3">
        <v>1</v>
      </c>
      <c r="FE13" s="3">
        <v>6</v>
      </c>
      <c r="FL13" s="3">
        <v>1200</v>
      </c>
      <c r="FM13" s="3">
        <v>2.2999999999999998</v>
      </c>
      <c r="FN13" s="3" t="s">
        <v>360</v>
      </c>
      <c r="FQ13" s="3" t="str">
        <f>IF(EP13="R",IF(EQ13&lt;&gt;"EWP",ER13,"pistols"),"")</f>
        <v/>
      </c>
      <c r="FR13" s="3" t="s">
        <v>2223</v>
      </c>
      <c r="FS13" s="8" t="s">
        <v>2224</v>
      </c>
      <c r="FX13" s="12" t="s">
        <v>534</v>
      </c>
      <c r="FY13" s="3">
        <v>800</v>
      </c>
      <c r="FZ13" s="3">
        <v>10</v>
      </c>
      <c r="GA13" s="3" t="s">
        <v>535</v>
      </c>
      <c r="GB13" s="8" t="s">
        <v>536</v>
      </c>
      <c r="GC13" s="12" t="s">
        <v>8122</v>
      </c>
      <c r="GD13" s="3" t="s">
        <v>7183</v>
      </c>
      <c r="GE13" s="19">
        <v>25</v>
      </c>
      <c r="GF13" s="19">
        <v>0</v>
      </c>
      <c r="GG13" s="19" t="s">
        <v>249</v>
      </c>
      <c r="GH13" s="3" t="str">
        <f>LOWER(GC13)</f>
        <v>antitoxin patch</v>
      </c>
      <c r="GI13" s="8" t="str">
        <f>GH13&amp;"s"</f>
        <v>antitoxin patchs</v>
      </c>
      <c r="GJ13" s="12" t="s">
        <v>506</v>
      </c>
      <c r="GK13" s="3" t="s">
        <v>173</v>
      </c>
      <c r="GL13" s="3">
        <v>2500</v>
      </c>
      <c r="GM13" s="3">
        <v>0.5</v>
      </c>
      <c r="GN13" s="3" t="s">
        <v>507</v>
      </c>
      <c r="GO13" s="8" t="s">
        <v>508</v>
      </c>
      <c r="GT13" s="12" t="s">
        <v>226</v>
      </c>
      <c r="GU13" s="3" t="s">
        <v>173</v>
      </c>
      <c r="GV13" s="3">
        <v>0.1</v>
      </c>
      <c r="GW13" s="3">
        <v>1000</v>
      </c>
      <c r="HC13" s="8" t="s">
        <v>543</v>
      </c>
      <c r="HD13" s="12" t="s">
        <v>475</v>
      </c>
      <c r="HE13" s="3" t="s">
        <v>173</v>
      </c>
      <c r="HF13" s="3">
        <v>0.1</v>
      </c>
      <c r="HG13" s="3">
        <v>1000</v>
      </c>
      <c r="HH13" s="3" t="s">
        <v>476</v>
      </c>
      <c r="HI13" s="12" t="s">
        <v>545</v>
      </c>
      <c r="HJ13" s="3" t="s">
        <v>169</v>
      </c>
      <c r="HK13" s="3">
        <v>400</v>
      </c>
      <c r="HL13" s="8">
        <v>1</v>
      </c>
      <c r="HN13" s="12" t="s">
        <v>546</v>
      </c>
      <c r="HO13" s="3" t="s">
        <v>169</v>
      </c>
      <c r="HP13" s="3">
        <v>8000</v>
      </c>
      <c r="HQ13" s="3">
        <v>0</v>
      </c>
      <c r="HR13" s="3">
        <v>1</v>
      </c>
      <c r="HS13" s="3" t="s">
        <v>395</v>
      </c>
      <c r="HT13" s="8" t="s">
        <v>395</v>
      </c>
      <c r="HZ13" t="s">
        <v>547</v>
      </c>
      <c r="IC13" s="1540" t="str">
        <f t="shared" si="11"/>
        <v/>
      </c>
      <c r="ID1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3" s="1540">
        <f t="shared" si="10"/>
        <v>11</v>
      </c>
      <c r="IF13" s="1540">
        <f t="shared" si="8"/>
        <v>175</v>
      </c>
      <c r="IG13" s="1540" t="str">
        <f t="shared" si="9"/>
        <v>Lanvarok, Massassi (melee)</v>
      </c>
    </row>
    <row r="14" spans="1:241">
      <c r="J14" s="1323" t="s">
        <v>708</v>
      </c>
      <c r="K14" s="3" t="s">
        <v>7942</v>
      </c>
      <c r="L14" s="3">
        <f>BeastSpecies</f>
        <v>0</v>
      </c>
      <c r="M14" s="4">
        <f>BeastStrength</f>
        <v>0</v>
      </c>
      <c r="N14" s="4">
        <f>BeastDexterity</f>
        <v>0</v>
      </c>
      <c r="O14" s="4">
        <f>BeastConstitution</f>
        <v>0</v>
      </c>
      <c r="P14" s="4">
        <f>BeastIntelligence</f>
        <v>0</v>
      </c>
      <c r="Q14" s="4">
        <f>BeastWisdom</f>
        <v>0</v>
      </c>
      <c r="R14" s="4">
        <f>BeastCharisma</f>
        <v>0</v>
      </c>
      <c r="V14" s="3" t="str">
        <f>INDEX(SizeAbrList,BeastSize,1)</f>
        <v>m</v>
      </c>
      <c r="AB14" s="3">
        <f>BeastSpeed</f>
        <v>0</v>
      </c>
      <c r="AC14" s="3" t="str">
        <f>IF(BeastTrait1&lt;&gt;"",BeastTrait1,"")</f>
        <v/>
      </c>
      <c r="AD14" s="3" t="str">
        <f>IF(BeastTrait2&lt;&gt;"",BeastTrait2,"")</f>
        <v/>
      </c>
      <c r="AE14" s="3" t="str">
        <f>IF(BeastTrait3&lt;&gt;"",BeastTrait3,"")</f>
        <v/>
      </c>
      <c r="AF14" s="3" t="str">
        <f>IF(BeastTrait4&lt;&gt;"",BeastTrait4,"")</f>
        <v/>
      </c>
      <c r="AG14" s="3" t="str">
        <f>IF(BeastTrait5&lt;&gt;"",BeastTrait5,"")</f>
        <v/>
      </c>
      <c r="AH14" s="3" t="str">
        <f>IF(BeastSF1&lt;&gt;"",BeastSF1,"")</f>
        <v/>
      </c>
      <c r="AI14" s="3" t="str">
        <f>IF(BeastSF2&lt;&gt;"",BeastSF2,"")</f>
        <v/>
      </c>
      <c r="AJ14" s="3" t="str">
        <f>IF(BeastSF3&lt;&gt;"",BeastSF3,"")</f>
        <v/>
      </c>
      <c r="AK14" s="3" t="str">
        <f>IF(BeastST1&lt;&gt;"",BeastST1,"")</f>
        <v/>
      </c>
      <c r="AL14" s="3" t="str">
        <f>IF(BeastST2&lt;&gt;"",BeastST2,"")</f>
        <v/>
      </c>
      <c r="AM14" s="3" t="str">
        <f>IF(BeastST3&lt;&gt;"",BeastST3,"")</f>
        <v/>
      </c>
      <c r="AN14" s="3">
        <f>BeastNA</f>
        <v>0</v>
      </c>
      <c r="AO14" s="3" t="str">
        <f>IF(BeastRef&lt;&gt;"",BeastRef,"")</f>
        <v/>
      </c>
      <c r="AP14" s="3" t="str">
        <f>IF(BeastFort&lt;&gt;"",BeastFort,"")</f>
        <v/>
      </c>
      <c r="AQ14" s="3" t="str">
        <f>IF(BeastWill&lt;&gt;"",BeastWill,"")</f>
        <v/>
      </c>
      <c r="AW14" s="3" t="str">
        <f>IF(BeastFeat1&lt;&gt;"",BeastFeat1,"")</f>
        <v/>
      </c>
      <c r="AX14" s="3" t="str">
        <f>IF(BeastFeat2&lt;&gt;"",BeastFeat2,"")</f>
        <v/>
      </c>
      <c r="AY14" s="3" t="str">
        <f>IF(BeastFeat3&lt;&gt;"",BeastFeat3,"")</f>
        <v/>
      </c>
      <c r="BF14" s="3" t="str">
        <f>IF(BeastNA1&lt;&gt;"",BeastNA1,"")</f>
        <v/>
      </c>
      <c r="BG14" s="3" t="str">
        <f>IF(BeastNA1Dam&lt;&gt;"",BeastNA1Dam,"")</f>
        <v/>
      </c>
      <c r="BH14" s="3" t="str">
        <f>IF(BeastNA1Type&lt;&gt;"",BeastNA1Type,"")</f>
        <v/>
      </c>
      <c r="BI14" s="3" t="str">
        <f>IF(BeastNA2&lt;&gt;"",BeastNA2,"")</f>
        <v/>
      </c>
      <c r="BJ14" s="3" t="str">
        <f>IF(BeastNA2Dam&lt;&gt;"",BeastNA2Dam,"")</f>
        <v/>
      </c>
      <c r="BK14" s="3" t="str">
        <f>IF(BeastNA2Type&lt;&gt;"",BeastNA2Type,"")</f>
        <v/>
      </c>
      <c r="BL14" s="3" t="str">
        <f>IF(BeastNA3&lt;&gt;"",BeastNA3,"")</f>
        <v/>
      </c>
      <c r="BM14" s="3" t="str">
        <f>IF(BeastNA3Dam&lt;&gt;"",BeastNA3Dam,"")</f>
        <v/>
      </c>
      <c r="BN14" s="8" t="str">
        <f>IF(BeastNA3Type&lt;&gt;"",BeastNA3Type,"")</f>
        <v/>
      </c>
      <c r="BO14" s="1674" t="s">
        <v>8828</v>
      </c>
      <c r="BV14" s="1673" t="s">
        <v>8829</v>
      </c>
      <c r="BW14" s="12">
        <f t="shared" si="12"/>
        <v>11</v>
      </c>
      <c r="BX14" s="12" t="s">
        <v>1139</v>
      </c>
      <c r="BY14" s="19" t="s">
        <v>169</v>
      </c>
      <c r="BZ14" s="19">
        <v>0.75</v>
      </c>
      <c r="CA14" s="19">
        <v>2</v>
      </c>
      <c r="CB14" s="19">
        <v>0</v>
      </c>
      <c r="CC14" s="19">
        <v>4</v>
      </c>
      <c r="CD14" s="19">
        <v>8</v>
      </c>
      <c r="CG14" s="19">
        <v>6</v>
      </c>
      <c r="CH14" s="19">
        <v>7</v>
      </c>
      <c r="CI14" s="3" t="s">
        <v>411</v>
      </c>
      <c r="CJ14" s="3" t="s">
        <v>488</v>
      </c>
      <c r="CK14" s="3" t="s">
        <v>1140</v>
      </c>
      <c r="CP14" s="3" t="s">
        <v>1141</v>
      </c>
      <c r="CQ14" s="3" t="s">
        <v>1142</v>
      </c>
      <c r="CT14" s="3">
        <f t="shared" si="4"/>
        <v>0</v>
      </c>
      <c r="CU14" s="3">
        <f t="shared" si="5"/>
        <v>0</v>
      </c>
      <c r="CW14" s="17">
        <f>INT((CT14/2)+0.5)</f>
        <v>0</v>
      </c>
      <c r="CZ14" s="12" t="s">
        <v>557</v>
      </c>
      <c r="DA14" s="14" t="str">
        <f>IF(OR(CT11/2&gt;0),CZ14&amp;" "&amp;INT(CT11/2),"")</f>
        <v/>
      </c>
      <c r="DB14" s="854" t="str">
        <f t="shared" ca="1" si="6"/>
        <v/>
      </c>
      <c r="DC14" s="12" t="s">
        <v>6021</v>
      </c>
      <c r="DD14" t="s">
        <v>321</v>
      </c>
      <c r="DE14">
        <v>6</v>
      </c>
      <c r="DF14">
        <v>2</v>
      </c>
      <c r="DG14">
        <v>3</v>
      </c>
      <c r="DH14" s="1024">
        <v>1</v>
      </c>
      <c r="DI14" t="s">
        <v>155</v>
      </c>
      <c r="DJ14" t="s">
        <v>283</v>
      </c>
      <c r="DV14" s="1024" t="s">
        <v>195</v>
      </c>
      <c r="DX14" t="s">
        <v>417</v>
      </c>
      <c r="DY14" t="s">
        <v>284</v>
      </c>
      <c r="EB14" t="s">
        <v>196</v>
      </c>
      <c r="EC14" s="382" t="s">
        <v>118</v>
      </c>
      <c r="EJ14">
        <v>8000</v>
      </c>
      <c r="EK14">
        <v>8.9</v>
      </c>
      <c r="EL14" t="s">
        <v>6019</v>
      </c>
      <c r="EM14" t="s">
        <v>6020</v>
      </c>
      <c r="EN14" s="1323" t="s">
        <v>1855</v>
      </c>
      <c r="EO14" s="3" t="s">
        <v>173</v>
      </c>
      <c r="EP14" s="3" t="s">
        <v>160</v>
      </c>
      <c r="EQ14" s="3" t="s">
        <v>460</v>
      </c>
      <c r="ER14" s="3" t="s">
        <v>1381</v>
      </c>
      <c r="ES14" s="19" t="s">
        <v>201</v>
      </c>
      <c r="EU14" s="19" t="s">
        <v>202</v>
      </c>
      <c r="EV14" s="19" t="s">
        <v>202</v>
      </c>
      <c r="EZ14" s="3" t="s">
        <v>1382</v>
      </c>
      <c r="FA14" s="3" t="s">
        <v>204</v>
      </c>
      <c r="FC14" s="3" t="s">
        <v>1856</v>
      </c>
      <c r="FD14" s="3">
        <v>2</v>
      </c>
      <c r="FE14" s="3">
        <v>6</v>
      </c>
      <c r="FG14" s="3">
        <v>2</v>
      </c>
      <c r="FH14" s="3">
        <v>6</v>
      </c>
      <c r="FL14" s="3">
        <v>3500</v>
      </c>
      <c r="FM14" s="3">
        <v>3</v>
      </c>
      <c r="FN14" s="3" t="s">
        <v>360</v>
      </c>
      <c r="FP14" s="3">
        <v>2</v>
      </c>
      <c r="FQ14" s="3" t="str">
        <f>IF(EP14="R",IF(EQ14&lt;&gt;"EWP",ER14,"pistols"),"")</f>
        <v/>
      </c>
      <c r="FR14" s="3" t="s">
        <v>1857</v>
      </c>
      <c r="FS14" s="8" t="s">
        <v>1858</v>
      </c>
      <c r="FX14" s="12" t="s">
        <v>565</v>
      </c>
      <c r="FY14" s="3">
        <v>200</v>
      </c>
      <c r="FZ14" s="3">
        <v>5</v>
      </c>
      <c r="GA14" s="3" t="s">
        <v>566</v>
      </c>
      <c r="GB14" s="8" t="s">
        <v>567</v>
      </c>
      <c r="GC14" s="12" t="s">
        <v>293</v>
      </c>
      <c r="GD14" s="3" t="s">
        <v>155</v>
      </c>
      <c r="GE14" s="19">
        <v>350</v>
      </c>
      <c r="GF14" s="19">
        <v>0.2</v>
      </c>
      <c r="GG14" s="19" t="s">
        <v>249</v>
      </c>
      <c r="GH14" s="3" t="s">
        <v>294</v>
      </c>
      <c r="GI14" s="8" t="s">
        <v>295</v>
      </c>
      <c r="GJ14" s="12" t="s">
        <v>540</v>
      </c>
      <c r="GK14" s="3" t="s">
        <v>173</v>
      </c>
      <c r="GL14" s="3">
        <v>3500</v>
      </c>
      <c r="GM14" s="3">
        <v>0.5</v>
      </c>
      <c r="GN14" s="3" t="s">
        <v>541</v>
      </c>
      <c r="GO14" s="8" t="s">
        <v>542</v>
      </c>
      <c r="GT14" s="12" t="s">
        <v>266</v>
      </c>
      <c r="GU14" s="3" t="s">
        <v>173</v>
      </c>
      <c r="GV14" s="3">
        <v>0.1</v>
      </c>
      <c r="GW14" s="3">
        <v>1000</v>
      </c>
      <c r="GX14" s="3" t="s">
        <v>3736</v>
      </c>
      <c r="GZ14" s="3" t="s">
        <v>357</v>
      </c>
      <c r="HA14" s="3" t="s">
        <v>242</v>
      </c>
      <c r="HC14" s="8" t="s">
        <v>573</v>
      </c>
      <c r="HD14" s="12" t="s">
        <v>511</v>
      </c>
      <c r="HE14" s="3" t="s">
        <v>173</v>
      </c>
      <c r="HF14" s="3">
        <v>0.1</v>
      </c>
      <c r="HG14" s="3">
        <v>1000</v>
      </c>
      <c r="HH14" s="3" t="s">
        <v>512</v>
      </c>
      <c r="HI14" s="12" t="s">
        <v>575</v>
      </c>
      <c r="HJ14" s="3" t="s">
        <v>173</v>
      </c>
      <c r="HL14" s="8">
        <v>0</v>
      </c>
      <c r="HM14" s="8" t="s">
        <v>576</v>
      </c>
      <c r="HN14" s="12" t="s">
        <v>577</v>
      </c>
      <c r="HO14" s="3" t="s">
        <v>169</v>
      </c>
      <c r="HP14" s="3">
        <v>5000</v>
      </c>
      <c r="HQ14" s="3">
        <v>1</v>
      </c>
      <c r="HS14" s="3" t="s">
        <v>578</v>
      </c>
      <c r="HT14" s="8" t="s">
        <v>578</v>
      </c>
      <c r="HZ14" t="s">
        <v>579</v>
      </c>
      <c r="IC14" s="1540" t="str">
        <f t="shared" si="11"/>
        <v/>
      </c>
      <c r="ID1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4" s="1540">
        <f t="shared" si="10"/>
        <v>12</v>
      </c>
      <c r="IF14" s="1540">
        <f t="shared" si="8"/>
        <v>189</v>
      </c>
      <c r="IG14" s="1540" t="str">
        <f t="shared" si="9"/>
        <v>Neuronic whip</v>
      </c>
    </row>
    <row r="15" spans="1:241">
      <c r="A15" s="382" t="s">
        <v>3672</v>
      </c>
      <c r="J15" s="1323" t="s">
        <v>770</v>
      </c>
      <c r="K15" s="569" t="s">
        <v>7183</v>
      </c>
      <c r="L15" s="569" t="str">
        <f>J15</f>
        <v>Bith</v>
      </c>
      <c r="O15" s="3">
        <v>-2</v>
      </c>
      <c r="P15" s="3">
        <v>2</v>
      </c>
      <c r="R15" s="3">
        <v>2</v>
      </c>
      <c r="S15" s="569" t="s">
        <v>273</v>
      </c>
      <c r="T15" s="569" t="s">
        <v>770</v>
      </c>
      <c r="V15" s="569" t="s">
        <v>149</v>
      </c>
      <c r="W15" s="569">
        <v>12</v>
      </c>
      <c r="X15" s="569">
        <v>16</v>
      </c>
      <c r="Y15" s="569">
        <v>51</v>
      </c>
      <c r="Z15" s="569">
        <v>71</v>
      </c>
      <c r="AA15" s="569">
        <v>85</v>
      </c>
      <c r="AB15" s="569">
        <v>6</v>
      </c>
      <c r="AC15" s="569" t="s">
        <v>773</v>
      </c>
      <c r="AD15" s="569" t="s">
        <v>484</v>
      </c>
      <c r="AE15" s="3" t="s">
        <v>772</v>
      </c>
      <c r="BO15" t="s">
        <v>7315</v>
      </c>
      <c r="BV15" s="456" t="s">
        <v>7317</v>
      </c>
      <c r="BW15" s="12">
        <f t="shared" si="12"/>
        <v>12</v>
      </c>
      <c r="BX15" s="12" t="s">
        <v>931</v>
      </c>
      <c r="BY15" s="19" t="s">
        <v>173</v>
      </c>
      <c r="BZ15" s="19">
        <v>0.75</v>
      </c>
      <c r="CA15" s="19">
        <v>2</v>
      </c>
      <c r="CB15" s="19">
        <v>0</v>
      </c>
      <c r="CC15" s="19">
        <v>4</v>
      </c>
      <c r="CD15" s="19">
        <v>8</v>
      </c>
      <c r="CG15" s="19">
        <v>6</v>
      </c>
      <c r="CH15" s="19">
        <v>7</v>
      </c>
      <c r="CI15" s="3" t="s">
        <v>411</v>
      </c>
      <c r="CJ15" s="3" t="s">
        <v>932</v>
      </c>
      <c r="CK15" s="3" t="s">
        <v>933</v>
      </c>
      <c r="CO15" s="3" t="s">
        <v>934</v>
      </c>
      <c r="CP15" s="3" t="s">
        <v>935</v>
      </c>
      <c r="CQ15" s="3" t="s">
        <v>936</v>
      </c>
      <c r="CT15" s="3">
        <f t="shared" si="4"/>
        <v>0</v>
      </c>
      <c r="CU15" s="3">
        <f t="shared" si="5"/>
        <v>0</v>
      </c>
      <c r="CW15" s="17">
        <f>INT((CT15/2)+0.5)</f>
        <v>0</v>
      </c>
      <c r="CZ15" s="12" t="s">
        <v>755</v>
      </c>
      <c r="DA15" s="14" t="str">
        <f ca="1">IF(AND(Feats!M123&gt;0,CharacterLevel&gt;=7,Feats!M348&gt;0),CZ15,"")</f>
        <v/>
      </c>
      <c r="DB15" s="854" t="str">
        <f t="shared" ca="1" si="6"/>
        <v/>
      </c>
      <c r="DC15" s="12" t="s">
        <v>609</v>
      </c>
      <c r="DD15" t="s">
        <v>321</v>
      </c>
      <c r="DE15">
        <v>4</v>
      </c>
      <c r="DG15">
        <v>4</v>
      </c>
      <c r="DH15">
        <v>1</v>
      </c>
      <c r="DI15" t="s">
        <v>155</v>
      </c>
      <c r="DV15" s="1024" t="s">
        <v>195</v>
      </c>
      <c r="EB15" t="s">
        <v>610</v>
      </c>
      <c r="EJ15">
        <v>1500</v>
      </c>
      <c r="EK15">
        <v>8</v>
      </c>
      <c r="EL15" t="s">
        <v>611</v>
      </c>
      <c r="EM15" t="s">
        <v>612</v>
      </c>
      <c r="EN15" s="1323" t="s">
        <v>6998</v>
      </c>
      <c r="EO15" s="3" t="s">
        <v>6758</v>
      </c>
      <c r="EP15" s="3" t="s">
        <v>160</v>
      </c>
      <c r="EQ15" s="3" t="s">
        <v>460</v>
      </c>
      <c r="ER15" s="3" t="s">
        <v>1381</v>
      </c>
      <c r="ES15" s="19" t="s">
        <v>201</v>
      </c>
      <c r="EV15" s="19" t="s">
        <v>6999</v>
      </c>
      <c r="EZ15" s="3" t="s">
        <v>7000</v>
      </c>
      <c r="FA15" s="3" t="s">
        <v>204</v>
      </c>
      <c r="FC15" s="3" t="s">
        <v>7001</v>
      </c>
      <c r="FD15" s="3">
        <v>2</v>
      </c>
      <c r="FE15" s="3">
        <v>6</v>
      </c>
      <c r="FL15" s="3">
        <v>300</v>
      </c>
      <c r="FM15" s="3">
        <v>1.8</v>
      </c>
      <c r="FR15" s="3" t="s">
        <v>7002</v>
      </c>
      <c r="FS15" s="8" t="s">
        <v>7003</v>
      </c>
      <c r="FX15" s="12" t="s">
        <v>589</v>
      </c>
      <c r="FY15" s="3">
        <v>75</v>
      </c>
      <c r="FZ15" s="3">
        <v>1.2</v>
      </c>
      <c r="GA15" s="3" t="s">
        <v>590</v>
      </c>
      <c r="GB15" s="8" t="s">
        <v>591</v>
      </c>
      <c r="GC15" s="12" t="s">
        <v>329</v>
      </c>
      <c r="GD15" s="3" t="s">
        <v>155</v>
      </c>
      <c r="GE15" s="19">
        <v>25</v>
      </c>
      <c r="GF15" s="19">
        <v>0.1</v>
      </c>
      <c r="GG15" s="19" t="s">
        <v>249</v>
      </c>
      <c r="GH15" s="3" t="s">
        <v>330</v>
      </c>
      <c r="GI15" s="8" t="s">
        <v>331</v>
      </c>
      <c r="GJ15" s="12" t="s">
        <v>570</v>
      </c>
      <c r="GK15" s="3" t="s">
        <v>173</v>
      </c>
      <c r="GL15" s="3">
        <v>650</v>
      </c>
      <c r="GM15" s="3">
        <v>0.3</v>
      </c>
      <c r="GN15" s="3" t="s">
        <v>571</v>
      </c>
      <c r="GO15" s="8" t="s">
        <v>572</v>
      </c>
      <c r="GT15" s="12" t="s">
        <v>595</v>
      </c>
      <c r="GU15" s="3" t="s">
        <v>173</v>
      </c>
      <c r="GV15" s="3">
        <v>0.1</v>
      </c>
      <c r="GW15" s="3">
        <v>1000</v>
      </c>
      <c r="HC15" s="8" t="s">
        <v>596</v>
      </c>
      <c r="HD15" s="12" t="s">
        <v>226</v>
      </c>
      <c r="HE15" s="3" t="s">
        <v>173</v>
      </c>
      <c r="HF15" s="3">
        <v>0.1</v>
      </c>
      <c r="HG15" s="3">
        <v>1000</v>
      </c>
      <c r="HH15" s="3" t="s">
        <v>544</v>
      </c>
      <c r="HI15" s="12" t="s">
        <v>597</v>
      </c>
      <c r="HJ15" s="3" t="s">
        <v>169</v>
      </c>
      <c r="HK15" s="3">
        <v>200</v>
      </c>
      <c r="HL15" s="8">
        <v>1</v>
      </c>
      <c r="HN15" s="12" t="s">
        <v>598</v>
      </c>
      <c r="HO15" s="3" t="s">
        <v>169</v>
      </c>
      <c r="HP15" s="3">
        <v>200</v>
      </c>
      <c r="HQ15" s="3">
        <v>1</v>
      </c>
      <c r="HS15" s="3" t="s">
        <v>599</v>
      </c>
      <c r="HT15" s="8" t="s">
        <v>599</v>
      </c>
      <c r="HZ15" t="s">
        <v>600</v>
      </c>
      <c r="IC15" s="1540" t="str">
        <f t="shared" si="11"/>
        <v/>
      </c>
      <c r="ID1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5" s="1540">
        <f t="shared" si="10"/>
        <v>13</v>
      </c>
      <c r="IF15" s="1540">
        <f t="shared" si="8"/>
        <v>200</v>
      </c>
      <c r="IG15" s="1540" t="str">
        <f t="shared" si="9"/>
        <v>Ryyk blade</v>
      </c>
    </row>
    <row r="16" spans="1:241">
      <c r="A16" s="382" t="s">
        <v>3674</v>
      </c>
      <c r="B16" s="382" t="s">
        <v>3675</v>
      </c>
      <c r="C16" s="382" t="s">
        <v>3676</v>
      </c>
      <c r="D16" s="382" t="s">
        <v>3677</v>
      </c>
      <c r="E16" s="382" t="s">
        <v>3678</v>
      </c>
      <c r="F16" s="382" t="s">
        <v>3679</v>
      </c>
      <c r="J16" s="1323" t="s">
        <v>796</v>
      </c>
      <c r="K16" s="3" t="s">
        <v>377</v>
      </c>
      <c r="L16" s="3" t="s">
        <v>796</v>
      </c>
      <c r="M16" s="4"/>
      <c r="N16" s="4">
        <v>2</v>
      </c>
      <c r="O16" s="4"/>
      <c r="P16" s="4"/>
      <c r="Q16" s="4">
        <v>-2</v>
      </c>
      <c r="R16" s="4">
        <v>-2</v>
      </c>
      <c r="S16" s="3" t="s">
        <v>273</v>
      </c>
      <c r="T16" s="3" t="s">
        <v>797</v>
      </c>
      <c r="V16" s="3" t="s">
        <v>149</v>
      </c>
      <c r="W16" s="3">
        <v>13</v>
      </c>
      <c r="X16" s="3">
        <v>21</v>
      </c>
      <c r="Y16" s="3">
        <v>61</v>
      </c>
      <c r="Z16" s="3">
        <v>81</v>
      </c>
      <c r="AA16" s="3">
        <v>100</v>
      </c>
      <c r="AB16" s="3">
        <v>6</v>
      </c>
      <c r="AC16" s="3" t="s">
        <v>798</v>
      </c>
      <c r="AH16" s="3" t="s">
        <v>185</v>
      </c>
      <c r="BO16" t="s">
        <v>1292</v>
      </c>
      <c r="BP16" s="1552" t="s">
        <v>228</v>
      </c>
      <c r="BQ16" s="1552" t="s">
        <v>5810</v>
      </c>
      <c r="BR16" s="1552" t="s">
        <v>407</v>
      </c>
      <c r="BS16" s="569" t="s">
        <v>5810</v>
      </c>
      <c r="BT16" s="569" t="s">
        <v>228</v>
      </c>
      <c r="BU16" s="569" t="s">
        <v>407</v>
      </c>
      <c r="BV16" s="456" t="s">
        <v>5806</v>
      </c>
      <c r="BW16" s="12">
        <f t="shared" si="12"/>
        <v>13</v>
      </c>
      <c r="BX16" s="12" t="s">
        <v>487</v>
      </c>
      <c r="BY16" s="19" t="s">
        <v>155</v>
      </c>
      <c r="BZ16" s="19">
        <v>0.75</v>
      </c>
      <c r="CA16" s="19">
        <v>2</v>
      </c>
      <c r="CB16" s="19">
        <v>0</v>
      </c>
      <c r="CC16" s="19">
        <v>4</v>
      </c>
      <c r="CD16" s="19">
        <v>8</v>
      </c>
      <c r="CG16" s="19">
        <v>6</v>
      </c>
      <c r="CH16" s="19">
        <v>7</v>
      </c>
      <c r="CI16" s="3" t="s">
        <v>411</v>
      </c>
      <c r="CJ16" s="3" t="s">
        <v>488</v>
      </c>
      <c r="CK16" s="3" t="s">
        <v>489</v>
      </c>
      <c r="CP16" s="3" t="s">
        <v>490</v>
      </c>
      <c r="CQ16" s="3" t="s">
        <v>2147</v>
      </c>
      <c r="CT16" s="3">
        <f t="shared" si="4"/>
        <v>0</v>
      </c>
      <c r="CU16" s="3">
        <f t="shared" si="5"/>
        <v>0</v>
      </c>
      <c r="CW16" s="17">
        <f>CT16</f>
        <v>0</v>
      </c>
      <c r="CZ16" s="12" t="s">
        <v>775</v>
      </c>
      <c r="DA16" s="14" t="str">
        <f>IF(OR(INT(CT15/2)&gt;0),CZ16&amp;" "&amp;INT(CT15/2),"")</f>
        <v/>
      </c>
      <c r="DB16" s="854" t="str">
        <f t="shared" si="6"/>
        <v/>
      </c>
      <c r="DC16" s="12" t="s">
        <v>6053</v>
      </c>
      <c r="DD16" t="s">
        <v>321</v>
      </c>
      <c r="DE16">
        <v>5</v>
      </c>
      <c r="DF16">
        <v>2</v>
      </c>
      <c r="DG16">
        <v>3</v>
      </c>
      <c r="DH16">
        <v>1</v>
      </c>
      <c r="DI16" t="s">
        <v>6054</v>
      </c>
      <c r="DJ16" t="s">
        <v>89</v>
      </c>
      <c r="DV16" t="s">
        <v>195</v>
      </c>
      <c r="DX16" t="s">
        <v>456</v>
      </c>
      <c r="EB16" t="s">
        <v>610</v>
      </c>
      <c r="EJ16">
        <v>4000</v>
      </c>
      <c r="EK16" s="1074">
        <v>8</v>
      </c>
      <c r="EL16" t="s">
        <v>6055</v>
      </c>
      <c r="EM16" t="str">
        <f>"suits of "&amp;EL16</f>
        <v>suits of commando armor</v>
      </c>
      <c r="EN16" s="1323" t="s">
        <v>1982</v>
      </c>
      <c r="EO16" s="3" t="s">
        <v>155</v>
      </c>
      <c r="EP16" s="3" t="s">
        <v>160</v>
      </c>
      <c r="EQ16" s="3" t="s">
        <v>460</v>
      </c>
      <c r="ER16" s="3" t="s">
        <v>1381</v>
      </c>
      <c r="ES16" s="19" t="s">
        <v>201</v>
      </c>
      <c r="EZ16" s="3" t="s">
        <v>357</v>
      </c>
      <c r="FA16" s="3" t="s">
        <v>204</v>
      </c>
      <c r="FD16" s="3">
        <v>2</v>
      </c>
      <c r="FE16" s="3">
        <v>10</v>
      </c>
      <c r="FL16" s="3">
        <v>500</v>
      </c>
      <c r="FM16" s="3">
        <v>6</v>
      </c>
      <c r="FN16" s="3" t="s">
        <v>360</v>
      </c>
      <c r="FP16" s="3">
        <v>2</v>
      </c>
      <c r="FQ16" s="3" t="str">
        <f t="shared" ref="FQ16:FQ22" si="13">IF(EP16="R",IF(EQ16&lt;&gt;"EWP",ER16,"pistols"),"")</f>
        <v/>
      </c>
      <c r="FR16" s="3" t="s">
        <v>1983</v>
      </c>
      <c r="FS16" s="8" t="s">
        <v>1984</v>
      </c>
      <c r="FX16" s="12" t="s">
        <v>615</v>
      </c>
      <c r="FY16" s="3">
        <v>20</v>
      </c>
      <c r="FZ16" s="3">
        <v>0.1</v>
      </c>
      <c r="GA16" s="3" t="s">
        <v>616</v>
      </c>
      <c r="GB16" s="8" t="s">
        <v>617</v>
      </c>
      <c r="GC16" s="12" t="s">
        <v>172</v>
      </c>
      <c r="GD16" s="3" t="s">
        <v>173</v>
      </c>
      <c r="GE16" s="19">
        <v>2000</v>
      </c>
      <c r="GF16" s="19">
        <v>0.5</v>
      </c>
      <c r="GG16" s="19" t="s">
        <v>249</v>
      </c>
      <c r="GH16" s="3" t="s">
        <v>174</v>
      </c>
      <c r="GI16" s="8" t="s">
        <v>175</v>
      </c>
      <c r="GT16" s="12" t="s">
        <v>621</v>
      </c>
      <c r="GU16" s="3" t="s">
        <v>173</v>
      </c>
      <c r="GV16" s="3">
        <v>0.1</v>
      </c>
      <c r="GW16" s="3">
        <v>1000</v>
      </c>
      <c r="GX16" s="3" t="s">
        <v>3736</v>
      </c>
      <c r="GY16" s="569" t="s">
        <v>3739</v>
      </c>
      <c r="HC16" s="8" t="s">
        <v>622</v>
      </c>
      <c r="HD16" s="12" t="s">
        <v>266</v>
      </c>
      <c r="HE16" s="3" t="s">
        <v>173</v>
      </c>
      <c r="HF16" s="3">
        <v>0.1</v>
      </c>
      <c r="HG16" s="3">
        <v>1000</v>
      </c>
      <c r="HH16" s="3" t="s">
        <v>574</v>
      </c>
      <c r="HI16" s="12" t="s">
        <v>624</v>
      </c>
      <c r="HJ16" s="3" t="s">
        <v>173</v>
      </c>
      <c r="HL16" s="8">
        <v>0</v>
      </c>
      <c r="HM16" s="8" t="s">
        <v>625</v>
      </c>
      <c r="HN16" s="12" t="s">
        <v>626</v>
      </c>
      <c r="HO16" s="3" t="s">
        <v>169</v>
      </c>
      <c r="HP16" s="3">
        <v>2000</v>
      </c>
      <c r="HQ16" s="3">
        <v>2</v>
      </c>
      <c r="HS16" s="3" t="s">
        <v>599</v>
      </c>
      <c r="HT16" s="8" t="s">
        <v>599</v>
      </c>
      <c r="HZ16" t="s">
        <v>627</v>
      </c>
      <c r="IC16" s="1540" t="str">
        <f t="shared" si="11"/>
        <v/>
      </c>
      <c r="ID1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6" s="1540">
        <f t="shared" si="10"/>
        <v>14</v>
      </c>
      <c r="IF16" s="1540">
        <f t="shared" si="8"/>
        <v>207</v>
      </c>
      <c r="IG16" s="1540" t="str">
        <f t="shared" si="9"/>
        <v>Shyarn</v>
      </c>
    </row>
    <row r="17" spans="1:241">
      <c r="A17" s="555" t="s">
        <v>118</v>
      </c>
      <c r="B17" s="382" t="s">
        <v>118</v>
      </c>
      <c r="D17">
        <v>1</v>
      </c>
      <c r="F17">
        <v>2</v>
      </c>
      <c r="J17" s="1323" t="s">
        <v>257</v>
      </c>
      <c r="K17" s="3" t="s">
        <v>7942</v>
      </c>
      <c r="L17" s="3" t="s">
        <v>257</v>
      </c>
      <c r="M17" s="4"/>
      <c r="N17" s="4">
        <v>2</v>
      </c>
      <c r="O17" s="4">
        <v>-2</v>
      </c>
      <c r="P17" s="4"/>
      <c r="Q17" s="4"/>
      <c r="R17" s="4"/>
      <c r="S17" s="3" t="s">
        <v>273</v>
      </c>
      <c r="T17" s="3" t="s">
        <v>817</v>
      </c>
      <c r="V17" s="3" t="s">
        <v>149</v>
      </c>
      <c r="W17" s="3">
        <v>12</v>
      </c>
      <c r="X17" s="3">
        <v>17</v>
      </c>
      <c r="Y17" s="3">
        <v>46</v>
      </c>
      <c r="Z17" s="3">
        <v>66</v>
      </c>
      <c r="AA17" s="3">
        <v>85</v>
      </c>
      <c r="AB17" s="3">
        <v>6</v>
      </c>
      <c r="AH17" s="3" t="s">
        <v>342</v>
      </c>
      <c r="AQ17" s="3">
        <v>2</v>
      </c>
      <c r="BO17" t="s">
        <v>485</v>
      </c>
      <c r="BV17" s="456" t="s">
        <v>486</v>
      </c>
      <c r="BW17" s="12">
        <f t="shared" si="12"/>
        <v>14</v>
      </c>
      <c r="BX17" s="12" t="s">
        <v>1177</v>
      </c>
      <c r="BY17" s="19" t="s">
        <v>530</v>
      </c>
      <c r="BZ17" s="19">
        <v>1</v>
      </c>
      <c r="CA17" s="19">
        <v>2</v>
      </c>
      <c r="CB17" s="19">
        <v>2</v>
      </c>
      <c r="CC17" s="19">
        <v>2</v>
      </c>
      <c r="CD17" s="19">
        <v>10</v>
      </c>
      <c r="CG17" s="19">
        <v>6</v>
      </c>
      <c r="CH17" s="19">
        <v>7</v>
      </c>
      <c r="CI17" s="3" t="s">
        <v>411</v>
      </c>
      <c r="CJ17" s="3" t="s">
        <v>1178</v>
      </c>
      <c r="CK17" s="3" t="s">
        <v>1179</v>
      </c>
      <c r="CL17" s="3" t="s">
        <v>1016</v>
      </c>
      <c r="CP17" s="3" t="s">
        <v>1180</v>
      </c>
      <c r="CQ17" s="3" t="s">
        <v>1181</v>
      </c>
      <c r="CT17" s="3">
        <f t="shared" si="4"/>
        <v>0</v>
      </c>
      <c r="CU17" s="3">
        <f t="shared" si="5"/>
        <v>0</v>
      </c>
      <c r="CW17" s="17">
        <f t="shared" ref="CW17:CW39" si="14">INT((CT17/2)+0.5)</f>
        <v>0</v>
      </c>
      <c r="CZ17" s="12" t="s">
        <v>801</v>
      </c>
      <c r="DA17" s="14" t="str">
        <f>IF(OR(INT(CT22/2)&gt;0),CZ17&amp;" "&amp;INT(CT22/2),"")</f>
        <v/>
      </c>
      <c r="DB17" s="854" t="str">
        <f t="shared" si="6"/>
        <v/>
      </c>
      <c r="DC17" s="12" t="s">
        <v>6022</v>
      </c>
      <c r="DD17" t="s">
        <v>321</v>
      </c>
      <c r="DE17">
        <v>6</v>
      </c>
      <c r="DF17">
        <v>2</v>
      </c>
      <c r="DG17">
        <v>3</v>
      </c>
      <c r="DH17" s="1024">
        <v>1</v>
      </c>
      <c r="DI17" t="s">
        <v>6029</v>
      </c>
      <c r="DJ17" t="s">
        <v>283</v>
      </c>
      <c r="DV17" t="s">
        <v>195</v>
      </c>
      <c r="DX17" t="s">
        <v>417</v>
      </c>
      <c r="DY17" t="s">
        <v>284</v>
      </c>
      <c r="EB17" s="873" t="s">
        <v>196</v>
      </c>
      <c r="EC17" s="382" t="s">
        <v>118</v>
      </c>
      <c r="EJ17">
        <v>8000</v>
      </c>
      <c r="EK17">
        <v>8.9</v>
      </c>
      <c r="EL17" t="s">
        <v>6022</v>
      </c>
      <c r="EM17" t="str">
        <f>"suits of "&amp;EL17</f>
        <v>suits of Coruscant Guard armor</v>
      </c>
      <c r="EN17" s="1323" t="s">
        <v>1986</v>
      </c>
      <c r="EO17" s="3" t="s">
        <v>155</v>
      </c>
      <c r="EP17" s="3" t="s">
        <v>160</v>
      </c>
      <c r="EQ17" s="3" t="s">
        <v>460</v>
      </c>
      <c r="ER17" s="3" t="s">
        <v>1381</v>
      </c>
      <c r="ES17" s="19" t="s">
        <v>149</v>
      </c>
      <c r="EZ17" s="3" t="s">
        <v>242</v>
      </c>
      <c r="FA17" s="3" t="s">
        <v>321</v>
      </c>
      <c r="FD17" s="3">
        <v>2</v>
      </c>
      <c r="FE17" s="3">
        <v>6</v>
      </c>
      <c r="FL17" s="3">
        <v>350</v>
      </c>
      <c r="FM17" s="3">
        <v>1</v>
      </c>
      <c r="FN17" s="3" t="s">
        <v>360</v>
      </c>
      <c r="FP17" s="3">
        <v>1</v>
      </c>
      <c r="FQ17" s="3" t="str">
        <f t="shared" si="13"/>
        <v/>
      </c>
      <c r="FR17" s="3" t="s">
        <v>1987</v>
      </c>
      <c r="FS17" s="8" t="s">
        <v>1988</v>
      </c>
      <c r="FX17" s="12" t="s">
        <v>655</v>
      </c>
      <c r="FY17" s="3">
        <v>750</v>
      </c>
      <c r="FZ17" s="3">
        <v>15</v>
      </c>
      <c r="GA17" s="3" t="s">
        <v>656</v>
      </c>
      <c r="GB17" s="8" t="s">
        <v>657</v>
      </c>
      <c r="GC17" s="12" t="s">
        <v>391</v>
      </c>
      <c r="GD17" s="3" t="s">
        <v>155</v>
      </c>
      <c r="GE17" s="19">
        <v>100000</v>
      </c>
      <c r="GF17" s="19">
        <v>500</v>
      </c>
      <c r="GG17" s="19" t="s">
        <v>201</v>
      </c>
      <c r="GH17" s="3" t="s">
        <v>392</v>
      </c>
      <c r="GI17" s="8" t="s">
        <v>393</v>
      </c>
      <c r="GT17" s="12" t="s">
        <v>661</v>
      </c>
      <c r="GU17" s="3" t="s">
        <v>173</v>
      </c>
      <c r="GV17" s="3">
        <v>0.2</v>
      </c>
      <c r="GW17" s="3">
        <v>0</v>
      </c>
      <c r="HC17" s="8" t="s">
        <v>337</v>
      </c>
      <c r="HD17" s="12" t="s">
        <v>595</v>
      </c>
      <c r="HE17" s="3" t="s">
        <v>173</v>
      </c>
      <c r="HF17" s="3">
        <v>0.1</v>
      </c>
      <c r="HG17" s="3">
        <v>1000</v>
      </c>
      <c r="HH17" s="3" t="s">
        <v>596</v>
      </c>
      <c r="HI17" s="12" t="s">
        <v>662</v>
      </c>
      <c r="HJ17" s="3" t="s">
        <v>173</v>
      </c>
      <c r="HK17" s="3">
        <v>1200</v>
      </c>
      <c r="HL17" s="8">
        <v>1</v>
      </c>
      <c r="HM17" s="8" t="s">
        <v>663</v>
      </c>
      <c r="HN17" s="12" t="s">
        <v>664</v>
      </c>
      <c r="HO17" s="3" t="s">
        <v>169</v>
      </c>
      <c r="HP17" s="3">
        <v>500</v>
      </c>
      <c r="HQ17" s="3">
        <v>1</v>
      </c>
      <c r="HS17" s="3" t="s">
        <v>599</v>
      </c>
      <c r="HT17" s="8" t="s">
        <v>599</v>
      </c>
      <c r="HZ17" t="s">
        <v>550</v>
      </c>
      <c r="IC17" s="1540" t="str">
        <f t="shared" si="11"/>
        <v/>
      </c>
      <c r="ID1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7" s="1540">
        <f t="shared" si="10"/>
        <v>15</v>
      </c>
      <c r="IF17" s="1540">
        <f t="shared" si="8"/>
        <v>221</v>
      </c>
      <c r="IG17" s="1540" t="str">
        <f t="shared" si="9"/>
        <v>Tehk'la blade</v>
      </c>
    </row>
    <row r="18" spans="1:241">
      <c r="A18" s="382" t="s">
        <v>779</v>
      </c>
      <c r="B18" s="382" t="s">
        <v>3673</v>
      </c>
      <c r="C18">
        <v>0.5</v>
      </c>
      <c r="D18">
        <v>5</v>
      </c>
      <c r="E18">
        <v>25</v>
      </c>
      <c r="F18">
        <v>1</v>
      </c>
      <c r="J18" s="1323" t="s">
        <v>837</v>
      </c>
      <c r="K18" s="3" t="s">
        <v>230</v>
      </c>
      <c r="L18" s="3" t="s">
        <v>837</v>
      </c>
      <c r="M18" s="4">
        <v>-2</v>
      </c>
      <c r="N18" s="4"/>
      <c r="O18" s="4">
        <v>-2</v>
      </c>
      <c r="P18" s="4"/>
      <c r="Q18" s="4">
        <v>4</v>
      </c>
      <c r="R18" s="4"/>
      <c r="S18" s="3" t="s">
        <v>273</v>
      </c>
      <c r="T18" s="3" t="s">
        <v>837</v>
      </c>
      <c r="V18" s="3" t="s">
        <v>149</v>
      </c>
      <c r="W18" s="3">
        <v>12</v>
      </c>
      <c r="X18" s="3">
        <v>16</v>
      </c>
      <c r="Y18" s="3">
        <v>50</v>
      </c>
      <c r="Z18" s="3">
        <v>77</v>
      </c>
      <c r="AA18" s="3">
        <v>90</v>
      </c>
      <c r="AB18" s="3">
        <v>6</v>
      </c>
      <c r="AC18" s="3" t="s">
        <v>232</v>
      </c>
      <c r="AD18" s="3" t="s">
        <v>838</v>
      </c>
      <c r="AE18" s="3" t="s">
        <v>839</v>
      </c>
      <c r="BO18" t="s">
        <v>189</v>
      </c>
      <c r="BV18" s="456" t="s">
        <v>551</v>
      </c>
      <c r="BW18" s="12">
        <f t="shared" si="12"/>
        <v>15</v>
      </c>
      <c r="BX18" s="12" t="s">
        <v>520</v>
      </c>
      <c r="BY18" s="19" t="s">
        <v>155</v>
      </c>
      <c r="BZ18" s="19">
        <v>1</v>
      </c>
      <c r="CA18" s="19">
        <v>2</v>
      </c>
      <c r="CB18" s="19">
        <v>4</v>
      </c>
      <c r="CC18" s="19">
        <v>0</v>
      </c>
      <c r="CD18" s="19">
        <v>12</v>
      </c>
      <c r="CG18" s="19">
        <v>6</v>
      </c>
      <c r="CH18" s="19">
        <v>7</v>
      </c>
      <c r="CI18" s="3" t="s">
        <v>521</v>
      </c>
      <c r="CJ18" s="3" t="s">
        <v>522</v>
      </c>
      <c r="CK18" s="3" t="s">
        <v>523</v>
      </c>
      <c r="CP18" s="3" t="s">
        <v>524</v>
      </c>
      <c r="CQ18" s="3" t="s">
        <v>2148</v>
      </c>
      <c r="CT18" s="3">
        <f t="shared" si="4"/>
        <v>0</v>
      </c>
      <c r="CU18" s="3">
        <f t="shared" si="5"/>
        <v>0</v>
      </c>
      <c r="CW18" s="17">
        <f t="shared" si="14"/>
        <v>0</v>
      </c>
      <c r="CZ18" s="12" t="s">
        <v>821</v>
      </c>
      <c r="DA18" s="14" t="str">
        <f>IF(OR(INT(CT31/2)&gt;0),CZ18&amp;" "&amp;INT(CT31/2),"")</f>
        <v/>
      </c>
      <c r="DB18" s="854" t="str">
        <f t="shared" si="6"/>
        <v/>
      </c>
      <c r="DC18" s="12" t="s">
        <v>4454</v>
      </c>
      <c r="DD18" t="s">
        <v>321</v>
      </c>
      <c r="DE18">
        <v>4</v>
      </c>
      <c r="DF18">
        <v>3</v>
      </c>
      <c r="DG18">
        <v>3</v>
      </c>
      <c r="DH18">
        <v>1</v>
      </c>
      <c r="DI18" t="s">
        <v>3800</v>
      </c>
      <c r="DV18" s="1364"/>
      <c r="EB18" s="873" t="s">
        <v>3719</v>
      </c>
      <c r="EC18" s="382" t="s">
        <v>118</v>
      </c>
      <c r="EJ18">
        <v>10000</v>
      </c>
      <c r="EK18">
        <v>10</v>
      </c>
      <c r="EL18" t="s">
        <v>4462</v>
      </c>
      <c r="EM18" t="str">
        <f>"suits of "&amp;EL18</f>
        <v>suits of light dark armor</v>
      </c>
      <c r="EN18" s="1323" t="s">
        <v>1989</v>
      </c>
      <c r="EO18" s="3" t="s">
        <v>155</v>
      </c>
      <c r="EP18" s="3" t="s">
        <v>160</v>
      </c>
      <c r="EQ18" s="3" t="s">
        <v>460</v>
      </c>
      <c r="ER18" s="3" t="s">
        <v>1381</v>
      </c>
      <c r="ES18" s="19" t="s">
        <v>274</v>
      </c>
      <c r="ET18" s="19" t="s">
        <v>321</v>
      </c>
      <c r="EZ18" s="3" t="s">
        <v>1404</v>
      </c>
      <c r="FA18" s="3" t="s">
        <v>321</v>
      </c>
      <c r="FD18" s="3">
        <v>2</v>
      </c>
      <c r="FE18" s="3">
        <v>6</v>
      </c>
      <c r="FL18" s="3">
        <v>250</v>
      </c>
      <c r="FM18" s="3">
        <v>1.8</v>
      </c>
      <c r="FN18" s="3" t="s">
        <v>360</v>
      </c>
      <c r="FP18" s="3">
        <v>1</v>
      </c>
      <c r="FQ18" s="3" t="str">
        <f t="shared" si="13"/>
        <v/>
      </c>
      <c r="FR18" s="3" t="s">
        <v>1990</v>
      </c>
      <c r="FS18" s="8" t="s">
        <v>1991</v>
      </c>
      <c r="FX18" s="12" t="s">
        <v>424</v>
      </c>
      <c r="FY18" s="3">
        <v>25</v>
      </c>
      <c r="FZ18" s="3">
        <v>0.1</v>
      </c>
      <c r="GA18" s="3" t="s">
        <v>675</v>
      </c>
      <c r="GB18" s="8" t="s">
        <v>676</v>
      </c>
      <c r="GC18" s="12" t="s">
        <v>429</v>
      </c>
      <c r="GD18" s="3" t="s">
        <v>155</v>
      </c>
      <c r="GE18" s="19">
        <v>100</v>
      </c>
      <c r="GF18" s="19">
        <v>2</v>
      </c>
      <c r="GG18" s="19" t="s">
        <v>170</v>
      </c>
      <c r="GH18" s="3" t="s">
        <v>430</v>
      </c>
      <c r="GI18" s="8" t="s">
        <v>431</v>
      </c>
      <c r="GT18" s="12" t="s">
        <v>680</v>
      </c>
      <c r="GU18" s="3" t="s">
        <v>173</v>
      </c>
      <c r="GV18" s="3">
        <v>0</v>
      </c>
      <c r="GW18" s="3">
        <v>0</v>
      </c>
      <c r="HC18" s="561" t="s">
        <v>3702</v>
      </c>
      <c r="HD18" s="12" t="s">
        <v>3692</v>
      </c>
      <c r="HE18" s="569" t="s">
        <v>771</v>
      </c>
      <c r="HF18" s="569">
        <v>0</v>
      </c>
      <c r="HG18" s="569">
        <v>30000</v>
      </c>
      <c r="HH18" s="569" t="s">
        <v>4045</v>
      </c>
      <c r="HI18" s="12" t="s">
        <v>682</v>
      </c>
      <c r="HJ18" s="3" t="s">
        <v>173</v>
      </c>
      <c r="HK18" s="3">
        <v>4000</v>
      </c>
      <c r="HL18" s="8">
        <v>1</v>
      </c>
      <c r="HM18" s="8" t="s">
        <v>683</v>
      </c>
      <c r="HN18" s="12" t="s">
        <v>684</v>
      </c>
      <c r="HO18" s="3" t="s">
        <v>169</v>
      </c>
      <c r="HP18" s="3">
        <v>1000</v>
      </c>
      <c r="HQ18" s="3">
        <v>1</v>
      </c>
      <c r="HS18" s="3" t="s">
        <v>599</v>
      </c>
      <c r="HT18" s="8" t="s">
        <v>599</v>
      </c>
      <c r="HZ18" t="s">
        <v>190</v>
      </c>
      <c r="IC18" s="1540" t="str">
        <f t="shared" si="11"/>
        <v/>
      </c>
      <c r="ID1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8" s="1540">
        <f t="shared" si="10"/>
        <v>16</v>
      </c>
      <c r="IF18" s="1540">
        <f t="shared" si="8"/>
        <v>231</v>
      </c>
      <c r="IG18" s="1540" t="str">
        <f t="shared" si="9"/>
        <v>Vibro-saw</v>
      </c>
    </row>
    <row r="19" spans="1:241">
      <c r="A19" s="382" t="s">
        <v>160</v>
      </c>
      <c r="B19" s="382" t="s">
        <v>196</v>
      </c>
      <c r="C19">
        <v>0.2</v>
      </c>
      <c r="D19">
        <v>4</v>
      </c>
      <c r="E19">
        <v>20</v>
      </c>
      <c r="F19">
        <v>1</v>
      </c>
      <c r="J19" s="1323" t="s">
        <v>877</v>
      </c>
      <c r="K19" s="3" t="s">
        <v>269</v>
      </c>
      <c r="L19" s="3" t="s">
        <v>877</v>
      </c>
      <c r="M19" s="4"/>
      <c r="N19" s="4">
        <v>2</v>
      </c>
      <c r="O19" s="4"/>
      <c r="P19" s="4">
        <v>-2</v>
      </c>
      <c r="Q19" s="4"/>
      <c r="R19" s="4"/>
      <c r="S19" s="3" t="s">
        <v>273</v>
      </c>
      <c r="T19" s="3" t="s">
        <v>878</v>
      </c>
      <c r="V19" s="3" t="s">
        <v>149</v>
      </c>
      <c r="W19" s="3">
        <v>11</v>
      </c>
      <c r="X19" s="3">
        <v>16</v>
      </c>
      <c r="Y19" s="3">
        <v>41</v>
      </c>
      <c r="Z19" s="3">
        <v>63</v>
      </c>
      <c r="AA19" s="3">
        <v>80</v>
      </c>
      <c r="AB19" s="3">
        <v>8</v>
      </c>
      <c r="AC19" s="3" t="s">
        <v>879</v>
      </c>
      <c r="AD19" s="3" t="s">
        <v>752</v>
      </c>
      <c r="AK19" s="3" t="s">
        <v>228</v>
      </c>
      <c r="AL19" s="3" t="s">
        <v>559</v>
      </c>
      <c r="BF19" s="3" t="s">
        <v>631</v>
      </c>
      <c r="BG19" s="3" t="str">
        <f ca="1">"1d"&amp;MIN(12,UnarmedDieIncreases*2+6)</f>
        <v>1d6</v>
      </c>
      <c r="BH19" s="3" t="s">
        <v>633</v>
      </c>
      <c r="BO19" t="s">
        <v>7972</v>
      </c>
      <c r="BV19" s="456" t="s">
        <v>7990</v>
      </c>
      <c r="BW19" s="12">
        <f t="shared" si="12"/>
        <v>16</v>
      </c>
      <c r="BX19" s="12" t="s">
        <v>992</v>
      </c>
      <c r="BY19" s="19" t="s">
        <v>272</v>
      </c>
      <c r="BZ19" s="19">
        <v>0.75</v>
      </c>
      <c r="CA19" s="19">
        <v>4</v>
      </c>
      <c r="CB19" s="19">
        <v>0</v>
      </c>
      <c r="CC19" s="19">
        <v>2</v>
      </c>
      <c r="CD19" s="19">
        <v>8</v>
      </c>
      <c r="CG19" s="19">
        <v>6</v>
      </c>
      <c r="CH19" s="19">
        <v>7</v>
      </c>
      <c r="CI19" s="3" t="s">
        <v>411</v>
      </c>
      <c r="CJ19" s="3" t="s">
        <v>993</v>
      </c>
      <c r="CK19" s="3" t="s">
        <v>994</v>
      </c>
      <c r="CO19" s="3" t="s">
        <v>995</v>
      </c>
      <c r="CP19" s="3" t="s">
        <v>996</v>
      </c>
      <c r="CQ19" s="3" t="s">
        <v>997</v>
      </c>
      <c r="CT19" s="3">
        <f t="shared" si="4"/>
        <v>0</v>
      </c>
      <c r="CU19" s="3">
        <f t="shared" si="5"/>
        <v>0</v>
      </c>
      <c r="CW19" s="17">
        <f t="shared" si="14"/>
        <v>0</v>
      </c>
      <c r="CZ19" s="12" t="s">
        <v>842</v>
      </c>
      <c r="DA19" s="14" t="str">
        <f>IF(OR(INT(CT19/2)&gt;0),CZ19,"")</f>
        <v/>
      </c>
      <c r="DB19" s="854" t="str">
        <f t="shared" si="6"/>
        <v/>
      </c>
      <c r="DC19" s="12" t="s">
        <v>6023</v>
      </c>
      <c r="DD19" t="s">
        <v>321</v>
      </c>
      <c r="DE19">
        <v>6</v>
      </c>
      <c r="DF19">
        <v>2</v>
      </c>
      <c r="DG19">
        <v>3</v>
      </c>
      <c r="DH19" s="1024">
        <v>1</v>
      </c>
      <c r="DI19" t="s">
        <v>6029</v>
      </c>
      <c r="DJ19" t="s">
        <v>283</v>
      </c>
      <c r="DV19" s="570" t="s">
        <v>6024</v>
      </c>
      <c r="DX19" t="s">
        <v>417</v>
      </c>
      <c r="DY19" t="s">
        <v>284</v>
      </c>
      <c r="EB19" s="873" t="s">
        <v>196</v>
      </c>
      <c r="EC19" s="382" t="s">
        <v>118</v>
      </c>
      <c r="EJ19">
        <v>8000</v>
      </c>
      <c r="EK19">
        <v>8.9</v>
      </c>
      <c r="EL19" t="s">
        <v>6023</v>
      </c>
      <c r="EM19" t="str">
        <f>"suits of "&amp;EL19</f>
        <v>suits of EVO trooper armor</v>
      </c>
      <c r="EN19" s="1323" t="s">
        <v>1993</v>
      </c>
      <c r="EO19" s="3" t="s">
        <v>173</v>
      </c>
      <c r="EP19" s="3" t="s">
        <v>160</v>
      </c>
      <c r="EQ19" s="3" t="s">
        <v>460</v>
      </c>
      <c r="ER19" s="3" t="s">
        <v>1381</v>
      </c>
      <c r="ES19" s="19" t="s">
        <v>149</v>
      </c>
      <c r="EZ19" s="3" t="s">
        <v>1404</v>
      </c>
      <c r="FA19" s="3" t="s">
        <v>321</v>
      </c>
      <c r="FD19" s="3">
        <v>2</v>
      </c>
      <c r="FE19" s="3">
        <v>6</v>
      </c>
      <c r="FL19" s="3">
        <v>60</v>
      </c>
      <c r="FM19" s="3">
        <v>2</v>
      </c>
      <c r="FN19" s="3" t="s">
        <v>360</v>
      </c>
      <c r="FQ19" s="3" t="str">
        <f t="shared" si="13"/>
        <v/>
      </c>
      <c r="FR19" s="3" t="s">
        <v>1994</v>
      </c>
      <c r="FS19" s="8" t="s">
        <v>1995</v>
      </c>
      <c r="FX19" s="12" t="s">
        <v>697</v>
      </c>
      <c r="FY19" s="3">
        <v>20</v>
      </c>
      <c r="FZ19" s="3">
        <v>0.8</v>
      </c>
      <c r="GA19" s="3" t="s">
        <v>698</v>
      </c>
      <c r="GB19" s="8" t="s">
        <v>699</v>
      </c>
      <c r="GC19" s="12" t="s">
        <v>467</v>
      </c>
      <c r="GD19" s="3" t="s">
        <v>155</v>
      </c>
      <c r="GE19" s="19">
        <v>100</v>
      </c>
      <c r="GF19" s="19">
        <v>2</v>
      </c>
      <c r="GG19" s="19" t="s">
        <v>170</v>
      </c>
      <c r="GH19" s="3" t="s">
        <v>468</v>
      </c>
      <c r="GI19" s="8" t="s">
        <v>469</v>
      </c>
      <c r="GT19" s="12" t="s">
        <v>702</v>
      </c>
      <c r="GU19" s="3" t="s">
        <v>173</v>
      </c>
      <c r="GV19" s="3">
        <v>0</v>
      </c>
      <c r="GW19" s="3">
        <v>0</v>
      </c>
      <c r="HC19" s="561" t="s">
        <v>3703</v>
      </c>
      <c r="HD19" s="12" t="s">
        <v>621</v>
      </c>
      <c r="HE19" s="3" t="s">
        <v>173</v>
      </c>
      <c r="HF19" s="3">
        <v>0.1</v>
      </c>
      <c r="HG19" s="3">
        <v>1000</v>
      </c>
      <c r="HH19" s="3" t="s">
        <v>623</v>
      </c>
      <c r="HI19" s="12" t="s">
        <v>704</v>
      </c>
      <c r="HJ19" s="3" t="s">
        <v>169</v>
      </c>
      <c r="HK19" s="3">
        <v>3000</v>
      </c>
      <c r="HL19" s="8">
        <v>1</v>
      </c>
      <c r="HM19" s="8" t="s">
        <v>705</v>
      </c>
      <c r="HN19" s="12" t="s">
        <v>706</v>
      </c>
      <c r="HO19" s="3" t="s">
        <v>155</v>
      </c>
      <c r="HP19" s="3">
        <v>250</v>
      </c>
      <c r="HQ19" s="3">
        <v>0</v>
      </c>
      <c r="HR19" s="3">
        <v>0.1</v>
      </c>
      <c r="HS19" s="3" t="s">
        <v>707</v>
      </c>
      <c r="HZ19" t="s">
        <v>347</v>
      </c>
      <c r="IC19" s="1540" t="str">
        <f t="shared" si="11"/>
        <v/>
      </c>
      <c r="ID1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9" s="1540">
        <f t="shared" si="10"/>
        <v>17</v>
      </c>
      <c r="IF19" s="1540">
        <f t="shared" si="8"/>
        <v>240</v>
      </c>
      <c r="IG19" s="1540" t="str">
        <f t="shared" si="9"/>
        <v>Wan-shen</v>
      </c>
    </row>
    <row r="20" spans="1:241">
      <c r="A20" s="382" t="s">
        <v>204</v>
      </c>
      <c r="B20" s="382" t="s">
        <v>285</v>
      </c>
      <c r="C20">
        <v>0.1</v>
      </c>
      <c r="D20">
        <v>3</v>
      </c>
      <c r="E20">
        <v>15</v>
      </c>
      <c r="F20">
        <v>1</v>
      </c>
      <c r="J20" s="1323" t="s">
        <v>895</v>
      </c>
      <c r="K20" s="569" t="s">
        <v>3814</v>
      </c>
      <c r="L20" s="569" t="s">
        <v>895</v>
      </c>
      <c r="M20" s="4"/>
      <c r="N20" s="4">
        <v>-2</v>
      </c>
      <c r="O20" s="4"/>
      <c r="P20" s="4">
        <v>2</v>
      </c>
      <c r="Q20" s="4"/>
      <c r="R20" s="4"/>
      <c r="S20" s="569" t="s">
        <v>5943</v>
      </c>
      <c r="V20" s="569" t="s">
        <v>149</v>
      </c>
      <c r="AB20" s="3" t="s">
        <v>5944</v>
      </c>
      <c r="AC20" s="569" t="s">
        <v>896</v>
      </c>
      <c r="AD20" s="569" t="s">
        <v>448</v>
      </c>
      <c r="AE20" s="569" t="s">
        <v>5945</v>
      </c>
      <c r="BO20" t="s">
        <v>638</v>
      </c>
      <c r="BV20" s="456" t="s">
        <v>639</v>
      </c>
      <c r="BW20" s="12">
        <f t="shared" si="12"/>
        <v>17</v>
      </c>
      <c r="BX20" s="12" t="s">
        <v>552</v>
      </c>
      <c r="BY20" s="19" t="s">
        <v>155</v>
      </c>
      <c r="BZ20" s="19">
        <v>0.75</v>
      </c>
      <c r="CA20" s="19">
        <v>2</v>
      </c>
      <c r="CB20" s="19">
        <v>2</v>
      </c>
      <c r="CC20" s="19">
        <v>4</v>
      </c>
      <c r="CD20" s="19">
        <v>8</v>
      </c>
      <c r="CG20" s="19">
        <v>6</v>
      </c>
      <c r="CH20" s="19">
        <v>7</v>
      </c>
      <c r="CI20" s="3" t="s">
        <v>411</v>
      </c>
      <c r="CJ20" s="3" t="s">
        <v>553</v>
      </c>
      <c r="CK20" s="3" t="s">
        <v>554</v>
      </c>
      <c r="CL20" s="3" t="s">
        <v>555</v>
      </c>
      <c r="CP20" s="3" t="s">
        <v>556</v>
      </c>
      <c r="CQ20" s="3" t="s">
        <v>2149</v>
      </c>
      <c r="CT20" s="3">
        <f t="shared" si="4"/>
        <v>0</v>
      </c>
      <c r="CU20" s="3">
        <f t="shared" si="5"/>
        <v>0</v>
      </c>
      <c r="CW20" s="17">
        <f t="shared" si="14"/>
        <v>0</v>
      </c>
      <c r="CX20" s="3">
        <f>INT(CT20/2)</f>
        <v>0</v>
      </c>
      <c r="CZ20" s="12" t="s">
        <v>861</v>
      </c>
      <c r="DA20" s="14" t="str">
        <f>IF(OR(INT(CT19/2)&gt;0),CZ20&amp;" "&amp;INT(CT19/2),"")</f>
        <v/>
      </c>
      <c r="DB20" s="854" t="str">
        <f t="shared" si="6"/>
        <v/>
      </c>
      <c r="DC20" s="12" t="s">
        <v>822</v>
      </c>
      <c r="DD20" t="s">
        <v>321</v>
      </c>
      <c r="DE20">
        <v>4</v>
      </c>
      <c r="DF20">
        <v>1</v>
      </c>
      <c r="DG20">
        <v>2</v>
      </c>
      <c r="DH20" s="1024">
        <v>1</v>
      </c>
      <c r="DI20" t="s">
        <v>173</v>
      </c>
      <c r="DV20" t="s">
        <v>823</v>
      </c>
      <c r="EB20" s="873" t="s">
        <v>610</v>
      </c>
      <c r="EJ20">
        <v>3000</v>
      </c>
      <c r="EK20">
        <v>10</v>
      </c>
      <c r="EL20" t="s">
        <v>824</v>
      </c>
      <c r="EM20" t="s">
        <v>825</v>
      </c>
      <c r="EN20" s="1323" t="s">
        <v>1997</v>
      </c>
      <c r="EO20" s="3" t="s">
        <v>1998</v>
      </c>
      <c r="EP20" s="3" t="s">
        <v>160</v>
      </c>
      <c r="EQ20" s="3" t="s">
        <v>460</v>
      </c>
      <c r="ER20" s="3" t="s">
        <v>1381</v>
      </c>
      <c r="ES20" s="19" t="s">
        <v>201</v>
      </c>
      <c r="EU20" s="19" t="s">
        <v>202</v>
      </c>
      <c r="EZ20" s="3" t="s">
        <v>357</v>
      </c>
      <c r="FA20" s="3" t="s">
        <v>321</v>
      </c>
      <c r="FD20" s="3">
        <v>2</v>
      </c>
      <c r="FE20" s="3">
        <v>6</v>
      </c>
      <c r="FG20" s="3">
        <v>2</v>
      </c>
      <c r="FH20" s="3">
        <v>6</v>
      </c>
      <c r="FL20" s="3">
        <v>550</v>
      </c>
      <c r="FM20" s="3">
        <v>4</v>
      </c>
      <c r="FN20" s="3" t="s">
        <v>360</v>
      </c>
      <c r="FP20" s="3">
        <v>2</v>
      </c>
      <c r="FQ20" s="3" t="str">
        <f t="shared" si="13"/>
        <v/>
      </c>
      <c r="FR20" s="3" t="s">
        <v>1999</v>
      </c>
      <c r="FS20" s="8" t="s">
        <v>2000</v>
      </c>
      <c r="FX20" s="12" t="s">
        <v>719</v>
      </c>
      <c r="FY20" s="3">
        <v>40</v>
      </c>
      <c r="FZ20" s="3">
        <v>0.2</v>
      </c>
      <c r="GA20" s="3" t="s">
        <v>720</v>
      </c>
      <c r="GB20" s="8" t="s">
        <v>721</v>
      </c>
      <c r="GC20" s="12" t="s">
        <v>504</v>
      </c>
      <c r="GD20" s="3" t="s">
        <v>155</v>
      </c>
      <c r="GE20" s="19">
        <v>50</v>
      </c>
      <c r="GF20" s="19">
        <v>0.5</v>
      </c>
      <c r="GG20" s="19" t="s">
        <v>249</v>
      </c>
      <c r="GH20" s="3" t="s">
        <v>505</v>
      </c>
      <c r="GI20" s="8" t="s">
        <v>505</v>
      </c>
      <c r="GT20" s="12" t="s">
        <v>725</v>
      </c>
      <c r="GU20" s="3" t="s">
        <v>173</v>
      </c>
      <c r="GV20" s="3">
        <v>0</v>
      </c>
      <c r="GW20" s="3">
        <v>0</v>
      </c>
      <c r="HC20" s="561" t="s">
        <v>3699</v>
      </c>
      <c r="HD20" s="12" t="s">
        <v>661</v>
      </c>
      <c r="HE20" s="3" t="s">
        <v>173</v>
      </c>
      <c r="HF20" s="3">
        <v>0.2</v>
      </c>
      <c r="HG20" s="3">
        <v>0</v>
      </c>
      <c r="HH20" s="3" t="s">
        <v>338</v>
      </c>
      <c r="HI20" s="12" t="s">
        <v>727</v>
      </c>
      <c r="HJ20" s="3" t="s">
        <v>173</v>
      </c>
      <c r="HL20" s="8">
        <v>0</v>
      </c>
      <c r="HM20" s="8" t="s">
        <v>728</v>
      </c>
      <c r="HN20" s="12" t="s">
        <v>729</v>
      </c>
      <c r="HO20" s="3" t="s">
        <v>155</v>
      </c>
      <c r="HP20" s="3">
        <v>375</v>
      </c>
      <c r="HQ20" s="3">
        <v>0</v>
      </c>
      <c r="HR20" s="3">
        <v>0.1</v>
      </c>
      <c r="HS20" s="3" t="s">
        <v>730</v>
      </c>
      <c r="HZ20" t="s">
        <v>731</v>
      </c>
      <c r="IC20" s="1540" t="str">
        <f t="shared" si="11"/>
        <v/>
      </c>
      <c r="ID2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0" s="1540">
        <f t="shared" si="10"/>
        <v>18</v>
      </c>
      <c r="IF20" s="1540">
        <f t="shared" si="8"/>
        <v>248</v>
      </c>
      <c r="IG20" s="1540" t="str">
        <f t="shared" si="9"/>
        <v>Zhaboka</v>
      </c>
    </row>
    <row r="21" spans="1:241">
      <c r="A21" s="382" t="s">
        <v>321</v>
      </c>
      <c r="B21" s="382" t="s">
        <v>610</v>
      </c>
      <c r="C21">
        <v>0.05</v>
      </c>
      <c r="D21">
        <v>2</v>
      </c>
      <c r="E21">
        <v>10</v>
      </c>
      <c r="F21">
        <v>1</v>
      </c>
      <c r="J21" s="1323" t="s">
        <v>912</v>
      </c>
      <c r="K21" s="3" t="s">
        <v>7942</v>
      </c>
      <c r="L21" s="3" t="s">
        <v>912</v>
      </c>
      <c r="M21" s="4"/>
      <c r="N21" s="4">
        <v>-2</v>
      </c>
      <c r="O21" s="4"/>
      <c r="P21" s="4">
        <v>2</v>
      </c>
      <c r="Q21" s="4">
        <v>2</v>
      </c>
      <c r="R21" s="4"/>
      <c r="S21" s="3" t="s">
        <v>273</v>
      </c>
      <c r="T21" s="3" t="s">
        <v>912</v>
      </c>
      <c r="V21" s="3" t="s">
        <v>149</v>
      </c>
      <c r="W21" s="3">
        <v>11</v>
      </c>
      <c r="X21" s="3">
        <v>16</v>
      </c>
      <c r="Y21" s="3">
        <v>36</v>
      </c>
      <c r="Z21" s="3">
        <v>54</v>
      </c>
      <c r="AA21" s="3">
        <v>65</v>
      </c>
      <c r="AB21" s="3">
        <v>6</v>
      </c>
      <c r="AC21" s="3" t="s">
        <v>913</v>
      </c>
      <c r="AH21" s="3" t="s">
        <v>375</v>
      </c>
      <c r="BO21" t="s">
        <v>665</v>
      </c>
      <c r="BV21" s="456" t="s">
        <v>666</v>
      </c>
      <c r="BW21" s="12">
        <f t="shared" si="12"/>
        <v>18</v>
      </c>
      <c r="BX21" s="12" t="s">
        <v>687</v>
      </c>
      <c r="BY21" s="19" t="s">
        <v>155</v>
      </c>
      <c r="BZ21" s="19">
        <v>0.75</v>
      </c>
      <c r="CA21" s="19">
        <v>3</v>
      </c>
      <c r="CB21" s="19">
        <v>3</v>
      </c>
      <c r="CC21" s="19">
        <v>6</v>
      </c>
      <c r="CD21" s="19">
        <v>8</v>
      </c>
      <c r="CG21" s="19">
        <v>7</v>
      </c>
      <c r="CH21" s="19">
        <v>12</v>
      </c>
      <c r="CI21" s="3" t="s">
        <v>688</v>
      </c>
      <c r="CJ21" s="3" t="s">
        <v>553</v>
      </c>
      <c r="CK21" s="3" t="s">
        <v>554</v>
      </c>
      <c r="CL21" s="3" t="s">
        <v>689</v>
      </c>
      <c r="CM21" s="3" t="s">
        <v>690</v>
      </c>
      <c r="CN21" s="3" t="s">
        <v>691</v>
      </c>
      <c r="CP21" s="3" t="s">
        <v>692</v>
      </c>
      <c r="CQ21" s="3" t="s">
        <v>2157</v>
      </c>
      <c r="CT21" s="3">
        <f t="shared" si="4"/>
        <v>0</v>
      </c>
      <c r="CU21" s="3">
        <f t="shared" si="5"/>
        <v>0</v>
      </c>
      <c r="CW21" s="17">
        <f t="shared" si="14"/>
        <v>0</v>
      </c>
      <c r="CY21" s="8">
        <f>INT(CT21/2)</f>
        <v>0</v>
      </c>
      <c r="CZ21" s="12" t="s">
        <v>880</v>
      </c>
      <c r="DA21" s="14" t="str">
        <f>IF(OR(CT25&gt;0),CZ21,"")</f>
        <v/>
      </c>
      <c r="DB21" s="854" t="str">
        <f t="shared" si="6"/>
        <v/>
      </c>
      <c r="DC21" s="12" t="s">
        <v>862</v>
      </c>
      <c r="DD21" s="1024" t="s">
        <v>321</v>
      </c>
      <c r="DE21" s="1024">
        <v>5</v>
      </c>
      <c r="DF21" s="1024">
        <v>2</v>
      </c>
      <c r="DG21" s="1024">
        <v>3</v>
      </c>
      <c r="DH21" s="1024">
        <v>1</v>
      </c>
      <c r="DI21" s="1024" t="s">
        <v>155</v>
      </c>
      <c r="DJ21" s="1024" t="s">
        <v>89</v>
      </c>
      <c r="DK21" s="1024"/>
      <c r="DL21" s="1024"/>
      <c r="DM21" s="1024"/>
      <c r="DN21" s="1024"/>
      <c r="DO21" s="1024"/>
      <c r="DP21" s="1024"/>
      <c r="DQ21" s="1024"/>
      <c r="DR21" s="1024"/>
      <c r="DS21" s="1024"/>
      <c r="DT21" s="1024"/>
      <c r="DU21" s="1024"/>
      <c r="DV21" s="1024" t="s">
        <v>195</v>
      </c>
      <c r="DW21" s="1024"/>
      <c r="DX21" s="1024" t="s">
        <v>456</v>
      </c>
      <c r="DY21" s="1024"/>
      <c r="DZ21" s="1024"/>
      <c r="EA21" s="1024"/>
      <c r="EB21" s="1024" t="s">
        <v>610</v>
      </c>
      <c r="EC21" s="1024"/>
      <c r="ED21" s="1024"/>
      <c r="EE21" s="1024"/>
      <c r="EF21" s="1024"/>
      <c r="EG21" s="1024"/>
      <c r="EH21" s="1024"/>
      <c r="EI21" s="1024"/>
      <c r="EJ21" s="1024">
        <v>4000</v>
      </c>
      <c r="EK21" s="1024">
        <v>8</v>
      </c>
      <c r="EL21" s="1024" t="s">
        <v>863</v>
      </c>
      <c r="EM21" s="1024" t="s">
        <v>864</v>
      </c>
      <c r="EN21" s="1323" t="s">
        <v>2001</v>
      </c>
      <c r="EO21" s="3" t="s">
        <v>155</v>
      </c>
      <c r="EP21" s="3" t="s">
        <v>160</v>
      </c>
      <c r="EQ21" s="3" t="s">
        <v>460</v>
      </c>
      <c r="ER21" s="3" t="s">
        <v>1381</v>
      </c>
      <c r="ES21" s="19" t="s">
        <v>170</v>
      </c>
      <c r="ET21" s="19" t="s">
        <v>321</v>
      </c>
      <c r="EZ21" s="3" t="s">
        <v>1404</v>
      </c>
      <c r="FA21" s="3" t="s">
        <v>3718</v>
      </c>
      <c r="FD21" s="3">
        <v>2</v>
      </c>
      <c r="FE21" s="3">
        <v>4</v>
      </c>
      <c r="FL21" s="3">
        <v>200</v>
      </c>
      <c r="FM21" s="3">
        <v>1</v>
      </c>
      <c r="FN21" s="3" t="s">
        <v>360</v>
      </c>
      <c r="FP21" s="3">
        <v>1</v>
      </c>
      <c r="FQ21" s="3" t="str">
        <f t="shared" si="13"/>
        <v/>
      </c>
      <c r="FR21" s="3" t="s">
        <v>2002</v>
      </c>
      <c r="FS21" s="8" t="s">
        <v>2003</v>
      </c>
      <c r="FX21" s="12" t="s">
        <v>740</v>
      </c>
      <c r="FY21" s="3">
        <v>100</v>
      </c>
      <c r="FZ21" s="3">
        <v>0</v>
      </c>
      <c r="GA21" s="3" t="s">
        <v>741</v>
      </c>
      <c r="GB21" s="8" t="s">
        <v>742</v>
      </c>
      <c r="GC21" s="12" t="s">
        <v>537</v>
      </c>
      <c r="GD21" s="3" t="s">
        <v>530</v>
      </c>
      <c r="GE21" s="19">
        <v>3500</v>
      </c>
      <c r="GF21" s="19">
        <v>0.5</v>
      </c>
      <c r="GG21" s="19" t="s">
        <v>249</v>
      </c>
      <c r="GH21" s="3" t="s">
        <v>538</v>
      </c>
      <c r="GI21" s="8" t="s">
        <v>539</v>
      </c>
      <c r="GT21" s="12" t="s">
        <v>746</v>
      </c>
      <c r="GU21" s="3" t="s">
        <v>173</v>
      </c>
      <c r="GV21" s="3">
        <v>0</v>
      </c>
      <c r="GW21" s="3">
        <v>0</v>
      </c>
      <c r="HC21" s="561" t="s">
        <v>3704</v>
      </c>
      <c r="HD21" s="12" t="s">
        <v>681</v>
      </c>
      <c r="HE21" s="3" t="s">
        <v>173</v>
      </c>
      <c r="HF21" s="3">
        <v>0</v>
      </c>
      <c r="HG21" s="3">
        <v>0</v>
      </c>
      <c r="HI21" s="12" t="s">
        <v>748</v>
      </c>
      <c r="HJ21" s="3" t="s">
        <v>173</v>
      </c>
      <c r="HL21" s="8">
        <v>0</v>
      </c>
      <c r="HM21" s="8" t="s">
        <v>625</v>
      </c>
      <c r="HN21" s="12" t="s">
        <v>749</v>
      </c>
      <c r="HO21" s="3" t="s">
        <v>155</v>
      </c>
      <c r="HP21" s="3">
        <v>300</v>
      </c>
      <c r="HQ21" s="3">
        <v>0</v>
      </c>
      <c r="HR21" s="3">
        <v>0.1</v>
      </c>
      <c r="HS21" s="3" t="s">
        <v>750</v>
      </c>
      <c r="HZ21" t="s">
        <v>751</v>
      </c>
      <c r="IC21" s="1540" t="str">
        <f t="shared" si="11"/>
        <v/>
      </c>
      <c r="ID2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1" s="1540">
        <f t="shared" si="10"/>
        <v>19</v>
      </c>
      <c r="IF21" s="1540">
        <f t="shared" si="8"/>
        <v>272</v>
      </c>
      <c r="IG21" s="1540" t="str">
        <f t="shared" si="9"/>
        <v>Concealed dart launcher</v>
      </c>
    </row>
    <row r="22" spans="1:241">
      <c r="A22" s="555" t="s">
        <v>3718</v>
      </c>
      <c r="B22" s="555" t="s">
        <v>3719</v>
      </c>
      <c r="C22">
        <v>0</v>
      </c>
      <c r="D22">
        <v>1</v>
      </c>
      <c r="E22">
        <v>5</v>
      </c>
      <c r="F22">
        <v>1</v>
      </c>
      <c r="J22" s="1323" t="s">
        <v>7936</v>
      </c>
      <c r="K22" s="569" t="s">
        <v>7946</v>
      </c>
      <c r="L22" s="3" t="str">
        <f>J22</f>
        <v>Chadra-Fan</v>
      </c>
      <c r="N22" s="3">
        <v>2</v>
      </c>
      <c r="Q22" s="3">
        <v>-2</v>
      </c>
      <c r="S22" s="569" t="s">
        <v>273</v>
      </c>
      <c r="T22" s="3" t="s">
        <v>7936</v>
      </c>
      <c r="V22" s="569" t="s">
        <v>274</v>
      </c>
      <c r="W22" s="569">
        <v>12</v>
      </c>
      <c r="X22" s="569">
        <v>16</v>
      </c>
      <c r="Y22" s="569">
        <v>41</v>
      </c>
      <c r="Z22" s="569">
        <v>60</v>
      </c>
      <c r="AA22" s="569">
        <v>80</v>
      </c>
      <c r="AB22" s="569">
        <v>4</v>
      </c>
      <c r="AC22" s="569" t="s">
        <v>774</v>
      </c>
      <c r="AD22" s="569" t="s">
        <v>7952</v>
      </c>
      <c r="AE22" s="3" t="s">
        <v>517</v>
      </c>
      <c r="BO22" t="s">
        <v>447</v>
      </c>
      <c r="BV22" s="456" t="s">
        <v>686</v>
      </c>
      <c r="BW22" s="12">
        <f t="shared" si="12"/>
        <v>19</v>
      </c>
      <c r="BX22" s="12" t="s">
        <v>956</v>
      </c>
      <c r="BY22" s="19" t="s">
        <v>173</v>
      </c>
      <c r="BZ22" s="19">
        <v>1</v>
      </c>
      <c r="CA22" s="19">
        <v>4</v>
      </c>
      <c r="CB22" s="19">
        <v>2</v>
      </c>
      <c r="CC22" s="19">
        <v>0</v>
      </c>
      <c r="CD22" s="19">
        <v>10</v>
      </c>
      <c r="CG22" s="19">
        <v>6</v>
      </c>
      <c r="CH22" s="19">
        <v>7</v>
      </c>
      <c r="CI22" s="3" t="s">
        <v>411</v>
      </c>
      <c r="CJ22" s="3" t="s">
        <v>605</v>
      </c>
      <c r="CK22" s="3" t="s">
        <v>957</v>
      </c>
      <c r="CP22" s="3" t="s">
        <v>958</v>
      </c>
      <c r="CQ22" s="3" t="s">
        <v>959</v>
      </c>
      <c r="CT22" s="3">
        <f t="shared" si="4"/>
        <v>0</v>
      </c>
      <c r="CU22" s="3">
        <f t="shared" si="5"/>
        <v>0</v>
      </c>
      <c r="CW22" s="17">
        <f t="shared" si="14"/>
        <v>0</v>
      </c>
      <c r="CZ22" s="12" t="s">
        <v>897</v>
      </c>
      <c r="DA22" s="14" t="str">
        <f>IF(OR(INT(CT25/2)&gt;0),CZ22&amp;" "&amp;INT(CT25/2),"")</f>
        <v/>
      </c>
      <c r="DB22" s="854" t="str">
        <f t="shared" si="6"/>
        <v/>
      </c>
      <c r="DC22" s="12" t="s">
        <v>881</v>
      </c>
      <c r="DD22" s="1024" t="s">
        <v>321</v>
      </c>
      <c r="DE22" s="1024">
        <v>3</v>
      </c>
      <c r="DF22" s="1024">
        <v>1</v>
      </c>
      <c r="DG22" s="1024">
        <v>4</v>
      </c>
      <c r="DH22" s="1364">
        <v>1</v>
      </c>
      <c r="DI22" s="1024" t="s">
        <v>155</v>
      </c>
      <c r="DJ22" s="1024" t="s">
        <v>89</v>
      </c>
      <c r="DK22" s="1024"/>
      <c r="DL22" s="1024"/>
      <c r="DM22" s="1024"/>
      <c r="DN22" s="1024"/>
      <c r="DO22" s="1024"/>
      <c r="DP22" s="1024"/>
      <c r="DQ22" s="1024"/>
      <c r="DR22" s="1024"/>
      <c r="DS22" s="1024"/>
      <c r="DT22" s="1024"/>
      <c r="DU22" s="1024"/>
      <c r="DV22" s="1024" t="s">
        <v>195</v>
      </c>
      <c r="DW22" s="1024"/>
      <c r="DX22" s="1024" t="s">
        <v>456</v>
      </c>
      <c r="DY22" s="1024"/>
      <c r="DZ22" s="1024"/>
      <c r="EA22" s="1024"/>
      <c r="EB22" s="1024" t="s">
        <v>3719</v>
      </c>
      <c r="EC22" s="1024"/>
      <c r="ED22" s="1024"/>
      <c r="EE22" s="1024"/>
      <c r="EF22" s="1024"/>
      <c r="EG22" s="1024"/>
      <c r="EH22" s="1024"/>
      <c r="EI22" s="1024"/>
      <c r="EJ22" s="1024">
        <v>2000</v>
      </c>
      <c r="EK22" s="1024">
        <v>3</v>
      </c>
      <c r="EL22" s="1024" t="s">
        <v>882</v>
      </c>
      <c r="EM22" s="1024" t="s">
        <v>883</v>
      </c>
      <c r="EN22" s="1323" t="s">
        <v>2006</v>
      </c>
      <c r="EO22" s="3" t="s">
        <v>530</v>
      </c>
      <c r="EP22" s="3" t="s">
        <v>160</v>
      </c>
      <c r="EQ22" s="3" t="s">
        <v>460</v>
      </c>
      <c r="ER22" s="3" t="s">
        <v>1381</v>
      </c>
      <c r="ES22" s="19" t="s">
        <v>170</v>
      </c>
      <c r="ET22" s="19" t="s">
        <v>321</v>
      </c>
      <c r="EZ22" s="3" t="s">
        <v>357</v>
      </c>
      <c r="FA22" s="3" t="s">
        <v>204</v>
      </c>
      <c r="FD22" s="3">
        <v>1</v>
      </c>
      <c r="FE22" s="3" t="e">
        <f ca="1">UnarmedDieSize</f>
        <v>#N/A</v>
      </c>
      <c r="FF22" s="3">
        <v>3</v>
      </c>
      <c r="FL22" s="3">
        <v>200</v>
      </c>
      <c r="FM22" s="3">
        <v>0.5</v>
      </c>
      <c r="FN22" s="3" t="s">
        <v>360</v>
      </c>
      <c r="FP22" s="3">
        <v>1</v>
      </c>
      <c r="FQ22" s="3" t="str">
        <f t="shared" si="13"/>
        <v/>
      </c>
      <c r="FR22" s="3" t="s">
        <v>2007</v>
      </c>
      <c r="FS22" s="8" t="s">
        <v>2007</v>
      </c>
      <c r="FX22" s="12" t="s">
        <v>761</v>
      </c>
      <c r="FY22" s="3">
        <v>50</v>
      </c>
      <c r="FZ22" s="3">
        <v>0.5</v>
      </c>
      <c r="GA22" s="3" t="s">
        <v>762</v>
      </c>
      <c r="GB22" s="8" t="s">
        <v>763</v>
      </c>
      <c r="GC22" s="12" t="s">
        <v>568</v>
      </c>
      <c r="GD22" s="3" t="s">
        <v>173</v>
      </c>
      <c r="GE22" s="19">
        <v>1750</v>
      </c>
      <c r="GG22" s="19" t="s">
        <v>249</v>
      </c>
      <c r="GH22" s="3" t="s">
        <v>177</v>
      </c>
      <c r="GI22" s="8" t="s">
        <v>569</v>
      </c>
      <c r="GT22" s="12" t="s">
        <v>766</v>
      </c>
      <c r="GU22" s="3" t="s">
        <v>173</v>
      </c>
      <c r="GV22" s="3">
        <v>0</v>
      </c>
      <c r="GW22" s="3">
        <v>0</v>
      </c>
      <c r="HC22" s="8" t="s">
        <v>3700</v>
      </c>
      <c r="HD22" s="12" t="s">
        <v>703</v>
      </c>
      <c r="HE22" s="3" t="s">
        <v>173</v>
      </c>
      <c r="HF22" s="3">
        <v>0</v>
      </c>
      <c r="HG22" s="3">
        <v>0</v>
      </c>
      <c r="HI22" s="12" t="s">
        <v>768</v>
      </c>
      <c r="HJ22" s="3" t="s">
        <v>169</v>
      </c>
      <c r="HK22" s="3">
        <v>500</v>
      </c>
      <c r="HL22" s="8">
        <v>1</v>
      </c>
      <c r="HN22" s="12" t="s">
        <v>417</v>
      </c>
      <c r="HO22" s="3" t="s">
        <v>155</v>
      </c>
      <c r="HP22" s="3">
        <v>25</v>
      </c>
      <c r="HQ22" s="3">
        <v>0</v>
      </c>
      <c r="HR22" s="3">
        <v>0.1</v>
      </c>
      <c r="HS22" s="3" t="s">
        <v>769</v>
      </c>
      <c r="HZ22" t="s">
        <v>559</v>
      </c>
      <c r="IC22" s="1540" t="str">
        <f t="shared" si="11"/>
        <v/>
      </c>
      <c r="ID2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2" s="1540">
        <f t="shared" si="10"/>
        <v>20</v>
      </c>
      <c r="IF22" s="1540">
        <f t="shared" si="8"/>
        <v>285</v>
      </c>
      <c r="IG22" s="1540" t="str">
        <f t="shared" si="9"/>
        <v>Deck sweeper</v>
      </c>
    </row>
    <row r="23" spans="1:241">
      <c r="A23" s="548" t="s">
        <v>3714</v>
      </c>
      <c r="J23" s="1323" t="s">
        <v>951</v>
      </c>
      <c r="K23" s="3" t="s">
        <v>7947</v>
      </c>
      <c r="L23" s="3" t="s">
        <v>951</v>
      </c>
      <c r="M23" s="4">
        <v>2</v>
      </c>
      <c r="N23" s="4">
        <v>-2</v>
      </c>
      <c r="O23" s="4"/>
      <c r="P23" s="4"/>
      <c r="Q23" s="4"/>
      <c r="R23" s="4"/>
      <c r="S23" s="3" t="s">
        <v>273</v>
      </c>
      <c r="T23" s="3" t="s">
        <v>952</v>
      </c>
      <c r="V23" s="3" t="s">
        <v>149</v>
      </c>
      <c r="W23" s="3">
        <v>13</v>
      </c>
      <c r="X23" s="3">
        <v>17</v>
      </c>
      <c r="Y23" s="3">
        <v>43</v>
      </c>
      <c r="Z23" s="3">
        <v>57</v>
      </c>
      <c r="AA23" s="3">
        <v>76</v>
      </c>
      <c r="AB23" s="3">
        <v>6</v>
      </c>
      <c r="AC23" s="3" t="s">
        <v>447</v>
      </c>
      <c r="AD23" s="3" t="s">
        <v>953</v>
      </c>
      <c r="AE23" s="3" t="s">
        <v>629</v>
      </c>
      <c r="BO23" t="s">
        <v>5945</v>
      </c>
      <c r="BV23" s="456" t="s">
        <v>5947</v>
      </c>
      <c r="BW23" s="12">
        <f t="shared" si="12"/>
        <v>20</v>
      </c>
      <c r="BX23" s="12" t="s">
        <v>580</v>
      </c>
      <c r="BY23" s="19" t="s">
        <v>155</v>
      </c>
      <c r="BZ23" s="19">
        <v>1</v>
      </c>
      <c r="CA23" s="19">
        <v>4</v>
      </c>
      <c r="CB23" s="19">
        <v>0</v>
      </c>
      <c r="CC23" s="19">
        <v>2</v>
      </c>
      <c r="CD23" s="19">
        <v>8</v>
      </c>
      <c r="CG23" s="19">
        <v>6</v>
      </c>
      <c r="CH23" s="19">
        <v>7</v>
      </c>
      <c r="CI23" s="3" t="s">
        <v>411</v>
      </c>
      <c r="CJ23" s="3" t="s">
        <v>581</v>
      </c>
      <c r="CP23" s="3" t="s">
        <v>582</v>
      </c>
      <c r="CQ23" s="3" t="s">
        <v>2150</v>
      </c>
      <c r="CT23" s="3">
        <f t="shared" si="4"/>
        <v>0</v>
      </c>
      <c r="CU23" s="3">
        <f t="shared" si="5"/>
        <v>0</v>
      </c>
      <c r="CW23" s="17">
        <f t="shared" si="14"/>
        <v>0</v>
      </c>
      <c r="CZ23" s="12" t="s">
        <v>915</v>
      </c>
      <c r="DA23" s="14" t="str">
        <f>IF(OR(CT26&gt;0),CZ23&amp;" "&amp;IF(CT26&gt;=10,3,IF(CT26&gt;=6,2,IF(CT26&gt;=2,1,0))),"")</f>
        <v/>
      </c>
      <c r="DB23" s="854" t="str">
        <f t="shared" si="6"/>
        <v/>
      </c>
      <c r="DC23" s="12" t="s">
        <v>6044</v>
      </c>
      <c r="DD23" s="1024" t="s">
        <v>321</v>
      </c>
      <c r="DE23" s="1024">
        <v>4</v>
      </c>
      <c r="DF23" s="1024">
        <v>1</v>
      </c>
      <c r="DG23" s="1024">
        <v>3</v>
      </c>
      <c r="DH23" s="569">
        <v>1</v>
      </c>
      <c r="DI23" s="1024" t="s">
        <v>2152</v>
      </c>
      <c r="DJ23" s="1024"/>
      <c r="DK23" s="1024"/>
      <c r="DL23" s="1024"/>
      <c r="DM23" s="1024"/>
      <c r="DN23" s="1024"/>
      <c r="DO23" s="1024"/>
      <c r="DP23" s="1024"/>
      <c r="DQ23" s="1024"/>
      <c r="DR23" s="1024"/>
      <c r="DS23" s="1024"/>
      <c r="DT23" s="1024"/>
      <c r="DU23" s="1024"/>
      <c r="DV23" s="1024"/>
      <c r="DW23" s="1024"/>
      <c r="DX23" s="1024"/>
      <c r="DY23" s="1024"/>
      <c r="DZ23" s="1024"/>
      <c r="EA23" s="1024"/>
      <c r="EB23" s="1024" t="s">
        <v>196</v>
      </c>
      <c r="EC23" s="1024"/>
      <c r="ED23" s="1024"/>
      <c r="EE23" s="1024"/>
      <c r="EF23" s="1024"/>
      <c r="EG23" s="1024"/>
      <c r="EH23" s="1024"/>
      <c r="EI23" s="1024"/>
      <c r="EJ23" s="1024">
        <v>6000</v>
      </c>
      <c r="EK23" s="1024">
        <v>9</v>
      </c>
      <c r="EL23" s="1024" t="s">
        <v>6044</v>
      </c>
      <c r="EM23" s="1024" t="str">
        <f>"suits of "&amp;EL23</f>
        <v>suits of Galactic Alliance armor</v>
      </c>
      <c r="EN23" s="1323" t="s">
        <v>7004</v>
      </c>
      <c r="EO23" s="3" t="s">
        <v>6758</v>
      </c>
      <c r="EP23" s="3" t="s">
        <v>160</v>
      </c>
      <c r="EQ23" s="3" t="s">
        <v>460</v>
      </c>
      <c r="ER23" s="3" t="s">
        <v>1381</v>
      </c>
      <c r="ES23" s="19" t="s">
        <v>201</v>
      </c>
      <c r="EZ23" s="3" t="s">
        <v>242</v>
      </c>
      <c r="FA23" s="3" t="s">
        <v>321</v>
      </c>
      <c r="FC23" s="3" t="s">
        <v>7005</v>
      </c>
      <c r="FD23" s="3">
        <v>2</v>
      </c>
      <c r="FE23" s="3">
        <v>10</v>
      </c>
      <c r="FL23" s="3">
        <v>500</v>
      </c>
      <c r="FM23" s="3">
        <v>2</v>
      </c>
      <c r="FR23" s="3" t="s">
        <v>7006</v>
      </c>
      <c r="FS23" s="8" t="s">
        <v>7007</v>
      </c>
      <c r="FX23" s="12" t="s">
        <v>783</v>
      </c>
      <c r="FY23" s="3">
        <v>100</v>
      </c>
      <c r="FZ23" s="3">
        <v>0.1</v>
      </c>
      <c r="GA23" s="3" t="s">
        <v>784</v>
      </c>
      <c r="GB23" s="8" t="s">
        <v>785</v>
      </c>
      <c r="GC23" s="1323" t="s">
        <v>2151</v>
      </c>
      <c r="GD23" s="3" t="s">
        <v>2152</v>
      </c>
      <c r="GE23" s="19">
        <v>450</v>
      </c>
      <c r="GF23" s="19">
        <v>1</v>
      </c>
      <c r="GG23" s="19" t="s">
        <v>209</v>
      </c>
      <c r="GH23" s="3" t="s">
        <v>2153</v>
      </c>
      <c r="GI23" s="3" t="s">
        <v>2154</v>
      </c>
      <c r="GT23" s="12" t="s">
        <v>789</v>
      </c>
      <c r="GU23" s="3" t="s">
        <v>173</v>
      </c>
      <c r="GV23" s="3">
        <v>0</v>
      </c>
      <c r="GW23" s="3">
        <v>0</v>
      </c>
      <c r="HC23" s="561" t="s">
        <v>3701</v>
      </c>
      <c r="HD23" s="12" t="s">
        <v>726</v>
      </c>
      <c r="HE23" s="3" t="s">
        <v>173</v>
      </c>
      <c r="HF23" s="3">
        <v>0</v>
      </c>
      <c r="HG23" s="3">
        <v>0</v>
      </c>
      <c r="HI23" s="12" t="s">
        <v>791</v>
      </c>
      <c r="HJ23" s="3" t="s">
        <v>169</v>
      </c>
      <c r="HK23" s="3">
        <v>250</v>
      </c>
      <c r="HL23" s="8">
        <v>1</v>
      </c>
      <c r="HM23" s="8" t="s">
        <v>792</v>
      </c>
      <c r="HN23" s="12" t="s">
        <v>793</v>
      </c>
      <c r="HO23" s="3" t="s">
        <v>155</v>
      </c>
      <c r="HP23" s="3">
        <v>125</v>
      </c>
      <c r="HQ23" s="3">
        <v>0</v>
      </c>
      <c r="HR23" s="3">
        <v>0.1</v>
      </c>
      <c r="HS23" s="3" t="s">
        <v>794</v>
      </c>
      <c r="HZ23" t="s">
        <v>795</v>
      </c>
      <c r="IC23" s="1540" t="str">
        <f t="shared" si="11"/>
        <v/>
      </c>
      <c r="ID2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3" s="1540">
        <f t="shared" si="10"/>
        <v>21</v>
      </c>
      <c r="IF23" s="1540">
        <f t="shared" si="8"/>
        <v>295</v>
      </c>
      <c r="IG23" s="1540" t="str">
        <f t="shared" si="9"/>
        <v>Discblade</v>
      </c>
    </row>
    <row r="24" spans="1:241">
      <c r="A24" s="548" t="s">
        <v>3674</v>
      </c>
      <c r="B24" s="548" t="s">
        <v>11</v>
      </c>
      <c r="C24" s="873" t="s">
        <v>4070</v>
      </c>
      <c r="D24" s="873" t="s">
        <v>3773</v>
      </c>
      <c r="E24" s="873" t="s">
        <v>559</v>
      </c>
      <c r="F24" s="873" t="s">
        <v>29</v>
      </c>
      <c r="G24" s="873" t="s">
        <v>4636</v>
      </c>
      <c r="H24" s="873" t="s">
        <v>4637</v>
      </c>
      <c r="I24" s="873" t="s">
        <v>4638</v>
      </c>
      <c r="J24" s="1323" t="s">
        <v>1034</v>
      </c>
      <c r="K24" s="3" t="s">
        <v>7943</v>
      </c>
      <c r="L24" s="3" t="s">
        <v>1034</v>
      </c>
      <c r="M24" s="4"/>
      <c r="N24" s="4"/>
      <c r="O24" s="4"/>
      <c r="P24" s="4">
        <v>2</v>
      </c>
      <c r="Q24" s="4"/>
      <c r="R24" s="4"/>
      <c r="S24" s="3" t="s">
        <v>1035</v>
      </c>
      <c r="V24" s="3" t="s">
        <v>149</v>
      </c>
      <c r="W24" s="3">
        <v>11</v>
      </c>
      <c r="X24" s="3">
        <v>14</v>
      </c>
      <c r="Y24" s="3">
        <v>51</v>
      </c>
      <c r="Z24" s="3">
        <v>63</v>
      </c>
      <c r="AA24" s="3">
        <v>80</v>
      </c>
      <c r="AB24" s="3">
        <v>6</v>
      </c>
      <c r="AC24" s="3" t="s">
        <v>953</v>
      </c>
      <c r="AD24" s="3" t="s">
        <v>665</v>
      </c>
      <c r="BO24" t="s">
        <v>709</v>
      </c>
      <c r="BV24" s="456" t="s">
        <v>710</v>
      </c>
      <c r="BW24" s="12">
        <f t="shared" si="12"/>
        <v>21</v>
      </c>
      <c r="BX24" s="12" t="s">
        <v>2190</v>
      </c>
      <c r="BY24" s="19" t="s">
        <v>2152</v>
      </c>
      <c r="BZ24" s="19">
        <v>1</v>
      </c>
      <c r="CA24" s="19">
        <v>2</v>
      </c>
      <c r="CB24" s="19">
        <v>2</v>
      </c>
      <c r="CC24" s="19">
        <v>2</v>
      </c>
      <c r="CD24" s="19">
        <v>10</v>
      </c>
      <c r="CG24" s="19">
        <v>6</v>
      </c>
      <c r="CH24" s="19">
        <v>7</v>
      </c>
      <c r="CI24" s="3" t="s">
        <v>605</v>
      </c>
      <c r="CJ24" s="3" t="s">
        <v>553</v>
      </c>
      <c r="CK24" s="3" t="s">
        <v>2191</v>
      </c>
      <c r="CO24" s="3" t="s">
        <v>2192</v>
      </c>
      <c r="CP24" s="3" t="s">
        <v>2193</v>
      </c>
      <c r="CQ24" s="3" t="s">
        <v>2194</v>
      </c>
      <c r="CT24" s="3">
        <f t="shared" si="4"/>
        <v>0</v>
      </c>
      <c r="CU24" s="3">
        <f t="shared" si="5"/>
        <v>0</v>
      </c>
      <c r="CW24" s="17">
        <f t="shared" si="14"/>
        <v>0</v>
      </c>
      <c r="CX24" s="3">
        <f>INT(CT24/2)</f>
        <v>0</v>
      </c>
      <c r="CZ24" s="12" t="s">
        <v>937</v>
      </c>
      <c r="DA24" s="14" t="str">
        <f>IF(OR(CT26&gt;0),CZ24&amp;" "&amp;IF(CT26&gt;=8,IF(ChaMod*2&gt;=2,ChaMod*2,2),IF(CT26&gt;=4,IF(ChaMod&gt;=1,ChaMod,1),0)),"")</f>
        <v/>
      </c>
      <c r="DB24" s="854" t="str">
        <f t="shared" si="6"/>
        <v/>
      </c>
      <c r="DC24" s="12" t="s">
        <v>6043</v>
      </c>
      <c r="DD24" s="1024" t="s">
        <v>321</v>
      </c>
      <c r="DE24" s="1024">
        <v>2</v>
      </c>
      <c r="DF24" s="1024"/>
      <c r="DG24" s="1024">
        <v>5</v>
      </c>
      <c r="DH24" s="569">
        <v>1</v>
      </c>
      <c r="DI24" s="1024" t="s">
        <v>2152</v>
      </c>
      <c r="DJ24" s="1024" t="s">
        <v>89</v>
      </c>
      <c r="DK24" s="1024"/>
      <c r="DL24" s="1024"/>
      <c r="DM24" s="1024"/>
      <c r="DN24" s="1024"/>
      <c r="DO24" s="1024"/>
      <c r="DP24" s="1024"/>
      <c r="DQ24" s="1024"/>
      <c r="DR24" s="1024"/>
      <c r="DS24" s="1024"/>
      <c r="DT24" s="1024"/>
      <c r="DU24" s="1024"/>
      <c r="DV24" s="1024"/>
      <c r="DW24" s="1024"/>
      <c r="DX24" s="1024"/>
      <c r="DY24" s="1024"/>
      <c r="DZ24" s="1024"/>
      <c r="EA24" s="1024"/>
      <c r="EB24" s="1024" t="s">
        <v>3719</v>
      </c>
      <c r="EC24" s="1024"/>
      <c r="ED24" s="1024"/>
      <c r="EE24" s="1024"/>
      <c r="EF24" s="1024"/>
      <c r="EG24" s="1024"/>
      <c r="EH24" s="1024"/>
      <c r="EI24" s="1024"/>
      <c r="EJ24" s="1024">
        <v>500</v>
      </c>
      <c r="EK24" s="1024">
        <v>3</v>
      </c>
      <c r="EL24" s="1024" t="s">
        <v>6045</v>
      </c>
      <c r="EM24" s="1024" t="str">
        <f>"suits of "&amp;EL24</f>
        <v>suits of variant Galactic Alliance armor</v>
      </c>
      <c r="EN24" s="1323" t="s">
        <v>2008</v>
      </c>
      <c r="EO24" s="3" t="s">
        <v>530</v>
      </c>
      <c r="EP24" s="3" t="s">
        <v>160</v>
      </c>
      <c r="EQ24" s="3" t="s">
        <v>460</v>
      </c>
      <c r="ER24" s="3" t="s">
        <v>1381</v>
      </c>
      <c r="ES24" s="19" t="s">
        <v>149</v>
      </c>
      <c r="ET24" s="19" t="s">
        <v>321</v>
      </c>
      <c r="EZ24" s="3" t="s">
        <v>357</v>
      </c>
      <c r="FA24" s="3" t="s">
        <v>204</v>
      </c>
      <c r="FC24" s="3" t="s">
        <v>2009</v>
      </c>
      <c r="FD24" s="3">
        <v>2</v>
      </c>
      <c r="FE24" s="3">
        <v>6</v>
      </c>
      <c r="FL24" s="3">
        <v>500</v>
      </c>
      <c r="FM24" s="3">
        <v>1.4</v>
      </c>
      <c r="FN24" s="3" t="s">
        <v>360</v>
      </c>
      <c r="FP24" s="3">
        <v>2</v>
      </c>
      <c r="FQ24" s="3" t="str">
        <f>IF(EP24="R",IF(EQ24&lt;&gt;"EWP",ER24,"pistols"),"")</f>
        <v/>
      </c>
      <c r="FR24" s="3" t="s">
        <v>2010</v>
      </c>
      <c r="FS24" s="8" t="s">
        <v>2011</v>
      </c>
      <c r="GC24" s="12" t="s">
        <v>4515</v>
      </c>
      <c r="GF24" s="19">
        <v>1</v>
      </c>
      <c r="GG24" s="19" t="s">
        <v>209</v>
      </c>
      <c r="GH24" s="3" t="str">
        <f>LOWER(GC24)</f>
        <v>black robes</v>
      </c>
      <c r="GI24" s="8" t="str">
        <f>GH24</f>
        <v>black robes</v>
      </c>
      <c r="GT24" s="12" t="s">
        <v>810</v>
      </c>
      <c r="GU24" s="3" t="s">
        <v>173</v>
      </c>
      <c r="GV24" s="3">
        <v>0</v>
      </c>
      <c r="GW24" s="3">
        <v>0</v>
      </c>
      <c r="HC24" s="561" t="s">
        <v>3705</v>
      </c>
      <c r="HD24" s="12" t="s">
        <v>747</v>
      </c>
      <c r="HE24" s="3" t="s">
        <v>173</v>
      </c>
      <c r="HF24" s="3">
        <v>0</v>
      </c>
      <c r="HG24" s="3">
        <v>0</v>
      </c>
      <c r="HI24" s="12" t="s">
        <v>812</v>
      </c>
      <c r="HJ24" s="3" t="s">
        <v>169</v>
      </c>
      <c r="HK24" s="3">
        <v>3000</v>
      </c>
      <c r="HL24" s="8">
        <v>1</v>
      </c>
      <c r="HM24" s="8" t="s">
        <v>813</v>
      </c>
      <c r="HN24" s="12" t="s">
        <v>814</v>
      </c>
      <c r="HO24" s="3" t="s">
        <v>155</v>
      </c>
      <c r="HP24" s="3">
        <v>50</v>
      </c>
      <c r="HQ24" s="3">
        <v>0</v>
      </c>
      <c r="HR24" s="3">
        <v>0.1</v>
      </c>
      <c r="HS24" s="3" t="s">
        <v>815</v>
      </c>
      <c r="HZ24" t="s">
        <v>816</v>
      </c>
      <c r="IC24" s="1540" t="str">
        <f t="shared" si="11"/>
        <v/>
      </c>
      <c r="ID2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4" s="1540">
        <f t="shared" si="10"/>
        <v>22</v>
      </c>
      <c r="IF24" s="1540">
        <f t="shared" si="8"/>
        <v>308</v>
      </c>
      <c r="IG24" s="1540" t="str">
        <f t="shared" si="9"/>
        <v>Flamethrower</v>
      </c>
    </row>
    <row r="25" spans="1:241">
      <c r="A25" s="548" t="s">
        <v>249</v>
      </c>
      <c r="B25" s="548" t="s">
        <v>3707</v>
      </c>
      <c r="C25">
        <v>1</v>
      </c>
      <c r="D25">
        <v>0</v>
      </c>
      <c r="E25">
        <v>20</v>
      </c>
      <c r="F25">
        <v>10</v>
      </c>
      <c r="G25">
        <v>0</v>
      </c>
      <c r="H25" s="873">
        <v>0</v>
      </c>
      <c r="I25" s="873">
        <v>0.01</v>
      </c>
      <c r="J25" s="1323" t="s">
        <v>1055</v>
      </c>
      <c r="K25" s="3" t="s">
        <v>308</v>
      </c>
      <c r="L25" s="3" t="s">
        <v>1055</v>
      </c>
      <c r="M25" s="4">
        <v>2</v>
      </c>
      <c r="N25" s="4">
        <v>-2</v>
      </c>
      <c r="O25" s="4"/>
      <c r="P25" s="4"/>
      <c r="Q25" s="4"/>
      <c r="R25" s="4"/>
      <c r="S25" s="3" t="s">
        <v>1055</v>
      </c>
      <c r="V25" s="3" t="s">
        <v>149</v>
      </c>
      <c r="W25" s="3">
        <v>12</v>
      </c>
      <c r="X25" s="3">
        <v>16</v>
      </c>
      <c r="Y25" s="3">
        <v>41</v>
      </c>
      <c r="Z25" s="3">
        <v>60</v>
      </c>
      <c r="AA25" s="3">
        <v>80</v>
      </c>
      <c r="AB25" s="3">
        <v>6</v>
      </c>
      <c r="AC25" s="3" t="s">
        <v>1056</v>
      </c>
      <c r="AD25" s="3" t="s">
        <v>840</v>
      </c>
      <c r="AR25" s="3">
        <v>2</v>
      </c>
      <c r="BO25" t="s">
        <v>5950</v>
      </c>
      <c r="BV25" s="456" t="s">
        <v>5952</v>
      </c>
      <c r="BW25" s="12">
        <f t="shared" si="12"/>
        <v>22</v>
      </c>
      <c r="BX25" s="12" t="s">
        <v>1012</v>
      </c>
      <c r="BY25" s="19" t="s">
        <v>272</v>
      </c>
      <c r="BZ25" s="19">
        <v>0.75</v>
      </c>
      <c r="CA25" s="19">
        <v>2</v>
      </c>
      <c r="CB25" s="19">
        <v>0</v>
      </c>
      <c r="CC25" s="19">
        <v>4</v>
      </c>
      <c r="CD25" s="19">
        <v>12</v>
      </c>
      <c r="CG25" s="19">
        <v>6</v>
      </c>
      <c r="CH25" s="19">
        <v>3</v>
      </c>
      <c r="CI25" s="3" t="s">
        <v>1013</v>
      </c>
      <c r="CJ25" s="3" t="s">
        <v>1014</v>
      </c>
      <c r="CK25" s="3" t="s">
        <v>1015</v>
      </c>
      <c r="CL25" s="3" t="s">
        <v>1016</v>
      </c>
      <c r="CP25" s="3" t="s">
        <v>1017</v>
      </c>
      <c r="CQ25" s="3" t="s">
        <v>1018</v>
      </c>
      <c r="CT25" s="3">
        <f t="shared" si="4"/>
        <v>0</v>
      </c>
      <c r="CU25" s="3">
        <f t="shared" si="5"/>
        <v>0</v>
      </c>
      <c r="CW25" s="17">
        <f t="shared" si="14"/>
        <v>0</v>
      </c>
      <c r="CZ25" s="12" t="s">
        <v>960</v>
      </c>
      <c r="DA25" s="14" t="str">
        <f>IF(OR(INT(CT29/2)&gt;0),CZ25&amp;" "&amp;INT(CT29/2),"")</f>
        <v/>
      </c>
      <c r="DB25" s="854" t="str">
        <f t="shared" si="6"/>
        <v/>
      </c>
      <c r="DC25" s="12" t="s">
        <v>6012</v>
      </c>
      <c r="DD25" s="1024" t="s">
        <v>321</v>
      </c>
      <c r="DE25" s="1024">
        <v>4</v>
      </c>
      <c r="DF25" s="1024"/>
      <c r="DG25" s="1024">
        <v>4</v>
      </c>
      <c r="DH25" s="1024">
        <v>1</v>
      </c>
      <c r="DI25" s="1024" t="s">
        <v>530</v>
      </c>
      <c r="DJ25" s="1024"/>
      <c r="DK25" s="1024"/>
      <c r="DL25" s="1024"/>
      <c r="DM25" s="1024"/>
      <c r="DN25" s="1024"/>
      <c r="DO25" s="1024"/>
      <c r="DP25" s="1024"/>
      <c r="DQ25" s="1024"/>
      <c r="DR25" s="1024"/>
      <c r="DS25" s="1024"/>
      <c r="DT25" s="1024"/>
      <c r="DU25" s="1024"/>
      <c r="DV25" s="1024" t="s">
        <v>195</v>
      </c>
      <c r="DW25" s="1024"/>
      <c r="DX25" s="1024"/>
      <c r="DY25" s="1024"/>
      <c r="DZ25" s="1024"/>
      <c r="EA25" s="1024"/>
      <c r="EB25" s="1024" t="s">
        <v>610</v>
      </c>
      <c r="EC25" s="1024"/>
      <c r="ED25" s="1024"/>
      <c r="EE25" s="1024"/>
      <c r="EF25" s="1024"/>
      <c r="EG25" s="1024"/>
      <c r="EH25" s="1024"/>
      <c r="EI25" s="1024"/>
      <c r="EJ25" s="1024">
        <v>1500</v>
      </c>
      <c r="EK25" s="1024">
        <v>8</v>
      </c>
      <c r="EL25" s="1024" t="s">
        <v>6012</v>
      </c>
      <c r="EM25" s="1024" t="str">
        <f>EL25&amp;"s"</f>
        <v>Geonosian warrior tunics</v>
      </c>
      <c r="EN25" s="1323" t="s">
        <v>2014</v>
      </c>
      <c r="EO25" s="3" t="s">
        <v>272</v>
      </c>
      <c r="EP25" s="3" t="s">
        <v>160</v>
      </c>
      <c r="EQ25" s="3" t="s">
        <v>460</v>
      </c>
      <c r="ER25" s="3" t="s">
        <v>1381</v>
      </c>
      <c r="ES25" s="19" t="s">
        <v>201</v>
      </c>
      <c r="EZ25" s="3" t="s">
        <v>1404</v>
      </c>
      <c r="FA25" s="3" t="s">
        <v>321</v>
      </c>
      <c r="FD25" s="3">
        <v>2</v>
      </c>
      <c r="FE25" s="3">
        <v>8</v>
      </c>
      <c r="FL25" s="3">
        <v>450</v>
      </c>
      <c r="FM25" s="3">
        <v>3</v>
      </c>
      <c r="FN25" s="3" t="s">
        <v>360</v>
      </c>
      <c r="FP25" s="3">
        <v>1</v>
      </c>
      <c r="FQ25" s="3" t="str">
        <f>IF(EP25="R",IF(EQ25&lt;&gt;"EWP",ER25,"pistols"),"")</f>
        <v/>
      </c>
      <c r="FR25" s="3" t="s">
        <v>2015</v>
      </c>
      <c r="FS25" s="8" t="s">
        <v>2015</v>
      </c>
      <c r="GC25" s="12" t="s">
        <v>592</v>
      </c>
      <c r="GD25" s="3" t="s">
        <v>530</v>
      </c>
      <c r="GE25" s="19">
        <v>1300</v>
      </c>
      <c r="GF25" s="19">
        <v>0.5</v>
      </c>
      <c r="GG25" s="19" t="s">
        <v>249</v>
      </c>
      <c r="GH25" s="3" t="s">
        <v>593</v>
      </c>
      <c r="GI25" s="8" t="s">
        <v>594</v>
      </c>
      <c r="GT25" s="12" t="s">
        <v>832</v>
      </c>
      <c r="GU25" s="3" t="s">
        <v>173</v>
      </c>
      <c r="GV25" s="3">
        <v>0.1</v>
      </c>
      <c r="GW25" s="3">
        <v>0</v>
      </c>
      <c r="HC25" s="8" t="s">
        <v>5900</v>
      </c>
      <c r="HD25" s="12" t="s">
        <v>767</v>
      </c>
      <c r="HE25" s="3" t="s">
        <v>173</v>
      </c>
      <c r="HF25" s="3">
        <v>0</v>
      </c>
      <c r="HG25" s="3">
        <v>0</v>
      </c>
      <c r="HI25" s="12" t="s">
        <v>834</v>
      </c>
      <c r="HJ25" s="3" t="s">
        <v>173</v>
      </c>
      <c r="HL25" s="8">
        <v>0</v>
      </c>
      <c r="HM25" s="8" t="s">
        <v>371</v>
      </c>
      <c r="HN25" s="12" t="s">
        <v>648</v>
      </c>
      <c r="HO25" s="3" t="s">
        <v>169</v>
      </c>
      <c r="HP25" s="3">
        <v>1000</v>
      </c>
      <c r="HQ25" s="3">
        <v>1</v>
      </c>
      <c r="HR25" s="569">
        <v>10</v>
      </c>
      <c r="HS25" s="3" t="s">
        <v>835</v>
      </c>
      <c r="HT25" s="8" t="s">
        <v>835</v>
      </c>
      <c r="HZ25" t="s">
        <v>836</v>
      </c>
      <c r="IC25" s="1540" t="str">
        <f t="shared" si="11"/>
        <v/>
      </c>
      <c r="ID2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5" s="1540">
        <f t="shared" si="10"/>
        <v>23</v>
      </c>
      <c r="IF25" s="1540">
        <f t="shared" si="8"/>
        <v>334</v>
      </c>
      <c r="IG25" s="1540" t="str">
        <f t="shared" si="9"/>
        <v>Lanvarok, Massassi (disc)</v>
      </c>
    </row>
    <row r="26" spans="1:241">
      <c r="A26" s="548" t="s">
        <v>209</v>
      </c>
      <c r="B26" s="548" t="s">
        <v>3708</v>
      </c>
      <c r="C26">
        <v>2</v>
      </c>
      <c r="D26">
        <v>1</v>
      </c>
      <c r="E26">
        <v>15</v>
      </c>
      <c r="F26">
        <v>5</v>
      </c>
      <c r="G26">
        <v>0</v>
      </c>
      <c r="H26" s="873">
        <v>0</v>
      </c>
      <c r="I26" s="873">
        <v>0.25</v>
      </c>
      <c r="J26" s="1323" t="s">
        <v>1078</v>
      </c>
      <c r="K26" s="3" t="s">
        <v>377</v>
      </c>
      <c r="L26" s="3" t="s">
        <v>1078</v>
      </c>
      <c r="M26" s="4">
        <v>-2</v>
      </c>
      <c r="N26" s="4"/>
      <c r="O26" s="4"/>
      <c r="P26" s="4"/>
      <c r="Q26" s="4"/>
      <c r="R26" s="4">
        <v>2</v>
      </c>
      <c r="S26" s="3" t="s">
        <v>273</v>
      </c>
      <c r="T26" s="3" t="s">
        <v>1078</v>
      </c>
      <c r="V26" s="3" t="s">
        <v>149</v>
      </c>
      <c r="W26" s="3">
        <v>12</v>
      </c>
      <c r="X26" s="3">
        <v>16</v>
      </c>
      <c r="Y26" s="3">
        <v>31</v>
      </c>
      <c r="Z26" s="3">
        <v>50</v>
      </c>
      <c r="AA26" s="3">
        <v>70</v>
      </c>
      <c r="AB26" s="3">
        <v>6</v>
      </c>
      <c r="AC26" s="3" t="s">
        <v>1079</v>
      </c>
      <c r="AD26" s="3" t="s">
        <v>1080</v>
      </c>
      <c r="BO26" t="s">
        <v>7961</v>
      </c>
      <c r="BV26" s="456" t="s">
        <v>8025</v>
      </c>
      <c r="BW26" s="12">
        <f t="shared" si="12"/>
        <v>23</v>
      </c>
      <c r="BX26" s="12" t="s">
        <v>1037</v>
      </c>
      <c r="BY26" s="19" t="s">
        <v>272</v>
      </c>
      <c r="BZ26" s="19">
        <v>0.75</v>
      </c>
      <c r="CA26" s="19">
        <v>4</v>
      </c>
      <c r="CB26" s="19">
        <v>0</v>
      </c>
      <c r="CC26" s="19">
        <v>2</v>
      </c>
      <c r="CD26" s="19">
        <v>8</v>
      </c>
      <c r="CG26" s="19">
        <v>6</v>
      </c>
      <c r="CH26" s="19">
        <v>7</v>
      </c>
      <c r="CI26" s="3" t="s">
        <v>411</v>
      </c>
      <c r="CJ26" s="3" t="s">
        <v>1038</v>
      </c>
      <c r="CK26" s="3" t="s">
        <v>1039</v>
      </c>
      <c r="CL26" s="3" t="s">
        <v>1040</v>
      </c>
      <c r="CP26" s="3" t="s">
        <v>1041</v>
      </c>
      <c r="CQ26" s="3" t="s">
        <v>1042</v>
      </c>
      <c r="CT26" s="3">
        <f t="shared" si="4"/>
        <v>0</v>
      </c>
      <c r="CU26" s="3">
        <f t="shared" si="5"/>
        <v>0</v>
      </c>
      <c r="CW26" s="17">
        <f t="shared" si="14"/>
        <v>0</v>
      </c>
      <c r="CZ26" s="12" t="s">
        <v>978</v>
      </c>
      <c r="DA26" s="14" t="str">
        <f>IF(OR(INT(CT30/2)&gt;0),CZ26&amp;" "&amp;INT(CT30/2),"")</f>
        <v/>
      </c>
      <c r="DB26" s="854" t="str">
        <f t="shared" si="6"/>
        <v/>
      </c>
      <c r="DC26" s="12" t="s">
        <v>938</v>
      </c>
      <c r="DD26" s="1024" t="s">
        <v>321</v>
      </c>
      <c r="DE26">
        <v>1</v>
      </c>
      <c r="DG26">
        <v>5</v>
      </c>
      <c r="DH26">
        <v>1</v>
      </c>
      <c r="DI26" s="1024" t="s">
        <v>169</v>
      </c>
      <c r="DV26" s="1024" t="s">
        <v>939</v>
      </c>
      <c r="EB26" s="1024" t="s">
        <v>285</v>
      </c>
      <c r="EJ26">
        <v>250</v>
      </c>
      <c r="EK26">
        <v>2</v>
      </c>
      <c r="EL26" s="1024" t="s">
        <v>940</v>
      </c>
      <c r="EM26" s="1024" t="s">
        <v>941</v>
      </c>
      <c r="EN26" s="1331" t="s">
        <v>6540</v>
      </c>
      <c r="GC26" s="12" t="s">
        <v>618</v>
      </c>
      <c r="GD26" s="3" t="s">
        <v>155</v>
      </c>
      <c r="GE26" s="19">
        <v>200</v>
      </c>
      <c r="GF26" s="19">
        <v>2</v>
      </c>
      <c r="GG26" s="19" t="s">
        <v>170</v>
      </c>
      <c r="GH26" s="3" t="s">
        <v>619</v>
      </c>
      <c r="GI26" s="8" t="s">
        <v>620</v>
      </c>
      <c r="GT26" s="12" t="s">
        <v>852</v>
      </c>
      <c r="GU26" s="3" t="s">
        <v>173</v>
      </c>
      <c r="GV26" s="3">
        <v>0.3</v>
      </c>
      <c r="GW26" s="3">
        <v>3000</v>
      </c>
      <c r="HC26" s="8" t="s">
        <v>853</v>
      </c>
      <c r="HD26" s="12" t="s">
        <v>790</v>
      </c>
      <c r="HE26" s="3" t="s">
        <v>173</v>
      </c>
      <c r="HF26" s="3">
        <v>0</v>
      </c>
      <c r="HG26" s="3">
        <v>0</v>
      </c>
      <c r="HI26" s="12" t="s">
        <v>855</v>
      </c>
      <c r="HJ26" s="3" t="s">
        <v>173</v>
      </c>
      <c r="HL26" s="8">
        <v>0</v>
      </c>
      <c r="HM26" s="8" t="s">
        <v>218</v>
      </c>
      <c r="HN26" s="12" t="s">
        <v>90</v>
      </c>
      <c r="HO26" s="3" t="s">
        <v>155</v>
      </c>
      <c r="HP26" s="3">
        <v>300</v>
      </c>
      <c r="HQ26" s="3">
        <v>0</v>
      </c>
      <c r="HR26" s="3">
        <v>30</v>
      </c>
      <c r="HS26" s="3" t="s">
        <v>856</v>
      </c>
      <c r="HT26" s="8" t="s">
        <v>856</v>
      </c>
      <c r="HZ26" t="s">
        <v>857</v>
      </c>
      <c r="IC26" s="1540" t="str">
        <f t="shared" si="11"/>
        <v/>
      </c>
      <c r="ID2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6" s="1540">
        <f t="shared" si="10"/>
        <v>24</v>
      </c>
      <c r="IF26" s="1540">
        <f t="shared" si="8"/>
        <v>349</v>
      </c>
      <c r="IG26" s="1540" t="str">
        <f t="shared" si="9"/>
        <v>Lanvarok, Sith</v>
      </c>
    </row>
    <row r="27" spans="1:241">
      <c r="A27" s="548" t="s">
        <v>170</v>
      </c>
      <c r="B27" s="548" t="s">
        <v>3710</v>
      </c>
      <c r="C27">
        <v>3</v>
      </c>
      <c r="D27">
        <v>2</v>
      </c>
      <c r="E27">
        <v>10</v>
      </c>
      <c r="F27">
        <v>2</v>
      </c>
      <c r="G27">
        <v>0</v>
      </c>
      <c r="H27" s="873">
        <v>0</v>
      </c>
      <c r="I27" s="873">
        <v>0.5</v>
      </c>
      <c r="J27" s="1323" t="s">
        <v>818</v>
      </c>
      <c r="K27" s="3" t="s">
        <v>408</v>
      </c>
      <c r="L27" s="3" t="s">
        <v>818</v>
      </c>
      <c r="M27" s="4"/>
      <c r="N27" s="4"/>
      <c r="O27" s="4"/>
      <c r="P27" s="4"/>
      <c r="Q27" s="4"/>
      <c r="R27" s="4"/>
      <c r="S27" s="3" t="s">
        <v>273</v>
      </c>
      <c r="V27" s="3" t="s">
        <v>149</v>
      </c>
      <c r="W27" s="3">
        <v>6</v>
      </c>
      <c r="X27" s="3">
        <v>8</v>
      </c>
      <c r="Y27" s="3">
        <v>21</v>
      </c>
      <c r="Z27" s="3">
        <v>30</v>
      </c>
      <c r="AA27" s="3">
        <v>40</v>
      </c>
      <c r="AB27" s="3">
        <v>6</v>
      </c>
      <c r="AC27" s="3" t="s">
        <v>665</v>
      </c>
      <c r="AD27" s="3" t="s">
        <v>638</v>
      </c>
      <c r="BO27" t="s">
        <v>752</v>
      </c>
      <c r="BV27" s="456" t="s">
        <v>753</v>
      </c>
      <c r="BW27" s="12">
        <f t="shared" si="12"/>
        <v>24</v>
      </c>
      <c r="BX27" s="12" t="s">
        <v>604</v>
      </c>
      <c r="BY27" s="19" t="s">
        <v>155</v>
      </c>
      <c r="BZ27" s="19">
        <v>1</v>
      </c>
      <c r="CA27" s="19">
        <v>2</v>
      </c>
      <c r="CB27" s="19">
        <v>2</v>
      </c>
      <c r="CC27" s="19">
        <v>2</v>
      </c>
      <c r="CD27" s="19">
        <v>10</v>
      </c>
      <c r="CG27" s="19">
        <v>6</v>
      </c>
      <c r="CH27" s="19">
        <v>7</v>
      </c>
      <c r="CI27" s="3" t="s">
        <v>605</v>
      </c>
      <c r="CJ27" s="3" t="s">
        <v>553</v>
      </c>
      <c r="CK27" s="3" t="s">
        <v>606</v>
      </c>
      <c r="CO27" s="3" t="s">
        <v>607</v>
      </c>
      <c r="CP27" s="3" t="s">
        <v>608</v>
      </c>
      <c r="CQ27" s="3" t="s">
        <v>604</v>
      </c>
      <c r="CT27" s="3">
        <f t="shared" si="4"/>
        <v>0</v>
      </c>
      <c r="CU27" s="3">
        <f t="shared" si="5"/>
        <v>0</v>
      </c>
      <c r="CW27" s="17">
        <f t="shared" si="14"/>
        <v>0</v>
      </c>
      <c r="CX27" s="3">
        <f>INT(CT27/2)</f>
        <v>0</v>
      </c>
      <c r="CZ27" s="12" t="s">
        <v>998</v>
      </c>
      <c r="DA27" s="14" t="str">
        <f>IF(OR(CT35&gt;0),CZ27,"")</f>
        <v/>
      </c>
      <c r="DB27" s="854" t="str">
        <f t="shared" si="6"/>
        <v/>
      </c>
      <c r="DC27" s="12" t="s">
        <v>6026</v>
      </c>
      <c r="DD27" t="s">
        <v>321</v>
      </c>
      <c r="DE27">
        <v>10</v>
      </c>
      <c r="DF27">
        <v>2</v>
      </c>
      <c r="DG27">
        <v>1</v>
      </c>
      <c r="DH27">
        <v>1</v>
      </c>
      <c r="DI27" t="s">
        <v>6029</v>
      </c>
      <c r="DJ27" t="s">
        <v>283</v>
      </c>
      <c r="DV27" t="s">
        <v>195</v>
      </c>
      <c r="DX27" t="s">
        <v>417</v>
      </c>
      <c r="DY27" t="s">
        <v>284</v>
      </c>
      <c r="EB27" s="873" t="s">
        <v>196</v>
      </c>
      <c r="EC27" s="382" t="s">
        <v>118</v>
      </c>
      <c r="EJ27">
        <v>19000</v>
      </c>
      <c r="EK27">
        <v>28.9</v>
      </c>
      <c r="EL27" t="s">
        <v>6027</v>
      </c>
      <c r="EM27" t="str">
        <f t="shared" ref="EM27:EM32" si="15">"suits of "&amp;EL27</f>
        <v>suits of heavy dungeoneer armor</v>
      </c>
      <c r="EN27" s="1323" t="s">
        <v>1519</v>
      </c>
      <c r="EO27" s="3" t="s">
        <v>272</v>
      </c>
      <c r="EP27" s="3" t="s">
        <v>160</v>
      </c>
      <c r="EQ27" s="3" t="s">
        <v>460</v>
      </c>
      <c r="ER27" s="3" t="s">
        <v>1520</v>
      </c>
      <c r="ES27" s="19" t="s">
        <v>274</v>
      </c>
      <c r="ET27" s="19" t="s">
        <v>321</v>
      </c>
      <c r="EZ27" s="3" t="s">
        <v>1521</v>
      </c>
      <c r="FA27" s="3" t="s">
        <v>779</v>
      </c>
      <c r="FB27" s="3" t="s">
        <v>118</v>
      </c>
      <c r="FC27" s="3" t="s">
        <v>5897</v>
      </c>
      <c r="FD27" s="3">
        <v>2</v>
      </c>
      <c r="FE27" s="3">
        <v>4</v>
      </c>
      <c r="FL27" s="3">
        <v>7000</v>
      </c>
      <c r="FM27" s="3">
        <v>1</v>
      </c>
      <c r="FQ27" s="3" t="str">
        <f>IF(EP27="R",IF(EQ27&lt;&gt;"EWP",ER27,"pistols"),"")</f>
        <v/>
      </c>
      <c r="FR27" s="3" t="s">
        <v>1523</v>
      </c>
      <c r="FS27" s="8" t="s">
        <v>1524</v>
      </c>
      <c r="GC27" s="12" t="s">
        <v>658</v>
      </c>
      <c r="GD27" s="3" t="s">
        <v>155</v>
      </c>
      <c r="GE27" s="19">
        <v>25</v>
      </c>
      <c r="GF27" s="19">
        <v>1</v>
      </c>
      <c r="GG27" s="19" t="s">
        <v>209</v>
      </c>
      <c r="GH27" s="3" t="s">
        <v>659</v>
      </c>
      <c r="GI27" s="8" t="s">
        <v>660</v>
      </c>
      <c r="GT27" s="12" t="s">
        <v>869</v>
      </c>
      <c r="GU27" s="3" t="s">
        <v>173</v>
      </c>
      <c r="GV27" s="3">
        <v>0.2</v>
      </c>
      <c r="GW27" s="3">
        <v>2000</v>
      </c>
      <c r="GX27" s="3" t="s">
        <v>3736</v>
      </c>
      <c r="HC27" s="8" t="s">
        <v>870</v>
      </c>
      <c r="HD27" s="12" t="s">
        <v>811</v>
      </c>
      <c r="HE27" s="3" t="s">
        <v>173</v>
      </c>
      <c r="HF27" s="3">
        <v>0</v>
      </c>
      <c r="HG27" s="3">
        <v>0</v>
      </c>
      <c r="HI27" s="12" t="s">
        <v>871</v>
      </c>
      <c r="HJ27" s="3" t="s">
        <v>169</v>
      </c>
      <c r="HK27" s="3">
        <v>500</v>
      </c>
      <c r="HL27" s="8">
        <v>1</v>
      </c>
      <c r="HM27" s="8" t="s">
        <v>872</v>
      </c>
      <c r="HN27" s="12" t="s">
        <v>873</v>
      </c>
      <c r="HO27" s="3" t="s">
        <v>272</v>
      </c>
      <c r="HP27" s="3">
        <v>3750</v>
      </c>
      <c r="HQ27" s="3">
        <v>0</v>
      </c>
      <c r="HR27" s="3">
        <v>30</v>
      </c>
      <c r="HS27" s="3" t="s">
        <v>874</v>
      </c>
      <c r="HT27" s="8" t="s">
        <v>875</v>
      </c>
      <c r="HZ27" t="s">
        <v>876</v>
      </c>
      <c r="IC27" s="1540" t="str">
        <f t="shared" si="11"/>
        <v/>
      </c>
      <c r="ID2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7" s="1540">
        <f t="shared" si="10"/>
        <v>25</v>
      </c>
      <c r="IF27" s="1540">
        <f t="shared" si="8"/>
        <v>362</v>
      </c>
      <c r="IG27" s="1540" t="str">
        <f t="shared" si="9"/>
        <v>Magna caster</v>
      </c>
    </row>
    <row r="28" spans="1:241">
      <c r="A28" s="548" t="s">
        <v>274</v>
      </c>
      <c r="B28" s="548" t="s">
        <v>3709</v>
      </c>
      <c r="C28">
        <v>4</v>
      </c>
      <c r="D28">
        <v>3</v>
      </c>
      <c r="E28">
        <v>5</v>
      </c>
      <c r="F28">
        <v>1</v>
      </c>
      <c r="G28">
        <v>0</v>
      </c>
      <c r="H28" s="873">
        <v>0</v>
      </c>
      <c r="I28" s="873">
        <v>0.75</v>
      </c>
      <c r="J28" s="1323" t="s">
        <v>1119</v>
      </c>
      <c r="K28" s="3" t="s">
        <v>408</v>
      </c>
      <c r="L28" s="3" t="s">
        <v>1119</v>
      </c>
      <c r="M28" s="4"/>
      <c r="N28" s="4"/>
      <c r="O28" s="4"/>
      <c r="P28" s="4"/>
      <c r="Q28" s="4"/>
      <c r="R28" s="4"/>
      <c r="S28" s="3" t="s">
        <v>273</v>
      </c>
      <c r="V28" s="3" t="s">
        <v>149</v>
      </c>
      <c r="W28" s="3">
        <v>6</v>
      </c>
      <c r="X28" s="3">
        <v>8</v>
      </c>
      <c r="Y28" s="3">
        <v>21</v>
      </c>
      <c r="Z28" s="3">
        <v>30</v>
      </c>
      <c r="AA28" s="3">
        <v>40</v>
      </c>
      <c r="AB28" s="3">
        <v>6</v>
      </c>
      <c r="AC28" s="3" t="s">
        <v>665</v>
      </c>
      <c r="AD28" s="3" t="s">
        <v>638</v>
      </c>
      <c r="BO28" t="s">
        <v>7974</v>
      </c>
      <c r="BV28" s="456" t="s">
        <v>8003</v>
      </c>
      <c r="BW28" s="12">
        <f t="shared" si="12"/>
        <v>25</v>
      </c>
      <c r="BX28" s="12" t="s">
        <v>711</v>
      </c>
      <c r="BY28" s="19" t="s">
        <v>155</v>
      </c>
      <c r="BZ28" s="19">
        <v>1</v>
      </c>
      <c r="CA28" s="19">
        <v>3</v>
      </c>
      <c r="CB28" s="19">
        <v>3</v>
      </c>
      <c r="CC28" s="19">
        <v>3</v>
      </c>
      <c r="CD28" s="19">
        <v>10</v>
      </c>
      <c r="CG28" s="19">
        <v>7</v>
      </c>
      <c r="CH28" s="19">
        <v>12</v>
      </c>
      <c r="CI28" s="3" t="s">
        <v>688</v>
      </c>
      <c r="CJ28" s="3" t="s">
        <v>553</v>
      </c>
      <c r="CK28" s="3" t="s">
        <v>606</v>
      </c>
      <c r="CL28" s="3" t="s">
        <v>691</v>
      </c>
      <c r="CO28" s="3" t="s">
        <v>712</v>
      </c>
      <c r="CP28" s="3" t="s">
        <v>713</v>
      </c>
      <c r="CQ28" s="3" t="s">
        <v>711</v>
      </c>
      <c r="CT28" s="3">
        <f t="shared" si="4"/>
        <v>0</v>
      </c>
      <c r="CU28" s="3">
        <f t="shared" si="5"/>
        <v>0</v>
      </c>
      <c r="CW28" s="17">
        <f t="shared" si="14"/>
        <v>0</v>
      </c>
      <c r="CY28" s="8">
        <f>MAX(CT28-1,0)</f>
        <v>0</v>
      </c>
      <c r="CZ28" s="12" t="s">
        <v>1019</v>
      </c>
      <c r="DA28" s="14" t="str">
        <f>IF(OR(CT35&gt;=2),CZ28,"")</f>
        <v/>
      </c>
      <c r="DB28" s="854" t="str">
        <f t="shared" si="6"/>
        <v/>
      </c>
      <c r="DC28" s="12" t="s">
        <v>4457</v>
      </c>
      <c r="DD28" t="s">
        <v>321</v>
      </c>
      <c r="DE28">
        <v>3</v>
      </c>
      <c r="DF28">
        <v>3</v>
      </c>
      <c r="DG28">
        <v>4</v>
      </c>
      <c r="DH28">
        <v>1</v>
      </c>
      <c r="DI28" t="s">
        <v>3800</v>
      </c>
      <c r="EB28" s="382" t="s">
        <v>3719</v>
      </c>
      <c r="EC28" s="382" t="s">
        <v>118</v>
      </c>
      <c r="EJ28">
        <v>4000</v>
      </c>
      <c r="EK28">
        <v>6</v>
      </c>
      <c r="EL28" t="s">
        <v>4465</v>
      </c>
      <c r="EM28" t="str">
        <f t="shared" si="15"/>
        <v>suits of light Jedi battle armor</v>
      </c>
      <c r="EN28" s="1323" t="s">
        <v>1610</v>
      </c>
      <c r="EO28" s="3" t="s">
        <v>173</v>
      </c>
      <c r="EP28" s="3" t="s">
        <v>160</v>
      </c>
      <c r="EQ28" s="3" t="s">
        <v>460</v>
      </c>
      <c r="ER28" s="3" t="s">
        <v>1520</v>
      </c>
      <c r="ES28" s="19" t="s">
        <v>274</v>
      </c>
      <c r="ET28" s="19" t="s">
        <v>321</v>
      </c>
      <c r="EZ28" s="3" t="s">
        <v>1521</v>
      </c>
      <c r="FA28" s="3" t="str">
        <f t="shared" ref="FA28:FA45" si="16">IF(Era="Dark Times","I","C")</f>
        <v>C</v>
      </c>
      <c r="FB28" s="3" t="s">
        <v>118</v>
      </c>
      <c r="FD28" s="3">
        <v>2</v>
      </c>
      <c r="FE28" s="3">
        <v>8</v>
      </c>
      <c r="FL28" s="3">
        <v>4500</v>
      </c>
      <c r="FM28" s="3">
        <v>0.5</v>
      </c>
      <c r="FN28" s="3" t="s">
        <v>360</v>
      </c>
      <c r="FQ28" s="3" t="str">
        <f>IF(EP28="R",IF(EQ28&lt;&gt;"EWP",ER28,"pistols"),"")</f>
        <v/>
      </c>
      <c r="FR28" s="3" t="s">
        <v>1611</v>
      </c>
      <c r="FS28" s="8" t="s">
        <v>1612</v>
      </c>
      <c r="GC28" s="12" t="s">
        <v>7285</v>
      </c>
      <c r="GD28" s="3" t="s">
        <v>6758</v>
      </c>
      <c r="GE28" s="19">
        <v>2000</v>
      </c>
      <c r="GF28" s="19">
        <v>5</v>
      </c>
      <c r="GG28" s="19" t="s">
        <v>274</v>
      </c>
      <c r="GH28" s="3" t="str">
        <f>LOWER(GC28)</f>
        <v>camoflage netting</v>
      </c>
      <c r="GI28" s="8" t="str">
        <f>GH28&amp;"s"</f>
        <v>camoflage nettings</v>
      </c>
      <c r="GT28" s="12" t="s">
        <v>304</v>
      </c>
      <c r="GU28" s="3" t="s">
        <v>173</v>
      </c>
      <c r="GV28" s="3">
        <v>0.1</v>
      </c>
      <c r="GW28" s="3">
        <v>1000</v>
      </c>
      <c r="GX28" s="3" t="s">
        <v>3735</v>
      </c>
      <c r="GZ28" s="569" t="s">
        <v>497</v>
      </c>
      <c r="HC28" s="8" t="s">
        <v>625</v>
      </c>
      <c r="HD28" s="12" t="s">
        <v>833</v>
      </c>
      <c r="HE28" s="3" t="s">
        <v>173</v>
      </c>
      <c r="HF28" s="3">
        <v>0</v>
      </c>
      <c r="HG28" s="3">
        <v>0</v>
      </c>
      <c r="HI28" s="12" t="s">
        <v>890</v>
      </c>
      <c r="HJ28" s="3" t="s">
        <v>173</v>
      </c>
      <c r="HL28" s="8">
        <v>0</v>
      </c>
      <c r="HM28" s="8" t="s">
        <v>891</v>
      </c>
      <c r="HN28" s="12" t="s">
        <v>892</v>
      </c>
      <c r="HO28" s="3" t="s">
        <v>248</v>
      </c>
      <c r="HP28" s="3">
        <v>4250</v>
      </c>
      <c r="HQ28" s="3">
        <v>0</v>
      </c>
      <c r="HR28" s="3">
        <v>15</v>
      </c>
      <c r="HS28" s="3" t="s">
        <v>893</v>
      </c>
      <c r="HT28" s="8" t="s">
        <v>894</v>
      </c>
      <c r="IC28" s="1540" t="str">
        <f t="shared" si="11"/>
        <v/>
      </c>
      <c r="ID2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8" s="1540">
        <f t="shared" si="10"/>
        <v>26</v>
      </c>
      <c r="IF28" s="1540">
        <f t="shared" si="8"/>
        <v>379</v>
      </c>
      <c r="IG28" s="1540" t="str">
        <f t="shared" si="9"/>
        <v>Neural inhibitor</v>
      </c>
    </row>
    <row r="29" spans="1:241">
      <c r="A29" s="548" t="s">
        <v>149</v>
      </c>
      <c r="B29" s="548" t="s">
        <v>3711</v>
      </c>
      <c r="C29">
        <v>5</v>
      </c>
      <c r="D29">
        <v>4</v>
      </c>
      <c r="E29">
        <v>0</v>
      </c>
      <c r="F29">
        <v>0</v>
      </c>
      <c r="G29">
        <v>0</v>
      </c>
      <c r="H29" s="873">
        <v>0</v>
      </c>
      <c r="I29" s="873">
        <v>1</v>
      </c>
      <c r="J29" s="1323" t="s">
        <v>1136</v>
      </c>
      <c r="K29" s="3" t="s">
        <v>2146</v>
      </c>
      <c r="L29" s="3" t="s">
        <v>1136</v>
      </c>
      <c r="M29" s="4"/>
      <c r="N29" s="4"/>
      <c r="O29" s="4"/>
      <c r="P29" s="4"/>
      <c r="Q29" s="4"/>
      <c r="R29" s="4"/>
      <c r="S29" s="3" t="s">
        <v>273</v>
      </c>
      <c r="T29" s="3" t="s">
        <v>1137</v>
      </c>
      <c r="V29" s="3" t="s">
        <v>149</v>
      </c>
      <c r="W29" s="3">
        <v>8</v>
      </c>
      <c r="X29" s="3">
        <v>13</v>
      </c>
      <c r="Y29" s="3">
        <v>45</v>
      </c>
      <c r="Z29" s="3">
        <v>61</v>
      </c>
      <c r="AA29" s="3">
        <v>85</v>
      </c>
      <c r="AB29" s="3">
        <v>6</v>
      </c>
      <c r="AC29" s="3" t="s">
        <v>2187</v>
      </c>
      <c r="AD29" s="3" t="s">
        <v>2188</v>
      </c>
      <c r="AW29" s="3" t="s">
        <v>1138</v>
      </c>
      <c r="BO29" t="s">
        <v>799</v>
      </c>
      <c r="BV29" s="456" t="s">
        <v>800</v>
      </c>
      <c r="BW29" s="12">
        <f t="shared" si="12"/>
        <v>26</v>
      </c>
      <c r="BX29" s="12" t="s">
        <v>1058</v>
      </c>
      <c r="BY29" s="19" t="s">
        <v>1059</v>
      </c>
      <c r="BZ29" s="19">
        <v>1</v>
      </c>
      <c r="CA29" s="19">
        <v>2</v>
      </c>
      <c r="CB29" s="19">
        <v>0</v>
      </c>
      <c r="CC29" s="19">
        <v>4</v>
      </c>
      <c r="CD29" s="19">
        <v>10</v>
      </c>
      <c r="CG29" s="19">
        <v>6</v>
      </c>
      <c r="CH29" s="19">
        <v>7</v>
      </c>
      <c r="CI29" s="3" t="s">
        <v>411</v>
      </c>
      <c r="CJ29" s="3" t="s">
        <v>1060</v>
      </c>
      <c r="CK29" s="3" t="s">
        <v>413</v>
      </c>
      <c r="CL29" s="3" t="s">
        <v>1061</v>
      </c>
      <c r="CP29" s="3" t="s">
        <v>1062</v>
      </c>
      <c r="CQ29" s="3" t="s">
        <v>1063</v>
      </c>
      <c r="CT29" s="3">
        <f t="shared" si="4"/>
        <v>0</v>
      </c>
      <c r="CU29" s="3">
        <f t="shared" si="5"/>
        <v>0</v>
      </c>
      <c r="CW29" s="17">
        <f t="shared" si="14"/>
        <v>0</v>
      </c>
      <c r="CZ29" s="12" t="s">
        <v>1043</v>
      </c>
      <c r="DA29" s="14" t="str">
        <f>IF(OR(CT35&gt;=4),CZ29,"")</f>
        <v/>
      </c>
      <c r="DB29" s="854" t="str">
        <f t="shared" si="6"/>
        <v/>
      </c>
      <c r="DC29" s="12" t="s">
        <v>6025</v>
      </c>
      <c r="DD29" t="s">
        <v>321</v>
      </c>
      <c r="DE29">
        <v>6</v>
      </c>
      <c r="DF29">
        <v>2</v>
      </c>
      <c r="DG29">
        <v>3</v>
      </c>
      <c r="DH29">
        <v>1</v>
      </c>
      <c r="DI29" t="s">
        <v>6029</v>
      </c>
      <c r="DJ29" s="1024" t="s">
        <v>283</v>
      </c>
      <c r="DV29" t="s">
        <v>195</v>
      </c>
      <c r="DX29" t="s">
        <v>417</v>
      </c>
      <c r="DY29" t="s">
        <v>284</v>
      </c>
      <c r="EB29" t="s">
        <v>196</v>
      </c>
      <c r="EC29" s="382" t="s">
        <v>118</v>
      </c>
      <c r="EJ29">
        <v>8000</v>
      </c>
      <c r="EK29">
        <v>8.9</v>
      </c>
      <c r="EL29" t="s">
        <v>6025</v>
      </c>
      <c r="EM29" t="str">
        <f t="shared" si="15"/>
        <v>suits of Jumptrooper armor</v>
      </c>
      <c r="EN29" s="1323" t="s">
        <v>4281</v>
      </c>
      <c r="EO29" s="3" t="s">
        <v>3800</v>
      </c>
      <c r="EP29" s="3" t="s">
        <v>160</v>
      </c>
      <c r="EQ29" s="569" t="s">
        <v>460</v>
      </c>
      <c r="ER29" s="569" t="s">
        <v>1520</v>
      </c>
      <c r="ES29" s="19" t="s">
        <v>149</v>
      </c>
      <c r="EZ29" s="3" t="s">
        <v>2208</v>
      </c>
      <c r="FA29" s="3" t="str">
        <f t="shared" si="16"/>
        <v>C</v>
      </c>
      <c r="FB29" s="3" t="s">
        <v>118</v>
      </c>
      <c r="FC29" s="3" t="s">
        <v>4291</v>
      </c>
      <c r="FD29" s="3">
        <v>2</v>
      </c>
      <c r="FE29" s="3">
        <v>8</v>
      </c>
      <c r="FL29" s="3">
        <v>4500</v>
      </c>
      <c r="FM29" s="3">
        <v>0.5</v>
      </c>
      <c r="FN29" s="3" t="s">
        <v>740</v>
      </c>
      <c r="FR29" s="3" t="s">
        <v>4289</v>
      </c>
      <c r="FS29" s="8" t="str">
        <f>FR29&amp;"s"</f>
        <v>archaic lightsabers</v>
      </c>
      <c r="GC29" s="12" t="s">
        <v>7286</v>
      </c>
      <c r="GD29" s="3" t="s">
        <v>6758</v>
      </c>
      <c r="GE29" s="19">
        <v>125</v>
      </c>
      <c r="GF29" s="19">
        <v>1.5</v>
      </c>
      <c r="GG29" s="19" t="s">
        <v>209</v>
      </c>
      <c r="GH29" s="3" t="str">
        <f>LOWER(GC29)</f>
        <v>camoflage poncho</v>
      </c>
      <c r="GI29" s="8" t="str">
        <f>GH29&amp;"s"</f>
        <v>camoflage ponchos</v>
      </c>
      <c r="HD29" s="12" t="s">
        <v>6576</v>
      </c>
      <c r="HE29" s="569" t="s">
        <v>6222</v>
      </c>
      <c r="HF29" s="569">
        <v>0.2</v>
      </c>
      <c r="HG29" s="569">
        <v>0</v>
      </c>
      <c r="HH29" s="794" t="s">
        <v>6577</v>
      </c>
      <c r="HI29" s="12" t="s">
        <v>907</v>
      </c>
      <c r="HJ29" s="3" t="s">
        <v>169</v>
      </c>
      <c r="HK29" s="3">
        <v>2000</v>
      </c>
      <c r="HL29" s="8">
        <v>1</v>
      </c>
      <c r="HM29" s="8" t="s">
        <v>908</v>
      </c>
      <c r="HN29" s="12" t="s">
        <v>8926</v>
      </c>
      <c r="HO29" s="569" t="s">
        <v>8927</v>
      </c>
      <c r="HP29" s="569">
        <v>5000</v>
      </c>
      <c r="HQ29" s="569">
        <v>0</v>
      </c>
      <c r="HR29" s="569">
        <v>40</v>
      </c>
      <c r="HS29" t="s">
        <v>8928</v>
      </c>
      <c r="HT29" s="1730" t="s">
        <v>8928</v>
      </c>
      <c r="IC29" s="1540" t="str">
        <f t="shared" si="11"/>
        <v/>
      </c>
      <c r="ID2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29" s="1540">
        <f t="shared" si="10"/>
        <v>27</v>
      </c>
      <c r="IF29" s="1540">
        <f t="shared" si="8"/>
        <v>391</v>
      </c>
      <c r="IG29" s="1540" t="str">
        <f t="shared" si="9"/>
        <v>Pulse rifle</v>
      </c>
    </row>
    <row r="30" spans="1:241">
      <c r="A30" s="548" t="s">
        <v>201</v>
      </c>
      <c r="B30" s="548" t="s">
        <v>3712</v>
      </c>
      <c r="C30">
        <v>6</v>
      </c>
      <c r="D30">
        <v>6</v>
      </c>
      <c r="E30">
        <v>-5</v>
      </c>
      <c r="F30">
        <v>-1</v>
      </c>
      <c r="G30">
        <v>10</v>
      </c>
      <c r="H30" s="1127">
        <v>5</v>
      </c>
      <c r="I30" s="873">
        <v>2</v>
      </c>
      <c r="J30" s="1323" t="s">
        <v>366</v>
      </c>
      <c r="K30" s="569" t="s">
        <v>7885</v>
      </c>
      <c r="L30" s="3" t="s">
        <v>366</v>
      </c>
      <c r="N30" s="3">
        <v>2</v>
      </c>
      <c r="Q30" s="1006">
        <v>-2</v>
      </c>
      <c r="R30" s="3">
        <v>-2</v>
      </c>
      <c r="S30" s="3" t="s">
        <v>7306</v>
      </c>
      <c r="V30" s="569" t="s">
        <v>149</v>
      </c>
      <c r="W30" s="569">
        <v>11</v>
      </c>
      <c r="X30" s="569">
        <v>16</v>
      </c>
      <c r="Y30" s="569">
        <v>45</v>
      </c>
      <c r="Z30" s="569">
        <v>70</v>
      </c>
      <c r="AA30" s="569">
        <v>85</v>
      </c>
      <c r="AB30" s="569">
        <v>6</v>
      </c>
      <c r="AC30" s="3" t="s">
        <v>7307</v>
      </c>
      <c r="AD30" s="3" t="s">
        <v>7308</v>
      </c>
      <c r="AE30" s="3" t="s">
        <v>1152</v>
      </c>
      <c r="BO30" t="s">
        <v>840</v>
      </c>
      <c r="BV30" s="456" t="s">
        <v>841</v>
      </c>
      <c r="BW30" s="12">
        <f t="shared" si="12"/>
        <v>27</v>
      </c>
      <c r="BX30" s="12" t="s">
        <v>1082</v>
      </c>
      <c r="BY30" s="19" t="s">
        <v>272</v>
      </c>
      <c r="BZ30" s="19">
        <v>0.75</v>
      </c>
      <c r="CA30" s="19">
        <v>0</v>
      </c>
      <c r="CB30" s="19">
        <v>4</v>
      </c>
      <c r="CC30" s="19">
        <v>2</v>
      </c>
      <c r="CD30" s="19">
        <v>8</v>
      </c>
      <c r="CG30" s="19">
        <v>6</v>
      </c>
      <c r="CH30" s="19">
        <v>7</v>
      </c>
      <c r="CI30" s="3" t="s">
        <v>411</v>
      </c>
      <c r="CJ30" s="3" t="s">
        <v>1083</v>
      </c>
      <c r="CK30" s="3" t="s">
        <v>1084</v>
      </c>
      <c r="CP30" s="3" t="s">
        <v>1085</v>
      </c>
      <c r="CQ30" s="3" t="s">
        <v>1086</v>
      </c>
      <c r="CT30" s="3">
        <f t="shared" si="4"/>
        <v>0</v>
      </c>
      <c r="CU30" s="3">
        <f t="shared" si="5"/>
        <v>0</v>
      </c>
      <c r="CW30" s="17">
        <f t="shared" si="14"/>
        <v>0</v>
      </c>
      <c r="CZ30" s="12" t="s">
        <v>1064</v>
      </c>
      <c r="DA30" s="14" t="str">
        <f>IF(OR(CT35&gt;=10),CZ30,"")</f>
        <v/>
      </c>
      <c r="DB30" s="854" t="str">
        <f t="shared" si="6"/>
        <v/>
      </c>
      <c r="DC30" s="12" t="s">
        <v>6038</v>
      </c>
      <c r="DD30" t="s">
        <v>321</v>
      </c>
      <c r="DE30">
        <v>5</v>
      </c>
      <c r="DF30">
        <v>2</v>
      </c>
      <c r="DG30">
        <v>3</v>
      </c>
      <c r="DH30">
        <v>1</v>
      </c>
      <c r="DI30" t="s">
        <v>173</v>
      </c>
      <c r="DV30" s="1024"/>
      <c r="EB30" t="s">
        <v>196</v>
      </c>
      <c r="EJ30">
        <v>4000</v>
      </c>
      <c r="EK30">
        <v>10</v>
      </c>
      <c r="EL30" t="s">
        <v>6038</v>
      </c>
      <c r="EM30" t="str">
        <f t="shared" si="15"/>
        <v>suits of Krath armor</v>
      </c>
      <c r="EN30" s="1323" t="s">
        <v>1618</v>
      </c>
      <c r="EO30" s="3" t="s">
        <v>155</v>
      </c>
      <c r="EP30" s="3" t="s">
        <v>160</v>
      </c>
      <c r="EQ30" s="3" t="s">
        <v>460</v>
      </c>
      <c r="ER30" s="3" t="s">
        <v>1520</v>
      </c>
      <c r="ES30" s="19" t="s">
        <v>149</v>
      </c>
      <c r="ET30" s="19" t="s">
        <v>321</v>
      </c>
      <c r="EZ30" s="3" t="s">
        <v>1521</v>
      </c>
      <c r="FA30" s="3" t="str">
        <f t="shared" si="16"/>
        <v>C</v>
      </c>
      <c r="FB30" s="3" t="s">
        <v>118</v>
      </c>
      <c r="FC30" s="3" t="s">
        <v>1522</v>
      </c>
      <c r="FD30" s="3">
        <v>2</v>
      </c>
      <c r="FE30" s="3">
        <v>8</v>
      </c>
      <c r="FL30" s="3">
        <v>3000</v>
      </c>
      <c r="FM30" s="3">
        <v>1</v>
      </c>
      <c r="FN30" s="3" t="s">
        <v>740</v>
      </c>
      <c r="FQ30" s="3" t="str">
        <f>IF(EP30="R",IF(EQ30&lt;&gt;"EWP",ER30,"pistols"),"")</f>
        <v/>
      </c>
      <c r="FR30" s="3" t="s">
        <v>1619</v>
      </c>
      <c r="FS30" s="8" t="s">
        <v>1520</v>
      </c>
      <c r="GC30" s="12" t="s">
        <v>677</v>
      </c>
      <c r="GD30" s="3" t="s">
        <v>530</v>
      </c>
      <c r="GE30" s="19">
        <v>6000</v>
      </c>
      <c r="GF30" s="19">
        <v>40</v>
      </c>
      <c r="GG30" s="19" t="s">
        <v>274</v>
      </c>
      <c r="GH30" s="3" t="s">
        <v>678</v>
      </c>
      <c r="GI30" s="8" t="s">
        <v>679</v>
      </c>
      <c r="HD30" s="12" t="s">
        <v>304</v>
      </c>
      <c r="HE30" s="3" t="s">
        <v>173</v>
      </c>
      <c r="HF30" s="3">
        <v>0.1</v>
      </c>
      <c r="HG30" s="3">
        <v>1000</v>
      </c>
      <c r="HH30" s="3" t="s">
        <v>854</v>
      </c>
      <c r="HI30" s="12" t="s">
        <v>925</v>
      </c>
      <c r="HJ30" s="3" t="s">
        <v>169</v>
      </c>
      <c r="HK30" s="3">
        <v>200</v>
      </c>
      <c r="HL30" s="8">
        <v>1</v>
      </c>
      <c r="HM30" s="8" t="s">
        <v>926</v>
      </c>
      <c r="HN30" s="12" t="s">
        <v>909</v>
      </c>
      <c r="HO30" s="3" t="s">
        <v>248</v>
      </c>
      <c r="HP30" s="3">
        <v>800</v>
      </c>
      <c r="HQ30" s="3">
        <v>0</v>
      </c>
      <c r="HR30" s="3">
        <v>15</v>
      </c>
      <c r="HS30" s="3" t="s">
        <v>910</v>
      </c>
      <c r="HT30" s="8" t="s">
        <v>911</v>
      </c>
      <c r="IC30" s="1540" t="str">
        <f t="shared" si="11"/>
        <v/>
      </c>
      <c r="ID3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0" s="1540">
        <f t="shared" si="10"/>
        <v>28</v>
      </c>
      <c r="IF30" s="1540">
        <f t="shared" si="8"/>
        <v>403</v>
      </c>
      <c r="IG30" s="1540" t="str">
        <f t="shared" si="9"/>
        <v>Siang lance</v>
      </c>
    </row>
    <row r="31" spans="1:241">
      <c r="A31" s="548" t="s">
        <v>1003</v>
      </c>
      <c r="B31" s="548" t="s">
        <v>3713</v>
      </c>
      <c r="C31">
        <v>7</v>
      </c>
      <c r="D31">
        <v>8</v>
      </c>
      <c r="E31">
        <v>-10</v>
      </c>
      <c r="F31">
        <v>-2</v>
      </c>
      <c r="G31">
        <v>20</v>
      </c>
      <c r="H31" s="1127">
        <v>10</v>
      </c>
      <c r="I31" s="873">
        <v>5</v>
      </c>
      <c r="J31" s="1323" t="s">
        <v>8032</v>
      </c>
      <c r="K31" s="569" t="s">
        <v>7183</v>
      </c>
      <c r="L31" s="569" t="str">
        <f>J31</f>
        <v>Defel</v>
      </c>
      <c r="M31" s="3">
        <v>-2</v>
      </c>
      <c r="P31" s="3">
        <v>2</v>
      </c>
      <c r="S31" s="569" t="s">
        <v>273</v>
      </c>
      <c r="T31" s="569" t="s">
        <v>8032</v>
      </c>
      <c r="V31" s="569" t="s">
        <v>274</v>
      </c>
      <c r="W31" s="569">
        <v>7</v>
      </c>
      <c r="X31" s="569">
        <v>11</v>
      </c>
      <c r="Y31" s="569">
        <v>50</v>
      </c>
      <c r="Z31" s="569">
        <v>75</v>
      </c>
      <c r="AA31" s="569">
        <v>90</v>
      </c>
      <c r="AB31" s="569">
        <v>6</v>
      </c>
      <c r="AC31" s="569" t="s">
        <v>8038</v>
      </c>
      <c r="AD31" s="569" t="s">
        <v>8050</v>
      </c>
      <c r="BO31" t="s">
        <v>858</v>
      </c>
      <c r="BV31" s="456" t="s">
        <v>859</v>
      </c>
      <c r="BW31" s="12">
        <f t="shared" si="12"/>
        <v>28</v>
      </c>
      <c r="BX31" s="12" t="s">
        <v>974</v>
      </c>
      <c r="BY31" s="19" t="s">
        <v>173</v>
      </c>
      <c r="BZ31" s="19">
        <v>1</v>
      </c>
      <c r="CA31" s="19">
        <v>4</v>
      </c>
      <c r="CB31" s="19">
        <v>0</v>
      </c>
      <c r="CC31" s="19">
        <v>2</v>
      </c>
      <c r="CD31" s="19">
        <v>8</v>
      </c>
      <c r="CG31" s="19">
        <v>6</v>
      </c>
      <c r="CH31" s="19">
        <v>7</v>
      </c>
      <c r="CI31" s="3" t="s">
        <v>411</v>
      </c>
      <c r="CJ31" s="3" t="s">
        <v>605</v>
      </c>
      <c r="CK31" s="3" t="s">
        <v>975</v>
      </c>
      <c r="CP31" s="3" t="s">
        <v>976</v>
      </c>
      <c r="CQ31" s="3" t="s">
        <v>977</v>
      </c>
      <c r="CT31" s="3">
        <f t="shared" si="4"/>
        <v>0</v>
      </c>
      <c r="CU31" s="3">
        <f t="shared" si="5"/>
        <v>0</v>
      </c>
      <c r="CW31" s="17">
        <f t="shared" si="14"/>
        <v>0</v>
      </c>
      <c r="CZ31" s="12" t="s">
        <v>1087</v>
      </c>
      <c r="DA31" s="14" t="str">
        <f>IF(OR(INT(CT12/2)&gt;0),CZ31&amp;" "&amp;INT(CT12/2),"")</f>
        <v/>
      </c>
      <c r="DB31" s="854" t="str">
        <f t="shared" si="6"/>
        <v/>
      </c>
      <c r="DC31" s="12" t="s">
        <v>6039</v>
      </c>
      <c r="DD31" t="s">
        <v>321</v>
      </c>
      <c r="DE31">
        <v>5</v>
      </c>
      <c r="DF31">
        <v>2</v>
      </c>
      <c r="DG31">
        <v>3</v>
      </c>
      <c r="DH31" s="1024">
        <v>1</v>
      </c>
      <c r="DI31" t="s">
        <v>173</v>
      </c>
      <c r="DJ31" t="s">
        <v>89</v>
      </c>
      <c r="EB31" t="s">
        <v>196</v>
      </c>
      <c r="EJ31">
        <v>4000</v>
      </c>
      <c r="EK31">
        <v>10</v>
      </c>
      <c r="EL31" t="s">
        <v>6039</v>
      </c>
      <c r="EM31" t="str">
        <f t="shared" si="15"/>
        <v>suits of Krath battle armor</v>
      </c>
      <c r="EN31" s="1323" t="s">
        <v>1625</v>
      </c>
      <c r="EO31" s="3" t="s">
        <v>272</v>
      </c>
      <c r="EP31" s="3" t="s">
        <v>160</v>
      </c>
      <c r="EQ31" s="3" t="s">
        <v>460</v>
      </c>
      <c r="ER31" s="3" t="s">
        <v>1520</v>
      </c>
      <c r="ES31" s="19" t="s">
        <v>201</v>
      </c>
      <c r="ET31" s="19" t="s">
        <v>321</v>
      </c>
      <c r="EZ31" s="3" t="s">
        <v>1521</v>
      </c>
      <c r="FA31" s="3" t="str">
        <f t="shared" si="16"/>
        <v>C</v>
      </c>
      <c r="FB31" s="3" t="s">
        <v>118</v>
      </c>
      <c r="FD31" s="3">
        <v>2</v>
      </c>
      <c r="FE31" s="3">
        <v>8</v>
      </c>
      <c r="FL31" s="3">
        <v>4000</v>
      </c>
      <c r="FM31" s="3">
        <v>2</v>
      </c>
      <c r="FN31" s="3" t="s">
        <v>740</v>
      </c>
      <c r="FQ31" s="3" t="str">
        <f>IF(EP31="R",IF(EQ31&lt;&gt;"EWP",ER31,"pistols"),"")</f>
        <v/>
      </c>
      <c r="FR31" s="3" t="s">
        <v>1626</v>
      </c>
      <c r="FS31" s="8" t="s">
        <v>1627</v>
      </c>
      <c r="GC31" s="12" t="s">
        <v>700</v>
      </c>
      <c r="GD31" s="3" t="s">
        <v>173</v>
      </c>
      <c r="GE31" s="19">
        <v>4000</v>
      </c>
      <c r="GG31" s="19" t="s">
        <v>249</v>
      </c>
      <c r="GH31" s="3" t="s">
        <v>216</v>
      </c>
      <c r="GI31" s="8" t="s">
        <v>701</v>
      </c>
      <c r="HD31" s="1029"/>
      <c r="HE31" s="1167"/>
      <c r="HF31" s="1167"/>
      <c r="HG31" s="1167"/>
      <c r="HH31" s="1167"/>
      <c r="HI31" s="12" t="s">
        <v>947</v>
      </c>
      <c r="HJ31" s="3" t="s">
        <v>169</v>
      </c>
      <c r="HK31" s="3">
        <v>500</v>
      </c>
      <c r="HL31" s="8">
        <v>1</v>
      </c>
      <c r="HM31" s="8" t="s">
        <v>948</v>
      </c>
      <c r="HN31" s="12" t="s">
        <v>917</v>
      </c>
      <c r="HO31" s="3" t="s">
        <v>248</v>
      </c>
      <c r="HP31" s="3">
        <v>3000</v>
      </c>
      <c r="HQ31" s="3">
        <v>0</v>
      </c>
      <c r="HS31" s="3" t="s">
        <v>927</v>
      </c>
      <c r="HT31" s="8" t="s">
        <v>928</v>
      </c>
      <c r="IC31" s="1540" t="str">
        <f t="shared" si="11"/>
        <v/>
      </c>
      <c r="ID3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1" s="1540">
        <f t="shared" si="10"/>
        <v>29</v>
      </c>
      <c r="IF31" s="1540">
        <f t="shared" si="8"/>
        <v>422</v>
      </c>
      <c r="IG31" s="1540" t="str">
        <f t="shared" si="9"/>
        <v>Squib tensor rifle</v>
      </c>
    </row>
    <row r="32" spans="1:241">
      <c r="A32" s="1127" t="s">
        <v>6145</v>
      </c>
      <c r="B32" s="1127" t="s">
        <v>6143</v>
      </c>
      <c r="C32">
        <v>8</v>
      </c>
      <c r="D32">
        <v>10</v>
      </c>
      <c r="E32">
        <v>-15</v>
      </c>
      <c r="F32">
        <v>-5</v>
      </c>
      <c r="G32">
        <v>50</v>
      </c>
      <c r="H32" s="1127">
        <v>20</v>
      </c>
      <c r="I32" s="873">
        <v>10</v>
      </c>
      <c r="J32" s="1323" t="s">
        <v>1241</v>
      </c>
      <c r="K32" s="3" t="s">
        <v>445</v>
      </c>
      <c r="L32" s="3" t="s">
        <v>1241</v>
      </c>
      <c r="M32" s="4"/>
      <c r="N32" s="4">
        <v>-2</v>
      </c>
      <c r="O32" s="4"/>
      <c r="P32" s="4">
        <v>2</v>
      </c>
      <c r="Q32" s="4">
        <v>2</v>
      </c>
      <c r="R32" s="4">
        <v>0</v>
      </c>
      <c r="S32" s="3" t="s">
        <v>273</v>
      </c>
      <c r="T32" s="3" t="s">
        <v>1242</v>
      </c>
      <c r="V32" s="3" t="s">
        <v>149</v>
      </c>
      <c r="W32" s="3">
        <v>13</v>
      </c>
      <c r="X32" s="3">
        <v>18</v>
      </c>
      <c r="Y32" s="3">
        <v>45</v>
      </c>
      <c r="Z32" s="3">
        <v>65</v>
      </c>
      <c r="AA32" s="3">
        <v>80</v>
      </c>
      <c r="AB32" s="3">
        <v>6</v>
      </c>
      <c r="AC32" s="3" t="s">
        <v>1243</v>
      </c>
      <c r="AH32" s="3" t="s">
        <v>268</v>
      </c>
      <c r="BO32" t="s">
        <v>7975</v>
      </c>
      <c r="BV32" s="456" t="s">
        <v>8004</v>
      </c>
      <c r="BW32" s="12">
        <f t="shared" si="12"/>
        <v>29</v>
      </c>
      <c r="BX32" s="12" t="s">
        <v>1198</v>
      </c>
      <c r="BY32" s="19" t="s">
        <v>530</v>
      </c>
      <c r="BZ32" s="19">
        <v>0.75</v>
      </c>
      <c r="CA32" s="19">
        <v>2</v>
      </c>
      <c r="CB32" s="19">
        <v>2</v>
      </c>
      <c r="CC32" s="19">
        <v>2</v>
      </c>
      <c r="CD32" s="19">
        <v>8</v>
      </c>
      <c r="CG32" s="19">
        <v>6</v>
      </c>
      <c r="CH32" s="19">
        <v>7</v>
      </c>
      <c r="CI32" s="3" t="s">
        <v>411</v>
      </c>
      <c r="CJ32" s="3" t="s">
        <v>1199</v>
      </c>
      <c r="CP32" s="3" t="s">
        <v>1200</v>
      </c>
      <c r="CQ32" s="3" t="s">
        <v>1201</v>
      </c>
      <c r="CT32" s="3">
        <f t="shared" si="4"/>
        <v>0</v>
      </c>
      <c r="CU32" s="3">
        <f t="shared" si="5"/>
        <v>0</v>
      </c>
      <c r="CW32" s="17">
        <f t="shared" si="14"/>
        <v>0</v>
      </c>
      <c r="CZ32" s="12" t="s">
        <v>1107</v>
      </c>
      <c r="DA32" s="14" t="str">
        <f>IF(OR(CT14&gt;0),CZ32,"")</f>
        <v/>
      </c>
      <c r="DB32" s="854" t="str">
        <f t="shared" si="6"/>
        <v/>
      </c>
      <c r="DC32" s="12" t="s">
        <v>6028</v>
      </c>
      <c r="DD32" t="s">
        <v>321</v>
      </c>
      <c r="DE32">
        <v>5</v>
      </c>
      <c r="DF32">
        <v>2</v>
      </c>
      <c r="DG32">
        <v>3</v>
      </c>
      <c r="DH32" s="1024">
        <v>1</v>
      </c>
      <c r="DI32" t="s">
        <v>6029</v>
      </c>
      <c r="DJ32" t="s">
        <v>89</v>
      </c>
      <c r="DV32" t="s">
        <v>195</v>
      </c>
      <c r="DX32" t="s">
        <v>456</v>
      </c>
      <c r="EB32" s="873" t="s">
        <v>610</v>
      </c>
      <c r="EJ32">
        <v>4000</v>
      </c>
      <c r="EK32">
        <v>8</v>
      </c>
      <c r="EL32" t="s">
        <v>6030</v>
      </c>
      <c r="EM32" t="str">
        <f t="shared" si="15"/>
        <v>suits of light combat armor</v>
      </c>
      <c r="EN32" s="1323" t="s">
        <v>6089</v>
      </c>
      <c r="EO32" s="3" t="s">
        <v>3800</v>
      </c>
      <c r="EP32" s="3" t="s">
        <v>160</v>
      </c>
      <c r="EQ32" s="3" t="s">
        <v>460</v>
      </c>
      <c r="ER32" s="3" t="s">
        <v>1520</v>
      </c>
      <c r="ES32" s="19" t="s">
        <v>201</v>
      </c>
      <c r="ET32" s="19" t="s">
        <v>321</v>
      </c>
      <c r="EZ32" s="3" t="s">
        <v>1521</v>
      </c>
      <c r="FA32" s="3" t="str">
        <f t="shared" si="16"/>
        <v>C</v>
      </c>
      <c r="FB32" s="3" t="s">
        <v>118</v>
      </c>
      <c r="FD32" s="3">
        <v>1</v>
      </c>
      <c r="FE32" s="3">
        <v>6</v>
      </c>
      <c r="FL32" s="3">
        <v>4000</v>
      </c>
      <c r="FM32" s="3">
        <v>2</v>
      </c>
      <c r="FN32" s="3" t="s">
        <v>740</v>
      </c>
      <c r="FQ32" s="3" t="str">
        <f>IF(EP32="R",IF(EQ32&lt;&gt;"EWP",ER32,"pistols"),"")</f>
        <v/>
      </c>
      <c r="FR32" s="3" t="s">
        <v>1626</v>
      </c>
      <c r="FS32" s="8" t="s">
        <v>1627</v>
      </c>
      <c r="GC32" s="12" t="s">
        <v>4513</v>
      </c>
      <c r="GD32" s="569" t="s">
        <v>3800</v>
      </c>
      <c r="GF32" s="19">
        <v>2</v>
      </c>
      <c r="GG32" s="19" t="s">
        <v>170</v>
      </c>
      <c r="GH32" s="3" t="s">
        <v>4522</v>
      </c>
      <c r="GI32" s="8" t="str">
        <f>GH32&amp;"s"</f>
        <v>ceremonial Hendanyn death masks</v>
      </c>
      <c r="HI32" s="12" t="s">
        <v>970</v>
      </c>
      <c r="HJ32" s="3" t="s">
        <v>169</v>
      </c>
      <c r="HK32" s="3">
        <v>200</v>
      </c>
      <c r="HL32" s="8">
        <v>1</v>
      </c>
      <c r="HN32" s="12" t="s">
        <v>899</v>
      </c>
      <c r="HO32" s="3" t="s">
        <v>248</v>
      </c>
      <c r="HP32" s="3">
        <v>5000</v>
      </c>
      <c r="HQ32" s="3">
        <v>0</v>
      </c>
      <c r="HS32" s="3" t="s">
        <v>949</v>
      </c>
      <c r="HT32" s="8" t="s">
        <v>950</v>
      </c>
      <c r="IC32" s="1540" t="str">
        <f t="shared" si="11"/>
        <v/>
      </c>
      <c r="ID3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2" s="1540">
        <f t="shared" si="10"/>
        <v>30</v>
      </c>
      <c r="IF32" s="1540">
        <f t="shared" si="8"/>
        <v>442</v>
      </c>
      <c r="IG32" s="1540" t="str">
        <f t="shared" si="9"/>
        <v>Verpine shatter gun</v>
      </c>
    </row>
    <row r="33" spans="1:241">
      <c r="A33" s="1127" t="s">
        <v>5785</v>
      </c>
      <c r="B33" s="1127" t="s">
        <v>6144</v>
      </c>
      <c r="C33">
        <v>9</v>
      </c>
      <c r="D33">
        <v>12</v>
      </c>
      <c r="E33">
        <v>-20</v>
      </c>
      <c r="F33">
        <v>-10</v>
      </c>
      <c r="G33">
        <v>100</v>
      </c>
      <c r="H33" s="1127">
        <v>50</v>
      </c>
      <c r="I33" s="873">
        <v>20</v>
      </c>
      <c r="J33" s="1323" t="s">
        <v>1256</v>
      </c>
      <c r="K33" s="3" t="s">
        <v>269</v>
      </c>
      <c r="L33" s="3" t="s">
        <v>1256</v>
      </c>
      <c r="M33" s="4"/>
      <c r="N33" s="4"/>
      <c r="O33" s="4">
        <v>2</v>
      </c>
      <c r="P33" s="4"/>
      <c r="Q33" s="4"/>
      <c r="R33" s="4">
        <v>-2</v>
      </c>
      <c r="S33" s="3" t="s">
        <v>1256</v>
      </c>
      <c r="V33" s="3" t="s">
        <v>149</v>
      </c>
      <c r="W33" s="3">
        <v>13</v>
      </c>
      <c r="X33" s="3">
        <v>18</v>
      </c>
      <c r="Y33" s="3">
        <v>400</v>
      </c>
      <c r="Z33" s="3">
        <v>700</v>
      </c>
      <c r="AA33" s="3">
        <v>781</v>
      </c>
      <c r="AB33" s="3">
        <v>6</v>
      </c>
      <c r="AC33" s="3" t="s">
        <v>1257</v>
      </c>
      <c r="AD33" s="3" t="s">
        <v>953</v>
      </c>
      <c r="AO33" s="3">
        <v>1</v>
      </c>
      <c r="AW33" s="3" t="s">
        <v>1258</v>
      </c>
      <c r="BO33" t="s">
        <v>929</v>
      </c>
      <c r="BV33" s="456" t="s">
        <v>930</v>
      </c>
      <c r="BW33" s="12">
        <f t="shared" si="12"/>
        <v>30</v>
      </c>
      <c r="BX33" s="12" t="s">
        <v>640</v>
      </c>
      <c r="BY33" s="19" t="s">
        <v>155</v>
      </c>
      <c r="BZ33" s="19">
        <v>1</v>
      </c>
      <c r="CA33" s="19">
        <v>2</v>
      </c>
      <c r="CB33" s="19">
        <v>0</v>
      </c>
      <c r="CC33" s="19">
        <v>4</v>
      </c>
      <c r="CD33" s="19">
        <v>8</v>
      </c>
      <c r="CG33" s="19">
        <v>6</v>
      </c>
      <c r="CH33" s="19">
        <v>7</v>
      </c>
      <c r="CI33" s="3" t="s">
        <v>411</v>
      </c>
      <c r="CJ33" s="3" t="s">
        <v>641</v>
      </c>
      <c r="CK33" s="3" t="s">
        <v>642</v>
      </c>
      <c r="CO33" s="3" t="s">
        <v>643</v>
      </c>
      <c r="CP33" s="3" t="s">
        <v>644</v>
      </c>
      <c r="CQ33" s="3" t="s">
        <v>2155</v>
      </c>
      <c r="CT33" s="3">
        <f t="shared" si="4"/>
        <v>0</v>
      </c>
      <c r="CU33" s="3">
        <f t="shared" si="5"/>
        <v>0</v>
      </c>
      <c r="CW33" s="17">
        <f t="shared" si="14"/>
        <v>0</v>
      </c>
      <c r="CZ33" s="12" t="s">
        <v>1126</v>
      </c>
      <c r="DA33" s="14" t="str">
        <f>IF(OR(INT(CT14/2)&gt;0),CZ33&amp;" "&amp;INT(CT14/2),"")</f>
        <v/>
      </c>
      <c r="DB33" s="854" t="str">
        <f t="shared" si="6"/>
        <v/>
      </c>
      <c r="DC33" s="12" t="s">
        <v>979</v>
      </c>
      <c r="DD33" t="s">
        <v>321</v>
      </c>
      <c r="DE33">
        <v>4</v>
      </c>
      <c r="DF33">
        <v>1</v>
      </c>
      <c r="DG33">
        <v>5</v>
      </c>
      <c r="DH33">
        <v>5</v>
      </c>
      <c r="DI33" t="s">
        <v>173</v>
      </c>
      <c r="DJ33" t="s">
        <v>283</v>
      </c>
      <c r="DK33">
        <v>6</v>
      </c>
      <c r="DV33" t="s">
        <v>195</v>
      </c>
      <c r="DX33" t="s">
        <v>456</v>
      </c>
      <c r="DY33" t="s">
        <v>417</v>
      </c>
      <c r="DZ33" t="s">
        <v>284</v>
      </c>
      <c r="EA33" t="s">
        <v>90</v>
      </c>
      <c r="EB33" s="382" t="s">
        <v>3719</v>
      </c>
      <c r="EC33" s="382" t="s">
        <v>118</v>
      </c>
      <c r="EK33">
        <v>4.9000000000000004</v>
      </c>
      <c r="EL33" t="s">
        <v>979</v>
      </c>
      <c r="EM33" t="s">
        <v>980</v>
      </c>
      <c r="EN33" s="1323" t="s">
        <v>4282</v>
      </c>
      <c r="EO33" s="3" t="s">
        <v>3800</v>
      </c>
      <c r="EP33" s="3" t="s">
        <v>160</v>
      </c>
      <c r="EQ33" s="569" t="s">
        <v>460</v>
      </c>
      <c r="ER33" s="569" t="s">
        <v>1520</v>
      </c>
      <c r="ES33" s="19" t="s">
        <v>149</v>
      </c>
      <c r="EZ33" s="3" t="s">
        <v>2208</v>
      </c>
      <c r="FA33" s="3" t="str">
        <f t="shared" si="16"/>
        <v>C</v>
      </c>
      <c r="FB33" s="3" t="s">
        <v>118</v>
      </c>
      <c r="FD33" s="3">
        <v>2</v>
      </c>
      <c r="FE33" s="3">
        <v>6</v>
      </c>
      <c r="FL33" s="3">
        <v>2000</v>
      </c>
      <c r="FM33" s="3">
        <v>1</v>
      </c>
      <c r="FN33" s="3" t="s">
        <v>740</v>
      </c>
      <c r="FR33" s="3" t="s">
        <v>4299</v>
      </c>
      <c r="FS33" s="8" t="str">
        <f>FR33&amp;"s"</f>
        <v>archaic lightfoils</v>
      </c>
      <c r="GC33" s="12" t="s">
        <v>722</v>
      </c>
      <c r="GD33" s="3" t="s">
        <v>155</v>
      </c>
      <c r="GE33" s="19">
        <v>25</v>
      </c>
      <c r="GF33" s="19">
        <v>2.5</v>
      </c>
      <c r="GG33" s="19" t="s">
        <v>170</v>
      </c>
      <c r="GH33" s="3" t="s">
        <v>723</v>
      </c>
      <c r="GI33" s="8" t="s">
        <v>724</v>
      </c>
      <c r="HI33" s="12" t="s">
        <v>985</v>
      </c>
      <c r="HJ33" s="3" t="s">
        <v>169</v>
      </c>
      <c r="HK33" s="3">
        <v>100</v>
      </c>
      <c r="HL33" s="8">
        <v>0</v>
      </c>
      <c r="HN33" s="12" t="s">
        <v>971</v>
      </c>
      <c r="HO33" s="3" t="s">
        <v>169</v>
      </c>
      <c r="HP33" s="3">
        <v>100</v>
      </c>
      <c r="HQ33" s="3">
        <v>1</v>
      </c>
      <c r="HS33" s="3" t="s">
        <v>972</v>
      </c>
      <c r="HT33" s="8" t="s">
        <v>972</v>
      </c>
      <c r="IC33" s="1540" t="str">
        <f t="shared" si="11"/>
        <v/>
      </c>
      <c r="ID3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3" s="1540">
        <f t="shared" si="10"/>
        <v>31</v>
      </c>
      <c r="IF33" s="1540">
        <f t="shared" si="8"/>
        <v>464</v>
      </c>
      <c r="IG33" s="1540" t="str">
        <f t="shared" si="9"/>
        <v>Wrist rocket launcher</v>
      </c>
    </row>
    <row r="34" spans="1:241">
      <c r="A34" s="555" t="s">
        <v>3744</v>
      </c>
      <c r="B34" s="555" t="s">
        <v>3748</v>
      </c>
      <c r="C34" s="555" t="s">
        <v>3747</v>
      </c>
      <c r="D34" s="555" t="s">
        <v>2279</v>
      </c>
      <c r="E34" s="555" t="s">
        <v>3749</v>
      </c>
      <c r="J34" s="1323" t="s">
        <v>1284</v>
      </c>
      <c r="K34" s="3" t="s">
        <v>7942</v>
      </c>
      <c r="L34" s="3" t="s">
        <v>1284</v>
      </c>
      <c r="M34" s="4" t="str">
        <f>IF(DroidSize="Large","8",IF(DroidSize="Small","-2","0"))</f>
        <v>0</v>
      </c>
      <c r="N34" s="4" t="str">
        <f>IF(DroidSize="Large","-2",IF(DroidSize="Small","2","0"))</f>
        <v>0</v>
      </c>
      <c r="O34" s="4"/>
      <c r="P34" s="4"/>
      <c r="Q34" s="4"/>
      <c r="R34" s="4"/>
      <c r="S34" s="3" t="s">
        <v>273</v>
      </c>
      <c r="T34" s="3" t="s">
        <v>1285</v>
      </c>
      <c r="V34" s="3" t="str">
        <f>IF(DroidSize="Large","l",IF(DroidSize="Small","s","m"))</f>
        <v>m</v>
      </c>
      <c r="W34" s="3">
        <v>0</v>
      </c>
      <c r="X34" s="3">
        <v>0</v>
      </c>
      <c r="Y34" s="3">
        <v>999</v>
      </c>
      <c r="Z34" s="3">
        <v>999</v>
      </c>
      <c r="AA34" s="3">
        <v>999</v>
      </c>
      <c r="AB34" s="3">
        <f ca="1">DroidSpeed</f>
        <v>0</v>
      </c>
      <c r="AC34" s="3" t="s">
        <v>1259</v>
      </c>
      <c r="AD34" s="3" t="str">
        <f>IF(DroidManufacturer&lt;&gt;"",DroidManufacturer&amp;" Droid","")</f>
        <v/>
      </c>
      <c r="BO34" t="s">
        <v>954</v>
      </c>
      <c r="BV34" s="456" t="s">
        <v>955</v>
      </c>
      <c r="BW34" s="12">
        <f t="shared" si="12"/>
        <v>31</v>
      </c>
      <c r="BX34" s="12" t="s">
        <v>1155</v>
      </c>
      <c r="BY34" s="19" t="s">
        <v>169</v>
      </c>
      <c r="BZ34" s="19">
        <v>0.75</v>
      </c>
      <c r="CA34" s="19">
        <v>4</v>
      </c>
      <c r="CB34" s="19">
        <v>2</v>
      </c>
      <c r="CC34" s="19">
        <v>0</v>
      </c>
      <c r="CD34" s="19">
        <v>8</v>
      </c>
      <c r="CG34" s="19">
        <v>6</v>
      </c>
      <c r="CH34" s="19">
        <v>7</v>
      </c>
      <c r="CI34" s="3" t="s">
        <v>411</v>
      </c>
      <c r="CJ34" s="3" t="s">
        <v>1156</v>
      </c>
      <c r="CK34" s="3" t="s">
        <v>1157</v>
      </c>
      <c r="CO34" s="3" t="s">
        <v>1158</v>
      </c>
      <c r="CP34" s="3" t="s">
        <v>1159</v>
      </c>
      <c r="CQ34" s="3" t="s">
        <v>1160</v>
      </c>
      <c r="CT34" s="3">
        <f t="shared" si="4"/>
        <v>0</v>
      </c>
      <c r="CU34" s="3">
        <f t="shared" si="5"/>
        <v>0</v>
      </c>
      <c r="CW34" s="17">
        <f t="shared" si="14"/>
        <v>0</v>
      </c>
      <c r="CZ34" s="12" t="s">
        <v>1143</v>
      </c>
      <c r="DA34" s="14" t="str">
        <f>IF(OR(INT(CT34/2)&gt;0),CZ34&amp;" "&amp;INT(CT34/2),"")</f>
        <v/>
      </c>
      <c r="DB34" s="854" t="str">
        <f t="shared" si="6"/>
        <v/>
      </c>
      <c r="DC34" s="12" t="s">
        <v>1044</v>
      </c>
      <c r="DD34" s="1295" t="s">
        <v>321</v>
      </c>
      <c r="DE34" s="1295">
        <v>6</v>
      </c>
      <c r="DF34" s="1295">
        <v>2</v>
      </c>
      <c r="DG34" s="1295">
        <v>3</v>
      </c>
      <c r="DH34" s="1364">
        <v>4</v>
      </c>
      <c r="DI34" s="1295" t="s">
        <v>173</v>
      </c>
      <c r="DJ34" s="1295" t="s">
        <v>283</v>
      </c>
      <c r="DK34" s="1295">
        <v>6</v>
      </c>
      <c r="DL34" s="1295"/>
      <c r="DM34" s="1295"/>
      <c r="DN34" s="1295"/>
      <c r="DO34" s="1295"/>
      <c r="DP34" s="1295"/>
      <c r="DQ34" s="1295"/>
      <c r="DR34" s="1295"/>
      <c r="DS34" s="1295"/>
      <c r="DT34" s="1295"/>
      <c r="DU34" s="1295"/>
      <c r="DV34" s="1295" t="s">
        <v>195</v>
      </c>
      <c r="DW34" s="1295"/>
      <c r="DX34" s="1295" t="s">
        <v>456</v>
      </c>
      <c r="DY34" s="1295" t="s">
        <v>417</v>
      </c>
      <c r="DZ34" s="1295" t="s">
        <v>284</v>
      </c>
      <c r="EA34" s="1295" t="s">
        <v>90</v>
      </c>
      <c r="EB34" s="1295" t="s">
        <v>196</v>
      </c>
      <c r="EC34" s="1295" t="s">
        <v>118</v>
      </c>
      <c r="ED34" s="1295"/>
      <c r="EE34" s="1295"/>
      <c r="EF34" s="1295"/>
      <c r="EG34" s="1295"/>
      <c r="EH34" s="1295"/>
      <c r="EI34" s="1295"/>
      <c r="EJ34" s="1295"/>
      <c r="EK34" s="1295">
        <v>8.9</v>
      </c>
      <c r="EL34" s="1295" t="s">
        <v>1045</v>
      </c>
      <c r="EM34" s="1295" t="s">
        <v>1046</v>
      </c>
      <c r="EN34" s="1323" t="s">
        <v>4283</v>
      </c>
      <c r="EO34" s="3" t="s">
        <v>3800</v>
      </c>
      <c r="EP34" s="3" t="s">
        <v>160</v>
      </c>
      <c r="EQ34" s="569" t="s">
        <v>460</v>
      </c>
      <c r="ER34" s="569" t="s">
        <v>1520</v>
      </c>
      <c r="ES34" s="19" t="s">
        <v>149</v>
      </c>
      <c r="EZ34" s="3" t="s">
        <v>2208</v>
      </c>
      <c r="FA34" s="3" t="str">
        <f t="shared" si="16"/>
        <v>C</v>
      </c>
      <c r="FB34" s="3" t="s">
        <v>118</v>
      </c>
      <c r="FC34" s="3" t="s">
        <v>4298</v>
      </c>
      <c r="FD34" s="3">
        <v>2</v>
      </c>
      <c r="FE34" s="3">
        <v>8</v>
      </c>
      <c r="FL34" s="569">
        <v>4000</v>
      </c>
      <c r="FM34" s="569">
        <v>0.7</v>
      </c>
      <c r="FN34" s="3" t="s">
        <v>740</v>
      </c>
      <c r="FR34" s="569" t="s">
        <v>4300</v>
      </c>
      <c r="FS34" s="8" t="str">
        <f>FR34&amp;"s"</f>
        <v>crossguard lightsabers</v>
      </c>
      <c r="GC34" s="12" t="s">
        <v>8148</v>
      </c>
      <c r="GD34" s="3" t="s">
        <v>7946</v>
      </c>
      <c r="GE34" s="19">
        <v>45</v>
      </c>
      <c r="GF34" s="19">
        <v>0.7</v>
      </c>
      <c r="GG34" s="19" t="s">
        <v>249</v>
      </c>
      <c r="GH34" s="3" t="str">
        <f>LOWER(GC34)</f>
        <v>climbing harness</v>
      </c>
      <c r="GI34" s="8" t="str">
        <f>GH34&amp;"s"</f>
        <v>climbing harnesss</v>
      </c>
      <c r="HI34" s="12" t="s">
        <v>1008</v>
      </c>
      <c r="HJ34" s="3" t="s">
        <v>169</v>
      </c>
      <c r="HK34" s="3">
        <v>100</v>
      </c>
      <c r="HL34" s="8">
        <v>0</v>
      </c>
      <c r="HN34" s="12" t="s">
        <v>986</v>
      </c>
      <c r="HO34" s="3" t="s">
        <v>173</v>
      </c>
      <c r="HP34" s="3">
        <v>2500</v>
      </c>
      <c r="HQ34" s="3">
        <v>2</v>
      </c>
      <c r="HS34" s="3" t="s">
        <v>987</v>
      </c>
      <c r="HT34" s="8" t="s">
        <v>988</v>
      </c>
      <c r="IC34" s="1540" t="str">
        <f t="shared" si="11"/>
        <v/>
      </c>
      <c r="ID3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4" s="1540">
        <f t="shared" si="10"/>
        <v>32</v>
      </c>
      <c r="IF34" s="1540">
        <f t="shared" si="8"/>
        <v>484</v>
      </c>
      <c r="IG34" s="1540" t="str">
        <f t="shared" si="9"/>
        <v>Xerrol nightstinger</v>
      </c>
    </row>
    <row r="35" spans="1:241">
      <c r="A35" s="962" t="s">
        <v>3746</v>
      </c>
      <c r="B35">
        <v>0</v>
      </c>
      <c r="C35">
        <v>-2</v>
      </c>
      <c r="D35">
        <v>-5</v>
      </c>
      <c r="E35">
        <v>-10</v>
      </c>
      <c r="F35">
        <v>1</v>
      </c>
      <c r="J35" s="1323" t="s">
        <v>1291</v>
      </c>
      <c r="K35" s="3" t="s">
        <v>408</v>
      </c>
      <c r="L35" s="3" t="s">
        <v>1291</v>
      </c>
      <c r="M35" s="4"/>
      <c r="N35" s="4">
        <v>2</v>
      </c>
      <c r="O35" s="4"/>
      <c r="P35" s="4"/>
      <c r="Q35" s="4"/>
      <c r="R35" s="4">
        <v>-2</v>
      </c>
      <c r="S35" s="3" t="s">
        <v>1291</v>
      </c>
      <c r="V35" s="3" t="s">
        <v>274</v>
      </c>
      <c r="W35" s="3">
        <v>10</v>
      </c>
      <c r="X35" s="3">
        <v>15</v>
      </c>
      <c r="Y35" s="3">
        <v>45</v>
      </c>
      <c r="Z35" s="3">
        <v>60</v>
      </c>
      <c r="AA35" s="3">
        <v>75</v>
      </c>
      <c r="AB35" s="3">
        <v>4</v>
      </c>
      <c r="AC35" s="3" t="s">
        <v>1292</v>
      </c>
      <c r="BO35" t="s">
        <v>990</v>
      </c>
      <c r="BV35" s="456" t="s">
        <v>991</v>
      </c>
      <c r="BW35" s="12">
        <f t="shared" si="12"/>
        <v>32</v>
      </c>
      <c r="BX35" s="12" t="s">
        <v>1103</v>
      </c>
      <c r="BY35" s="19" t="s">
        <v>272</v>
      </c>
      <c r="BZ35" s="19">
        <v>0.75</v>
      </c>
      <c r="CA35" s="19">
        <v>2</v>
      </c>
      <c r="CB35" s="19">
        <v>0</v>
      </c>
      <c r="CC35" s="19">
        <v>4</v>
      </c>
      <c r="CD35" s="19">
        <v>8</v>
      </c>
      <c r="CG35" s="19">
        <v>6</v>
      </c>
      <c r="CH35" s="19">
        <v>7</v>
      </c>
      <c r="CI35" s="3" t="s">
        <v>411</v>
      </c>
      <c r="CJ35" s="3" t="s">
        <v>1104</v>
      </c>
      <c r="CP35" s="3" t="s">
        <v>1105</v>
      </c>
      <c r="CQ35" s="3" t="s">
        <v>1106</v>
      </c>
      <c r="CT35" s="3">
        <f t="shared" si="4"/>
        <v>0</v>
      </c>
      <c r="CU35" s="3">
        <f t="shared" si="5"/>
        <v>0</v>
      </c>
      <c r="CW35" s="17">
        <f t="shared" si="14"/>
        <v>0</v>
      </c>
      <c r="CZ35" s="12" t="s">
        <v>1161</v>
      </c>
      <c r="DA35" s="14" t="str">
        <f>IF(OR(INT(CT17/2)&gt;0),CZ35&amp;" "&amp;INT(CT17/2),"")</f>
        <v/>
      </c>
      <c r="DB35" s="854" t="str">
        <f t="shared" si="6"/>
        <v/>
      </c>
      <c r="DC35" s="12" t="s">
        <v>6959</v>
      </c>
      <c r="DD35" t="s">
        <v>321</v>
      </c>
      <c r="DE35">
        <v>5</v>
      </c>
      <c r="DF35">
        <v>2</v>
      </c>
      <c r="DG35">
        <v>3</v>
      </c>
      <c r="DH35" s="569">
        <v>3</v>
      </c>
      <c r="DI35" t="s">
        <v>6758</v>
      </c>
      <c r="DX35" t="s">
        <v>181</v>
      </c>
      <c r="DY35" t="s">
        <v>418</v>
      </c>
      <c r="EB35" s="873" t="s">
        <v>285</v>
      </c>
      <c r="EJ35">
        <v>5000</v>
      </c>
      <c r="EK35">
        <v>2</v>
      </c>
      <c r="EL35" t="s">
        <v>6967</v>
      </c>
      <c r="EM35" t="str">
        <f>"suits of "&amp;EL35</f>
        <v>suits of marine armor</v>
      </c>
      <c r="EN35" s="1323" t="s">
        <v>1631</v>
      </c>
      <c r="EO35" s="3" t="s">
        <v>155</v>
      </c>
      <c r="EP35" s="3" t="s">
        <v>160</v>
      </c>
      <c r="EQ35" s="3" t="s">
        <v>460</v>
      </c>
      <c r="ER35" s="3" t="s">
        <v>1520</v>
      </c>
      <c r="ES35" s="19" t="s">
        <v>201</v>
      </c>
      <c r="ET35" s="19" t="s">
        <v>321</v>
      </c>
      <c r="EU35" s="19" t="s">
        <v>202</v>
      </c>
      <c r="EZ35" s="3" t="s">
        <v>1521</v>
      </c>
      <c r="FA35" s="3" t="str">
        <f t="shared" si="16"/>
        <v>C</v>
      </c>
      <c r="FB35" s="3" t="s">
        <v>118</v>
      </c>
      <c r="FC35" s="3" t="s">
        <v>1522</v>
      </c>
      <c r="FD35" s="3">
        <v>2</v>
      </c>
      <c r="FE35" s="3">
        <v>8</v>
      </c>
      <c r="FG35" s="3">
        <v>2</v>
      </c>
      <c r="FH35" s="3">
        <v>8</v>
      </c>
      <c r="FL35" s="3">
        <v>7000</v>
      </c>
      <c r="FM35" s="3">
        <v>2</v>
      </c>
      <c r="FN35" s="3" t="s">
        <v>740</v>
      </c>
      <c r="FP35" s="3">
        <v>2</v>
      </c>
      <c r="FQ35" s="3" t="str">
        <f>IF(EP35="R",IF(EQ35&lt;&gt;"EWP",ER35,"pistols"),"")</f>
        <v/>
      </c>
      <c r="FR35" s="3" t="s">
        <v>1632</v>
      </c>
      <c r="FS35" s="8" t="s">
        <v>1633</v>
      </c>
      <c r="GC35" s="12" t="s">
        <v>743</v>
      </c>
      <c r="GD35" s="3" t="s">
        <v>155</v>
      </c>
      <c r="GE35" s="19">
        <v>500</v>
      </c>
      <c r="GF35" s="19">
        <v>0.1</v>
      </c>
      <c r="GG35" s="19" t="s">
        <v>249</v>
      </c>
      <c r="GH35" s="3" t="s">
        <v>744</v>
      </c>
      <c r="GI35" s="8" t="s">
        <v>745</v>
      </c>
      <c r="HI35" s="12" t="s">
        <v>1030</v>
      </c>
      <c r="HJ35" s="3" t="s">
        <v>173</v>
      </c>
      <c r="HL35" s="8">
        <v>0</v>
      </c>
      <c r="HM35" s="8" t="s">
        <v>576</v>
      </c>
      <c r="HN35" s="12" t="s">
        <v>647</v>
      </c>
      <c r="HO35" s="3" t="s">
        <v>169</v>
      </c>
      <c r="HP35" s="3">
        <v>4000</v>
      </c>
      <c r="HQ35" s="3">
        <v>2</v>
      </c>
      <c r="HR35" s="3">
        <v>5</v>
      </c>
      <c r="HS35" s="3" t="s">
        <v>1009</v>
      </c>
      <c r="IC35" s="1540" t="str">
        <f t="shared" si="11"/>
        <v/>
      </c>
      <c r="ID3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5" s="1540">
        <f t="shared" si="10"/>
        <v>33</v>
      </c>
      <c r="IF35" s="1540">
        <f t="shared" si="8"/>
        <v>491</v>
      </c>
      <c r="IG35" s="1540" t="str">
        <f t="shared" si="9"/>
        <v>Atlatl</v>
      </c>
    </row>
    <row r="36" spans="1:241">
      <c r="A36" s="1134" t="s">
        <v>651</v>
      </c>
      <c r="B36" s="555">
        <v>50</v>
      </c>
      <c r="C36" s="555">
        <v>100</v>
      </c>
      <c r="D36" s="555">
        <v>250</v>
      </c>
      <c r="E36" s="555">
        <v>500</v>
      </c>
      <c r="F36">
        <v>2</v>
      </c>
      <c r="J36" s="1323" t="s">
        <v>1300</v>
      </c>
      <c r="K36" s="3" t="s">
        <v>7942</v>
      </c>
      <c r="L36" s="3" t="s">
        <v>1300</v>
      </c>
      <c r="M36" s="4"/>
      <c r="N36" s="4">
        <v>2</v>
      </c>
      <c r="O36" s="4">
        <v>-2</v>
      </c>
      <c r="P36" s="4">
        <v>2</v>
      </c>
      <c r="Q36" s="4"/>
      <c r="R36" s="4"/>
      <c r="S36" s="3" t="s">
        <v>273</v>
      </c>
      <c r="T36" s="3" t="s">
        <v>1301</v>
      </c>
      <c r="V36" s="3" t="s">
        <v>149</v>
      </c>
      <c r="W36" s="3">
        <v>10</v>
      </c>
      <c r="X36" s="3">
        <v>15</v>
      </c>
      <c r="Y36" s="3">
        <v>36</v>
      </c>
      <c r="Z36" s="3">
        <v>50</v>
      </c>
      <c r="AA36" s="3">
        <v>70</v>
      </c>
      <c r="AB36" s="3">
        <v>6</v>
      </c>
      <c r="AC36" s="3" t="s">
        <v>1302</v>
      </c>
      <c r="BO36" t="s">
        <v>1010</v>
      </c>
      <c r="BV36" s="456" t="s">
        <v>1011</v>
      </c>
      <c r="BW36" s="12">
        <f t="shared" si="12"/>
        <v>33</v>
      </c>
      <c r="BX36" s="12" t="s">
        <v>2196</v>
      </c>
      <c r="BY36" s="19" t="s">
        <v>2152</v>
      </c>
      <c r="BZ36" s="19">
        <v>0.75</v>
      </c>
      <c r="CA36" s="19">
        <v>0</v>
      </c>
      <c r="CB36" s="19">
        <v>2</v>
      </c>
      <c r="CC36" s="19">
        <v>4</v>
      </c>
      <c r="CD36" s="19">
        <v>8</v>
      </c>
      <c r="CG36" s="19">
        <v>6</v>
      </c>
      <c r="CH36" s="19">
        <v>7</v>
      </c>
      <c r="CI36" s="3" t="s">
        <v>411</v>
      </c>
      <c r="CJ36" s="3" t="s">
        <v>1083</v>
      </c>
      <c r="CK36" s="3" t="s">
        <v>2197</v>
      </c>
      <c r="CL36" s="3" t="s">
        <v>2198</v>
      </c>
      <c r="CP36" s="3" t="s">
        <v>2199</v>
      </c>
      <c r="CQ36" s="3" t="s">
        <v>2200</v>
      </c>
      <c r="CT36" s="3">
        <f t="shared" si="4"/>
        <v>0</v>
      </c>
      <c r="CU36" s="3">
        <f t="shared" si="5"/>
        <v>0</v>
      </c>
      <c r="CW36" s="17">
        <f t="shared" si="14"/>
        <v>0</v>
      </c>
      <c r="CZ36" s="12" t="s">
        <v>1182</v>
      </c>
      <c r="DA36" s="14" t="str">
        <f>IF(OR(INT(CT32/2)&gt;0),CZ36&amp;" "&amp;INT(CT32/2),"")</f>
        <v/>
      </c>
      <c r="DB36" s="854" t="str">
        <f t="shared" si="6"/>
        <v/>
      </c>
      <c r="DC36" s="12" t="s">
        <v>6238</v>
      </c>
      <c r="DD36" t="s">
        <v>321</v>
      </c>
      <c r="DE36">
        <v>2</v>
      </c>
      <c r="DF36">
        <v>2</v>
      </c>
      <c r="DG36">
        <v>5</v>
      </c>
      <c r="DH36" s="569">
        <v>1</v>
      </c>
      <c r="DI36" t="s">
        <v>6222</v>
      </c>
      <c r="EB36" s="382" t="s">
        <v>196</v>
      </c>
      <c r="EJ36">
        <v>2500</v>
      </c>
      <c r="EK36">
        <v>6</v>
      </c>
      <c r="EL36" t="s">
        <v>6238</v>
      </c>
      <c r="EM36" t="str">
        <f>"suits of "&amp;EL36</f>
        <v>suits of Merr-Sonn KZZ riot armor</v>
      </c>
      <c r="EN36" s="1323" t="s">
        <v>4284</v>
      </c>
      <c r="EO36" s="3" t="s">
        <v>3800</v>
      </c>
      <c r="EP36" s="3" t="s">
        <v>160</v>
      </c>
      <c r="EQ36" s="569" t="s">
        <v>460</v>
      </c>
      <c r="ER36" s="569" t="s">
        <v>1520</v>
      </c>
      <c r="ES36" s="19" t="s">
        <v>149</v>
      </c>
      <c r="EZ36" s="3" t="s">
        <v>2208</v>
      </c>
      <c r="FA36" s="3" t="str">
        <f t="shared" si="16"/>
        <v>C</v>
      </c>
      <c r="FB36" s="3" t="s">
        <v>118</v>
      </c>
      <c r="FC36" s="3" t="s">
        <v>4292</v>
      </c>
      <c r="FD36" s="3">
        <v>2</v>
      </c>
      <c r="FE36" s="3">
        <v>8</v>
      </c>
      <c r="FL36" s="569">
        <v>6000</v>
      </c>
      <c r="FM36" s="569">
        <v>0.5</v>
      </c>
      <c r="FN36" s="3" t="s">
        <v>740</v>
      </c>
      <c r="FR36" s="569" t="s">
        <v>4301</v>
      </c>
      <c r="FS36" s="8" t="str">
        <f>FR36&amp;"s"</f>
        <v>dual-phase lightsabers</v>
      </c>
      <c r="GC36" s="12" t="s">
        <v>7276</v>
      </c>
      <c r="GD36" s="3" t="s">
        <v>6758</v>
      </c>
      <c r="GE36" s="19">
        <v>6000</v>
      </c>
      <c r="GF36" s="19">
        <v>10</v>
      </c>
      <c r="GG36" s="19" t="s">
        <v>274</v>
      </c>
      <c r="GH36" s="3" t="str">
        <f>LOWER(GC36)</f>
        <v>com scrambler</v>
      </c>
      <c r="GI36" s="8" t="str">
        <f>GH36&amp;"s"</f>
        <v>com scramblers</v>
      </c>
      <c r="HI36" s="12" t="s">
        <v>1053</v>
      </c>
      <c r="HJ36" s="3" t="s">
        <v>173</v>
      </c>
      <c r="HL36" s="8">
        <v>0</v>
      </c>
      <c r="HM36" s="8" t="s">
        <v>371</v>
      </c>
      <c r="HN36" s="1323" t="s">
        <v>6584</v>
      </c>
      <c r="HO36" s="569" t="s">
        <v>6222</v>
      </c>
      <c r="HP36" s="19">
        <v>200</v>
      </c>
      <c r="HQ36" s="19">
        <v>0</v>
      </c>
      <c r="HR36" s="3">
        <v>10</v>
      </c>
      <c r="HS36" s="569" t="s">
        <v>6587</v>
      </c>
      <c r="HT36" s="8" t="s">
        <v>6587</v>
      </c>
      <c r="IC36" s="1540" t="str">
        <f t="shared" si="11"/>
        <v/>
      </c>
      <c r="ID3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6" s="1540">
        <f t="shared" si="10"/>
        <v>34</v>
      </c>
      <c r="IF36" s="1540">
        <f t="shared" si="8"/>
        <v>502</v>
      </c>
      <c r="IG36" s="1540" t="str">
        <f t="shared" si="9"/>
        <v>Blastsword</v>
      </c>
    </row>
    <row r="37" spans="1:241">
      <c r="A37" s="555" t="s">
        <v>531</v>
      </c>
      <c r="B37" s="555">
        <v>30</v>
      </c>
      <c r="C37" s="555">
        <v>60</v>
      </c>
      <c r="D37" s="555">
        <v>150</v>
      </c>
      <c r="E37" s="555">
        <v>300</v>
      </c>
      <c r="F37">
        <v>3</v>
      </c>
      <c r="J37" s="1323" t="s">
        <v>1353</v>
      </c>
      <c r="K37" s="3" t="s">
        <v>7942</v>
      </c>
      <c r="L37" s="3" t="s">
        <v>1353</v>
      </c>
      <c r="M37" s="4">
        <v>-2</v>
      </c>
      <c r="N37" s="4">
        <v>2</v>
      </c>
      <c r="O37" s="4"/>
      <c r="P37" s="4"/>
      <c r="Q37" s="4"/>
      <c r="R37" s="4"/>
      <c r="S37" s="3" t="s">
        <v>1354</v>
      </c>
      <c r="V37" s="3" t="s">
        <v>274</v>
      </c>
      <c r="W37" s="3">
        <v>10</v>
      </c>
      <c r="X37" s="3">
        <v>14</v>
      </c>
      <c r="Y37" s="3">
        <v>30</v>
      </c>
      <c r="Z37" s="3">
        <v>45</v>
      </c>
      <c r="AA37" s="3">
        <v>60</v>
      </c>
      <c r="AB37" s="3">
        <v>4</v>
      </c>
      <c r="AC37" s="3" t="s">
        <v>151</v>
      </c>
      <c r="AD37" s="3" t="s">
        <v>484</v>
      </c>
      <c r="AE37" s="3" t="s">
        <v>1343</v>
      </c>
      <c r="AH37" s="3" t="s">
        <v>795</v>
      </c>
      <c r="BO37" t="s">
        <v>7976</v>
      </c>
      <c r="BV37" s="456" t="s">
        <v>7992</v>
      </c>
      <c r="BW37" s="12">
        <f t="shared" si="12"/>
        <v>34</v>
      </c>
      <c r="BX37" s="12" t="s">
        <v>667</v>
      </c>
      <c r="BY37" s="19" t="s">
        <v>155</v>
      </c>
      <c r="BZ37" s="19">
        <v>1</v>
      </c>
      <c r="CA37" s="19">
        <v>2</v>
      </c>
      <c r="CB37" s="19">
        <v>2</v>
      </c>
      <c r="CC37" s="19">
        <v>2</v>
      </c>
      <c r="CD37" s="19">
        <v>10</v>
      </c>
      <c r="CG37" s="19">
        <v>6</v>
      </c>
      <c r="CH37" s="19">
        <v>7</v>
      </c>
      <c r="CI37" s="3" t="s">
        <v>411</v>
      </c>
      <c r="CJ37" s="3" t="s">
        <v>553</v>
      </c>
      <c r="CK37" s="3" t="s">
        <v>554</v>
      </c>
      <c r="CL37" s="3" t="s">
        <v>668</v>
      </c>
      <c r="CO37" s="3" t="s">
        <v>669</v>
      </c>
      <c r="CP37" s="3" t="s">
        <v>670</v>
      </c>
      <c r="CQ37" s="3" t="s">
        <v>2156</v>
      </c>
      <c r="CT37" s="3">
        <f t="shared" si="4"/>
        <v>0</v>
      </c>
      <c r="CU37" s="3">
        <f t="shared" si="5"/>
        <v>0</v>
      </c>
      <c r="CW37" s="17">
        <f t="shared" si="14"/>
        <v>0</v>
      </c>
      <c r="CX37" s="3">
        <f>INT(CT37/2)</f>
        <v>0</v>
      </c>
      <c r="CZ37" s="12" t="s">
        <v>1202</v>
      </c>
      <c r="DA37" s="14" t="str">
        <f>IF(OR(INT(CT39/2)&gt;0),CZ37&amp;" "&amp;INT(CT39/2),"")</f>
        <v/>
      </c>
      <c r="DB37" s="854" t="str">
        <f t="shared" si="6"/>
        <v/>
      </c>
      <c r="DC37" s="12" t="s">
        <v>6031</v>
      </c>
      <c r="DD37" t="s">
        <v>321</v>
      </c>
      <c r="DE37">
        <v>6</v>
      </c>
      <c r="DF37">
        <v>2</v>
      </c>
      <c r="DG37">
        <v>3</v>
      </c>
      <c r="DH37">
        <v>1</v>
      </c>
      <c r="DI37" t="s">
        <v>6029</v>
      </c>
      <c r="DJ37" t="s">
        <v>283</v>
      </c>
      <c r="DV37" s="1024" t="s">
        <v>195</v>
      </c>
      <c r="DX37" t="s">
        <v>417</v>
      </c>
      <c r="DY37" t="s">
        <v>284</v>
      </c>
      <c r="EB37" t="s">
        <v>196</v>
      </c>
      <c r="EC37" s="382" t="s">
        <v>118</v>
      </c>
      <c r="EJ37">
        <v>8000</v>
      </c>
      <c r="EK37">
        <v>8.9</v>
      </c>
      <c r="EL37" t="s">
        <v>6031</v>
      </c>
      <c r="EM37" t="str">
        <f>"suits of "&amp;EL37</f>
        <v>suits of Phase Zero Dark Trooper armor</v>
      </c>
      <c r="EN37" s="1323" t="s">
        <v>4296</v>
      </c>
      <c r="EO37" s="3" t="s">
        <v>3800</v>
      </c>
      <c r="EP37" s="3" t="s">
        <v>160</v>
      </c>
      <c r="EQ37" s="569" t="s">
        <v>460</v>
      </c>
      <c r="ER37" s="569" t="s">
        <v>1520</v>
      </c>
      <c r="ES37" s="19" t="s">
        <v>149</v>
      </c>
      <c r="EZ37" s="3" t="s">
        <v>2208</v>
      </c>
      <c r="FA37" s="3" t="str">
        <f t="shared" si="16"/>
        <v>C</v>
      </c>
      <c r="FB37" s="3" t="s">
        <v>118</v>
      </c>
      <c r="FC37" s="569" t="s">
        <v>4297</v>
      </c>
      <c r="FD37" s="3">
        <v>2</v>
      </c>
      <c r="FE37" s="3">
        <v>8</v>
      </c>
      <c r="FL37" s="3">
        <v>6000</v>
      </c>
      <c r="FM37" s="569">
        <v>0.5</v>
      </c>
      <c r="FN37" s="3" t="s">
        <v>740</v>
      </c>
      <c r="FR37" s="569" t="s">
        <v>4306</v>
      </c>
      <c r="FS37" s="8" t="str">
        <f>FR37&amp;"s"</f>
        <v>dual-phase variant lightsabers</v>
      </c>
      <c r="GC37" s="12" t="s">
        <v>764</v>
      </c>
      <c r="GD37" s="3" t="s">
        <v>173</v>
      </c>
      <c r="GE37" s="19">
        <v>5000</v>
      </c>
      <c r="GG37" s="19" t="s">
        <v>249</v>
      </c>
      <c r="GH37" s="3" t="s">
        <v>256</v>
      </c>
      <c r="GI37" s="8" t="s">
        <v>765</v>
      </c>
      <c r="HI37" s="12" t="s">
        <v>1075</v>
      </c>
      <c r="HJ37" s="3" t="s">
        <v>169</v>
      </c>
      <c r="HK37" s="3">
        <v>600</v>
      </c>
      <c r="HL37" s="8">
        <v>1</v>
      </c>
      <c r="HN37" s="12" t="s">
        <v>1031</v>
      </c>
      <c r="HO37" s="3" t="s">
        <v>169</v>
      </c>
      <c r="HP37" s="3">
        <v>400</v>
      </c>
      <c r="HQ37" s="3">
        <v>1</v>
      </c>
      <c r="HS37" s="3" t="s">
        <v>1032</v>
      </c>
      <c r="HT37" s="8" t="s">
        <v>1033</v>
      </c>
      <c r="IC37" s="1540" t="str">
        <f t="shared" si="11"/>
        <v/>
      </c>
      <c r="ID3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7" s="1540">
        <f t="shared" si="10"/>
        <v>35</v>
      </c>
      <c r="IF37" s="1540">
        <f t="shared" si="8"/>
        <v>520</v>
      </c>
      <c r="IG37" s="1540" t="str">
        <f t="shared" si="9"/>
        <v>Amphistaff (spit)</v>
      </c>
    </row>
    <row r="38" spans="1:241">
      <c r="A38" s="555" t="s">
        <v>563</v>
      </c>
      <c r="B38" s="555">
        <v>20</v>
      </c>
      <c r="C38" s="555">
        <v>40</v>
      </c>
      <c r="D38" s="555">
        <v>60</v>
      </c>
      <c r="E38" s="555">
        <v>80</v>
      </c>
      <c r="F38">
        <v>4</v>
      </c>
      <c r="J38" s="1323" t="s">
        <v>1360</v>
      </c>
      <c r="K38" s="3" t="s">
        <v>377</v>
      </c>
      <c r="L38" s="3" t="s">
        <v>1360</v>
      </c>
      <c r="M38" s="4"/>
      <c r="N38" s="4"/>
      <c r="O38" s="4"/>
      <c r="P38" s="4"/>
      <c r="Q38" s="4">
        <v>-2</v>
      </c>
      <c r="R38" s="4">
        <v>2</v>
      </c>
      <c r="S38" s="3" t="s">
        <v>273</v>
      </c>
      <c r="T38" s="3" t="s">
        <v>1360</v>
      </c>
      <c r="V38" s="3" t="s">
        <v>149</v>
      </c>
      <c r="W38" s="3">
        <v>19</v>
      </c>
      <c r="X38" s="3">
        <v>37</v>
      </c>
      <c r="Y38" s="3">
        <v>73</v>
      </c>
      <c r="Z38" s="3">
        <v>140</v>
      </c>
      <c r="AA38" s="3">
        <v>250</v>
      </c>
      <c r="AB38" s="3">
        <v>6</v>
      </c>
      <c r="AC38" s="3" t="s">
        <v>1361</v>
      </c>
      <c r="AD38" s="3" t="s">
        <v>1362</v>
      </c>
      <c r="AE38" s="3" t="s">
        <v>1363</v>
      </c>
      <c r="BO38" t="s">
        <v>896</v>
      </c>
      <c r="BV38" s="456" t="s">
        <v>5946</v>
      </c>
      <c r="BW38" s="12">
        <f t="shared" si="12"/>
        <v>35</v>
      </c>
      <c r="BX38" s="1173" t="s">
        <v>733</v>
      </c>
      <c r="BY38" s="19" t="s">
        <v>155</v>
      </c>
      <c r="BZ38" s="19">
        <v>1</v>
      </c>
      <c r="CA38" s="19">
        <v>3</v>
      </c>
      <c r="CB38" s="19">
        <v>3</v>
      </c>
      <c r="CC38" s="19">
        <v>3</v>
      </c>
      <c r="CD38" s="19">
        <v>10</v>
      </c>
      <c r="CG38" s="19">
        <v>7</v>
      </c>
      <c r="CH38" s="19">
        <v>12</v>
      </c>
      <c r="CI38" s="3" t="s">
        <v>688</v>
      </c>
      <c r="CJ38" s="3" t="s">
        <v>553</v>
      </c>
      <c r="CK38" s="3" t="s">
        <v>606</v>
      </c>
      <c r="CL38" s="3" t="s">
        <v>691</v>
      </c>
      <c r="CM38" s="3" t="s">
        <v>668</v>
      </c>
      <c r="CO38" s="3" t="s">
        <v>669</v>
      </c>
      <c r="CP38" s="3" t="s">
        <v>734</v>
      </c>
      <c r="CQ38" s="3" t="s">
        <v>733</v>
      </c>
      <c r="CT38" s="3">
        <f t="shared" si="4"/>
        <v>0</v>
      </c>
      <c r="CU38" s="3">
        <f t="shared" si="5"/>
        <v>0</v>
      </c>
      <c r="CW38" s="17">
        <f t="shared" si="14"/>
        <v>0</v>
      </c>
      <c r="CY38" s="8">
        <f>MAX(CT38-1,0)</f>
        <v>0</v>
      </c>
      <c r="CZ38" s="12" t="s">
        <v>2189</v>
      </c>
      <c r="DA38" s="14" t="str">
        <f>IF(OR(INT(CT36/2)&gt;0),CZ38&amp;" "&amp;INT(CT36/2),"")</f>
        <v/>
      </c>
      <c r="DB38" s="854" t="str">
        <f t="shared" si="6"/>
        <v/>
      </c>
      <c r="DC38" s="12" t="s">
        <v>6032</v>
      </c>
      <c r="DD38" t="s">
        <v>321</v>
      </c>
      <c r="DE38">
        <v>6</v>
      </c>
      <c r="DF38">
        <v>4</v>
      </c>
      <c r="DG38">
        <v>3</v>
      </c>
      <c r="DH38">
        <v>1</v>
      </c>
      <c r="DI38" t="s">
        <v>6029</v>
      </c>
      <c r="DJ38" t="s">
        <v>283</v>
      </c>
      <c r="DV38" t="s">
        <v>195</v>
      </c>
      <c r="DX38" t="s">
        <v>417</v>
      </c>
      <c r="DY38" t="s">
        <v>284</v>
      </c>
      <c r="DZ38" t="s">
        <v>1031</v>
      </c>
      <c r="EB38" t="s">
        <v>196</v>
      </c>
      <c r="EC38" s="382" t="s">
        <v>118</v>
      </c>
      <c r="EJ38">
        <v>8400</v>
      </c>
      <c r="EK38">
        <v>8.9</v>
      </c>
      <c r="EL38" t="s">
        <v>6032</v>
      </c>
      <c r="EM38" t="str">
        <f>"suits of "&amp;EL38</f>
        <v>suits of Radtrooper armor</v>
      </c>
      <c r="EN38" s="1323" t="s">
        <v>4285</v>
      </c>
      <c r="EO38" s="3" t="s">
        <v>3800</v>
      </c>
      <c r="EP38" s="3" t="s">
        <v>160</v>
      </c>
      <c r="EQ38" s="569" t="s">
        <v>460</v>
      </c>
      <c r="ER38" s="569" t="s">
        <v>1520</v>
      </c>
      <c r="ES38" s="19" t="s">
        <v>149</v>
      </c>
      <c r="EZ38" s="3" t="s">
        <v>2208</v>
      </c>
      <c r="FA38" s="3" t="str">
        <f t="shared" si="16"/>
        <v>C</v>
      </c>
      <c r="FB38" s="3" t="s">
        <v>118</v>
      </c>
      <c r="FC38" s="794" t="s">
        <v>4293</v>
      </c>
      <c r="FD38" s="3">
        <v>2</v>
      </c>
      <c r="FE38" s="3">
        <v>8</v>
      </c>
      <c r="FL38" s="569">
        <v>3000</v>
      </c>
      <c r="FM38" s="569">
        <v>0.3</v>
      </c>
      <c r="FN38" s="3" t="s">
        <v>740</v>
      </c>
      <c r="FR38" s="569" t="s">
        <v>4302</v>
      </c>
      <c r="FS38" s="8" t="str">
        <f>FR38&amp;"s"</f>
        <v>dueling lightsabers</v>
      </c>
      <c r="GC38" s="12" t="s">
        <v>8129</v>
      </c>
      <c r="GD38" s="3" t="s">
        <v>7183</v>
      </c>
      <c r="GE38" s="19">
        <v>200</v>
      </c>
      <c r="GF38" s="19">
        <v>0</v>
      </c>
      <c r="GG38" s="19" t="s">
        <v>249</v>
      </c>
      <c r="GH38" s="3" t="str">
        <f>LOWER(GC38)</f>
        <v>comlink, earbud</v>
      </c>
      <c r="GI38" s="8" t="str">
        <f>GH38&amp;"s"</f>
        <v>comlink, earbuds</v>
      </c>
      <c r="HI38" s="12" t="s">
        <v>1098</v>
      </c>
      <c r="HJ38" s="3" t="s">
        <v>173</v>
      </c>
      <c r="HL38" s="8">
        <v>0</v>
      </c>
      <c r="HM38" s="8" t="s">
        <v>371</v>
      </c>
      <c r="HN38" s="12" t="s">
        <v>925</v>
      </c>
      <c r="HO38" s="3" t="s">
        <v>169</v>
      </c>
      <c r="HP38" s="3">
        <v>500</v>
      </c>
      <c r="HQ38" s="3">
        <v>1</v>
      </c>
      <c r="HS38" s="3" t="s">
        <v>1054</v>
      </c>
      <c r="HT38" s="8" t="s">
        <v>1054</v>
      </c>
      <c r="IC38" s="1540" t="str">
        <f t="shared" si="11"/>
        <v/>
      </c>
      <c r="ID3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8" s="1540">
        <f t="shared" si="10"/>
        <v>36</v>
      </c>
      <c r="IF38" s="1540">
        <f t="shared" si="8"/>
        <v>535</v>
      </c>
      <c r="IG38" s="1540" t="str">
        <f t="shared" si="9"/>
        <v>Aurial blaster</v>
      </c>
    </row>
    <row r="39" spans="1:241">
      <c r="A39" s="555" t="s">
        <v>461</v>
      </c>
      <c r="B39" s="555">
        <v>20</v>
      </c>
      <c r="C39" s="555">
        <v>40</v>
      </c>
      <c r="D39" s="555">
        <v>60</v>
      </c>
      <c r="E39" s="555">
        <v>80</v>
      </c>
      <c r="F39" s="555">
        <v>5</v>
      </c>
      <c r="J39" s="1323" t="s">
        <v>1376</v>
      </c>
      <c r="K39" s="3" t="s">
        <v>269</v>
      </c>
      <c r="L39" s="3" t="s">
        <v>1376</v>
      </c>
      <c r="M39" s="4">
        <v>2</v>
      </c>
      <c r="N39" s="4">
        <v>-2</v>
      </c>
      <c r="O39" s="4">
        <v>2</v>
      </c>
      <c r="P39" s="4"/>
      <c r="Q39" s="4">
        <v>-2</v>
      </c>
      <c r="R39" s="4">
        <v>-2</v>
      </c>
      <c r="S39" s="3" t="s">
        <v>1376</v>
      </c>
      <c r="V39" s="3" t="s">
        <v>149</v>
      </c>
      <c r="W39" s="3">
        <v>12</v>
      </c>
      <c r="X39" s="3">
        <v>17</v>
      </c>
      <c r="Y39" s="3">
        <v>195</v>
      </c>
      <c r="Z39" s="3">
        <v>325</v>
      </c>
      <c r="AA39" s="3">
        <v>400</v>
      </c>
      <c r="AB39" s="3">
        <v>6</v>
      </c>
      <c r="AC39" s="3" t="s">
        <v>953</v>
      </c>
      <c r="AD39" s="3" t="s">
        <v>1377</v>
      </c>
      <c r="AE39" s="3" t="s">
        <v>709</v>
      </c>
      <c r="AF39" s="3" t="s">
        <v>1378</v>
      </c>
      <c r="AP39" s="3">
        <v>2</v>
      </c>
      <c r="BO39" t="s">
        <v>517</v>
      </c>
      <c r="BV39" s="456" t="s">
        <v>1057</v>
      </c>
      <c r="BW39" s="12">
        <f t="shared" si="12"/>
        <v>36</v>
      </c>
      <c r="BX39" s="12" t="s">
        <v>1215</v>
      </c>
      <c r="BY39" s="19" t="s">
        <v>530</v>
      </c>
      <c r="BZ39" s="19">
        <v>1</v>
      </c>
      <c r="CA39" s="19">
        <v>2</v>
      </c>
      <c r="CB39" s="19">
        <v>4</v>
      </c>
      <c r="CC39" s="19">
        <v>0</v>
      </c>
      <c r="CD39" s="19">
        <v>10</v>
      </c>
      <c r="CG39" s="19">
        <v>6</v>
      </c>
      <c r="CH39" s="19">
        <v>7</v>
      </c>
      <c r="CI39" s="3" t="s">
        <v>411</v>
      </c>
      <c r="CJ39" s="3" t="s">
        <v>1038</v>
      </c>
      <c r="CK39" s="3" t="s">
        <v>1216</v>
      </c>
      <c r="CP39" s="3" t="s">
        <v>1217</v>
      </c>
      <c r="CQ39" s="3" t="s">
        <v>1218</v>
      </c>
      <c r="CT39" s="3">
        <f t="shared" si="4"/>
        <v>0</v>
      </c>
      <c r="CU39" s="3">
        <f t="shared" si="5"/>
        <v>0</v>
      </c>
      <c r="CW39" s="17">
        <f t="shared" si="14"/>
        <v>0</v>
      </c>
      <c r="CZ39" s="12" t="s">
        <v>2195</v>
      </c>
      <c r="DA39" s="14" t="str">
        <f>IF(OR(CT36&gt;=6),CZ39,"")</f>
        <v/>
      </c>
      <c r="DB39" s="854" t="str">
        <f t="shared" si="6"/>
        <v/>
      </c>
      <c r="DC39" s="12" t="s">
        <v>1144</v>
      </c>
      <c r="DD39" t="s">
        <v>321</v>
      </c>
      <c r="DE39">
        <v>4</v>
      </c>
      <c r="DF39">
        <v>1</v>
      </c>
      <c r="DG39">
        <v>3</v>
      </c>
      <c r="DH39" s="1024">
        <v>1</v>
      </c>
      <c r="DI39" t="s">
        <v>173</v>
      </c>
      <c r="DJ39" t="s">
        <v>89</v>
      </c>
      <c r="DV39" t="s">
        <v>195</v>
      </c>
      <c r="DX39" t="s">
        <v>417</v>
      </c>
      <c r="EB39" s="873" t="s">
        <v>3719</v>
      </c>
      <c r="EK39">
        <v>6.9</v>
      </c>
      <c r="EL39" t="s">
        <v>1144</v>
      </c>
      <c r="EM39" t="s">
        <v>1145</v>
      </c>
      <c r="EN39" s="1323" t="s">
        <v>4286</v>
      </c>
      <c r="EO39" s="3" t="s">
        <v>3800</v>
      </c>
      <c r="EP39" s="3" t="s">
        <v>160</v>
      </c>
      <c r="EQ39" s="569" t="s">
        <v>460</v>
      </c>
      <c r="ER39" s="569" t="s">
        <v>1520</v>
      </c>
      <c r="ES39" s="19" t="s">
        <v>201</v>
      </c>
      <c r="EZ39" s="3" t="s">
        <v>2208</v>
      </c>
      <c r="FA39" s="3" t="str">
        <f t="shared" si="16"/>
        <v>C</v>
      </c>
      <c r="FB39" s="3" t="s">
        <v>118</v>
      </c>
      <c r="FC39" s="569" t="s">
        <v>4294</v>
      </c>
      <c r="FD39" s="3">
        <v>2</v>
      </c>
      <c r="FE39" s="3">
        <v>10</v>
      </c>
      <c r="FL39" s="569">
        <v>5000</v>
      </c>
      <c r="FM39" s="569">
        <v>5</v>
      </c>
      <c r="FN39" s="3" t="s">
        <v>740</v>
      </c>
      <c r="FR39" s="569" t="s">
        <v>4303</v>
      </c>
      <c r="FS39" s="8" t="str">
        <f>FR39&amp;"s"</f>
        <v>great lightsabers</v>
      </c>
      <c r="GC39" s="12" t="s">
        <v>786</v>
      </c>
      <c r="GD39" s="3" t="s">
        <v>155</v>
      </c>
      <c r="GE39" s="19">
        <v>2500</v>
      </c>
      <c r="GF39" s="19">
        <v>1</v>
      </c>
      <c r="GG39" s="19" t="s">
        <v>209</v>
      </c>
      <c r="GH39" s="3" t="s">
        <v>787</v>
      </c>
      <c r="GI39" s="8" t="s">
        <v>788</v>
      </c>
      <c r="HI39" s="12" t="s">
        <v>1115</v>
      </c>
      <c r="HJ39" s="3" t="s">
        <v>169</v>
      </c>
      <c r="HK39" s="3">
        <v>2500</v>
      </c>
      <c r="HL39" s="8">
        <v>1</v>
      </c>
      <c r="HM39" s="8" t="s">
        <v>1116</v>
      </c>
      <c r="HN39" s="12" t="s">
        <v>1076</v>
      </c>
      <c r="HO39" s="3" t="s">
        <v>169</v>
      </c>
      <c r="HP39" s="3">
        <v>500</v>
      </c>
      <c r="HQ39" s="3">
        <v>1</v>
      </c>
      <c r="HS39" s="3" t="s">
        <v>1077</v>
      </c>
      <c r="HT39" s="8" t="s">
        <v>1077</v>
      </c>
      <c r="IC39" s="1540" t="str">
        <f t="shared" si="11"/>
        <v/>
      </c>
      <c r="ID3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39" s="1540">
        <f t="shared" si="10"/>
        <v>37</v>
      </c>
      <c r="IF39" s="1540">
        <f t="shared" si="8"/>
        <v>548</v>
      </c>
      <c r="IG39" s="1540" t="str">
        <f t="shared" si="9"/>
        <v>Blast cannon</v>
      </c>
    </row>
    <row r="40" spans="1:241">
      <c r="A40" s="555" t="s">
        <v>3745</v>
      </c>
      <c r="B40" s="555">
        <v>6</v>
      </c>
      <c r="C40" s="555">
        <v>8</v>
      </c>
      <c r="D40" s="555">
        <v>10</v>
      </c>
      <c r="E40" s="555">
        <v>12</v>
      </c>
      <c r="F40">
        <v>6</v>
      </c>
      <c r="J40" s="1323" t="s">
        <v>1388</v>
      </c>
      <c r="K40" s="3" t="s">
        <v>230</v>
      </c>
      <c r="L40" s="3" t="s">
        <v>1388</v>
      </c>
      <c r="M40" s="4"/>
      <c r="N40" s="4"/>
      <c r="O40" s="4">
        <v>2</v>
      </c>
      <c r="P40" s="4">
        <v>-2</v>
      </c>
      <c r="Q40" s="4"/>
      <c r="R40" s="4"/>
      <c r="S40" s="3" t="s">
        <v>1389</v>
      </c>
      <c r="V40" s="3" t="s">
        <v>149</v>
      </c>
      <c r="W40" s="3">
        <v>9</v>
      </c>
      <c r="X40" s="3">
        <v>20</v>
      </c>
      <c r="Y40" s="3">
        <v>50</v>
      </c>
      <c r="Z40" s="3">
        <v>71</v>
      </c>
      <c r="AA40" s="3">
        <v>86</v>
      </c>
      <c r="AB40" s="3">
        <v>6</v>
      </c>
      <c r="AC40" s="3" t="s">
        <v>447</v>
      </c>
      <c r="AD40" s="3" t="s">
        <v>953</v>
      </c>
      <c r="AE40" s="3" t="s">
        <v>1390</v>
      </c>
      <c r="AF40" s="3" t="s">
        <v>1391</v>
      </c>
      <c r="AG40" s="3" t="s">
        <v>151</v>
      </c>
      <c r="AW40" s="3" t="s">
        <v>6623</v>
      </c>
      <c r="BO40" t="s">
        <v>798</v>
      </c>
      <c r="BV40" s="456" t="s">
        <v>1081</v>
      </c>
      <c r="BW40" s="12">
        <f t="shared" si="12"/>
        <v>37</v>
      </c>
      <c r="BX40" s="12" t="s">
        <v>6220</v>
      </c>
      <c r="BY40" s="19" t="s">
        <v>6222</v>
      </c>
      <c r="BZ40" s="19">
        <v>0.75</v>
      </c>
      <c r="CA40" s="19">
        <v>2</v>
      </c>
      <c r="CB40" s="19">
        <v>0</v>
      </c>
      <c r="CC40" s="19">
        <v>4</v>
      </c>
      <c r="CD40" s="19">
        <v>8</v>
      </c>
      <c r="CG40" s="19">
        <v>6</v>
      </c>
      <c r="CH40" s="19">
        <v>7</v>
      </c>
      <c r="CI40" s="3" t="s">
        <v>411</v>
      </c>
      <c r="CQ40" s="569" t="s">
        <v>6224</v>
      </c>
      <c r="CT40" s="3">
        <f>COUNTIF(AllLevels,BX40)</f>
        <v>0</v>
      </c>
      <c r="CU40" s="3">
        <f>INT(BZ40*CT40)</f>
        <v>0</v>
      </c>
      <c r="CW40" s="17">
        <f>INT((CT40/2)+0.5)</f>
        <v>0</v>
      </c>
      <c r="CZ40" s="12" t="s">
        <v>6225</v>
      </c>
      <c r="DA40" s="14" t="str">
        <f>IF(OR(INT(CT40/2)&gt;0),CT40&amp;" "&amp;INT(CT40/2),"")</f>
        <v/>
      </c>
      <c r="DB40" s="854" t="str">
        <f t="shared" si="6"/>
        <v/>
      </c>
      <c r="DC40" s="1323" t="s">
        <v>6016</v>
      </c>
      <c r="DD40" s="1317" t="s">
        <v>321</v>
      </c>
      <c r="DE40" s="1317">
        <v>6</v>
      </c>
      <c r="DF40" s="1317">
        <v>2</v>
      </c>
      <c r="DG40" s="1317">
        <v>3</v>
      </c>
      <c r="DH40" s="1364">
        <v>1</v>
      </c>
      <c r="DI40" s="1317" t="s">
        <v>155</v>
      </c>
      <c r="DJ40" s="1317" t="s">
        <v>283</v>
      </c>
      <c r="DK40" s="1317"/>
      <c r="DL40" s="1317"/>
      <c r="DM40" s="1317"/>
      <c r="DN40" s="1317"/>
      <c r="DO40" s="1317"/>
      <c r="DP40" s="1317"/>
      <c r="DQ40" s="1317"/>
      <c r="DR40" s="1317"/>
      <c r="DS40" s="1317"/>
      <c r="DT40" s="1317"/>
      <c r="DU40" s="1317"/>
      <c r="DV40" s="1317" t="s">
        <v>195</v>
      </c>
      <c r="DW40" s="1317"/>
      <c r="DX40" s="1317" t="s">
        <v>417</v>
      </c>
      <c r="DY40" s="1317" t="s">
        <v>440</v>
      </c>
      <c r="DZ40" s="1317" t="s">
        <v>284</v>
      </c>
      <c r="EA40" s="1317"/>
      <c r="EB40" s="1317" t="s">
        <v>196</v>
      </c>
      <c r="EC40" s="1317" t="s">
        <v>118</v>
      </c>
      <c r="ED40" s="1317"/>
      <c r="EE40" s="1317"/>
      <c r="EF40" s="1317"/>
      <c r="EG40" s="1317"/>
      <c r="EH40" s="1317"/>
      <c r="EI40" s="1317"/>
      <c r="EJ40" s="1317">
        <v>18000</v>
      </c>
      <c r="EK40" s="1317">
        <v>8.9</v>
      </c>
      <c r="EL40" s="1317" t="s">
        <v>1162</v>
      </c>
      <c r="EM40" s="1317" t="s">
        <v>1163</v>
      </c>
      <c r="EN40" s="1323" t="s">
        <v>1637</v>
      </c>
      <c r="EO40" s="3" t="s">
        <v>155</v>
      </c>
      <c r="EP40" s="3" t="s">
        <v>160</v>
      </c>
      <c r="EQ40" s="3" t="s">
        <v>460</v>
      </c>
      <c r="ER40" s="3" t="s">
        <v>1520</v>
      </c>
      <c r="ES40" s="19" t="s">
        <v>274</v>
      </c>
      <c r="ET40" s="19" t="s">
        <v>321</v>
      </c>
      <c r="EZ40" s="3" t="s">
        <v>1521</v>
      </c>
      <c r="FA40" s="3" t="str">
        <f t="shared" si="16"/>
        <v>C</v>
      </c>
      <c r="FB40" s="3" t="s">
        <v>118</v>
      </c>
      <c r="FC40" s="3" t="s">
        <v>1522</v>
      </c>
      <c r="FD40" s="3">
        <v>2</v>
      </c>
      <c r="FE40" s="3">
        <v>6</v>
      </c>
      <c r="FL40" s="3">
        <v>2500</v>
      </c>
      <c r="FM40" s="3">
        <v>0.5</v>
      </c>
      <c r="FN40" s="3" t="s">
        <v>740</v>
      </c>
      <c r="FQ40" s="3" t="str">
        <f>IF(EP40="R",IF(EQ40&lt;&gt;"EWP",ER40,"pistols"),"")</f>
        <v/>
      </c>
      <c r="FR40" s="3" t="s">
        <v>1638</v>
      </c>
      <c r="FS40" s="8" t="s">
        <v>1639</v>
      </c>
      <c r="GC40" s="12" t="s">
        <v>807</v>
      </c>
      <c r="GD40" s="3" t="s">
        <v>155</v>
      </c>
      <c r="GE40" s="19">
        <v>3750</v>
      </c>
      <c r="GF40" s="19">
        <v>1</v>
      </c>
      <c r="GG40" s="19" t="s">
        <v>209</v>
      </c>
      <c r="GH40" s="3" t="s">
        <v>808</v>
      </c>
      <c r="GI40" s="8" t="s">
        <v>809</v>
      </c>
      <c r="HI40" s="12" t="s">
        <v>1132</v>
      </c>
      <c r="HJ40" s="3" t="s">
        <v>169</v>
      </c>
      <c r="HK40" s="3">
        <v>1000</v>
      </c>
      <c r="HL40" s="8">
        <v>1</v>
      </c>
      <c r="HM40" s="8" t="s">
        <v>1133</v>
      </c>
      <c r="HN40" s="12" t="s">
        <v>1099</v>
      </c>
      <c r="HO40" s="3" t="s">
        <v>169</v>
      </c>
      <c r="HP40" s="3">
        <v>1000</v>
      </c>
      <c r="HQ40" s="3">
        <v>1</v>
      </c>
      <c r="HS40" s="3" t="s">
        <v>1100</v>
      </c>
      <c r="HT40" s="8" t="s">
        <v>1100</v>
      </c>
      <c r="IC40" s="1540" t="str">
        <f t="shared" ref="IC40:IC57" si="17">IF(EQ41="EWP",EN41&amp;";","")</f>
        <v/>
      </c>
      <c r="ID4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0" s="1540">
        <f t="shared" si="10"/>
        <v>38</v>
      </c>
      <c r="IF40" s="1540">
        <f t="shared" si="8"/>
        <v>558</v>
      </c>
      <c r="IG40" s="1540" t="str">
        <f t="shared" si="9"/>
        <v>Bowcaster</v>
      </c>
    </row>
    <row r="41" spans="1:241">
      <c r="A41" s="742" t="s">
        <v>4083</v>
      </c>
      <c r="B41" s="555">
        <v>0</v>
      </c>
      <c r="C41" s="555">
        <v>0</v>
      </c>
      <c r="D41" s="555">
        <v>0</v>
      </c>
      <c r="E41" s="555">
        <v>0</v>
      </c>
      <c r="F41">
        <v>7</v>
      </c>
      <c r="J41" s="1323" t="s">
        <v>8033</v>
      </c>
      <c r="K41" s="569" t="s">
        <v>7183</v>
      </c>
      <c r="L41" s="569" t="str">
        <f>J41</f>
        <v>Fosh</v>
      </c>
      <c r="N41" s="3">
        <v>2</v>
      </c>
      <c r="O41" s="3">
        <v>-2</v>
      </c>
      <c r="R41" s="3">
        <v>2</v>
      </c>
      <c r="S41" s="569" t="s">
        <v>273</v>
      </c>
      <c r="T41" s="569" t="s">
        <v>8033</v>
      </c>
      <c r="V41" s="569" t="s">
        <v>274</v>
      </c>
      <c r="W41" s="569">
        <v>12</v>
      </c>
      <c r="X41" s="569">
        <v>18</v>
      </c>
      <c r="Y41" s="3">
        <v>56</v>
      </c>
      <c r="Z41" s="569">
        <v>71</v>
      </c>
      <c r="AA41" s="569">
        <v>85</v>
      </c>
      <c r="AB41" s="569">
        <v>6</v>
      </c>
      <c r="AC41" s="569" t="s">
        <v>1101</v>
      </c>
      <c r="AD41" s="569" t="s">
        <v>8039</v>
      </c>
      <c r="BO41" t="s">
        <v>1101</v>
      </c>
      <c r="BV41" s="456" t="s">
        <v>1102</v>
      </c>
      <c r="BW41" s="12">
        <f t="shared" si="12"/>
        <v>38</v>
      </c>
      <c r="BX41" s="12" t="s">
        <v>6221</v>
      </c>
      <c r="BY41" s="19" t="s">
        <v>6222</v>
      </c>
      <c r="BZ41" s="19">
        <v>0.75</v>
      </c>
      <c r="CA41" s="19">
        <v>2</v>
      </c>
      <c r="CB41" s="19">
        <v>4</v>
      </c>
      <c r="CC41" s="19">
        <v>0</v>
      </c>
      <c r="CD41" s="19">
        <v>10</v>
      </c>
      <c r="CG41" s="19">
        <v>6</v>
      </c>
      <c r="CH41" s="19">
        <v>7</v>
      </c>
      <c r="CI41" s="3" t="s">
        <v>411</v>
      </c>
      <c r="CQ41" s="569" t="s">
        <v>6223</v>
      </c>
      <c r="CT41" s="3">
        <f>COUNTIF(AllLevels,BX41)</f>
        <v>0</v>
      </c>
      <c r="CU41" s="3">
        <f>INT(BZ41*CT41)</f>
        <v>0</v>
      </c>
      <c r="CW41" s="17">
        <f>INT((CT41/2)+0.5)</f>
        <v>0</v>
      </c>
      <c r="CZ41" s="12" t="s">
        <v>6237</v>
      </c>
      <c r="DA41" s="14" t="str">
        <f>IF(OR(CT40&gt;=6),CZ41,"")</f>
        <v/>
      </c>
      <c r="DB41" s="854" t="str">
        <f t="shared" si="6"/>
        <v/>
      </c>
      <c r="DC41" s="12" t="s">
        <v>1183</v>
      </c>
      <c r="DD41" t="s">
        <v>321</v>
      </c>
      <c r="DE41">
        <v>4</v>
      </c>
      <c r="DG41">
        <v>4</v>
      </c>
      <c r="DH41">
        <v>1</v>
      </c>
      <c r="DI41" t="s">
        <v>155</v>
      </c>
      <c r="DJ41" t="s">
        <v>283</v>
      </c>
      <c r="DV41" t="s">
        <v>195</v>
      </c>
      <c r="DX41" t="s">
        <v>417</v>
      </c>
      <c r="DY41" t="s">
        <v>284</v>
      </c>
      <c r="EB41" s="873" t="s">
        <v>196</v>
      </c>
      <c r="EC41" s="382" t="s">
        <v>118</v>
      </c>
      <c r="EK41">
        <v>8.9</v>
      </c>
      <c r="EL41" t="s">
        <v>1184</v>
      </c>
      <c r="EM41" t="s">
        <v>1185</v>
      </c>
      <c r="EN41" s="1323" t="s">
        <v>1641</v>
      </c>
      <c r="EO41" s="3" t="s">
        <v>771</v>
      </c>
      <c r="EP41" s="3" t="s">
        <v>160</v>
      </c>
      <c r="EQ41" s="3" t="s">
        <v>460</v>
      </c>
      <c r="ER41" s="3" t="s">
        <v>1520</v>
      </c>
      <c r="ES41" s="19" t="s">
        <v>149</v>
      </c>
      <c r="ET41" s="19" t="s">
        <v>321</v>
      </c>
      <c r="EZ41" s="3" t="s">
        <v>1521</v>
      </c>
      <c r="FA41" s="3" t="str">
        <f t="shared" si="16"/>
        <v>C</v>
      </c>
      <c r="FB41" s="3" t="s">
        <v>118</v>
      </c>
      <c r="FC41" s="3" t="s">
        <v>1642</v>
      </c>
      <c r="FD41" s="3">
        <v>2</v>
      </c>
      <c r="FE41" s="3">
        <v>4</v>
      </c>
      <c r="FL41" s="3">
        <v>5000</v>
      </c>
      <c r="FM41" s="3">
        <v>1</v>
      </c>
      <c r="FN41" s="3" t="s">
        <v>740</v>
      </c>
      <c r="FQ41" s="3" t="str">
        <f>IF(EP41="R",IF(EQ41&lt;&gt;"EWP",ER41,"pistols"),"")</f>
        <v/>
      </c>
      <c r="FR41" s="3" t="s">
        <v>1643</v>
      </c>
      <c r="FS41" s="8" t="s">
        <v>1644</v>
      </c>
      <c r="GC41" s="12" t="s">
        <v>829</v>
      </c>
      <c r="GD41" s="3" t="s">
        <v>155</v>
      </c>
      <c r="GE41" s="19">
        <v>3000</v>
      </c>
      <c r="GF41" s="19">
        <v>1</v>
      </c>
      <c r="GG41" s="19" t="s">
        <v>209</v>
      </c>
      <c r="GH41" s="3" t="s">
        <v>830</v>
      </c>
      <c r="GI41" s="8" t="s">
        <v>831</v>
      </c>
      <c r="HI41" s="12" t="s">
        <v>1148</v>
      </c>
      <c r="HJ41" s="3" t="s">
        <v>169</v>
      </c>
      <c r="HK41" s="3">
        <v>500</v>
      </c>
      <c r="HL41" s="8">
        <v>0</v>
      </c>
      <c r="HM41" s="8" t="s">
        <v>1149</v>
      </c>
      <c r="HN41" s="12" t="s">
        <v>1117</v>
      </c>
      <c r="HO41" s="3" t="s">
        <v>169</v>
      </c>
      <c r="HP41" s="3">
        <v>5000</v>
      </c>
      <c r="HQ41" s="3">
        <v>1</v>
      </c>
      <c r="HS41" s="3" t="s">
        <v>1118</v>
      </c>
      <c r="HT41" s="8" t="s">
        <v>1118</v>
      </c>
      <c r="IC41" s="1540" t="str">
        <f t="shared" si="17"/>
        <v/>
      </c>
      <c r="ID4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1" s="1540">
        <f t="shared" si="10"/>
        <v>39</v>
      </c>
      <c r="IF41" s="1540" t="e">
        <f t="shared" si="8"/>
        <v>#VALUE!</v>
      </c>
      <c r="IG41" s="1540" t="str">
        <f t="shared" si="9"/>
        <v/>
      </c>
    </row>
    <row r="42" spans="1:241">
      <c r="J42" s="1323" t="s">
        <v>1410</v>
      </c>
      <c r="K42" s="3" t="s">
        <v>7942</v>
      </c>
      <c r="L42" s="3" t="s">
        <v>1410</v>
      </c>
      <c r="M42" s="4">
        <v>2</v>
      </c>
      <c r="N42" s="4">
        <v>-2</v>
      </c>
      <c r="O42" s="4"/>
      <c r="P42" s="4">
        <v>-2</v>
      </c>
      <c r="Q42" s="4"/>
      <c r="R42" s="4"/>
      <c r="S42" s="3" t="s">
        <v>1411</v>
      </c>
      <c r="T42" s="3" t="s">
        <v>1412</v>
      </c>
      <c r="V42" s="3" t="s">
        <v>149</v>
      </c>
      <c r="W42" s="3">
        <v>7</v>
      </c>
      <c r="X42" s="3">
        <v>13</v>
      </c>
      <c r="Y42" s="3">
        <v>30</v>
      </c>
      <c r="Z42" s="3">
        <v>40</v>
      </c>
      <c r="AA42" s="3">
        <v>45</v>
      </c>
      <c r="AB42" s="3">
        <v>6</v>
      </c>
      <c r="AC42" s="3" t="s">
        <v>151</v>
      </c>
      <c r="AP42" s="3">
        <v>2</v>
      </c>
      <c r="AW42" s="3" t="s">
        <v>1413</v>
      </c>
      <c r="BO42" t="s">
        <v>8053</v>
      </c>
      <c r="BP42" s="1552" t="s">
        <v>8055</v>
      </c>
      <c r="BQ42" s="1552" t="s">
        <v>5810</v>
      </c>
      <c r="BV42" s="456" t="s">
        <v>8054</v>
      </c>
      <c r="BW42" s="12">
        <f t="shared" si="12"/>
        <v>39</v>
      </c>
      <c r="BX42" s="12" t="s">
        <v>6757</v>
      </c>
      <c r="BY42" s="19" t="s">
        <v>6758</v>
      </c>
      <c r="BZ42" s="19">
        <v>1</v>
      </c>
      <c r="CA42" s="19">
        <v>2</v>
      </c>
      <c r="CB42" s="19">
        <v>4</v>
      </c>
      <c r="CC42" s="19">
        <v>0</v>
      </c>
      <c r="CD42" s="19">
        <v>10</v>
      </c>
      <c r="CG42" s="19">
        <v>6</v>
      </c>
      <c r="CH42" s="19">
        <v>7</v>
      </c>
      <c r="CQ42" s="569" t="s">
        <v>6759</v>
      </c>
      <c r="CT42" s="3">
        <f>COUNTIF(AllLevels,BX42)</f>
        <v>0</v>
      </c>
      <c r="CU42" s="3">
        <f>INT(BZ42*CT42)</f>
        <v>0</v>
      </c>
      <c r="CW42" s="17">
        <f>INT((CT42/2)+0.5)</f>
        <v>0</v>
      </c>
      <c r="CZ42" s="12" t="s">
        <v>6226</v>
      </c>
      <c r="DA42" s="14" t="str">
        <f>IF(OR(INT(CT41/2)&gt;0),CZ42&amp;" ("&amp;INT(CT41/2)&amp;" square"&amp;IF(INT(CT41/2)&gt;1,"s","")&amp;")","")</f>
        <v/>
      </c>
      <c r="DB42" s="854" t="str">
        <f t="shared" si="6"/>
        <v/>
      </c>
      <c r="DC42" s="12" t="s">
        <v>6582</v>
      </c>
      <c r="DD42" t="s">
        <v>321</v>
      </c>
      <c r="DE42">
        <v>4</v>
      </c>
      <c r="DF42">
        <v>2</v>
      </c>
      <c r="DG42">
        <v>2</v>
      </c>
      <c r="DH42" s="569">
        <v>1</v>
      </c>
      <c r="DI42" t="s">
        <v>6222</v>
      </c>
      <c r="DJ42" t="s">
        <v>283</v>
      </c>
      <c r="DL42" t="s">
        <v>816</v>
      </c>
      <c r="DM42">
        <v>2</v>
      </c>
      <c r="DV42" t="s">
        <v>6583</v>
      </c>
      <c r="DX42" t="s">
        <v>417</v>
      </c>
      <c r="DY42" t="s">
        <v>284</v>
      </c>
      <c r="DZ42" t="s">
        <v>6584</v>
      </c>
      <c r="EB42" s="873" t="s">
        <v>196</v>
      </c>
      <c r="EJ42">
        <v>6750</v>
      </c>
      <c r="EK42">
        <v>2.9</v>
      </c>
      <c r="EL42" t="s">
        <v>6585</v>
      </c>
      <c r="EM42" t="s">
        <v>6586</v>
      </c>
      <c r="EN42" s="1323" t="s">
        <v>2207</v>
      </c>
      <c r="EO42" s="3" t="s">
        <v>2159</v>
      </c>
      <c r="EP42" s="3" t="s">
        <v>160</v>
      </c>
      <c r="EQ42" s="3" t="s">
        <v>460</v>
      </c>
      <c r="ER42" s="3" t="s">
        <v>1520</v>
      </c>
      <c r="ES42" s="19" t="s">
        <v>201</v>
      </c>
      <c r="ET42" s="19" t="s">
        <v>321</v>
      </c>
      <c r="EZ42" s="3" t="s">
        <v>2208</v>
      </c>
      <c r="FA42" s="3" t="str">
        <f t="shared" si="16"/>
        <v>C</v>
      </c>
      <c r="FB42" s="3" t="s">
        <v>118</v>
      </c>
      <c r="FC42" s="3" t="s">
        <v>2209</v>
      </c>
      <c r="FD42" s="3">
        <v>2</v>
      </c>
      <c r="FE42" s="3">
        <v>8</v>
      </c>
      <c r="FL42" s="3">
        <v>4500</v>
      </c>
      <c r="FM42" s="3">
        <v>2</v>
      </c>
      <c r="FN42" s="3" t="s">
        <v>740</v>
      </c>
      <c r="FQ42" s="3" t="str">
        <f>IF(EP42="R",IF(EQ42&lt;&gt;"EWP",ER42,"pistols"),"")</f>
        <v/>
      </c>
      <c r="FR42" s="3" t="s">
        <v>2210</v>
      </c>
      <c r="FS42" s="8" t="s">
        <v>2211</v>
      </c>
      <c r="GC42" s="12" t="s">
        <v>849</v>
      </c>
      <c r="GD42" s="3" t="s">
        <v>248</v>
      </c>
      <c r="GE42" s="19">
        <v>5000</v>
      </c>
      <c r="GF42" s="19">
        <v>0.5</v>
      </c>
      <c r="GG42" s="19" t="s">
        <v>249</v>
      </c>
      <c r="GH42" s="3" t="s">
        <v>850</v>
      </c>
      <c r="GI42" s="8" t="s">
        <v>851</v>
      </c>
      <c r="HI42" s="12" t="s">
        <v>1173</v>
      </c>
      <c r="HJ42" s="3" t="s">
        <v>173</v>
      </c>
      <c r="HL42" s="8">
        <v>0</v>
      </c>
      <c r="HM42" s="8" t="s">
        <v>1174</v>
      </c>
      <c r="HN42" s="12" t="s">
        <v>1134</v>
      </c>
      <c r="HO42" s="3" t="s">
        <v>169</v>
      </c>
      <c r="HP42" s="3">
        <v>20000</v>
      </c>
      <c r="HQ42" s="3">
        <v>1</v>
      </c>
      <c r="HS42" s="3" t="s">
        <v>1135</v>
      </c>
      <c r="HT42" s="8" t="s">
        <v>1135</v>
      </c>
      <c r="IC42" s="1540" t="str">
        <f t="shared" si="17"/>
        <v/>
      </c>
      <c r="ID4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2" s="1540">
        <f t="shared" si="10"/>
        <v>40</v>
      </c>
      <c r="IF42" s="1540" t="e">
        <f t="shared" si="8"/>
        <v>#VALUE!</v>
      </c>
      <c r="IG42" s="1540" t="str">
        <f t="shared" si="9"/>
        <v/>
      </c>
    </row>
    <row r="43" spans="1:241">
      <c r="A43" s="555" t="s">
        <v>11</v>
      </c>
      <c r="B43" s="555" t="s">
        <v>32</v>
      </c>
      <c r="C43" s="555" t="s">
        <v>62</v>
      </c>
      <c r="D43" s="555" t="s">
        <v>3767</v>
      </c>
      <c r="J43" s="1323" t="s">
        <v>435</v>
      </c>
      <c r="K43" s="3" t="s">
        <v>377</v>
      </c>
      <c r="L43" s="3" t="s">
        <v>435</v>
      </c>
      <c r="M43" s="4"/>
      <c r="N43" s="4"/>
      <c r="O43" s="4"/>
      <c r="P43" s="4"/>
      <c r="Q43" s="4">
        <v>2</v>
      </c>
      <c r="R43" s="4">
        <v>-2</v>
      </c>
      <c r="S43" s="3" t="s">
        <v>435</v>
      </c>
      <c r="V43" s="3" t="s">
        <v>149</v>
      </c>
      <c r="W43" s="3">
        <v>10</v>
      </c>
      <c r="X43" s="3">
        <v>15</v>
      </c>
      <c r="Y43" s="3">
        <v>30</v>
      </c>
      <c r="Z43" s="3">
        <v>46</v>
      </c>
      <c r="AA43" s="3">
        <v>61</v>
      </c>
      <c r="AB43" s="3">
        <v>6</v>
      </c>
      <c r="AC43" s="3" t="s">
        <v>517</v>
      </c>
      <c r="AD43" s="3" t="s">
        <v>1420</v>
      </c>
      <c r="AE43" s="3" t="s">
        <v>1421</v>
      </c>
      <c r="AF43" s="3" t="s">
        <v>150</v>
      </c>
      <c r="AO43" s="3">
        <v>2</v>
      </c>
      <c r="BO43" t="s">
        <v>1153</v>
      </c>
      <c r="BV43" s="456" t="s">
        <v>1154</v>
      </c>
      <c r="BX43" s="1171" t="s">
        <v>195</v>
      </c>
      <c r="BY43" s="1168"/>
      <c r="BZ43" s="1168"/>
      <c r="CA43" s="1168"/>
      <c r="CB43" s="1168"/>
      <c r="CC43" s="1168"/>
      <c r="CD43" s="1168"/>
      <c r="CE43" s="1168"/>
      <c r="CF43" s="1168"/>
      <c r="CG43" s="1168"/>
      <c r="CH43" s="1168"/>
      <c r="CI43" s="1167"/>
      <c r="CJ43" s="1167"/>
      <c r="CK43" s="1167"/>
      <c r="CL43" s="1167"/>
      <c r="CM43" s="1167"/>
      <c r="CN43" s="1167"/>
      <c r="CO43" s="1167"/>
      <c r="CP43" s="1167"/>
      <c r="CQ43" s="1167"/>
      <c r="CR43" s="1167"/>
      <c r="CS43" s="1167"/>
      <c r="CT43" s="1167"/>
      <c r="CU43" s="1167"/>
      <c r="CV43" s="1167"/>
      <c r="CW43" s="1172"/>
      <c r="CX43" s="1167"/>
      <c r="CY43" s="1169" t="s">
        <v>2115</v>
      </c>
      <c r="CZ43" s="12" t="s">
        <v>6760</v>
      </c>
      <c r="DA43" s="14" t="str">
        <f>IF(CT42&gt;=2,CZ43&amp;" +"&amp;ROUNDDOWN(CT42/2,0)*2,"")</f>
        <v/>
      </c>
      <c r="DB43" s="854" t="str">
        <f t="shared" si="6"/>
        <v/>
      </c>
      <c r="DC43" s="12" t="s">
        <v>1203</v>
      </c>
      <c r="DD43" t="s">
        <v>321</v>
      </c>
      <c r="DE43">
        <v>6</v>
      </c>
      <c r="DF43">
        <v>2</v>
      </c>
      <c r="DG43">
        <v>3</v>
      </c>
      <c r="DH43" s="1024">
        <v>1</v>
      </c>
      <c r="DI43" t="s">
        <v>248</v>
      </c>
      <c r="DJ43" t="s">
        <v>283</v>
      </c>
      <c r="DL43" t="s">
        <v>559</v>
      </c>
      <c r="DM43">
        <v>2</v>
      </c>
      <c r="DV43" t="s">
        <v>1204</v>
      </c>
      <c r="EB43" s="382" t="s">
        <v>196</v>
      </c>
      <c r="EC43" s="382" t="s">
        <v>118</v>
      </c>
      <c r="EK43">
        <v>10</v>
      </c>
      <c r="EL43" t="s">
        <v>1205</v>
      </c>
      <c r="EM43" t="s">
        <v>1206</v>
      </c>
      <c r="EN43" s="1323" t="s">
        <v>6087</v>
      </c>
      <c r="EO43" s="3" t="s">
        <v>2159</v>
      </c>
      <c r="EP43" s="3" t="s">
        <v>160</v>
      </c>
      <c r="EQ43" s="3" t="s">
        <v>460</v>
      </c>
      <c r="ER43" s="3" t="s">
        <v>1520</v>
      </c>
      <c r="ES43" s="19" t="s">
        <v>201</v>
      </c>
      <c r="ET43" s="19" t="s">
        <v>321</v>
      </c>
      <c r="EZ43" s="3" t="s">
        <v>2208</v>
      </c>
      <c r="FA43" s="3" t="str">
        <f t="shared" si="16"/>
        <v>C</v>
      </c>
      <c r="FB43" s="3" t="s">
        <v>118</v>
      </c>
      <c r="FC43" s="3" t="s">
        <v>2209</v>
      </c>
      <c r="FD43" s="3">
        <v>2</v>
      </c>
      <c r="FE43" s="3">
        <v>10</v>
      </c>
      <c r="FL43" s="3">
        <v>4500</v>
      </c>
      <c r="FM43" s="3">
        <v>2</v>
      </c>
      <c r="FN43" s="3" t="s">
        <v>740</v>
      </c>
      <c r="FQ43" s="3" t="str">
        <f>IF(EP43="R",IF(EQ43&lt;&gt;"EWP",ER43,"pistols"),"")</f>
        <v/>
      </c>
      <c r="FR43" s="3" t="s">
        <v>2210</v>
      </c>
      <c r="FS43" s="8" t="s">
        <v>2211</v>
      </c>
      <c r="GC43" s="12" t="s">
        <v>866</v>
      </c>
      <c r="GD43" s="3" t="s">
        <v>248</v>
      </c>
      <c r="GE43" s="19">
        <v>7500</v>
      </c>
      <c r="GF43" s="19">
        <v>0.5</v>
      </c>
      <c r="GG43" s="19" t="s">
        <v>249</v>
      </c>
      <c r="GH43" s="3" t="s">
        <v>867</v>
      </c>
      <c r="GI43" s="8" t="s">
        <v>868</v>
      </c>
      <c r="HI43" s="12" t="s">
        <v>1192</v>
      </c>
      <c r="HJ43" s="3" t="s">
        <v>169</v>
      </c>
      <c r="HK43" s="3">
        <v>300</v>
      </c>
      <c r="HL43" s="8">
        <v>1</v>
      </c>
      <c r="HM43" s="8" t="s">
        <v>1193</v>
      </c>
      <c r="HN43" s="12" t="s">
        <v>1150</v>
      </c>
      <c r="HO43" s="3" t="s">
        <v>169</v>
      </c>
      <c r="HP43" s="3">
        <v>10000</v>
      </c>
      <c r="HQ43" s="3">
        <v>3</v>
      </c>
      <c r="HS43" s="3" t="s">
        <v>1151</v>
      </c>
      <c r="HT43" s="8" t="s">
        <v>1151</v>
      </c>
      <c r="IC43" s="1540" t="str">
        <f t="shared" si="17"/>
        <v/>
      </c>
      <c r="ID4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3" s="1540">
        <f t="shared" si="10"/>
        <v>41</v>
      </c>
      <c r="IF43" s="1540" t="e">
        <f t="shared" si="8"/>
        <v>#VALUE!</v>
      </c>
      <c r="IG43" s="1540" t="str">
        <f t="shared" si="9"/>
        <v/>
      </c>
    </row>
    <row r="44" spans="1:241">
      <c r="A44" s="555" t="s">
        <v>3766</v>
      </c>
      <c r="B44" s="555">
        <v>5</v>
      </c>
      <c r="C44" s="555">
        <v>2</v>
      </c>
      <c r="D44" s="555">
        <v>10</v>
      </c>
      <c r="J44" s="1323" t="s">
        <v>1428</v>
      </c>
      <c r="K44" s="3" t="s">
        <v>408</v>
      </c>
      <c r="L44" s="3" t="s">
        <v>1428</v>
      </c>
      <c r="M44" s="4"/>
      <c r="N44" s="4"/>
      <c r="O44" s="4">
        <v>4</v>
      </c>
      <c r="P44" s="4"/>
      <c r="Q44" s="4">
        <v>-2</v>
      </c>
      <c r="R44" s="4">
        <v>-2</v>
      </c>
      <c r="S44" s="3" t="s">
        <v>273</v>
      </c>
      <c r="T44" s="3" t="s">
        <v>1428</v>
      </c>
      <c r="V44" s="3" t="s">
        <v>201</v>
      </c>
      <c r="W44" s="3">
        <v>10</v>
      </c>
      <c r="X44" s="3">
        <v>201</v>
      </c>
      <c r="Y44" s="3">
        <v>1000</v>
      </c>
      <c r="Z44" s="3">
        <v>2000</v>
      </c>
      <c r="AA44" s="3">
        <v>4000</v>
      </c>
      <c r="AB44" s="3">
        <v>8</v>
      </c>
      <c r="AC44" s="3" t="s">
        <v>1429</v>
      </c>
      <c r="AD44" s="3" t="s">
        <v>1430</v>
      </c>
      <c r="AE44" s="3" t="s">
        <v>1431</v>
      </c>
      <c r="AF44" s="3" t="s">
        <v>1432</v>
      </c>
      <c r="BO44" t="s">
        <v>6566</v>
      </c>
      <c r="BV44" s="456" t="s">
        <v>6561</v>
      </c>
      <c r="CW44" s="17"/>
      <c r="DB44" s="19" t="str">
        <f>IF(DA37&lt;&gt;"",DA37&amp;IF(DB45&lt;&gt;"",", "&amp;DB45,""),DB45)</f>
        <v/>
      </c>
      <c r="DC44" s="12" t="s">
        <v>1219</v>
      </c>
      <c r="DD44" t="s">
        <v>321</v>
      </c>
      <c r="DE44">
        <v>1</v>
      </c>
      <c r="DF44">
        <v>1</v>
      </c>
      <c r="DG44">
        <v>5</v>
      </c>
      <c r="DH44" s="1024">
        <v>1</v>
      </c>
      <c r="DI44" t="s">
        <v>169</v>
      </c>
      <c r="DV44" s="1024" t="s">
        <v>1220</v>
      </c>
      <c r="EB44" s="382" t="s">
        <v>196</v>
      </c>
      <c r="EJ44">
        <v>600</v>
      </c>
      <c r="EK44">
        <v>2</v>
      </c>
      <c r="EL44" t="s">
        <v>1221</v>
      </c>
      <c r="EM44" t="s">
        <v>1222</v>
      </c>
      <c r="EN44" s="1323" t="s">
        <v>6088</v>
      </c>
      <c r="EO44" s="3" t="s">
        <v>3800</v>
      </c>
      <c r="EP44" s="3" t="s">
        <v>160</v>
      </c>
      <c r="EQ44" s="3" t="s">
        <v>460</v>
      </c>
      <c r="ER44" s="3" t="s">
        <v>1520</v>
      </c>
      <c r="ES44" s="19" t="s">
        <v>201</v>
      </c>
      <c r="ET44" s="19" t="s">
        <v>321</v>
      </c>
      <c r="EZ44" s="3" t="s">
        <v>2208</v>
      </c>
      <c r="FA44" s="3" t="str">
        <f t="shared" si="16"/>
        <v>C</v>
      </c>
      <c r="FB44" s="3" t="s">
        <v>118</v>
      </c>
      <c r="FC44" s="3" t="s">
        <v>2209</v>
      </c>
      <c r="FD44" s="3">
        <v>1</v>
      </c>
      <c r="FE44" s="3">
        <v>6</v>
      </c>
      <c r="FL44" s="3">
        <v>4500</v>
      </c>
      <c r="FM44" s="3">
        <v>2</v>
      </c>
      <c r="FN44" s="3" t="s">
        <v>740</v>
      </c>
      <c r="FQ44" s="3" t="str">
        <f>IF(EP44="R",IF(EQ44&lt;&gt;"EWP",ER44,"pistols"),"")</f>
        <v/>
      </c>
      <c r="FR44" s="3" t="s">
        <v>2210</v>
      </c>
      <c r="FS44" s="8" t="s">
        <v>2211</v>
      </c>
      <c r="GC44" s="12" t="s">
        <v>887</v>
      </c>
      <c r="GD44" s="3" t="s">
        <v>248</v>
      </c>
      <c r="GE44" s="19">
        <v>6000</v>
      </c>
      <c r="GF44" s="19">
        <v>0.5</v>
      </c>
      <c r="GG44" s="19" t="s">
        <v>249</v>
      </c>
      <c r="GH44" s="3" t="s">
        <v>888</v>
      </c>
      <c r="GI44" s="8" t="s">
        <v>889</v>
      </c>
      <c r="HI44" s="12" t="s">
        <v>1213</v>
      </c>
      <c r="HJ44" s="3" t="s">
        <v>169</v>
      </c>
      <c r="HK44" s="3">
        <v>100</v>
      </c>
      <c r="HL44" s="8">
        <v>0</v>
      </c>
      <c r="HN44" s="12" t="s">
        <v>1175</v>
      </c>
      <c r="HO44" s="3" t="s">
        <v>169</v>
      </c>
      <c r="HP44" s="3">
        <v>5000</v>
      </c>
      <c r="HQ44" s="3">
        <v>2</v>
      </c>
      <c r="HS44" s="3" t="s">
        <v>1176</v>
      </c>
      <c r="HT44" s="8" t="s">
        <v>1176</v>
      </c>
      <c r="IC44" s="1540" t="str">
        <f t="shared" si="17"/>
        <v/>
      </c>
      <c r="ID4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4" s="1540">
        <f t="shared" si="10"/>
        <v>42</v>
      </c>
      <c r="IF44" s="1540" t="e">
        <f t="shared" si="8"/>
        <v>#VALUE!</v>
      </c>
      <c r="IG44" s="1540" t="str">
        <f t="shared" si="9"/>
        <v/>
      </c>
    </row>
    <row r="45" spans="1:241">
      <c r="A45" s="555" t="s">
        <v>3717</v>
      </c>
      <c r="B45" s="555">
        <v>5</v>
      </c>
      <c r="C45" s="555">
        <v>5</v>
      </c>
      <c r="D45" s="555">
        <v>12</v>
      </c>
      <c r="J45" s="1323" t="s">
        <v>1440</v>
      </c>
      <c r="K45" s="3" t="s">
        <v>408</v>
      </c>
      <c r="L45" s="3" t="s">
        <v>1440</v>
      </c>
      <c r="M45" s="4">
        <v>2</v>
      </c>
      <c r="N45" s="4"/>
      <c r="O45" s="4"/>
      <c r="P45" s="4">
        <v>-2</v>
      </c>
      <c r="Q45" s="4">
        <v>-2</v>
      </c>
      <c r="R45" s="4">
        <v>-2</v>
      </c>
      <c r="S45" s="3" t="s">
        <v>1440</v>
      </c>
      <c r="V45" s="3" t="s">
        <v>149</v>
      </c>
      <c r="W45" s="3">
        <v>7</v>
      </c>
      <c r="X45" s="3">
        <v>11</v>
      </c>
      <c r="Y45" s="3">
        <v>36</v>
      </c>
      <c r="Z45" s="3">
        <v>51</v>
      </c>
      <c r="AA45" s="3">
        <v>65</v>
      </c>
      <c r="AB45" s="3">
        <v>6</v>
      </c>
      <c r="AC45" s="3" t="s">
        <v>629</v>
      </c>
      <c r="AD45" s="3" t="s">
        <v>953</v>
      </c>
      <c r="AE45" s="3" t="s">
        <v>1441</v>
      </c>
      <c r="AH45" s="3" t="s">
        <v>550</v>
      </c>
      <c r="AO45" s="3">
        <v>1</v>
      </c>
      <c r="AW45" s="3" t="s">
        <v>1258</v>
      </c>
      <c r="BO45" t="s">
        <v>1196</v>
      </c>
      <c r="BV45" s="456" t="s">
        <v>1197</v>
      </c>
      <c r="CW45" s="17"/>
      <c r="DB45" s="19" t="str">
        <f>IF(DA38&lt;&gt;"",DA38&amp;IF(DB46&lt;&gt;"",", "&amp;DB46,""),DB46)</f>
        <v/>
      </c>
      <c r="DC45" s="12" t="s">
        <v>1235</v>
      </c>
      <c r="DD45" t="s">
        <v>321</v>
      </c>
      <c r="DE45">
        <v>1</v>
      </c>
      <c r="DF45">
        <v>1</v>
      </c>
      <c r="DG45">
        <v>5</v>
      </c>
      <c r="DH45" s="1364">
        <v>1</v>
      </c>
      <c r="DI45" t="s">
        <v>530</v>
      </c>
      <c r="DV45" t="s">
        <v>1220</v>
      </c>
      <c r="EB45" s="382" t="s">
        <v>196</v>
      </c>
      <c r="EJ45">
        <v>600</v>
      </c>
      <c r="EK45">
        <v>2</v>
      </c>
      <c r="EL45" t="s">
        <v>1221</v>
      </c>
      <c r="EM45" t="s">
        <v>1222</v>
      </c>
      <c r="EN45" s="1323" t="s">
        <v>4290</v>
      </c>
      <c r="EO45" s="3" t="s">
        <v>3800</v>
      </c>
      <c r="EP45" s="569" t="s">
        <v>160</v>
      </c>
      <c r="EQ45" s="569" t="s">
        <v>460</v>
      </c>
      <c r="ER45" s="569" t="s">
        <v>1520</v>
      </c>
      <c r="ES45" s="19" t="s">
        <v>149</v>
      </c>
      <c r="EZ45" s="3" t="s">
        <v>2208</v>
      </c>
      <c r="FA45" s="3" t="str">
        <f t="shared" si="16"/>
        <v>C</v>
      </c>
      <c r="FB45" s="3" t="s">
        <v>118</v>
      </c>
      <c r="FC45" s="569" t="s">
        <v>4295</v>
      </c>
      <c r="FD45" s="3">
        <v>2</v>
      </c>
      <c r="FE45" s="3">
        <v>8</v>
      </c>
      <c r="FL45" s="3">
        <v>2000</v>
      </c>
      <c r="FM45" s="569">
        <v>1</v>
      </c>
      <c r="FN45" s="3" t="s">
        <v>740</v>
      </c>
      <c r="FR45" s="569" t="s">
        <v>4304</v>
      </c>
      <c r="FS45" s="8" t="str">
        <f>FR45&amp;"s"</f>
        <v>retrosabers</v>
      </c>
      <c r="GC45" s="12" t="s">
        <v>904</v>
      </c>
      <c r="GD45" s="3" t="s">
        <v>155</v>
      </c>
      <c r="GE45" s="19">
        <v>250</v>
      </c>
      <c r="GF45" s="19">
        <v>0.1</v>
      </c>
      <c r="GG45" s="19" t="s">
        <v>249</v>
      </c>
      <c r="GH45" s="3" t="s">
        <v>905</v>
      </c>
      <c r="GI45" s="8" t="s">
        <v>906</v>
      </c>
      <c r="HI45" s="12" t="s">
        <v>1231</v>
      </c>
      <c r="HJ45" s="3" t="s">
        <v>1232</v>
      </c>
      <c r="HK45" s="3">
        <v>100</v>
      </c>
      <c r="HL45" s="8">
        <v>0</v>
      </c>
      <c r="HN45" s="12" t="s">
        <v>1194</v>
      </c>
      <c r="HO45" s="3" t="s">
        <v>169</v>
      </c>
      <c r="HP45" s="3">
        <v>6000</v>
      </c>
      <c r="HQ45" s="569">
        <v>1</v>
      </c>
      <c r="HS45" s="3" t="s">
        <v>1195</v>
      </c>
      <c r="IC45" s="1540" t="str">
        <f t="shared" si="17"/>
        <v/>
      </c>
      <c r="ID4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5" s="1540">
        <f t="shared" si="10"/>
        <v>43</v>
      </c>
      <c r="IF45" s="1540" t="e">
        <f t="shared" si="8"/>
        <v>#VALUE!</v>
      </c>
      <c r="IG45" s="1540" t="str">
        <f t="shared" si="9"/>
        <v/>
      </c>
    </row>
    <row r="46" spans="1:241">
      <c r="A46" s="555" t="s">
        <v>160</v>
      </c>
      <c r="B46" s="555">
        <v>5</v>
      </c>
      <c r="C46" s="555">
        <v>10</v>
      </c>
      <c r="D46" s="555">
        <v>15</v>
      </c>
      <c r="J46" s="1323" t="s">
        <v>8034</v>
      </c>
      <c r="K46" s="569" t="s">
        <v>7183</v>
      </c>
      <c r="L46" s="569" t="str">
        <f>J46</f>
        <v>Givin</v>
      </c>
      <c r="M46" s="3">
        <v>-2</v>
      </c>
      <c r="P46" s="3">
        <v>2</v>
      </c>
      <c r="S46" s="569" t="s">
        <v>273</v>
      </c>
      <c r="T46" s="569" t="s">
        <v>8034</v>
      </c>
      <c r="V46" s="569" t="s">
        <v>149</v>
      </c>
      <c r="W46" s="569">
        <v>11</v>
      </c>
      <c r="X46" s="569">
        <v>15</v>
      </c>
      <c r="Y46" s="3">
        <v>49</v>
      </c>
      <c r="Z46" s="569">
        <v>65</v>
      </c>
      <c r="AA46" s="569">
        <v>80</v>
      </c>
      <c r="AB46" s="569">
        <v>6</v>
      </c>
      <c r="AC46" s="569" t="s">
        <v>8040</v>
      </c>
      <c r="AD46" s="569" t="s">
        <v>8053</v>
      </c>
      <c r="AE46" s="3" t="s">
        <v>8041</v>
      </c>
      <c r="AP46" s="3">
        <v>2</v>
      </c>
      <c r="AR46" s="3">
        <v>2</v>
      </c>
      <c r="BO46" t="s">
        <v>549</v>
      </c>
      <c r="BV46" s="456" t="s">
        <v>1234</v>
      </c>
      <c r="CW46" s="17"/>
      <c r="DB46" s="19" t="str">
        <f>IF(DA39&lt;&gt;"",DA39&amp;IF(DB47&lt;&gt;"",", "&amp;DB47,""),DB47)</f>
        <v/>
      </c>
      <c r="DC46" s="12" t="s">
        <v>1246</v>
      </c>
      <c r="DD46" t="s">
        <v>321</v>
      </c>
      <c r="DE46">
        <v>6</v>
      </c>
      <c r="DF46">
        <v>2</v>
      </c>
      <c r="DG46">
        <v>3</v>
      </c>
      <c r="DH46">
        <v>1</v>
      </c>
      <c r="DI46" t="s">
        <v>173</v>
      </c>
      <c r="DJ46" t="s">
        <v>283</v>
      </c>
      <c r="DV46" t="s">
        <v>195</v>
      </c>
      <c r="DX46" t="s">
        <v>417</v>
      </c>
      <c r="DY46" t="s">
        <v>284</v>
      </c>
      <c r="EB46" t="s">
        <v>196</v>
      </c>
      <c r="EC46" s="382" t="s">
        <v>118</v>
      </c>
      <c r="EJ46">
        <v>8000</v>
      </c>
      <c r="EK46">
        <v>8.9</v>
      </c>
      <c r="EL46" t="s">
        <v>1246</v>
      </c>
      <c r="EM46" t="s">
        <v>1247</v>
      </c>
      <c r="EN46" s="1331" t="s">
        <v>6539</v>
      </c>
      <c r="EP46" s="569"/>
      <c r="EQ46" s="569"/>
      <c r="ER46" s="569"/>
      <c r="FC46" s="569"/>
      <c r="FM46" s="569"/>
      <c r="FR46" s="569"/>
      <c r="GC46" s="12" t="s">
        <v>922</v>
      </c>
      <c r="GD46" s="3" t="s">
        <v>155</v>
      </c>
      <c r="GE46" s="19">
        <v>375</v>
      </c>
      <c r="GF46" s="19">
        <v>0.1</v>
      </c>
      <c r="GG46" s="19" t="s">
        <v>249</v>
      </c>
      <c r="GH46" s="3" t="s">
        <v>923</v>
      </c>
      <c r="GI46" s="8" t="s">
        <v>924</v>
      </c>
      <c r="HI46" s="12" t="s">
        <v>1239</v>
      </c>
      <c r="HJ46" s="3" t="s">
        <v>1232</v>
      </c>
      <c r="HK46" s="3">
        <v>1000</v>
      </c>
      <c r="HL46" s="8">
        <v>0</v>
      </c>
      <c r="HN46" s="12" t="s">
        <v>1115</v>
      </c>
      <c r="HO46" s="3" t="s">
        <v>169</v>
      </c>
      <c r="HP46" s="3">
        <v>2500</v>
      </c>
      <c r="HQ46" s="3">
        <v>1</v>
      </c>
      <c r="HS46" s="3" t="s">
        <v>1214</v>
      </c>
      <c r="HT46" s="8" t="s">
        <v>1116</v>
      </c>
      <c r="IC46" s="1540" t="str">
        <f t="shared" si="17"/>
        <v/>
      </c>
      <c r="ID4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6" s="1540">
        <f t="shared" si="10"/>
        <v>44</v>
      </c>
      <c r="IF46" s="1540" t="e">
        <f t="shared" si="8"/>
        <v>#VALUE!</v>
      </c>
      <c r="IG46" s="1540" t="str">
        <f t="shared" si="9"/>
        <v/>
      </c>
    </row>
    <row r="47" spans="1:241">
      <c r="A47" s="555" t="s">
        <v>321</v>
      </c>
      <c r="B47" s="555">
        <v>10</v>
      </c>
      <c r="C47" s="555">
        <v>10</v>
      </c>
      <c r="D47" s="555">
        <v>17</v>
      </c>
      <c r="J47" s="1323" t="s">
        <v>8035</v>
      </c>
      <c r="K47" s="569" t="s">
        <v>7183</v>
      </c>
      <c r="L47" s="569" t="str">
        <f>J47</f>
        <v>Gotal</v>
      </c>
      <c r="S47" s="569" t="s">
        <v>273</v>
      </c>
      <c r="T47" s="569" t="s">
        <v>8035</v>
      </c>
      <c r="V47" s="569" t="s">
        <v>149</v>
      </c>
      <c r="W47" s="569">
        <v>10</v>
      </c>
      <c r="X47" s="569">
        <v>13</v>
      </c>
      <c r="Y47" s="3">
        <v>41</v>
      </c>
      <c r="Z47" s="569">
        <v>61</v>
      </c>
      <c r="AA47" s="569">
        <v>76</v>
      </c>
      <c r="AB47" s="569">
        <v>6</v>
      </c>
      <c r="AC47" s="569" t="s">
        <v>8042</v>
      </c>
      <c r="AD47" s="569" t="s">
        <v>953</v>
      </c>
      <c r="AE47" s="3" t="s">
        <v>8043</v>
      </c>
      <c r="BO47" t="s">
        <v>1244</v>
      </c>
      <c r="BV47" s="456" t="s">
        <v>1245</v>
      </c>
      <c r="CW47" s="17"/>
      <c r="DB47" s="853" t="s">
        <v>195</v>
      </c>
      <c r="DC47" s="12" t="s">
        <v>6057</v>
      </c>
      <c r="DD47" t="s">
        <v>321</v>
      </c>
      <c r="DE47">
        <v>5</v>
      </c>
      <c r="DF47">
        <v>2</v>
      </c>
      <c r="DG47">
        <v>3</v>
      </c>
      <c r="DH47" s="569">
        <v>1</v>
      </c>
      <c r="DI47" t="s">
        <v>6060</v>
      </c>
      <c r="DJ47" t="s">
        <v>89</v>
      </c>
      <c r="DX47" t="s">
        <v>456</v>
      </c>
      <c r="EB47" t="s">
        <v>610</v>
      </c>
      <c r="EJ47">
        <v>4000</v>
      </c>
      <c r="EK47">
        <v>8</v>
      </c>
      <c r="EL47" t="s">
        <v>6057</v>
      </c>
      <c r="EM47" t="str">
        <f>EL47&amp;"s"</f>
        <v>Skakoan light pressure suits</v>
      </c>
      <c r="EN47" s="1323" t="s">
        <v>6493</v>
      </c>
      <c r="EO47" s="569" t="s">
        <v>6222</v>
      </c>
      <c r="EP47" s="569" t="s">
        <v>160</v>
      </c>
      <c r="EQ47" s="569" t="s">
        <v>460</v>
      </c>
      <c r="ER47" s="569" t="s">
        <v>461</v>
      </c>
      <c r="ES47" s="19" t="s">
        <v>149</v>
      </c>
      <c r="EZ47" s="569" t="s">
        <v>357</v>
      </c>
      <c r="FA47" s="569" t="s">
        <v>3718</v>
      </c>
      <c r="FD47" s="569">
        <v>1</v>
      </c>
      <c r="FE47" s="569">
        <v>8</v>
      </c>
      <c r="FL47" s="569">
        <v>35</v>
      </c>
      <c r="FM47" s="569">
        <v>2</v>
      </c>
      <c r="FQ47" s="569" t="str">
        <f>IF(EP47="R",IF(EQ47&lt;&gt;"EWP",ER47,"pistols"),"")</f>
        <v/>
      </c>
      <c r="FR47" s="569" t="s">
        <v>6494</v>
      </c>
      <c r="FS47" s="8" t="s">
        <v>6495</v>
      </c>
      <c r="GC47" s="12" t="s">
        <v>944</v>
      </c>
      <c r="GD47" s="3" t="s">
        <v>155</v>
      </c>
      <c r="GE47" s="19">
        <v>300</v>
      </c>
      <c r="GF47" s="19">
        <v>0.1</v>
      </c>
      <c r="GG47" s="19" t="s">
        <v>249</v>
      </c>
      <c r="GH47" s="3" t="s">
        <v>945</v>
      </c>
      <c r="GI47" s="8" t="s">
        <v>946</v>
      </c>
      <c r="HI47" s="12" t="s">
        <v>1252</v>
      </c>
      <c r="HJ47" s="3" t="s">
        <v>173</v>
      </c>
      <c r="HK47" s="3">
        <v>1000</v>
      </c>
      <c r="HL47" s="8">
        <v>1</v>
      </c>
      <c r="HM47" s="8" t="s">
        <v>301</v>
      </c>
      <c r="HN47" s="12" t="s">
        <v>456</v>
      </c>
      <c r="HO47" s="3" t="s">
        <v>169</v>
      </c>
      <c r="HP47" s="3">
        <v>2000</v>
      </c>
      <c r="HQ47" s="3">
        <v>0</v>
      </c>
      <c r="HR47" s="3">
        <v>2</v>
      </c>
      <c r="HS47" s="3" t="s">
        <v>1233</v>
      </c>
      <c r="HT47" s="8" t="s">
        <v>1233</v>
      </c>
      <c r="IC47" s="1540" t="str">
        <f t="shared" si="17"/>
        <v/>
      </c>
      <c r="ID4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7" s="1540">
        <f t="shared" si="10"/>
        <v>45</v>
      </c>
      <c r="IF47" s="1540" t="e">
        <f t="shared" si="8"/>
        <v>#VALUE!</v>
      </c>
      <c r="IG47" s="1540" t="str">
        <f t="shared" si="9"/>
        <v/>
      </c>
    </row>
    <row r="48" spans="1:241">
      <c r="A48" s="555" t="s">
        <v>238</v>
      </c>
      <c r="B48" s="555">
        <v>10</v>
      </c>
      <c r="C48" s="555">
        <v>20</v>
      </c>
      <c r="D48" s="555">
        <v>30</v>
      </c>
      <c r="J48" s="1323" t="s">
        <v>1480</v>
      </c>
      <c r="K48" s="3" t="s">
        <v>230</v>
      </c>
      <c r="L48" s="3" t="s">
        <v>1480</v>
      </c>
      <c r="M48" s="4">
        <v>-2</v>
      </c>
      <c r="N48" s="4"/>
      <c r="O48" s="4"/>
      <c r="P48" s="4"/>
      <c r="Q48" s="4"/>
      <c r="R48" s="4">
        <v>2</v>
      </c>
      <c r="S48" s="3" t="s">
        <v>273</v>
      </c>
      <c r="T48" s="3" t="s">
        <v>1480</v>
      </c>
      <c r="V48" s="3" t="s">
        <v>149</v>
      </c>
      <c r="W48" s="3">
        <v>11</v>
      </c>
      <c r="X48" s="3">
        <v>16</v>
      </c>
      <c r="Y48" s="3">
        <v>41</v>
      </c>
      <c r="Z48" s="3">
        <v>63</v>
      </c>
      <c r="AA48" s="3">
        <v>80</v>
      </c>
      <c r="AB48" s="3">
        <v>6</v>
      </c>
      <c r="AC48" s="3" t="s">
        <v>517</v>
      </c>
      <c r="AD48" s="3" t="s">
        <v>1481</v>
      </c>
      <c r="AE48" s="3" t="s">
        <v>1482</v>
      </c>
      <c r="BO48" t="s">
        <v>5941</v>
      </c>
      <c r="BV48" s="456" t="s">
        <v>5942</v>
      </c>
      <c r="DC48" s="12" t="s">
        <v>6015</v>
      </c>
      <c r="DD48" t="s">
        <v>321</v>
      </c>
      <c r="DE48">
        <v>6</v>
      </c>
      <c r="DF48">
        <v>2</v>
      </c>
      <c r="DG48">
        <v>3</v>
      </c>
      <c r="DH48">
        <v>1</v>
      </c>
      <c r="DI48" t="s">
        <v>155</v>
      </c>
      <c r="DJ48" t="s">
        <v>283</v>
      </c>
      <c r="DV48" t="s">
        <v>195</v>
      </c>
      <c r="DX48" t="s">
        <v>417</v>
      </c>
      <c r="DY48" t="s">
        <v>404</v>
      </c>
      <c r="DZ48" t="s">
        <v>284</v>
      </c>
      <c r="EB48" s="382" t="s">
        <v>196</v>
      </c>
      <c r="EC48" s="382" t="s">
        <v>118</v>
      </c>
      <c r="EJ48">
        <v>18000</v>
      </c>
      <c r="EK48">
        <v>8.9</v>
      </c>
      <c r="EL48" t="s">
        <v>1261</v>
      </c>
      <c r="EM48" t="s">
        <v>1262</v>
      </c>
      <c r="EN48" s="1323" t="s">
        <v>459</v>
      </c>
      <c r="EO48" s="3" t="s">
        <v>155</v>
      </c>
      <c r="EP48" s="3" t="s">
        <v>160</v>
      </c>
      <c r="EQ48" s="3" t="s">
        <v>460</v>
      </c>
      <c r="ER48" s="3" t="s">
        <v>461</v>
      </c>
      <c r="ES48" s="19" t="s">
        <v>149</v>
      </c>
      <c r="EZ48" s="3" t="s">
        <v>242</v>
      </c>
      <c r="FA48" s="3" t="s">
        <v>321</v>
      </c>
      <c r="FD48" s="3">
        <v>1</v>
      </c>
      <c r="FE48" s="3">
        <v>8</v>
      </c>
      <c r="FL48" s="3">
        <v>50</v>
      </c>
      <c r="FM48" s="3">
        <v>1</v>
      </c>
      <c r="FQ48" s="3" t="str">
        <f>IF(EP48="R",IF(EQ48&lt;&gt;"EWP",ER48,"pistols"),"")</f>
        <v/>
      </c>
      <c r="FR48" s="3" t="s">
        <v>462</v>
      </c>
      <c r="FS48" s="8" t="s">
        <v>463</v>
      </c>
      <c r="GC48" s="12" t="s">
        <v>2180</v>
      </c>
      <c r="GD48" s="3" t="s">
        <v>2152</v>
      </c>
      <c r="GE48" s="19">
        <v>150</v>
      </c>
      <c r="GF48" s="19">
        <v>0.1</v>
      </c>
      <c r="GG48" s="19" t="s">
        <v>249</v>
      </c>
      <c r="GH48" s="3" t="s">
        <v>2181</v>
      </c>
      <c r="GI48" s="8" t="s">
        <v>2182</v>
      </c>
      <c r="HI48" s="12" t="s">
        <v>1267</v>
      </c>
      <c r="HJ48" s="3" t="s">
        <v>173</v>
      </c>
      <c r="HL48" s="8">
        <v>0</v>
      </c>
      <c r="HM48" s="8" t="s">
        <v>576</v>
      </c>
      <c r="HN48" s="12" t="s">
        <v>418</v>
      </c>
      <c r="HO48" s="3" t="s">
        <v>169</v>
      </c>
      <c r="HP48" s="3">
        <v>5000</v>
      </c>
      <c r="HQ48" s="3">
        <v>1</v>
      </c>
      <c r="HR48" s="3">
        <v>10</v>
      </c>
      <c r="HS48" s="3" t="s">
        <v>1240</v>
      </c>
      <c r="HT48" s="8" t="s">
        <v>1240</v>
      </c>
      <c r="IC48" s="1540" t="str">
        <f t="shared" si="17"/>
        <v/>
      </c>
      <c r="ID4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8" s="1540">
        <f t="shared" si="10"/>
        <v>46</v>
      </c>
      <c r="IF48" s="1540" t="e">
        <f t="shared" si="8"/>
        <v>#VALUE!</v>
      </c>
      <c r="IG48" s="1540" t="str">
        <f t="shared" si="9"/>
        <v/>
      </c>
    </row>
    <row r="49" spans="1:241">
      <c r="J49" s="1323" t="s">
        <v>1491</v>
      </c>
      <c r="K49" s="3" t="s">
        <v>7942</v>
      </c>
      <c r="L49" s="3" t="s">
        <v>1491</v>
      </c>
      <c r="M49" s="4"/>
      <c r="N49" s="4">
        <v>2</v>
      </c>
      <c r="O49" s="4"/>
      <c r="P49" s="4">
        <v>-2</v>
      </c>
      <c r="Q49" s="4"/>
      <c r="R49" s="4">
        <v>-2</v>
      </c>
      <c r="S49" s="3" t="s">
        <v>273</v>
      </c>
      <c r="T49" s="3" t="s">
        <v>1492</v>
      </c>
      <c r="V49" s="3" t="s">
        <v>149</v>
      </c>
      <c r="W49" s="3">
        <v>13</v>
      </c>
      <c r="X49" s="3">
        <v>16</v>
      </c>
      <c r="Y49" s="3">
        <v>36</v>
      </c>
      <c r="Z49" s="3">
        <v>55</v>
      </c>
      <c r="AA49" s="3">
        <v>65</v>
      </c>
      <c r="AB49" s="3">
        <v>6</v>
      </c>
      <c r="AC49" s="3" t="s">
        <v>448</v>
      </c>
      <c r="AD49" s="3" t="s">
        <v>1362</v>
      </c>
      <c r="AE49" s="3" t="s">
        <v>953</v>
      </c>
      <c r="AF49" s="3" t="s">
        <v>1493</v>
      </c>
      <c r="AO49" s="3">
        <v>2</v>
      </c>
      <c r="BB49" s="3" t="s">
        <v>461</v>
      </c>
      <c r="BC49" s="3" t="s">
        <v>1186</v>
      </c>
      <c r="BD49" s="3" t="s">
        <v>461</v>
      </c>
      <c r="BE49" s="3" t="s">
        <v>384</v>
      </c>
      <c r="BO49" t="s">
        <v>1259</v>
      </c>
      <c r="BV49" s="456" t="s">
        <v>1260</v>
      </c>
      <c r="DC49" s="12" t="s">
        <v>6056</v>
      </c>
      <c r="DD49" t="s">
        <v>321</v>
      </c>
      <c r="DE49">
        <v>5</v>
      </c>
      <c r="DF49">
        <v>2</v>
      </c>
      <c r="DG49">
        <v>3</v>
      </c>
      <c r="DH49">
        <v>1</v>
      </c>
      <c r="DI49" t="s">
        <v>6054</v>
      </c>
      <c r="DJ49" t="s">
        <v>89</v>
      </c>
      <c r="DV49" t="s">
        <v>195</v>
      </c>
      <c r="DX49" t="s">
        <v>456</v>
      </c>
      <c r="EB49" s="382" t="s">
        <v>610</v>
      </c>
      <c r="EJ49">
        <v>4000</v>
      </c>
      <c r="EK49">
        <v>8</v>
      </c>
      <c r="EL49" t="s">
        <v>6056</v>
      </c>
      <c r="EM49" t="str">
        <f>"suits of "&amp;EL49</f>
        <v>suits of SpecForce armor</v>
      </c>
      <c r="EN49" s="1323" t="s">
        <v>1207</v>
      </c>
      <c r="EO49" s="3" t="s">
        <v>155</v>
      </c>
      <c r="EP49" s="3" t="s">
        <v>160</v>
      </c>
      <c r="EQ49" s="3" t="s">
        <v>460</v>
      </c>
      <c r="ER49" s="3" t="s">
        <v>461</v>
      </c>
      <c r="ES49" s="19" t="s">
        <v>274</v>
      </c>
      <c r="EZ49" s="3" t="s">
        <v>203</v>
      </c>
      <c r="FA49" s="3" t="s">
        <v>3718</v>
      </c>
      <c r="FD49" s="3">
        <v>1</v>
      </c>
      <c r="FE49" s="3">
        <v>6</v>
      </c>
      <c r="FL49" s="3">
        <v>15</v>
      </c>
      <c r="FM49" s="3">
        <v>0.5</v>
      </c>
      <c r="FQ49" s="3" t="str">
        <f>IF(EP49="R",IF(EQ49&lt;&gt;"EWP",ER49,"pistols"),"")</f>
        <v/>
      </c>
      <c r="FR49" s="3" t="s">
        <v>1208</v>
      </c>
      <c r="FS49" s="8" t="s">
        <v>1209</v>
      </c>
      <c r="GC49" s="12" t="s">
        <v>967</v>
      </c>
      <c r="GD49" s="3" t="s">
        <v>155</v>
      </c>
      <c r="GE49" s="19">
        <v>250</v>
      </c>
      <c r="GF49" s="19">
        <v>1</v>
      </c>
      <c r="GG49" s="19" t="s">
        <v>209</v>
      </c>
      <c r="GH49" s="3" t="s">
        <v>968</v>
      </c>
      <c r="GI49" s="8" t="s">
        <v>969</v>
      </c>
      <c r="HN49" s="12" t="s">
        <v>1253</v>
      </c>
      <c r="HO49" s="3" t="s">
        <v>169</v>
      </c>
      <c r="HP49" s="3">
        <v>1000</v>
      </c>
      <c r="HQ49" s="3">
        <v>1</v>
      </c>
      <c r="HS49" s="3" t="s">
        <v>1254</v>
      </c>
      <c r="HT49" s="8" t="s">
        <v>1255</v>
      </c>
      <c r="IC49" s="1540" t="str">
        <f t="shared" si="17"/>
        <v/>
      </c>
      <c r="ID4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49" s="1540">
        <f t="shared" si="10"/>
        <v>47</v>
      </c>
      <c r="IF49" s="1540" t="e">
        <f t="shared" si="8"/>
        <v>#VALUE!</v>
      </c>
      <c r="IG49" s="1540" t="str">
        <f t="shared" si="9"/>
        <v/>
      </c>
    </row>
    <row r="50" spans="1:241">
      <c r="A50" s="565" t="s">
        <v>3773</v>
      </c>
      <c r="B50" s="565" t="s">
        <v>3778</v>
      </c>
      <c r="J50" s="1323" t="s">
        <v>8036</v>
      </c>
      <c r="K50" s="569" t="s">
        <v>7183</v>
      </c>
      <c r="L50" s="569" t="str">
        <f>J50</f>
        <v>Herglic</v>
      </c>
      <c r="M50" s="3">
        <v>4</v>
      </c>
      <c r="N50" s="3">
        <v>-4</v>
      </c>
      <c r="S50" s="569" t="s">
        <v>273</v>
      </c>
      <c r="T50" s="569" t="s">
        <v>8036</v>
      </c>
      <c r="V50" s="569" t="s">
        <v>201</v>
      </c>
      <c r="W50" s="569">
        <v>16</v>
      </c>
      <c r="X50" s="569">
        <v>20</v>
      </c>
      <c r="Y50" s="3">
        <v>56</v>
      </c>
      <c r="Z50" s="569">
        <v>80</v>
      </c>
      <c r="AA50" s="569">
        <v>96</v>
      </c>
      <c r="AB50" s="569">
        <v>6</v>
      </c>
      <c r="AC50" s="569" t="s">
        <v>8044</v>
      </c>
      <c r="AH50" s="3" t="s">
        <v>342</v>
      </c>
      <c r="BO50" t="s">
        <v>1275</v>
      </c>
      <c r="BV50" s="456" t="s">
        <v>1276</v>
      </c>
      <c r="DC50" s="12" t="s">
        <v>6014</v>
      </c>
      <c r="DD50" t="s">
        <v>321</v>
      </c>
      <c r="DE50">
        <v>6</v>
      </c>
      <c r="DF50">
        <v>2</v>
      </c>
      <c r="DG50">
        <v>3</v>
      </c>
      <c r="DH50">
        <v>1</v>
      </c>
      <c r="DI50" t="s">
        <v>155</v>
      </c>
      <c r="DJ50" t="s">
        <v>283</v>
      </c>
      <c r="DV50" t="s">
        <v>195</v>
      </c>
      <c r="DX50" t="s">
        <v>417</v>
      </c>
      <c r="DY50" t="s">
        <v>284</v>
      </c>
      <c r="EB50" s="873" t="s">
        <v>196</v>
      </c>
      <c r="EC50" s="382" t="s">
        <v>118</v>
      </c>
      <c r="EJ50">
        <v>8000</v>
      </c>
      <c r="EK50">
        <v>8.9</v>
      </c>
      <c r="EL50" t="s">
        <v>1286</v>
      </c>
      <c r="EM50" t="s">
        <v>1287</v>
      </c>
      <c r="EN50" s="1323" t="s">
        <v>8077</v>
      </c>
      <c r="EO50" s="569" t="s">
        <v>7946</v>
      </c>
      <c r="EP50" s="569" t="s">
        <v>160</v>
      </c>
      <c r="EQ50" s="1552" t="s">
        <v>460</v>
      </c>
      <c r="ER50" s="1552" t="s">
        <v>461</v>
      </c>
      <c r="ES50" s="1552" t="s">
        <v>274</v>
      </c>
      <c r="EV50" s="1552" t="s">
        <v>8081</v>
      </c>
      <c r="EZ50" s="1552" t="s">
        <v>8083</v>
      </c>
      <c r="FA50" s="1552" t="s">
        <v>321</v>
      </c>
      <c r="FB50" s="1552"/>
      <c r="FD50" s="1552">
        <v>1</v>
      </c>
      <c r="FE50" s="1552">
        <v>4</v>
      </c>
      <c r="FL50" s="1552">
        <v>700</v>
      </c>
      <c r="FM50" s="1552">
        <v>1.1000000000000001</v>
      </c>
      <c r="FN50" s="569" t="s">
        <v>360</v>
      </c>
      <c r="FP50" s="569">
        <v>1</v>
      </c>
      <c r="FR50" s="3" t="s">
        <v>8085</v>
      </c>
      <c r="FS50" s="8" t="str">
        <f>FR50&amp;"s"</f>
        <v>contact stunners</v>
      </c>
      <c r="GC50" s="12" t="s">
        <v>984</v>
      </c>
      <c r="GD50" s="3" t="s">
        <v>155</v>
      </c>
      <c r="GE50" s="19">
        <v>1250</v>
      </c>
      <c r="GF50" s="19">
        <v>1</v>
      </c>
      <c r="GG50" s="19" t="s">
        <v>209</v>
      </c>
      <c r="GH50" s="3" t="s">
        <v>968</v>
      </c>
      <c r="GI50" s="8" t="s">
        <v>969</v>
      </c>
      <c r="HN50" s="12" t="s">
        <v>1268</v>
      </c>
      <c r="HO50" s="3" t="s">
        <v>169</v>
      </c>
      <c r="HP50" s="3">
        <v>3000</v>
      </c>
      <c r="HQ50" s="3">
        <v>1</v>
      </c>
      <c r="HS50" s="3" t="s">
        <v>1269</v>
      </c>
      <c r="HT50" s="8" t="s">
        <v>1270</v>
      </c>
      <c r="IC50" s="1540" t="str">
        <f t="shared" si="17"/>
        <v/>
      </c>
      <c r="ID5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0" s="1540">
        <f t="shared" si="10"/>
        <v>48</v>
      </c>
      <c r="IF50" s="1540" t="e">
        <f t="shared" si="8"/>
        <v>#VALUE!</v>
      </c>
      <c r="IG50" s="1540" t="str">
        <f t="shared" si="9"/>
        <v/>
      </c>
    </row>
    <row r="51" spans="1:241">
      <c r="A51">
        <v>1</v>
      </c>
      <c r="B51">
        <v>1</v>
      </c>
      <c r="J51" s="1323" t="s">
        <v>1516</v>
      </c>
      <c r="K51" s="3" t="s">
        <v>377</v>
      </c>
      <c r="L51" s="3" t="s">
        <v>1516</v>
      </c>
      <c r="M51" s="4">
        <v>2</v>
      </c>
      <c r="N51" s="4"/>
      <c r="O51" s="4">
        <v>2</v>
      </c>
      <c r="P51" s="4"/>
      <c r="Q51" s="4">
        <v>-2</v>
      </c>
      <c r="R51" s="4">
        <v>-2</v>
      </c>
      <c r="S51" s="3" t="s">
        <v>273</v>
      </c>
      <c r="T51" s="3" t="s">
        <v>1516</v>
      </c>
      <c r="V51" s="3" t="s">
        <v>149</v>
      </c>
      <c r="W51" s="3">
        <v>13</v>
      </c>
      <c r="X51" s="3">
        <v>16</v>
      </c>
      <c r="Y51" s="3">
        <v>45</v>
      </c>
      <c r="Z51" s="3">
        <v>60</v>
      </c>
      <c r="AA51" s="3">
        <v>80</v>
      </c>
      <c r="AB51" s="3">
        <v>6</v>
      </c>
      <c r="AC51" s="3" t="s">
        <v>1517</v>
      </c>
      <c r="AO51" s="3">
        <v>1</v>
      </c>
      <c r="BO51" t="s">
        <v>7954</v>
      </c>
      <c r="BP51" s="1552" t="s">
        <v>8021</v>
      </c>
      <c r="BQ51" s="1552" t="s">
        <v>5809</v>
      </c>
      <c r="BV51" s="456" t="s">
        <v>8020</v>
      </c>
      <c r="DC51" s="12" t="s">
        <v>6958</v>
      </c>
      <c r="DD51" t="s">
        <v>321</v>
      </c>
      <c r="DE51">
        <v>1</v>
      </c>
      <c r="DG51">
        <v>5</v>
      </c>
      <c r="DH51" s="569">
        <v>0</v>
      </c>
      <c r="DI51" t="s">
        <v>6758</v>
      </c>
      <c r="DT51" s="1074"/>
      <c r="DU51" s="1074"/>
      <c r="DV51" t="s">
        <v>6971</v>
      </c>
      <c r="EB51" t="s">
        <v>610</v>
      </c>
      <c r="EJ51">
        <v>3500</v>
      </c>
      <c r="EK51">
        <v>2</v>
      </c>
      <c r="EL51" t="s">
        <v>6966</v>
      </c>
      <c r="EM51" t="str">
        <f>EL51&amp;"s"</f>
        <v>stun cloaks</v>
      </c>
      <c r="EN51" s="1323" t="s">
        <v>1314</v>
      </c>
      <c r="EO51" s="3" t="s">
        <v>771</v>
      </c>
      <c r="EP51" s="3" t="s">
        <v>160</v>
      </c>
      <c r="EQ51" s="3" t="s">
        <v>460</v>
      </c>
      <c r="ER51" s="3" t="s">
        <v>461</v>
      </c>
      <c r="ES51" s="19" t="s">
        <v>170</v>
      </c>
      <c r="EZ51" s="3" t="s">
        <v>242</v>
      </c>
      <c r="FA51" s="3" t="s">
        <v>779</v>
      </c>
      <c r="FC51" s="3" t="s">
        <v>780</v>
      </c>
      <c r="FD51" s="3">
        <v>1</v>
      </c>
      <c r="FE51" s="3">
        <v>4</v>
      </c>
      <c r="FL51" s="3">
        <v>500</v>
      </c>
      <c r="FM51" s="3">
        <v>0.1</v>
      </c>
      <c r="FQ51" s="3" t="str">
        <f>IF(EP51="R",IF(EQ51&lt;&gt;"EWP",ER51,"pistols"),"")</f>
        <v/>
      </c>
      <c r="FR51" s="3" t="s">
        <v>1315</v>
      </c>
      <c r="FS51" s="8" t="s">
        <v>1316</v>
      </c>
      <c r="GC51" s="12" t="s">
        <v>1007</v>
      </c>
      <c r="GD51" s="3" t="s">
        <v>155</v>
      </c>
      <c r="GE51" s="19">
        <v>500</v>
      </c>
      <c r="GF51" s="19">
        <v>1</v>
      </c>
      <c r="GG51" s="19" t="s">
        <v>209</v>
      </c>
      <c r="GH51" s="3" t="s">
        <v>968</v>
      </c>
      <c r="GI51" s="8" t="s">
        <v>969</v>
      </c>
      <c r="IC51" s="1540" t="str">
        <f t="shared" si="17"/>
        <v/>
      </c>
      <c r="ID5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1" s="1540">
        <f t="shared" si="10"/>
        <v>49</v>
      </c>
      <c r="IF51" s="1540" t="e">
        <f t="shared" si="8"/>
        <v>#VALUE!</v>
      </c>
      <c r="IG51" s="1540" t="str">
        <f t="shared" si="9"/>
        <v/>
      </c>
    </row>
    <row r="52" spans="1:241">
      <c r="A52">
        <v>2</v>
      </c>
      <c r="B52">
        <v>2</v>
      </c>
      <c r="J52" s="1323" t="s">
        <v>1528</v>
      </c>
      <c r="K52" s="3" t="s">
        <v>7942</v>
      </c>
      <c r="L52" s="3" t="s">
        <v>1528</v>
      </c>
      <c r="M52" s="4"/>
      <c r="N52" s="4"/>
      <c r="O52" s="4"/>
      <c r="P52" s="4"/>
      <c r="Q52" s="4"/>
      <c r="R52" s="4"/>
      <c r="S52" s="3" t="s">
        <v>273</v>
      </c>
      <c r="V52" s="3" t="s">
        <v>149</v>
      </c>
      <c r="W52" s="3">
        <v>12</v>
      </c>
      <c r="X52" s="3">
        <v>16</v>
      </c>
      <c r="Y52" s="3">
        <v>41</v>
      </c>
      <c r="Z52" s="3">
        <v>60</v>
      </c>
      <c r="AA52" s="3">
        <v>80</v>
      </c>
      <c r="AB52" s="3">
        <v>6</v>
      </c>
      <c r="AC52" s="3" t="s">
        <v>665</v>
      </c>
      <c r="AD52" s="3" t="s">
        <v>638</v>
      </c>
      <c r="BO52" t="s">
        <v>7977</v>
      </c>
      <c r="BV52" s="1579" t="s">
        <v>8005</v>
      </c>
      <c r="DC52" s="12" t="s">
        <v>1293</v>
      </c>
      <c r="DD52" t="s">
        <v>321</v>
      </c>
      <c r="DG52">
        <v>6</v>
      </c>
      <c r="DH52">
        <v>1</v>
      </c>
      <c r="DI52" t="s">
        <v>530</v>
      </c>
      <c r="DV52" t="s">
        <v>1294</v>
      </c>
      <c r="EB52" s="382" t="s">
        <v>3719</v>
      </c>
      <c r="EJ52">
        <v>900</v>
      </c>
      <c r="EK52">
        <v>1</v>
      </c>
      <c r="EL52" t="s">
        <v>1295</v>
      </c>
      <c r="EM52" t="s">
        <v>1296</v>
      </c>
      <c r="EN52" s="1323" t="s">
        <v>6980</v>
      </c>
      <c r="EO52" s="3" t="s">
        <v>6758</v>
      </c>
      <c r="EP52" s="3" t="s">
        <v>160</v>
      </c>
      <c r="EQ52" s="3" t="s">
        <v>460</v>
      </c>
      <c r="ER52" s="3" t="s">
        <v>461</v>
      </c>
      <c r="ES52" s="19" t="s">
        <v>274</v>
      </c>
      <c r="EZ52" s="3" t="s">
        <v>6981</v>
      </c>
      <c r="FA52" s="3" t="s">
        <v>3718</v>
      </c>
      <c r="FC52" s="3" t="s">
        <v>6982</v>
      </c>
      <c r="FD52" s="3">
        <v>1</v>
      </c>
      <c r="FE52" s="3">
        <v>6</v>
      </c>
      <c r="FL52" s="3">
        <v>50</v>
      </c>
      <c r="FM52" s="3">
        <v>1</v>
      </c>
      <c r="FR52" s="3" t="s">
        <v>6983</v>
      </c>
      <c r="FS52" s="8" t="s">
        <v>6984</v>
      </c>
      <c r="GC52" s="12" t="s">
        <v>1027</v>
      </c>
      <c r="GD52" s="3" t="s">
        <v>248</v>
      </c>
      <c r="GE52" s="19">
        <v>500</v>
      </c>
      <c r="GF52" s="19">
        <v>0.5</v>
      </c>
      <c r="GG52" s="19" t="s">
        <v>249</v>
      </c>
      <c r="GH52" s="3" t="s">
        <v>1028</v>
      </c>
      <c r="GI52" s="8" t="s">
        <v>1029</v>
      </c>
      <c r="IC52" s="1540" t="str">
        <f t="shared" si="17"/>
        <v/>
      </c>
      <c r="ID5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2" s="1540">
        <f t="shared" si="10"/>
        <v>50</v>
      </c>
      <c r="IF52" s="1540" t="e">
        <f t="shared" si="8"/>
        <v>#VALUE!</v>
      </c>
      <c r="IG52" s="1540" t="str">
        <f t="shared" si="9"/>
        <v/>
      </c>
    </row>
    <row r="53" spans="1:241">
      <c r="A53">
        <v>3</v>
      </c>
      <c r="B53">
        <v>3</v>
      </c>
      <c r="J53" s="1323" t="s">
        <v>1537</v>
      </c>
      <c r="K53" s="3" t="s">
        <v>7942</v>
      </c>
      <c r="L53" s="3" t="s">
        <v>1537</v>
      </c>
      <c r="M53" s="4">
        <v>2</v>
      </c>
      <c r="N53" s="4">
        <v>-6</v>
      </c>
      <c r="O53" s="4">
        <v>2</v>
      </c>
      <c r="P53" s="4">
        <v>2</v>
      </c>
      <c r="Q53" s="4"/>
      <c r="R53" s="4"/>
      <c r="S53" s="3" t="s">
        <v>273</v>
      </c>
      <c r="T53" s="3" t="s">
        <v>1538</v>
      </c>
      <c r="V53" s="3" t="s">
        <v>201</v>
      </c>
      <c r="W53" s="3">
        <v>71</v>
      </c>
      <c r="X53" s="3">
        <v>91</v>
      </c>
      <c r="Y53" s="3">
        <v>651</v>
      </c>
      <c r="Z53" s="3">
        <v>845</v>
      </c>
      <c r="AA53" s="3">
        <v>926</v>
      </c>
      <c r="AB53" s="3">
        <v>2</v>
      </c>
      <c r="AC53" s="3" t="s">
        <v>1152</v>
      </c>
      <c r="AD53" s="3" t="s">
        <v>1539</v>
      </c>
      <c r="AE53" s="3" t="s">
        <v>1540</v>
      </c>
      <c r="BO53" t="s">
        <v>8042</v>
      </c>
      <c r="BV53" s="456" t="s">
        <v>8057</v>
      </c>
      <c r="DC53" s="12" t="s">
        <v>1303</v>
      </c>
      <c r="DD53" t="s">
        <v>321</v>
      </c>
      <c r="DE53">
        <v>1</v>
      </c>
      <c r="DG53">
        <v>5</v>
      </c>
      <c r="DH53">
        <v>1</v>
      </c>
      <c r="DI53" t="s">
        <v>530</v>
      </c>
      <c r="DV53" t="s">
        <v>1304</v>
      </c>
      <c r="EB53" s="873" t="s">
        <v>3719</v>
      </c>
      <c r="EJ53">
        <v>300</v>
      </c>
      <c r="EK53">
        <v>0.5</v>
      </c>
      <c r="EL53" t="s">
        <v>1305</v>
      </c>
      <c r="EM53" t="s">
        <v>1306</v>
      </c>
      <c r="EN53" s="1323" t="s">
        <v>6985</v>
      </c>
      <c r="EO53" s="3" t="s">
        <v>6758</v>
      </c>
      <c r="EP53" s="3" t="s">
        <v>160</v>
      </c>
      <c r="EQ53" s="3" t="s">
        <v>460</v>
      </c>
      <c r="ER53" s="3" t="s">
        <v>461</v>
      </c>
      <c r="ES53" s="19" t="s">
        <v>274</v>
      </c>
      <c r="EZ53" s="3" t="s">
        <v>2208</v>
      </c>
      <c r="FA53" s="3" t="s">
        <v>3718</v>
      </c>
      <c r="FC53" s="3" t="s">
        <v>6986</v>
      </c>
      <c r="FD53" s="3">
        <v>2</v>
      </c>
      <c r="FE53" s="3">
        <v>4</v>
      </c>
      <c r="FL53" s="3">
        <v>200</v>
      </c>
      <c r="FM53" s="3">
        <v>1</v>
      </c>
      <c r="FR53" s="3" t="s">
        <v>6987</v>
      </c>
      <c r="FS53" s="8" t="s">
        <v>6988</v>
      </c>
      <c r="GC53" s="12" t="s">
        <v>1050</v>
      </c>
      <c r="GD53" s="3" t="s">
        <v>248</v>
      </c>
      <c r="GE53" s="19">
        <v>2500</v>
      </c>
      <c r="GF53" s="19">
        <v>0.5</v>
      </c>
      <c r="GG53" s="19" t="s">
        <v>249</v>
      </c>
      <c r="GH53" s="3" t="s">
        <v>1051</v>
      </c>
      <c r="GI53" s="8" t="s">
        <v>1052</v>
      </c>
      <c r="IC53" s="1540" t="str">
        <f t="shared" si="17"/>
        <v/>
      </c>
      <c r="ID5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3" s="1540">
        <f t="shared" si="10"/>
        <v>51</v>
      </c>
      <c r="IF53" s="1540" t="e">
        <f t="shared" si="8"/>
        <v>#VALUE!</v>
      </c>
      <c r="IG53" s="1540" t="str">
        <f t="shared" si="9"/>
        <v/>
      </c>
    </row>
    <row r="54" spans="1:241">
      <c r="A54">
        <v>4</v>
      </c>
      <c r="B54">
        <v>4</v>
      </c>
      <c r="J54" s="1323" t="s">
        <v>1546</v>
      </c>
      <c r="K54" s="3" t="s">
        <v>408</v>
      </c>
      <c r="L54" s="3" t="s">
        <v>1546</v>
      </c>
      <c r="M54" s="4"/>
      <c r="N54" s="4"/>
      <c r="O54" s="4">
        <v>2</v>
      </c>
      <c r="P54" s="4"/>
      <c r="Q54" s="4"/>
      <c r="R54" s="4">
        <v>-2</v>
      </c>
      <c r="S54" s="3" t="s">
        <v>273</v>
      </c>
      <c r="T54" s="3" t="s">
        <v>1547</v>
      </c>
      <c r="V54" s="3" t="s">
        <v>149</v>
      </c>
      <c r="W54" s="3">
        <v>14</v>
      </c>
      <c r="X54" s="3">
        <v>19</v>
      </c>
      <c r="Y54" s="3">
        <v>45</v>
      </c>
      <c r="Z54" s="3">
        <v>71</v>
      </c>
      <c r="AA54" s="3">
        <v>90</v>
      </c>
      <c r="AB54" s="3">
        <v>6</v>
      </c>
      <c r="AC54" s="3" t="s">
        <v>1548</v>
      </c>
      <c r="AD54" s="3" t="s">
        <v>1302</v>
      </c>
      <c r="AO54" s="3">
        <v>1</v>
      </c>
      <c r="BO54" t="s">
        <v>7307</v>
      </c>
      <c r="BV54" s="456" t="s">
        <v>7311</v>
      </c>
      <c r="DC54" s="12" t="s">
        <v>1311</v>
      </c>
      <c r="DD54" s="1364" t="s">
        <v>321</v>
      </c>
      <c r="DE54">
        <v>4</v>
      </c>
      <c r="DF54">
        <v>2</v>
      </c>
      <c r="DG54">
        <v>4</v>
      </c>
      <c r="DH54" s="1364">
        <v>1</v>
      </c>
      <c r="DI54" s="1364" t="s">
        <v>169</v>
      </c>
      <c r="DJ54" t="s">
        <v>89</v>
      </c>
      <c r="DT54" t="s">
        <v>618</v>
      </c>
      <c r="DU54" t="s">
        <v>6121</v>
      </c>
      <c r="DV54" s="1364" t="s">
        <v>1312</v>
      </c>
      <c r="DX54" t="s">
        <v>664</v>
      </c>
      <c r="EB54" s="1364" t="s">
        <v>3719</v>
      </c>
      <c r="EJ54">
        <v>2000</v>
      </c>
      <c r="EK54">
        <v>1</v>
      </c>
      <c r="EL54" s="1364" t="s">
        <v>1311</v>
      </c>
      <c r="EM54" s="1364" t="s">
        <v>1313</v>
      </c>
      <c r="EN54" s="1332" t="s">
        <v>6504</v>
      </c>
      <c r="EO54" s="569" t="s">
        <v>6222</v>
      </c>
      <c r="EP54" s="569" t="s">
        <v>160</v>
      </c>
      <c r="EQ54" s="3" t="s">
        <v>460</v>
      </c>
      <c r="ER54" s="569" t="s">
        <v>461</v>
      </c>
      <c r="ES54" s="1085" t="s">
        <v>201</v>
      </c>
      <c r="ET54" s="3"/>
      <c r="EU54" s="3" t="s">
        <v>202</v>
      </c>
      <c r="EV54" s="3"/>
      <c r="EW54" s="3"/>
      <c r="EX54" s="3"/>
      <c r="EY54" s="3"/>
      <c r="EZ54" s="569" t="s">
        <v>6514</v>
      </c>
      <c r="FA54" s="569" t="s">
        <v>3718</v>
      </c>
      <c r="FD54" s="3">
        <v>2</v>
      </c>
      <c r="FE54" s="3">
        <v>4</v>
      </c>
      <c r="FG54" s="3">
        <v>2</v>
      </c>
      <c r="FH54" s="3">
        <v>4</v>
      </c>
      <c r="FL54" s="569">
        <v>60</v>
      </c>
      <c r="FM54" s="569">
        <v>5</v>
      </c>
      <c r="FQ54" s="569" t="str">
        <f t="shared" ref="FQ54:FQ65" si="18">IF(EP54="R",IF(EQ54&lt;&gt;"EWP",ER54,"pistols"),"")</f>
        <v/>
      </c>
      <c r="FR54" s="3" t="str">
        <f>LOWER(EN54)</f>
        <v>gaderffii</v>
      </c>
      <c r="FS54" s="8" t="str">
        <f>FR54&amp;"s"</f>
        <v>gaderffiis</v>
      </c>
      <c r="GC54" s="12" t="s">
        <v>1072</v>
      </c>
      <c r="GD54" s="3" t="s">
        <v>248</v>
      </c>
      <c r="GE54" s="19">
        <v>1000</v>
      </c>
      <c r="GF54" s="19">
        <v>0.5</v>
      </c>
      <c r="GG54" s="19" t="s">
        <v>249</v>
      </c>
      <c r="GH54" s="3" t="s">
        <v>1073</v>
      </c>
      <c r="GI54" s="8" t="s">
        <v>1074</v>
      </c>
      <c r="IC54" s="1540" t="str">
        <f t="shared" si="17"/>
        <v/>
      </c>
      <c r="ID5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4" s="1540">
        <f t="shared" si="10"/>
        <v>52</v>
      </c>
      <c r="IF54" s="1540" t="e">
        <f t="shared" si="8"/>
        <v>#VALUE!</v>
      </c>
      <c r="IG54" s="1540" t="str">
        <f t="shared" si="9"/>
        <v/>
      </c>
    </row>
    <row r="55" spans="1:241">
      <c r="A55">
        <v>5</v>
      </c>
      <c r="B55">
        <v>6</v>
      </c>
      <c r="J55" s="1323" t="s">
        <v>7937</v>
      </c>
      <c r="K55" s="569" t="s">
        <v>7946</v>
      </c>
      <c r="L55" s="3" t="str">
        <f>J55</f>
        <v>Ishi Tib</v>
      </c>
      <c r="P55" s="3">
        <v>2</v>
      </c>
      <c r="S55" s="569" t="s">
        <v>273</v>
      </c>
      <c r="T55" s="3" t="s">
        <v>7953</v>
      </c>
      <c r="V55" s="569" t="s">
        <v>149</v>
      </c>
      <c r="W55" s="569">
        <v>7</v>
      </c>
      <c r="X55" s="569">
        <v>12</v>
      </c>
      <c r="Y55" s="569">
        <v>40</v>
      </c>
      <c r="Z55" s="569">
        <v>60</v>
      </c>
      <c r="AA55" s="569">
        <v>80</v>
      </c>
      <c r="AB55" s="569">
        <v>6</v>
      </c>
      <c r="AC55" s="569" t="s">
        <v>447</v>
      </c>
      <c r="AD55" s="569" t="s">
        <v>7954</v>
      </c>
      <c r="AE55" s="3" t="s">
        <v>448</v>
      </c>
      <c r="AF55" s="569" t="s">
        <v>1493</v>
      </c>
      <c r="AG55" s="569" t="s">
        <v>953</v>
      </c>
      <c r="BF55" s="3" t="s">
        <v>7955</v>
      </c>
      <c r="BG55" s="3" t="str">
        <f ca="1">"1d"&amp;MIN(12,UnarmedDieIncreases*2+6)</f>
        <v>1d6</v>
      </c>
      <c r="BH55" s="3" t="s">
        <v>635</v>
      </c>
      <c r="BO55" t="s">
        <v>772</v>
      </c>
      <c r="BV55" s="456" t="s">
        <v>8047</v>
      </c>
      <c r="DC55" s="12" t="s">
        <v>1333</v>
      </c>
      <c r="DD55" s="1364" t="s">
        <v>321</v>
      </c>
      <c r="DE55">
        <v>5</v>
      </c>
      <c r="DF55">
        <v>5</v>
      </c>
      <c r="DG55">
        <v>4</v>
      </c>
      <c r="DH55" s="1364">
        <v>1</v>
      </c>
      <c r="DI55" s="1364" t="s">
        <v>155</v>
      </c>
      <c r="DV55" s="1364" t="s">
        <v>195</v>
      </c>
      <c r="EB55" s="1364" t="s">
        <v>3719</v>
      </c>
      <c r="EC55" s="382" t="s">
        <v>118</v>
      </c>
      <c r="EK55">
        <v>5</v>
      </c>
      <c r="EL55" s="1364" t="s">
        <v>1334</v>
      </c>
      <c r="EM55" s="1364" t="s">
        <v>1335</v>
      </c>
      <c r="EN55" s="1323" t="s">
        <v>1566</v>
      </c>
      <c r="EO55" s="3" t="s">
        <v>155</v>
      </c>
      <c r="EP55" s="3" t="s">
        <v>160</v>
      </c>
      <c r="EQ55" s="3" t="s">
        <v>460</v>
      </c>
      <c r="ER55" s="3" t="s">
        <v>461</v>
      </c>
      <c r="ES55" s="19" t="s">
        <v>170</v>
      </c>
      <c r="EZ55" s="3" t="s">
        <v>1404</v>
      </c>
      <c r="FA55" s="3" t="s">
        <v>3718</v>
      </c>
      <c r="FD55" s="3">
        <v>1</v>
      </c>
      <c r="FE55" s="3">
        <v>4</v>
      </c>
      <c r="FL55" s="3">
        <v>25</v>
      </c>
      <c r="FM55" s="3">
        <v>1</v>
      </c>
      <c r="FQ55" s="3" t="str">
        <f t="shared" si="18"/>
        <v/>
      </c>
      <c r="FR55" s="3" t="s">
        <v>1567</v>
      </c>
      <c r="FS55" s="8" t="s">
        <v>1568</v>
      </c>
      <c r="GC55" s="12" t="s">
        <v>1095</v>
      </c>
      <c r="GD55" s="3" t="s">
        <v>155</v>
      </c>
      <c r="GE55" s="19">
        <v>25</v>
      </c>
      <c r="GF55" s="19">
        <v>0.1</v>
      </c>
      <c r="GG55" s="19" t="s">
        <v>249</v>
      </c>
      <c r="GH55" s="3" t="s">
        <v>1096</v>
      </c>
      <c r="GI55" s="8" t="s">
        <v>1097</v>
      </c>
      <c r="IC55" s="1540" t="str">
        <f t="shared" si="17"/>
        <v/>
      </c>
      <c r="ID5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5" s="1540">
        <f t="shared" si="10"/>
        <v>53</v>
      </c>
      <c r="IF55" s="1540" t="e">
        <f t="shared" si="8"/>
        <v>#VALUE!</v>
      </c>
      <c r="IG55" s="1540" t="str">
        <f t="shared" si="9"/>
        <v/>
      </c>
    </row>
    <row r="56" spans="1:241">
      <c r="A56">
        <v>6</v>
      </c>
      <c r="B56">
        <v>8</v>
      </c>
      <c r="J56" s="1323" t="s">
        <v>1564</v>
      </c>
      <c r="K56" s="3" t="s">
        <v>7942</v>
      </c>
      <c r="L56" s="3" t="s">
        <v>1564</v>
      </c>
      <c r="M56" s="4"/>
      <c r="N56" s="4">
        <v>-2</v>
      </c>
      <c r="O56" s="4"/>
      <c r="P56" s="4"/>
      <c r="Q56" s="4">
        <v>2</v>
      </c>
      <c r="R56" s="4">
        <v>2</v>
      </c>
      <c r="S56" s="3" t="s">
        <v>273</v>
      </c>
      <c r="T56" s="3" t="s">
        <v>1565</v>
      </c>
      <c r="V56" s="3" t="s">
        <v>149</v>
      </c>
      <c r="W56" s="3">
        <v>14</v>
      </c>
      <c r="X56" s="3">
        <v>18</v>
      </c>
      <c r="Y56" s="3">
        <v>45</v>
      </c>
      <c r="Z56" s="3">
        <v>70</v>
      </c>
      <c r="AA56" s="3">
        <v>85</v>
      </c>
      <c r="AB56" s="3">
        <v>6</v>
      </c>
      <c r="AC56" s="3" t="s">
        <v>189</v>
      </c>
      <c r="AD56" s="3" t="s">
        <v>989</v>
      </c>
      <c r="AH56" s="3" t="s">
        <v>516</v>
      </c>
      <c r="AQ56" s="3">
        <v>2</v>
      </c>
      <c r="BO56" t="s">
        <v>8040</v>
      </c>
      <c r="BV56" s="456" t="s">
        <v>8052</v>
      </c>
      <c r="DC56" s="12" t="s">
        <v>4460</v>
      </c>
      <c r="DD56" s="1364" t="s">
        <v>321</v>
      </c>
      <c r="DH56" s="1364">
        <v>1</v>
      </c>
      <c r="DI56" s="1364" t="s">
        <v>3800</v>
      </c>
      <c r="DX56" s="1364"/>
      <c r="DY56" s="1364"/>
      <c r="EB56" s="1364" t="s">
        <v>3719</v>
      </c>
      <c r="EC56" s="382" t="s">
        <v>118</v>
      </c>
      <c r="EJ56">
        <v>200</v>
      </c>
      <c r="EK56">
        <v>2</v>
      </c>
      <c r="EL56" s="1364" t="s">
        <v>4460</v>
      </c>
      <c r="EM56" s="1364" t="str">
        <f>EL56&amp;"s"</f>
        <v>WJ-880 blinding helmets</v>
      </c>
      <c r="EN56" s="1323" t="s">
        <v>1654</v>
      </c>
      <c r="EO56" s="3" t="s">
        <v>155</v>
      </c>
      <c r="EP56" s="3" t="s">
        <v>160</v>
      </c>
      <c r="EQ56" s="3" t="s">
        <v>460</v>
      </c>
      <c r="ER56" s="3" t="s">
        <v>461</v>
      </c>
      <c r="ES56" s="19" t="s">
        <v>149</v>
      </c>
      <c r="EZ56" s="3" t="s">
        <v>203</v>
      </c>
      <c r="FA56" s="3" t="s">
        <v>3718</v>
      </c>
      <c r="FD56" s="3">
        <v>1</v>
      </c>
      <c r="FE56" s="3">
        <v>8</v>
      </c>
      <c r="FL56" s="3">
        <v>50</v>
      </c>
      <c r="FM56" s="3">
        <v>2.5</v>
      </c>
      <c r="FQ56" s="3" t="str">
        <f t="shared" si="18"/>
        <v/>
      </c>
      <c r="FR56" s="3" t="s">
        <v>1655</v>
      </c>
      <c r="FS56" s="8" t="s">
        <v>1656</v>
      </c>
      <c r="GC56" s="12" t="s">
        <v>1114</v>
      </c>
      <c r="GD56" s="3" t="s">
        <v>155</v>
      </c>
      <c r="GE56" s="19">
        <v>125</v>
      </c>
      <c r="GF56" s="19">
        <v>0.1</v>
      </c>
      <c r="GG56" s="19" t="s">
        <v>249</v>
      </c>
      <c r="GH56" s="3" t="s">
        <v>1096</v>
      </c>
      <c r="GI56" s="8" t="s">
        <v>1097</v>
      </c>
      <c r="IC56" s="1540" t="str">
        <f t="shared" si="17"/>
        <v/>
      </c>
      <c r="ID5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6" s="1540">
        <f t="shared" si="10"/>
        <v>54</v>
      </c>
      <c r="IF56" s="1540" t="e">
        <f t="shared" si="8"/>
        <v>#VALUE!</v>
      </c>
      <c r="IG56" s="1540" t="str">
        <f t="shared" si="9"/>
        <v/>
      </c>
    </row>
    <row r="57" spans="1:241">
      <c r="A57">
        <v>7</v>
      </c>
      <c r="B57">
        <v>10</v>
      </c>
      <c r="F57" s="1641"/>
      <c r="J57" s="1323" t="s">
        <v>1572</v>
      </c>
      <c r="K57" s="3" t="s">
        <v>377</v>
      </c>
      <c r="L57" s="3" t="s">
        <v>1572</v>
      </c>
      <c r="M57" s="4">
        <v>-2</v>
      </c>
      <c r="N57" s="4">
        <v>2</v>
      </c>
      <c r="O57" s="4"/>
      <c r="P57" s="4"/>
      <c r="Q57" s="4"/>
      <c r="R57" s="4"/>
      <c r="S57" s="3" t="s">
        <v>1572</v>
      </c>
      <c r="T57" s="3" t="s">
        <v>1573</v>
      </c>
      <c r="V57" s="3" t="s">
        <v>274</v>
      </c>
      <c r="W57" s="3">
        <v>10</v>
      </c>
      <c r="X57" s="3">
        <v>15</v>
      </c>
      <c r="Y57" s="3">
        <v>40</v>
      </c>
      <c r="Z57" s="3">
        <v>60</v>
      </c>
      <c r="AA57" s="3">
        <v>80</v>
      </c>
      <c r="AB57" s="3">
        <v>4</v>
      </c>
      <c r="AC57" s="3" t="s">
        <v>517</v>
      </c>
      <c r="AD57" s="3" t="s">
        <v>1196</v>
      </c>
      <c r="AE57" s="3" t="s">
        <v>1574</v>
      </c>
      <c r="AK57" s="3" t="s">
        <v>550</v>
      </c>
      <c r="BO57" t="s">
        <v>313</v>
      </c>
      <c r="BT57" s="1552" t="s">
        <v>228</v>
      </c>
      <c r="BV57" s="456" t="s">
        <v>1321</v>
      </c>
      <c r="DC57" s="683" t="s">
        <v>6062</v>
      </c>
      <c r="DD57" t="s">
        <v>160</v>
      </c>
      <c r="EB57" s="873"/>
      <c r="EN57" s="1323" t="s">
        <v>1738</v>
      </c>
      <c r="EO57" s="3" t="s">
        <v>173</v>
      </c>
      <c r="EP57" s="3" t="s">
        <v>160</v>
      </c>
      <c r="EQ57" s="3" t="s">
        <v>460</v>
      </c>
      <c r="ER57" s="3" t="s">
        <v>461</v>
      </c>
      <c r="ES57" s="19" t="s">
        <v>201</v>
      </c>
      <c r="EZ57" s="3" t="s">
        <v>357</v>
      </c>
      <c r="FA57" s="3" t="s">
        <v>204</v>
      </c>
      <c r="FB57" s="3" t="s">
        <v>118</v>
      </c>
      <c r="FD57" s="3">
        <v>1</v>
      </c>
      <c r="FE57" s="3">
        <v>12</v>
      </c>
      <c r="FL57" s="3">
        <v>1000</v>
      </c>
      <c r="FM57" s="3">
        <v>10</v>
      </c>
      <c r="FQ57" s="3" t="str">
        <f t="shared" si="18"/>
        <v/>
      </c>
      <c r="FR57" s="3" t="s">
        <v>1739</v>
      </c>
      <c r="FS57" s="8" t="s">
        <v>1740</v>
      </c>
      <c r="GC57" s="12" t="s">
        <v>1131</v>
      </c>
      <c r="GD57" s="3" t="s">
        <v>155</v>
      </c>
      <c r="GE57" s="19">
        <v>50</v>
      </c>
      <c r="GF57" s="19">
        <v>0.1</v>
      </c>
      <c r="GG57" s="19" t="s">
        <v>249</v>
      </c>
      <c r="GH57" s="3" t="s">
        <v>1096</v>
      </c>
      <c r="GI57" s="8" t="s">
        <v>1097</v>
      </c>
      <c r="IC57" s="1540" t="str">
        <f t="shared" si="17"/>
        <v/>
      </c>
      <c r="ID5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7" s="1540">
        <f t="shared" si="10"/>
        <v>55</v>
      </c>
      <c r="IF57" s="1540" t="e">
        <f t="shared" si="8"/>
        <v>#VALUE!</v>
      </c>
      <c r="IG57" s="1540" t="str">
        <f t="shared" si="9"/>
        <v/>
      </c>
    </row>
    <row r="58" spans="1:241">
      <c r="A58">
        <v>8</v>
      </c>
      <c r="B58">
        <v>12</v>
      </c>
      <c r="J58" s="1323" t="s">
        <v>1587</v>
      </c>
      <c r="K58" s="3" t="s">
        <v>408</v>
      </c>
      <c r="L58" s="3" t="s">
        <v>1587</v>
      </c>
      <c r="M58" s="4"/>
      <c r="N58" s="4">
        <v>-2</v>
      </c>
      <c r="O58" s="4">
        <v>2</v>
      </c>
      <c r="P58" s="4">
        <v>-2</v>
      </c>
      <c r="Q58" s="4"/>
      <c r="R58" s="4">
        <v>2</v>
      </c>
      <c r="S58" s="3" t="s">
        <v>273</v>
      </c>
      <c r="T58" s="3" t="s">
        <v>1587</v>
      </c>
      <c r="V58" s="3" t="s">
        <v>149</v>
      </c>
      <c r="W58" s="3">
        <v>10</v>
      </c>
      <c r="X58" s="3">
        <v>25</v>
      </c>
      <c r="Y58" s="3">
        <v>41</v>
      </c>
      <c r="Z58" s="3">
        <v>56</v>
      </c>
      <c r="AA58" s="3">
        <v>80</v>
      </c>
      <c r="AB58" s="3">
        <v>6</v>
      </c>
      <c r="AC58" s="3" t="s">
        <v>517</v>
      </c>
      <c r="AD58" s="3" t="s">
        <v>1244</v>
      </c>
      <c r="AE58" s="3" t="s">
        <v>1588</v>
      </c>
      <c r="AH58" s="3" t="s">
        <v>795</v>
      </c>
      <c r="BO58" t="s">
        <v>1302</v>
      </c>
      <c r="BP58" s="1552" t="s">
        <v>731</v>
      </c>
      <c r="BQ58" s="1552" t="s">
        <v>5810</v>
      </c>
      <c r="BV58" s="456" t="s">
        <v>1379</v>
      </c>
      <c r="DC58" s="12" t="s">
        <v>194</v>
      </c>
      <c r="DD58" t="s">
        <v>160</v>
      </c>
      <c r="DE58">
        <v>8</v>
      </c>
      <c r="DF58">
        <v>2</v>
      </c>
      <c r="DG58">
        <v>2</v>
      </c>
      <c r="DH58">
        <v>1</v>
      </c>
      <c r="DI58" t="s">
        <v>155</v>
      </c>
      <c r="DV58" t="s">
        <v>195</v>
      </c>
      <c r="EB58" s="873" t="s">
        <v>196</v>
      </c>
      <c r="EJ58">
        <v>7000</v>
      </c>
      <c r="EK58">
        <v>16</v>
      </c>
      <c r="EL58" t="s">
        <v>197</v>
      </c>
      <c r="EM58" t="s">
        <v>198</v>
      </c>
      <c r="EN58" s="1323" t="s">
        <v>1840</v>
      </c>
      <c r="EO58" s="3" t="s">
        <v>155</v>
      </c>
      <c r="EP58" s="3" t="s">
        <v>160</v>
      </c>
      <c r="EQ58" s="3" t="s">
        <v>460</v>
      </c>
      <c r="ER58" s="3" t="s">
        <v>461</v>
      </c>
      <c r="ES58" s="19" t="s">
        <v>201</v>
      </c>
      <c r="EU58" s="19" t="s">
        <v>202</v>
      </c>
      <c r="EZ58" s="3" t="s">
        <v>203</v>
      </c>
      <c r="FA58" s="3" t="s">
        <v>3718</v>
      </c>
      <c r="FD58" s="3">
        <v>1</v>
      </c>
      <c r="FE58" s="3">
        <v>6</v>
      </c>
      <c r="FG58" s="3">
        <v>1</v>
      </c>
      <c r="FH58" s="3">
        <v>6</v>
      </c>
      <c r="FL58" s="3">
        <v>65</v>
      </c>
      <c r="FM58" s="3">
        <v>1.8</v>
      </c>
      <c r="FQ58" s="3" t="str">
        <f t="shared" si="18"/>
        <v/>
      </c>
      <c r="FR58" s="3" t="s">
        <v>1841</v>
      </c>
      <c r="FS58" s="8" t="s">
        <v>1842</v>
      </c>
      <c r="GC58" s="12" t="s">
        <v>7277</v>
      </c>
      <c r="GD58" s="3" t="s">
        <v>6758</v>
      </c>
      <c r="GE58" s="19">
        <v>300</v>
      </c>
      <c r="GF58" s="19">
        <v>0.5</v>
      </c>
      <c r="GG58" s="19" t="s">
        <v>249</v>
      </c>
      <c r="GH58" s="3" t="s">
        <v>7292</v>
      </c>
      <c r="GI58" s="8" t="str">
        <f>GH58&amp;"s"</f>
        <v>tightbeam comlinks</v>
      </c>
      <c r="IC58" s="1540" t="str">
        <f t="shared" ref="IC58:IC65" si="19">IF(EQ60="EWP",EN60&amp;";","")</f>
        <v/>
      </c>
      <c r="ID58"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8" s="1540">
        <f t="shared" si="10"/>
        <v>56</v>
      </c>
      <c r="IF58" s="1540" t="e">
        <f t="shared" si="8"/>
        <v>#VALUE!</v>
      </c>
      <c r="IG58" s="1540" t="str">
        <f t="shared" si="9"/>
        <v/>
      </c>
    </row>
    <row r="59" spans="1:241">
      <c r="J59" s="1323" t="s">
        <v>1595</v>
      </c>
      <c r="K59" s="3" t="s">
        <v>408</v>
      </c>
      <c r="L59" s="3" t="s">
        <v>1595</v>
      </c>
      <c r="M59" s="4"/>
      <c r="N59" s="4"/>
      <c r="O59" s="4"/>
      <c r="P59" s="4">
        <v>2</v>
      </c>
      <c r="Q59" s="4">
        <v>-2</v>
      </c>
      <c r="R59" s="4"/>
      <c r="S59" s="3" t="s">
        <v>273</v>
      </c>
      <c r="T59" s="3" t="s">
        <v>1595</v>
      </c>
      <c r="V59" s="3" t="s">
        <v>149</v>
      </c>
      <c r="W59" s="3">
        <v>7</v>
      </c>
      <c r="X59" s="3">
        <v>11</v>
      </c>
      <c r="Y59" s="3">
        <v>40</v>
      </c>
      <c r="Z59" s="3">
        <v>60</v>
      </c>
      <c r="AA59" s="3">
        <v>80</v>
      </c>
      <c r="AB59" s="3">
        <v>6</v>
      </c>
      <c r="AC59" s="3" t="s">
        <v>1596</v>
      </c>
      <c r="AH59" s="3" t="s">
        <v>836</v>
      </c>
      <c r="BO59" t="s">
        <v>448</v>
      </c>
      <c r="BP59" s="1552" t="s">
        <v>816</v>
      </c>
      <c r="BQ59" s="1552" t="s">
        <v>5810</v>
      </c>
      <c r="BT59" s="1552" t="s">
        <v>816</v>
      </c>
      <c r="BV59" s="456" t="s">
        <v>1397</v>
      </c>
      <c r="DC59" s="12" t="s">
        <v>381</v>
      </c>
      <c r="DD59" t="s">
        <v>160</v>
      </c>
      <c r="DE59">
        <v>7</v>
      </c>
      <c r="DF59">
        <v>2</v>
      </c>
      <c r="DG59">
        <v>2</v>
      </c>
      <c r="DH59">
        <v>2</v>
      </c>
      <c r="DI59" t="s">
        <v>173</v>
      </c>
      <c r="DJ59" t="s">
        <v>283</v>
      </c>
      <c r="DV59" t="s">
        <v>195</v>
      </c>
      <c r="DX59" t="s">
        <v>284</v>
      </c>
      <c r="EB59" s="873" t="s">
        <v>196</v>
      </c>
      <c r="EJ59">
        <v>11000</v>
      </c>
      <c r="EK59">
        <v>16</v>
      </c>
      <c r="EL59" t="s">
        <v>382</v>
      </c>
      <c r="EM59" t="s">
        <v>383</v>
      </c>
      <c r="EN59" s="1323" t="s">
        <v>8916</v>
      </c>
      <c r="EO59" s="569" t="s">
        <v>771</v>
      </c>
      <c r="EP59" s="569" t="s">
        <v>160</v>
      </c>
      <c r="EQ59" s="569" t="s">
        <v>460</v>
      </c>
      <c r="ER59" s="569" t="s">
        <v>461</v>
      </c>
      <c r="ES59" s="19" t="s">
        <v>149</v>
      </c>
      <c r="EV59" s="19" t="s">
        <v>202</v>
      </c>
      <c r="EZ59" s="569" t="s">
        <v>203</v>
      </c>
      <c r="FA59" s="569" t="s">
        <v>3718</v>
      </c>
      <c r="FC59" s="3" t="s">
        <v>8917</v>
      </c>
      <c r="FD59" s="569">
        <v>2</v>
      </c>
      <c r="FE59" s="569">
        <v>6</v>
      </c>
      <c r="FL59" s="569">
        <v>500</v>
      </c>
      <c r="FM59" s="569">
        <v>6</v>
      </c>
      <c r="FQ59" s="569" t="str">
        <f t="shared" si="18"/>
        <v/>
      </c>
      <c r="FR59" s="569" t="s">
        <v>1700</v>
      </c>
      <c r="FS59" s="8" t="s">
        <v>8918</v>
      </c>
      <c r="GC59" s="12" t="s">
        <v>212</v>
      </c>
      <c r="GD59" s="3" t="s">
        <v>173</v>
      </c>
      <c r="GE59" s="19">
        <v>1200</v>
      </c>
      <c r="GF59" s="19">
        <v>0.5</v>
      </c>
      <c r="GG59" s="19" t="s">
        <v>249</v>
      </c>
      <c r="GH59" s="3" t="s">
        <v>213</v>
      </c>
      <c r="GI59" s="8" t="s">
        <v>214</v>
      </c>
      <c r="IC59" s="1540" t="str">
        <f t="shared" si="19"/>
        <v/>
      </c>
      <c r="ID59"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59" s="1540">
        <f t="shared" si="10"/>
        <v>57</v>
      </c>
      <c r="IF59" s="1540" t="e">
        <f t="shared" si="8"/>
        <v>#VALUE!</v>
      </c>
      <c r="IG59" s="1540" t="str">
        <f t="shared" si="9"/>
        <v/>
      </c>
    </row>
    <row r="60" spans="1:241">
      <c r="A60" s="728" t="s">
        <v>4124</v>
      </c>
      <c r="J60" s="1323" t="s">
        <v>1601</v>
      </c>
      <c r="K60" s="3" t="s">
        <v>7942</v>
      </c>
      <c r="L60" s="3" t="s">
        <v>1601</v>
      </c>
      <c r="M60" s="4"/>
      <c r="N60" s="4">
        <v>2</v>
      </c>
      <c r="O60" s="4">
        <v>-2</v>
      </c>
      <c r="P60" s="4"/>
      <c r="Q60" s="4">
        <v>2</v>
      </c>
      <c r="R60" s="4"/>
      <c r="S60" s="3" t="s">
        <v>273</v>
      </c>
      <c r="T60" s="3" t="s">
        <v>1601</v>
      </c>
      <c r="V60" s="3" t="s">
        <v>149</v>
      </c>
      <c r="W60" s="3">
        <v>12</v>
      </c>
      <c r="X60" s="3">
        <v>16</v>
      </c>
      <c r="Y60" s="3">
        <v>45</v>
      </c>
      <c r="Z60" s="3">
        <v>60</v>
      </c>
      <c r="AA60" s="3">
        <v>70</v>
      </c>
      <c r="AB60" s="3">
        <v>6</v>
      </c>
      <c r="AC60" s="3" t="s">
        <v>1602</v>
      </c>
      <c r="AD60" s="3" t="s">
        <v>953</v>
      </c>
      <c r="AE60" s="3" t="s">
        <v>1603</v>
      </c>
      <c r="BO60" t="s">
        <v>2187</v>
      </c>
      <c r="BV60" s="456" t="s">
        <v>2206</v>
      </c>
      <c r="DC60" s="12" t="s">
        <v>492</v>
      </c>
      <c r="DD60" t="s">
        <v>160</v>
      </c>
      <c r="DE60">
        <v>8</v>
      </c>
      <c r="DF60">
        <v>1</v>
      </c>
      <c r="DG60">
        <v>2</v>
      </c>
      <c r="DH60" s="1024">
        <v>2</v>
      </c>
      <c r="DI60" t="s">
        <v>169</v>
      </c>
      <c r="DJ60" t="s">
        <v>283</v>
      </c>
      <c r="DK60">
        <v>6</v>
      </c>
      <c r="DW60" s="640" t="s">
        <v>3692</v>
      </c>
      <c r="EB60" s="873" t="s">
        <v>285</v>
      </c>
      <c r="EC60" s="382" t="s">
        <v>118</v>
      </c>
      <c r="EJ60">
        <v>7000</v>
      </c>
      <c r="EK60">
        <v>13.9</v>
      </c>
      <c r="EL60" t="s">
        <v>493</v>
      </c>
      <c r="EM60" t="s">
        <v>494</v>
      </c>
      <c r="EN60" s="1323" t="s">
        <v>1864</v>
      </c>
      <c r="EO60" s="3" t="s">
        <v>771</v>
      </c>
      <c r="EP60" s="3" t="s">
        <v>160</v>
      </c>
      <c r="EQ60" s="3" t="s">
        <v>460</v>
      </c>
      <c r="ER60" s="3" t="s">
        <v>461</v>
      </c>
      <c r="ES60" s="19" t="s">
        <v>149</v>
      </c>
      <c r="EZ60" s="3" t="s">
        <v>1404</v>
      </c>
      <c r="FA60" s="3" t="s">
        <v>779</v>
      </c>
      <c r="FB60" s="3" t="s">
        <v>118</v>
      </c>
      <c r="FC60" s="3" t="s">
        <v>1865</v>
      </c>
      <c r="FD60" s="3">
        <v>1</v>
      </c>
      <c r="FE60" s="3">
        <v>8</v>
      </c>
      <c r="FL60" s="3">
        <v>3000</v>
      </c>
      <c r="FM60" s="3">
        <v>3</v>
      </c>
      <c r="FQ60" s="3" t="str">
        <f t="shared" si="18"/>
        <v/>
      </c>
      <c r="FR60" s="3" t="s">
        <v>1864</v>
      </c>
      <c r="FS60" s="8" t="s">
        <v>1864</v>
      </c>
      <c r="GC60" s="12" t="s">
        <v>1170</v>
      </c>
      <c r="GD60" s="3" t="s">
        <v>771</v>
      </c>
      <c r="GE60" s="19">
        <v>1500</v>
      </c>
      <c r="GF60" s="19">
        <v>1</v>
      </c>
      <c r="GG60" s="19" t="s">
        <v>209</v>
      </c>
      <c r="GH60" s="3" t="s">
        <v>1171</v>
      </c>
      <c r="GI60" s="8" t="s">
        <v>1172</v>
      </c>
      <c r="IC60" s="1540" t="str">
        <f t="shared" si="19"/>
        <v/>
      </c>
      <c r="ID60"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0" s="1540">
        <f t="shared" si="10"/>
        <v>58</v>
      </c>
      <c r="IF60" s="1540" t="e">
        <f t="shared" si="8"/>
        <v>#VALUE!</v>
      </c>
      <c r="IG60" s="1540" t="str">
        <f t="shared" si="9"/>
        <v/>
      </c>
    </row>
    <row r="61" spans="1:241">
      <c r="A61" s="728" t="s">
        <v>129</v>
      </c>
      <c r="B61" s="728" t="s">
        <v>4125</v>
      </c>
      <c r="C61" s="728" t="s">
        <v>4126</v>
      </c>
      <c r="D61" s="728" t="s">
        <v>2114</v>
      </c>
      <c r="J61" s="1323" t="s">
        <v>5805</v>
      </c>
      <c r="K61" s="3" t="s">
        <v>408</v>
      </c>
      <c r="L61" s="3" t="s">
        <v>5805</v>
      </c>
      <c r="M61" s="4"/>
      <c r="N61" s="4"/>
      <c r="O61" s="4">
        <v>-2</v>
      </c>
      <c r="P61" s="4"/>
      <c r="Q61" s="4">
        <v>2</v>
      </c>
      <c r="R61" s="4"/>
      <c r="S61" s="3" t="s">
        <v>273</v>
      </c>
      <c r="T61" s="3" t="s">
        <v>1613</v>
      </c>
      <c r="V61" s="3" t="s">
        <v>149</v>
      </c>
      <c r="W61" s="3">
        <v>12</v>
      </c>
      <c r="X61" s="3">
        <v>19</v>
      </c>
      <c r="Y61" s="3">
        <v>46</v>
      </c>
      <c r="Z61" s="3">
        <v>71</v>
      </c>
      <c r="AA61" s="3">
        <v>91</v>
      </c>
      <c r="AB61" s="3">
        <v>6</v>
      </c>
      <c r="AC61" s="3" t="s">
        <v>1614</v>
      </c>
      <c r="AD61" s="3" t="s">
        <v>1615</v>
      </c>
      <c r="BO61" t="s">
        <v>7308</v>
      </c>
      <c r="BV61" s="456" t="s">
        <v>7312</v>
      </c>
      <c r="DC61" s="12" t="s">
        <v>6960</v>
      </c>
      <c r="DD61" t="s">
        <v>160</v>
      </c>
      <c r="DE61">
        <v>0</v>
      </c>
      <c r="DF61">
        <v>3</v>
      </c>
      <c r="DH61" s="569">
        <v>1</v>
      </c>
      <c r="DI61" t="s">
        <v>6758</v>
      </c>
      <c r="DV61" s="1364"/>
      <c r="EB61" t="s">
        <v>610</v>
      </c>
      <c r="EJ61">
        <v>4000</v>
      </c>
      <c r="EK61">
        <v>9</v>
      </c>
      <c r="EL61" t="s">
        <v>6968</v>
      </c>
      <c r="EM61" t="str">
        <f>EL61&amp;"s"</f>
        <v>biohazard suits</v>
      </c>
      <c r="EN61" s="1323" t="s">
        <v>1881</v>
      </c>
      <c r="EO61" s="3" t="s">
        <v>530</v>
      </c>
      <c r="EP61" s="3" t="s">
        <v>160</v>
      </c>
      <c r="EQ61" s="3" t="s">
        <v>460</v>
      </c>
      <c r="ER61" s="3" t="s">
        <v>461</v>
      </c>
      <c r="ES61" s="19" t="s">
        <v>274</v>
      </c>
      <c r="ET61" s="19" t="s">
        <v>321</v>
      </c>
      <c r="EZ61" s="3" t="s">
        <v>203</v>
      </c>
      <c r="FA61" s="3" t="s">
        <v>3718</v>
      </c>
      <c r="FD61" s="3">
        <v>2</v>
      </c>
      <c r="FE61" s="3">
        <v>4</v>
      </c>
      <c r="FL61" s="3">
        <v>100</v>
      </c>
      <c r="FM61" s="3">
        <v>1</v>
      </c>
      <c r="FQ61" s="3" t="str">
        <f t="shared" si="18"/>
        <v/>
      </c>
      <c r="FR61" s="3" t="s">
        <v>1882</v>
      </c>
      <c r="FS61" s="8" t="s">
        <v>1883</v>
      </c>
      <c r="GC61" s="12" t="s">
        <v>7280</v>
      </c>
      <c r="GD61" s="3" t="s">
        <v>6758</v>
      </c>
      <c r="GE61" s="19">
        <v>1000</v>
      </c>
      <c r="GF61" s="19">
        <v>1</v>
      </c>
      <c r="GG61" s="19" t="s">
        <v>209</v>
      </c>
      <c r="GH61" s="3" t="str">
        <f>LOWER(GC61)</f>
        <v>comunication scanner</v>
      </c>
      <c r="GI61" s="8" t="str">
        <f>GH61&amp;"s"</f>
        <v>comunication scanners</v>
      </c>
      <c r="IC61" s="1540" t="str">
        <f t="shared" si="19"/>
        <v/>
      </c>
      <c r="ID61"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1" s="1540">
        <f t="shared" si="10"/>
        <v>59</v>
      </c>
      <c r="IF61" s="1540" t="e">
        <f t="shared" si="8"/>
        <v>#VALUE!</v>
      </c>
      <c r="IG61" s="1540" t="str">
        <f t="shared" si="9"/>
        <v/>
      </c>
    </row>
    <row r="62" spans="1:241">
      <c r="A62">
        <f>IF(Talents!$M$915&gt;0,2,1)</f>
        <v>1</v>
      </c>
      <c r="B62" t="e">
        <f ca="1">INDEX(SizeTable,MATCH(INDEX(RaceListTable,RaceIndex,13),SizeAbrList,0),4)</f>
        <v>#N/A</v>
      </c>
      <c r="C62" s="1304" t="e">
        <f ca="1">MIN(9,INDEX(SizeTable,MATCH(INDEX(RaceListTable,RaceIndex,13),SizeAbrList,0),3)+E62)-1</f>
        <v>#N/A</v>
      </c>
      <c r="D62" t="e">
        <f ca="1">INDEX(DieSizeTable,MATCH(C62,DieSizeNumberList,0),2)</f>
        <v>#N/A</v>
      </c>
      <c r="E62">
        <f ca="1">IF(Feats!M178&gt;0,1,0)+IF(Feats!M179&gt;0,1,0)+IF(Feats!M180&gt;0,1,0)+IF(ISERROR(FIND("Droid",Race,1)),0,DroidUnarmedModifier)+AND(Feats!M424&gt;0,Talents!M915&gt;0)</f>
        <v>0</v>
      </c>
      <c r="J62" s="1323" t="s">
        <v>1623</v>
      </c>
      <c r="K62" s="3" t="s">
        <v>269</v>
      </c>
      <c r="L62" s="3" t="s">
        <v>1623</v>
      </c>
      <c r="M62" s="4"/>
      <c r="N62" s="4"/>
      <c r="O62" s="4">
        <v>-2</v>
      </c>
      <c r="P62" s="4">
        <v>2</v>
      </c>
      <c r="Q62" s="4"/>
      <c r="R62" s="4">
        <v>2</v>
      </c>
      <c r="S62" s="3" t="s">
        <v>1624</v>
      </c>
      <c r="V62" s="3" t="s">
        <v>149</v>
      </c>
      <c r="W62" s="3">
        <v>11</v>
      </c>
      <c r="X62" s="3">
        <v>16</v>
      </c>
      <c r="Y62" s="3">
        <v>50</v>
      </c>
      <c r="Z62" s="3">
        <v>75</v>
      </c>
      <c r="AA62" s="3">
        <v>90</v>
      </c>
      <c r="AB62" s="3">
        <v>6</v>
      </c>
      <c r="AC62" s="3" t="s">
        <v>1616</v>
      </c>
      <c r="AD62" s="3" t="s">
        <v>1153</v>
      </c>
      <c r="AE62" s="3" t="s">
        <v>1010</v>
      </c>
      <c r="BO62" t="s">
        <v>519</v>
      </c>
      <c r="BV62" s="456" t="s">
        <v>1442</v>
      </c>
      <c r="DC62" s="12" t="s">
        <v>558</v>
      </c>
      <c r="DD62" s="799" t="s">
        <v>160</v>
      </c>
      <c r="DE62">
        <v>5</v>
      </c>
      <c r="DG62">
        <v>3</v>
      </c>
      <c r="DH62">
        <v>1</v>
      </c>
      <c r="DI62" s="799" t="s">
        <v>530</v>
      </c>
      <c r="DV62" s="570" t="s">
        <v>6100</v>
      </c>
      <c r="EB62" s="873" t="s">
        <v>285</v>
      </c>
      <c r="EC62" s="799"/>
      <c r="EJ62">
        <v>6000</v>
      </c>
      <c r="EK62">
        <v>6</v>
      </c>
      <c r="EL62" s="799" t="s">
        <v>560</v>
      </c>
      <c r="EM62" t="s">
        <v>561</v>
      </c>
      <c r="EN62" s="1323" t="s">
        <v>1920</v>
      </c>
      <c r="EO62" s="3" t="s">
        <v>155</v>
      </c>
      <c r="EP62" s="3" t="s">
        <v>160</v>
      </c>
      <c r="EQ62" s="3" t="s">
        <v>460</v>
      </c>
      <c r="ER62" s="3" t="s">
        <v>461</v>
      </c>
      <c r="ES62" s="19" t="s">
        <v>149</v>
      </c>
      <c r="EZ62" s="3" t="s">
        <v>242</v>
      </c>
      <c r="FA62" s="3" t="s">
        <v>3718</v>
      </c>
      <c r="FC62" s="3" t="s">
        <v>1921</v>
      </c>
      <c r="FD62" s="3">
        <v>1</v>
      </c>
      <c r="FE62" s="3">
        <v>8</v>
      </c>
      <c r="FL62" s="3">
        <v>60</v>
      </c>
      <c r="FM62" s="3">
        <v>1.5</v>
      </c>
      <c r="FQ62" s="3" t="str">
        <f t="shared" si="18"/>
        <v/>
      </c>
      <c r="FR62" s="3" t="s">
        <v>1922</v>
      </c>
      <c r="FS62" s="8" t="s">
        <v>1923</v>
      </c>
      <c r="GC62" s="12" t="s">
        <v>1189</v>
      </c>
      <c r="GD62" s="3" t="s">
        <v>771</v>
      </c>
      <c r="GE62" s="19">
        <v>1500</v>
      </c>
      <c r="GF62" s="19">
        <v>1</v>
      </c>
      <c r="GG62" s="19" t="s">
        <v>209</v>
      </c>
      <c r="GH62" s="3" t="s">
        <v>1190</v>
      </c>
      <c r="GI62" s="8" t="s">
        <v>1191</v>
      </c>
      <c r="IC62" s="1540" t="str">
        <f t="shared" si="19"/>
        <v/>
      </c>
      <c r="ID62"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2" s="1540">
        <f t="shared" si="10"/>
        <v>60</v>
      </c>
      <c r="IF62" s="1540" t="e">
        <f t="shared" si="8"/>
        <v>#VALUE!</v>
      </c>
      <c r="IG62" s="1540" t="str">
        <f t="shared" si="9"/>
        <v/>
      </c>
    </row>
    <row r="63" spans="1:241">
      <c r="J63" s="1323" t="s">
        <v>1648</v>
      </c>
      <c r="K63" s="3" t="s">
        <v>269</v>
      </c>
      <c r="L63" s="3" t="s">
        <v>1648</v>
      </c>
      <c r="M63" s="4"/>
      <c r="N63" s="4"/>
      <c r="O63" s="4"/>
      <c r="P63" s="4"/>
      <c r="Q63" s="4">
        <v>-2</v>
      </c>
      <c r="R63" s="4">
        <v>2</v>
      </c>
      <c r="S63" s="3" t="s">
        <v>1649</v>
      </c>
      <c r="V63" s="3" t="s">
        <v>149</v>
      </c>
      <c r="W63" s="3">
        <v>11</v>
      </c>
      <c r="X63" s="3">
        <v>16</v>
      </c>
      <c r="Y63" s="3">
        <v>31</v>
      </c>
      <c r="Z63" s="3">
        <v>43</v>
      </c>
      <c r="AA63" s="3">
        <v>60</v>
      </c>
      <c r="AB63" s="3">
        <v>6</v>
      </c>
      <c r="AC63" s="3" t="s">
        <v>1650</v>
      </c>
      <c r="AD63" s="3" t="s">
        <v>1651</v>
      </c>
      <c r="AE63" s="3" t="s">
        <v>1652</v>
      </c>
      <c r="BO63" t="s">
        <v>1471</v>
      </c>
      <c r="BV63" s="456" t="s">
        <v>1472</v>
      </c>
      <c r="DC63" s="12" t="s">
        <v>6961</v>
      </c>
      <c r="DD63" s="799" t="s">
        <v>160</v>
      </c>
      <c r="DE63">
        <v>6</v>
      </c>
      <c r="DF63">
        <v>2</v>
      </c>
      <c r="DG63">
        <v>3</v>
      </c>
      <c r="DH63" s="1024">
        <v>1</v>
      </c>
      <c r="DI63" s="799" t="s">
        <v>6758</v>
      </c>
      <c r="DV63" s="1364"/>
      <c r="DX63" t="s">
        <v>1117</v>
      </c>
      <c r="EB63" s="873" t="s">
        <v>610</v>
      </c>
      <c r="EC63" s="799"/>
      <c r="EJ63" s="799">
        <v>6000</v>
      </c>
      <c r="EK63">
        <v>13</v>
      </c>
      <c r="EL63" s="799" t="s">
        <v>6969</v>
      </c>
      <c r="EM63" s="799" t="str">
        <f>"suits of "&amp;EL63</f>
        <v>suits of camo scout armor</v>
      </c>
      <c r="EN63" s="1323" t="s">
        <v>1927</v>
      </c>
      <c r="EO63" s="3" t="s">
        <v>169</v>
      </c>
      <c r="EP63" s="3" t="s">
        <v>160</v>
      </c>
      <c r="EQ63" s="3" t="s">
        <v>460</v>
      </c>
      <c r="ER63" s="3" t="s">
        <v>461</v>
      </c>
      <c r="ES63" s="19" t="s">
        <v>201</v>
      </c>
      <c r="EZ63" s="3" t="s">
        <v>497</v>
      </c>
      <c r="FA63" s="3" t="s">
        <v>160</v>
      </c>
      <c r="FD63" s="3">
        <v>5</v>
      </c>
      <c r="FE63" s="3">
        <v>10</v>
      </c>
      <c r="FL63" s="3">
        <v>3500</v>
      </c>
      <c r="FM63" s="3">
        <v>10</v>
      </c>
      <c r="FN63" s="3" t="s">
        <v>424</v>
      </c>
      <c r="FP63" s="3">
        <v>4</v>
      </c>
      <c r="FQ63" s="3" t="str">
        <f t="shared" si="18"/>
        <v/>
      </c>
      <c r="FR63" s="3" t="s">
        <v>1927</v>
      </c>
      <c r="FS63" s="8" t="s">
        <v>1928</v>
      </c>
      <c r="GC63" s="12" t="s">
        <v>1210</v>
      </c>
      <c r="GD63" s="3" t="s">
        <v>155</v>
      </c>
      <c r="GE63" s="19">
        <v>100</v>
      </c>
      <c r="GF63" s="19">
        <v>0.1</v>
      </c>
      <c r="GG63" s="19" t="s">
        <v>249</v>
      </c>
      <c r="GH63" s="3" t="s">
        <v>1211</v>
      </c>
      <c r="GI63" s="8" t="s">
        <v>1212</v>
      </c>
      <c r="IC63" s="1540" t="str">
        <f t="shared" si="19"/>
        <v/>
      </c>
      <c r="ID63"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3" s="1540">
        <f t="shared" si="10"/>
        <v>61</v>
      </c>
      <c r="IF63" s="1540" t="e">
        <f t="shared" si="8"/>
        <v>#VALUE!</v>
      </c>
      <c r="IG63" s="1540" t="str">
        <f t="shared" si="9"/>
        <v/>
      </c>
    </row>
    <row r="64" spans="1:241">
      <c r="A64" s="793" t="s">
        <v>4358</v>
      </c>
      <c r="J64" s="1323" t="s">
        <v>1664</v>
      </c>
      <c r="K64" s="3" t="s">
        <v>2146</v>
      </c>
      <c r="L64" s="3" t="s">
        <v>1664</v>
      </c>
      <c r="M64" s="4"/>
      <c r="N64" s="4"/>
      <c r="O64" s="4">
        <v>2</v>
      </c>
      <c r="P64" s="4">
        <v>-2</v>
      </c>
      <c r="Q64" s="4">
        <v>-2</v>
      </c>
      <c r="R64" s="4"/>
      <c r="S64" s="3" t="s">
        <v>1538</v>
      </c>
      <c r="V64" s="3" t="s">
        <v>149</v>
      </c>
      <c r="W64" s="3">
        <v>10</v>
      </c>
      <c r="X64" s="3">
        <v>15</v>
      </c>
      <c r="Y64" s="3">
        <v>50</v>
      </c>
      <c r="Z64" s="3">
        <v>70</v>
      </c>
      <c r="AA64" s="3">
        <v>90</v>
      </c>
      <c r="AB64" s="3">
        <v>6</v>
      </c>
      <c r="AC64" s="569" t="s">
        <v>4486</v>
      </c>
      <c r="AQ64" s="3">
        <v>2</v>
      </c>
      <c r="BO64" t="s">
        <v>1441</v>
      </c>
      <c r="BV64" s="456" t="s">
        <v>1484</v>
      </c>
      <c r="DC64" s="12" t="s">
        <v>583</v>
      </c>
      <c r="DD64" s="799" t="s">
        <v>160</v>
      </c>
      <c r="DE64">
        <v>7</v>
      </c>
      <c r="DG64">
        <v>2</v>
      </c>
      <c r="DH64">
        <v>1</v>
      </c>
      <c r="DI64" s="799" t="s">
        <v>155</v>
      </c>
      <c r="DJ64" t="s">
        <v>89</v>
      </c>
      <c r="DV64" t="s">
        <v>195</v>
      </c>
      <c r="EB64" s="873" t="s">
        <v>285</v>
      </c>
      <c r="EC64" s="799"/>
      <c r="EJ64" s="799">
        <v>5000</v>
      </c>
      <c r="EK64">
        <v>13</v>
      </c>
      <c r="EL64" s="799" t="s">
        <v>584</v>
      </c>
      <c r="EM64" s="799" t="s">
        <v>585</v>
      </c>
      <c r="EN64" s="1323" t="s">
        <v>1937</v>
      </c>
      <c r="EO64" s="3" t="s">
        <v>155</v>
      </c>
      <c r="EP64" s="3" t="s">
        <v>160</v>
      </c>
      <c r="EQ64" s="3" t="s">
        <v>460</v>
      </c>
      <c r="ER64" s="3" t="s">
        <v>461</v>
      </c>
      <c r="ES64" s="19" t="s">
        <v>274</v>
      </c>
      <c r="ET64" s="19" t="s">
        <v>321</v>
      </c>
      <c r="EV64" s="19" t="s">
        <v>202</v>
      </c>
      <c r="EZ64" s="3" t="s">
        <v>203</v>
      </c>
      <c r="FA64" s="3" t="s">
        <v>3718</v>
      </c>
      <c r="FD64" s="3">
        <v>2</v>
      </c>
      <c r="FE64" s="3">
        <v>6</v>
      </c>
      <c r="FL64" s="3">
        <v>15</v>
      </c>
      <c r="FM64" s="3">
        <v>0.5</v>
      </c>
      <c r="FQ64" s="3" t="str">
        <f t="shared" si="18"/>
        <v/>
      </c>
      <c r="FR64" s="3" t="s">
        <v>1938</v>
      </c>
      <c r="FS64" s="8" t="s">
        <v>1939</v>
      </c>
      <c r="GC64" s="12" t="s">
        <v>7284</v>
      </c>
      <c r="GD64" s="3" t="s">
        <v>6758</v>
      </c>
      <c r="GE64" s="19">
        <v>600</v>
      </c>
      <c r="GF64" s="19">
        <v>1.5</v>
      </c>
      <c r="GG64" s="19" t="s">
        <v>209</v>
      </c>
      <c r="GH64" s="3" t="str">
        <f>LOWER(GC64)</f>
        <v>cryogenic pouch</v>
      </c>
      <c r="GI64" s="8" t="str">
        <f>GH64&amp;"s"</f>
        <v>cryogenic pouchs</v>
      </c>
      <c r="IC64" s="1540" t="str">
        <f t="shared" si="19"/>
        <v/>
      </c>
      <c r="ID64"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4" s="1540">
        <f t="shared" si="10"/>
        <v>62</v>
      </c>
      <c r="IF64" s="1540" t="e">
        <f t="shared" si="8"/>
        <v>#VALUE!</v>
      </c>
      <c r="IG64" s="1540" t="str">
        <f t="shared" si="9"/>
        <v/>
      </c>
    </row>
    <row r="65" spans="1:241">
      <c r="A65" s="793"/>
      <c r="B65" s="793"/>
      <c r="C65">
        <v>1</v>
      </c>
      <c r="J65" s="1323" t="s">
        <v>1679</v>
      </c>
      <c r="K65" s="569" t="s">
        <v>7946</v>
      </c>
      <c r="L65" s="3" t="str">
        <f>J65</f>
        <v>Krevaaki</v>
      </c>
      <c r="Q65" s="3">
        <v>2</v>
      </c>
      <c r="R65" s="3">
        <v>-2</v>
      </c>
      <c r="S65" s="569" t="s">
        <v>273</v>
      </c>
      <c r="T65" s="569" t="s">
        <v>5949</v>
      </c>
      <c r="V65" s="569" t="s">
        <v>149</v>
      </c>
      <c r="W65" s="569">
        <v>13</v>
      </c>
      <c r="X65" s="569">
        <v>18</v>
      </c>
      <c r="Y65" s="569">
        <v>63</v>
      </c>
      <c r="Z65" s="569">
        <v>95</v>
      </c>
      <c r="AA65" s="569">
        <v>130</v>
      </c>
      <c r="AB65" s="569">
        <v>6</v>
      </c>
      <c r="AC65" s="569" t="s">
        <v>5950</v>
      </c>
      <c r="AD65" s="569" t="s">
        <v>1680</v>
      </c>
      <c r="AE65" s="569" t="s">
        <v>7956</v>
      </c>
      <c r="AN65" s="3">
        <v>1</v>
      </c>
      <c r="AP65" s="3">
        <v>1</v>
      </c>
      <c r="BO65" t="s">
        <v>1391</v>
      </c>
      <c r="BV65" s="456" t="s">
        <v>1497</v>
      </c>
      <c r="DC65" s="12" t="s">
        <v>646</v>
      </c>
      <c r="DD65" s="799" t="s">
        <v>160</v>
      </c>
      <c r="DE65">
        <v>7</v>
      </c>
      <c r="DG65">
        <v>3</v>
      </c>
      <c r="DH65" s="1024">
        <v>2</v>
      </c>
      <c r="DI65" s="799" t="s">
        <v>155</v>
      </c>
      <c r="DV65" s="570" t="s">
        <v>6111</v>
      </c>
      <c r="EB65" s="873" t="s">
        <v>285</v>
      </c>
      <c r="EC65" s="799"/>
      <c r="ED65">
        <v>2</v>
      </c>
      <c r="EJ65" s="799">
        <v>10000</v>
      </c>
      <c r="EK65">
        <v>20</v>
      </c>
      <c r="EL65" s="799" t="s">
        <v>646</v>
      </c>
      <c r="EM65" s="799" t="s">
        <v>649</v>
      </c>
      <c r="EN65" s="1323" t="s">
        <v>1941</v>
      </c>
      <c r="EO65" s="3" t="s">
        <v>1942</v>
      </c>
      <c r="EP65" s="3" t="s">
        <v>160</v>
      </c>
      <c r="EQ65" s="3" t="s">
        <v>460</v>
      </c>
      <c r="ER65" s="3" t="s">
        <v>461</v>
      </c>
      <c r="ES65" s="19" t="s">
        <v>1225</v>
      </c>
      <c r="EV65" s="19" t="s">
        <v>1165</v>
      </c>
      <c r="EZ65" s="3" t="s">
        <v>497</v>
      </c>
      <c r="FA65" s="3" t="s">
        <v>204</v>
      </c>
      <c r="FC65" s="3" t="s">
        <v>1226</v>
      </c>
      <c r="FD65" s="3">
        <v>1</v>
      </c>
      <c r="FE65" s="3" t="e">
        <f ca="1">UnarmedDieSize</f>
        <v>#N/A</v>
      </c>
      <c r="FF65" s="3">
        <v>1</v>
      </c>
      <c r="FL65" s="3">
        <v>300</v>
      </c>
      <c r="FM65" s="3">
        <v>0.5</v>
      </c>
      <c r="FQ65" s="3" t="str">
        <f t="shared" si="18"/>
        <v/>
      </c>
      <c r="FR65" s="3" t="s">
        <v>1943</v>
      </c>
      <c r="FS65" s="8" t="s">
        <v>1944</v>
      </c>
      <c r="GC65" s="12" t="s">
        <v>1228</v>
      </c>
      <c r="GD65" s="3" t="s">
        <v>155</v>
      </c>
      <c r="GE65" s="19">
        <v>1500</v>
      </c>
      <c r="GF65" s="19">
        <v>0</v>
      </c>
      <c r="GG65" s="19" t="s">
        <v>149</v>
      </c>
      <c r="GH65" s="3" t="s">
        <v>1229</v>
      </c>
      <c r="GI65" s="8" t="s">
        <v>1230</v>
      </c>
      <c r="IC65" s="1540" t="str">
        <f t="shared" si="19"/>
        <v/>
      </c>
      <c r="ID65"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5" s="1540">
        <f t="shared" si="10"/>
        <v>63</v>
      </c>
      <c r="IF65" s="1540" t="e">
        <f t="shared" si="8"/>
        <v>#VALUE!</v>
      </c>
      <c r="IG65" s="1540" t="str">
        <f t="shared" si="9"/>
        <v/>
      </c>
    </row>
    <row r="66" spans="1:241">
      <c r="A66" s="793" t="s">
        <v>321</v>
      </c>
      <c r="B66" s="793" t="s">
        <v>4360</v>
      </c>
      <c r="C66" s="793">
        <v>2</v>
      </c>
      <c r="J66" s="1323" t="s">
        <v>7337</v>
      </c>
      <c r="K66" s="569" t="s">
        <v>7180</v>
      </c>
      <c r="L66" s="569" t="str">
        <f>LEFT(J66,FIND("Chassis",J66,1)-2)</f>
        <v>Labor Droid</v>
      </c>
      <c r="M66" s="3">
        <v>2</v>
      </c>
      <c r="P66" s="3">
        <v>-2</v>
      </c>
      <c r="S66" s="569" t="s">
        <v>273</v>
      </c>
      <c r="T66" s="3" t="s">
        <v>1285</v>
      </c>
      <c r="V66" s="569" t="s">
        <v>149</v>
      </c>
      <c r="W66" s="569">
        <v>0</v>
      </c>
      <c r="X66" s="569">
        <v>0</v>
      </c>
      <c r="Y66" s="569">
        <v>999</v>
      </c>
      <c r="Z66" s="569">
        <v>999</v>
      </c>
      <c r="AA66" s="569">
        <v>999</v>
      </c>
      <c r="AB66" s="569">
        <v>6</v>
      </c>
      <c r="AC66" s="569" t="s">
        <v>7343</v>
      </c>
      <c r="AD66" s="569" t="s">
        <v>1259</v>
      </c>
      <c r="AE66" s="569" t="s">
        <v>7353</v>
      </c>
      <c r="AF66" s="569" t="s">
        <v>7355</v>
      </c>
      <c r="AG66" s="3" t="str">
        <f>IF(DroidManufacturer&lt;&gt;"",DroidManufacturer&amp;" Droid","")</f>
        <v/>
      </c>
      <c r="BO66" t="s">
        <v>1501</v>
      </c>
      <c r="BV66" s="456" t="s">
        <v>1502</v>
      </c>
      <c r="DC66" s="12" t="s">
        <v>4455</v>
      </c>
      <c r="DD66" s="799" t="s">
        <v>160</v>
      </c>
      <c r="DE66">
        <v>7</v>
      </c>
      <c r="DF66">
        <v>4</v>
      </c>
      <c r="DG66">
        <v>2</v>
      </c>
      <c r="DH66" s="1364">
        <v>1</v>
      </c>
      <c r="DI66" s="799" t="s">
        <v>3800</v>
      </c>
      <c r="EB66" s="873" t="s">
        <v>3719</v>
      </c>
      <c r="EC66" s="799" t="s">
        <v>118</v>
      </c>
      <c r="EJ66">
        <v>15000</v>
      </c>
      <c r="EK66">
        <v>16</v>
      </c>
      <c r="EL66" s="799" t="s">
        <v>4463</v>
      </c>
      <c r="EM66" s="799" t="str">
        <f>"suits of "&amp;EL66</f>
        <v>suits of medium dark armor</v>
      </c>
      <c r="EN66" s="1323" t="s">
        <v>8078</v>
      </c>
      <c r="EO66" s="569" t="s">
        <v>7946</v>
      </c>
      <c r="EP66" s="569" t="s">
        <v>160</v>
      </c>
      <c r="EQ66" s="1552" t="s">
        <v>460</v>
      </c>
      <c r="ER66" s="1552" t="s">
        <v>461</v>
      </c>
      <c r="ES66" s="1552" t="s">
        <v>274</v>
      </c>
      <c r="EV66" s="1552"/>
      <c r="EZ66" s="1552" t="s">
        <v>357</v>
      </c>
      <c r="FA66" s="1552" t="s">
        <v>3718</v>
      </c>
      <c r="FB66" s="1552"/>
      <c r="FD66" s="1552">
        <v>1</v>
      </c>
      <c r="FE66" s="1552">
        <v>6</v>
      </c>
      <c r="FL66" s="1552">
        <v>100</v>
      </c>
      <c r="FM66" s="1552">
        <v>1.2</v>
      </c>
      <c r="FR66" s="3" t="s">
        <v>8086</v>
      </c>
      <c r="FS66" s="8" t="s">
        <v>8087</v>
      </c>
      <c r="GC66" s="12" t="s">
        <v>4512</v>
      </c>
      <c r="GF66" s="19">
        <v>1</v>
      </c>
      <c r="GG66" s="19" t="s">
        <v>209</v>
      </c>
      <c r="GH66" s="3" t="str">
        <f>LOWER(GC66)</f>
        <v>dark robes</v>
      </c>
      <c r="GI66" s="8" t="str">
        <f>GH66</f>
        <v>dark robes</v>
      </c>
      <c r="IC66" s="1540" t="str">
        <f t="shared" ref="IC66:IC88" si="20">IF(EQ70="EWP",EN70&amp;";","")</f>
        <v/>
      </c>
      <c r="ID66"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6" s="1540">
        <f t="shared" si="10"/>
        <v>64</v>
      </c>
      <c r="IF66" s="1540" t="e">
        <f t="shared" si="8"/>
        <v>#VALUE!</v>
      </c>
      <c r="IG66" s="1540" t="str">
        <f t="shared" si="9"/>
        <v/>
      </c>
    </row>
    <row r="67" spans="1:241">
      <c r="A67" s="793" t="s">
        <v>160</v>
      </c>
      <c r="B67" s="793" t="s">
        <v>3711</v>
      </c>
      <c r="C67" s="793">
        <v>3</v>
      </c>
      <c r="J67" s="1323" t="s">
        <v>7299</v>
      </c>
      <c r="K67" s="569" t="s">
        <v>7885</v>
      </c>
      <c r="L67" s="3" t="s">
        <v>7299</v>
      </c>
      <c r="M67" s="3">
        <v>-2</v>
      </c>
      <c r="Q67" s="1006">
        <v>2</v>
      </c>
      <c r="S67" s="569" t="s">
        <v>273</v>
      </c>
      <c r="T67" s="3" t="s">
        <v>7314</v>
      </c>
      <c r="V67" s="569" t="s">
        <v>274</v>
      </c>
      <c r="W67" s="569">
        <v>13</v>
      </c>
      <c r="X67" s="569">
        <v>19</v>
      </c>
      <c r="Y67" s="569">
        <v>36</v>
      </c>
      <c r="Z67" s="569">
        <v>61</v>
      </c>
      <c r="AA67" s="569">
        <v>76</v>
      </c>
      <c r="AB67" s="569">
        <v>4</v>
      </c>
      <c r="AC67" s="569" t="s">
        <v>7309</v>
      </c>
      <c r="AD67" s="569" t="s">
        <v>151</v>
      </c>
      <c r="AE67" s="3" t="s">
        <v>7310</v>
      </c>
      <c r="AF67" s="569" t="s">
        <v>313</v>
      </c>
      <c r="BO67" t="s">
        <v>1510</v>
      </c>
      <c r="BV67" s="456" t="s">
        <v>1511</v>
      </c>
      <c r="DC67" s="12" t="s">
        <v>916</v>
      </c>
      <c r="DD67" s="799" t="s">
        <v>160</v>
      </c>
      <c r="DE67">
        <v>7</v>
      </c>
      <c r="DF67">
        <v>2</v>
      </c>
      <c r="DG67">
        <v>2</v>
      </c>
      <c r="DH67">
        <v>1</v>
      </c>
      <c r="DI67" s="799" t="s">
        <v>169</v>
      </c>
      <c r="DJ67" t="s">
        <v>283</v>
      </c>
      <c r="DK67">
        <v>4</v>
      </c>
      <c r="DV67" t="s">
        <v>195</v>
      </c>
      <c r="DX67" t="s">
        <v>456</v>
      </c>
      <c r="DY67" t="s">
        <v>917</v>
      </c>
      <c r="DZ67" t="s">
        <v>284</v>
      </c>
      <c r="EB67" s="873" t="s">
        <v>196</v>
      </c>
      <c r="EC67" s="799"/>
      <c r="EJ67">
        <v>15000</v>
      </c>
      <c r="EK67">
        <v>15</v>
      </c>
      <c r="EL67" s="799" t="s">
        <v>916</v>
      </c>
      <c r="EM67" s="799" t="s">
        <v>918</v>
      </c>
      <c r="EN67" s="1323" t="s">
        <v>1951</v>
      </c>
      <c r="EO67" s="3" t="s">
        <v>173</v>
      </c>
      <c r="EP67" s="3" t="s">
        <v>160</v>
      </c>
      <c r="EQ67" s="3" t="s">
        <v>460</v>
      </c>
      <c r="ER67" s="3" t="s">
        <v>461</v>
      </c>
      <c r="ES67" s="19" t="s">
        <v>201</v>
      </c>
      <c r="EZ67" s="3" t="s">
        <v>1404</v>
      </c>
      <c r="FA67" s="3" t="s">
        <v>3718</v>
      </c>
      <c r="FD67" s="3">
        <v>1</v>
      </c>
      <c r="FE67" s="3">
        <v>10</v>
      </c>
      <c r="FL67" s="3">
        <v>100</v>
      </c>
      <c r="FM67" s="3">
        <v>4</v>
      </c>
      <c r="FQ67" s="3" t="str">
        <f>IF(EP67="R",IF(EQ67&lt;&gt;"EWP",ER67,"pistols"),"")</f>
        <v/>
      </c>
      <c r="FR67" s="3" t="s">
        <v>1952</v>
      </c>
      <c r="FS67" s="8" t="s">
        <v>1953</v>
      </c>
      <c r="GC67" s="12" t="s">
        <v>4510</v>
      </c>
      <c r="GF67" s="19">
        <v>1</v>
      </c>
      <c r="GG67" s="19" t="s">
        <v>209</v>
      </c>
      <c r="GH67" s="3" t="s">
        <v>4521</v>
      </c>
      <c r="GI67" s="8" t="str">
        <f>GH67</f>
        <v>dark-colored Jedi robes</v>
      </c>
      <c r="IC67" s="1540" t="str">
        <f t="shared" si="20"/>
        <v/>
      </c>
      <c r="ID67" s="1540" t="str">
        <f t="shared" si="7"/>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7" s="1540">
        <f t="shared" si="10"/>
        <v>65</v>
      </c>
      <c r="IF67" s="1540" t="e">
        <f t="shared" si="8"/>
        <v>#VALUE!</v>
      </c>
      <c r="IG67" s="1540" t="str">
        <f t="shared" si="9"/>
        <v/>
      </c>
    </row>
    <row r="68" spans="1:241">
      <c r="A68" s="793" t="s">
        <v>238</v>
      </c>
      <c r="B68" s="793" t="s">
        <v>4359</v>
      </c>
      <c r="C68" s="793">
        <v>4</v>
      </c>
      <c r="J68" s="1323" t="s">
        <v>1723</v>
      </c>
      <c r="K68" s="3" t="s">
        <v>308</v>
      </c>
      <c r="L68" s="3" t="s">
        <v>1723</v>
      </c>
      <c r="M68" s="4">
        <v>4</v>
      </c>
      <c r="N68" s="4">
        <v>-2</v>
      </c>
      <c r="O68" s="4">
        <v>4</v>
      </c>
      <c r="P68" s="4">
        <v>-4</v>
      </c>
      <c r="Q68" s="4">
        <v>-4</v>
      </c>
      <c r="R68" s="4">
        <v>-4</v>
      </c>
      <c r="S68" s="3" t="s">
        <v>1724</v>
      </c>
      <c r="V68" s="3" t="s">
        <v>201</v>
      </c>
      <c r="W68" s="3">
        <v>20</v>
      </c>
      <c r="X68" s="3">
        <v>30</v>
      </c>
      <c r="Y68" s="3">
        <v>350</v>
      </c>
      <c r="Z68" s="3">
        <v>400</v>
      </c>
      <c r="AA68" s="3">
        <v>500</v>
      </c>
      <c r="AB68" s="3">
        <v>8</v>
      </c>
      <c r="AC68" s="3" t="s">
        <v>1056</v>
      </c>
      <c r="AD68" s="3" t="s">
        <v>151</v>
      </c>
      <c r="AE68" s="3" t="s">
        <v>1725</v>
      </c>
      <c r="AO68" s="3">
        <v>2</v>
      </c>
      <c r="BF68" s="3" t="s">
        <v>1726</v>
      </c>
      <c r="BG68" s="3" t="str">
        <f ca="1">"1d"&amp;MIN(12,UnarmedDieIncreases*2+6)</f>
        <v>1d6</v>
      </c>
      <c r="BH68" s="3" t="s">
        <v>633</v>
      </c>
      <c r="BO68" t="s">
        <v>1152</v>
      </c>
      <c r="BV68" s="456" t="s">
        <v>1518</v>
      </c>
      <c r="DC68" s="12" t="s">
        <v>6041</v>
      </c>
      <c r="DD68" s="799" t="s">
        <v>160</v>
      </c>
      <c r="DE68">
        <v>8</v>
      </c>
      <c r="DF68">
        <v>2</v>
      </c>
      <c r="DG68">
        <v>3</v>
      </c>
      <c r="DH68" s="569">
        <v>1</v>
      </c>
      <c r="DI68" s="799" t="s">
        <v>2152</v>
      </c>
      <c r="DV68" s="1364" t="s">
        <v>6046</v>
      </c>
      <c r="EB68" s="873" t="s">
        <v>118</v>
      </c>
      <c r="EC68" s="799"/>
      <c r="EJ68">
        <v>7000</v>
      </c>
      <c r="EK68">
        <v>16</v>
      </c>
      <c r="EL68" s="799" t="s">
        <v>6041</v>
      </c>
      <c r="EM68" t="str">
        <f>"suits of "&amp;EL68</f>
        <v>suits of Imperial Knight armor</v>
      </c>
      <c r="EN68" s="1323" t="s">
        <v>1954</v>
      </c>
      <c r="EO68" s="3" t="s">
        <v>173</v>
      </c>
      <c r="EP68" s="3" t="s">
        <v>160</v>
      </c>
      <c r="EQ68" s="3" t="s">
        <v>460</v>
      </c>
      <c r="ER68" s="3" t="s">
        <v>461</v>
      </c>
      <c r="ES68" s="19" t="s">
        <v>201</v>
      </c>
      <c r="EU68" s="19" t="s">
        <v>202</v>
      </c>
      <c r="EZ68" s="3" t="s">
        <v>1404</v>
      </c>
      <c r="FA68" s="3" t="s">
        <v>3718</v>
      </c>
      <c r="FD68" s="3">
        <v>1</v>
      </c>
      <c r="FE68" s="3">
        <v>6</v>
      </c>
      <c r="FG68" s="3">
        <v>1</v>
      </c>
      <c r="FH68" s="3">
        <v>6</v>
      </c>
      <c r="FL68" s="3">
        <v>120</v>
      </c>
      <c r="FM68" s="3">
        <v>2</v>
      </c>
      <c r="FQ68" s="3" t="str">
        <f>IF(EP68="R",IF(EQ68&lt;&gt;"EWP",ER68,"pistols"),"")</f>
        <v/>
      </c>
      <c r="FR68" s="3" t="s">
        <v>1955</v>
      </c>
      <c r="FS68" s="8" t="s">
        <v>1956</v>
      </c>
      <c r="GC68" s="12" t="s">
        <v>1237</v>
      </c>
      <c r="GD68" s="3" t="s">
        <v>155</v>
      </c>
      <c r="GE68" s="19">
        <v>10</v>
      </c>
      <c r="GF68" s="19">
        <v>0.1</v>
      </c>
      <c r="GG68" s="19" t="s">
        <v>249</v>
      </c>
      <c r="GH68" s="3" t="s">
        <v>1238</v>
      </c>
      <c r="GI68" s="8" t="s">
        <v>1238</v>
      </c>
      <c r="IC68" s="1540" t="str">
        <f t="shared" si="20"/>
        <v/>
      </c>
      <c r="ID68" s="1540" t="str">
        <f t="shared" ref="ID68:ID131" si="21">IF(IC68&lt;&gt;"",IC68&amp;ID69,ID69)</f>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8" s="1540">
        <f t="shared" si="10"/>
        <v>66</v>
      </c>
      <c r="IF68" s="1540" t="e">
        <f t="shared" ref="IF68:IF131" si="22">FIND(";",$ID$3,IF67+1)</f>
        <v>#VALUE!</v>
      </c>
      <c r="IG68" s="1540" t="str">
        <f t="shared" ref="IG68:IG131" si="23">IF(NOT(ISERROR(IF68)),MID($ID$3,IF67+1,IF68-IF67-1),"")</f>
        <v/>
      </c>
    </row>
    <row r="69" spans="1:241">
      <c r="J69" s="1323" t="s">
        <v>621</v>
      </c>
      <c r="K69" s="3" t="s">
        <v>269</v>
      </c>
      <c r="L69" s="3" t="s">
        <v>621</v>
      </c>
      <c r="M69" s="4">
        <v>4</v>
      </c>
      <c r="N69" s="4"/>
      <c r="O69" s="4"/>
      <c r="P69" s="4">
        <v>-2</v>
      </c>
      <c r="Q69" s="4">
        <v>-2</v>
      </c>
      <c r="R69" s="4">
        <v>-2</v>
      </c>
      <c r="S69" s="3" t="s">
        <v>1649</v>
      </c>
      <c r="V69" s="3" t="s">
        <v>149</v>
      </c>
      <c r="W69" s="3">
        <v>11</v>
      </c>
      <c r="X69" s="3">
        <v>14</v>
      </c>
      <c r="Y69" s="3">
        <v>26</v>
      </c>
      <c r="Z69" s="3">
        <v>36</v>
      </c>
      <c r="AA69" s="3">
        <v>51</v>
      </c>
      <c r="AB69" s="3">
        <v>6</v>
      </c>
      <c r="AC69" s="3" t="s">
        <v>1275</v>
      </c>
      <c r="AD69" s="3" t="s">
        <v>151</v>
      </c>
      <c r="AE69" s="3" t="s">
        <v>1651</v>
      </c>
      <c r="AF69" s="3" t="s">
        <v>1652</v>
      </c>
      <c r="AH69" s="3" t="s">
        <v>795</v>
      </c>
      <c r="BO69" t="s">
        <v>1529</v>
      </c>
      <c r="BV69" s="456" t="s">
        <v>1530</v>
      </c>
      <c r="DC69" s="12" t="s">
        <v>4458</v>
      </c>
      <c r="DD69" s="1024" t="s">
        <v>160</v>
      </c>
      <c r="DE69" s="1024">
        <v>5</v>
      </c>
      <c r="DF69" s="1024">
        <v>5</v>
      </c>
      <c r="DG69" s="1024">
        <v>3</v>
      </c>
      <c r="DH69" s="1024">
        <v>1</v>
      </c>
      <c r="DI69" s="1024" t="s">
        <v>3800</v>
      </c>
      <c r="DJ69" s="1024"/>
      <c r="DK69" s="1024"/>
      <c r="DL69" s="1024"/>
      <c r="DM69" s="1024"/>
      <c r="DN69" s="1024"/>
      <c r="DO69" s="1024"/>
      <c r="DP69" s="1024"/>
      <c r="DQ69" s="1024"/>
      <c r="DR69" s="1024"/>
      <c r="DS69" s="1024"/>
      <c r="DT69" s="1074"/>
      <c r="DU69" s="1024"/>
      <c r="DV69" s="1024"/>
      <c r="DW69" s="1024"/>
      <c r="DX69" s="1024"/>
      <c r="DY69" s="1024"/>
      <c r="DZ69" s="1024"/>
      <c r="EA69" s="1024"/>
      <c r="EB69" s="1024" t="s">
        <v>3719</v>
      </c>
      <c r="EC69" s="1024" t="s">
        <v>118</v>
      </c>
      <c r="ED69" s="1024"/>
      <c r="EE69" s="1024"/>
      <c r="EF69" s="1024"/>
      <c r="EG69" s="1024"/>
      <c r="EH69" s="1024"/>
      <c r="EI69" s="1024"/>
      <c r="EJ69" s="1024">
        <v>6000</v>
      </c>
      <c r="EK69" s="1024">
        <v>12</v>
      </c>
      <c r="EL69" s="1024" t="s">
        <v>4466</v>
      </c>
      <c r="EM69" t="str">
        <f>"suits of "&amp;EL69</f>
        <v>suits of medium Jedi battle armor</v>
      </c>
      <c r="EN69" s="1323" t="s">
        <v>1960</v>
      </c>
      <c r="EO69" s="3" t="s">
        <v>173</v>
      </c>
      <c r="EP69" s="3" t="s">
        <v>160</v>
      </c>
      <c r="EQ69" s="3" t="s">
        <v>460</v>
      </c>
      <c r="ER69" s="3" t="s">
        <v>461</v>
      </c>
      <c r="ES69" s="19" t="s">
        <v>274</v>
      </c>
      <c r="ET69" s="19" t="s">
        <v>321</v>
      </c>
      <c r="EZ69" s="3" t="s">
        <v>1404</v>
      </c>
      <c r="FA69" s="3" t="s">
        <v>3718</v>
      </c>
      <c r="FD69" s="3">
        <v>1</v>
      </c>
      <c r="FE69" s="3">
        <v>6</v>
      </c>
      <c r="FL69" s="3">
        <v>40</v>
      </c>
      <c r="FM69" s="3">
        <v>1.5</v>
      </c>
      <c r="FQ69" s="3" t="str">
        <f>IF(EP69="R",IF(EQ69&lt;&gt;"EWP",ER69,"pistols"),"")</f>
        <v/>
      </c>
      <c r="FR69" s="3" t="s">
        <v>1961</v>
      </c>
      <c r="FS69" s="8" t="s">
        <v>1962</v>
      </c>
      <c r="GC69" s="12" t="s">
        <v>1249</v>
      </c>
      <c r="GD69" s="3" t="s">
        <v>155</v>
      </c>
      <c r="GE69" s="19">
        <v>1000</v>
      </c>
      <c r="GF69" s="19">
        <v>0.5</v>
      </c>
      <c r="GG69" s="19" t="s">
        <v>249</v>
      </c>
      <c r="GH69" s="3" t="s">
        <v>1250</v>
      </c>
      <c r="GI69" s="8" t="s">
        <v>1251</v>
      </c>
      <c r="IC69" s="1540" t="str">
        <f t="shared" si="20"/>
        <v/>
      </c>
      <c r="ID69"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69" s="1540">
        <f t="shared" ref="IE69:IE131" si="24">IE68+1</f>
        <v>67</v>
      </c>
      <c r="IF69" s="1540" t="e">
        <f t="shared" si="22"/>
        <v>#VALUE!</v>
      </c>
      <c r="IG69" s="1540" t="str">
        <f t="shared" si="23"/>
        <v/>
      </c>
    </row>
    <row r="70" spans="1:241">
      <c r="A70" s="832" t="s">
        <v>154</v>
      </c>
      <c r="B70" s="832" t="s">
        <v>154</v>
      </c>
      <c r="H70" s="1358" t="s">
        <v>154</v>
      </c>
      <c r="J70" s="1323" t="s">
        <v>7338</v>
      </c>
      <c r="K70" s="569" t="s">
        <v>7180</v>
      </c>
      <c r="L70" s="569" t="str">
        <f>LEFT(J70,FIND("Chassis",J70,1)-2)</f>
        <v>Mechanic Droid</v>
      </c>
      <c r="P70" s="3">
        <v>2</v>
      </c>
      <c r="R70" s="569">
        <v>-2</v>
      </c>
      <c r="S70" s="569" t="s">
        <v>273</v>
      </c>
      <c r="T70" s="3" t="s">
        <v>1285</v>
      </c>
      <c r="V70" s="569" t="s">
        <v>274</v>
      </c>
      <c r="W70" s="569">
        <v>0</v>
      </c>
      <c r="X70" s="569">
        <v>0</v>
      </c>
      <c r="Y70" s="569">
        <v>999</v>
      </c>
      <c r="Z70" s="569">
        <v>999</v>
      </c>
      <c r="AA70" s="569">
        <v>999</v>
      </c>
      <c r="AB70" s="569">
        <v>4</v>
      </c>
      <c r="AC70" s="569" t="s">
        <v>7345</v>
      </c>
      <c r="AD70" s="569" t="s">
        <v>1259</v>
      </c>
      <c r="AE70" s="3" t="s">
        <v>7349</v>
      </c>
      <c r="AF70" s="569" t="s">
        <v>7356</v>
      </c>
      <c r="AG70" s="3" t="str">
        <f>IF(DroidManufacturer&lt;&gt;"",DroidManufacturer&amp;" Droid","")</f>
        <v/>
      </c>
      <c r="AH70" s="569"/>
      <c r="AK70" s="3" t="s">
        <v>550</v>
      </c>
      <c r="BO70" t="s">
        <v>1429</v>
      </c>
      <c r="BV70" s="456" t="s">
        <v>1549</v>
      </c>
      <c r="DC70" s="12" t="s">
        <v>6962</v>
      </c>
      <c r="DD70" s="1024" t="s">
        <v>160</v>
      </c>
      <c r="DE70" s="1024">
        <v>9</v>
      </c>
      <c r="DF70" s="1024">
        <v>4</v>
      </c>
      <c r="DG70" s="1024">
        <v>1</v>
      </c>
      <c r="DH70" s="1024">
        <v>4</v>
      </c>
      <c r="DI70" s="1024" t="s">
        <v>6758</v>
      </c>
      <c r="DJ70" s="1024" t="s">
        <v>283</v>
      </c>
      <c r="DK70" s="1024"/>
      <c r="DL70" s="1024"/>
      <c r="DM70" s="1024"/>
      <c r="DN70" s="1024"/>
      <c r="DO70" s="1024"/>
      <c r="DP70" s="1024"/>
      <c r="DQ70" s="1024"/>
      <c r="DR70" s="1024"/>
      <c r="DS70" s="1024"/>
      <c r="DT70" s="1024"/>
      <c r="DU70" s="1024"/>
      <c r="DV70" s="1024" t="s">
        <v>6965</v>
      </c>
      <c r="DW70" s="1024"/>
      <c r="DX70" s="1024" t="s">
        <v>417</v>
      </c>
      <c r="DY70" s="1024" t="s">
        <v>418</v>
      </c>
      <c r="DZ70" s="1024"/>
      <c r="EA70" s="1024"/>
      <c r="EB70" s="1024" t="s">
        <v>196</v>
      </c>
      <c r="EC70" s="1024"/>
      <c r="ED70" s="1024"/>
      <c r="EE70" s="1024"/>
      <c r="EF70" s="1024"/>
      <c r="EG70" s="1024"/>
      <c r="EH70" s="1024"/>
      <c r="EI70" s="1024"/>
      <c r="EJ70" s="1024">
        <v>30000</v>
      </c>
      <c r="EK70" s="1024">
        <v>8.9</v>
      </c>
      <c r="EL70" s="1024" t="s">
        <v>6962</v>
      </c>
      <c r="EM70" s="1024" t="str">
        <f>"suits of "&amp;EL70</f>
        <v>suits of Katarn-class commando armor</v>
      </c>
      <c r="EN70" s="1323" t="s">
        <v>1964</v>
      </c>
      <c r="EO70" s="3" t="s">
        <v>173</v>
      </c>
      <c r="EP70" s="3" t="s">
        <v>160</v>
      </c>
      <c r="EQ70" s="3" t="s">
        <v>460</v>
      </c>
      <c r="ER70" s="3" t="s">
        <v>461</v>
      </c>
      <c r="ES70" s="19" t="s">
        <v>149</v>
      </c>
      <c r="EZ70" s="3" t="s">
        <v>1404</v>
      </c>
      <c r="FA70" s="3" t="s">
        <v>3718</v>
      </c>
      <c r="FD70" s="3">
        <v>1</v>
      </c>
      <c r="FE70" s="3">
        <v>8</v>
      </c>
      <c r="FL70" s="3">
        <v>50</v>
      </c>
      <c r="FM70" s="3">
        <v>2</v>
      </c>
      <c r="FQ70" s="3" t="str">
        <f>IF(EP70="R",IF(EQ70&lt;&gt;"EWP",ER70,"pistols"),"")</f>
        <v/>
      </c>
      <c r="FR70" s="3" t="s">
        <v>1965</v>
      </c>
      <c r="FS70" s="8" t="s">
        <v>1966</v>
      </c>
      <c r="GC70" s="12" t="s">
        <v>1264</v>
      </c>
      <c r="GD70" s="3" t="s">
        <v>155</v>
      </c>
      <c r="GE70" s="19">
        <v>100</v>
      </c>
      <c r="GF70" s="19">
        <v>0.3</v>
      </c>
      <c r="GG70" s="19" t="s">
        <v>249</v>
      </c>
      <c r="GH70" s="3" t="s">
        <v>1265</v>
      </c>
      <c r="GI70" s="8" t="s">
        <v>1266</v>
      </c>
      <c r="IC70" s="1540" t="str">
        <f t="shared" si="20"/>
        <v/>
      </c>
      <c r="ID70"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0" s="1540">
        <f t="shared" si="24"/>
        <v>68</v>
      </c>
      <c r="IF70" s="1540" t="e">
        <f t="shared" si="22"/>
        <v>#VALUE!</v>
      </c>
      <c r="IG70" s="1540" t="str">
        <f t="shared" si="23"/>
        <v/>
      </c>
    </row>
    <row r="71" spans="1:241">
      <c r="A71" s="832" t="s">
        <v>191</v>
      </c>
      <c r="B71" s="832" t="s">
        <v>191</v>
      </c>
      <c r="H71" s="1358" t="s">
        <v>191</v>
      </c>
      <c r="J71" s="1323" t="s">
        <v>7339</v>
      </c>
      <c r="K71" s="569" t="s">
        <v>7180</v>
      </c>
      <c r="L71" s="569" t="str">
        <f>LEFT(J71,FIND("Chassis",J71,1)-2)</f>
        <v>Medical Droid</v>
      </c>
      <c r="M71" s="3">
        <v>-2</v>
      </c>
      <c r="P71" s="569">
        <v>-2</v>
      </c>
      <c r="R71" s="569"/>
      <c r="S71" s="569" t="s">
        <v>273</v>
      </c>
      <c r="T71" s="3" t="s">
        <v>1285</v>
      </c>
      <c r="V71" s="569" t="s">
        <v>149</v>
      </c>
      <c r="W71" s="569">
        <v>0</v>
      </c>
      <c r="X71" s="569">
        <v>0</v>
      </c>
      <c r="Y71" s="569">
        <v>999</v>
      </c>
      <c r="Z71" s="569">
        <v>999</v>
      </c>
      <c r="AA71" s="569">
        <v>999</v>
      </c>
      <c r="AB71" s="569">
        <v>6</v>
      </c>
      <c r="AC71" s="569" t="s">
        <v>7347</v>
      </c>
      <c r="AD71" s="569" t="s">
        <v>1259</v>
      </c>
      <c r="AE71" s="569" t="s">
        <v>7358</v>
      </c>
      <c r="AF71" s="3" t="str">
        <f>IF(DroidManufacturer&lt;&gt;"",DroidManufacturer&amp;" Droid","")</f>
        <v/>
      </c>
      <c r="AK71" s="3" t="s">
        <v>836</v>
      </c>
      <c r="AW71" s="3" t="str">
        <f>IF(OR(TTreatInjury&lt;&gt;"",STTreatInjury&lt;&gt;"",TKnowledgeLifeSciences&lt;&gt;"",STKnowledgeLifeSciences&lt;&gt;""),"Skill Focus","")</f>
        <v/>
      </c>
      <c r="BO71" t="s">
        <v>5951</v>
      </c>
      <c r="BV71" s="456" t="s">
        <v>5954</v>
      </c>
      <c r="DC71" s="12" t="s">
        <v>6042</v>
      </c>
      <c r="DD71" s="1024" t="s">
        <v>160</v>
      </c>
      <c r="DE71" s="1024">
        <v>7</v>
      </c>
      <c r="DF71" s="1024">
        <v>2</v>
      </c>
      <c r="DG71" s="1024">
        <v>3</v>
      </c>
      <c r="DH71" s="569">
        <v>1</v>
      </c>
      <c r="DI71" s="1024" t="s">
        <v>2152</v>
      </c>
      <c r="DJ71" s="1024" t="s">
        <v>283</v>
      </c>
      <c r="DK71" s="1024"/>
      <c r="DL71" s="1024"/>
      <c r="DM71" s="1024"/>
      <c r="DN71" s="1024"/>
      <c r="DO71" s="1024"/>
      <c r="DP71" s="1024"/>
      <c r="DQ71" s="1024"/>
      <c r="DR71" s="1024"/>
      <c r="DS71" s="1024"/>
      <c r="DT71" s="1024"/>
      <c r="DU71" s="1024"/>
      <c r="DV71" s="570" t="s">
        <v>6047</v>
      </c>
      <c r="DW71" s="1024"/>
      <c r="DX71" s="1024" t="s">
        <v>284</v>
      </c>
      <c r="DY71" s="1024"/>
      <c r="DZ71" s="1024"/>
      <c r="EA71" s="1024"/>
      <c r="EB71" s="1024" t="s">
        <v>196</v>
      </c>
      <c r="EC71" s="1024"/>
      <c r="ED71" s="1024"/>
      <c r="EE71" s="1024"/>
      <c r="EF71" s="1024"/>
      <c r="EG71" s="1024"/>
      <c r="EH71" s="1024"/>
      <c r="EI71" s="1024"/>
      <c r="EJ71" s="1024">
        <v>6000</v>
      </c>
      <c r="EK71" s="1024">
        <v>12</v>
      </c>
      <c r="EL71" s="1024" t="s">
        <v>6042</v>
      </c>
      <c r="EM71" s="1024" t="str">
        <f>"suits of "&amp;EL71</f>
        <v>suits of Knighthunter armor</v>
      </c>
      <c r="EN71" s="1331" t="s">
        <v>6538</v>
      </c>
      <c r="GC71" s="12" t="s">
        <v>252</v>
      </c>
      <c r="GD71" s="3" t="s">
        <v>173</v>
      </c>
      <c r="GE71" s="19">
        <v>1000</v>
      </c>
      <c r="GF71" s="19">
        <v>0.5</v>
      </c>
      <c r="GG71" s="19" t="s">
        <v>249</v>
      </c>
      <c r="GH71" s="3" t="s">
        <v>253</v>
      </c>
      <c r="GI71" s="8" t="s">
        <v>254</v>
      </c>
      <c r="IC71" s="1540" t="str">
        <f t="shared" si="20"/>
        <v/>
      </c>
      <c r="ID71"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1" s="1540">
        <f t="shared" si="24"/>
        <v>69</v>
      </c>
      <c r="IF71" s="1540" t="e">
        <f t="shared" si="22"/>
        <v>#VALUE!</v>
      </c>
      <c r="IG71" s="1540" t="str">
        <f t="shared" si="23"/>
        <v/>
      </c>
    </row>
    <row r="72" spans="1:241">
      <c r="A72" s="832" t="s">
        <v>234</v>
      </c>
      <c r="B72" s="832" t="s">
        <v>234</v>
      </c>
      <c r="H72" s="1358" t="s">
        <v>234</v>
      </c>
      <c r="J72" s="1323" t="s">
        <v>1747</v>
      </c>
      <c r="K72" s="3" t="s">
        <v>7944</v>
      </c>
      <c r="L72" s="3" t="s">
        <v>1747</v>
      </c>
      <c r="M72" s="4"/>
      <c r="N72" s="4">
        <v>-2</v>
      </c>
      <c r="O72" s="4"/>
      <c r="P72" s="4">
        <v>2</v>
      </c>
      <c r="Q72" s="4"/>
      <c r="R72" s="4"/>
      <c r="S72" s="3" t="s">
        <v>273</v>
      </c>
      <c r="T72" s="3" t="s">
        <v>1748</v>
      </c>
      <c r="V72" s="3" t="s">
        <v>149</v>
      </c>
      <c r="W72" s="3">
        <v>12</v>
      </c>
      <c r="X72" s="3">
        <v>16</v>
      </c>
      <c r="Y72" s="3">
        <v>45</v>
      </c>
      <c r="Z72" s="3">
        <v>70</v>
      </c>
      <c r="AA72" s="3">
        <v>85</v>
      </c>
      <c r="AB72" s="3">
        <v>6</v>
      </c>
      <c r="AC72" s="3" t="s">
        <v>1529</v>
      </c>
      <c r="AW72" s="3" t="s">
        <v>1749</v>
      </c>
      <c r="BO72" t="s">
        <v>1420</v>
      </c>
      <c r="BV72" s="456" t="s">
        <v>1557</v>
      </c>
      <c r="DC72" s="12" t="s">
        <v>961</v>
      </c>
      <c r="DD72" s="1024" t="s">
        <v>160</v>
      </c>
      <c r="DE72" s="1024">
        <v>7</v>
      </c>
      <c r="DF72" s="1024">
        <v>1</v>
      </c>
      <c r="DG72" s="1024">
        <v>3</v>
      </c>
      <c r="DH72" s="1024">
        <v>1</v>
      </c>
      <c r="DI72" s="1024" t="s">
        <v>169</v>
      </c>
      <c r="DJ72" s="1024" t="s">
        <v>283</v>
      </c>
      <c r="DK72" s="1024">
        <v>6</v>
      </c>
      <c r="DL72" s="1024"/>
      <c r="DM72" s="1024"/>
      <c r="DN72" s="1024"/>
      <c r="DO72" s="1024"/>
      <c r="DP72" s="1024"/>
      <c r="DQ72" s="1024"/>
      <c r="DR72" s="1024"/>
      <c r="DS72" s="1024"/>
      <c r="DT72" s="1024" t="s">
        <v>1507</v>
      </c>
      <c r="DU72" s="1024"/>
      <c r="DV72" s="1024" t="s">
        <v>962</v>
      </c>
      <c r="DW72" s="1024"/>
      <c r="DX72" s="1024" t="s">
        <v>456</v>
      </c>
      <c r="DY72" s="1024" t="s">
        <v>598</v>
      </c>
      <c r="DZ72" s="1024" t="s">
        <v>284</v>
      </c>
      <c r="EA72" s="1024" t="s">
        <v>90</v>
      </c>
      <c r="EB72" s="1024" t="s">
        <v>196</v>
      </c>
      <c r="EC72" s="1024"/>
      <c r="ED72" s="1024"/>
      <c r="EE72" s="1024"/>
      <c r="EF72" s="1024"/>
      <c r="EG72" s="1024"/>
      <c r="EH72" s="1024"/>
      <c r="EI72" s="1024"/>
      <c r="EJ72" s="1024">
        <v>16300</v>
      </c>
      <c r="EK72" s="1024">
        <v>14.8</v>
      </c>
      <c r="EL72" s="1024" t="s">
        <v>961</v>
      </c>
      <c r="EM72" s="1024" t="s">
        <v>963</v>
      </c>
      <c r="EN72" s="1323" t="s">
        <v>1223</v>
      </c>
      <c r="EO72" s="3" t="s">
        <v>155</v>
      </c>
      <c r="EP72" s="3" t="s">
        <v>160</v>
      </c>
      <c r="EQ72" s="3" t="s">
        <v>1224</v>
      </c>
      <c r="ER72" s="3" t="s">
        <v>461</v>
      </c>
      <c r="ES72" s="19" t="s">
        <v>170</v>
      </c>
      <c r="EZ72" s="3" t="s">
        <v>203</v>
      </c>
      <c r="FA72" s="3" t="s">
        <v>3718</v>
      </c>
      <c r="FC72" s="3" t="s">
        <v>1226</v>
      </c>
      <c r="FD72" s="3">
        <f>UnarmedDieNumber</f>
        <v>1</v>
      </c>
      <c r="FE72" s="3" t="e">
        <f ca="1">UnarmedDieSize</f>
        <v>#N/A</v>
      </c>
      <c r="FF72" s="3">
        <v>1</v>
      </c>
      <c r="FL72" s="3">
        <v>250</v>
      </c>
      <c r="FM72" s="3">
        <v>0.5</v>
      </c>
      <c r="FQ72" s="3" t="str">
        <f t="shared" ref="FQ72:FQ80" si="25">IF(EP72="R",IF(EQ72&lt;&gt;"EWP",ER72,"pistols"),"")</f>
        <v/>
      </c>
      <c r="FR72" s="3" t="s">
        <v>1227</v>
      </c>
      <c r="FS72" s="8" t="s">
        <v>1227</v>
      </c>
      <c r="GC72" s="12" t="s">
        <v>1281</v>
      </c>
      <c r="GD72" s="3" t="s">
        <v>248</v>
      </c>
      <c r="GE72" s="19">
        <v>10</v>
      </c>
      <c r="GF72" s="19">
        <v>0.2</v>
      </c>
      <c r="GG72" s="19" t="s">
        <v>249</v>
      </c>
      <c r="GH72" s="3" t="s">
        <v>1282</v>
      </c>
      <c r="GI72" s="8" t="s">
        <v>1283</v>
      </c>
      <c r="IC72" s="1540" t="str">
        <f t="shared" si="20"/>
        <v/>
      </c>
      <c r="ID72"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2" s="1540">
        <f t="shared" si="24"/>
        <v>70</v>
      </c>
      <c r="IF72" s="1540" t="e">
        <f t="shared" si="22"/>
        <v>#VALUE!</v>
      </c>
      <c r="IG72" s="1540" t="str">
        <f t="shared" si="23"/>
        <v/>
      </c>
    </row>
    <row r="73" spans="1:241">
      <c r="A73" s="832" t="s">
        <v>279</v>
      </c>
      <c r="B73" s="832" t="s">
        <v>279</v>
      </c>
      <c r="H73" s="1358" t="s">
        <v>279</v>
      </c>
      <c r="J73" s="1323" t="s">
        <v>1753</v>
      </c>
      <c r="K73" s="3" t="s">
        <v>7942</v>
      </c>
      <c r="L73" s="3" t="s">
        <v>1753</v>
      </c>
      <c r="M73" s="4"/>
      <c r="N73" s="4"/>
      <c r="O73" s="4">
        <v>-2</v>
      </c>
      <c r="P73" s="4">
        <v>2</v>
      </c>
      <c r="Q73" s="4">
        <v>2</v>
      </c>
      <c r="R73" s="4"/>
      <c r="S73" s="3" t="s">
        <v>273</v>
      </c>
      <c r="T73" s="3" t="s">
        <v>1754</v>
      </c>
      <c r="V73" s="3" t="s">
        <v>149</v>
      </c>
      <c r="W73" s="3">
        <v>12</v>
      </c>
      <c r="X73" s="3">
        <v>17</v>
      </c>
      <c r="Y73" s="3">
        <v>41</v>
      </c>
      <c r="Z73" s="3">
        <v>58</v>
      </c>
      <c r="AA73" s="3">
        <v>80</v>
      </c>
      <c r="AB73" s="3">
        <v>6</v>
      </c>
      <c r="AC73" s="3" t="s">
        <v>447</v>
      </c>
      <c r="AD73" s="3" t="s">
        <v>448</v>
      </c>
      <c r="AE73" s="3" t="s">
        <v>953</v>
      </c>
      <c r="AF73" s="3" t="str">
        <f>IF(Feats!M376&gt;0,"Swim Speed (6)","Swim Speed (4)")</f>
        <v>Swim Speed (4)</v>
      </c>
      <c r="AH73" s="3" t="s">
        <v>190</v>
      </c>
      <c r="BO73" t="s">
        <v>8039</v>
      </c>
      <c r="BV73" s="456" t="s">
        <v>8051</v>
      </c>
      <c r="DC73" s="12" t="s">
        <v>1020</v>
      </c>
      <c r="DD73" s="1024" t="s">
        <v>160</v>
      </c>
      <c r="DE73" s="1024">
        <v>8</v>
      </c>
      <c r="DF73" s="1024">
        <v>2</v>
      </c>
      <c r="DG73" s="1024">
        <v>2</v>
      </c>
      <c r="DH73" s="1024">
        <v>6</v>
      </c>
      <c r="DI73" s="1024" t="s">
        <v>173</v>
      </c>
      <c r="DJ73" s="1024" t="s">
        <v>283</v>
      </c>
      <c r="DK73" s="1024">
        <v>6</v>
      </c>
      <c r="DL73" s="1024"/>
      <c r="DM73" s="1024"/>
      <c r="DN73" s="1024"/>
      <c r="DO73" s="1024"/>
      <c r="DP73" s="1024"/>
      <c r="DQ73" s="1024"/>
      <c r="DR73" s="1024"/>
      <c r="DS73" s="1024"/>
      <c r="DT73" s="1024"/>
      <c r="DU73" s="1024"/>
      <c r="DV73" s="1024" t="s">
        <v>195</v>
      </c>
      <c r="DW73" s="1024"/>
      <c r="DX73" s="1024" t="s">
        <v>456</v>
      </c>
      <c r="DY73" s="1024" t="s">
        <v>417</v>
      </c>
      <c r="DZ73" s="1024" t="s">
        <v>284</v>
      </c>
      <c r="EA73" s="1024" t="s">
        <v>90</v>
      </c>
      <c r="EB73" s="1024" t="s">
        <v>3719</v>
      </c>
      <c r="EC73" s="1024" t="s">
        <v>118</v>
      </c>
      <c r="ED73" s="1024"/>
      <c r="EE73" s="1024"/>
      <c r="EF73" s="1024"/>
      <c r="EG73" s="1024"/>
      <c r="EH73" s="1024"/>
      <c r="EI73" s="1024"/>
      <c r="EJ73" s="1024"/>
      <c r="EK73" s="1024">
        <v>14.9</v>
      </c>
      <c r="EL73" s="1024" t="s">
        <v>1021</v>
      </c>
      <c r="EM73" s="1024" t="s">
        <v>1022</v>
      </c>
      <c r="EN73" s="1323" t="e">
        <f ca="1">IF(INDEX(RaceListTable,RaceIndex,49)&lt;&gt;"",PROPER(INDEX(RaceListTable,RaceIndex,49)),"")</f>
        <v>#N/A</v>
      </c>
      <c r="EO73" s="3" t="s">
        <v>155</v>
      </c>
      <c r="EP73" s="3" t="s">
        <v>160</v>
      </c>
      <c r="EQ73" s="3" t="s">
        <v>1224</v>
      </c>
      <c r="ER73" s="3" t="s">
        <v>461</v>
      </c>
      <c r="ES73" s="19" t="s">
        <v>1225</v>
      </c>
      <c r="EZ73" s="3" t="e">
        <f ca="1">IF(INDEX(RaceListTable,RaceIndex,51)&lt;&gt;"",PROPER(INDEX(RaceListTable,RaceIndex,51)),"")</f>
        <v>#N/A</v>
      </c>
      <c r="FA73" s="3" t="s">
        <v>3718</v>
      </c>
      <c r="FD73" s="1338" t="e">
        <f ca="1">IF(INDEX(RaceListTable,RaceIndex,50)&lt;&gt;"",LEFT(INDEX(RaceListTable,RaceIndex,50),1),0)</f>
        <v>#N/A</v>
      </c>
      <c r="FE73" s="1338" t="e">
        <f ca="1">IF(INDEX(RaceListTable,RaceIndex,50)&lt;&gt;"",MID(INDEX(RaceListTable,RaceIndex,50),3,2),0)</f>
        <v>#N/A</v>
      </c>
      <c r="FL73" s="3">
        <v>0</v>
      </c>
      <c r="FM73" s="3">
        <v>0</v>
      </c>
      <c r="FQ73" s="3" t="str">
        <f t="shared" si="25"/>
        <v/>
      </c>
      <c r="GC73" s="12" t="s">
        <v>7291</v>
      </c>
      <c r="GD73" s="3" t="s">
        <v>6758</v>
      </c>
      <c r="GE73" s="19">
        <v>400</v>
      </c>
      <c r="GF73" s="19">
        <v>2</v>
      </c>
      <c r="GG73" s="19" t="s">
        <v>209</v>
      </c>
      <c r="GH73" s="3" t="str">
        <f>LOWER(GC73)</f>
        <v>droid diagnostic</v>
      </c>
      <c r="GI73" s="8" t="str">
        <f>GH73&amp;"s"</f>
        <v>droid diagnostics</v>
      </c>
      <c r="IC73" s="1540" t="str">
        <f t="shared" si="20"/>
        <v/>
      </c>
      <c r="ID73"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3" s="1540">
        <f t="shared" si="24"/>
        <v>71</v>
      </c>
      <c r="IF73" s="1540" t="e">
        <f t="shared" si="22"/>
        <v>#VALUE!</v>
      </c>
      <c r="IG73" s="1540" t="str">
        <f t="shared" si="23"/>
        <v/>
      </c>
    </row>
    <row r="74" spans="1:241">
      <c r="A74" s="832" t="s">
        <v>317</v>
      </c>
      <c r="B74" s="832" t="s">
        <v>317</v>
      </c>
      <c r="H74" s="1358" t="s">
        <v>317</v>
      </c>
      <c r="J74" s="1323" t="s">
        <v>8037</v>
      </c>
      <c r="K74" s="569" t="s">
        <v>7183</v>
      </c>
      <c r="L74" s="569" t="str">
        <f>J74</f>
        <v>Mrlssi</v>
      </c>
      <c r="M74" s="569">
        <v>-2</v>
      </c>
      <c r="P74" s="3">
        <v>2</v>
      </c>
      <c r="R74" s="3">
        <v>2</v>
      </c>
      <c r="S74" s="569" t="s">
        <v>273</v>
      </c>
      <c r="T74" s="569" t="s">
        <v>8045</v>
      </c>
      <c r="V74" s="569" t="s">
        <v>274</v>
      </c>
      <c r="W74" s="569">
        <v>5</v>
      </c>
      <c r="X74" s="569">
        <v>9</v>
      </c>
      <c r="Y74" s="3">
        <v>36</v>
      </c>
      <c r="Z74" s="569">
        <v>70</v>
      </c>
      <c r="AA74" s="569">
        <v>90</v>
      </c>
      <c r="AB74" s="569">
        <v>4</v>
      </c>
      <c r="AC74" s="569" t="s">
        <v>8060</v>
      </c>
      <c r="AH74" s="3" t="s">
        <v>347</v>
      </c>
      <c r="AK74" s="3" t="s">
        <v>550</v>
      </c>
      <c r="AL74" s="3" t="str">
        <f>IF(MrlssiKnowledge&lt;&gt;"",MrlssiKnowledge,"")</f>
        <v/>
      </c>
      <c r="BO74" t="s">
        <v>7353</v>
      </c>
      <c r="BP74" s="1552" t="s">
        <v>228</v>
      </c>
      <c r="BQ74" s="1552" t="s">
        <v>5809</v>
      </c>
      <c r="BR74" s="1552" t="s">
        <v>407</v>
      </c>
      <c r="BS74" s="569" t="s">
        <v>5809</v>
      </c>
      <c r="BV74" s="1435" t="s">
        <v>7354</v>
      </c>
      <c r="DC74" s="12" t="s">
        <v>1088</v>
      </c>
      <c r="DD74" s="1024" t="s">
        <v>160</v>
      </c>
      <c r="DE74" s="1024">
        <v>6</v>
      </c>
      <c r="DF74" s="1024">
        <v>2</v>
      </c>
      <c r="DG74" s="1024">
        <v>2</v>
      </c>
      <c r="DH74" s="1024">
        <v>1</v>
      </c>
      <c r="DI74" s="1024" t="s">
        <v>173</v>
      </c>
      <c r="DJ74" s="1024"/>
      <c r="DK74" s="1024"/>
      <c r="DL74" s="1024"/>
      <c r="DM74" s="1024"/>
      <c r="DN74" s="1024"/>
      <c r="DO74" s="1024"/>
      <c r="DP74" s="1024"/>
      <c r="DQ74" s="1024"/>
      <c r="DR74" s="1024"/>
      <c r="DS74" s="1024"/>
      <c r="DT74" s="1024"/>
      <c r="DU74" s="1024"/>
      <c r="DV74" s="1024" t="s">
        <v>1089</v>
      </c>
      <c r="DW74" s="1024"/>
      <c r="DX74" s="1024"/>
      <c r="DY74" s="1024"/>
      <c r="DZ74" s="1024"/>
      <c r="EA74" s="1024"/>
      <c r="EB74" s="1024" t="s">
        <v>285</v>
      </c>
      <c r="EC74" s="1024"/>
      <c r="ED74" s="1024"/>
      <c r="EE74" s="1024"/>
      <c r="EF74" s="1024"/>
      <c r="EG74" s="1024"/>
      <c r="EH74" s="1024"/>
      <c r="EI74" s="1024"/>
      <c r="EJ74" s="1024">
        <v>6000</v>
      </c>
      <c r="EK74" s="1024">
        <v>13</v>
      </c>
      <c r="EL74" s="1024" t="s">
        <v>1090</v>
      </c>
      <c r="EM74" s="1024" t="s">
        <v>1091</v>
      </c>
      <c r="EN74" s="1323" t="e">
        <f ca="1">IF(INDEX(RaceListTable,RaceIndex,52)&lt;&gt;"",PROPER(INDEX(RaceListTable,RaceIndex,52)),"")</f>
        <v>#N/A</v>
      </c>
      <c r="EO74" s="3" t="s">
        <v>155</v>
      </c>
      <c r="EP74" s="3" t="s">
        <v>160</v>
      </c>
      <c r="EQ74" s="3" t="s">
        <v>1224</v>
      </c>
      <c r="ER74" s="3" t="s">
        <v>461</v>
      </c>
      <c r="ES74" s="19" t="s">
        <v>1225</v>
      </c>
      <c r="EZ74" s="3" t="e">
        <f ca="1">IF(INDEX(RaceListTable,RaceIndex,54)&lt;&gt;"",PROPER(INDEX(RaceListTable,RaceIndex,54)),"")</f>
        <v>#N/A</v>
      </c>
      <c r="FA74" s="3" t="s">
        <v>3718</v>
      </c>
      <c r="FD74" s="1338" t="e">
        <f ca="1">IF(INDEX(RaceListTable,RaceIndex,53)&lt;&gt;"",LEFT(INDEX(RaceListTable,RaceIndex,53),1),0)</f>
        <v>#N/A</v>
      </c>
      <c r="FE74" s="1338" t="e">
        <f ca="1">IF(INDEX(RaceListTable,RaceIndex,53)&lt;&gt;"",MID(INDEX(RaceListTable,RaceIndex,53),3,2),0)</f>
        <v>#N/A</v>
      </c>
      <c r="FL74" s="3">
        <v>0</v>
      </c>
      <c r="FM74" s="3">
        <v>0</v>
      </c>
      <c r="FQ74" s="3" t="str">
        <f t="shared" si="25"/>
        <v/>
      </c>
      <c r="GC74" s="12" t="s">
        <v>1289</v>
      </c>
      <c r="GD74" s="3" t="s">
        <v>155</v>
      </c>
      <c r="GE74" s="19">
        <v>1000</v>
      </c>
      <c r="GF74" s="19">
        <v>1</v>
      </c>
      <c r="GG74" s="19" t="s">
        <v>209</v>
      </c>
      <c r="GH74" s="3" t="s">
        <v>1290</v>
      </c>
      <c r="GI74" s="8" t="s">
        <v>1290</v>
      </c>
      <c r="IC74" s="1540" t="str">
        <f t="shared" si="20"/>
        <v/>
      </c>
      <c r="ID74"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4" s="1540">
        <f t="shared" si="24"/>
        <v>72</v>
      </c>
      <c r="IF74" s="1540" t="e">
        <f t="shared" si="22"/>
        <v>#VALUE!</v>
      </c>
      <c r="IG74" s="1540" t="str">
        <f t="shared" si="23"/>
        <v/>
      </c>
    </row>
    <row r="75" spans="1:241">
      <c r="A75" s="832" t="s">
        <v>350</v>
      </c>
      <c r="B75" s="832" t="s">
        <v>350</v>
      </c>
      <c r="H75" s="1358" t="s">
        <v>350</v>
      </c>
      <c r="J75" s="1323" t="s">
        <v>1780</v>
      </c>
      <c r="K75" s="3" t="s">
        <v>2146</v>
      </c>
      <c r="L75" s="3" t="s">
        <v>1780</v>
      </c>
      <c r="M75" s="4"/>
      <c r="N75" s="4">
        <v>2</v>
      </c>
      <c r="O75" s="4">
        <v>-2</v>
      </c>
      <c r="P75" s="4"/>
      <c r="Q75" s="4"/>
      <c r="R75" s="4">
        <v>2</v>
      </c>
      <c r="S75" s="3" t="s">
        <v>273</v>
      </c>
      <c r="T75" s="3" t="s">
        <v>1781</v>
      </c>
      <c r="V75" s="3" t="s">
        <v>149</v>
      </c>
      <c r="W75" s="3">
        <v>12</v>
      </c>
      <c r="X75" s="3">
        <v>19</v>
      </c>
      <c r="Y75" s="3">
        <v>45</v>
      </c>
      <c r="Z75" s="3">
        <v>61</v>
      </c>
      <c r="AA75" s="3">
        <v>75</v>
      </c>
      <c r="AB75" s="3">
        <v>6</v>
      </c>
      <c r="AC75" s="3" t="s">
        <v>1782</v>
      </c>
      <c r="AO75" s="3">
        <v>2</v>
      </c>
      <c r="BB75" s="3" t="s">
        <v>461</v>
      </c>
      <c r="BC75" s="3" t="s">
        <v>2228</v>
      </c>
      <c r="BO75" t="s">
        <v>774</v>
      </c>
      <c r="BP75" s="1552" t="s">
        <v>190</v>
      </c>
      <c r="BQ75" s="1552" t="s">
        <v>5810</v>
      </c>
      <c r="BV75" s="456" t="s">
        <v>1575</v>
      </c>
      <c r="DC75" s="12" t="s">
        <v>1108</v>
      </c>
      <c r="DD75" s="1024" t="s">
        <v>160</v>
      </c>
      <c r="DE75" s="1024">
        <v>6</v>
      </c>
      <c r="DF75" s="1024">
        <v>2</v>
      </c>
      <c r="DG75" s="1024">
        <v>2</v>
      </c>
      <c r="DH75" s="1024">
        <v>1</v>
      </c>
      <c r="DI75" s="1024" t="s">
        <v>173</v>
      </c>
      <c r="DJ75" s="1024" t="s">
        <v>363</v>
      </c>
      <c r="DK75" s="1024"/>
      <c r="DL75" s="1024"/>
      <c r="DM75" s="1024"/>
      <c r="DN75" s="1024"/>
      <c r="DO75" s="1024"/>
      <c r="DP75" s="1024"/>
      <c r="DQ75" s="1024"/>
      <c r="DR75" s="1024"/>
      <c r="DS75" s="1024"/>
      <c r="DT75" s="1024"/>
      <c r="DU75" s="1024"/>
      <c r="DV75" s="1024" t="s">
        <v>195</v>
      </c>
      <c r="DW75" s="1024"/>
      <c r="DX75" s="1024" t="s">
        <v>417</v>
      </c>
      <c r="DY75" s="1024"/>
      <c r="DZ75" s="1024"/>
      <c r="EA75" s="1024"/>
      <c r="EB75" s="1024" t="s">
        <v>3719</v>
      </c>
      <c r="EC75" s="1024"/>
      <c r="ED75" s="1024"/>
      <c r="EE75" s="1024"/>
      <c r="EF75" s="1024"/>
      <c r="EG75" s="1024"/>
      <c r="EH75" s="1024"/>
      <c r="EI75" s="1024"/>
      <c r="EJ75" s="1024"/>
      <c r="EK75" s="1024">
        <v>13.9</v>
      </c>
      <c r="EL75" s="1024" t="s">
        <v>1108</v>
      </c>
      <c r="EM75" s="1024" t="s">
        <v>1109</v>
      </c>
      <c r="EN75" s="1323" t="e">
        <f ca="1">IF(INDEX(RaceListTable,RaceIndex,55)&lt;&gt;"",PROPER(INDEX(RaceListTable,RaceIndex,55)),"")</f>
        <v>#N/A</v>
      </c>
      <c r="EO75" s="3" t="s">
        <v>155</v>
      </c>
      <c r="EP75" s="3" t="s">
        <v>160</v>
      </c>
      <c r="EQ75" s="3" t="s">
        <v>1224</v>
      </c>
      <c r="ER75" s="3" t="s">
        <v>461</v>
      </c>
      <c r="ES75" s="19" t="s">
        <v>1225</v>
      </c>
      <c r="EZ75" s="3" t="e">
        <f ca="1">IF(INDEX(RaceListTable,RaceIndex,57)&lt;&gt;"",PROPER(INDEX(RaceListTable,RaceIndex,57)),"")</f>
        <v>#N/A</v>
      </c>
      <c r="FA75" s="3" t="s">
        <v>3718</v>
      </c>
      <c r="FD75" s="1338" t="e">
        <f ca="1">IF(INDEX(RaceListTable,RaceIndex,56)&lt;&gt;"",LEFT(INDEX(RaceListTable,RaceIndex,56),1),0)</f>
        <v>#N/A</v>
      </c>
      <c r="FE75" s="1338" t="e">
        <f ca="1">IF(INDEX(RaceListTable,RaceIndex,56)&lt;&gt;"",MID(INDEX(RaceListTable,RaceIndex,56),3,2),0)</f>
        <v>#N/A</v>
      </c>
      <c r="FL75" s="3">
        <v>0</v>
      </c>
      <c r="FM75" s="3">
        <v>0</v>
      </c>
      <c r="FQ75" s="3" t="str">
        <f t="shared" si="25"/>
        <v/>
      </c>
      <c r="GC75" s="12" t="s">
        <v>8147</v>
      </c>
      <c r="GD75" s="3" t="s">
        <v>7946</v>
      </c>
      <c r="GE75" s="19">
        <v>750</v>
      </c>
      <c r="GF75" s="19">
        <v>0.9</v>
      </c>
      <c r="GG75" s="19" t="s">
        <v>249</v>
      </c>
      <c r="GH75" s="3" t="str">
        <f>LOWER(GC75)</f>
        <v>emergency vacuum seal</v>
      </c>
      <c r="GI75" s="8" t="str">
        <f>GH75&amp;"s"</f>
        <v>emergency vacuum seals</v>
      </c>
      <c r="IC75" s="1540" t="str">
        <f t="shared" si="20"/>
        <v/>
      </c>
      <c r="ID75"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5" s="1540">
        <f t="shared" si="24"/>
        <v>73</v>
      </c>
      <c r="IF75" s="1540" t="e">
        <f t="shared" si="22"/>
        <v>#VALUE!</v>
      </c>
      <c r="IG75" s="1540" t="str">
        <f t="shared" si="23"/>
        <v/>
      </c>
    </row>
    <row r="76" spans="1:241">
      <c r="A76" s="1163" t="s">
        <v>378</v>
      </c>
      <c r="B76" s="1163" t="s">
        <v>378</v>
      </c>
      <c r="H76" s="1358" t="s">
        <v>378</v>
      </c>
      <c r="J76" s="1323" t="s">
        <v>1791</v>
      </c>
      <c r="K76" s="3" t="s">
        <v>408</v>
      </c>
      <c r="L76" s="3" t="s">
        <v>1791</v>
      </c>
      <c r="M76" s="4"/>
      <c r="N76" s="4"/>
      <c r="O76" s="4">
        <v>2</v>
      </c>
      <c r="P76" s="4">
        <v>-2</v>
      </c>
      <c r="Q76" s="4">
        <v>-2</v>
      </c>
      <c r="R76" s="4"/>
      <c r="S76" s="3" t="s">
        <v>273</v>
      </c>
      <c r="T76" s="3" t="s">
        <v>1792</v>
      </c>
      <c r="V76" s="3" t="s">
        <v>149</v>
      </c>
      <c r="W76" s="3">
        <v>10</v>
      </c>
      <c r="X76" s="3">
        <v>15</v>
      </c>
      <c r="Y76" s="3">
        <v>41</v>
      </c>
      <c r="Z76" s="3">
        <v>55</v>
      </c>
      <c r="AA76" s="3">
        <v>70</v>
      </c>
      <c r="AB76" s="3">
        <v>6</v>
      </c>
      <c r="AC76" s="3" t="s">
        <v>447</v>
      </c>
      <c r="AD76" s="3" t="s">
        <v>1793</v>
      </c>
      <c r="AE76" s="3" t="s">
        <v>953</v>
      </c>
      <c r="AF76" s="3" t="s">
        <v>448</v>
      </c>
      <c r="AG76" s="3" t="s">
        <v>1493</v>
      </c>
      <c r="AR76" s="3">
        <v>2</v>
      </c>
      <c r="BO76" t="s">
        <v>1430</v>
      </c>
      <c r="BV76" s="456" t="s">
        <v>1597</v>
      </c>
      <c r="DC76" s="12" t="s">
        <v>6033</v>
      </c>
      <c r="DD76" s="1024" t="s">
        <v>160</v>
      </c>
      <c r="DE76">
        <v>7</v>
      </c>
      <c r="DG76">
        <v>2</v>
      </c>
      <c r="DH76" s="1364">
        <v>1</v>
      </c>
      <c r="DI76" s="1024" t="s">
        <v>6029</v>
      </c>
      <c r="DJ76" t="s">
        <v>283</v>
      </c>
      <c r="DV76" t="s">
        <v>195</v>
      </c>
      <c r="DX76" t="s">
        <v>284</v>
      </c>
      <c r="EB76" s="1024" t="s">
        <v>285</v>
      </c>
      <c r="EJ76">
        <v>9000</v>
      </c>
      <c r="EK76">
        <v>12</v>
      </c>
      <c r="EL76" s="1024" t="s">
        <v>6033</v>
      </c>
      <c r="EM76" t="str">
        <f>"suits of "&amp;EL76</f>
        <v>suits of Royal Guard armor</v>
      </c>
      <c r="EN76" s="1323" t="str">
        <f>IF(BeastNA4&lt;&gt;"",BeastNA4,"")</f>
        <v/>
      </c>
      <c r="EO76" s="3" t="s">
        <v>155</v>
      </c>
      <c r="EP76" s="3" t="s">
        <v>160</v>
      </c>
      <c r="EQ76" s="3" t="s">
        <v>1224</v>
      </c>
      <c r="ER76" s="3" t="s">
        <v>461</v>
      </c>
      <c r="ES76" s="19" t="s">
        <v>1225</v>
      </c>
      <c r="EZ76" s="3" t="str">
        <f>IF(BeastNA4Type&lt;&gt;"",BeastNA4Type,"")</f>
        <v/>
      </c>
      <c r="FA76" s="3" t="s">
        <v>3718</v>
      </c>
      <c r="FD76" s="1338">
        <f>IF(BeastNA4Dam&lt;&gt;"",LEFT(BeastNA4Dam,1),0)</f>
        <v>0</v>
      </c>
      <c r="FE76" s="1338">
        <f>IF(BeastNA4Dam&lt;&gt;"",RIGHT(BeastNA4Dam,1),0)</f>
        <v>0</v>
      </c>
      <c r="FL76" s="3">
        <v>0</v>
      </c>
      <c r="FM76" s="3">
        <v>0</v>
      </c>
      <c r="FQ76" s="3" t="str">
        <f t="shared" si="25"/>
        <v/>
      </c>
      <c r="GC76" s="12" t="s">
        <v>1299</v>
      </c>
      <c r="GD76" s="3" t="s">
        <v>155</v>
      </c>
      <c r="GE76" s="19">
        <v>10</v>
      </c>
      <c r="GF76" s="19">
        <v>0</v>
      </c>
      <c r="GG76" s="19" t="s">
        <v>249</v>
      </c>
      <c r="GH76" s="3" t="s">
        <v>361</v>
      </c>
      <c r="GI76" s="8" t="s">
        <v>362</v>
      </c>
      <c r="IC76" s="1540" t="str">
        <f t="shared" si="20"/>
        <v/>
      </c>
      <c r="ID76"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6" s="1540">
        <f t="shared" si="24"/>
        <v>74</v>
      </c>
      <c r="IF76" s="1540" t="e">
        <f t="shared" si="22"/>
        <v>#VALUE!</v>
      </c>
      <c r="IG76" s="1540" t="str">
        <f t="shared" si="23"/>
        <v/>
      </c>
    </row>
    <row r="77" spans="1:241">
      <c r="A77" s="832" t="s">
        <v>708</v>
      </c>
      <c r="B77" s="832" t="s">
        <v>708</v>
      </c>
      <c r="H77" s="1358" t="s">
        <v>708</v>
      </c>
      <c r="J77" s="1323" t="s">
        <v>1801</v>
      </c>
      <c r="K77" s="3" t="s">
        <v>445</v>
      </c>
      <c r="L77" s="3" t="s">
        <v>1801</v>
      </c>
      <c r="M77" s="4">
        <v>2</v>
      </c>
      <c r="N77" s="4">
        <v>-2</v>
      </c>
      <c r="O77" s="4">
        <v>2</v>
      </c>
      <c r="P77" s="4"/>
      <c r="Q77" s="4"/>
      <c r="R77" s="4">
        <v>-2</v>
      </c>
      <c r="S77" s="3" t="s">
        <v>273</v>
      </c>
      <c r="T77" s="3" t="s">
        <v>1801</v>
      </c>
      <c r="V77" s="3" t="s">
        <v>149</v>
      </c>
      <c r="W77" s="3">
        <v>16</v>
      </c>
      <c r="X77" s="3">
        <v>31</v>
      </c>
      <c r="Y77" s="3">
        <v>201</v>
      </c>
      <c r="Z77" s="3">
        <v>276</v>
      </c>
      <c r="AA77" s="3">
        <v>300</v>
      </c>
      <c r="AB77" s="3">
        <v>6</v>
      </c>
      <c r="AC77" s="3" t="s">
        <v>1802</v>
      </c>
      <c r="BO77" t="s">
        <v>1362</v>
      </c>
      <c r="BV77" s="456" t="s">
        <v>1609</v>
      </c>
      <c r="DC77" s="12" t="s">
        <v>6034</v>
      </c>
      <c r="DD77" s="1024" t="s">
        <v>160</v>
      </c>
      <c r="DE77">
        <v>7</v>
      </c>
      <c r="DG77">
        <v>2</v>
      </c>
      <c r="DH77">
        <v>1</v>
      </c>
      <c r="DI77" s="1024" t="s">
        <v>6029</v>
      </c>
      <c r="DJ77" s="1024" t="s">
        <v>283</v>
      </c>
      <c r="DV77" t="s">
        <v>195</v>
      </c>
      <c r="DX77" t="s">
        <v>284</v>
      </c>
      <c r="EB77" s="1024" t="s">
        <v>285</v>
      </c>
      <c r="EJ77">
        <v>9000</v>
      </c>
      <c r="EK77">
        <v>12</v>
      </c>
      <c r="EL77" s="1024" t="s">
        <v>6034</v>
      </c>
      <c r="EM77" t="str">
        <f>"suits of "&amp;EL77</f>
        <v>suits of Shadow Guard armor</v>
      </c>
      <c r="EN77" s="1323" t="str">
        <f>IF(BeastNA5&lt;&gt;"",BeastNA5,"")</f>
        <v/>
      </c>
      <c r="EO77" s="3" t="s">
        <v>155</v>
      </c>
      <c r="EP77" s="3" t="s">
        <v>160</v>
      </c>
      <c r="EQ77" s="3" t="s">
        <v>1224</v>
      </c>
      <c r="ER77" s="3" t="s">
        <v>461</v>
      </c>
      <c r="ES77" s="19" t="s">
        <v>1225</v>
      </c>
      <c r="EZ77" s="3" t="str">
        <f>IF(BeastNA5Type&lt;&gt;"",BeastNA5Type,"")</f>
        <v/>
      </c>
      <c r="FA77" s="3" t="s">
        <v>3718</v>
      </c>
      <c r="FD77" s="1338">
        <f>IF(BeastNA5Dam&lt;&gt;"",LEFT(BeastNA5Dam,1),0)</f>
        <v>0</v>
      </c>
      <c r="FE77" s="1338">
        <f>IF(BeastNA5Dam&lt;&gt;"",RIGHT(BeastNA5Dam,1),0)</f>
        <v>0</v>
      </c>
      <c r="FL77" s="3">
        <v>0</v>
      </c>
      <c r="FM77" s="3">
        <v>0</v>
      </c>
      <c r="FQ77" s="3" t="str">
        <f t="shared" si="25"/>
        <v/>
      </c>
      <c r="GC77" s="12" t="s">
        <v>1309</v>
      </c>
      <c r="GD77" s="3" t="s">
        <v>771</v>
      </c>
      <c r="GE77" s="19">
        <v>600</v>
      </c>
      <c r="GF77" s="19">
        <v>0.5</v>
      </c>
      <c r="GG77" s="19" t="s">
        <v>249</v>
      </c>
      <c r="GH77" s="3" t="s">
        <v>1309</v>
      </c>
      <c r="GI77" s="8" t="s">
        <v>1310</v>
      </c>
      <c r="IC77" s="1540" t="str">
        <f t="shared" si="20"/>
        <v/>
      </c>
      <c r="ID77"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7" s="1540">
        <f t="shared" si="24"/>
        <v>75</v>
      </c>
      <c r="IF77" s="1540" t="e">
        <f t="shared" si="22"/>
        <v>#VALUE!</v>
      </c>
      <c r="IG77" s="1540" t="str">
        <f t="shared" si="23"/>
        <v/>
      </c>
    </row>
    <row r="78" spans="1:241">
      <c r="A78" s="832"/>
      <c r="B78" s="832" t="s">
        <v>1012</v>
      </c>
      <c r="H78" s="1358" t="s">
        <v>1012</v>
      </c>
      <c r="J78" s="1323" t="s">
        <v>7968</v>
      </c>
      <c r="K78" s="569" t="s">
        <v>7946</v>
      </c>
      <c r="L78" s="569" t="str">
        <f>IF(NearHumanName&lt;&gt;"",NearHumanName,"Near-Human")</f>
        <v>Dathomiri</v>
      </c>
      <c r="M78" s="3">
        <f t="shared" ref="M78:R78" si="26">IF(NearHumanTrait="Ability adjustment",IF(NHAbilityPlus=M1,2,IF(NHAbilityMinus=M1,-2,0)),0)</f>
        <v>0</v>
      </c>
      <c r="N78" s="3">
        <f t="shared" si="26"/>
        <v>0</v>
      </c>
      <c r="O78" s="3">
        <f t="shared" si="26"/>
        <v>0</v>
      </c>
      <c r="P78" s="3">
        <f t="shared" si="26"/>
        <v>0</v>
      </c>
      <c r="Q78" s="3">
        <f t="shared" si="26"/>
        <v>0</v>
      </c>
      <c r="R78" s="3">
        <f t="shared" si="26"/>
        <v>0</v>
      </c>
      <c r="S78" s="569" t="str">
        <f>IF(NHLang1&lt;&gt;"",NHLang1,"Basic")</f>
        <v>Basic</v>
      </c>
      <c r="T78" s="569" t="str">
        <f>IF(NHLang2&lt;&gt;"",NHLang2,"")</f>
        <v>Paecian</v>
      </c>
      <c r="U78" s="569" t="str">
        <f>IF(NHLang3&lt;&gt;"",NHLang3,"")</f>
        <v>Zabrak</v>
      </c>
      <c r="V78" s="569" t="s">
        <v>149</v>
      </c>
      <c r="W78" s="3">
        <v>12</v>
      </c>
      <c r="X78" s="3">
        <v>16</v>
      </c>
      <c r="Y78" s="3">
        <v>41</v>
      </c>
      <c r="Z78" s="3">
        <v>60</v>
      </c>
      <c r="AA78" s="3">
        <v>80</v>
      </c>
      <c r="AB78" s="569">
        <f>IF(NearHumanTrait="Quick",7,6)</f>
        <v>6</v>
      </c>
      <c r="AC78" s="3" t="str">
        <f>IF(NearHumanRemovedTrait="Bonus Feat","Bonus Skill","Bonus Feat")</f>
        <v>Bonus Feat</v>
      </c>
      <c r="AD78" s="3" t="str">
        <f>IF(NearHumanTrait&lt;&gt;"",NearHumanTrait,"")</f>
        <v>Heightened awareness</v>
      </c>
      <c r="AK78" s="3" t="str">
        <f>IF(NearHumanTrait="Naturally acrobatic","Acrobatics","")</f>
        <v/>
      </c>
      <c r="AN78" s="3">
        <f>IF(NearHumanTrait="Natural armor",1,0)</f>
        <v>0</v>
      </c>
      <c r="AP78" s="3">
        <f>IF(NearHumanTrait='Near-Humans'!P22,2,0)</f>
        <v>0</v>
      </c>
      <c r="BB78" s="3" t="str">
        <f>IF(NearHumanTrait="Weapon familiarity","simple","")</f>
        <v/>
      </c>
      <c r="BC78" s="3" t="str">
        <f>IF(NearHumanTrait="Weapon familiarity",NHWeaponFamiliarity,"")</f>
        <v/>
      </c>
      <c r="BF78" s="3" t="str">
        <f>IF(NearHumanTrait="Natural weapon","claws","")</f>
        <v/>
      </c>
      <c r="BG78" s="3" t="str">
        <f>IF(NearHumanTrait="Natural weapon","1d6","")</f>
        <v/>
      </c>
      <c r="BH78" s="3" t="str">
        <f>IF(NearHumanTrait="Natural weapon","slashing","")</f>
        <v/>
      </c>
      <c r="BO78" t="s">
        <v>1616</v>
      </c>
      <c r="BV78" s="456" t="s">
        <v>1617</v>
      </c>
      <c r="DC78" s="12" t="s">
        <v>6040</v>
      </c>
      <c r="DD78" s="1364" t="s">
        <v>160</v>
      </c>
      <c r="DE78">
        <v>7</v>
      </c>
      <c r="DF78">
        <v>2</v>
      </c>
      <c r="DG78">
        <v>2</v>
      </c>
      <c r="DH78" s="1364">
        <v>1</v>
      </c>
      <c r="DI78" s="1364" t="s">
        <v>173</v>
      </c>
      <c r="EB78" s="1364" t="s">
        <v>3719</v>
      </c>
      <c r="EL78" s="1364" t="s">
        <v>6040</v>
      </c>
      <c r="EM78" s="1364" t="str">
        <f>"suits of "&amp;EL78</f>
        <v>suits of Sith battle suit</v>
      </c>
      <c r="EN78" s="1323" t="s">
        <v>6993</v>
      </c>
      <c r="EO78" s="3" t="s">
        <v>6758</v>
      </c>
      <c r="EP78" s="3" t="s">
        <v>160</v>
      </c>
      <c r="EQ78" s="3" t="s">
        <v>1224</v>
      </c>
      <c r="ER78" s="3" t="s">
        <v>461</v>
      </c>
      <c r="ES78" s="19" t="s">
        <v>274</v>
      </c>
      <c r="EV78" s="19" t="s">
        <v>202</v>
      </c>
      <c r="EZ78" s="3" t="s">
        <v>6994</v>
      </c>
      <c r="FA78" s="3" t="s">
        <v>204</v>
      </c>
      <c r="FC78" s="3" t="s">
        <v>6995</v>
      </c>
      <c r="FD78" s="3">
        <v>0</v>
      </c>
      <c r="FE78" s="3">
        <v>0</v>
      </c>
      <c r="FF78" s="3">
        <v>1</v>
      </c>
      <c r="FL78" s="3">
        <v>500</v>
      </c>
      <c r="FM78" s="3">
        <v>0.4</v>
      </c>
      <c r="FR78" s="3" t="s">
        <v>6996</v>
      </c>
      <c r="FS78" s="8" t="s">
        <v>6997</v>
      </c>
      <c r="GC78" s="12" t="s">
        <v>7287</v>
      </c>
      <c r="GD78" s="3" t="s">
        <v>6758</v>
      </c>
      <c r="GE78" s="19">
        <v>1500</v>
      </c>
      <c r="GF78" s="19">
        <v>4</v>
      </c>
      <c r="GG78" s="19" t="s">
        <v>170</v>
      </c>
      <c r="GH78" s="3" t="str">
        <f>LOWER(GC78)</f>
        <v>field food processor</v>
      </c>
      <c r="GI78" s="8" t="str">
        <f>GH78&amp;"s"</f>
        <v>field food processors</v>
      </c>
      <c r="IC78" s="1540" t="str">
        <f t="shared" si="20"/>
        <v/>
      </c>
      <c r="ID78"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8" s="1540">
        <f t="shared" si="24"/>
        <v>76</v>
      </c>
      <c r="IF78" s="1540" t="e">
        <f t="shared" si="22"/>
        <v>#VALUE!</v>
      </c>
      <c r="IG78" s="1540" t="str">
        <f t="shared" si="23"/>
        <v/>
      </c>
    </row>
    <row r="79" spans="1:241">
      <c r="A79" s="873"/>
      <c r="B79" s="873" t="s">
        <v>4547</v>
      </c>
      <c r="C79" s="873" t="s">
        <v>4548</v>
      </c>
      <c r="D79" s="873" t="s">
        <v>4549</v>
      </c>
      <c r="E79" s="873" t="s">
        <v>4550</v>
      </c>
      <c r="F79" s="873" t="s">
        <v>4551</v>
      </c>
      <c r="J79" s="1323" t="s">
        <v>1814</v>
      </c>
      <c r="K79" s="569" t="s">
        <v>7183</v>
      </c>
      <c r="L79" s="569" t="str">
        <f>J79</f>
        <v>Neimoidian</v>
      </c>
      <c r="M79" s="569">
        <v>-2</v>
      </c>
      <c r="R79" s="3">
        <v>2</v>
      </c>
      <c r="S79" s="569" t="s">
        <v>273</v>
      </c>
      <c r="T79" s="569" t="s">
        <v>1814</v>
      </c>
      <c r="V79" s="569" t="s">
        <v>149</v>
      </c>
      <c r="W79" s="569">
        <v>12</v>
      </c>
      <c r="X79" s="569">
        <v>17</v>
      </c>
      <c r="Y79" s="3">
        <v>41</v>
      </c>
      <c r="Z79" s="569">
        <v>58</v>
      </c>
      <c r="AA79" s="569">
        <v>80</v>
      </c>
      <c r="AB79" s="569">
        <v>6</v>
      </c>
      <c r="AH79" s="3" t="s">
        <v>268</v>
      </c>
      <c r="AI79" s="3" t="s">
        <v>347</v>
      </c>
      <c r="BO79" t="s">
        <v>1378</v>
      </c>
      <c r="BV79" s="456" t="s">
        <v>1658</v>
      </c>
      <c r="DC79" s="12" t="s">
        <v>6058</v>
      </c>
      <c r="DD79" s="1364" t="s">
        <v>160</v>
      </c>
      <c r="DE79">
        <v>8</v>
      </c>
      <c r="DF79">
        <v>2</v>
      </c>
      <c r="DG79">
        <v>2</v>
      </c>
      <c r="DH79" s="569">
        <v>1</v>
      </c>
      <c r="DI79" s="1364" t="s">
        <v>6060</v>
      </c>
      <c r="DX79" s="1364"/>
      <c r="EB79" s="1364" t="s">
        <v>196</v>
      </c>
      <c r="EJ79">
        <v>7000</v>
      </c>
      <c r="EK79">
        <v>16</v>
      </c>
      <c r="EL79" s="1364" t="s">
        <v>6058</v>
      </c>
      <c r="EM79" s="1364" t="str">
        <f>EL79&amp;"s"</f>
        <v>Skakoan medium pressure suits</v>
      </c>
      <c r="EN79" s="1323" t="s">
        <v>6993</v>
      </c>
      <c r="EO79" s="3" t="s">
        <v>6758</v>
      </c>
      <c r="EP79" s="3" t="s">
        <v>160</v>
      </c>
      <c r="EQ79" s="3" t="s">
        <v>1224</v>
      </c>
      <c r="ER79" s="3" t="s">
        <v>461</v>
      </c>
      <c r="ES79" s="19" t="s">
        <v>149</v>
      </c>
      <c r="EV79" s="19" t="s">
        <v>202</v>
      </c>
      <c r="EZ79" s="3" t="s">
        <v>6994</v>
      </c>
      <c r="FA79" s="3" t="s">
        <v>204</v>
      </c>
      <c r="FC79" s="3" t="s">
        <v>6995</v>
      </c>
      <c r="FD79" s="3">
        <v>0</v>
      </c>
      <c r="FE79" s="3">
        <v>0</v>
      </c>
      <c r="FF79" s="3">
        <v>1</v>
      </c>
      <c r="FL79" s="3">
        <v>600</v>
      </c>
      <c r="FM79" s="3">
        <v>0.5</v>
      </c>
      <c r="FR79" s="3" t="s">
        <v>6996</v>
      </c>
      <c r="FS79" s="8" t="s">
        <v>6997</v>
      </c>
      <c r="GC79" s="12" t="s">
        <v>1317</v>
      </c>
      <c r="GD79" s="3" t="s">
        <v>155</v>
      </c>
      <c r="GE79" s="19">
        <v>480</v>
      </c>
      <c r="GF79" s="19">
        <v>2.5</v>
      </c>
      <c r="GG79" s="19" t="s">
        <v>170</v>
      </c>
      <c r="GH79" s="3" t="s">
        <v>1318</v>
      </c>
      <c r="GI79" s="8" t="s">
        <v>1319</v>
      </c>
      <c r="IC79" s="1540" t="str">
        <f t="shared" si="20"/>
        <v/>
      </c>
      <c r="ID79"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79" s="1540">
        <f t="shared" si="24"/>
        <v>77</v>
      </c>
      <c r="IF79" s="1540" t="e">
        <f t="shared" si="22"/>
        <v>#VALUE!</v>
      </c>
      <c r="IG79" s="1540" t="str">
        <f t="shared" si="23"/>
        <v/>
      </c>
    </row>
    <row r="80" spans="1:241">
      <c r="A80" s="873" t="s">
        <v>2116</v>
      </c>
      <c r="B80">
        <v>-2</v>
      </c>
      <c r="D80">
        <v>2</v>
      </c>
      <c r="E80">
        <v>2</v>
      </c>
      <c r="J80" s="1323" t="s">
        <v>1823</v>
      </c>
      <c r="K80" s="3" t="s">
        <v>408</v>
      </c>
      <c r="L80" s="3" t="s">
        <v>1823</v>
      </c>
      <c r="M80" s="4"/>
      <c r="N80" s="4"/>
      <c r="O80" s="4"/>
      <c r="P80" s="4">
        <v>-2</v>
      </c>
      <c r="Q80" s="4">
        <v>2</v>
      </c>
      <c r="R80" s="4"/>
      <c r="S80" s="3" t="s">
        <v>1824</v>
      </c>
      <c r="V80" s="3" t="s">
        <v>149</v>
      </c>
      <c r="W80" s="3">
        <v>8</v>
      </c>
      <c r="X80" s="3">
        <v>21</v>
      </c>
      <c r="Y80" s="3">
        <v>31</v>
      </c>
      <c r="Z80" s="3">
        <v>46</v>
      </c>
      <c r="AA80" s="3">
        <v>65</v>
      </c>
      <c r="AB80" s="3">
        <v>6</v>
      </c>
      <c r="AC80" s="3" t="s">
        <v>151</v>
      </c>
      <c r="AD80" s="3" t="s">
        <v>484</v>
      </c>
      <c r="AE80" s="3" t="s">
        <v>1825</v>
      </c>
      <c r="BO80" t="s">
        <v>1650</v>
      </c>
      <c r="BV80" s="456" t="s">
        <v>1673</v>
      </c>
      <c r="DC80" s="12" t="s">
        <v>6963</v>
      </c>
      <c r="DD80" s="1364" t="s">
        <v>160</v>
      </c>
      <c r="DE80">
        <v>7</v>
      </c>
      <c r="DG80">
        <v>3</v>
      </c>
      <c r="DH80">
        <v>3</v>
      </c>
      <c r="DI80" s="1364" t="s">
        <v>6758</v>
      </c>
      <c r="DJ80" s="1364"/>
      <c r="DV80" s="1364"/>
      <c r="DX80" s="1364"/>
      <c r="DY80" s="1364"/>
      <c r="EB80" s="1364" t="s">
        <v>610</v>
      </c>
      <c r="EJ80">
        <v>7500</v>
      </c>
      <c r="EK80">
        <v>10</v>
      </c>
      <c r="EL80" s="1364" t="s">
        <v>6970</v>
      </c>
      <c r="EM80" s="1364" t="str">
        <f>"suits of "&amp;EL80</f>
        <v>suits of stalker armor</v>
      </c>
      <c r="EN80" s="1323" t="s">
        <v>1979</v>
      </c>
      <c r="EO80" s="3" t="s">
        <v>155</v>
      </c>
      <c r="EP80" s="3" t="s">
        <v>160</v>
      </c>
      <c r="EQ80" s="3" t="s">
        <v>1224</v>
      </c>
      <c r="ER80" s="3" t="s">
        <v>461</v>
      </c>
      <c r="ES80" s="19" t="s">
        <v>1225</v>
      </c>
      <c r="EZ80" s="3" t="s">
        <v>203</v>
      </c>
      <c r="FA80" s="3" t="s">
        <v>3718</v>
      </c>
      <c r="FD80" s="3">
        <f>UnarmedDieNumber</f>
        <v>1</v>
      </c>
      <c r="FE80" s="3" t="e">
        <f ca="1">UnarmedDieSize</f>
        <v>#N/A</v>
      </c>
      <c r="FL80" s="3">
        <v>0</v>
      </c>
      <c r="FM80" s="3">
        <v>0</v>
      </c>
      <c r="FQ80" s="3" t="str">
        <f t="shared" si="25"/>
        <v/>
      </c>
      <c r="FR80" s="3" t="s">
        <v>163</v>
      </c>
      <c r="FS80" s="8" t="s">
        <v>163</v>
      </c>
      <c r="GC80" s="12" t="s">
        <v>1330</v>
      </c>
      <c r="GD80" s="3" t="s">
        <v>155</v>
      </c>
      <c r="GE80" s="19">
        <v>50</v>
      </c>
      <c r="GF80" s="19">
        <v>3</v>
      </c>
      <c r="GG80" s="19" t="s">
        <v>170</v>
      </c>
      <c r="GH80" s="3" t="s">
        <v>1331</v>
      </c>
      <c r="GI80" s="8" t="s">
        <v>1332</v>
      </c>
      <c r="IC80" s="1540" t="str">
        <f t="shared" si="20"/>
        <v/>
      </c>
      <c r="ID80"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0" s="1540">
        <f t="shared" si="24"/>
        <v>78</v>
      </c>
      <c r="IF80" s="1540" t="e">
        <f t="shared" si="22"/>
        <v>#VALUE!</v>
      </c>
      <c r="IG80" s="1540" t="str">
        <f t="shared" si="23"/>
        <v/>
      </c>
    </row>
    <row r="81" spans="1:241">
      <c r="A81" s="873" t="s">
        <v>2117</v>
      </c>
      <c r="D81">
        <v>2</v>
      </c>
      <c r="F81">
        <v>-2</v>
      </c>
      <c r="J81" s="1323" t="s">
        <v>7938</v>
      </c>
      <c r="K81" s="569" t="s">
        <v>7946</v>
      </c>
      <c r="L81" s="3" t="str">
        <f>J81</f>
        <v>Nikto</v>
      </c>
      <c r="M81" s="3">
        <v>2</v>
      </c>
      <c r="P81" s="3">
        <v>-2</v>
      </c>
      <c r="R81" s="3">
        <v>-2</v>
      </c>
      <c r="S81" s="569" t="s">
        <v>7938</v>
      </c>
      <c r="T81" s="569" t="s">
        <v>273</v>
      </c>
      <c r="U81" s="3" t="s">
        <v>1538</v>
      </c>
      <c r="V81" s="569" t="s">
        <v>149</v>
      </c>
      <c r="W81" s="569">
        <v>11</v>
      </c>
      <c r="X81" s="569">
        <v>16</v>
      </c>
      <c r="Y81" s="569">
        <v>36</v>
      </c>
      <c r="Z81" s="569">
        <v>55</v>
      </c>
      <c r="AA81" s="569">
        <v>65</v>
      </c>
      <c r="AB81" s="569">
        <v>6</v>
      </c>
      <c r="AC81" s="569" t="s">
        <v>7957</v>
      </c>
      <c r="AD81" s="569" t="s">
        <v>2225</v>
      </c>
      <c r="AE81" s="569" t="s">
        <v>989</v>
      </c>
      <c r="AN81" s="3">
        <v>2</v>
      </c>
      <c r="AP81" s="3">
        <v>2</v>
      </c>
      <c r="BO81" t="s">
        <v>1681</v>
      </c>
      <c r="BV81" s="456" t="s">
        <v>1682</v>
      </c>
      <c r="DC81" s="12" t="s">
        <v>1344</v>
      </c>
      <c r="DD81" s="1364" t="s">
        <v>160</v>
      </c>
      <c r="DE81">
        <v>6</v>
      </c>
      <c r="DF81">
        <v>2</v>
      </c>
      <c r="DG81">
        <v>3</v>
      </c>
      <c r="DH81">
        <v>1</v>
      </c>
      <c r="DI81" s="1364" t="s">
        <v>173</v>
      </c>
      <c r="DV81" t="s">
        <v>195</v>
      </c>
      <c r="EB81" s="1364" t="s">
        <v>285</v>
      </c>
      <c r="EJ81">
        <v>5000</v>
      </c>
      <c r="EK81">
        <v>15</v>
      </c>
      <c r="EL81" s="1364" t="s">
        <v>1345</v>
      </c>
      <c r="EM81" s="1364" t="s">
        <v>1346</v>
      </c>
      <c r="EN81" s="1331" t="s">
        <v>6537</v>
      </c>
      <c r="GC81" s="12" t="s">
        <v>8146</v>
      </c>
      <c r="GD81" s="3" t="s">
        <v>7946</v>
      </c>
      <c r="GE81" s="19">
        <v>15</v>
      </c>
      <c r="GF81" s="19">
        <v>0.1</v>
      </c>
      <c r="GG81" s="19" t="s">
        <v>249</v>
      </c>
      <c r="GH81" s="3" t="str">
        <f>LOWER(GC81)</f>
        <v>fire paste</v>
      </c>
      <c r="GI81" s="8" t="str">
        <f>GH81&amp;"s"</f>
        <v>fire pastes</v>
      </c>
      <c r="IC81" s="1540" t="str">
        <f t="shared" si="20"/>
        <v/>
      </c>
      <c r="ID81"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1" s="1540">
        <f t="shared" si="24"/>
        <v>79</v>
      </c>
      <c r="IF81" s="1540" t="e">
        <f t="shared" si="22"/>
        <v>#VALUE!</v>
      </c>
      <c r="IG81" s="1540" t="str">
        <f t="shared" si="23"/>
        <v/>
      </c>
    </row>
    <row r="82" spans="1:241">
      <c r="A82" s="873" t="s">
        <v>2118</v>
      </c>
      <c r="B82">
        <v>-2</v>
      </c>
      <c r="E82">
        <v>2</v>
      </c>
      <c r="F82">
        <v>2</v>
      </c>
      <c r="J82" s="1323" t="s">
        <v>1866</v>
      </c>
      <c r="K82" s="3" t="s">
        <v>230</v>
      </c>
      <c r="L82" s="3" t="s">
        <v>1866</v>
      </c>
      <c r="M82" s="4"/>
      <c r="N82" s="4">
        <v>2</v>
      </c>
      <c r="O82" s="4"/>
      <c r="P82" s="4"/>
      <c r="Q82" s="4">
        <v>2</v>
      </c>
      <c r="R82" s="4">
        <v>-4</v>
      </c>
      <c r="S82" s="3" t="s">
        <v>1867</v>
      </c>
      <c r="V82" s="3" t="s">
        <v>274</v>
      </c>
      <c r="W82" s="3">
        <v>9</v>
      </c>
      <c r="X82" s="3">
        <v>13</v>
      </c>
      <c r="Y82" s="3">
        <v>45</v>
      </c>
      <c r="Z82" s="3">
        <v>60</v>
      </c>
      <c r="AA82" s="3">
        <v>75</v>
      </c>
      <c r="AB82" s="3">
        <v>4</v>
      </c>
      <c r="AC82" s="3" t="s">
        <v>484</v>
      </c>
      <c r="AD82" s="3" t="s">
        <v>151</v>
      </c>
      <c r="AW82" s="3" t="s">
        <v>195</v>
      </c>
      <c r="BO82" t="s">
        <v>518</v>
      </c>
      <c r="BV82" s="456" t="s">
        <v>1695</v>
      </c>
      <c r="DC82" s="683" t="s">
        <v>6063</v>
      </c>
      <c r="DD82" s="1024" t="s">
        <v>238</v>
      </c>
      <c r="DH82" s="1024"/>
      <c r="DI82" s="1024"/>
      <c r="EB82" s="1024"/>
      <c r="EL82" s="1024"/>
      <c r="EN82" s="1323" t="s">
        <v>1371</v>
      </c>
      <c r="EO82" s="3" t="s">
        <v>155</v>
      </c>
      <c r="EP82" s="3" t="s">
        <v>160</v>
      </c>
      <c r="EQ82" s="3" t="s">
        <v>779</v>
      </c>
      <c r="ER82" s="3" t="str">
        <f ca="1">IF(Feats!$M$157&gt;0,"simple","improvised")</f>
        <v>improvised</v>
      </c>
      <c r="ES82" s="19" t="s">
        <v>274</v>
      </c>
      <c r="EZ82" s="3" t="s">
        <v>1372</v>
      </c>
      <c r="FA82" s="3" t="s">
        <v>3718</v>
      </c>
      <c r="FD82" s="3">
        <v>1</v>
      </c>
      <c r="FE82" s="3">
        <v>8</v>
      </c>
      <c r="FL82" s="3">
        <v>50</v>
      </c>
      <c r="FM82" s="3">
        <v>0.2</v>
      </c>
      <c r="FQ82" s="3" t="str">
        <f>IF(EP82="R",IF(EQ82&lt;&gt;"EWP",ER82,"pistols"),"")</f>
        <v/>
      </c>
      <c r="FR82" s="3" t="s">
        <v>1373</v>
      </c>
      <c r="GC82" s="12" t="s">
        <v>8145</v>
      </c>
      <c r="GD82" s="3" t="s">
        <v>7946</v>
      </c>
      <c r="GE82" s="19">
        <v>25</v>
      </c>
      <c r="GF82" s="19">
        <v>0.1</v>
      </c>
      <c r="GG82" s="19" t="s">
        <v>249</v>
      </c>
      <c r="GH82" s="3" t="str">
        <f>LOWER(GC82)</f>
        <v>fire rod</v>
      </c>
      <c r="GI82" s="8" t="str">
        <f>GH82&amp;"s"</f>
        <v>fire rods</v>
      </c>
      <c r="IC82" s="1540" t="str">
        <f t="shared" si="20"/>
        <v/>
      </c>
      <c r="ID82"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2" s="1540">
        <f t="shared" si="24"/>
        <v>80</v>
      </c>
      <c r="IF82" s="1540" t="e">
        <f t="shared" si="22"/>
        <v>#VALUE!</v>
      </c>
      <c r="IG82" s="1540" t="str">
        <f t="shared" si="23"/>
        <v/>
      </c>
    </row>
    <row r="83" spans="1:241">
      <c r="A83" s="873" t="s">
        <v>2108</v>
      </c>
      <c r="C83">
        <v>2</v>
      </c>
      <c r="D83">
        <v>-2</v>
      </c>
      <c r="F83">
        <v>-2</v>
      </c>
      <c r="J83" s="1323" t="s">
        <v>1874</v>
      </c>
      <c r="K83" s="3" t="s">
        <v>230</v>
      </c>
      <c r="L83" s="3" t="s">
        <v>1874</v>
      </c>
      <c r="M83" s="4"/>
      <c r="N83" s="4">
        <v>2</v>
      </c>
      <c r="O83" s="4"/>
      <c r="P83" s="4"/>
      <c r="Q83" s="4"/>
      <c r="R83" s="4">
        <v>-2</v>
      </c>
      <c r="S83" s="3" t="s">
        <v>273</v>
      </c>
      <c r="T83" s="3" t="s">
        <v>1874</v>
      </c>
      <c r="V83" s="3" t="s">
        <v>149</v>
      </c>
      <c r="W83" s="3">
        <v>11</v>
      </c>
      <c r="X83" s="3">
        <v>16</v>
      </c>
      <c r="Y83" s="3">
        <v>46</v>
      </c>
      <c r="Z83" s="3">
        <v>80</v>
      </c>
      <c r="AA83" s="3">
        <v>100</v>
      </c>
      <c r="AB83" s="3">
        <v>6</v>
      </c>
      <c r="AC83" s="3" t="s">
        <v>799</v>
      </c>
      <c r="AD83" s="3" t="s">
        <v>989</v>
      </c>
      <c r="AK83" s="3" t="s">
        <v>228</v>
      </c>
      <c r="BO83" t="s">
        <v>630</v>
      </c>
      <c r="BV83" s="456" t="s">
        <v>1708</v>
      </c>
      <c r="DC83" s="12" t="s">
        <v>237</v>
      </c>
      <c r="DD83" s="1024" t="s">
        <v>238</v>
      </c>
      <c r="DE83" s="1024">
        <v>10</v>
      </c>
      <c r="DF83" s="1024">
        <v>4</v>
      </c>
      <c r="DG83" s="1024">
        <v>1</v>
      </c>
      <c r="DH83" s="1024">
        <v>1</v>
      </c>
      <c r="DI83" s="1024" t="s">
        <v>155</v>
      </c>
      <c r="DJ83" s="1024"/>
      <c r="DV83" t="s">
        <v>195</v>
      </c>
      <c r="EB83" s="1024" t="s">
        <v>196</v>
      </c>
      <c r="EJ83">
        <v>15000</v>
      </c>
      <c r="EK83">
        <v>30</v>
      </c>
      <c r="EL83" s="1024" t="s">
        <v>239</v>
      </c>
      <c r="EM83" t="s">
        <v>240</v>
      </c>
      <c r="EN83" s="1323" t="s">
        <v>1443</v>
      </c>
      <c r="EO83" s="3" t="s">
        <v>155</v>
      </c>
      <c r="EP83" s="3" t="s">
        <v>160</v>
      </c>
      <c r="EQ83" s="3" t="s">
        <v>779</v>
      </c>
      <c r="ER83" s="3" t="str">
        <f ca="1">IF(Feats!$M$157&gt;0,"simple","improvised")</f>
        <v>improvised</v>
      </c>
      <c r="ES83" s="19" t="s">
        <v>274</v>
      </c>
      <c r="EZ83" s="3" t="s">
        <v>497</v>
      </c>
      <c r="FA83" s="3" t="s">
        <v>3718</v>
      </c>
      <c r="FD83" s="3">
        <v>2</v>
      </c>
      <c r="FE83" s="3">
        <v>6</v>
      </c>
      <c r="FL83" s="3">
        <v>50</v>
      </c>
      <c r="FM83" s="3">
        <v>0.2</v>
      </c>
      <c r="FQ83" s="3" t="str">
        <f>IF(EP83="R",IF(EQ83&lt;&gt;"EWP",ER83,"pistols"),"")</f>
        <v/>
      </c>
      <c r="FR83" s="3" t="s">
        <v>1444</v>
      </c>
      <c r="FS83" s="8" t="s">
        <v>1445</v>
      </c>
      <c r="GC83" s="12" t="s">
        <v>8118</v>
      </c>
      <c r="GD83" s="3" t="s">
        <v>7183</v>
      </c>
      <c r="GE83" s="19">
        <v>400</v>
      </c>
      <c r="GF83" s="19">
        <v>0.2</v>
      </c>
      <c r="GG83" s="19" t="s">
        <v>249</v>
      </c>
      <c r="GH83" s="3" t="str">
        <f>LOWER(GC83)</f>
        <v>flash suppressor/silencer</v>
      </c>
      <c r="GI83" s="8" t="str">
        <f>GH83&amp;"s"</f>
        <v>flash suppressor/silencers</v>
      </c>
      <c r="IC83" s="1540" t="str">
        <f t="shared" si="20"/>
        <v/>
      </c>
      <c r="ID83"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3" s="1540">
        <f t="shared" si="24"/>
        <v>81</v>
      </c>
      <c r="IF83" s="1540" t="e">
        <f t="shared" si="22"/>
        <v>#VALUE!</v>
      </c>
      <c r="IG83" s="1540" t="str">
        <f t="shared" si="23"/>
        <v/>
      </c>
    </row>
    <row r="84" spans="1:241">
      <c r="A84" s="1373" t="s">
        <v>2119</v>
      </c>
      <c r="B84" s="1373">
        <v>4</v>
      </c>
      <c r="C84" s="1373"/>
      <c r="D84" s="1373">
        <v>-4</v>
      </c>
      <c r="E84" s="1373"/>
      <c r="F84" s="1373">
        <v>-4</v>
      </c>
      <c r="J84" s="1323" t="s">
        <v>1908</v>
      </c>
      <c r="K84" s="3" t="s">
        <v>445</v>
      </c>
      <c r="L84" s="3" t="s">
        <v>1908</v>
      </c>
      <c r="M84" s="4">
        <v>-2</v>
      </c>
      <c r="N84" s="4"/>
      <c r="O84" s="4"/>
      <c r="P84" s="4"/>
      <c r="Q84" s="4">
        <v>2</v>
      </c>
      <c r="R84" s="4">
        <v>2</v>
      </c>
      <c r="S84" s="3" t="s">
        <v>273</v>
      </c>
      <c r="T84" s="3" t="s">
        <v>1909</v>
      </c>
      <c r="V84" s="3" t="s">
        <v>149</v>
      </c>
      <c r="W84" s="3">
        <v>17</v>
      </c>
      <c r="X84" s="3">
        <v>31</v>
      </c>
      <c r="Y84" s="3">
        <v>401</v>
      </c>
      <c r="Z84" s="3">
        <v>501</v>
      </c>
      <c r="AA84" s="3">
        <v>700</v>
      </c>
      <c r="AB84" s="3">
        <v>6</v>
      </c>
      <c r="AC84" s="3" t="s">
        <v>485</v>
      </c>
      <c r="AD84" s="3" t="s">
        <v>953</v>
      </c>
      <c r="AH84" s="3" t="s">
        <v>347</v>
      </c>
      <c r="BF84" s="3" t="s">
        <v>1875</v>
      </c>
      <c r="BG84" s="3" t="str">
        <f ca="1">"1d"&amp;MIN(12,UnarmedDieIncreases*2+6)</f>
        <v>1d6</v>
      </c>
      <c r="BH84" s="3" t="s">
        <v>635</v>
      </c>
      <c r="BO84" t="s">
        <v>913</v>
      </c>
      <c r="BP84" s="1552" t="s">
        <v>375</v>
      </c>
      <c r="BQ84" s="1552" t="s">
        <v>5810</v>
      </c>
      <c r="BV84" s="456" t="s">
        <v>1716</v>
      </c>
      <c r="DC84" s="12" t="s">
        <v>282</v>
      </c>
      <c r="DD84" s="1024" t="s">
        <v>238</v>
      </c>
      <c r="DE84" s="1024">
        <v>9</v>
      </c>
      <c r="DF84" s="1024">
        <v>4</v>
      </c>
      <c r="DG84" s="1024">
        <v>1</v>
      </c>
      <c r="DH84" s="1024">
        <v>2</v>
      </c>
      <c r="DI84" s="1024" t="s">
        <v>173</v>
      </c>
      <c r="DJ84" s="1024" t="s">
        <v>283</v>
      </c>
      <c r="DV84" s="1024" t="s">
        <v>195</v>
      </c>
      <c r="DX84" t="s">
        <v>284</v>
      </c>
      <c r="EB84" s="1024" t="s">
        <v>285</v>
      </c>
      <c r="EJ84">
        <v>19000</v>
      </c>
      <c r="EK84">
        <v>31</v>
      </c>
      <c r="EL84" s="1024" t="s">
        <v>286</v>
      </c>
      <c r="EM84" t="s">
        <v>287</v>
      </c>
      <c r="EN84" s="1323" t="s">
        <v>1598</v>
      </c>
      <c r="EO84" s="3" t="s">
        <v>155</v>
      </c>
      <c r="EP84" s="3" t="s">
        <v>160</v>
      </c>
      <c r="EQ84" s="3" t="s">
        <v>779</v>
      </c>
      <c r="ER84" s="3" t="str">
        <f ca="1">IF(Feats!$M$157&gt;0,"simple","improvised")</f>
        <v>improvised</v>
      </c>
      <c r="ES84" s="19" t="s">
        <v>274</v>
      </c>
      <c r="EZ84" s="3" t="s">
        <v>497</v>
      </c>
      <c r="FA84" s="3" t="s">
        <v>3718</v>
      </c>
      <c r="FD84" s="3">
        <v>1</v>
      </c>
      <c r="FE84" s="3">
        <v>8</v>
      </c>
      <c r="FL84" s="3">
        <v>50</v>
      </c>
      <c r="FM84" s="3">
        <v>0.2</v>
      </c>
      <c r="FQ84" s="3" t="str">
        <f>IF(EP84="R",IF(EQ84&lt;&gt;"EWP",ER84,"pistols"),"")</f>
        <v/>
      </c>
      <c r="FR84" s="3" t="s">
        <v>1599</v>
      </c>
      <c r="FS84" s="8" t="s">
        <v>1600</v>
      </c>
      <c r="GC84" s="12" t="s">
        <v>1340</v>
      </c>
      <c r="GD84" s="3" t="s">
        <v>169</v>
      </c>
      <c r="GE84" s="19">
        <v>7000</v>
      </c>
      <c r="GF84" s="19">
        <v>25</v>
      </c>
      <c r="GG84" s="19" t="s">
        <v>274</v>
      </c>
      <c r="GH84" s="3" t="s">
        <v>1341</v>
      </c>
      <c r="GI84" s="8" t="s">
        <v>1342</v>
      </c>
      <c r="IC84" s="1540" t="str">
        <f t="shared" si="20"/>
        <v>Amphistaff;</v>
      </c>
      <c r="ID84" s="1540" t="str">
        <f t="shared" si="21"/>
        <v>Amphistaff;Amphistaff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4" s="1540">
        <f t="shared" si="24"/>
        <v>82</v>
      </c>
      <c r="IF84" s="1540" t="e">
        <f t="shared" si="22"/>
        <v>#VALUE!</v>
      </c>
      <c r="IG84" s="1540" t="str">
        <f t="shared" si="23"/>
        <v/>
      </c>
    </row>
    <row r="85" spans="1:241">
      <c r="A85" s="1373" t="s">
        <v>7082</v>
      </c>
      <c r="B85" s="1373"/>
      <c r="C85" s="1373"/>
      <c r="D85" s="1373"/>
      <c r="E85" s="1373"/>
      <c r="F85" s="1373"/>
      <c r="J85" s="1323" t="s">
        <v>1912</v>
      </c>
      <c r="K85" s="3" t="s">
        <v>445</v>
      </c>
      <c r="L85" s="3" t="s">
        <v>1912</v>
      </c>
      <c r="M85" s="4"/>
      <c r="N85" s="4"/>
      <c r="O85" s="4"/>
      <c r="P85" s="4">
        <v>2</v>
      </c>
      <c r="Q85" s="4"/>
      <c r="R85" s="4">
        <v>-2</v>
      </c>
      <c r="S85" s="3" t="s">
        <v>1912</v>
      </c>
      <c r="V85" s="3" t="s">
        <v>149</v>
      </c>
      <c r="W85" s="3">
        <v>13</v>
      </c>
      <c r="X85" s="3">
        <v>17</v>
      </c>
      <c r="Y85" s="3">
        <v>40</v>
      </c>
      <c r="Z85" s="3">
        <v>55</v>
      </c>
      <c r="AA85" s="3">
        <v>75</v>
      </c>
      <c r="AB85" s="3">
        <v>6</v>
      </c>
      <c r="AH85" s="3" t="s">
        <v>550</v>
      </c>
      <c r="AM85" s="3" t="s">
        <v>195</v>
      </c>
      <c r="AT85" s="3" t="s">
        <v>195</v>
      </c>
      <c r="AU85" s="3" t="s">
        <v>195</v>
      </c>
      <c r="AV85" s="3" t="s">
        <v>195</v>
      </c>
      <c r="AW85" s="3" t="s">
        <v>195</v>
      </c>
      <c r="AX85" s="3" t="s">
        <v>195</v>
      </c>
      <c r="AY85" s="3" t="s">
        <v>195</v>
      </c>
      <c r="AZ85" s="3" t="s">
        <v>195</v>
      </c>
      <c r="BA85" s="3" t="s">
        <v>195</v>
      </c>
      <c r="BB85" s="3" t="s">
        <v>195</v>
      </c>
      <c r="BC85" s="3" t="s">
        <v>195</v>
      </c>
      <c r="BD85" s="3" t="s">
        <v>195</v>
      </c>
      <c r="BE85" s="3" t="s">
        <v>195</v>
      </c>
      <c r="BO85" t="s">
        <v>1602</v>
      </c>
      <c r="BV85" s="456" t="s">
        <v>1737</v>
      </c>
      <c r="DC85" s="12" t="s">
        <v>416</v>
      </c>
      <c r="DD85" s="1024" t="s">
        <v>238</v>
      </c>
      <c r="DE85" s="1024">
        <v>10</v>
      </c>
      <c r="DF85" s="1024">
        <v>3</v>
      </c>
      <c r="DG85" s="1024">
        <v>1</v>
      </c>
      <c r="DH85" s="1024">
        <v>2</v>
      </c>
      <c r="DI85" s="1024" t="s">
        <v>169</v>
      </c>
      <c r="DJ85" t="s">
        <v>283</v>
      </c>
      <c r="DK85">
        <v>4</v>
      </c>
      <c r="DV85" s="1024"/>
      <c r="DW85" s="1024" t="s">
        <v>3692</v>
      </c>
      <c r="EB85" s="1024" t="s">
        <v>285</v>
      </c>
      <c r="EC85" s="382" t="s">
        <v>118</v>
      </c>
      <c r="EJ85">
        <v>15000</v>
      </c>
      <c r="EK85">
        <v>20.9</v>
      </c>
      <c r="EL85" s="1024" t="s">
        <v>419</v>
      </c>
      <c r="EM85" t="s">
        <v>420</v>
      </c>
      <c r="EN85" s="1323" t="s">
        <v>1808</v>
      </c>
      <c r="EO85" s="3" t="s">
        <v>155</v>
      </c>
      <c r="EP85" s="3" t="s">
        <v>160</v>
      </c>
      <c r="EQ85" s="3" t="s">
        <v>779</v>
      </c>
      <c r="ER85" s="3" t="str">
        <f ca="1">IF(Feats!$M$157&gt;0,"simple","improvised")</f>
        <v>improvised</v>
      </c>
      <c r="ES85" s="19" t="s">
        <v>274</v>
      </c>
      <c r="ET85" s="19" t="s">
        <v>321</v>
      </c>
      <c r="EZ85" s="3" t="s">
        <v>203</v>
      </c>
      <c r="FA85" s="3" t="s">
        <v>3718</v>
      </c>
      <c r="FD85" s="3">
        <v>1</v>
      </c>
      <c r="FE85" s="3">
        <v>8</v>
      </c>
      <c r="FL85" s="3">
        <v>50</v>
      </c>
      <c r="FM85" s="3">
        <v>0.2</v>
      </c>
      <c r="FQ85" s="3" t="str">
        <f>IF(EP85="R",IF(EQ85&lt;&gt;"EWP",ER85,"pistols"),"")</f>
        <v/>
      </c>
      <c r="FR85" s="3" t="s">
        <v>1809</v>
      </c>
      <c r="FS85" s="8" t="s">
        <v>1810</v>
      </c>
      <c r="GC85" s="12" t="s">
        <v>4468</v>
      </c>
      <c r="GD85" s="569" t="s">
        <v>3800</v>
      </c>
      <c r="GE85" s="19">
        <v>2000</v>
      </c>
      <c r="GF85" s="19">
        <v>9</v>
      </c>
      <c r="GG85" s="19" t="s">
        <v>274</v>
      </c>
      <c r="GH85" s="3" t="str">
        <f>GC85</f>
        <v>Force detector</v>
      </c>
      <c r="GI85" s="8" t="str">
        <f>GH85&amp;"s"</f>
        <v>Force detectors</v>
      </c>
      <c r="IC85" s="1540" t="str">
        <f t="shared" si="20"/>
        <v>Amphistaff (quarterstaff form);</v>
      </c>
      <c r="ID85" s="1540" t="str">
        <f t="shared" si="21"/>
        <v>Amphistaff (quarterstaff form);Amphistaff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5" s="1540">
        <f t="shared" si="24"/>
        <v>83</v>
      </c>
      <c r="IF85" s="1540" t="e">
        <f t="shared" si="22"/>
        <v>#VALUE!</v>
      </c>
      <c r="IG85" s="1540" t="str">
        <f t="shared" si="23"/>
        <v/>
      </c>
    </row>
    <row r="86" spans="1:241">
      <c r="A86" s="1373" t="s">
        <v>7083</v>
      </c>
      <c r="J86" s="1323" t="s">
        <v>1924</v>
      </c>
      <c r="K86" s="3" t="s">
        <v>445</v>
      </c>
      <c r="L86" s="3" t="s">
        <v>1924</v>
      </c>
      <c r="M86" s="4">
        <v>-2</v>
      </c>
      <c r="N86" s="4"/>
      <c r="O86" s="4"/>
      <c r="P86" s="4"/>
      <c r="Q86" s="4">
        <v>2</v>
      </c>
      <c r="R86" s="4"/>
      <c r="S86" s="3" t="s">
        <v>1925</v>
      </c>
      <c r="T86" s="3" t="s">
        <v>1926</v>
      </c>
      <c r="V86" s="3" t="s">
        <v>274</v>
      </c>
      <c r="AB86" s="3">
        <v>6</v>
      </c>
      <c r="AC86" s="3" t="s">
        <v>517</v>
      </c>
      <c r="AD86" s="3" t="s">
        <v>1783</v>
      </c>
      <c r="AE86" s="3" t="s">
        <v>1884</v>
      </c>
      <c r="AH86" s="3" t="s">
        <v>836</v>
      </c>
      <c r="BO86" s="1674" t="s">
        <v>8827</v>
      </c>
      <c r="BP86" s="954" t="s">
        <v>347</v>
      </c>
      <c r="BQ86" s="954" t="s">
        <v>5809</v>
      </c>
      <c r="BV86" s="1673" t="s">
        <v>8830</v>
      </c>
      <c r="DC86" s="12" t="s">
        <v>4456</v>
      </c>
      <c r="DD86" s="1024" t="s">
        <v>238</v>
      </c>
      <c r="DE86" s="1024">
        <v>8</v>
      </c>
      <c r="DF86" s="1024">
        <v>5</v>
      </c>
      <c r="DG86" s="1024">
        <v>1</v>
      </c>
      <c r="DH86" s="1024">
        <v>1</v>
      </c>
      <c r="DI86" s="1024" t="s">
        <v>3800</v>
      </c>
      <c r="DJ86" s="1024"/>
      <c r="DV86" s="1024"/>
      <c r="DX86" s="1024"/>
      <c r="EB86" s="1024" t="s">
        <v>3719</v>
      </c>
      <c r="EC86" s="382" t="s">
        <v>118</v>
      </c>
      <c r="EJ86">
        <v>25000</v>
      </c>
      <c r="EK86">
        <v>30</v>
      </c>
      <c r="EL86" s="1024" t="s">
        <v>4464</v>
      </c>
      <c r="EM86" t="str">
        <f>"suits of "&amp;EL86</f>
        <v>suits of heavy dark armor</v>
      </c>
      <c r="EN86" s="1323" t="s">
        <v>1913</v>
      </c>
      <c r="EO86" s="3" t="s">
        <v>155</v>
      </c>
      <c r="EP86" s="3" t="s">
        <v>160</v>
      </c>
      <c r="EQ86" s="3" t="s">
        <v>779</v>
      </c>
      <c r="ER86" s="3" t="str">
        <f ca="1">IF(Feats!$M$157&gt;0,"simple","improvised")</f>
        <v>improvised</v>
      </c>
      <c r="ES86" s="19" t="s">
        <v>274</v>
      </c>
      <c r="ET86" s="19" t="s">
        <v>321</v>
      </c>
      <c r="EZ86" s="3" t="s">
        <v>422</v>
      </c>
      <c r="FA86" s="3" t="s">
        <v>3718</v>
      </c>
      <c r="FD86" s="3">
        <v>1</v>
      </c>
      <c r="FE86" s="3">
        <v>8</v>
      </c>
      <c r="FL86" s="3">
        <v>50</v>
      </c>
      <c r="FM86" s="3">
        <v>0.2</v>
      </c>
      <c r="FQ86" s="3" t="str">
        <f>IF(EP86="R",IF(EQ86&lt;&gt;"EWP",ER86,"pistols"),"")</f>
        <v/>
      </c>
      <c r="FR86" s="3" t="s">
        <v>1914</v>
      </c>
      <c r="FS86" s="8" t="s">
        <v>1915</v>
      </c>
      <c r="GC86" s="12" t="s">
        <v>4469</v>
      </c>
      <c r="GD86" s="569" t="s">
        <v>3800</v>
      </c>
      <c r="GE86" s="19">
        <v>25</v>
      </c>
      <c r="GF86" s="19">
        <v>1</v>
      </c>
      <c r="GG86" s="19" t="s">
        <v>209</v>
      </c>
      <c r="GH86" s="3" t="str">
        <f>GC86</f>
        <v>Force training aid</v>
      </c>
      <c r="GI86" s="8" t="str">
        <f>GH86&amp;"s"</f>
        <v>Force training aids</v>
      </c>
      <c r="IC86" s="1540" t="str">
        <f t="shared" si="20"/>
        <v>Amphistaff (spear form);</v>
      </c>
      <c r="ID86" s="1540" t="str">
        <f t="shared" si="21"/>
        <v>Amphistaff (spear form);Amphistaff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6" s="1540">
        <f t="shared" si="24"/>
        <v>84</v>
      </c>
      <c r="IF86" s="1540" t="e">
        <f t="shared" si="22"/>
        <v>#VALUE!</v>
      </c>
      <c r="IG86" s="1540" t="str">
        <f t="shared" si="23"/>
        <v/>
      </c>
    </row>
    <row r="87" spans="1:241">
      <c r="J87" s="1323" t="s">
        <v>7340</v>
      </c>
      <c r="K87" s="569" t="s">
        <v>7180</v>
      </c>
      <c r="L87" s="569" t="str">
        <f>LEFT(J87,FIND("Chassis",J87,1)-2)</f>
        <v>Probe Droid</v>
      </c>
      <c r="Q87" s="3">
        <v>2</v>
      </c>
      <c r="R87" s="569">
        <v>-2</v>
      </c>
      <c r="S87" s="569" t="s">
        <v>273</v>
      </c>
      <c r="T87" s="3" t="s">
        <v>1285</v>
      </c>
      <c r="V87" s="569" t="s">
        <v>149</v>
      </c>
      <c r="W87" s="569">
        <v>0</v>
      </c>
      <c r="X87" s="569">
        <v>0</v>
      </c>
      <c r="Y87" s="569">
        <v>999</v>
      </c>
      <c r="Z87" s="569">
        <v>999</v>
      </c>
      <c r="AA87" s="569">
        <v>999</v>
      </c>
      <c r="AB87" s="569">
        <v>6</v>
      </c>
      <c r="AC87" s="3" t="s">
        <v>7344</v>
      </c>
      <c r="AD87" s="569" t="s">
        <v>1259</v>
      </c>
      <c r="AE87" s="569" t="s">
        <v>7359</v>
      </c>
      <c r="AF87" s="3" t="str">
        <f>IF(DroidManufacturer&lt;&gt;"",DroidManufacturer&amp;" Droid","")</f>
        <v/>
      </c>
      <c r="AK87" s="569" t="s">
        <v>190</v>
      </c>
      <c r="AW87" s="3" t="str">
        <f>IF(OR(TStealth&lt;&gt;"",STStealth&lt;&gt;"",STPerception&lt;&gt;"",TPerception&lt;&gt;""),"Skill Focus","")</f>
        <v/>
      </c>
      <c r="BO87" t="s">
        <v>7355</v>
      </c>
      <c r="BP87" s="1552" t="s">
        <v>816</v>
      </c>
      <c r="BQ87" s="1552" t="s">
        <v>5809</v>
      </c>
      <c r="BV87" s="1435" t="s">
        <v>7354</v>
      </c>
      <c r="DC87" s="12" t="s">
        <v>898</v>
      </c>
      <c r="DD87" s="1024" t="s">
        <v>238</v>
      </c>
      <c r="DE87">
        <v>9</v>
      </c>
      <c r="DF87">
        <v>4</v>
      </c>
      <c r="DG87">
        <v>1</v>
      </c>
      <c r="DH87" s="1024">
        <v>1</v>
      </c>
      <c r="DI87" s="1024" t="s">
        <v>169</v>
      </c>
      <c r="DJ87" s="1024" t="s">
        <v>283</v>
      </c>
      <c r="DK87">
        <v>6</v>
      </c>
      <c r="DV87" s="1024" t="s">
        <v>195</v>
      </c>
      <c r="DX87" s="1024" t="s">
        <v>456</v>
      </c>
      <c r="DY87" t="s">
        <v>899</v>
      </c>
      <c r="DZ87" t="s">
        <v>284</v>
      </c>
      <c r="EB87" s="1024" t="s">
        <v>285</v>
      </c>
      <c r="EC87" s="382" t="s">
        <v>118</v>
      </c>
      <c r="EJ87">
        <v>25000</v>
      </c>
      <c r="EK87">
        <v>21.9</v>
      </c>
      <c r="EL87" s="1024" t="s">
        <v>898</v>
      </c>
      <c r="EM87" t="s">
        <v>900</v>
      </c>
      <c r="EN87" s="1331" t="s">
        <v>6536</v>
      </c>
      <c r="GC87" s="12" t="s">
        <v>1350</v>
      </c>
      <c r="GD87" s="3" t="s">
        <v>248</v>
      </c>
      <c r="GE87" s="19">
        <v>100</v>
      </c>
      <c r="GG87" s="19" t="s">
        <v>249</v>
      </c>
      <c r="GH87" s="3" t="s">
        <v>1351</v>
      </c>
      <c r="GI87" s="8" t="s">
        <v>1352</v>
      </c>
      <c r="IC87" s="1540" t="str">
        <f t="shared" si="20"/>
        <v>Amphistaff (whip form);</v>
      </c>
      <c r="ID87" s="1540" t="str">
        <f t="shared" si="21"/>
        <v>Amphistaff (whip form);Arg'garok;Cesta;Darkstick;Felucian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7" s="1540">
        <f t="shared" si="24"/>
        <v>85</v>
      </c>
      <c r="IF87" s="1540" t="e">
        <f t="shared" si="22"/>
        <v>#VALUE!</v>
      </c>
      <c r="IG87" s="1540" t="str">
        <f t="shared" si="23"/>
        <v/>
      </c>
    </row>
    <row r="88" spans="1:241">
      <c r="B88" s="873" t="s">
        <v>3709</v>
      </c>
      <c r="C88" s="873" t="s">
        <v>3711</v>
      </c>
      <c r="D88" s="873" t="s">
        <v>3712</v>
      </c>
      <c r="E88" s="873" t="s">
        <v>3691</v>
      </c>
      <c r="F88" s="1375" t="s">
        <v>106</v>
      </c>
      <c r="J88" s="1323" t="s">
        <v>7341</v>
      </c>
      <c r="K88" s="569" t="s">
        <v>7180</v>
      </c>
      <c r="L88" s="569" t="str">
        <f>LEFT(J88,FIND("Chassis",J88,1)-2)</f>
        <v>Protocol Droid</v>
      </c>
      <c r="N88" s="3">
        <v>-2</v>
      </c>
      <c r="Q88" s="3">
        <v>2</v>
      </c>
      <c r="R88" s="569">
        <v>2</v>
      </c>
      <c r="S88" s="569" t="s">
        <v>273</v>
      </c>
      <c r="T88" s="3" t="s">
        <v>1285</v>
      </c>
      <c r="V88" s="569" t="s">
        <v>149</v>
      </c>
      <c r="W88" s="569">
        <v>0</v>
      </c>
      <c r="X88" s="569">
        <v>0</v>
      </c>
      <c r="Y88" s="569">
        <v>999</v>
      </c>
      <c r="Z88" s="569">
        <v>999</v>
      </c>
      <c r="AA88" s="569">
        <v>999</v>
      </c>
      <c r="AB88" s="569">
        <v>6</v>
      </c>
      <c r="AC88" s="569" t="s">
        <v>7346</v>
      </c>
      <c r="AD88" s="569" t="s">
        <v>1259</v>
      </c>
      <c r="AE88" s="569" t="s">
        <v>7360</v>
      </c>
      <c r="AF88" s="3" t="str">
        <f>IF(DroidManufacturer&lt;&gt;"",DroidManufacturer&amp;" Droid","")</f>
        <v/>
      </c>
      <c r="AK88" s="569" t="s">
        <v>347</v>
      </c>
      <c r="AW88" s="3" t="s">
        <v>2485</v>
      </c>
      <c r="BO88" t="s">
        <v>1320</v>
      </c>
      <c r="BV88" s="456" t="s">
        <v>1758</v>
      </c>
      <c r="DC88" s="12" t="s">
        <v>999</v>
      </c>
      <c r="DD88" s="1024" t="s">
        <v>238</v>
      </c>
      <c r="DE88" s="1024">
        <v>10</v>
      </c>
      <c r="DF88" s="1024">
        <v>4</v>
      </c>
      <c r="DG88" s="1024">
        <v>1</v>
      </c>
      <c r="DH88" s="1024">
        <v>6</v>
      </c>
      <c r="DI88" s="1024" t="s">
        <v>173</v>
      </c>
      <c r="DJ88" s="1024" t="s">
        <v>283</v>
      </c>
      <c r="DK88" s="1024">
        <v>4</v>
      </c>
      <c r="DL88" s="1024"/>
      <c r="DM88" s="1024"/>
      <c r="DN88" s="1024"/>
      <c r="DO88" s="1024"/>
      <c r="DP88" s="1024"/>
      <c r="DQ88" s="1024"/>
      <c r="DR88" s="1024"/>
      <c r="DS88" s="1024"/>
      <c r="DT88" s="1024"/>
      <c r="DU88" s="1024"/>
      <c r="DV88" s="1024" t="s">
        <v>195</v>
      </c>
      <c r="DW88" s="1024"/>
      <c r="DX88" s="1024" t="s">
        <v>418</v>
      </c>
      <c r="DY88" s="1024" t="s">
        <v>417</v>
      </c>
      <c r="DZ88" s="1024" t="s">
        <v>284</v>
      </c>
      <c r="EA88" s="1024" t="s">
        <v>90</v>
      </c>
      <c r="EB88" s="1024" t="s">
        <v>196</v>
      </c>
      <c r="EC88" s="1024" t="s">
        <v>118</v>
      </c>
      <c r="ED88" s="1024"/>
      <c r="EE88" s="1024"/>
      <c r="EF88" s="1024"/>
      <c r="EG88" s="1024"/>
      <c r="EH88" s="1024"/>
      <c r="EI88" s="1024"/>
      <c r="EJ88" s="1024"/>
      <c r="EK88" s="1024">
        <v>23.9</v>
      </c>
      <c r="EL88" s="1024" t="s">
        <v>1000</v>
      </c>
      <c r="EM88" s="1024" t="s">
        <v>1001</v>
      </c>
      <c r="EN88" s="1323" t="s">
        <v>159</v>
      </c>
      <c r="EP88" s="3" t="s">
        <v>160</v>
      </c>
      <c r="EQ88" s="569" t="s">
        <v>200</v>
      </c>
      <c r="ER88" s="569" t="s">
        <v>159</v>
      </c>
      <c r="FL88" s="3">
        <v>0</v>
      </c>
      <c r="FM88" s="3">
        <v>2</v>
      </c>
      <c r="FR88" s="3" t="s">
        <v>161</v>
      </c>
      <c r="FS88" s="8" t="s">
        <v>162</v>
      </c>
      <c r="GC88" s="12" t="s">
        <v>1357</v>
      </c>
      <c r="GD88" s="3" t="s">
        <v>155</v>
      </c>
      <c r="GE88" s="19">
        <v>25</v>
      </c>
      <c r="GF88" s="19">
        <v>2</v>
      </c>
      <c r="GG88" s="19" t="s">
        <v>170</v>
      </c>
      <c r="GH88" s="3" t="s">
        <v>1358</v>
      </c>
      <c r="GI88" s="8" t="s">
        <v>1359</v>
      </c>
      <c r="IC88" s="1540" t="str">
        <f t="shared" si="20"/>
        <v>Arg'garok;</v>
      </c>
      <c r="ID88" s="1540" t="str">
        <f t="shared" si="21"/>
        <v>Arg'garok;Cesta;Darkstick;Felucian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8" s="1540">
        <f t="shared" si="24"/>
        <v>86</v>
      </c>
      <c r="IF88" s="1540" t="e">
        <f t="shared" si="22"/>
        <v>#VALUE!</v>
      </c>
      <c r="IG88" s="1540" t="str">
        <f t="shared" si="23"/>
        <v/>
      </c>
    </row>
    <row r="89" spans="1:241">
      <c r="A89" s="873" t="s">
        <v>4560</v>
      </c>
      <c r="B89">
        <v>4</v>
      </c>
      <c r="C89">
        <v>6</v>
      </c>
      <c r="D89">
        <v>8</v>
      </c>
      <c r="E89">
        <v>10</v>
      </c>
      <c r="F89" s="1375"/>
      <c r="J89" s="1323" t="s">
        <v>1929</v>
      </c>
      <c r="K89" s="3" t="s">
        <v>7942</v>
      </c>
      <c r="L89" s="3" t="s">
        <v>1929</v>
      </c>
      <c r="M89" s="4"/>
      <c r="N89" s="4"/>
      <c r="O89" s="4">
        <v>2</v>
      </c>
      <c r="P89" s="4"/>
      <c r="Q89" s="4">
        <v>-2</v>
      </c>
      <c r="R89" s="4">
        <v>-2</v>
      </c>
      <c r="S89" s="3" t="s">
        <v>273</v>
      </c>
      <c r="T89" s="3" t="s">
        <v>1930</v>
      </c>
      <c r="V89" s="3" t="s">
        <v>149</v>
      </c>
      <c r="W89" s="3">
        <v>12</v>
      </c>
      <c r="X89" s="3">
        <v>17</v>
      </c>
      <c r="Y89" s="3">
        <v>41</v>
      </c>
      <c r="Z89" s="3">
        <v>58</v>
      </c>
      <c r="AA89" s="3">
        <v>80</v>
      </c>
      <c r="AB89" s="3">
        <v>6</v>
      </c>
      <c r="AC89" s="3" t="s">
        <v>447</v>
      </c>
      <c r="AD89" s="3" t="s">
        <v>448</v>
      </c>
      <c r="AE89" s="3" t="s">
        <v>953</v>
      </c>
      <c r="AF89" s="3" t="s">
        <v>1493</v>
      </c>
      <c r="AG89" s="3" t="str">
        <f>IF(Feats!M373&gt;0,"Darkvision","")</f>
        <v/>
      </c>
      <c r="AH89" s="3" t="s">
        <v>347</v>
      </c>
      <c r="BF89" s="3" t="str">
        <f>IF(Feats!M370&gt;0,"Claws","")</f>
        <v/>
      </c>
      <c r="BG89" s="3" t="str">
        <f>IF(Feats!M370&gt;0,"1d"&amp;MIN(12,UnarmedDieIncreases*2+6),"")</f>
        <v/>
      </c>
      <c r="BH89" s="3" t="str">
        <f>IF(Feats!M370&gt;0,"Slashing","")</f>
        <v/>
      </c>
      <c r="BO89" t="s">
        <v>150</v>
      </c>
      <c r="BV89" s="456" t="s">
        <v>1762</v>
      </c>
      <c r="DC89" s="12" t="s">
        <v>1065</v>
      </c>
      <c r="DD89" s="1024" t="s">
        <v>238</v>
      </c>
      <c r="DE89" s="1024">
        <v>9</v>
      </c>
      <c r="DF89" s="1024">
        <v>3</v>
      </c>
      <c r="DG89" s="1024">
        <v>1</v>
      </c>
      <c r="DH89" s="1024">
        <v>1</v>
      </c>
      <c r="DI89" s="1024" t="s">
        <v>173</v>
      </c>
      <c r="DJ89" s="1024"/>
      <c r="DK89" s="1024"/>
      <c r="DL89" s="1024"/>
      <c r="DM89" s="1024"/>
      <c r="DN89" s="1024"/>
      <c r="DO89" s="1024"/>
      <c r="DP89" s="1024"/>
      <c r="DQ89" s="1024"/>
      <c r="DR89" s="1024"/>
      <c r="DS89" s="1024"/>
      <c r="DT89" s="1024"/>
      <c r="DU89" s="1024"/>
      <c r="DV89" s="1024" t="s">
        <v>1066</v>
      </c>
      <c r="DW89" s="1024"/>
      <c r="DX89" s="1024"/>
      <c r="DY89" s="1024"/>
      <c r="DZ89" s="1024"/>
      <c r="EA89" s="1024"/>
      <c r="EB89" s="1024" t="s">
        <v>285</v>
      </c>
      <c r="EC89" s="1024"/>
      <c r="ED89" s="1024"/>
      <c r="EE89" s="1024"/>
      <c r="EF89" s="1024"/>
      <c r="EG89" s="1024"/>
      <c r="EH89" s="1024"/>
      <c r="EI89" s="1024"/>
      <c r="EJ89" s="1024">
        <v>9000</v>
      </c>
      <c r="EK89" s="1024">
        <v>25</v>
      </c>
      <c r="EL89" s="1024" t="s">
        <v>1067</v>
      </c>
      <c r="EM89" s="1024" t="s">
        <v>1068</v>
      </c>
      <c r="EN89" s="1323" t="s">
        <v>199</v>
      </c>
      <c r="EO89" s="3" t="s">
        <v>155</v>
      </c>
      <c r="EP89" s="3" t="s">
        <v>160</v>
      </c>
      <c r="EQ89" s="3" t="s">
        <v>200</v>
      </c>
      <c r="ER89" s="3" t="s">
        <v>159</v>
      </c>
      <c r="ES89" s="19" t="s">
        <v>201</v>
      </c>
      <c r="EU89" s="19" t="s">
        <v>202</v>
      </c>
      <c r="EZ89" s="3" t="s">
        <v>203</v>
      </c>
      <c r="FA89" s="3" t="s">
        <v>3718</v>
      </c>
      <c r="FB89" s="3" t="s">
        <v>118</v>
      </c>
      <c r="FD89" s="3">
        <v>1</v>
      </c>
      <c r="FE89" s="3">
        <v>6</v>
      </c>
      <c r="FG89" s="3">
        <v>1</v>
      </c>
      <c r="FH89" s="3">
        <v>6</v>
      </c>
      <c r="FL89" s="3">
        <v>0</v>
      </c>
      <c r="FM89" s="3">
        <v>2</v>
      </c>
      <c r="FQ89" s="3" t="str">
        <f>IF(EP89="R",IF(EQ89&lt;&gt;"EWP",ER89,"pistols"),"")</f>
        <v/>
      </c>
      <c r="FR89" s="3" t="s">
        <v>161</v>
      </c>
      <c r="FS89" s="8" t="s">
        <v>162</v>
      </c>
      <c r="GC89" s="12" t="s">
        <v>1368</v>
      </c>
      <c r="GD89" s="3" t="s">
        <v>169</v>
      </c>
      <c r="GE89" s="19">
        <v>2000</v>
      </c>
      <c r="GF89" s="19">
        <v>2</v>
      </c>
      <c r="GG89" s="19" t="s">
        <v>170</v>
      </c>
      <c r="GH89" s="3" t="s">
        <v>1368</v>
      </c>
      <c r="GI89" s="8" t="s">
        <v>1369</v>
      </c>
      <c r="IC89" s="1540" t="str">
        <f t="shared" ref="IC89:IC120" si="27">IF(EQ95="EWP",EN95&amp;";","")</f>
        <v>Cesta;</v>
      </c>
      <c r="ID89" s="1540" t="str">
        <f t="shared" si="21"/>
        <v>Cesta;Darkstick;Felucian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89" s="1540">
        <f t="shared" si="24"/>
        <v>87</v>
      </c>
      <c r="IF89" s="1540" t="e">
        <f t="shared" si="22"/>
        <v>#VALUE!</v>
      </c>
      <c r="IG89" s="1540" t="str">
        <f t="shared" si="23"/>
        <v/>
      </c>
    </row>
    <row r="90" spans="1:241">
      <c r="A90" s="873" t="s">
        <v>4561</v>
      </c>
      <c r="B90">
        <v>6</v>
      </c>
      <c r="C90">
        <v>8</v>
      </c>
      <c r="D90">
        <v>10</v>
      </c>
      <c r="E90">
        <v>5</v>
      </c>
      <c r="F90" s="1375"/>
      <c r="J90" s="1323" t="s">
        <v>1945</v>
      </c>
      <c r="K90" s="3" t="s">
        <v>269</v>
      </c>
      <c r="L90" s="3" t="s">
        <v>1945</v>
      </c>
      <c r="M90" s="4"/>
      <c r="N90" s="4"/>
      <c r="O90" s="4"/>
      <c r="P90" s="4">
        <v>2</v>
      </c>
      <c r="Q90" s="4">
        <v>-2</v>
      </c>
      <c r="R90" s="4"/>
      <c r="S90" s="3" t="s">
        <v>1945</v>
      </c>
      <c r="V90" s="3" t="s">
        <v>149</v>
      </c>
      <c r="W90" s="3">
        <v>12</v>
      </c>
      <c r="X90" s="3">
        <v>17</v>
      </c>
      <c r="Y90" s="3">
        <v>51</v>
      </c>
      <c r="Z90" s="3">
        <v>70</v>
      </c>
      <c r="AA90" s="3">
        <v>80</v>
      </c>
      <c r="AB90" s="3">
        <v>6</v>
      </c>
      <c r="AC90" s="3" t="s">
        <v>277</v>
      </c>
      <c r="AD90" s="3" t="s">
        <v>1501</v>
      </c>
      <c r="AE90" s="3" t="s">
        <v>151</v>
      </c>
      <c r="AF90" s="3" t="s">
        <v>1056</v>
      </c>
      <c r="AW90" s="3" t="s">
        <v>1946</v>
      </c>
      <c r="AX90" s="3" t="s">
        <v>1947</v>
      </c>
      <c r="AY90" s="3" t="s">
        <v>1947</v>
      </c>
      <c r="BO90" t="s">
        <v>1548</v>
      </c>
      <c r="BV90" s="456" t="s">
        <v>1773</v>
      </c>
      <c r="DC90" s="12" t="s">
        <v>4459</v>
      </c>
      <c r="DD90" s="1024" t="s">
        <v>238</v>
      </c>
      <c r="DE90" s="1024">
        <v>10</v>
      </c>
      <c r="DF90" s="1024">
        <v>2</v>
      </c>
      <c r="DG90" s="1024">
        <v>1</v>
      </c>
      <c r="DH90" s="1024">
        <v>1</v>
      </c>
      <c r="DI90" s="1024" t="s">
        <v>3800</v>
      </c>
      <c r="DJ90" s="1024"/>
      <c r="DV90" t="s">
        <v>4461</v>
      </c>
      <c r="DX90" s="1024"/>
      <c r="EB90" s="1024" t="s">
        <v>3719</v>
      </c>
      <c r="EC90" s="382" t="s">
        <v>118</v>
      </c>
      <c r="EJ90" s="1024"/>
      <c r="EK90" s="1024">
        <v>26</v>
      </c>
      <c r="EL90" s="1024" t="s">
        <v>4459</v>
      </c>
      <c r="EM90" t="str">
        <f>"suits of "&amp;EL90</f>
        <v>suits of Orbalisk armor</v>
      </c>
      <c r="EN90" s="1323" t="s">
        <v>241</v>
      </c>
      <c r="EO90" s="3" t="s">
        <v>155</v>
      </c>
      <c r="EP90" s="3" t="s">
        <v>160</v>
      </c>
      <c r="EQ90" s="3" t="s">
        <v>200</v>
      </c>
      <c r="ER90" s="3" t="s">
        <v>159</v>
      </c>
      <c r="ES90" s="19" t="s">
        <v>201</v>
      </c>
      <c r="EZ90" s="3" t="s">
        <v>242</v>
      </c>
      <c r="FA90" s="3" t="s">
        <v>3718</v>
      </c>
      <c r="FB90" s="3" t="s">
        <v>118</v>
      </c>
      <c r="FC90" s="3" t="s">
        <v>243</v>
      </c>
      <c r="FD90" s="3">
        <v>1</v>
      </c>
      <c r="FE90" s="3">
        <v>8</v>
      </c>
      <c r="FG90" s="3">
        <v>1</v>
      </c>
      <c r="FH90" s="3">
        <v>8</v>
      </c>
      <c r="FL90" s="3">
        <v>0</v>
      </c>
      <c r="FM90" s="3">
        <v>2</v>
      </c>
      <c r="FQ90" s="3" t="str">
        <f>IF(EP90="R",IF(EQ90&lt;&gt;"EWP",ER90,"pistols"),"")</f>
        <v/>
      </c>
      <c r="FR90" s="3" t="s">
        <v>161</v>
      </c>
      <c r="FS90" s="8" t="s">
        <v>162</v>
      </c>
      <c r="GC90" s="12" t="s">
        <v>1374</v>
      </c>
      <c r="GD90" s="3" t="s">
        <v>169</v>
      </c>
      <c r="GE90" s="19">
        <v>200</v>
      </c>
      <c r="GG90" s="19" t="s">
        <v>249</v>
      </c>
      <c r="GH90" s="3" t="s">
        <v>1375</v>
      </c>
      <c r="GI90" s="8" t="s">
        <v>1375</v>
      </c>
      <c r="IC90" s="1540" t="str">
        <f t="shared" si="27"/>
        <v>Darkstick;</v>
      </c>
      <c r="ID90" s="1540" t="str">
        <f t="shared" si="21"/>
        <v>Darkstick;Felucian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0" s="1540">
        <f t="shared" si="24"/>
        <v>88</v>
      </c>
      <c r="IF90" s="1540" t="e">
        <f t="shared" si="22"/>
        <v>#VALUE!</v>
      </c>
      <c r="IG90" s="1540" t="str">
        <f t="shared" si="23"/>
        <v/>
      </c>
    </row>
    <row r="91" spans="1:241">
      <c r="A91" s="873" t="s">
        <v>4562</v>
      </c>
      <c r="B91">
        <v>4</v>
      </c>
      <c r="C91">
        <v>6</v>
      </c>
      <c r="D91">
        <v>8</v>
      </c>
      <c r="E91">
        <v>20</v>
      </c>
      <c r="F91" s="1375"/>
      <c r="J91" s="1323" t="s">
        <v>1957</v>
      </c>
      <c r="K91" s="569" t="s">
        <v>308</v>
      </c>
      <c r="L91" s="3" t="s">
        <v>1958</v>
      </c>
      <c r="M91" s="4">
        <v>2</v>
      </c>
      <c r="N91" s="4">
        <v>2</v>
      </c>
      <c r="O91" s="4"/>
      <c r="P91" s="4"/>
      <c r="Q91" s="4"/>
      <c r="R91" s="4">
        <v>-2</v>
      </c>
      <c r="S91" s="3" t="s">
        <v>1959</v>
      </c>
      <c r="V91" s="3" t="s">
        <v>201</v>
      </c>
      <c r="W91" s="3">
        <v>0</v>
      </c>
      <c r="X91" s="3">
        <v>0</v>
      </c>
      <c r="Y91" s="3">
        <v>999</v>
      </c>
      <c r="Z91" s="3">
        <v>999</v>
      </c>
      <c r="AA91" s="3">
        <v>999</v>
      </c>
      <c r="AB91" s="3">
        <v>8</v>
      </c>
      <c r="AC91" s="3" t="s">
        <v>1259</v>
      </c>
      <c r="AD91" s="3" t="s">
        <v>7344</v>
      </c>
      <c r="AH91" s="3" t="s">
        <v>268</v>
      </c>
      <c r="BO91" t="s">
        <v>1783</v>
      </c>
      <c r="BV91" s="456" t="s">
        <v>1784</v>
      </c>
      <c r="DC91" s="1323" t="s">
        <v>6591</v>
      </c>
      <c r="DD91" s="1317" t="s">
        <v>238</v>
      </c>
      <c r="DE91" s="1317">
        <v>10</v>
      </c>
      <c r="DF91" s="1317"/>
      <c r="DG91" s="1317">
        <v>0</v>
      </c>
      <c r="DH91" s="1317">
        <v>2</v>
      </c>
      <c r="DI91" s="1317" t="s">
        <v>6222</v>
      </c>
      <c r="DJ91" s="1317" t="s">
        <v>283</v>
      </c>
      <c r="DK91" s="1317">
        <v>6</v>
      </c>
      <c r="DL91" s="1317"/>
      <c r="DM91" s="1317"/>
      <c r="DN91" s="1317"/>
      <c r="DO91" s="1317"/>
      <c r="DP91" s="1317"/>
      <c r="DQ91" s="1317"/>
      <c r="DR91" s="1317"/>
      <c r="DS91" s="1317"/>
      <c r="DT91" s="1317"/>
      <c r="DU91" s="1317"/>
      <c r="DV91" s="1317"/>
      <c r="DW91" s="1317" t="s">
        <v>661</v>
      </c>
      <c r="DX91" s="1317" t="s">
        <v>417</v>
      </c>
      <c r="DY91" s="1317" t="s">
        <v>284</v>
      </c>
      <c r="DZ91" s="1317" t="s">
        <v>90</v>
      </c>
      <c r="EA91" s="1317"/>
      <c r="EB91" s="1317" t="s">
        <v>196</v>
      </c>
      <c r="EC91" s="1317"/>
      <c r="ED91" s="1317">
        <v>3</v>
      </c>
      <c r="EE91" s="1317"/>
      <c r="EF91" s="1317"/>
      <c r="EG91" s="1317"/>
      <c r="EH91" s="1317"/>
      <c r="EI91" s="1317"/>
      <c r="EJ91" s="1317"/>
      <c r="EK91" s="1317"/>
      <c r="EL91" s="1317" t="s">
        <v>6593</v>
      </c>
      <c r="EM91" s="1317" t="str">
        <f>"suits of "&amp;EL91</f>
        <v>suits of phase II dark trooper armor</v>
      </c>
      <c r="EN91" s="1323" t="s">
        <v>324</v>
      </c>
      <c r="EO91" s="3" t="s">
        <v>155</v>
      </c>
      <c r="EP91" s="3" t="s">
        <v>160</v>
      </c>
      <c r="EQ91" s="3" t="s">
        <v>200</v>
      </c>
      <c r="ER91" s="3" t="s">
        <v>159</v>
      </c>
      <c r="ES91" s="19" t="s">
        <v>201</v>
      </c>
      <c r="EZ91" s="3" t="s">
        <v>242</v>
      </c>
      <c r="FA91" s="3" t="s">
        <v>3718</v>
      </c>
      <c r="FB91" s="3" t="s">
        <v>118</v>
      </c>
      <c r="FC91" s="3" t="s">
        <v>325</v>
      </c>
      <c r="FD91" s="3">
        <v>1</v>
      </c>
      <c r="FE91" s="3">
        <v>4</v>
      </c>
      <c r="FL91" s="3">
        <v>0</v>
      </c>
      <c r="FM91" s="3">
        <v>2</v>
      </c>
      <c r="FQ91" s="3" t="str">
        <f>IF(EP91="R",IF(EQ91&lt;&gt;"EWP",ER91,"pistols"),"")</f>
        <v/>
      </c>
      <c r="FR91" s="3" t="s">
        <v>161</v>
      </c>
      <c r="FS91" s="8" t="s">
        <v>162</v>
      </c>
      <c r="GC91" s="12" t="s">
        <v>1385</v>
      </c>
      <c r="GD91" s="3" t="s">
        <v>155</v>
      </c>
      <c r="GE91" s="19">
        <v>10</v>
      </c>
      <c r="GF91" s="19">
        <v>1</v>
      </c>
      <c r="GG91" s="19" t="s">
        <v>209</v>
      </c>
      <c r="GH91" s="3" t="s">
        <v>1386</v>
      </c>
      <c r="GI91" s="8" t="s">
        <v>1387</v>
      </c>
      <c r="IC91" s="1540" t="str">
        <f t="shared" si="27"/>
        <v>Felucian skullblade;</v>
      </c>
      <c r="ID91" s="1540" t="str">
        <f t="shared" si="21"/>
        <v>Felucian skullblade;Fira;Garrote;Lanvarok,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1" s="1540">
        <f t="shared" si="24"/>
        <v>89</v>
      </c>
      <c r="IF91" s="1540" t="e">
        <f t="shared" si="22"/>
        <v>#VALUE!</v>
      </c>
      <c r="IG91" s="1540" t="str">
        <f t="shared" si="23"/>
        <v/>
      </c>
    </row>
    <row r="92" spans="1:241">
      <c r="A92" s="873" t="s">
        <v>4563</v>
      </c>
      <c r="B92">
        <v>6</v>
      </c>
      <c r="C92">
        <v>6</v>
      </c>
      <c r="D92">
        <v>6</v>
      </c>
      <c r="E92">
        <v>100</v>
      </c>
      <c r="F92" s="1375"/>
      <c r="J92" s="1323" t="s">
        <v>1963</v>
      </c>
      <c r="K92" s="569" t="s">
        <v>308</v>
      </c>
      <c r="L92" s="3" t="s">
        <v>1958</v>
      </c>
      <c r="M92" s="4">
        <v>2</v>
      </c>
      <c r="N92" s="4">
        <v>2</v>
      </c>
      <c r="O92" s="4"/>
      <c r="P92" s="4"/>
      <c r="Q92" s="4"/>
      <c r="R92" s="4">
        <v>-2</v>
      </c>
      <c r="S92" s="3" t="s">
        <v>1959</v>
      </c>
      <c r="V92" s="3" t="s">
        <v>149</v>
      </c>
      <c r="W92" s="3">
        <v>0</v>
      </c>
      <c r="X92" s="3">
        <v>0</v>
      </c>
      <c r="Y92" s="3">
        <v>999</v>
      </c>
      <c r="Z92" s="3">
        <v>999</v>
      </c>
      <c r="AA92" s="3">
        <v>999</v>
      </c>
      <c r="AB92" s="3">
        <v>6</v>
      </c>
      <c r="AC92" s="3" t="s">
        <v>1259</v>
      </c>
      <c r="AD92" s="3" t="s">
        <v>7344</v>
      </c>
      <c r="AH92" s="3" t="s">
        <v>268</v>
      </c>
      <c r="BO92" t="s">
        <v>953</v>
      </c>
      <c r="BV92" s="456" t="s">
        <v>1803</v>
      </c>
      <c r="DC92" s="1323" t="s">
        <v>6592</v>
      </c>
      <c r="DD92" s="1317" t="s">
        <v>238</v>
      </c>
      <c r="DE92" s="1317">
        <v>12</v>
      </c>
      <c r="DF92" s="1317"/>
      <c r="DG92" s="1317">
        <v>0</v>
      </c>
      <c r="DH92" s="1317">
        <v>2</v>
      </c>
      <c r="DI92" s="1317" t="s">
        <v>6222</v>
      </c>
      <c r="DJ92" s="1317" t="s">
        <v>283</v>
      </c>
      <c r="DK92" s="1317"/>
      <c r="DL92" s="1317"/>
      <c r="DM92" s="1317"/>
      <c r="DN92" s="1317"/>
      <c r="DO92" s="1317"/>
      <c r="DP92" s="1317"/>
      <c r="DQ92" s="1317"/>
      <c r="DR92" s="1317"/>
      <c r="DS92" s="1317"/>
      <c r="DT92" s="1317"/>
      <c r="DU92" s="1317"/>
      <c r="DV92" s="1317"/>
      <c r="DW92" s="1317" t="s">
        <v>661</v>
      </c>
      <c r="DX92" s="1317" t="s">
        <v>417</v>
      </c>
      <c r="DY92" s="1317" t="s">
        <v>284</v>
      </c>
      <c r="DZ92" s="1317"/>
      <c r="EA92" s="1317"/>
      <c r="EB92" s="1317" t="s">
        <v>196</v>
      </c>
      <c r="EC92" s="1317"/>
      <c r="ED92" s="1317">
        <v>4</v>
      </c>
      <c r="EE92" s="1317"/>
      <c r="EF92" s="1317"/>
      <c r="EG92" s="1317"/>
      <c r="EH92" s="1317"/>
      <c r="EI92" s="1317"/>
      <c r="EJ92" s="1317"/>
      <c r="EK92" s="1317"/>
      <c r="EL92" s="1317" t="s">
        <v>6594</v>
      </c>
      <c r="EM92" s="1317" t="str">
        <f>"suits of "&amp;EL92</f>
        <v>suits of phase III dark trooper armor</v>
      </c>
      <c r="EN92" s="1323" t="s">
        <v>356</v>
      </c>
      <c r="EO92" s="3" t="s">
        <v>173</v>
      </c>
      <c r="EP92" s="3" t="s">
        <v>160</v>
      </c>
      <c r="EQ92" s="3" t="s">
        <v>200</v>
      </c>
      <c r="ER92" s="3" t="s">
        <v>356</v>
      </c>
      <c r="ES92" s="19" t="s">
        <v>201</v>
      </c>
      <c r="EZ92" s="3" t="s">
        <v>357</v>
      </c>
      <c r="FA92" s="3" t="s">
        <v>3718</v>
      </c>
      <c r="FB92" s="3" t="s">
        <v>118</v>
      </c>
      <c r="FD92" s="3">
        <v>2</v>
      </c>
      <c r="FE92" s="3">
        <v>12</v>
      </c>
      <c r="FL92" s="3">
        <v>150</v>
      </c>
      <c r="FM92" s="3">
        <v>2</v>
      </c>
      <c r="FQ92" s="3" t="str">
        <f>IF(EP92="R",IF(EQ92&lt;&gt;"EWP",ER92,"pistols"),"")</f>
        <v/>
      </c>
      <c r="FR92" s="3" t="s">
        <v>358</v>
      </c>
      <c r="FS92" s="8" t="s">
        <v>359</v>
      </c>
      <c r="GC92" s="12" t="s">
        <v>1395</v>
      </c>
      <c r="GD92" s="3" t="s">
        <v>272</v>
      </c>
      <c r="GE92" s="19">
        <v>1000</v>
      </c>
      <c r="GF92" s="19">
        <v>4</v>
      </c>
      <c r="GG92" s="19" t="s">
        <v>170</v>
      </c>
      <c r="GH92" s="3" t="s">
        <v>1396</v>
      </c>
      <c r="GI92" s="8" t="s">
        <v>1396</v>
      </c>
      <c r="IC92" s="1540" t="str">
        <f t="shared" si="27"/>
        <v>Fira;</v>
      </c>
      <c r="ID92" s="1540" t="str">
        <f t="shared" si="21"/>
        <v>Fira;Garrote;Lanvarok,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2" s="1540">
        <f t="shared" si="24"/>
        <v>90</v>
      </c>
      <c r="IF92" s="1540" t="e">
        <f t="shared" si="22"/>
        <v>#VALUE!</v>
      </c>
      <c r="IG92" s="1540" t="str">
        <f t="shared" si="23"/>
        <v/>
      </c>
    </row>
    <row r="93" spans="1:241">
      <c r="A93" s="873" t="s">
        <v>4564</v>
      </c>
      <c r="B93">
        <v>9</v>
      </c>
      <c r="C93">
        <v>12</v>
      </c>
      <c r="D93">
        <v>12</v>
      </c>
      <c r="E93">
        <v>200</v>
      </c>
      <c r="F93" s="1375"/>
      <c r="J93" s="1323" t="s">
        <v>1967</v>
      </c>
      <c r="K93" s="569" t="s">
        <v>308</v>
      </c>
      <c r="L93" s="3" t="s">
        <v>1958</v>
      </c>
      <c r="M93" s="4">
        <v>2</v>
      </c>
      <c r="N93" s="4">
        <v>2</v>
      </c>
      <c r="O93" s="4"/>
      <c r="P93" s="4"/>
      <c r="Q93" s="4"/>
      <c r="R93" s="4">
        <v>-2</v>
      </c>
      <c r="S93" s="3" t="s">
        <v>1959</v>
      </c>
      <c r="V93" s="3" t="s">
        <v>274</v>
      </c>
      <c r="W93" s="3">
        <v>0</v>
      </c>
      <c r="X93" s="3">
        <v>0</v>
      </c>
      <c r="Y93" s="3">
        <v>999</v>
      </c>
      <c r="Z93" s="3">
        <v>999</v>
      </c>
      <c r="AA93" s="3">
        <v>999</v>
      </c>
      <c r="AB93" s="3">
        <v>4</v>
      </c>
      <c r="AC93" s="3" t="s">
        <v>1259</v>
      </c>
      <c r="AD93" s="3" t="s">
        <v>7344</v>
      </c>
      <c r="AH93" s="3" t="s">
        <v>268</v>
      </c>
      <c r="BO93" t="s">
        <v>7326</v>
      </c>
      <c r="BV93" s="456" t="s">
        <v>7329</v>
      </c>
      <c r="DC93" s="12" t="s">
        <v>1127</v>
      </c>
      <c r="DD93" s="1024" t="s">
        <v>238</v>
      </c>
      <c r="DE93" s="1024">
        <v>8</v>
      </c>
      <c r="DF93" s="1024">
        <v>3</v>
      </c>
      <c r="DG93" s="1024">
        <v>1</v>
      </c>
      <c r="DH93" s="1024">
        <v>1</v>
      </c>
      <c r="DI93" s="1024" t="s">
        <v>173</v>
      </c>
      <c r="DJ93" t="s">
        <v>363</v>
      </c>
      <c r="DV93" t="s">
        <v>1128</v>
      </c>
      <c r="DX93" t="s">
        <v>418</v>
      </c>
      <c r="DY93" t="s">
        <v>417</v>
      </c>
      <c r="EB93" s="1024" t="s">
        <v>3719</v>
      </c>
      <c r="EJ93" s="1024"/>
      <c r="EK93" s="1024">
        <v>15.9</v>
      </c>
      <c r="EL93" s="1024" t="s">
        <v>1127</v>
      </c>
      <c r="EM93" s="1317" t="str">
        <f>"suits of "&amp;EL93</f>
        <v>suits of Republic heavy armor</v>
      </c>
      <c r="EN93" s="1323" t="s">
        <v>384</v>
      </c>
      <c r="EO93" s="3" t="s">
        <v>155</v>
      </c>
      <c r="EP93" s="3" t="s">
        <v>160</v>
      </c>
      <c r="EQ93" s="3" t="s">
        <v>200</v>
      </c>
      <c r="ER93" s="3" t="s">
        <v>384</v>
      </c>
      <c r="ES93" s="19" t="s">
        <v>149</v>
      </c>
      <c r="EZ93" s="3" t="s">
        <v>203</v>
      </c>
      <c r="FA93" s="3" t="s">
        <v>3718</v>
      </c>
      <c r="FB93" s="3" t="s">
        <v>118</v>
      </c>
      <c r="FC93" s="3" t="s">
        <v>385</v>
      </c>
      <c r="FD93" s="3">
        <v>2</v>
      </c>
      <c r="FE93" s="3">
        <v>4</v>
      </c>
      <c r="FL93" s="3">
        <v>50</v>
      </c>
      <c r="FM93" s="3">
        <v>1.5</v>
      </c>
      <c r="FQ93" s="3" t="str">
        <f>IF(EP93="R",IF(EQ93&lt;&gt;"EWP",ER93,"pistols"),"")</f>
        <v/>
      </c>
      <c r="FR93" s="3" t="s">
        <v>386</v>
      </c>
      <c r="FS93" s="8" t="s">
        <v>387</v>
      </c>
      <c r="GC93" s="12" t="s">
        <v>1400</v>
      </c>
      <c r="GD93" s="3" t="s">
        <v>530</v>
      </c>
      <c r="GE93" s="19">
        <v>30</v>
      </c>
      <c r="GF93" s="19">
        <v>1</v>
      </c>
      <c r="GG93" s="19" t="s">
        <v>209</v>
      </c>
      <c r="GH93" s="3" t="s">
        <v>1401</v>
      </c>
      <c r="GI93" s="8" t="s">
        <v>1402</v>
      </c>
      <c r="IC93" s="1540" t="str">
        <f t="shared" si="27"/>
        <v>Garrote;</v>
      </c>
      <c r="ID93" s="1540" t="str">
        <f t="shared" si="21"/>
        <v>Garrote;Lanvarok,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3" s="1540">
        <f t="shared" si="24"/>
        <v>91</v>
      </c>
      <c r="IF93" s="1540" t="e">
        <f t="shared" si="22"/>
        <v>#VALUE!</v>
      </c>
      <c r="IG93" s="1540" t="str">
        <f t="shared" si="23"/>
        <v/>
      </c>
    </row>
    <row r="94" spans="1:241">
      <c r="A94" s="1373" t="s">
        <v>7073</v>
      </c>
      <c r="B94" s="1373">
        <v>4</v>
      </c>
      <c r="C94" s="1373">
        <v>6</v>
      </c>
      <c r="D94" s="1373">
        <v>8</v>
      </c>
      <c r="E94" s="1373">
        <v>200</v>
      </c>
      <c r="F94" s="1375">
        <v>50</v>
      </c>
      <c r="J94" s="1323" t="s">
        <v>1972</v>
      </c>
      <c r="K94" s="3" t="s">
        <v>7942</v>
      </c>
      <c r="L94" s="3" t="s">
        <v>1972</v>
      </c>
      <c r="M94" s="4"/>
      <c r="N94" s="4">
        <v>2</v>
      </c>
      <c r="O94" s="4"/>
      <c r="P94" s="4"/>
      <c r="Q94" s="4">
        <v>-2</v>
      </c>
      <c r="R94" s="4">
        <v>-2</v>
      </c>
      <c r="S94" s="3" t="s">
        <v>273</v>
      </c>
      <c r="T94" s="3" t="s">
        <v>1973</v>
      </c>
      <c r="V94" s="3" t="s">
        <v>149</v>
      </c>
      <c r="W94" s="3">
        <v>13</v>
      </c>
      <c r="X94" s="3">
        <v>16</v>
      </c>
      <c r="Y94" s="3">
        <v>36</v>
      </c>
      <c r="Z94" s="3">
        <v>50</v>
      </c>
      <c r="AA94" s="3">
        <v>60</v>
      </c>
      <c r="AB94" s="3">
        <v>6</v>
      </c>
      <c r="AC94" s="3" t="s">
        <v>774</v>
      </c>
      <c r="AD94" s="3" t="s">
        <v>953</v>
      </c>
      <c r="AH94" s="3" t="s">
        <v>795</v>
      </c>
      <c r="BO94" t="s">
        <v>2215</v>
      </c>
      <c r="BV94" s="456" t="s">
        <v>2216</v>
      </c>
      <c r="DC94" s="12" t="s">
        <v>6059</v>
      </c>
      <c r="DD94" s="1024" t="s">
        <v>238</v>
      </c>
      <c r="DE94" s="1024">
        <v>9</v>
      </c>
      <c r="DF94" s="1024">
        <v>3</v>
      </c>
      <c r="DG94" s="1024">
        <v>1</v>
      </c>
      <c r="DH94" s="569">
        <v>1</v>
      </c>
      <c r="DI94" s="1024" t="s">
        <v>6060</v>
      </c>
      <c r="DJ94" s="1024" t="s">
        <v>89</v>
      </c>
      <c r="DX94" s="1024" t="s">
        <v>418</v>
      </c>
      <c r="EB94" s="1024" t="s">
        <v>196</v>
      </c>
      <c r="EJ94" s="1024">
        <v>12000</v>
      </c>
      <c r="EK94" s="1024">
        <v>25</v>
      </c>
      <c r="EL94" s="1024" t="s">
        <v>6059</v>
      </c>
      <c r="EM94" s="1024" t="str">
        <f>EL94&amp;"s"</f>
        <v>Skakoan heavy pressure suits</v>
      </c>
      <c r="EN94" s="1323" t="s">
        <v>8088</v>
      </c>
      <c r="EO94" s="569" t="s">
        <v>7946</v>
      </c>
      <c r="EP94" s="569" t="s">
        <v>160</v>
      </c>
      <c r="EQ94" s="1552" t="s">
        <v>200</v>
      </c>
      <c r="ER94" s="1552" t="s">
        <v>8080</v>
      </c>
      <c r="ES94" s="1552" t="s">
        <v>149</v>
      </c>
      <c r="ET94" s="19" t="s">
        <v>321</v>
      </c>
      <c r="EV94" s="1552"/>
      <c r="EZ94" s="1552" t="s">
        <v>497</v>
      </c>
      <c r="FA94" s="1552" t="s">
        <v>3718</v>
      </c>
      <c r="FB94" s="1552" t="s">
        <v>118</v>
      </c>
      <c r="FD94" s="1552">
        <v>3</v>
      </c>
      <c r="FE94" s="1552">
        <v>6</v>
      </c>
      <c r="FL94" s="1552">
        <v>600</v>
      </c>
      <c r="FM94" s="1552">
        <v>2.1</v>
      </c>
      <c r="FN94" s="569" t="s">
        <v>424</v>
      </c>
      <c r="FP94" s="569">
        <v>1</v>
      </c>
      <c r="FR94" s="3" t="s">
        <v>8080</v>
      </c>
      <c r="FS94" s="8" t="str">
        <f>FR94&amp;"s"</f>
        <v>blastswords</v>
      </c>
      <c r="GC94" s="12" t="s">
        <v>1407</v>
      </c>
      <c r="GD94" s="3" t="s">
        <v>771</v>
      </c>
      <c r="GE94" s="19">
        <v>250</v>
      </c>
      <c r="GF94" s="19">
        <v>0.2</v>
      </c>
      <c r="GG94" s="19" t="s">
        <v>249</v>
      </c>
      <c r="GH94" s="3" t="s">
        <v>1408</v>
      </c>
      <c r="GI94" s="8" t="s">
        <v>1409</v>
      </c>
      <c r="IC94" s="1540" t="str">
        <f t="shared" si="27"/>
        <v>Lanvarok, Massassi (melee);</v>
      </c>
      <c r="ID94" s="1540" t="str">
        <f t="shared" si="21"/>
        <v>Lanvarok, Massassi (melee);Neuronic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4" s="1540">
        <f t="shared" si="24"/>
        <v>92</v>
      </c>
      <c r="IF94" s="1540" t="e">
        <f t="shared" si="22"/>
        <v>#VALUE!</v>
      </c>
      <c r="IG94" s="1540" t="str">
        <f t="shared" si="23"/>
        <v/>
      </c>
    </row>
    <row r="95" spans="1:241">
      <c r="A95" s="1373" t="s">
        <v>7074</v>
      </c>
      <c r="B95" s="1373">
        <v>4</v>
      </c>
      <c r="C95" s="1373">
        <v>6</v>
      </c>
      <c r="D95" s="1373">
        <v>8</v>
      </c>
      <c r="E95" s="1373">
        <v>20</v>
      </c>
      <c r="F95" s="1375">
        <v>10</v>
      </c>
      <c r="J95" s="1323" t="s">
        <v>1992</v>
      </c>
      <c r="K95" s="3" t="s">
        <v>377</v>
      </c>
      <c r="L95" s="3" t="s">
        <v>1992</v>
      </c>
      <c r="M95" s="4"/>
      <c r="N95" s="4"/>
      <c r="O95" s="4"/>
      <c r="P95" s="4"/>
      <c r="Q95" s="4"/>
      <c r="R95" s="4">
        <v>2</v>
      </c>
      <c r="S95" s="3" t="s">
        <v>273</v>
      </c>
      <c r="T95" s="3" t="s">
        <v>1992</v>
      </c>
      <c r="V95" s="3" t="s">
        <v>149</v>
      </c>
      <c r="W95" s="3">
        <v>11</v>
      </c>
      <c r="X95" s="3">
        <v>21</v>
      </c>
      <c r="Y95" s="3">
        <v>41</v>
      </c>
      <c r="Z95" s="3">
        <v>61</v>
      </c>
      <c r="AA95" s="3">
        <v>81</v>
      </c>
      <c r="AB95" s="3">
        <v>6</v>
      </c>
      <c r="AC95" s="3" t="s">
        <v>1876</v>
      </c>
      <c r="AD95" s="3" t="s">
        <v>1370</v>
      </c>
      <c r="AE95" s="3" t="s">
        <v>954</v>
      </c>
      <c r="BO95" t="s">
        <v>7356</v>
      </c>
      <c r="BP95" s="1552" t="s">
        <v>550</v>
      </c>
      <c r="BQ95" s="1552" t="s">
        <v>5809</v>
      </c>
      <c r="BV95" s="1435" t="s">
        <v>7357</v>
      </c>
      <c r="DC95" s="12" t="s">
        <v>1277</v>
      </c>
      <c r="DD95" s="1024" t="s">
        <v>238</v>
      </c>
      <c r="DE95">
        <v>9</v>
      </c>
      <c r="DF95">
        <v>3</v>
      </c>
      <c r="DG95">
        <v>1</v>
      </c>
      <c r="DH95">
        <v>1</v>
      </c>
      <c r="DI95" t="s">
        <v>155</v>
      </c>
      <c r="DJ95" t="s">
        <v>89</v>
      </c>
      <c r="DV95" t="s">
        <v>195</v>
      </c>
      <c r="DX95" t="s">
        <v>418</v>
      </c>
      <c r="EB95" t="s">
        <v>285</v>
      </c>
      <c r="EJ95">
        <v>12000</v>
      </c>
      <c r="EK95">
        <v>25</v>
      </c>
      <c r="EL95" t="s">
        <v>1278</v>
      </c>
      <c r="EM95" t="s">
        <v>1279</v>
      </c>
      <c r="EN95" s="1323" t="s">
        <v>1186</v>
      </c>
      <c r="EO95" s="3" t="s">
        <v>155</v>
      </c>
      <c r="EP95" s="3" t="s">
        <v>160</v>
      </c>
      <c r="EQ95" s="3" t="s">
        <v>200</v>
      </c>
      <c r="ER95" s="3" t="s">
        <v>1186</v>
      </c>
      <c r="ES95" s="19" t="s">
        <v>201</v>
      </c>
      <c r="EZ95" s="3" t="s">
        <v>203</v>
      </c>
      <c r="FA95" s="3" t="s">
        <v>3718</v>
      </c>
      <c r="FB95" s="3" t="s">
        <v>118</v>
      </c>
      <c r="FC95" s="3" t="s">
        <v>385</v>
      </c>
      <c r="FD95" s="3">
        <v>2</v>
      </c>
      <c r="FE95" s="3">
        <v>4</v>
      </c>
      <c r="FL95" s="3">
        <v>100</v>
      </c>
      <c r="FM95" s="3">
        <v>1.8</v>
      </c>
      <c r="FQ95" s="3" t="str">
        <f>IF(EP95="R",IF(EQ95&lt;&gt;"EWP",ER95,"pistols"),"")</f>
        <v/>
      </c>
      <c r="FR95" s="3" t="s">
        <v>1187</v>
      </c>
      <c r="FS95" s="8" t="s">
        <v>1188</v>
      </c>
      <c r="GC95" s="12" t="s">
        <v>1419</v>
      </c>
      <c r="GD95" s="3" t="s">
        <v>155</v>
      </c>
      <c r="GE95" s="19">
        <v>4000</v>
      </c>
      <c r="GF95" s="19">
        <v>1</v>
      </c>
      <c r="GG95" s="19" t="s">
        <v>209</v>
      </c>
      <c r="GH95" s="3" t="s">
        <v>332</v>
      </c>
      <c r="GI95" s="8" t="s">
        <v>333</v>
      </c>
      <c r="IC95" s="1540" t="str">
        <f t="shared" si="27"/>
        <v>Neuronic whip;</v>
      </c>
      <c r="ID95" s="1540" t="str">
        <f t="shared" si="21"/>
        <v>Neuronic whip;Ryyk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5" s="1540">
        <f t="shared" si="24"/>
        <v>93</v>
      </c>
      <c r="IF95" s="1540" t="e">
        <f t="shared" si="22"/>
        <v>#VALUE!</v>
      </c>
      <c r="IG95" s="1540" t="str">
        <f t="shared" si="23"/>
        <v/>
      </c>
    </row>
    <row r="96" spans="1:241">
      <c r="J96" s="1323" t="s">
        <v>2012</v>
      </c>
      <c r="K96" s="3" t="s">
        <v>269</v>
      </c>
      <c r="L96" s="3" t="s">
        <v>2012</v>
      </c>
      <c r="M96" s="4"/>
      <c r="N96" s="4"/>
      <c r="O96" s="4"/>
      <c r="P96" s="4"/>
      <c r="Q96" s="4"/>
      <c r="R96" s="4">
        <v>2</v>
      </c>
      <c r="S96" s="3" t="s">
        <v>2012</v>
      </c>
      <c r="V96" s="3" t="s">
        <v>149</v>
      </c>
      <c r="W96" s="3">
        <v>11</v>
      </c>
      <c r="X96" s="3">
        <v>16</v>
      </c>
      <c r="Y96" s="3">
        <v>55</v>
      </c>
      <c r="Z96" s="3">
        <v>85</v>
      </c>
      <c r="AA96" s="3">
        <v>100</v>
      </c>
      <c r="AB96" s="3">
        <v>6</v>
      </c>
      <c r="AC96" s="3" t="s">
        <v>447</v>
      </c>
      <c r="AD96" s="3" t="s">
        <v>448</v>
      </c>
      <c r="AE96" s="3" t="s">
        <v>152</v>
      </c>
      <c r="BO96" t="s">
        <v>773</v>
      </c>
      <c r="BV96" s="456" t="s">
        <v>1834</v>
      </c>
      <c r="DC96" s="12" t="s">
        <v>1322</v>
      </c>
      <c r="DD96" s="1024" t="s">
        <v>238</v>
      </c>
      <c r="DE96">
        <v>4</v>
      </c>
      <c r="DH96">
        <v>2</v>
      </c>
      <c r="DI96" t="s">
        <v>530</v>
      </c>
      <c r="DV96" t="s">
        <v>1323</v>
      </c>
      <c r="EB96" t="s">
        <v>3719</v>
      </c>
      <c r="ED96">
        <v>4</v>
      </c>
      <c r="EJ96">
        <v>15000</v>
      </c>
      <c r="EK96">
        <v>35</v>
      </c>
      <c r="EL96" t="s">
        <v>1324</v>
      </c>
      <c r="EM96" t="s">
        <v>1325</v>
      </c>
      <c r="EN96" s="1323" t="s">
        <v>6976</v>
      </c>
      <c r="EO96" s="3" t="s">
        <v>6758</v>
      </c>
      <c r="EP96" s="3" t="s">
        <v>160</v>
      </c>
      <c r="EQ96" s="3" t="s">
        <v>200</v>
      </c>
      <c r="ER96" s="3" t="s">
        <v>6976</v>
      </c>
      <c r="ES96" s="19" t="s">
        <v>274</v>
      </c>
      <c r="EZ96" s="3" t="s">
        <v>357</v>
      </c>
      <c r="FA96" s="3" t="s">
        <v>3718</v>
      </c>
      <c r="FB96" s="3" t="s">
        <v>204</v>
      </c>
      <c r="FC96" s="3" t="s">
        <v>6977</v>
      </c>
      <c r="FD96" s="3">
        <v>1</v>
      </c>
      <c r="FE96" s="3">
        <v>6</v>
      </c>
      <c r="FL96" s="3">
        <v>1000</v>
      </c>
      <c r="FM96" s="3">
        <v>1.5</v>
      </c>
      <c r="FR96" s="3" t="s">
        <v>6978</v>
      </c>
      <c r="FS96" s="8" t="s">
        <v>6979</v>
      </c>
      <c r="GC96" s="12" t="s">
        <v>1426</v>
      </c>
      <c r="GD96" s="3" t="s">
        <v>771</v>
      </c>
      <c r="GE96" s="19">
        <v>50</v>
      </c>
      <c r="GF96" s="19">
        <v>0</v>
      </c>
      <c r="GG96" s="19" t="s">
        <v>249</v>
      </c>
      <c r="GH96" s="3" t="s">
        <v>1426</v>
      </c>
      <c r="GI96" s="8" t="s">
        <v>1427</v>
      </c>
      <c r="IC96" s="1540" t="str">
        <f t="shared" si="27"/>
        <v>Ryyk blade;</v>
      </c>
      <c r="ID96" s="1540" t="str">
        <f t="shared" si="21"/>
        <v>Ryyk blade;Shyarn;Tehk'la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6" s="1540">
        <f t="shared" si="24"/>
        <v>94</v>
      </c>
      <c r="IF96" s="1540" t="e">
        <f t="shared" si="22"/>
        <v>#VALUE!</v>
      </c>
      <c r="IG96" s="1540" t="str">
        <f t="shared" si="23"/>
        <v/>
      </c>
    </row>
    <row r="97" spans="1:241">
      <c r="A97" s="873" t="s">
        <v>3609</v>
      </c>
      <c r="B97" s="873" t="s">
        <v>3691</v>
      </c>
      <c r="C97" s="873" t="s">
        <v>106</v>
      </c>
      <c r="D97" s="873" t="s">
        <v>4608</v>
      </c>
      <c r="J97" s="1323" t="s">
        <v>7342</v>
      </c>
      <c r="K97" s="569" t="s">
        <v>7180</v>
      </c>
      <c r="L97" s="569" t="str">
        <f>LEFT(J97,FIND("Chassis",J97,1)-2)</f>
        <v>Service Droid</v>
      </c>
      <c r="M97" s="3">
        <v>-2</v>
      </c>
      <c r="R97" s="569">
        <v>2</v>
      </c>
      <c r="S97" s="569" t="s">
        <v>273</v>
      </c>
      <c r="T97" s="3" t="s">
        <v>1285</v>
      </c>
      <c r="V97" s="569" t="s">
        <v>149</v>
      </c>
      <c r="W97" s="569">
        <v>0</v>
      </c>
      <c r="X97" s="569">
        <v>0</v>
      </c>
      <c r="Y97" s="569">
        <v>999</v>
      </c>
      <c r="Z97" s="569">
        <v>999</v>
      </c>
      <c r="AA97" s="569">
        <v>999</v>
      </c>
      <c r="AB97" s="569">
        <v>6</v>
      </c>
      <c r="AC97" s="569" t="s">
        <v>7346</v>
      </c>
      <c r="AD97" s="569" t="s">
        <v>1259</v>
      </c>
      <c r="AE97" s="3" t="str">
        <f>IF(DroidManufacturer&lt;&gt;"",DroidManufacturer&amp;" Droid","")</f>
        <v/>
      </c>
      <c r="AW97" s="3" t="s">
        <v>2485</v>
      </c>
      <c r="BO97" t="s">
        <v>839</v>
      </c>
      <c r="BV97" s="456" t="s">
        <v>1839</v>
      </c>
      <c r="DC97" s="12" t="s">
        <v>6048</v>
      </c>
      <c r="DD97" s="1024" t="s">
        <v>238</v>
      </c>
      <c r="DE97">
        <v>10</v>
      </c>
      <c r="DF97">
        <v>4</v>
      </c>
      <c r="DG97">
        <v>1</v>
      </c>
      <c r="DH97" s="569">
        <v>2</v>
      </c>
      <c r="DI97" t="s">
        <v>2152</v>
      </c>
      <c r="DJ97" t="s">
        <v>89</v>
      </c>
      <c r="DV97" t="s">
        <v>6049</v>
      </c>
      <c r="DX97" t="s">
        <v>418</v>
      </c>
      <c r="EB97" t="s">
        <v>196</v>
      </c>
      <c r="ED97">
        <v>2</v>
      </c>
      <c r="EJ97">
        <v>17000</v>
      </c>
      <c r="EK97">
        <v>28</v>
      </c>
      <c r="EL97" t="s">
        <v>6050</v>
      </c>
      <c r="EM97" t="str">
        <f>"suits of "&amp;EL97</f>
        <v>suits of Venom assualt armor</v>
      </c>
      <c r="EN97" s="1323" t="s">
        <v>1398</v>
      </c>
      <c r="EO97" s="3" t="s">
        <v>272</v>
      </c>
      <c r="EP97" s="3" t="s">
        <v>160</v>
      </c>
      <c r="EQ97" s="3" t="s">
        <v>200</v>
      </c>
      <c r="ER97" s="3" t="s">
        <v>1398</v>
      </c>
      <c r="ES97" s="19" t="s">
        <v>274</v>
      </c>
      <c r="EZ97" s="3" t="s">
        <v>357</v>
      </c>
      <c r="FA97" s="3" t="s">
        <v>3718</v>
      </c>
      <c r="FB97" s="3" t="s">
        <v>118</v>
      </c>
      <c r="FD97" s="3">
        <v>2</v>
      </c>
      <c r="FE97" s="3">
        <v>6</v>
      </c>
      <c r="FL97" s="3">
        <v>1500</v>
      </c>
      <c r="FM97" s="3">
        <v>0.5</v>
      </c>
      <c r="FQ97" s="3" t="str">
        <f t="shared" ref="FQ97:FQ104" si="28">IF(EP97="R",IF(EQ97&lt;&gt;"EWP",ER97,"pistols"),"")</f>
        <v/>
      </c>
      <c r="FR97" s="3" t="s">
        <v>1398</v>
      </c>
      <c r="FS97" s="8" t="s">
        <v>1399</v>
      </c>
      <c r="GC97" s="12" t="s">
        <v>8127</v>
      </c>
      <c r="GD97" s="3" t="s">
        <v>7183</v>
      </c>
      <c r="GE97" s="1426">
        <v>3000</v>
      </c>
      <c r="GF97" s="19">
        <v>2</v>
      </c>
      <c r="GG97" s="19" t="s">
        <v>170</v>
      </c>
      <c r="GH97" s="3" t="str">
        <f>LOWER(GC97)</f>
        <v>holo converter</v>
      </c>
      <c r="GI97" s="8" t="str">
        <f>GH97&amp;"s"</f>
        <v>holo converters</v>
      </c>
      <c r="IC97" s="1540" t="str">
        <f t="shared" si="27"/>
        <v>Shyarn;</v>
      </c>
      <c r="ID97" s="1540" t="str">
        <f t="shared" si="21"/>
        <v>Shyarn;Tehk'la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7" s="1540">
        <f t="shared" si="24"/>
        <v>95</v>
      </c>
      <c r="IF97" s="1540" t="e">
        <f t="shared" si="22"/>
        <v>#VALUE!</v>
      </c>
      <c r="IG97" s="1540" t="str">
        <f t="shared" si="23"/>
        <v/>
      </c>
    </row>
    <row r="98" spans="1:241">
      <c r="A98">
        <v>5</v>
      </c>
      <c r="B98">
        <v>2500</v>
      </c>
      <c r="C98">
        <v>10</v>
      </c>
      <c r="D98">
        <v>4</v>
      </c>
      <c r="J98" s="1323" t="s">
        <v>5939</v>
      </c>
      <c r="K98" s="569" t="s">
        <v>3814</v>
      </c>
      <c r="L98" s="569" t="s">
        <v>5940</v>
      </c>
      <c r="M98" s="4"/>
      <c r="N98" s="4">
        <v>-2</v>
      </c>
      <c r="O98" s="4"/>
      <c r="P98" s="4"/>
      <c r="Q98" s="4">
        <v>2</v>
      </c>
      <c r="R98" s="4"/>
      <c r="S98" s="569" t="s">
        <v>273</v>
      </c>
      <c r="T98" s="569" t="s">
        <v>1285</v>
      </c>
      <c r="V98" s="569" t="s">
        <v>149</v>
      </c>
      <c r="W98" s="569">
        <v>0</v>
      </c>
      <c r="X98" s="569">
        <v>0</v>
      </c>
      <c r="Y98" s="569">
        <v>999</v>
      </c>
      <c r="Z98" s="569">
        <v>999</v>
      </c>
      <c r="AA98" s="569">
        <v>999</v>
      </c>
      <c r="AB98" s="569">
        <v>6</v>
      </c>
      <c r="AC98" s="569" t="s">
        <v>5941</v>
      </c>
      <c r="AK98" s="3" t="s">
        <v>857</v>
      </c>
      <c r="AO98" s="3">
        <v>1</v>
      </c>
      <c r="AP98" s="3">
        <v>1</v>
      </c>
      <c r="AQ98" s="3">
        <v>1</v>
      </c>
      <c r="BO98" t="s">
        <v>7309</v>
      </c>
      <c r="BV98" s="456" t="str">
        <f>"If trained in Treat Injury, reduce the Treat Injury DC for all applications of the skill by "&amp;WisMod</f>
        <v xml:space="preserve">If trained in Treat Injury, reduce the Treat Injury DC for all applications of the skill by </v>
      </c>
      <c r="DC98" s="1323" t="s">
        <v>6589</v>
      </c>
      <c r="DD98" s="1317" t="s">
        <v>238</v>
      </c>
      <c r="DE98" s="1317">
        <v>9</v>
      </c>
      <c r="DF98" s="1317">
        <v>3</v>
      </c>
      <c r="DG98" s="1317">
        <v>0</v>
      </c>
      <c r="DH98" s="569">
        <v>2</v>
      </c>
      <c r="DI98" s="1317" t="s">
        <v>6222</v>
      </c>
      <c r="DJ98" s="1317" t="s">
        <v>283</v>
      </c>
      <c r="DK98" s="1317"/>
      <c r="DL98" s="1317"/>
      <c r="DM98" s="1317"/>
      <c r="DN98" s="1317"/>
      <c r="DO98" s="1317"/>
      <c r="DP98" s="1317"/>
      <c r="DQ98" s="1317"/>
      <c r="DR98" s="1317"/>
      <c r="DS98" s="1317"/>
      <c r="DT98" s="1317"/>
      <c r="DU98" s="1317"/>
      <c r="DV98" s="1317"/>
      <c r="DW98" s="1317"/>
      <c r="DX98" s="1317" t="s">
        <v>418</v>
      </c>
      <c r="DY98" s="1317" t="s">
        <v>417</v>
      </c>
      <c r="DZ98" s="1317" t="s">
        <v>284</v>
      </c>
      <c r="EA98" s="1317" t="s">
        <v>1253</v>
      </c>
      <c r="EB98" s="1317" t="s">
        <v>196</v>
      </c>
      <c r="EC98" s="1317"/>
      <c r="ED98" s="1317"/>
      <c r="EE98" s="1317"/>
      <c r="EF98" s="1317"/>
      <c r="EG98" s="1317"/>
      <c r="EH98" s="1317"/>
      <c r="EI98" s="1317"/>
      <c r="EJ98" s="1317">
        <v>21000</v>
      </c>
      <c r="EK98" s="1317">
        <v>26.9</v>
      </c>
      <c r="EL98" s="1317" t="s">
        <v>6590</v>
      </c>
      <c r="EM98" s="1317" t="str">
        <f>"suits of "&amp;EL98</f>
        <v>suits of zero-g stormtrooper armor</v>
      </c>
      <c r="EN98" s="1323" t="s">
        <v>1403</v>
      </c>
      <c r="EO98" s="3" t="s">
        <v>173</v>
      </c>
      <c r="EP98" s="3" t="s">
        <v>160</v>
      </c>
      <c r="EQ98" s="3" t="s">
        <v>200</v>
      </c>
      <c r="ER98" s="3" t="s">
        <v>1403</v>
      </c>
      <c r="ES98" s="19" t="s">
        <v>149</v>
      </c>
      <c r="EZ98" s="3" t="s">
        <v>1404</v>
      </c>
      <c r="FA98" s="3" t="s">
        <v>3718</v>
      </c>
      <c r="FB98" s="3" t="s">
        <v>118</v>
      </c>
      <c r="FD98" s="3">
        <v>1</v>
      </c>
      <c r="FE98" s="3">
        <v>8</v>
      </c>
      <c r="FL98" s="3">
        <v>100</v>
      </c>
      <c r="FM98" s="3">
        <v>2</v>
      </c>
      <c r="FQ98" s="3" t="str">
        <f t="shared" si="28"/>
        <v/>
      </c>
      <c r="FR98" s="3" t="s">
        <v>1405</v>
      </c>
      <c r="FS98" s="8" t="s">
        <v>1406</v>
      </c>
      <c r="GC98" s="12" t="s">
        <v>1437</v>
      </c>
      <c r="GD98" s="3" t="s">
        <v>155</v>
      </c>
      <c r="GE98" s="19">
        <v>1000</v>
      </c>
      <c r="GF98" s="19">
        <v>0.5</v>
      </c>
      <c r="GG98" s="19" t="s">
        <v>249</v>
      </c>
      <c r="GH98" s="3" t="s">
        <v>1438</v>
      </c>
      <c r="GI98" s="8" t="s">
        <v>1439</v>
      </c>
      <c r="IC98" s="1540" t="str">
        <f t="shared" si="27"/>
        <v>Tehk'la blade;</v>
      </c>
      <c r="ID98" s="1540" t="str">
        <f t="shared" si="21"/>
        <v>Tehk'la blade;Vibro-saw;Wan-shen;Zhaboka;Concealed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8" s="1540">
        <f t="shared" si="24"/>
        <v>96</v>
      </c>
      <c r="IF98" s="1540" t="e">
        <f t="shared" si="22"/>
        <v>#VALUE!</v>
      </c>
      <c r="IG98" s="1540" t="str">
        <f t="shared" si="23"/>
        <v/>
      </c>
    </row>
    <row r="99" spans="1:241">
      <c r="A99">
        <v>10</v>
      </c>
      <c r="B99">
        <v>5000</v>
      </c>
      <c r="C99">
        <v>20</v>
      </c>
      <c r="D99">
        <v>4</v>
      </c>
      <c r="J99" s="1323" t="s">
        <v>7939</v>
      </c>
      <c r="K99" s="569" t="s">
        <v>7946</v>
      </c>
      <c r="L99" s="3" t="str">
        <f>J99</f>
        <v>Shistavanen</v>
      </c>
      <c r="N99" s="3">
        <v>2</v>
      </c>
      <c r="P99" s="3">
        <v>-2</v>
      </c>
      <c r="R99" s="3">
        <v>-2</v>
      </c>
      <c r="S99" s="569" t="s">
        <v>7939</v>
      </c>
      <c r="V99" s="569" t="s">
        <v>149</v>
      </c>
      <c r="W99" s="569">
        <v>10</v>
      </c>
      <c r="X99" s="569">
        <v>14</v>
      </c>
      <c r="Y99" s="569">
        <v>41</v>
      </c>
      <c r="Z99" s="569">
        <v>61</v>
      </c>
      <c r="AA99" s="569">
        <v>96</v>
      </c>
      <c r="AB99" s="569">
        <v>6</v>
      </c>
      <c r="AC99" s="569" t="s">
        <v>131</v>
      </c>
      <c r="AD99" s="569" t="s">
        <v>7958</v>
      </c>
      <c r="AE99" s="569" t="s">
        <v>7959</v>
      </c>
      <c r="AF99" s="569" t="s">
        <v>953</v>
      </c>
      <c r="AH99" s="569" t="str">
        <f>IF(OR(TPerception="Yes",STPerception="Yes"),"Perception","")</f>
        <v/>
      </c>
      <c r="AL99" s="3" t="s">
        <v>795</v>
      </c>
      <c r="BF99" s="3" t="s">
        <v>631</v>
      </c>
      <c r="BG99" s="3" t="str">
        <f ca="1">"1d"&amp;MIN(12,UnarmedDieIncreases*2+6)</f>
        <v>1d6</v>
      </c>
      <c r="BH99" s="3" t="s">
        <v>633</v>
      </c>
      <c r="BO99" t="s">
        <v>1431</v>
      </c>
      <c r="BV99" s="456" t="s">
        <v>1843</v>
      </c>
      <c r="DC99" s="1029"/>
      <c r="DD99" s="1030"/>
      <c r="DE99" s="1030"/>
      <c r="DF99" s="1030"/>
      <c r="DG99" s="1030"/>
      <c r="DH99" s="1030"/>
      <c r="DI99" s="1030"/>
      <c r="DJ99" s="1030"/>
      <c r="DK99" s="1030"/>
      <c r="DL99" s="1030"/>
      <c r="DM99" s="1030"/>
      <c r="DN99" s="1030"/>
      <c r="DO99" s="1030"/>
      <c r="DP99" s="1030"/>
      <c r="DQ99" s="1030"/>
      <c r="DR99" s="1030"/>
      <c r="DS99" s="1030"/>
      <c r="DT99" s="1030"/>
      <c r="DU99" s="1030"/>
      <c r="DV99" s="1030"/>
      <c r="DW99" s="1030"/>
      <c r="DX99" s="1030"/>
      <c r="DY99" s="1030"/>
      <c r="DZ99" s="1030"/>
      <c r="EA99" s="1030"/>
      <c r="EB99" s="1030"/>
      <c r="EC99" s="1030"/>
      <c r="ED99" s="1030"/>
      <c r="EE99" s="1030"/>
      <c r="EF99" s="1030"/>
      <c r="EG99" s="1030"/>
      <c r="EH99" s="1030"/>
      <c r="EI99" s="1030"/>
      <c r="EJ99" s="1030"/>
      <c r="EK99" s="1030"/>
      <c r="EL99" s="1030"/>
      <c r="EM99" s="1030" t="s">
        <v>3671</v>
      </c>
      <c r="EN99" s="1323" t="s">
        <v>1449</v>
      </c>
      <c r="EO99" s="3" t="s">
        <v>530</v>
      </c>
      <c r="EP99" s="3" t="s">
        <v>160</v>
      </c>
      <c r="EQ99" s="3" t="s">
        <v>200</v>
      </c>
      <c r="ER99" s="3" t="s">
        <v>1449</v>
      </c>
      <c r="ES99" s="19" t="s">
        <v>274</v>
      </c>
      <c r="EV99" s="19" t="s">
        <v>202</v>
      </c>
      <c r="EZ99" s="3" t="s">
        <v>357</v>
      </c>
      <c r="FA99" s="3" t="s">
        <v>3718</v>
      </c>
      <c r="FD99" s="3">
        <v>1</v>
      </c>
      <c r="FE99" s="3">
        <v>6</v>
      </c>
      <c r="FL99" s="3">
        <v>50</v>
      </c>
      <c r="FM99" s="3">
        <v>0.5</v>
      </c>
      <c r="FQ99" s="3" t="str">
        <f t="shared" si="28"/>
        <v/>
      </c>
      <c r="FR99" s="3" t="s">
        <v>1450</v>
      </c>
      <c r="FS99" s="8" t="s">
        <v>1451</v>
      </c>
      <c r="GC99" s="12" t="s">
        <v>1446</v>
      </c>
      <c r="GD99" s="3" t="s">
        <v>155</v>
      </c>
      <c r="GE99" s="19">
        <v>100</v>
      </c>
      <c r="GF99" s="19">
        <v>0.1</v>
      </c>
      <c r="GG99" s="19" t="s">
        <v>249</v>
      </c>
      <c r="GH99" s="3" t="s">
        <v>1447</v>
      </c>
      <c r="GI99" s="8" t="s">
        <v>1448</v>
      </c>
      <c r="IC99" s="1540" t="str">
        <f t="shared" si="27"/>
        <v>Vibro-saw;</v>
      </c>
      <c r="ID99" s="1540" t="str">
        <f t="shared" si="21"/>
        <v>Vibro-saw;Wan-shen;Zhaboka;Concealed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99" s="1540">
        <f t="shared" si="24"/>
        <v>97</v>
      </c>
      <c r="IF99" s="1540" t="e">
        <f t="shared" si="22"/>
        <v>#VALUE!</v>
      </c>
      <c r="IG99" s="1540" t="str">
        <f t="shared" si="23"/>
        <v/>
      </c>
    </row>
    <row r="100" spans="1:241">
      <c r="A100">
        <v>15</v>
      </c>
      <c r="B100">
        <v>7500</v>
      </c>
      <c r="C100">
        <v>30</v>
      </c>
      <c r="D100">
        <v>5</v>
      </c>
      <c r="J100" s="1323" t="s">
        <v>2024</v>
      </c>
      <c r="K100" s="3" t="s">
        <v>445</v>
      </c>
      <c r="L100" s="3" t="s">
        <v>2024</v>
      </c>
      <c r="M100" s="4"/>
      <c r="N100" s="4">
        <v>-2</v>
      </c>
      <c r="O100" s="4"/>
      <c r="P100" s="4">
        <v>2</v>
      </c>
      <c r="Q100" s="4"/>
      <c r="R100" s="4"/>
      <c r="S100" s="3" t="s">
        <v>273</v>
      </c>
      <c r="T100" s="3" t="s">
        <v>2025</v>
      </c>
      <c r="V100" s="3" t="s">
        <v>149</v>
      </c>
      <c r="W100" s="3">
        <v>12</v>
      </c>
      <c r="X100" s="3">
        <v>15</v>
      </c>
      <c r="Y100" s="3">
        <v>45</v>
      </c>
      <c r="Z100" s="3">
        <v>60</v>
      </c>
      <c r="AA100" s="3">
        <v>70</v>
      </c>
      <c r="AB100" s="3">
        <v>6</v>
      </c>
      <c r="AC100" s="3" t="s">
        <v>2233</v>
      </c>
      <c r="AD100" s="3" t="s">
        <v>2215</v>
      </c>
      <c r="AH100" s="3" t="s">
        <v>550</v>
      </c>
      <c r="AW100" s="3" t="s">
        <v>2026</v>
      </c>
      <c r="BO100" t="s">
        <v>7950</v>
      </c>
      <c r="BV100" s="456" t="e">
        <f>"As a standard action, an Anzat can make a +"&amp;CharacterLevel+ChaMod&amp;" special attack vs. Will of a target within 6 squares. If the attack is successful, the target loses its standard action for its next turn. If the attack fails, the target is immune to this effect for 24 hours. This is a mind-affecting effect."</f>
        <v>#VALUE!</v>
      </c>
      <c r="EN100" s="1323" t="s">
        <v>1584</v>
      </c>
      <c r="EO100" s="3" t="s">
        <v>173</v>
      </c>
      <c r="EP100" s="3" t="s">
        <v>160</v>
      </c>
      <c r="EQ100" s="3" t="s">
        <v>200</v>
      </c>
      <c r="ER100" s="3" t="s">
        <v>1577</v>
      </c>
      <c r="ES100" s="19" t="s">
        <v>201</v>
      </c>
      <c r="EZ100" s="3" t="s">
        <v>357</v>
      </c>
      <c r="FA100" s="3" t="s">
        <v>3718</v>
      </c>
      <c r="FB100" s="3" t="s">
        <v>118</v>
      </c>
      <c r="FD100" s="3">
        <v>1</v>
      </c>
      <c r="FE100" s="3">
        <v>8</v>
      </c>
      <c r="FL100" s="3">
        <v>250</v>
      </c>
      <c r="FM100" s="3">
        <v>9.8000000000000007</v>
      </c>
      <c r="FQ100" s="3" t="str">
        <f t="shared" si="28"/>
        <v/>
      </c>
      <c r="FR100" s="3" t="s">
        <v>1579</v>
      </c>
      <c r="FS100" s="8" t="s">
        <v>1580</v>
      </c>
      <c r="GC100" s="12" t="s">
        <v>577</v>
      </c>
      <c r="GD100" s="3" t="s">
        <v>272</v>
      </c>
      <c r="GE100" s="19">
        <v>25000</v>
      </c>
      <c r="GF100" s="19">
        <v>0.5</v>
      </c>
      <c r="GG100" s="19" t="s">
        <v>249</v>
      </c>
      <c r="GH100" s="3" t="s">
        <v>578</v>
      </c>
      <c r="GI100" s="8" t="s">
        <v>1452</v>
      </c>
      <c r="IC100" s="1540" t="str">
        <f t="shared" si="27"/>
        <v>Wan-shen;</v>
      </c>
      <c r="ID100" s="1540" t="str">
        <f t="shared" si="21"/>
        <v>Wan-shen;Zhaboka;Concealed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0" s="1540">
        <f t="shared" si="24"/>
        <v>98</v>
      </c>
      <c r="IF100" s="1540" t="e">
        <f t="shared" si="22"/>
        <v>#VALUE!</v>
      </c>
      <c r="IG100" s="1540" t="str">
        <f t="shared" si="23"/>
        <v/>
      </c>
    </row>
    <row r="101" spans="1:241">
      <c r="A101">
        <v>20</v>
      </c>
      <c r="B101">
        <v>10000</v>
      </c>
      <c r="C101">
        <v>40</v>
      </c>
      <c r="D101">
        <v>6</v>
      </c>
      <c r="J101" s="1323" t="s">
        <v>7940</v>
      </c>
      <c r="K101" s="569" t="s">
        <v>7946</v>
      </c>
      <c r="L101" s="3" t="str">
        <f>J101</f>
        <v>Sluissi</v>
      </c>
      <c r="N101" s="3">
        <v>-2</v>
      </c>
      <c r="P101" s="569">
        <v>2</v>
      </c>
      <c r="S101" s="569" t="s">
        <v>273</v>
      </c>
      <c r="T101" s="569" t="s">
        <v>7960</v>
      </c>
      <c r="V101" s="569" t="s">
        <v>149</v>
      </c>
      <c r="W101" s="569">
        <v>9</v>
      </c>
      <c r="X101" s="569">
        <v>15</v>
      </c>
      <c r="Y101" s="569">
        <v>40</v>
      </c>
      <c r="Z101" s="569">
        <v>60</v>
      </c>
      <c r="AA101" s="569">
        <v>76</v>
      </c>
      <c r="AB101" s="569">
        <v>6</v>
      </c>
      <c r="AC101" s="569" t="s">
        <v>7961</v>
      </c>
      <c r="AD101" s="569" t="s">
        <v>7962</v>
      </c>
      <c r="AW101" s="3" t="str">
        <f>IF(OR(TMechanics="Yes",STMechanics="Yes"),"Tech Specialist","")</f>
        <v/>
      </c>
      <c r="BO101" t="s">
        <v>603</v>
      </c>
      <c r="BV101" s="456" t="s">
        <v>1859</v>
      </c>
      <c r="EN101" s="1323" t="s">
        <v>1794</v>
      </c>
      <c r="EO101" s="3" t="s">
        <v>272</v>
      </c>
      <c r="EP101" s="3" t="s">
        <v>160</v>
      </c>
      <c r="EQ101" s="3" t="s">
        <v>200</v>
      </c>
      <c r="ER101" s="3" t="s">
        <v>1794</v>
      </c>
      <c r="ES101" s="19" t="s">
        <v>149</v>
      </c>
      <c r="EV101" s="19" t="s">
        <v>1165</v>
      </c>
      <c r="EZ101" s="3" t="s">
        <v>1382</v>
      </c>
      <c r="FA101" s="3" t="s">
        <v>204</v>
      </c>
      <c r="FC101" s="3" t="s">
        <v>1795</v>
      </c>
      <c r="FD101" s="3">
        <v>2</v>
      </c>
      <c r="FE101" s="3">
        <v>8</v>
      </c>
      <c r="FL101" s="3">
        <v>500</v>
      </c>
      <c r="FM101" s="3">
        <v>0.5</v>
      </c>
      <c r="FN101" s="3" t="s">
        <v>360</v>
      </c>
      <c r="FQ101" s="3" t="str">
        <f t="shared" si="28"/>
        <v/>
      </c>
      <c r="FR101" s="3" t="s">
        <v>1796</v>
      </c>
      <c r="FS101" s="8" t="s">
        <v>1797</v>
      </c>
      <c r="GC101" s="1323" t="s">
        <v>1456</v>
      </c>
      <c r="GD101" s="3" t="s">
        <v>155</v>
      </c>
      <c r="GE101" s="19">
        <v>50</v>
      </c>
      <c r="GF101" s="19">
        <v>0.2</v>
      </c>
      <c r="GG101" s="19" t="s">
        <v>249</v>
      </c>
      <c r="GH101" s="3" t="s">
        <v>1457</v>
      </c>
      <c r="GI101" s="8" t="s">
        <v>1458</v>
      </c>
      <c r="IC101" s="1540" t="str">
        <f t="shared" si="27"/>
        <v>Zhaboka;</v>
      </c>
      <c r="ID101" s="1540" t="str">
        <f t="shared" si="21"/>
        <v>Zhaboka;Concealed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1" s="1540">
        <f t="shared" si="24"/>
        <v>99</v>
      </c>
      <c r="IF101" s="1540" t="e">
        <f t="shared" si="22"/>
        <v>#VALUE!</v>
      </c>
      <c r="IG101" s="1540" t="str">
        <f t="shared" si="23"/>
        <v/>
      </c>
    </row>
    <row r="102" spans="1:241">
      <c r="J102" s="1323" t="s">
        <v>2030</v>
      </c>
      <c r="K102" s="3" t="s">
        <v>269</v>
      </c>
      <c r="L102" s="3" t="s">
        <v>2030</v>
      </c>
      <c r="M102" s="4"/>
      <c r="N102" s="4"/>
      <c r="O102" s="4"/>
      <c r="P102" s="4"/>
      <c r="Q102" s="4">
        <v>2</v>
      </c>
      <c r="R102" s="4"/>
      <c r="S102" s="3" t="s">
        <v>2030</v>
      </c>
      <c r="V102" s="3" t="s">
        <v>274</v>
      </c>
      <c r="W102" s="3">
        <v>12</v>
      </c>
      <c r="X102" s="3">
        <v>18</v>
      </c>
      <c r="Y102" s="3">
        <v>50</v>
      </c>
      <c r="Z102" s="3">
        <v>80</v>
      </c>
      <c r="AA102" s="3">
        <v>106</v>
      </c>
      <c r="AB102" s="3">
        <v>4</v>
      </c>
      <c r="AC102" s="3" t="s">
        <v>858</v>
      </c>
      <c r="AD102" s="3" t="s">
        <v>1935</v>
      </c>
      <c r="BO102" t="s">
        <v>7321</v>
      </c>
      <c r="BV102" s="456" t="s">
        <v>7322</v>
      </c>
      <c r="EN102" s="1323" t="s">
        <v>1851</v>
      </c>
      <c r="EO102" s="3" t="s">
        <v>272</v>
      </c>
      <c r="EP102" s="3" t="s">
        <v>160</v>
      </c>
      <c r="EQ102" s="3" t="s">
        <v>200</v>
      </c>
      <c r="ER102" s="3" t="s">
        <v>1851</v>
      </c>
      <c r="ES102" s="19" t="s">
        <v>149</v>
      </c>
      <c r="EZ102" s="3" t="s">
        <v>357</v>
      </c>
      <c r="FA102" s="3" t="s">
        <v>3718</v>
      </c>
      <c r="FB102" s="3" t="s">
        <v>118</v>
      </c>
      <c r="FC102" s="3" t="s">
        <v>1852</v>
      </c>
      <c r="FD102" s="3">
        <v>2</v>
      </c>
      <c r="FE102" s="3">
        <v>10</v>
      </c>
      <c r="FL102" s="3">
        <v>500</v>
      </c>
      <c r="FM102" s="3">
        <v>1.5</v>
      </c>
      <c r="FQ102" s="3" t="str">
        <f t="shared" si="28"/>
        <v/>
      </c>
      <c r="FR102" s="3" t="s">
        <v>1853</v>
      </c>
      <c r="FS102" s="8" t="s">
        <v>1854</v>
      </c>
      <c r="GC102" s="12" t="s">
        <v>1463</v>
      </c>
      <c r="GD102" s="3" t="s">
        <v>155</v>
      </c>
      <c r="GE102" s="19">
        <v>25</v>
      </c>
      <c r="GF102" s="19">
        <v>0.5</v>
      </c>
      <c r="GG102" s="19" t="s">
        <v>249</v>
      </c>
      <c r="GH102" s="3" t="s">
        <v>1464</v>
      </c>
      <c r="GI102" s="8" t="s">
        <v>1465</v>
      </c>
      <c r="IC102" s="1540" t="str">
        <f t="shared" si="27"/>
        <v/>
      </c>
      <c r="ID102"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2" s="1540">
        <f t="shared" si="24"/>
        <v>100</v>
      </c>
      <c r="IF102" s="1540" t="e">
        <f t="shared" si="22"/>
        <v>#VALUE!</v>
      </c>
      <c r="IG102" s="1540" t="str">
        <f t="shared" si="23"/>
        <v/>
      </c>
    </row>
    <row r="103" spans="1:241">
      <c r="A103" s="873" t="s">
        <v>3678</v>
      </c>
      <c r="B103" s="873" t="s">
        <v>3691</v>
      </c>
      <c r="C103" s="873" t="s">
        <v>106</v>
      </c>
      <c r="J103" s="1323" t="s">
        <v>7941</v>
      </c>
      <c r="K103" s="569" t="s">
        <v>7946</v>
      </c>
      <c r="L103" s="3" t="str">
        <f>J103</f>
        <v>Squib</v>
      </c>
      <c r="M103" s="3">
        <v>-2</v>
      </c>
      <c r="N103" s="3">
        <v>2</v>
      </c>
      <c r="S103" s="569" t="s">
        <v>273</v>
      </c>
      <c r="T103" s="569" t="s">
        <v>7963</v>
      </c>
      <c r="V103" s="569" t="s">
        <v>274</v>
      </c>
      <c r="W103" s="569">
        <v>9</v>
      </c>
      <c r="X103" s="569">
        <v>13</v>
      </c>
      <c r="Y103" s="569">
        <v>39</v>
      </c>
      <c r="Z103" s="569">
        <v>54</v>
      </c>
      <c r="AA103" s="569">
        <v>65</v>
      </c>
      <c r="AB103" s="569">
        <v>6</v>
      </c>
      <c r="AC103" s="569" t="s">
        <v>7964</v>
      </c>
      <c r="AD103" s="569" t="s">
        <v>7965</v>
      </c>
      <c r="AE103" s="569" t="s">
        <v>1652</v>
      </c>
      <c r="AL103" s="3" t="s">
        <v>347</v>
      </c>
      <c r="BB103" s="3" t="s">
        <v>531</v>
      </c>
      <c r="BC103" s="3" t="s">
        <v>7966</v>
      </c>
      <c r="BO103" t="s">
        <v>1876</v>
      </c>
      <c r="BV103" s="456" t="s">
        <v>1877</v>
      </c>
      <c r="EN103" s="1323" t="s">
        <v>1860</v>
      </c>
      <c r="EO103" s="3" t="s">
        <v>173</v>
      </c>
      <c r="EP103" s="3" t="s">
        <v>160</v>
      </c>
      <c r="EQ103" s="3" t="s">
        <v>200</v>
      </c>
      <c r="ER103" s="3" t="s">
        <v>1860</v>
      </c>
      <c r="ES103" s="19" t="s">
        <v>170</v>
      </c>
      <c r="ET103" s="19" t="s">
        <v>321</v>
      </c>
      <c r="EZ103" s="3" t="s">
        <v>1404</v>
      </c>
      <c r="FA103" s="3" t="s">
        <v>3718</v>
      </c>
      <c r="FB103" s="3" t="s">
        <v>118</v>
      </c>
      <c r="FC103" s="3" t="s">
        <v>1861</v>
      </c>
      <c r="FD103" s="3">
        <v>3</v>
      </c>
      <c r="FE103" s="3">
        <v>4</v>
      </c>
      <c r="FL103" s="3">
        <v>40</v>
      </c>
      <c r="FM103" s="3">
        <v>1</v>
      </c>
      <c r="FQ103" s="3" t="str">
        <f t="shared" si="28"/>
        <v/>
      </c>
      <c r="FR103" s="3" t="s">
        <v>1862</v>
      </c>
      <c r="FS103" s="8" t="s">
        <v>1863</v>
      </c>
      <c r="GC103" s="12" t="s">
        <v>8144</v>
      </c>
      <c r="GD103" s="3" t="s">
        <v>7946</v>
      </c>
      <c r="GE103" s="19">
        <v>350</v>
      </c>
      <c r="GF103" s="19">
        <v>0.1</v>
      </c>
      <c r="GG103" s="19" t="s">
        <v>249</v>
      </c>
      <c r="GH103" s="3" t="str">
        <f>LOWER(GC103)</f>
        <v>hypoinjector wristband</v>
      </c>
      <c r="GI103" s="8" t="str">
        <f>GH103&amp;"s"</f>
        <v>hypoinjector wristbands</v>
      </c>
      <c r="IC103" s="1540" t="str">
        <f t="shared" si="27"/>
        <v/>
      </c>
      <c r="ID103"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3" s="1540">
        <f t="shared" si="24"/>
        <v>101</v>
      </c>
      <c r="IF103" s="1540" t="e">
        <f t="shared" si="22"/>
        <v>#VALUE!</v>
      </c>
      <c r="IG103" s="1540" t="str">
        <f t="shared" si="23"/>
        <v/>
      </c>
    </row>
    <row r="104" spans="1:241">
      <c r="A104">
        <v>20</v>
      </c>
      <c r="B104">
        <v>200</v>
      </c>
      <c r="C104">
        <v>1</v>
      </c>
      <c r="J104" s="1323" t="s">
        <v>8824</v>
      </c>
      <c r="K104" s="569" t="s">
        <v>7946</v>
      </c>
      <c r="L104" s="3" t="s">
        <v>8825</v>
      </c>
      <c r="M104" s="3">
        <v>2</v>
      </c>
      <c r="Q104" s="3">
        <v>-2</v>
      </c>
      <c r="S104" s="569" t="s">
        <v>8826</v>
      </c>
      <c r="T104" s="569"/>
      <c r="V104" s="569" t="s">
        <v>149</v>
      </c>
      <c r="W104" s="569"/>
      <c r="X104" s="569"/>
      <c r="Y104" s="569"/>
      <c r="Z104" s="569"/>
      <c r="AA104" s="569"/>
      <c r="AB104" s="569">
        <v>6</v>
      </c>
      <c r="AC104" s="569" t="s">
        <v>1501</v>
      </c>
      <c r="AD104" s="569" t="s">
        <v>8827</v>
      </c>
      <c r="AE104" s="569" t="s">
        <v>8828</v>
      </c>
      <c r="AH104" s="569" t="s">
        <v>347</v>
      </c>
      <c r="AN104" s="3">
        <v>2</v>
      </c>
      <c r="BO104" t="s">
        <v>1884</v>
      </c>
      <c r="BV104" s="456" t="s">
        <v>1885</v>
      </c>
      <c r="EN104" s="1323" t="s">
        <v>2228</v>
      </c>
      <c r="EO104" s="3" t="s">
        <v>2159</v>
      </c>
      <c r="EP104" s="3" t="s">
        <v>160</v>
      </c>
      <c r="EQ104" s="3" t="s">
        <v>200</v>
      </c>
      <c r="ER104" s="3" t="s">
        <v>2228</v>
      </c>
      <c r="ES104" s="19" t="s">
        <v>170</v>
      </c>
      <c r="ET104" s="19" t="s">
        <v>321</v>
      </c>
      <c r="EZ104" s="3" t="s">
        <v>2229</v>
      </c>
      <c r="FA104" s="3" t="s">
        <v>3718</v>
      </c>
      <c r="FB104" s="3" t="s">
        <v>118</v>
      </c>
      <c r="FC104" s="3" t="s">
        <v>2230</v>
      </c>
      <c r="FD104" s="3">
        <v>2</v>
      </c>
      <c r="FE104" s="3">
        <v>6</v>
      </c>
      <c r="FL104" s="3">
        <v>8500</v>
      </c>
      <c r="FM104" s="3">
        <v>0.5</v>
      </c>
      <c r="FN104" s="3" t="s">
        <v>360</v>
      </c>
      <c r="FQ104" s="3" t="str">
        <f t="shared" si="28"/>
        <v/>
      </c>
      <c r="FR104" s="3" t="s">
        <v>2228</v>
      </c>
      <c r="FS104" s="8" t="s">
        <v>2231</v>
      </c>
      <c r="GC104" s="12" t="s">
        <v>4516</v>
      </c>
      <c r="GD104" s="569" t="s">
        <v>3800</v>
      </c>
      <c r="GF104" s="19">
        <v>1</v>
      </c>
      <c r="GG104" s="19" t="s">
        <v>209</v>
      </c>
      <c r="GH104" s="3" t="str">
        <f>GC104</f>
        <v>Jedi master's robes</v>
      </c>
      <c r="GI104" s="8" t="str">
        <f>GH104</f>
        <v>Jedi master's robes</v>
      </c>
      <c r="IC104" s="1540" t="str">
        <f t="shared" si="27"/>
        <v/>
      </c>
      <c r="ID104"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4" s="1540">
        <f t="shared" si="24"/>
        <v>102</v>
      </c>
      <c r="IF104" s="1540" t="e">
        <f t="shared" si="22"/>
        <v>#VALUE!</v>
      </c>
      <c r="IG104" s="1540" t="str">
        <f t="shared" si="23"/>
        <v/>
      </c>
    </row>
    <row r="105" spans="1:241">
      <c r="A105">
        <v>15</v>
      </c>
      <c r="B105">
        <v>500</v>
      </c>
      <c r="C105">
        <v>2</v>
      </c>
      <c r="J105" s="1323" t="s">
        <v>2034</v>
      </c>
      <c r="K105" s="3" t="s">
        <v>7942</v>
      </c>
      <c r="L105" s="3" t="s">
        <v>2034</v>
      </c>
      <c r="M105" s="4"/>
      <c r="N105" s="4">
        <v>2</v>
      </c>
      <c r="O105" s="4">
        <v>-2</v>
      </c>
      <c r="P105" s="4"/>
      <c r="Q105" s="4"/>
      <c r="R105" s="4"/>
      <c r="S105" s="3" t="s">
        <v>273</v>
      </c>
      <c r="T105" s="3" t="s">
        <v>2035</v>
      </c>
      <c r="V105" s="3" t="s">
        <v>149</v>
      </c>
      <c r="W105" s="3">
        <v>10</v>
      </c>
      <c r="X105" s="3">
        <v>15</v>
      </c>
      <c r="Y105" s="3">
        <v>40</v>
      </c>
      <c r="Z105" s="3">
        <v>56</v>
      </c>
      <c r="AA105" s="3">
        <v>70</v>
      </c>
      <c r="AB105" s="3">
        <v>6</v>
      </c>
      <c r="AC105" s="3" t="s">
        <v>517</v>
      </c>
      <c r="AD105" s="3" t="s">
        <v>313</v>
      </c>
      <c r="AE105" s="3" t="s">
        <v>774</v>
      </c>
      <c r="BO105" t="s">
        <v>2225</v>
      </c>
      <c r="BV105" s="456" t="s">
        <v>2226</v>
      </c>
      <c r="EN105" s="1323" t="s">
        <v>8089</v>
      </c>
      <c r="EO105" s="569" t="s">
        <v>7946</v>
      </c>
      <c r="EP105" s="569" t="s">
        <v>160</v>
      </c>
      <c r="EQ105" s="1552" t="s">
        <v>200</v>
      </c>
      <c r="ER105" s="1552" t="s">
        <v>8079</v>
      </c>
      <c r="ES105" s="1552" t="s">
        <v>201</v>
      </c>
      <c r="EV105" s="1552"/>
      <c r="EZ105" s="1552" t="s">
        <v>357</v>
      </c>
      <c r="FA105" s="1552" t="s">
        <v>321</v>
      </c>
      <c r="FB105" s="1552"/>
      <c r="FC105" s="3" t="s">
        <v>8090</v>
      </c>
      <c r="FD105" s="1552">
        <v>2</v>
      </c>
      <c r="FE105" s="1552">
        <v>10</v>
      </c>
      <c r="FL105" s="1552">
        <v>400</v>
      </c>
      <c r="FM105" s="1552">
        <v>10</v>
      </c>
      <c r="FN105" s="569" t="s">
        <v>360</v>
      </c>
      <c r="FP105" s="569">
        <v>2</v>
      </c>
      <c r="FR105" s="3" t="s">
        <v>8079</v>
      </c>
      <c r="FS105" s="8" t="str">
        <f>FR105&amp;"s"</f>
        <v>vibro-saws</v>
      </c>
      <c r="GC105" s="12" t="s">
        <v>4517</v>
      </c>
      <c r="GD105" s="569" t="s">
        <v>3800</v>
      </c>
      <c r="GF105" s="19">
        <v>1</v>
      </c>
      <c r="GG105" s="19" t="s">
        <v>209</v>
      </c>
      <c r="GH105" s="3" t="str">
        <f>GC105</f>
        <v>Jedi padawan's robes</v>
      </c>
      <c r="GI105" s="8" t="str">
        <f>GH105</f>
        <v>Jedi padawan's robes</v>
      </c>
      <c r="IC105" s="1540" t="str">
        <f t="shared" si="27"/>
        <v/>
      </c>
      <c r="ID105"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5" s="1540">
        <f t="shared" si="24"/>
        <v>103</v>
      </c>
      <c r="IF105" s="1540" t="e">
        <f t="shared" si="22"/>
        <v>#VALUE!</v>
      </c>
      <c r="IG105" s="1540" t="str">
        <f t="shared" si="23"/>
        <v/>
      </c>
    </row>
    <row r="106" spans="1:241">
      <c r="A106">
        <v>10</v>
      </c>
      <c r="B106">
        <v>1000</v>
      </c>
      <c r="C106">
        <v>4</v>
      </c>
      <c r="J106" s="1323" t="s">
        <v>2037</v>
      </c>
      <c r="K106" s="3" t="s">
        <v>230</v>
      </c>
      <c r="L106" s="3" t="s">
        <v>2037</v>
      </c>
      <c r="M106" s="4"/>
      <c r="N106" s="4"/>
      <c r="O106" s="4">
        <v>2</v>
      </c>
      <c r="P106" s="4">
        <v>-2</v>
      </c>
      <c r="Q106" s="4"/>
      <c r="R106" s="4"/>
      <c r="S106" s="3" t="s">
        <v>2037</v>
      </c>
      <c r="V106" s="3" t="s">
        <v>149</v>
      </c>
      <c r="W106" s="3">
        <v>4</v>
      </c>
      <c r="X106" s="3">
        <v>9</v>
      </c>
      <c r="Y106" s="3">
        <v>26</v>
      </c>
      <c r="Z106" s="3">
        <v>41</v>
      </c>
      <c r="AA106" s="3">
        <v>53</v>
      </c>
      <c r="AB106" s="3">
        <v>6</v>
      </c>
      <c r="AC106" s="3" t="s">
        <v>517</v>
      </c>
      <c r="AH106" s="3" t="s">
        <v>550</v>
      </c>
      <c r="BF106" s="3" t="s">
        <v>1726</v>
      </c>
      <c r="BG106" s="3" t="str">
        <f ca="1">"1d"&amp;MIN(12,UnarmedDieIncreases*2+6)</f>
        <v>1d6</v>
      </c>
      <c r="BH106" s="3" t="s">
        <v>633</v>
      </c>
      <c r="BO106" t="s">
        <v>1390</v>
      </c>
      <c r="BV106" s="456" t="s">
        <v>1890</v>
      </c>
      <c r="EN106" s="1323" t="s">
        <v>4287</v>
      </c>
      <c r="EO106" s="3" t="s">
        <v>3800</v>
      </c>
      <c r="EP106" s="3" t="s">
        <v>160</v>
      </c>
      <c r="EQ106" s="569" t="s">
        <v>200</v>
      </c>
      <c r="ER106" s="569" t="s">
        <v>4287</v>
      </c>
      <c r="ES106" s="19" t="s">
        <v>201</v>
      </c>
      <c r="EU106" s="19" t="s">
        <v>202</v>
      </c>
      <c r="EZ106" s="569" t="s">
        <v>8899</v>
      </c>
      <c r="FA106" s="3" t="s">
        <v>3718</v>
      </c>
      <c r="FB106" s="3" t="s">
        <v>118</v>
      </c>
      <c r="FC106" s="569" t="s">
        <v>314</v>
      </c>
      <c r="FD106" s="3">
        <v>2</v>
      </c>
      <c r="FE106" s="3">
        <v>6</v>
      </c>
      <c r="FG106" s="3">
        <v>2</v>
      </c>
      <c r="FH106" s="569">
        <v>6</v>
      </c>
      <c r="FL106" s="569">
        <v>1000</v>
      </c>
      <c r="FM106" s="569">
        <v>2</v>
      </c>
      <c r="FR106" s="569" t="s">
        <v>4305</v>
      </c>
      <c r="FS106" s="8" t="str">
        <f>FR106&amp;"s"</f>
        <v>wan-shens</v>
      </c>
      <c r="GC106" s="12" t="s">
        <v>4508</v>
      </c>
      <c r="GD106" s="569" t="s">
        <v>3800</v>
      </c>
      <c r="GF106" s="19">
        <v>1</v>
      </c>
      <c r="GG106" s="19" t="s">
        <v>209</v>
      </c>
      <c r="GH106" s="3" t="str">
        <f>GC106</f>
        <v>Jedi robes</v>
      </c>
      <c r="GI106" s="8" t="str">
        <f>GH106</f>
        <v>Jedi robes</v>
      </c>
      <c r="IC106" s="1540" t="str">
        <f t="shared" si="27"/>
        <v/>
      </c>
      <c r="ID106"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6" s="1540">
        <f t="shared" si="24"/>
        <v>104</v>
      </c>
      <c r="IF106" s="1540" t="e">
        <f t="shared" si="22"/>
        <v>#VALUE!</v>
      </c>
      <c r="IG106" s="1540" t="str">
        <f t="shared" si="23"/>
        <v/>
      </c>
    </row>
    <row r="107" spans="1:241">
      <c r="A107">
        <v>5</v>
      </c>
      <c r="B107">
        <v>2000</v>
      </c>
      <c r="C107">
        <v>8</v>
      </c>
      <c r="J107" s="1323" t="s">
        <v>7300</v>
      </c>
      <c r="K107" s="569" t="s">
        <v>7885</v>
      </c>
      <c r="L107" s="3" t="s">
        <v>7300</v>
      </c>
      <c r="O107" s="3">
        <v>2</v>
      </c>
      <c r="Q107" s="1006"/>
      <c r="R107" s="3">
        <v>-2</v>
      </c>
      <c r="S107" s="569" t="s">
        <v>273</v>
      </c>
      <c r="T107" s="3" t="s">
        <v>4363</v>
      </c>
      <c r="V107" s="569" t="s">
        <v>149</v>
      </c>
      <c r="W107" s="569">
        <v>7</v>
      </c>
      <c r="X107" s="569">
        <v>13</v>
      </c>
      <c r="Y107" s="569">
        <v>46</v>
      </c>
      <c r="Z107" s="569">
        <v>65</v>
      </c>
      <c r="AA107" s="569">
        <v>85</v>
      </c>
      <c r="AB107" s="569">
        <v>6</v>
      </c>
      <c r="AC107" s="569" t="s">
        <v>7315</v>
      </c>
      <c r="AD107" s="569" t="s">
        <v>5964</v>
      </c>
      <c r="AE107" s="3" t="s">
        <v>7316</v>
      </c>
      <c r="AO107" s="3">
        <v>1</v>
      </c>
      <c r="AP107" s="3">
        <v>1</v>
      </c>
      <c r="AQ107" s="3">
        <v>1</v>
      </c>
      <c r="BO107" t="s">
        <v>1243</v>
      </c>
      <c r="BV107" s="456" t="s">
        <v>1895</v>
      </c>
      <c r="EN107" s="1323" t="s">
        <v>2020</v>
      </c>
      <c r="EO107" s="3" t="s">
        <v>173</v>
      </c>
      <c r="EP107" s="3" t="s">
        <v>160</v>
      </c>
      <c r="EQ107" s="3" t="s">
        <v>200</v>
      </c>
      <c r="ER107" s="3" t="s">
        <v>2020</v>
      </c>
      <c r="ES107" s="19" t="s">
        <v>201</v>
      </c>
      <c r="EU107" s="19" t="s">
        <v>202</v>
      </c>
      <c r="EZ107" s="3" t="s">
        <v>357</v>
      </c>
      <c r="FA107" s="3" t="s">
        <v>3718</v>
      </c>
      <c r="FB107" s="3" t="s">
        <v>118</v>
      </c>
      <c r="FC107" s="3" t="s">
        <v>1861</v>
      </c>
      <c r="FD107" s="3">
        <v>2</v>
      </c>
      <c r="FE107" s="3">
        <v>6</v>
      </c>
      <c r="FG107" s="3">
        <v>2</v>
      </c>
      <c r="FH107" s="3">
        <v>6</v>
      </c>
      <c r="FL107" s="3">
        <v>165</v>
      </c>
      <c r="FM107" s="3">
        <v>2</v>
      </c>
      <c r="FQ107" s="3" t="str">
        <f>IF(EP107="R",IF(EQ107&lt;&gt;"EWP",ER107,"pistols"),"")</f>
        <v/>
      </c>
      <c r="FR107" s="3" t="s">
        <v>2021</v>
      </c>
      <c r="FS107" s="8" t="s">
        <v>2022</v>
      </c>
      <c r="GC107" s="12" t="s">
        <v>1469</v>
      </c>
      <c r="GD107" s="3" t="s">
        <v>155</v>
      </c>
      <c r="GE107" s="19">
        <v>300</v>
      </c>
      <c r="GF107" s="19">
        <v>30</v>
      </c>
      <c r="GG107" s="19" t="s">
        <v>274</v>
      </c>
      <c r="GH107" s="3" t="s">
        <v>856</v>
      </c>
      <c r="GI107" s="8" t="s">
        <v>1470</v>
      </c>
      <c r="IC107" s="1540" t="str">
        <f t="shared" si="27"/>
        <v/>
      </c>
      <c r="ID107"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7" s="1540">
        <f t="shared" si="24"/>
        <v>105</v>
      </c>
      <c r="IF107" s="1540" t="e">
        <f t="shared" si="22"/>
        <v>#VALUE!</v>
      </c>
      <c r="IG107" s="1540" t="str">
        <f t="shared" si="23"/>
        <v/>
      </c>
    </row>
    <row r="108" spans="1:241">
      <c r="J108" s="1323" t="s">
        <v>7301</v>
      </c>
      <c r="K108" s="569" t="s">
        <v>7885</v>
      </c>
      <c r="L108" s="3" t="s">
        <v>7301</v>
      </c>
      <c r="M108" s="3">
        <v>4</v>
      </c>
      <c r="N108" s="3">
        <v>-2</v>
      </c>
      <c r="R108" s="569">
        <v>-2</v>
      </c>
      <c r="S108" s="569" t="s">
        <v>7320</v>
      </c>
      <c r="V108" s="569" t="s">
        <v>149</v>
      </c>
      <c r="W108" s="569">
        <v>10</v>
      </c>
      <c r="X108" s="569">
        <v>15</v>
      </c>
      <c r="Y108" s="569">
        <v>50</v>
      </c>
      <c r="Z108" s="569">
        <v>75</v>
      </c>
      <c r="AA108" s="569">
        <v>90</v>
      </c>
      <c r="AB108" s="569">
        <v>6</v>
      </c>
      <c r="AC108" s="569" t="s">
        <v>7321</v>
      </c>
      <c r="AD108" s="569" t="s">
        <v>2225</v>
      </c>
      <c r="AN108" s="3">
        <v>1</v>
      </c>
      <c r="BO108" t="s">
        <v>7964</v>
      </c>
      <c r="BP108" s="1552"/>
      <c r="BQ108" s="1552"/>
      <c r="BV108" s="456" t="s">
        <v>8027</v>
      </c>
      <c r="EN108" s="1331" t="s">
        <v>6534</v>
      </c>
      <c r="GC108" s="12" t="s">
        <v>1477</v>
      </c>
      <c r="GD108" s="3" t="s">
        <v>272</v>
      </c>
      <c r="GE108" s="19">
        <v>3750</v>
      </c>
      <c r="GF108" s="19">
        <v>30</v>
      </c>
      <c r="GG108" s="19" t="s">
        <v>274</v>
      </c>
      <c r="GH108" s="3" t="s">
        <v>1478</v>
      </c>
      <c r="GI108" s="8" t="s">
        <v>1479</v>
      </c>
      <c r="IC108" s="1540" t="str">
        <f t="shared" si="27"/>
        <v/>
      </c>
      <c r="ID108"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8" s="1540">
        <f t="shared" si="24"/>
        <v>106</v>
      </c>
      <c r="IF108" s="1540" t="e">
        <f t="shared" si="22"/>
        <v>#VALUE!</v>
      </c>
      <c r="IG108" s="1540" t="str">
        <f t="shared" si="23"/>
        <v/>
      </c>
    </row>
    <row r="109" spans="1:241">
      <c r="A109" s="1060" t="s">
        <v>6078</v>
      </c>
      <c r="J109" s="1323" t="s">
        <v>8832</v>
      </c>
      <c r="K109" s="569" t="s">
        <v>7946</v>
      </c>
      <c r="L109" s="569" t="s">
        <v>8832</v>
      </c>
      <c r="M109" s="3">
        <v>2</v>
      </c>
      <c r="N109" s="3">
        <v>-2</v>
      </c>
      <c r="Q109" s="3">
        <v>-2</v>
      </c>
      <c r="R109" s="569">
        <v>2</v>
      </c>
      <c r="S109" s="569" t="s">
        <v>8831</v>
      </c>
      <c r="V109" s="569" t="s">
        <v>201</v>
      </c>
      <c r="W109" s="569"/>
      <c r="X109" s="569"/>
      <c r="Y109" s="569"/>
      <c r="Z109" s="569"/>
      <c r="AA109" s="569"/>
      <c r="AB109" s="569">
        <v>6</v>
      </c>
      <c r="AC109" s="569"/>
      <c r="AD109" s="569"/>
      <c r="AZ109" s="3" t="s">
        <v>2437</v>
      </c>
      <c r="BA109" s="3" t="s">
        <v>2443</v>
      </c>
      <c r="BO109" t="s">
        <v>1257</v>
      </c>
      <c r="BV109" s="456" t="s">
        <v>1904</v>
      </c>
      <c r="EN109" s="1331" t="s">
        <v>6535</v>
      </c>
      <c r="GC109" s="12" t="s">
        <v>1488</v>
      </c>
      <c r="GD109" s="3" t="s">
        <v>248</v>
      </c>
      <c r="GE109" s="19">
        <v>4250</v>
      </c>
      <c r="GF109" s="19">
        <v>15</v>
      </c>
      <c r="GG109" s="19" t="s">
        <v>170</v>
      </c>
      <c r="GH109" s="3" t="s">
        <v>1489</v>
      </c>
      <c r="GI109" s="8" t="s">
        <v>1490</v>
      </c>
      <c r="IC109" s="1540" t="str">
        <f t="shared" si="27"/>
        <v/>
      </c>
      <c r="ID109"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09" s="1540">
        <f t="shared" si="24"/>
        <v>107</v>
      </c>
      <c r="IF109" s="1540" t="e">
        <f t="shared" si="22"/>
        <v>#VALUE!</v>
      </c>
      <c r="IG109" s="1540" t="str">
        <f t="shared" si="23"/>
        <v/>
      </c>
    </row>
    <row r="110" spans="1:241">
      <c r="A110" s="1060" t="s">
        <v>6079</v>
      </c>
      <c r="J110" s="1323" t="s">
        <v>2043</v>
      </c>
      <c r="K110" s="3" t="s">
        <v>230</v>
      </c>
      <c r="L110" s="3" t="s">
        <v>2043</v>
      </c>
      <c r="M110" s="4">
        <v>4</v>
      </c>
      <c r="N110" s="4"/>
      <c r="O110" s="4"/>
      <c r="P110" s="4">
        <v>-2</v>
      </c>
      <c r="Q110" s="4">
        <v>-2</v>
      </c>
      <c r="R110" s="4"/>
      <c r="S110" s="3" t="s">
        <v>273</v>
      </c>
      <c r="T110" s="3" t="s">
        <v>2043</v>
      </c>
      <c r="V110" s="3" t="s">
        <v>201</v>
      </c>
      <c r="W110" s="3">
        <v>10</v>
      </c>
      <c r="X110" s="3">
        <v>15</v>
      </c>
      <c r="Y110" s="3">
        <v>45</v>
      </c>
      <c r="Z110" s="3">
        <v>65</v>
      </c>
      <c r="AA110" s="3">
        <v>80</v>
      </c>
      <c r="AB110" s="3">
        <v>6</v>
      </c>
      <c r="AC110" s="3" t="s">
        <v>953</v>
      </c>
      <c r="AD110" s="3" t="s">
        <v>2029</v>
      </c>
      <c r="AO110" s="3">
        <v>1</v>
      </c>
      <c r="BO110" t="s">
        <v>4030</v>
      </c>
      <c r="BV110" s="456" t="s">
        <v>8006</v>
      </c>
      <c r="EN110" s="1323" t="s">
        <v>650</v>
      </c>
      <c r="EO110" s="3" t="s">
        <v>155</v>
      </c>
      <c r="EP110" s="3" t="s">
        <v>204</v>
      </c>
      <c r="EQ110" s="3" t="s">
        <v>460</v>
      </c>
      <c r="ER110" s="3" t="s">
        <v>651</v>
      </c>
      <c r="ES110" s="19" t="s">
        <v>201</v>
      </c>
      <c r="EX110" s="19" t="s">
        <v>3717</v>
      </c>
      <c r="EZ110" s="3" t="s">
        <v>497</v>
      </c>
      <c r="FA110" s="3" t="s">
        <v>160</v>
      </c>
      <c r="FC110" s="3" t="s">
        <v>652</v>
      </c>
      <c r="FD110" s="3">
        <v>3</v>
      </c>
      <c r="FE110" s="3">
        <v>12</v>
      </c>
      <c r="FJ110" s="3" t="s">
        <v>499</v>
      </c>
      <c r="FL110" s="3">
        <v>3000</v>
      </c>
      <c r="FM110" s="3">
        <v>18</v>
      </c>
      <c r="FN110" s="3" t="s">
        <v>424</v>
      </c>
      <c r="FO110" s="3">
        <v>10</v>
      </c>
      <c r="FQ110" s="3" t="str">
        <f>IF(EP110="R",IF(EQ110&lt;&gt;"EWP",ER110,"pistols"),"")</f>
        <v>heavy</v>
      </c>
      <c r="FR110" s="3" t="s">
        <v>653</v>
      </c>
      <c r="FS110" s="8" t="s">
        <v>654</v>
      </c>
      <c r="GC110" s="1323" t="s">
        <v>8929</v>
      </c>
      <c r="GD110" s="569" t="s">
        <v>771</v>
      </c>
      <c r="GE110" s="19">
        <v>5000</v>
      </c>
      <c r="GF110" s="19">
        <v>40</v>
      </c>
      <c r="GG110" s="19" t="s">
        <v>274</v>
      </c>
      <c r="GH110" t="s">
        <v>8928</v>
      </c>
      <c r="GI110" t="s">
        <v>8928</v>
      </c>
      <c r="IC110" s="1540" t="str">
        <f t="shared" si="27"/>
        <v/>
      </c>
      <c r="ID110"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0" s="1540">
        <f t="shared" si="24"/>
        <v>108</v>
      </c>
      <c r="IF110" s="1540" t="e">
        <f t="shared" si="22"/>
        <v>#VALUE!</v>
      </c>
      <c r="IG110" s="1540" t="str">
        <f t="shared" si="23"/>
        <v/>
      </c>
    </row>
    <row r="111" spans="1:241">
      <c r="A111" s="1060" t="s">
        <v>6080</v>
      </c>
      <c r="J111" s="1323" t="s">
        <v>2044</v>
      </c>
      <c r="K111" s="3" t="s">
        <v>230</v>
      </c>
      <c r="L111" s="3" t="s">
        <v>2044</v>
      </c>
      <c r="M111" s="4"/>
      <c r="N111" s="4">
        <v>2</v>
      </c>
      <c r="O111" s="4">
        <v>-2</v>
      </c>
      <c r="P111" s="4"/>
      <c r="Q111" s="4"/>
      <c r="R111" s="4"/>
      <c r="S111" s="3" t="s">
        <v>273</v>
      </c>
      <c r="T111" s="3" t="s">
        <v>2045</v>
      </c>
      <c r="V111" s="3" t="s">
        <v>149</v>
      </c>
      <c r="W111" s="3">
        <v>12</v>
      </c>
      <c r="X111" s="3">
        <v>18</v>
      </c>
      <c r="Y111" s="3">
        <v>55</v>
      </c>
      <c r="Z111" s="3">
        <v>75</v>
      </c>
      <c r="AA111" s="3">
        <v>95</v>
      </c>
      <c r="AB111" s="3">
        <v>6</v>
      </c>
      <c r="AC111" s="3" t="s">
        <v>1949</v>
      </c>
      <c r="AD111" s="3" t="s">
        <v>1343</v>
      </c>
      <c r="AE111" s="3" t="s">
        <v>2046</v>
      </c>
      <c r="BO111" t="s">
        <v>7981</v>
      </c>
      <c r="BV111" s="456" t="s">
        <v>7998</v>
      </c>
      <c r="EN111" s="1323" t="s">
        <v>7012</v>
      </c>
      <c r="EO111" s="3" t="s">
        <v>6758</v>
      </c>
      <c r="EP111" s="3" t="s">
        <v>204</v>
      </c>
      <c r="EQ111" s="3" t="s">
        <v>460</v>
      </c>
      <c r="ER111" s="3" t="s">
        <v>651</v>
      </c>
      <c r="ES111" s="19" t="s">
        <v>201</v>
      </c>
      <c r="EY111" s="19" t="s">
        <v>13</v>
      </c>
      <c r="EZ111" s="3" t="s">
        <v>497</v>
      </c>
      <c r="FA111" s="3" t="s">
        <v>160</v>
      </c>
      <c r="FC111" s="3" t="s">
        <v>7013</v>
      </c>
      <c r="FD111" s="3">
        <v>3</v>
      </c>
      <c r="FE111" s="3">
        <v>10</v>
      </c>
      <c r="FL111" s="3">
        <v>5500</v>
      </c>
      <c r="FM111" s="3">
        <v>16</v>
      </c>
      <c r="FN111" s="3">
        <v>20</v>
      </c>
      <c r="FR111" s="3" t="s">
        <v>7014</v>
      </c>
      <c r="FS111" s="8" t="s">
        <v>7015</v>
      </c>
      <c r="GC111" s="12" t="s">
        <v>1495</v>
      </c>
      <c r="GD111" s="3" t="s">
        <v>248</v>
      </c>
      <c r="GE111" s="19">
        <v>800</v>
      </c>
      <c r="GF111" s="19">
        <v>15</v>
      </c>
      <c r="GG111" s="19" t="s">
        <v>170</v>
      </c>
      <c r="GH111" s="3" t="s">
        <v>910</v>
      </c>
      <c r="GI111" s="8" t="s">
        <v>1496</v>
      </c>
      <c r="IC111" s="1540" t="str">
        <f t="shared" si="27"/>
        <v/>
      </c>
      <c r="ID111"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1" s="1540">
        <f t="shared" si="24"/>
        <v>109</v>
      </c>
      <c r="IF111" s="1540" t="e">
        <f t="shared" si="22"/>
        <v>#VALUE!</v>
      </c>
      <c r="IG111" s="1540" t="str">
        <f t="shared" si="23"/>
        <v/>
      </c>
    </row>
    <row r="112" spans="1:241">
      <c r="J112" s="1323" t="s">
        <v>2048</v>
      </c>
      <c r="K112" s="3" t="s">
        <v>377</v>
      </c>
      <c r="L112" s="3" t="s">
        <v>2048</v>
      </c>
      <c r="M112" s="4">
        <v>-2</v>
      </c>
      <c r="N112" s="4"/>
      <c r="O112" s="4"/>
      <c r="P112" s="4"/>
      <c r="Q112" s="4">
        <v>2</v>
      </c>
      <c r="R112" s="4"/>
      <c r="S112" s="3" t="s">
        <v>2048</v>
      </c>
      <c r="T112" s="3" t="s">
        <v>1538</v>
      </c>
      <c r="V112" s="3" t="s">
        <v>274</v>
      </c>
      <c r="W112" s="3">
        <v>7</v>
      </c>
      <c r="X112" s="3">
        <v>15</v>
      </c>
      <c r="Y112" s="3">
        <v>61</v>
      </c>
      <c r="Z112" s="3">
        <v>75</v>
      </c>
      <c r="AA112" s="3">
        <v>91</v>
      </c>
      <c r="AB112" s="3">
        <v>4</v>
      </c>
      <c r="AC112" s="3" t="s">
        <v>1152</v>
      </c>
      <c r="AD112" s="3" t="s">
        <v>1471</v>
      </c>
      <c r="AH112" s="3" t="s">
        <v>268</v>
      </c>
      <c r="BO112" t="s">
        <v>1802</v>
      </c>
      <c r="BV112" s="456" t="s">
        <v>1916</v>
      </c>
      <c r="EN112" s="1323" t="s">
        <v>1002</v>
      </c>
      <c r="EO112" s="3" t="s">
        <v>155</v>
      </c>
      <c r="EP112" s="3" t="s">
        <v>204</v>
      </c>
      <c r="EQ112" s="3" t="s">
        <v>460</v>
      </c>
      <c r="ER112" s="3" t="s">
        <v>651</v>
      </c>
      <c r="ES112" s="19" t="s">
        <v>1003</v>
      </c>
      <c r="EY112" s="19" t="s">
        <v>13</v>
      </c>
      <c r="EZ112" s="3" t="s">
        <v>497</v>
      </c>
      <c r="FA112" s="3" t="s">
        <v>160</v>
      </c>
      <c r="FC112" s="3" t="s">
        <v>1004</v>
      </c>
      <c r="FD112" s="3">
        <v>3</v>
      </c>
      <c r="FE112" s="3">
        <v>12</v>
      </c>
      <c r="FL112" s="3">
        <v>8000</v>
      </c>
      <c r="FM112" s="3">
        <v>38</v>
      </c>
      <c r="FN112" s="3" t="s">
        <v>655</v>
      </c>
      <c r="FO112" s="3">
        <v>1</v>
      </c>
      <c r="FQ112" s="3" t="str">
        <f>IF(EP112="R",IF(EQ112&lt;&gt;"EWP",ER112,"pistols"),"")</f>
        <v>heavy</v>
      </c>
      <c r="FR112" s="3" t="s">
        <v>1005</v>
      </c>
      <c r="FS112" s="8" t="s">
        <v>1006</v>
      </c>
      <c r="GC112" s="12" t="s">
        <v>7523</v>
      </c>
      <c r="GD112" s="569" t="s">
        <v>155</v>
      </c>
      <c r="GE112" s="19">
        <v>200</v>
      </c>
      <c r="GF112" s="19">
        <v>0</v>
      </c>
      <c r="GG112" s="19" t="s">
        <v>249</v>
      </c>
      <c r="GH112" s="569" t="s">
        <v>7523</v>
      </c>
      <c r="GI112" s="8" t="s">
        <v>7524</v>
      </c>
      <c r="IC112" s="1540" t="str">
        <f t="shared" si="27"/>
        <v/>
      </c>
      <c r="ID112"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2" s="1540">
        <f t="shared" si="24"/>
        <v>110</v>
      </c>
      <c r="IF112" s="1540" t="e">
        <f t="shared" si="22"/>
        <v>#VALUE!</v>
      </c>
      <c r="IG112" s="1540" t="str">
        <f t="shared" si="23"/>
        <v/>
      </c>
    </row>
    <row r="113" spans="1:241">
      <c r="A113" s="1092" t="s">
        <v>6136</v>
      </c>
      <c r="J113" s="1323" t="s">
        <v>2049</v>
      </c>
      <c r="K113" s="3" t="s">
        <v>7942</v>
      </c>
      <c r="L113" s="3" t="s">
        <v>2049</v>
      </c>
      <c r="M113" s="4">
        <v>2</v>
      </c>
      <c r="N113" s="4">
        <v>-2</v>
      </c>
      <c r="O113" s="4"/>
      <c r="P113" s="4"/>
      <c r="Q113" s="4"/>
      <c r="R113" s="4"/>
      <c r="S113" s="3" t="s">
        <v>273</v>
      </c>
      <c r="T113" s="3" t="s">
        <v>2050</v>
      </c>
      <c r="V113" s="3" t="s">
        <v>149</v>
      </c>
      <c r="W113" s="3">
        <v>12</v>
      </c>
      <c r="X113" s="3">
        <v>15</v>
      </c>
      <c r="Y113" s="3">
        <v>35</v>
      </c>
      <c r="Z113" s="3">
        <v>50</v>
      </c>
      <c r="AA113" s="3">
        <v>60</v>
      </c>
      <c r="AB113" s="3">
        <v>6</v>
      </c>
      <c r="AC113" s="3" t="s">
        <v>517</v>
      </c>
      <c r="AD113" s="3" t="s">
        <v>150</v>
      </c>
      <c r="AN113" s="3">
        <v>1</v>
      </c>
      <c r="AP113" s="3">
        <f>IF(Feats!M409&gt;0,2,0)</f>
        <v>0</v>
      </c>
      <c r="AW113" s="3" t="s">
        <v>449</v>
      </c>
      <c r="BO113" t="s">
        <v>1931</v>
      </c>
      <c r="BP113" s="1552" t="s">
        <v>795</v>
      </c>
      <c r="BQ113" s="1552" t="s">
        <v>5810</v>
      </c>
      <c r="BV113" s="456" t="s">
        <v>1932</v>
      </c>
      <c r="EN113" s="1323" t="s">
        <v>1023</v>
      </c>
      <c r="EO113" s="3" t="s">
        <v>155</v>
      </c>
      <c r="EP113" s="3" t="s">
        <v>204</v>
      </c>
      <c r="EQ113" s="3" t="s">
        <v>460</v>
      </c>
      <c r="ER113" s="3" t="s">
        <v>651</v>
      </c>
      <c r="ES113" s="19" t="s">
        <v>201</v>
      </c>
      <c r="EY113" s="19" t="s">
        <v>13</v>
      </c>
      <c r="EZ113" s="3" t="s">
        <v>497</v>
      </c>
      <c r="FA113" s="3" t="s">
        <v>160</v>
      </c>
      <c r="FC113" s="3" t="s">
        <v>1024</v>
      </c>
      <c r="FD113" s="3">
        <v>3</v>
      </c>
      <c r="FE113" s="3">
        <v>10</v>
      </c>
      <c r="FL113" s="3">
        <v>4000</v>
      </c>
      <c r="FM113" s="3">
        <v>12</v>
      </c>
      <c r="FN113" s="3" t="s">
        <v>424</v>
      </c>
      <c r="FO113" s="3">
        <v>20</v>
      </c>
      <c r="FQ113" s="3" t="str">
        <f>IF(EP113="R",IF(EQ113&lt;&gt;"EWP",ER113,"pistols"),"")</f>
        <v>heavy</v>
      </c>
      <c r="FR113" s="3" t="s">
        <v>1025</v>
      </c>
      <c r="FS113" s="8" t="s">
        <v>1026</v>
      </c>
      <c r="GC113" s="12" t="s">
        <v>1498</v>
      </c>
      <c r="GD113" s="3" t="s">
        <v>248</v>
      </c>
      <c r="GE113" s="19">
        <v>1500</v>
      </c>
      <c r="GF113" s="19">
        <v>1</v>
      </c>
      <c r="GG113" s="19" t="s">
        <v>209</v>
      </c>
      <c r="GH113" s="3" t="s">
        <v>1499</v>
      </c>
      <c r="GI113" s="8" t="s">
        <v>1500</v>
      </c>
      <c r="IC113" s="1540" t="str">
        <f t="shared" si="27"/>
        <v/>
      </c>
      <c r="ID113"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3" s="1540">
        <f t="shared" si="24"/>
        <v>111</v>
      </c>
      <c r="IF113" s="1540" t="e">
        <f t="shared" si="22"/>
        <v>#VALUE!</v>
      </c>
      <c r="IG113" s="1540" t="str">
        <f t="shared" si="23"/>
        <v/>
      </c>
    </row>
    <row r="114" spans="1:241">
      <c r="A114">
        <v>-1</v>
      </c>
      <c r="B114" s="1092" t="s">
        <v>6137</v>
      </c>
      <c r="C114" s="1092" t="s">
        <v>6137</v>
      </c>
      <c r="J114" s="1323" t="s">
        <v>7302</v>
      </c>
      <c r="K114" s="569" t="s">
        <v>7885</v>
      </c>
      <c r="L114" s="3" t="s">
        <v>7302</v>
      </c>
      <c r="Q114" s="3">
        <v>2</v>
      </c>
      <c r="S114" s="569" t="s">
        <v>7302</v>
      </c>
      <c r="V114" s="569" t="s">
        <v>149</v>
      </c>
      <c r="W114" s="569">
        <v>12</v>
      </c>
      <c r="X114" s="569">
        <v>18</v>
      </c>
      <c r="Y114" s="569">
        <v>45</v>
      </c>
      <c r="Z114" s="569">
        <v>65</v>
      </c>
      <c r="AA114" s="569">
        <v>85</v>
      </c>
      <c r="AB114" s="569">
        <v>6</v>
      </c>
      <c r="AC114" s="569" t="s">
        <v>7323</v>
      </c>
      <c r="AD114" s="569" t="s">
        <v>1370</v>
      </c>
      <c r="BF114" s="3" t="s">
        <v>631</v>
      </c>
      <c r="BG114" s="3" t="str">
        <f ca="1">"1d"&amp;MIN(12,UnarmedDieIncreases*2+6)</f>
        <v>1d6</v>
      </c>
      <c r="BH114" s="3" t="s">
        <v>633</v>
      </c>
      <c r="BO114" t="s">
        <v>1935</v>
      </c>
      <c r="BV114" s="456" t="s">
        <v>1936</v>
      </c>
      <c r="EN114" s="1323" t="s">
        <v>1164</v>
      </c>
      <c r="EO114" s="3" t="s">
        <v>173</v>
      </c>
      <c r="EP114" s="3" t="s">
        <v>204</v>
      </c>
      <c r="EQ114" s="3" t="s">
        <v>460</v>
      </c>
      <c r="ER114" s="3" t="s">
        <v>651</v>
      </c>
      <c r="ES114" s="19" t="s">
        <v>201</v>
      </c>
      <c r="EV114" s="19" t="s">
        <v>1165</v>
      </c>
      <c r="EX114" s="19" t="s">
        <v>3717</v>
      </c>
      <c r="EZ114" s="3" t="s">
        <v>497</v>
      </c>
      <c r="FA114" s="3" t="s">
        <v>321</v>
      </c>
      <c r="FC114" s="3" t="s">
        <v>1166</v>
      </c>
      <c r="FD114" s="3">
        <v>3</v>
      </c>
      <c r="FE114" s="3">
        <v>10</v>
      </c>
      <c r="FL114" s="3">
        <v>1200</v>
      </c>
      <c r="FM114" s="3">
        <v>6</v>
      </c>
      <c r="FN114" s="3" t="s">
        <v>1167</v>
      </c>
      <c r="FO114" s="3">
        <v>20</v>
      </c>
      <c r="FQ114" s="3" t="str">
        <f>IF(EP114="R",IF(EQ114&lt;&gt;"EWP",ER114,"pistols"),"")</f>
        <v>heavy</v>
      </c>
      <c r="FR114" s="3" t="s">
        <v>1168</v>
      </c>
      <c r="FS114" s="8" t="s">
        <v>1169</v>
      </c>
      <c r="GC114" s="12" t="s">
        <v>1507</v>
      </c>
      <c r="GD114" s="3" t="s">
        <v>155</v>
      </c>
      <c r="GE114" s="19">
        <v>10</v>
      </c>
      <c r="GF114" s="19">
        <v>0.2</v>
      </c>
      <c r="GG114" s="19" t="s">
        <v>249</v>
      </c>
      <c r="GH114" s="3" t="s">
        <v>1508</v>
      </c>
      <c r="GI114" s="8" t="s">
        <v>1509</v>
      </c>
      <c r="IC114" s="1540" t="str">
        <f t="shared" si="27"/>
        <v/>
      </c>
      <c r="ID114"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4" s="1540">
        <f t="shared" si="24"/>
        <v>112</v>
      </c>
      <c r="IF114" s="1540" t="e">
        <f t="shared" si="22"/>
        <v>#VALUE!</v>
      </c>
      <c r="IG114" s="1540" t="str">
        <f t="shared" si="23"/>
        <v/>
      </c>
    </row>
    <row r="115" spans="1:241">
      <c r="A115">
        <v>0</v>
      </c>
      <c r="B115" s="1092" t="s">
        <v>6137</v>
      </c>
      <c r="C115" s="1092" t="s">
        <v>6137</v>
      </c>
      <c r="J115" s="1323" t="s">
        <v>2053</v>
      </c>
      <c r="K115" s="3" t="s">
        <v>445</v>
      </c>
      <c r="L115" s="3" t="s">
        <v>2053</v>
      </c>
      <c r="M115" s="4"/>
      <c r="N115" s="4"/>
      <c r="O115" s="4">
        <v>2</v>
      </c>
      <c r="P115" s="4">
        <v>-2</v>
      </c>
      <c r="Q115" s="4">
        <v>-2</v>
      </c>
      <c r="R115" s="4"/>
      <c r="S115" s="3" t="s">
        <v>2054</v>
      </c>
      <c r="V115" s="3" t="s">
        <v>149</v>
      </c>
      <c r="W115" s="3">
        <v>9</v>
      </c>
      <c r="X115" s="3">
        <v>14</v>
      </c>
      <c r="Y115" s="3">
        <v>45</v>
      </c>
      <c r="Z115" s="3">
        <v>61</v>
      </c>
      <c r="AA115" s="3">
        <v>75</v>
      </c>
      <c r="AB115" s="3">
        <v>6</v>
      </c>
      <c r="AC115" s="3" t="s">
        <v>989</v>
      </c>
      <c r="AD115" s="3" t="s">
        <v>1343</v>
      </c>
      <c r="BO115" t="s">
        <v>838</v>
      </c>
      <c r="BV115" s="456" t="s">
        <v>1940</v>
      </c>
      <c r="EN115" s="1323" t="s">
        <v>1364</v>
      </c>
      <c r="EO115" s="3" t="s">
        <v>169</v>
      </c>
      <c r="EP115" s="3" t="s">
        <v>204</v>
      </c>
      <c r="EQ115" s="3" t="s">
        <v>460</v>
      </c>
      <c r="ER115" s="3" t="s">
        <v>651</v>
      </c>
      <c r="ES115" s="19" t="s">
        <v>149</v>
      </c>
      <c r="EV115" s="19" t="s">
        <v>1365</v>
      </c>
      <c r="EX115" s="19" t="s">
        <v>3717</v>
      </c>
      <c r="FA115" s="3" t="s">
        <v>204</v>
      </c>
      <c r="FL115" s="3">
        <v>2000</v>
      </c>
      <c r="FM115" s="3">
        <v>5</v>
      </c>
      <c r="FQ115" s="3" t="str">
        <f>IF(EP115="R",IF(EQ115&lt;&gt;"EWP",ER115,"pistols"),"")</f>
        <v>heavy</v>
      </c>
      <c r="FR115" s="3" t="s">
        <v>1366</v>
      </c>
      <c r="FS115" s="8" t="s">
        <v>1367</v>
      </c>
      <c r="GC115" s="12" t="s">
        <v>1513</v>
      </c>
      <c r="GD115" s="3" t="s">
        <v>169</v>
      </c>
      <c r="GE115" s="19">
        <v>8000</v>
      </c>
      <c r="GF115" s="19">
        <v>4</v>
      </c>
      <c r="GG115" s="19" t="s">
        <v>170</v>
      </c>
      <c r="GH115" s="3" t="s">
        <v>1514</v>
      </c>
      <c r="GI115" s="8" t="s">
        <v>1515</v>
      </c>
      <c r="IC115" s="1540" t="str">
        <f t="shared" si="27"/>
        <v/>
      </c>
      <c r="ID115"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5" s="1540">
        <f t="shared" si="24"/>
        <v>113</v>
      </c>
      <c r="IF115" s="1540" t="e">
        <f t="shared" si="22"/>
        <v>#VALUE!</v>
      </c>
      <c r="IG115" s="1540" t="str">
        <f t="shared" si="23"/>
        <v/>
      </c>
    </row>
    <row r="116" spans="1:241">
      <c r="A116">
        <v>1</v>
      </c>
      <c r="B116" s="1109">
        <f ca="1">Stealth-5</f>
        <v>-5</v>
      </c>
      <c r="C116" s="1109">
        <f t="shared" ref="C116:C121" ca="1" si="29">B116+5</f>
        <v>0</v>
      </c>
      <c r="J116" s="1323" t="s">
        <v>2055</v>
      </c>
      <c r="K116" s="3" t="s">
        <v>7942</v>
      </c>
      <c r="L116" s="3" t="s">
        <v>2055</v>
      </c>
      <c r="M116" s="4"/>
      <c r="N116" s="4"/>
      <c r="O116" s="4"/>
      <c r="P116" s="4"/>
      <c r="Q116" s="4">
        <v>-2</v>
      </c>
      <c r="R116" s="4">
        <v>2</v>
      </c>
      <c r="S116" s="3" t="s">
        <v>273</v>
      </c>
      <c r="T116" s="3" t="s">
        <v>2056</v>
      </c>
      <c r="U116" s="3" t="s">
        <v>2057</v>
      </c>
      <c r="V116" s="3" t="s">
        <v>149</v>
      </c>
      <c r="W116" s="3">
        <v>13</v>
      </c>
      <c r="X116" s="3">
        <v>16</v>
      </c>
      <c r="Y116" s="3">
        <v>45</v>
      </c>
      <c r="Z116" s="3">
        <v>60</v>
      </c>
      <c r="AA116" s="3">
        <v>80</v>
      </c>
      <c r="AB116" s="3">
        <v>6</v>
      </c>
      <c r="AC116" s="3" t="s">
        <v>1101</v>
      </c>
      <c r="AD116" s="3" t="s">
        <v>953</v>
      </c>
      <c r="AP116" s="3">
        <v>2</v>
      </c>
      <c r="BO116" t="s">
        <v>1949</v>
      </c>
      <c r="BV116" s="456" t="s">
        <v>1950</v>
      </c>
      <c r="EN116" s="1323" t="s">
        <v>7032</v>
      </c>
      <c r="EO116" s="3" t="s">
        <v>6758</v>
      </c>
      <c r="EP116" s="3" t="s">
        <v>204</v>
      </c>
      <c r="EQ116" s="3" t="s">
        <v>460</v>
      </c>
      <c r="ER116" s="3" t="s">
        <v>651</v>
      </c>
      <c r="ES116" s="19" t="s">
        <v>201</v>
      </c>
      <c r="EX116" s="19" t="s">
        <v>3717</v>
      </c>
      <c r="EZ116" s="3" t="s">
        <v>1416</v>
      </c>
      <c r="FA116" s="3" t="s">
        <v>160</v>
      </c>
      <c r="FC116" s="3" t="s">
        <v>7033</v>
      </c>
      <c r="FD116" s="3">
        <v>5</v>
      </c>
      <c r="FE116" s="3">
        <v>6</v>
      </c>
      <c r="FL116" s="3">
        <v>3000</v>
      </c>
      <c r="FM116" s="3">
        <v>15</v>
      </c>
      <c r="FN116" s="3">
        <v>20</v>
      </c>
      <c r="FR116" s="3" t="s">
        <v>7034</v>
      </c>
      <c r="FS116" s="8" t="s">
        <v>7035</v>
      </c>
      <c r="GC116" s="12" t="s">
        <v>1525</v>
      </c>
      <c r="GD116" s="3" t="s">
        <v>169</v>
      </c>
      <c r="GE116" s="19">
        <v>8000</v>
      </c>
      <c r="GF116" s="19">
        <v>19</v>
      </c>
      <c r="GG116" s="19" t="s">
        <v>274</v>
      </c>
      <c r="GH116" s="3" t="s">
        <v>1526</v>
      </c>
      <c r="GI116" s="8" t="s">
        <v>1527</v>
      </c>
      <c r="IC116" s="1540" t="str">
        <f t="shared" si="27"/>
        <v/>
      </c>
      <c r="ID116"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6" s="1540">
        <f t="shared" si="24"/>
        <v>114</v>
      </c>
      <c r="IF116" s="1540" t="e">
        <f t="shared" si="22"/>
        <v>#VALUE!</v>
      </c>
      <c r="IG116" s="1540" t="str">
        <f t="shared" si="23"/>
        <v/>
      </c>
    </row>
    <row r="117" spans="1:241">
      <c r="A117">
        <v>2</v>
      </c>
      <c r="B117" s="1109">
        <f ca="1">Stealth</f>
        <v>0</v>
      </c>
      <c r="C117" s="1109">
        <f t="shared" ca="1" si="29"/>
        <v>5</v>
      </c>
      <c r="J117" s="1323" t="s">
        <v>2059</v>
      </c>
      <c r="K117" s="3" t="s">
        <v>377</v>
      </c>
      <c r="L117" s="3" t="s">
        <v>2059</v>
      </c>
      <c r="M117" s="4"/>
      <c r="N117" s="4">
        <v>2</v>
      </c>
      <c r="O117" s="4">
        <v>-2</v>
      </c>
      <c r="P117" s="4"/>
      <c r="Q117" s="4"/>
      <c r="R117" s="4"/>
      <c r="S117" s="3" t="s">
        <v>273</v>
      </c>
      <c r="T117" s="3" t="s">
        <v>2059</v>
      </c>
      <c r="U117" s="3" t="s">
        <v>2060</v>
      </c>
      <c r="V117" s="3" t="s">
        <v>149</v>
      </c>
      <c r="W117" s="3">
        <v>12</v>
      </c>
      <c r="X117" s="3">
        <v>16</v>
      </c>
      <c r="Y117" s="3">
        <v>41</v>
      </c>
      <c r="Z117" s="3">
        <v>61</v>
      </c>
      <c r="AA117" s="3">
        <v>71</v>
      </c>
      <c r="AB117" s="3">
        <v>6</v>
      </c>
      <c r="AC117" s="3" t="s">
        <v>2061</v>
      </c>
      <c r="AD117" s="3" t="s">
        <v>989</v>
      </c>
      <c r="AE117" s="3" t="s">
        <v>2062</v>
      </c>
      <c r="AH117" s="3" t="s">
        <v>190</v>
      </c>
      <c r="BO117" t="s">
        <v>8038</v>
      </c>
      <c r="BV117" s="456" t="s">
        <v>8048</v>
      </c>
      <c r="EN117" s="1323" t="s">
        <v>1459</v>
      </c>
      <c r="EO117" s="3" t="s">
        <v>155</v>
      </c>
      <c r="EP117" s="3" t="s">
        <v>204</v>
      </c>
      <c r="EQ117" s="3" t="s">
        <v>460</v>
      </c>
      <c r="ER117" s="3" t="s">
        <v>651</v>
      </c>
      <c r="ES117" s="19" t="s">
        <v>149</v>
      </c>
      <c r="EZ117" s="3" t="s">
        <v>357</v>
      </c>
      <c r="FA117" s="3" t="s">
        <v>160</v>
      </c>
      <c r="FC117" s="3" t="s">
        <v>1460</v>
      </c>
      <c r="FD117" s="3">
        <v>4</v>
      </c>
      <c r="FE117" s="3">
        <v>6</v>
      </c>
      <c r="FJ117" s="3" t="s">
        <v>499</v>
      </c>
      <c r="FL117" s="3">
        <v>500</v>
      </c>
      <c r="FM117" s="3">
        <v>5</v>
      </c>
      <c r="FN117" s="3" t="s">
        <v>164</v>
      </c>
      <c r="FQ117" s="3" t="str">
        <f>IF(EP117="R",IF(EQ117&lt;&gt;"EWP",ER117,"pistols"),"")</f>
        <v>heavy</v>
      </c>
      <c r="FR117" s="3" t="s">
        <v>1461</v>
      </c>
      <c r="FS117" s="8" t="s">
        <v>1462</v>
      </c>
      <c r="GC117" s="12" t="s">
        <v>1534</v>
      </c>
      <c r="GD117" s="3" t="s">
        <v>272</v>
      </c>
      <c r="GE117" s="19">
        <v>100</v>
      </c>
      <c r="GF117" s="19">
        <v>0.1</v>
      </c>
      <c r="GG117" s="19" t="s">
        <v>249</v>
      </c>
      <c r="GH117" s="3" t="s">
        <v>1535</v>
      </c>
      <c r="GI117" s="8" t="s">
        <v>1536</v>
      </c>
      <c r="IC117" s="1540" t="str">
        <f t="shared" si="27"/>
        <v/>
      </c>
      <c r="ID117"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7" s="1540">
        <f t="shared" si="24"/>
        <v>115</v>
      </c>
      <c r="IF117" s="1540" t="e">
        <f t="shared" si="22"/>
        <v>#VALUE!</v>
      </c>
      <c r="IG117" s="1540" t="str">
        <f t="shared" si="23"/>
        <v/>
      </c>
    </row>
    <row r="118" spans="1:241">
      <c r="A118">
        <v>3</v>
      </c>
      <c r="B118" s="1109">
        <f ca="1">Stealth+5</f>
        <v>5</v>
      </c>
      <c r="C118" s="1109">
        <f t="shared" ca="1" si="29"/>
        <v>10</v>
      </c>
      <c r="J118" s="1323" t="s">
        <v>2064</v>
      </c>
      <c r="K118" s="569" t="s">
        <v>7183</v>
      </c>
      <c r="L118" s="569" t="str">
        <f>J118</f>
        <v>Umbaran</v>
      </c>
      <c r="N118" s="3">
        <v>2</v>
      </c>
      <c r="O118" s="3">
        <v>-2</v>
      </c>
      <c r="Q118" s="3">
        <v>2</v>
      </c>
      <c r="S118" s="569" t="s">
        <v>273</v>
      </c>
      <c r="T118" s="569" t="s">
        <v>2065</v>
      </c>
      <c r="V118" s="569" t="s">
        <v>149</v>
      </c>
      <c r="W118" s="569">
        <v>11</v>
      </c>
      <c r="X118" s="569">
        <v>16</v>
      </c>
      <c r="Y118" s="3">
        <v>45</v>
      </c>
      <c r="Z118" s="569">
        <v>70</v>
      </c>
      <c r="AA118" s="569">
        <v>90</v>
      </c>
      <c r="AB118" s="569">
        <v>6</v>
      </c>
      <c r="AC118" s="569" t="s">
        <v>517</v>
      </c>
      <c r="AD118" s="3" t="s">
        <v>8046</v>
      </c>
      <c r="AH118" s="569" t="s">
        <v>342</v>
      </c>
      <c r="BO118" t="s">
        <v>1588</v>
      </c>
      <c r="BP118" s="1552" t="s">
        <v>306</v>
      </c>
      <c r="BQ118" s="1552" t="s">
        <v>5810</v>
      </c>
      <c r="BV118" s="456" t="s">
        <v>5807</v>
      </c>
      <c r="EN118" s="1323" t="s">
        <v>1531</v>
      </c>
      <c r="EO118" s="3" t="s">
        <v>482</v>
      </c>
      <c r="EP118" s="3" t="s">
        <v>204</v>
      </c>
      <c r="EQ118" s="3" t="s">
        <v>460</v>
      </c>
      <c r="ER118" s="3" t="s">
        <v>651</v>
      </c>
      <c r="ES118" s="19" t="s">
        <v>201</v>
      </c>
      <c r="EX118" s="19" t="s">
        <v>3717</v>
      </c>
      <c r="EZ118" s="3" t="s">
        <v>497</v>
      </c>
      <c r="FA118" s="3" t="s">
        <v>160</v>
      </c>
      <c r="FC118" s="3" t="s">
        <v>1532</v>
      </c>
      <c r="FD118" s="3">
        <v>6</v>
      </c>
      <c r="FE118" s="3">
        <v>6</v>
      </c>
      <c r="FL118" s="3">
        <v>2000</v>
      </c>
      <c r="FM118" s="3">
        <v>12</v>
      </c>
      <c r="FN118" s="3" t="s">
        <v>205</v>
      </c>
      <c r="FO118" s="3">
        <v>1</v>
      </c>
      <c r="FQ118" s="3" t="str">
        <f>IF(EP118="R",IF(EQ118&lt;&gt;"EWP",ER118,"pistols"),"")</f>
        <v>heavy</v>
      </c>
      <c r="FR118" s="3" t="s">
        <v>1531</v>
      </c>
      <c r="FS118" s="8" t="s">
        <v>1533</v>
      </c>
      <c r="GC118" s="12" t="s">
        <v>1544</v>
      </c>
      <c r="GD118" s="3" t="s">
        <v>771</v>
      </c>
      <c r="GE118" s="19">
        <v>75</v>
      </c>
      <c r="GF118" s="19">
        <v>0.1</v>
      </c>
      <c r="GG118" s="19" t="s">
        <v>249</v>
      </c>
      <c r="GH118" s="3" t="s">
        <v>1544</v>
      </c>
      <c r="GI118" s="8" t="s">
        <v>1545</v>
      </c>
      <c r="IC118" s="1540" t="str">
        <f t="shared" si="27"/>
        <v/>
      </c>
      <c r="ID118"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8" s="1540">
        <f t="shared" si="24"/>
        <v>116</v>
      </c>
      <c r="IF118" s="1540" t="e">
        <f t="shared" si="22"/>
        <v>#VALUE!</v>
      </c>
      <c r="IG118" s="1540" t="str">
        <f t="shared" si="23"/>
        <v/>
      </c>
    </row>
    <row r="119" spans="1:241" ht="14.5" customHeight="1">
      <c r="A119">
        <v>4</v>
      </c>
      <c r="B119" s="1109">
        <f ca="1">Stealth+10</f>
        <v>10</v>
      </c>
      <c r="C119" s="1109">
        <f t="shared" ca="1" si="29"/>
        <v>15</v>
      </c>
      <c r="J119" s="1323" t="s">
        <v>2067</v>
      </c>
      <c r="K119" s="3" t="s">
        <v>308</v>
      </c>
      <c r="L119" s="3" t="s">
        <v>2067</v>
      </c>
      <c r="M119" s="4"/>
      <c r="N119" s="4"/>
      <c r="O119" s="4">
        <v>2</v>
      </c>
      <c r="P119" s="4"/>
      <c r="Q119" s="4"/>
      <c r="R119" s="4">
        <v>-2</v>
      </c>
      <c r="S119" s="3" t="s">
        <v>1909</v>
      </c>
      <c r="V119" s="3" t="s">
        <v>274</v>
      </c>
      <c r="AB119" s="3">
        <v>5</v>
      </c>
      <c r="AC119" s="3" t="s">
        <v>315</v>
      </c>
      <c r="AD119" s="3" t="s">
        <v>990</v>
      </c>
      <c r="AE119" s="3" t="s">
        <v>953</v>
      </c>
      <c r="BO119" t="s">
        <v>7982</v>
      </c>
      <c r="BV119" s="456" t="s">
        <v>7999</v>
      </c>
      <c r="EN119" s="1323" t="s">
        <v>1604</v>
      </c>
      <c r="EO119" s="3" t="s">
        <v>771</v>
      </c>
      <c r="EP119" s="3" t="s">
        <v>204</v>
      </c>
      <c r="EQ119" s="3" t="s">
        <v>460</v>
      </c>
      <c r="ER119" s="3" t="s">
        <v>651</v>
      </c>
      <c r="ES119" s="19" t="s">
        <v>201</v>
      </c>
      <c r="EX119" s="19" t="s">
        <v>3717</v>
      </c>
      <c r="EZ119" s="3" t="s">
        <v>357</v>
      </c>
      <c r="FA119" s="3" t="s">
        <v>160</v>
      </c>
      <c r="FC119" s="3" t="s">
        <v>1605</v>
      </c>
      <c r="FD119" s="3">
        <v>4</v>
      </c>
      <c r="FE119" s="3">
        <v>10</v>
      </c>
      <c r="FL119" s="3">
        <v>4000</v>
      </c>
      <c r="FM119" s="3">
        <v>18</v>
      </c>
      <c r="FN119" s="3" t="s">
        <v>534</v>
      </c>
      <c r="FO119" s="3">
        <v>1</v>
      </c>
      <c r="FQ119" s="3" t="str">
        <f>IF(EP119="R",IF(EQ119&lt;&gt;"EWP",ER119,"pistols"),"")</f>
        <v>heavy</v>
      </c>
      <c r="FR119" s="3" t="s">
        <v>1606</v>
      </c>
      <c r="FS119" s="8" t="s">
        <v>1606</v>
      </c>
      <c r="GC119" s="12" t="s">
        <v>432</v>
      </c>
      <c r="GD119" s="3" t="s">
        <v>173</v>
      </c>
      <c r="GE119" s="19">
        <v>1250</v>
      </c>
      <c r="GF119" s="19">
        <v>0.5</v>
      </c>
      <c r="GG119" s="19" t="s">
        <v>249</v>
      </c>
      <c r="GH119" s="3" t="s">
        <v>433</v>
      </c>
      <c r="GI119" s="8" t="s">
        <v>434</v>
      </c>
      <c r="IC119" s="1540" t="str">
        <f t="shared" si="27"/>
        <v/>
      </c>
      <c r="ID119"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19" s="1540">
        <f t="shared" si="24"/>
        <v>117</v>
      </c>
      <c r="IF119" s="1540" t="e">
        <f t="shared" si="22"/>
        <v>#VALUE!</v>
      </c>
      <c r="IG119" s="1540" t="str">
        <f t="shared" si="23"/>
        <v/>
      </c>
    </row>
    <row r="120" spans="1:241">
      <c r="A120">
        <v>5</v>
      </c>
      <c r="B120" s="1109">
        <f ca="1">Stealth+10</f>
        <v>10</v>
      </c>
      <c r="C120" s="1109">
        <f t="shared" ca="1" si="29"/>
        <v>15</v>
      </c>
      <c r="J120" s="1323" t="s">
        <v>304</v>
      </c>
      <c r="K120" s="569" t="s">
        <v>7946</v>
      </c>
      <c r="L120" s="3" t="str">
        <f>J120</f>
        <v>Verpine</v>
      </c>
      <c r="S120" s="569" t="s">
        <v>273</v>
      </c>
      <c r="T120" s="569" t="s">
        <v>304</v>
      </c>
      <c r="V120" s="569" t="s">
        <v>149</v>
      </c>
      <c r="W120" s="569">
        <v>5</v>
      </c>
      <c r="X120" s="569">
        <v>10</v>
      </c>
      <c r="Y120" s="569">
        <v>41</v>
      </c>
      <c r="Z120" s="569">
        <v>61</v>
      </c>
      <c r="AA120" s="569">
        <v>81</v>
      </c>
      <c r="AB120" s="569">
        <v>6</v>
      </c>
      <c r="AC120" s="569" t="s">
        <v>774</v>
      </c>
      <c r="AD120" s="569" t="s">
        <v>7967</v>
      </c>
      <c r="AH120" s="3" t="str">
        <f>IF(OR(TMechanics="Yes",STMechanics="Yes"),"Mechanics","")</f>
        <v/>
      </c>
      <c r="AN120" s="3">
        <v>1</v>
      </c>
      <c r="BB120" s="3" t="s">
        <v>563</v>
      </c>
      <c r="BC120" s="3" t="s">
        <v>8031</v>
      </c>
      <c r="BO120" t="s">
        <v>1540</v>
      </c>
      <c r="BP120" s="1552" t="s">
        <v>347</v>
      </c>
      <c r="BQ120" s="1552" t="s">
        <v>5810</v>
      </c>
      <c r="BV120" s="456" t="s">
        <v>1900</v>
      </c>
      <c r="EN120" s="1332" t="s">
        <v>6506</v>
      </c>
      <c r="EO120" s="569" t="s">
        <v>6222</v>
      </c>
      <c r="EP120" s="569" t="s">
        <v>204</v>
      </c>
      <c r="EQ120" s="3" t="s">
        <v>460</v>
      </c>
      <c r="ER120" s="569" t="s">
        <v>651</v>
      </c>
      <c r="ES120" s="1085" t="s">
        <v>201</v>
      </c>
      <c r="ET120" s="3"/>
      <c r="EU120" s="3"/>
      <c r="EV120" s="3"/>
      <c r="EW120" s="3"/>
      <c r="EX120" s="3" t="s">
        <v>3717</v>
      </c>
      <c r="EY120" s="3"/>
      <c r="EZ120" s="3" t="s">
        <v>497</v>
      </c>
      <c r="FA120" s="3" t="s">
        <v>160</v>
      </c>
      <c r="FC120" s="3" t="s">
        <v>6516</v>
      </c>
      <c r="FD120" s="3">
        <v>8</v>
      </c>
      <c r="FE120" s="3">
        <v>6</v>
      </c>
      <c r="FL120" s="569">
        <v>2250</v>
      </c>
      <c r="FM120" s="612" t="s">
        <v>6518</v>
      </c>
      <c r="FQ120" s="3" t="s">
        <v>651</v>
      </c>
      <c r="FR120" s="3" t="str">
        <f>(EN120)</f>
        <v>Merr-Sonn PLX-2M</v>
      </c>
      <c r="FS120" s="8" t="str">
        <f>FR120&amp;"s"</f>
        <v>Merr-Sonn PLX-2Ms</v>
      </c>
      <c r="GC120" s="12" t="s">
        <v>470</v>
      </c>
      <c r="GD120" s="3" t="s">
        <v>173</v>
      </c>
      <c r="GE120" s="19">
        <v>1500</v>
      </c>
      <c r="GF120" s="19">
        <v>0.5</v>
      </c>
      <c r="GG120" s="19" t="s">
        <v>249</v>
      </c>
      <c r="GH120" s="3" t="s">
        <v>471</v>
      </c>
      <c r="GI120" s="8" t="s">
        <v>472</v>
      </c>
      <c r="IC120" s="1540" t="str">
        <f t="shared" si="27"/>
        <v/>
      </c>
      <c r="ID120"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0" s="1540">
        <f t="shared" si="24"/>
        <v>118</v>
      </c>
      <c r="IF120" s="1540" t="e">
        <f t="shared" si="22"/>
        <v>#VALUE!</v>
      </c>
      <c r="IG120" s="1540" t="str">
        <f t="shared" si="23"/>
        <v/>
      </c>
    </row>
    <row r="121" spans="1:241">
      <c r="A121">
        <v>6</v>
      </c>
      <c r="B121" s="1109">
        <f ca="1">Stealth+10</f>
        <v>10</v>
      </c>
      <c r="C121" s="1109">
        <f t="shared" ca="1" si="29"/>
        <v>15</v>
      </c>
      <c r="J121" s="1323" t="s">
        <v>5948</v>
      </c>
      <c r="K121" s="569" t="s">
        <v>3814</v>
      </c>
      <c r="L121" s="569" t="s">
        <v>5948</v>
      </c>
      <c r="M121" s="4"/>
      <c r="N121" s="4"/>
      <c r="O121" s="4"/>
      <c r="P121" s="4">
        <v>2</v>
      </c>
      <c r="Q121" s="4">
        <v>-2</v>
      </c>
      <c r="R121" s="4"/>
      <c r="S121" s="569" t="s">
        <v>273</v>
      </c>
      <c r="T121" s="3" t="s">
        <v>5949</v>
      </c>
      <c r="V121" s="569" t="s">
        <v>149</v>
      </c>
      <c r="AB121" s="569">
        <v>6</v>
      </c>
      <c r="AC121" s="569" t="s">
        <v>665</v>
      </c>
      <c r="BO121" t="s">
        <v>1974</v>
      </c>
      <c r="BV121" s="456" t="s">
        <v>2227</v>
      </c>
      <c r="EN121" s="1332" t="s">
        <v>6507</v>
      </c>
      <c r="EO121" s="569" t="s">
        <v>6222</v>
      </c>
      <c r="EP121" s="569" t="s">
        <v>204</v>
      </c>
      <c r="EQ121" s="3" t="s">
        <v>460</v>
      </c>
      <c r="ER121" s="569" t="s">
        <v>651</v>
      </c>
      <c r="ES121" s="1085" t="s">
        <v>201</v>
      </c>
      <c r="ET121" s="3"/>
      <c r="EU121" s="3"/>
      <c r="EV121" s="3"/>
      <c r="EW121" s="3"/>
      <c r="EX121" s="3" t="s">
        <v>3717</v>
      </c>
      <c r="EY121" s="3"/>
      <c r="EZ121" s="3" t="s">
        <v>497</v>
      </c>
      <c r="FA121" s="3" t="s">
        <v>160</v>
      </c>
      <c r="FC121" s="3" t="s">
        <v>6519</v>
      </c>
      <c r="FD121" s="3">
        <v>6</v>
      </c>
      <c r="FE121" s="3">
        <v>10</v>
      </c>
      <c r="FL121" s="569">
        <v>1500</v>
      </c>
      <c r="FM121" s="569">
        <v>8</v>
      </c>
      <c r="FN121" s="3" t="s">
        <v>6520</v>
      </c>
      <c r="FO121" s="3">
        <v>4</v>
      </c>
      <c r="FQ121" s="3" t="s">
        <v>651</v>
      </c>
      <c r="FR121" s="3" t="str">
        <f>LOWER(EN121)</f>
        <v>mini-proton torpedo launcher</v>
      </c>
      <c r="FS121" s="8" t="str">
        <f>FR121&amp;"s"</f>
        <v>mini-proton torpedo launchers</v>
      </c>
      <c r="GC121" s="12" t="s">
        <v>1561</v>
      </c>
      <c r="GD121" s="3" t="s">
        <v>155</v>
      </c>
      <c r="GE121" s="19">
        <v>600</v>
      </c>
      <c r="GF121" s="19">
        <v>20</v>
      </c>
      <c r="GG121" s="19" t="s">
        <v>274</v>
      </c>
      <c r="GH121" s="3" t="s">
        <v>1562</v>
      </c>
      <c r="GI121" s="8" t="s">
        <v>1563</v>
      </c>
      <c r="IC121" s="1540" t="str">
        <f t="shared" ref="IC121:IC144" si="30">IF(EQ127="EWP",EN127&amp;";","")</f>
        <v/>
      </c>
      <c r="ID121"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1" s="1540">
        <f t="shared" si="24"/>
        <v>119</v>
      </c>
      <c r="IF121" s="1540" t="e">
        <f t="shared" si="22"/>
        <v>#VALUE!</v>
      </c>
      <c r="IG121" s="1540" t="str">
        <f t="shared" si="23"/>
        <v/>
      </c>
    </row>
    <row r="122" spans="1:241">
      <c r="J122" s="1323" t="s">
        <v>2072</v>
      </c>
      <c r="K122" s="3" t="s">
        <v>408</v>
      </c>
      <c r="L122" s="3" t="s">
        <v>2072</v>
      </c>
      <c r="M122" s="4"/>
      <c r="N122" s="4">
        <v>-2</v>
      </c>
      <c r="O122" s="4">
        <v>2</v>
      </c>
      <c r="P122" s="4"/>
      <c r="Q122" s="4"/>
      <c r="R122" s="4">
        <v>2</v>
      </c>
      <c r="S122" s="3" t="s">
        <v>273</v>
      </c>
      <c r="T122" s="3" t="s">
        <v>2073</v>
      </c>
      <c r="V122" s="3" t="s">
        <v>149</v>
      </c>
      <c r="W122" s="3">
        <v>7</v>
      </c>
      <c r="X122" s="3">
        <v>15</v>
      </c>
      <c r="Y122" s="3">
        <v>31</v>
      </c>
      <c r="Z122" s="3">
        <v>50</v>
      </c>
      <c r="AA122" s="3">
        <v>70</v>
      </c>
      <c r="AB122" s="3">
        <v>6</v>
      </c>
      <c r="AC122" s="3" t="s">
        <v>447</v>
      </c>
      <c r="AD122" s="3" t="s">
        <v>448</v>
      </c>
      <c r="AE122" s="3" t="s">
        <v>2004</v>
      </c>
      <c r="AF122" s="3" t="s">
        <v>1931</v>
      </c>
      <c r="AG122" s="3" t="s">
        <v>1493</v>
      </c>
      <c r="BO122" t="s">
        <v>1793</v>
      </c>
      <c r="BV122" s="456" t="s">
        <v>1978</v>
      </c>
      <c r="EN122" s="1323" t="s">
        <v>1727</v>
      </c>
      <c r="EO122" s="3" t="s">
        <v>155</v>
      </c>
      <c r="EP122" s="3" t="s">
        <v>204</v>
      </c>
      <c r="EQ122" s="3" t="s">
        <v>460</v>
      </c>
      <c r="ER122" s="3" t="s">
        <v>651</v>
      </c>
      <c r="ES122" s="19" t="s">
        <v>201</v>
      </c>
      <c r="EX122" s="19" t="s">
        <v>3717</v>
      </c>
      <c r="EZ122" s="3" t="s">
        <v>637</v>
      </c>
      <c r="FA122" s="3" t="s">
        <v>160</v>
      </c>
      <c r="FC122" s="3" t="s">
        <v>652</v>
      </c>
      <c r="FD122" s="3">
        <v>6</v>
      </c>
      <c r="FE122" s="3">
        <v>6</v>
      </c>
      <c r="FF122" s="3">
        <v>0</v>
      </c>
      <c r="FL122" s="3">
        <v>1500</v>
      </c>
      <c r="FM122" s="3">
        <v>10</v>
      </c>
      <c r="FN122" s="3" t="s">
        <v>565</v>
      </c>
      <c r="FO122" s="3">
        <v>4</v>
      </c>
      <c r="FQ122" s="3" t="str">
        <f>IF(EP122="R",IF(EQ122&lt;&gt;"EWP",ER122,"pistols"),"")</f>
        <v>heavy</v>
      </c>
      <c r="FR122" s="3" t="s">
        <v>1728</v>
      </c>
      <c r="FS122" s="8" t="s">
        <v>1729</v>
      </c>
      <c r="GC122" s="12" t="s">
        <v>1569</v>
      </c>
      <c r="GD122" s="3" t="s">
        <v>248</v>
      </c>
      <c r="GE122" s="19">
        <v>1100</v>
      </c>
      <c r="GF122" s="19">
        <v>10</v>
      </c>
      <c r="GG122" s="19" t="s">
        <v>274</v>
      </c>
      <c r="GH122" s="3" t="s">
        <v>1570</v>
      </c>
      <c r="GI122" s="8" t="s">
        <v>1571</v>
      </c>
      <c r="IC122" s="1540" t="str">
        <f t="shared" si="30"/>
        <v/>
      </c>
      <c r="ID122"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2" s="1540">
        <f t="shared" si="24"/>
        <v>120</v>
      </c>
      <c r="IF122" s="1540" t="e">
        <f t="shared" si="22"/>
        <v>#VALUE!</v>
      </c>
      <c r="IG122" s="1540" t="str">
        <f t="shared" si="23"/>
        <v/>
      </c>
    </row>
    <row r="123" spans="1:241">
      <c r="A123" s="1140" t="s">
        <v>6161</v>
      </c>
      <c r="J123" s="1323" t="s">
        <v>2075</v>
      </c>
      <c r="K123" s="3" t="s">
        <v>2146</v>
      </c>
      <c r="L123" s="3" t="s">
        <v>2075</v>
      </c>
      <c r="M123" s="4"/>
      <c r="N123" s="4"/>
      <c r="O123" s="4">
        <v>2</v>
      </c>
      <c r="P123" s="4">
        <v>-2</v>
      </c>
      <c r="Q123" s="4"/>
      <c r="R123" s="4">
        <v>-2</v>
      </c>
      <c r="S123" s="3" t="s">
        <v>2076</v>
      </c>
      <c r="V123" s="3" t="s">
        <v>149</v>
      </c>
      <c r="W123" s="3">
        <v>13</v>
      </c>
      <c r="X123" s="3">
        <v>18</v>
      </c>
      <c r="Y123" s="3">
        <v>50</v>
      </c>
      <c r="Z123" s="3">
        <v>75</v>
      </c>
      <c r="AA123" s="3">
        <v>90</v>
      </c>
      <c r="AB123" s="3">
        <v>6</v>
      </c>
      <c r="AC123" s="3" t="s">
        <v>1974</v>
      </c>
      <c r="AD123" s="3" t="s">
        <v>2225</v>
      </c>
      <c r="AO123" s="3">
        <v>1</v>
      </c>
      <c r="BO123" t="s">
        <v>1363</v>
      </c>
      <c r="BV123" s="456" t="s">
        <v>1981</v>
      </c>
      <c r="EN123" s="1323" t="s">
        <v>1732</v>
      </c>
      <c r="EO123" s="3" t="s">
        <v>272</v>
      </c>
      <c r="EP123" s="3" t="s">
        <v>204</v>
      </c>
      <c r="EQ123" s="3" t="s">
        <v>460</v>
      </c>
      <c r="ER123" s="3" t="s">
        <v>651</v>
      </c>
      <c r="ES123" s="19" t="s">
        <v>1003</v>
      </c>
      <c r="EX123" s="19" t="s">
        <v>3717</v>
      </c>
      <c r="EZ123" s="3" t="s">
        <v>637</v>
      </c>
      <c r="FA123" s="3" t="s">
        <v>160</v>
      </c>
      <c r="FC123" s="3" t="s">
        <v>652</v>
      </c>
      <c r="FD123" s="3">
        <v>6</v>
      </c>
      <c r="FE123" s="3">
        <v>6</v>
      </c>
      <c r="FF123" s="3">
        <v>0</v>
      </c>
      <c r="FL123" s="3">
        <v>9500</v>
      </c>
      <c r="FM123" s="3">
        <v>42</v>
      </c>
      <c r="FN123" s="3" t="s">
        <v>589</v>
      </c>
      <c r="FO123" s="3">
        <v>1</v>
      </c>
      <c r="FQ123" s="3" t="str">
        <f>IF(EP123="R",IF(EQ123&lt;&gt;"EWP",ER123,"pistols"),"")</f>
        <v>heavy</v>
      </c>
      <c r="FR123" s="3" t="s">
        <v>1733</v>
      </c>
      <c r="FS123" s="8" t="s">
        <v>1733</v>
      </c>
      <c r="GC123" s="12" t="s">
        <v>1581</v>
      </c>
      <c r="GD123" s="3" t="s">
        <v>155</v>
      </c>
      <c r="GE123" s="19">
        <v>100</v>
      </c>
      <c r="GF123" s="19">
        <v>1</v>
      </c>
      <c r="GG123" s="19" t="s">
        <v>209</v>
      </c>
      <c r="GH123" s="3" t="s">
        <v>1582</v>
      </c>
      <c r="GI123" s="8" t="s">
        <v>1583</v>
      </c>
      <c r="IC123" s="1540" t="str">
        <f t="shared" si="30"/>
        <v/>
      </c>
      <c r="ID123"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3" s="1540">
        <f t="shared" si="24"/>
        <v>121</v>
      </c>
      <c r="IF123" s="1540" t="e">
        <f t="shared" si="22"/>
        <v>#VALUE!</v>
      </c>
      <c r="IG123" s="1540" t="str">
        <f t="shared" si="23"/>
        <v/>
      </c>
    </row>
    <row r="124" spans="1:241">
      <c r="A124" s="1140" t="s">
        <v>6162</v>
      </c>
      <c r="B124" s="1140" t="s">
        <v>6163</v>
      </c>
      <c r="J124" s="1323" t="s">
        <v>2077</v>
      </c>
      <c r="K124" s="3" t="s">
        <v>230</v>
      </c>
      <c r="L124" s="3" t="s">
        <v>2077</v>
      </c>
      <c r="M124" s="4">
        <v>4</v>
      </c>
      <c r="N124" s="4"/>
      <c r="O124" s="4"/>
      <c r="P124" s="4">
        <v>-2</v>
      </c>
      <c r="Q124" s="4">
        <v>-2</v>
      </c>
      <c r="R124" s="4"/>
      <c r="S124" s="3" t="s">
        <v>2077</v>
      </c>
      <c r="V124" s="3" t="s">
        <v>201</v>
      </c>
      <c r="W124" s="3">
        <v>11</v>
      </c>
      <c r="X124" s="3">
        <v>16</v>
      </c>
      <c r="Y124" s="3">
        <v>85</v>
      </c>
      <c r="Z124" s="3">
        <v>100</v>
      </c>
      <c r="AA124" s="3">
        <v>250</v>
      </c>
      <c r="AB124" s="3">
        <v>6</v>
      </c>
      <c r="AC124" s="3" t="s">
        <v>1681</v>
      </c>
      <c r="AD124" s="3" t="s">
        <v>484</v>
      </c>
      <c r="BF124" s="3" t="s">
        <v>631</v>
      </c>
      <c r="BG124" s="3" t="str">
        <f ca="1">"1d"&amp;MIN(12,UnarmedDieIncreases*2+6)</f>
        <v>1d6</v>
      </c>
      <c r="BH124" s="3" t="s">
        <v>633</v>
      </c>
      <c r="BO124" s="952" t="s">
        <v>1361</v>
      </c>
      <c r="BV124" s="456" t="s">
        <v>1985</v>
      </c>
      <c r="EN124" s="1323" t="s">
        <v>7055</v>
      </c>
      <c r="EO124" s="3" t="s">
        <v>6758</v>
      </c>
      <c r="EP124" s="3" t="s">
        <v>204</v>
      </c>
      <c r="EQ124" s="3" t="s">
        <v>460</v>
      </c>
      <c r="ER124" s="3" t="s">
        <v>651</v>
      </c>
      <c r="ES124" s="19" t="s">
        <v>201</v>
      </c>
      <c r="EX124" s="19" t="s">
        <v>3717</v>
      </c>
      <c r="EZ124" s="3" t="s">
        <v>357</v>
      </c>
      <c r="FA124" s="3" t="s">
        <v>160</v>
      </c>
      <c r="FC124" s="3" t="s">
        <v>7056</v>
      </c>
      <c r="FD124" s="3">
        <v>4</v>
      </c>
      <c r="FE124" s="3">
        <v>6</v>
      </c>
      <c r="FL124" s="3">
        <v>2500</v>
      </c>
      <c r="FM124" s="3">
        <v>20</v>
      </c>
      <c r="FR124" s="3" t="s">
        <v>7057</v>
      </c>
      <c r="FS124" s="8" t="s">
        <v>7058</v>
      </c>
      <c r="GC124" s="12" t="s">
        <v>1585</v>
      </c>
      <c r="GD124" s="3" t="s">
        <v>173</v>
      </c>
      <c r="GE124" s="19">
        <v>2000</v>
      </c>
      <c r="GG124" s="19" t="s">
        <v>249</v>
      </c>
      <c r="GH124" s="3" t="s">
        <v>297</v>
      </c>
      <c r="GI124" s="8" t="s">
        <v>1586</v>
      </c>
      <c r="IC124" s="1540" t="str">
        <f t="shared" si="30"/>
        <v/>
      </c>
      <c r="ID124"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4" s="1540">
        <f t="shared" si="24"/>
        <v>122</v>
      </c>
      <c r="IF124" s="1540" t="e">
        <f t="shared" si="22"/>
        <v>#VALUE!</v>
      </c>
      <c r="IG124" s="1540" t="str">
        <f t="shared" si="23"/>
        <v/>
      </c>
    </row>
    <row r="125" spans="1:241">
      <c r="A125" t="str">
        <f>Weapon1</f>
        <v/>
      </c>
      <c r="B125">
        <f>COLUMN(Weapon1)</f>
        <v>5</v>
      </c>
      <c r="C125" s="1140" t="s">
        <v>6164</v>
      </c>
      <c r="J125" s="1323" t="s">
        <v>2080</v>
      </c>
      <c r="K125" s="3" t="s">
        <v>7942</v>
      </c>
      <c r="L125" s="3" t="s">
        <v>2080</v>
      </c>
      <c r="M125" s="4">
        <v>4</v>
      </c>
      <c r="N125" s="4">
        <v>-2</v>
      </c>
      <c r="O125" s="4">
        <v>2</v>
      </c>
      <c r="P125" s="4"/>
      <c r="Q125" s="4">
        <v>-2</v>
      </c>
      <c r="R125" s="4">
        <v>-2</v>
      </c>
      <c r="S125" s="3" t="s">
        <v>2081</v>
      </c>
      <c r="T125" s="3" t="s">
        <v>1926</v>
      </c>
      <c r="V125" s="3" t="s">
        <v>149</v>
      </c>
      <c r="W125" s="3">
        <v>13</v>
      </c>
      <c r="X125" s="3">
        <v>18</v>
      </c>
      <c r="Y125" s="3">
        <v>301</v>
      </c>
      <c r="Z125" s="3">
        <v>351</v>
      </c>
      <c r="AA125" s="3">
        <v>400</v>
      </c>
      <c r="AB125" s="3">
        <v>6</v>
      </c>
      <c r="AC125" s="3" t="s">
        <v>1056</v>
      </c>
      <c r="AD125" s="3" t="s">
        <v>313</v>
      </c>
      <c r="AE125" s="3" t="s">
        <v>630</v>
      </c>
      <c r="BB125" s="3" t="s">
        <v>531</v>
      </c>
      <c r="BC125" s="3" t="s">
        <v>1111</v>
      </c>
      <c r="BD125" s="3" t="s">
        <v>1381</v>
      </c>
      <c r="BE125" s="569" t="s">
        <v>1851</v>
      </c>
      <c r="BO125" s="952" t="s">
        <v>1517</v>
      </c>
      <c r="BV125" s="456" t="s">
        <v>1996</v>
      </c>
      <c r="EN125" s="1323" t="s">
        <v>7063</v>
      </c>
      <c r="EO125" s="3" t="s">
        <v>6758</v>
      </c>
      <c r="EP125" s="3" t="s">
        <v>204</v>
      </c>
      <c r="EQ125" s="3" t="s">
        <v>460</v>
      </c>
      <c r="ER125" s="3" t="s">
        <v>651</v>
      </c>
      <c r="ES125" s="19" t="s">
        <v>201</v>
      </c>
      <c r="EX125" s="19" t="s">
        <v>3717</v>
      </c>
      <c r="EZ125" s="3" t="s">
        <v>497</v>
      </c>
      <c r="FA125" s="3" t="s">
        <v>160</v>
      </c>
      <c r="FC125" s="3" t="s">
        <v>7064</v>
      </c>
      <c r="FD125" s="3">
        <v>3</v>
      </c>
      <c r="FE125" s="3">
        <v>6</v>
      </c>
      <c r="FL125" s="3">
        <v>8000</v>
      </c>
      <c r="FM125" s="3">
        <v>25</v>
      </c>
      <c r="FR125" s="3" t="s">
        <v>7065</v>
      </c>
      <c r="FS125" s="8" t="s">
        <v>7066</v>
      </c>
      <c r="GC125" s="12" t="s">
        <v>1592</v>
      </c>
      <c r="GD125" s="3" t="s">
        <v>155</v>
      </c>
      <c r="GE125" s="19">
        <v>5</v>
      </c>
      <c r="GF125" s="19">
        <v>0.5</v>
      </c>
      <c r="GG125" s="19" t="s">
        <v>249</v>
      </c>
      <c r="GH125" s="3" t="s">
        <v>1593</v>
      </c>
      <c r="GI125" s="8" t="s">
        <v>1594</v>
      </c>
      <c r="IC125" s="1540" t="str">
        <f t="shared" si="30"/>
        <v/>
      </c>
      <c r="ID125"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5" s="1540">
        <f t="shared" si="24"/>
        <v>123</v>
      </c>
      <c r="IF125" s="1540" t="e">
        <f t="shared" si="22"/>
        <v>#VALUE!</v>
      </c>
      <c r="IG125" s="1540" t="str">
        <f t="shared" si="23"/>
        <v/>
      </c>
    </row>
    <row r="126" spans="1:241">
      <c r="A126" t="str">
        <f>Weapon2</f>
        <v/>
      </c>
      <c r="B126" s="1140">
        <f>COLUMN(Weapon2)</f>
        <v>15</v>
      </c>
      <c r="C126" s="1140" t="s">
        <v>6165</v>
      </c>
      <c r="J126" s="1323" t="s">
        <v>2083</v>
      </c>
      <c r="K126" s="3" t="s">
        <v>377</v>
      </c>
      <c r="L126" s="3" t="s">
        <v>2083</v>
      </c>
      <c r="M126" s="4"/>
      <c r="N126" s="4">
        <v>2</v>
      </c>
      <c r="O126" s="4">
        <v>-2</v>
      </c>
      <c r="P126" s="4"/>
      <c r="Q126" s="4"/>
      <c r="R126" s="4"/>
      <c r="S126" s="3" t="s">
        <v>273</v>
      </c>
      <c r="T126" s="3" t="s">
        <v>2083</v>
      </c>
      <c r="V126" s="3" t="s">
        <v>149</v>
      </c>
      <c r="AB126" s="3">
        <v>6</v>
      </c>
      <c r="AC126" s="569" t="s">
        <v>63</v>
      </c>
      <c r="AQ126" s="3">
        <v>2</v>
      </c>
      <c r="BO126" t="s">
        <v>1517</v>
      </c>
      <c r="BV126" s="456" t="s">
        <v>7331</v>
      </c>
      <c r="EN126" s="1331" t="s">
        <v>6533</v>
      </c>
      <c r="GC126" s="12" t="s">
        <v>8143</v>
      </c>
      <c r="GD126" s="3" t="s">
        <v>7946</v>
      </c>
      <c r="GE126" s="19">
        <v>1800</v>
      </c>
      <c r="GF126" s="19">
        <v>0.8</v>
      </c>
      <c r="GG126" s="19" t="s">
        <v>249</v>
      </c>
      <c r="GH126" s="3" t="str">
        <f>LOWER(GC126)</f>
        <v>microlab</v>
      </c>
      <c r="GI126" s="8" t="str">
        <f>GH126&amp;"s"</f>
        <v>microlabs</v>
      </c>
      <c r="IC126" s="1540" t="str">
        <f t="shared" si="30"/>
        <v/>
      </c>
      <c r="ID126"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6" s="1540">
        <f t="shared" si="24"/>
        <v>124</v>
      </c>
      <c r="IF126" s="1540" t="e">
        <f t="shared" si="22"/>
        <v>#VALUE!</v>
      </c>
      <c r="IG126" s="1540" t="str">
        <f t="shared" si="23"/>
        <v/>
      </c>
    </row>
    <row r="127" spans="1:241">
      <c r="A127" t="str">
        <f>Weapon3</f>
        <v/>
      </c>
      <c r="B127" s="1140">
        <f>COLUMN(Weapon3)</f>
        <v>25</v>
      </c>
      <c r="C127" s="1140" t="s">
        <v>6166</v>
      </c>
      <c r="J127" s="1323" t="s">
        <v>2085</v>
      </c>
      <c r="K127" s="3" t="s">
        <v>230</v>
      </c>
      <c r="L127" s="3" t="s">
        <v>2085</v>
      </c>
      <c r="M127" s="4"/>
      <c r="N127" s="4">
        <v>-2</v>
      </c>
      <c r="O127" s="4"/>
      <c r="P127" s="4"/>
      <c r="Q127" s="4">
        <v>2</v>
      </c>
      <c r="R127" s="4">
        <v>2</v>
      </c>
      <c r="S127" s="3" t="s">
        <v>273</v>
      </c>
      <c r="T127" s="3" t="s">
        <v>2085</v>
      </c>
      <c r="V127" s="3" t="s">
        <v>149</v>
      </c>
      <c r="W127" s="3">
        <v>11</v>
      </c>
      <c r="X127" s="3">
        <v>19</v>
      </c>
      <c r="Y127" s="3">
        <v>65</v>
      </c>
      <c r="Z127" s="3">
        <v>95</v>
      </c>
      <c r="AA127" s="3">
        <v>125</v>
      </c>
      <c r="AB127" s="3">
        <v>6</v>
      </c>
      <c r="AC127" s="3" t="s">
        <v>929</v>
      </c>
      <c r="AD127" s="3" t="s">
        <v>1101</v>
      </c>
      <c r="AE127" s="3" t="s">
        <v>2078</v>
      </c>
      <c r="AK127" s="3" t="s">
        <v>342</v>
      </c>
      <c r="BO127" s="999" t="s">
        <v>2004</v>
      </c>
      <c r="BV127" s="456" t="s">
        <v>2005</v>
      </c>
      <c r="EN127" s="1323" t="s">
        <v>7008</v>
      </c>
      <c r="EO127" s="3" t="s">
        <v>6758</v>
      </c>
      <c r="EP127" s="3" t="s">
        <v>204</v>
      </c>
      <c r="EQ127" s="3" t="s">
        <v>460</v>
      </c>
      <c r="ER127" s="3" t="s">
        <v>563</v>
      </c>
      <c r="ES127" s="19" t="s">
        <v>149</v>
      </c>
      <c r="EV127" s="19" t="s">
        <v>1365</v>
      </c>
      <c r="EX127" s="19" t="s">
        <v>3717</v>
      </c>
      <c r="EZ127" s="3" t="s">
        <v>497</v>
      </c>
      <c r="FA127" s="3" t="s">
        <v>160</v>
      </c>
      <c r="FC127" s="3" t="s">
        <v>7009</v>
      </c>
      <c r="FD127" s="3">
        <v>3</v>
      </c>
      <c r="FE127" s="3">
        <v>8</v>
      </c>
      <c r="FJ127" s="3" t="s">
        <v>499</v>
      </c>
      <c r="FL127" s="3">
        <v>1200</v>
      </c>
      <c r="FM127" s="3">
        <v>2</v>
      </c>
      <c r="FN127" s="3">
        <v>50</v>
      </c>
      <c r="FR127" s="3" t="s">
        <v>7010</v>
      </c>
      <c r="FS127" s="8" t="s">
        <v>7011</v>
      </c>
      <c r="GC127" s="12" t="s">
        <v>506</v>
      </c>
      <c r="GD127" s="3" t="s">
        <v>173</v>
      </c>
      <c r="GE127" s="19">
        <v>2500</v>
      </c>
      <c r="GF127" s="19">
        <v>0.5</v>
      </c>
      <c r="GG127" s="19" t="s">
        <v>249</v>
      </c>
      <c r="GH127" s="3" t="s">
        <v>507</v>
      </c>
      <c r="GI127" s="8" t="s">
        <v>508</v>
      </c>
      <c r="GJ127" s="3"/>
      <c r="IC127" s="1540" t="str">
        <f t="shared" si="30"/>
        <v/>
      </c>
      <c r="ID127"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7" s="1540">
        <f t="shared" si="24"/>
        <v>125</v>
      </c>
      <c r="IF127" s="1540" t="e">
        <f t="shared" si="22"/>
        <v>#VALUE!</v>
      </c>
      <c r="IG127" s="1540" t="str">
        <f t="shared" si="23"/>
        <v/>
      </c>
    </row>
    <row r="128" spans="1:241">
      <c r="A128" s="1140" t="str">
        <f>Weapon4</f>
        <v/>
      </c>
      <c r="B128" s="1140">
        <f>COLUMN(Weapon4)</f>
        <v>35</v>
      </c>
      <c r="C128" s="1140" t="s">
        <v>6167</v>
      </c>
      <c r="J128" s="1323" t="s">
        <v>7303</v>
      </c>
      <c r="K128" s="569" t="s">
        <v>7885</v>
      </c>
      <c r="L128" s="3" t="s">
        <v>7303</v>
      </c>
      <c r="M128" s="569">
        <v>2</v>
      </c>
      <c r="R128" s="569">
        <v>-2</v>
      </c>
      <c r="S128" s="569" t="s">
        <v>7325</v>
      </c>
      <c r="V128" s="569" t="s">
        <v>149</v>
      </c>
      <c r="W128" s="569">
        <v>6</v>
      </c>
      <c r="X128" s="569">
        <v>12</v>
      </c>
      <c r="Y128" s="569">
        <v>45</v>
      </c>
      <c r="Z128" s="569">
        <v>67</v>
      </c>
      <c r="AA128" s="569">
        <v>81</v>
      </c>
      <c r="AB128" s="569">
        <v>6</v>
      </c>
      <c r="AC128" s="569" t="s">
        <v>7326</v>
      </c>
      <c r="AD128" s="569" t="s">
        <v>7327</v>
      </c>
      <c r="BF128" s="3" t="s">
        <v>631</v>
      </c>
      <c r="BG128" s="3" t="str">
        <f ca="1">"1d"&amp;MIN(12,UnarmedDieIncreases*2+6)</f>
        <v>1d6</v>
      </c>
      <c r="BH128" s="3" t="s">
        <v>633</v>
      </c>
      <c r="BO128" s="999" t="s">
        <v>1725</v>
      </c>
      <c r="BV128" s="456" t="s">
        <v>2013</v>
      </c>
      <c r="EN128" s="1323" t="s">
        <v>8096</v>
      </c>
      <c r="EO128" s="569" t="s">
        <v>7946</v>
      </c>
      <c r="EP128" s="569" t="s">
        <v>204</v>
      </c>
      <c r="EQ128" s="1552" t="s">
        <v>460</v>
      </c>
      <c r="ER128" s="1552" t="s">
        <v>563</v>
      </c>
      <c r="ES128" s="1552" t="s">
        <v>274</v>
      </c>
      <c r="EV128" s="1552"/>
      <c r="EX128" s="1552" t="s">
        <v>3717</v>
      </c>
      <c r="EZ128" s="1552" t="s">
        <v>242</v>
      </c>
      <c r="FA128" s="1552" t="s">
        <v>3718</v>
      </c>
      <c r="FB128" s="1552" t="s">
        <v>118</v>
      </c>
      <c r="FC128" s="3" t="s">
        <v>8108</v>
      </c>
      <c r="FD128" s="1552">
        <v>2</v>
      </c>
      <c r="FE128" s="1552">
        <v>4</v>
      </c>
      <c r="FJ128" s="3" t="s">
        <v>499</v>
      </c>
      <c r="FL128" s="1552">
        <v>200</v>
      </c>
      <c r="FM128" s="1552">
        <v>1.4</v>
      </c>
      <c r="FN128" s="3" t="s">
        <v>8107</v>
      </c>
      <c r="FO128" s="3">
        <v>1</v>
      </c>
      <c r="FP128" s="569">
        <v>1</v>
      </c>
      <c r="FQ128" s="569" t="s">
        <v>563</v>
      </c>
      <c r="FR128" s="3" t="s">
        <v>8099</v>
      </c>
      <c r="FS128" s="8" t="str">
        <f>FR128&amp;"s"</f>
        <v>black-powder pistols</v>
      </c>
      <c r="GC128" s="12" t="s">
        <v>1607</v>
      </c>
      <c r="GD128" s="3" t="s">
        <v>173</v>
      </c>
      <c r="GE128" s="19">
        <v>5000</v>
      </c>
      <c r="GG128" s="19" t="s">
        <v>249</v>
      </c>
      <c r="GH128" s="3" t="s">
        <v>335</v>
      </c>
      <c r="GI128" s="8" t="s">
        <v>1608</v>
      </c>
      <c r="GJ128" s="3"/>
      <c r="IC128" s="1540" t="str">
        <f t="shared" si="30"/>
        <v/>
      </c>
      <c r="ID128"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8" s="1540">
        <f t="shared" si="24"/>
        <v>126</v>
      </c>
      <c r="IF128" s="1540" t="e">
        <f t="shared" si="22"/>
        <v>#VALUE!</v>
      </c>
      <c r="IG128" s="1540" t="str">
        <f t="shared" si="23"/>
        <v/>
      </c>
    </row>
    <row r="129" spans="1:241">
      <c r="A129" t="str">
        <f>Weapon5</f>
        <v/>
      </c>
      <c r="B129" s="1140">
        <f>COLUMN(Weapon5)</f>
        <v>45</v>
      </c>
      <c r="C129" s="1140" t="s">
        <v>6168</v>
      </c>
      <c r="J129" s="1323" t="s">
        <v>2088</v>
      </c>
      <c r="K129" s="3" t="s">
        <v>7945</v>
      </c>
      <c r="L129" s="3" t="s">
        <v>2088</v>
      </c>
      <c r="M129" s="4">
        <v>2</v>
      </c>
      <c r="N129" s="4"/>
      <c r="O129" s="4"/>
      <c r="P129" s="4"/>
      <c r="Q129" s="4">
        <v>-2</v>
      </c>
      <c r="R129" s="4"/>
      <c r="S129" s="3" t="s">
        <v>2088</v>
      </c>
      <c r="V129" s="3" t="s">
        <v>149</v>
      </c>
      <c r="W129" s="3">
        <v>12</v>
      </c>
      <c r="X129" s="3">
        <v>18</v>
      </c>
      <c r="Y129" s="3">
        <v>41</v>
      </c>
      <c r="Z129" s="3">
        <v>61</v>
      </c>
      <c r="AA129" s="3">
        <v>76</v>
      </c>
      <c r="AB129" s="3">
        <v>6</v>
      </c>
      <c r="AC129" s="3" t="s">
        <v>1510</v>
      </c>
      <c r="AD129" s="3" t="s">
        <v>1772</v>
      </c>
      <c r="BB129" s="3" t="s">
        <v>461</v>
      </c>
      <c r="BC129" s="3" t="s">
        <v>159</v>
      </c>
      <c r="BO129" s="999" t="s">
        <v>602</v>
      </c>
      <c r="BV129" s="456" t="s">
        <v>2016</v>
      </c>
      <c r="EN129" s="1323" t="s">
        <v>562</v>
      </c>
      <c r="EO129" s="3" t="s">
        <v>530</v>
      </c>
      <c r="EP129" s="3" t="s">
        <v>204</v>
      </c>
      <c r="EQ129" s="3" t="s">
        <v>460</v>
      </c>
      <c r="ER129" s="3" t="s">
        <v>563</v>
      </c>
      <c r="ES129" s="19" t="s">
        <v>274</v>
      </c>
      <c r="EV129" s="19" t="s">
        <v>202</v>
      </c>
      <c r="EX129" s="19" t="s">
        <v>3717</v>
      </c>
      <c r="EZ129" s="3" t="s">
        <v>497</v>
      </c>
      <c r="FA129" s="3" t="s">
        <v>204</v>
      </c>
      <c r="FD129" s="3">
        <v>3</v>
      </c>
      <c r="FE129" s="3">
        <v>6</v>
      </c>
      <c r="FL129" s="3">
        <v>500</v>
      </c>
      <c r="FM129" s="3">
        <v>1</v>
      </c>
      <c r="FN129" s="3" t="s">
        <v>424</v>
      </c>
      <c r="FO129" s="3">
        <v>100</v>
      </c>
      <c r="FQ129" s="3" t="str">
        <f t="shared" ref="FQ129:FQ134" si="31">IF(EP129="R",IF(EQ129&lt;&gt;"EWP",ER129,"pistols"),"")</f>
        <v>pistols</v>
      </c>
      <c r="FR129" s="3" t="s">
        <v>562</v>
      </c>
      <c r="FS129" s="8" t="s">
        <v>564</v>
      </c>
      <c r="GC129" s="12" t="s">
        <v>540</v>
      </c>
      <c r="GD129" s="3" t="s">
        <v>173</v>
      </c>
      <c r="GE129" s="19">
        <v>3500</v>
      </c>
      <c r="GF129" s="19">
        <v>0.5</v>
      </c>
      <c r="GG129" s="19" t="s">
        <v>249</v>
      </c>
      <c r="GH129" s="3" t="s">
        <v>541</v>
      </c>
      <c r="GI129" s="8" t="s">
        <v>542</v>
      </c>
      <c r="GJ129" s="3"/>
      <c r="IC129" s="1540" t="str">
        <f t="shared" si="30"/>
        <v/>
      </c>
      <c r="ID129"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29" s="1540">
        <f t="shared" si="24"/>
        <v>127</v>
      </c>
      <c r="IF129" s="1540" t="e">
        <f t="shared" si="22"/>
        <v>#VALUE!</v>
      </c>
      <c r="IG129" s="1540" t="str">
        <f t="shared" si="23"/>
        <v/>
      </c>
    </row>
    <row r="130" spans="1:241">
      <c r="A130" t="str">
        <f>Weapon6</f>
        <v/>
      </c>
      <c r="B130" s="1140">
        <f>COLUMN(Weapon6)</f>
        <v>55</v>
      </c>
      <c r="C130" s="1140" t="s">
        <v>6169</v>
      </c>
      <c r="J130" s="1323" t="s">
        <v>7304</v>
      </c>
      <c r="K130" s="569" t="s">
        <v>7885</v>
      </c>
      <c r="L130" s="3" t="s">
        <v>7304</v>
      </c>
      <c r="M130" s="569">
        <v>4</v>
      </c>
      <c r="Q130" s="3">
        <v>-2</v>
      </c>
      <c r="R130" s="569">
        <v>-2</v>
      </c>
      <c r="S130" s="569" t="s">
        <v>7330</v>
      </c>
      <c r="V130" s="569" t="s">
        <v>201</v>
      </c>
      <c r="W130" s="569">
        <v>9</v>
      </c>
      <c r="X130" s="569">
        <v>16</v>
      </c>
      <c r="Y130" s="569">
        <v>41</v>
      </c>
      <c r="Z130" s="569">
        <v>60</v>
      </c>
      <c r="AA130" s="569">
        <v>80</v>
      </c>
      <c r="AB130" s="569">
        <v>6</v>
      </c>
      <c r="AC130" s="569" t="s">
        <v>1517</v>
      </c>
      <c r="AD130" s="569" t="s">
        <v>484</v>
      </c>
      <c r="AE130" s="3" t="s">
        <v>313</v>
      </c>
      <c r="BF130" s="3" t="s">
        <v>634</v>
      </c>
      <c r="BG130" s="3" t="str">
        <f ca="1">"1d"&amp;MIN(12,UnarmedDieIncreases*2+8)</f>
        <v>1d8</v>
      </c>
      <c r="BH130" s="3" t="s">
        <v>635</v>
      </c>
      <c r="BI130" s="569" t="s">
        <v>631</v>
      </c>
      <c r="BJ130" s="3" t="str">
        <f ca="1">"1d"&amp;MIN(12,UnarmedDieIncreases*2+8)</f>
        <v>1d8</v>
      </c>
      <c r="BK130" s="569" t="s">
        <v>633</v>
      </c>
      <c r="BO130" s="999" t="s">
        <v>1614</v>
      </c>
      <c r="BV130" s="456" t="s">
        <v>2023</v>
      </c>
      <c r="EN130" s="1323" t="s">
        <v>613</v>
      </c>
      <c r="EO130" s="3" t="s">
        <v>530</v>
      </c>
      <c r="EP130" s="3" t="s">
        <v>204</v>
      </c>
      <c r="EQ130" s="3" t="s">
        <v>460</v>
      </c>
      <c r="ER130" s="3" t="s">
        <v>563</v>
      </c>
      <c r="ES130" s="19" t="s">
        <v>149</v>
      </c>
      <c r="EV130" s="19" t="s">
        <v>202</v>
      </c>
      <c r="EX130" s="19" t="s">
        <v>3717</v>
      </c>
      <c r="EZ130" s="3" t="s">
        <v>497</v>
      </c>
      <c r="FA130" s="3" t="s">
        <v>160</v>
      </c>
      <c r="FD130" s="3">
        <v>4</v>
      </c>
      <c r="FE130" s="3">
        <v>6</v>
      </c>
      <c r="FJ130" s="3" t="s">
        <v>499</v>
      </c>
      <c r="FL130" s="3">
        <v>900</v>
      </c>
      <c r="FM130" s="3">
        <v>2</v>
      </c>
      <c r="FN130" s="3" t="s">
        <v>424</v>
      </c>
      <c r="FO130" s="3">
        <v>50</v>
      </c>
      <c r="FQ130" s="3" t="str">
        <f t="shared" si="31"/>
        <v>pistols</v>
      </c>
      <c r="FR130" s="3" t="s">
        <v>613</v>
      </c>
      <c r="FS130" s="8" t="s">
        <v>614</v>
      </c>
      <c r="GC130" s="12" t="s">
        <v>4511</v>
      </c>
      <c r="GD130" s="569" t="s">
        <v>3800</v>
      </c>
      <c r="GF130" s="19">
        <v>1</v>
      </c>
      <c r="GG130" s="19" t="s">
        <v>209</v>
      </c>
      <c r="GH130" s="3" t="str">
        <f>GC130</f>
        <v>Nightsister robes</v>
      </c>
      <c r="GI130" s="8" t="str">
        <f>GH130</f>
        <v>Nightsister robes</v>
      </c>
      <c r="GJ130" s="3"/>
      <c r="IC130" s="1540" t="str">
        <f t="shared" si="30"/>
        <v/>
      </c>
      <c r="ID130"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30" s="1540">
        <f t="shared" si="24"/>
        <v>128</v>
      </c>
      <c r="IF130" s="1540" t="e">
        <f t="shared" si="22"/>
        <v>#VALUE!</v>
      </c>
      <c r="IG130" s="1540" t="str">
        <f t="shared" si="23"/>
        <v/>
      </c>
    </row>
    <row r="131" spans="1:241">
      <c r="J131" s="1323" t="s">
        <v>2090</v>
      </c>
      <c r="K131" s="3" t="s">
        <v>7942</v>
      </c>
      <c r="L131" s="3" t="s">
        <v>2090</v>
      </c>
      <c r="M131" s="4"/>
      <c r="N131" s="4"/>
      <c r="O131" s="4"/>
      <c r="P131" s="4"/>
      <c r="Q131" s="4"/>
      <c r="R131" s="4"/>
      <c r="S131" s="3" t="s">
        <v>273</v>
      </c>
      <c r="T131" s="3" t="s">
        <v>2090</v>
      </c>
      <c r="V131" s="3" t="s">
        <v>149</v>
      </c>
      <c r="W131" s="3">
        <v>9</v>
      </c>
      <c r="X131" s="3">
        <v>15</v>
      </c>
      <c r="Y131" s="3">
        <v>45</v>
      </c>
      <c r="Z131" s="3">
        <v>56</v>
      </c>
      <c r="AA131" s="3">
        <v>70</v>
      </c>
      <c r="AB131" s="3">
        <v>6</v>
      </c>
      <c r="AC131" s="3" t="s">
        <v>774</v>
      </c>
      <c r="AD131" s="569" t="s">
        <v>5964</v>
      </c>
      <c r="AO131" s="3">
        <v>1</v>
      </c>
      <c r="AP131" s="3">
        <v>1</v>
      </c>
      <c r="AQ131" s="3">
        <v>1</v>
      </c>
      <c r="BO131" s="999" t="s">
        <v>1370</v>
      </c>
      <c r="BV131" s="456" t="s">
        <v>2027</v>
      </c>
      <c r="EN131" s="1323" t="s">
        <v>737</v>
      </c>
      <c r="EO131" s="3" t="s">
        <v>155</v>
      </c>
      <c r="EP131" s="3" t="s">
        <v>204</v>
      </c>
      <c r="EQ131" s="3" t="s">
        <v>460</v>
      </c>
      <c r="ER131" s="3" t="s">
        <v>563</v>
      </c>
      <c r="ES131" s="19" t="s">
        <v>274</v>
      </c>
      <c r="EV131" s="19" t="s">
        <v>202</v>
      </c>
      <c r="EX131" s="19" t="s">
        <v>3717</v>
      </c>
      <c r="EZ131" s="3" t="s">
        <v>497</v>
      </c>
      <c r="FA131" s="3" t="s">
        <v>204</v>
      </c>
      <c r="FD131" s="3">
        <v>3</v>
      </c>
      <c r="FE131" s="3">
        <v>6</v>
      </c>
      <c r="FL131" s="3">
        <v>500</v>
      </c>
      <c r="FM131" s="3">
        <v>1</v>
      </c>
      <c r="FN131" s="3" t="s">
        <v>424</v>
      </c>
      <c r="FO131" s="3">
        <v>100</v>
      </c>
      <c r="FQ131" s="3" t="str">
        <f t="shared" si="31"/>
        <v>pistols</v>
      </c>
      <c r="FR131" s="3" t="s">
        <v>738</v>
      </c>
      <c r="FS131" s="8" t="s">
        <v>739</v>
      </c>
      <c r="GC131" s="12" t="s">
        <v>1620</v>
      </c>
      <c r="GD131" s="3" t="s">
        <v>482</v>
      </c>
      <c r="GE131" s="19">
        <v>0</v>
      </c>
      <c r="GF131" s="19">
        <v>0.5</v>
      </c>
      <c r="GG131" s="19" t="s">
        <v>249</v>
      </c>
      <c r="GH131" s="3" t="s">
        <v>1621</v>
      </c>
      <c r="GI131" s="8" t="s">
        <v>1622</v>
      </c>
      <c r="GJ131" s="3"/>
      <c r="IC131" s="1540" t="str">
        <f t="shared" si="30"/>
        <v/>
      </c>
      <c r="ID131" s="1540" t="str">
        <f t="shared" si="21"/>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c r="IE131" s="1540">
        <f t="shared" si="24"/>
        <v>129</v>
      </c>
      <c r="IF131" s="1540" t="e">
        <f t="shared" si="22"/>
        <v>#VALUE!</v>
      </c>
      <c r="IG131" s="1540" t="str">
        <f t="shared" si="23"/>
        <v/>
      </c>
    </row>
    <row r="132" spans="1:241">
      <c r="A132" s="613" t="s">
        <v>6184</v>
      </c>
      <c r="J132" s="1323" t="s">
        <v>2091</v>
      </c>
      <c r="K132" s="3" t="s">
        <v>2146</v>
      </c>
      <c r="L132" s="3" t="s">
        <v>2091</v>
      </c>
      <c r="M132" s="4"/>
      <c r="N132" s="4"/>
      <c r="O132" s="4"/>
      <c r="P132" s="4"/>
      <c r="Q132" s="4">
        <v>-2</v>
      </c>
      <c r="R132" s="4">
        <v>2</v>
      </c>
      <c r="S132" s="3" t="s">
        <v>273</v>
      </c>
      <c r="V132" s="3" t="s">
        <v>149</v>
      </c>
      <c r="W132" s="3">
        <v>12</v>
      </c>
      <c r="X132" s="3">
        <v>19</v>
      </c>
      <c r="Y132" s="3">
        <v>50</v>
      </c>
      <c r="Z132" s="3">
        <v>65</v>
      </c>
      <c r="AA132" s="3">
        <v>80</v>
      </c>
      <c r="AB132" s="3">
        <v>6</v>
      </c>
      <c r="AC132" s="3" t="s">
        <v>2236</v>
      </c>
      <c r="AD132" s="3" t="s">
        <v>2092</v>
      </c>
      <c r="BO132" s="999" t="s">
        <v>7949</v>
      </c>
      <c r="BV132" s="456" t="s">
        <v>8018</v>
      </c>
      <c r="EN132" s="1323" t="s">
        <v>2172</v>
      </c>
      <c r="EO132" s="3" t="s">
        <v>2159</v>
      </c>
      <c r="EP132" s="3" t="s">
        <v>204</v>
      </c>
      <c r="EQ132" s="3" t="s">
        <v>460</v>
      </c>
      <c r="ER132" s="3" t="s">
        <v>563</v>
      </c>
      <c r="ES132" s="19" t="s">
        <v>149</v>
      </c>
      <c r="EV132" s="19" t="s">
        <v>202</v>
      </c>
      <c r="EX132" s="19" t="s">
        <v>3717</v>
      </c>
      <c r="EZ132" s="3" t="s">
        <v>497</v>
      </c>
      <c r="FA132" s="3" t="s">
        <v>160</v>
      </c>
      <c r="FC132" s="3" t="s">
        <v>2173</v>
      </c>
      <c r="FD132" s="3">
        <v>3</v>
      </c>
      <c r="FE132" s="3">
        <v>8</v>
      </c>
      <c r="FL132" s="3">
        <v>850</v>
      </c>
      <c r="FM132" s="3">
        <v>1.6</v>
      </c>
      <c r="FN132" s="3" t="s">
        <v>424</v>
      </c>
      <c r="FO132" s="3">
        <v>50</v>
      </c>
      <c r="FP132" s="3">
        <v>1</v>
      </c>
      <c r="FQ132" s="3" t="str">
        <f t="shared" si="31"/>
        <v>pistols</v>
      </c>
      <c r="FR132" s="3" t="s">
        <v>2174</v>
      </c>
      <c r="FS132" s="8" t="s">
        <v>2175</v>
      </c>
      <c r="GC132" s="12" t="s">
        <v>8128</v>
      </c>
      <c r="GD132" s="3" t="s">
        <v>7183</v>
      </c>
      <c r="GE132" s="19">
        <v>300</v>
      </c>
      <c r="GF132" s="19">
        <v>0</v>
      </c>
      <c r="GG132" s="19" t="s">
        <v>249</v>
      </c>
      <c r="GH132" s="3" t="str">
        <f t="shared" ref="GH132:GH137" si="32">LOWER(GC132)</f>
        <v>panic ring</v>
      </c>
      <c r="GI132" s="8" t="str">
        <f t="shared" ref="GI132:GI137" si="33">GH132&amp;"s"</f>
        <v>panic rings</v>
      </c>
      <c r="GJ132" s="3"/>
      <c r="IC132" s="1540" t="str">
        <f t="shared" si="30"/>
        <v/>
      </c>
      <c r="ID132" s="1540" t="str">
        <f t="shared" ref="ID132:ID195" si="34">IF(IC132&lt;&gt;"",IC132&amp;ID133,ID133)</f>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3" spans="1:241">
      <c r="A133" s="12" t="s">
        <v>90</v>
      </c>
      <c r="B133">
        <v>6</v>
      </c>
      <c r="J133" s="1323" t="s">
        <v>7305</v>
      </c>
      <c r="K133" s="569" t="s">
        <v>7885</v>
      </c>
      <c r="L133" s="3" t="s">
        <v>7305</v>
      </c>
      <c r="O133" s="3">
        <v>2</v>
      </c>
      <c r="Q133" s="3">
        <v>-2</v>
      </c>
      <c r="S133" s="569" t="s">
        <v>273</v>
      </c>
      <c r="V133" s="569" t="s">
        <v>149</v>
      </c>
      <c r="W133" s="569">
        <v>10</v>
      </c>
      <c r="X133" s="569">
        <v>17</v>
      </c>
      <c r="Y133" s="569">
        <v>40</v>
      </c>
      <c r="Z133" s="569">
        <v>61</v>
      </c>
      <c r="AA133" s="569">
        <v>81</v>
      </c>
      <c r="AB133" s="569">
        <v>6</v>
      </c>
      <c r="AC133" s="569" t="s">
        <v>4486</v>
      </c>
      <c r="AD133" s="569" t="s">
        <v>7332</v>
      </c>
      <c r="AQ133" s="3">
        <v>2</v>
      </c>
      <c r="AW133" s="3" t="s">
        <v>2437</v>
      </c>
      <c r="BO133" s="1012" t="s">
        <v>151</v>
      </c>
      <c r="BV133" s="456" t="s">
        <v>2028</v>
      </c>
      <c r="EN133" s="1323" t="s">
        <v>758</v>
      </c>
      <c r="EO133" s="3" t="s">
        <v>155</v>
      </c>
      <c r="EP133" s="3" t="s">
        <v>204</v>
      </c>
      <c r="EQ133" s="3" t="s">
        <v>460</v>
      </c>
      <c r="ER133" s="3" t="s">
        <v>563</v>
      </c>
      <c r="ES133" s="19" t="s">
        <v>149</v>
      </c>
      <c r="EV133" s="19" t="s">
        <v>202</v>
      </c>
      <c r="EX133" s="19" t="s">
        <v>3717</v>
      </c>
      <c r="EZ133" s="3" t="s">
        <v>497</v>
      </c>
      <c r="FA133" s="3" t="s">
        <v>160</v>
      </c>
      <c r="FD133" s="3">
        <v>3</v>
      </c>
      <c r="FE133" s="3">
        <v>8</v>
      </c>
      <c r="FJ133" s="3" t="s">
        <v>499</v>
      </c>
      <c r="FL133" s="3">
        <v>750</v>
      </c>
      <c r="FM133" s="3">
        <v>1.3</v>
      </c>
      <c r="FN133" s="3" t="s">
        <v>424</v>
      </c>
      <c r="FO133" s="3">
        <v>50</v>
      </c>
      <c r="FQ133" s="3" t="str">
        <f t="shared" si="31"/>
        <v>pistols</v>
      </c>
      <c r="FR133" s="3" t="s">
        <v>759</v>
      </c>
      <c r="FS133" s="8" t="s">
        <v>760</v>
      </c>
      <c r="GC133" s="12" t="s">
        <v>7288</v>
      </c>
      <c r="GD133" s="3" t="s">
        <v>6758</v>
      </c>
      <c r="GE133" s="19">
        <v>500</v>
      </c>
      <c r="GF133" s="19">
        <v>1.5</v>
      </c>
      <c r="GG133" s="19" t="s">
        <v>170</v>
      </c>
      <c r="GH133" s="3" t="str">
        <f t="shared" si="32"/>
        <v>personal field shelter</v>
      </c>
      <c r="GI133" s="8" t="str">
        <f t="shared" si="33"/>
        <v>personal field shelters</v>
      </c>
      <c r="GJ133" s="3"/>
      <c r="IC133" s="1540" t="str">
        <f t="shared" si="30"/>
        <v/>
      </c>
      <c r="ID13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4" spans="1:241">
      <c r="A134" s="12" t="s">
        <v>873</v>
      </c>
      <c r="B134">
        <v>6</v>
      </c>
      <c r="J134" s="1335"/>
      <c r="K134" s="1167"/>
      <c r="L134" s="1167"/>
      <c r="M134" s="1167"/>
      <c r="N134" s="1167"/>
      <c r="O134" s="1167"/>
      <c r="P134" s="1167"/>
      <c r="Q134" s="1167"/>
      <c r="R134" s="1167"/>
      <c r="S134" s="1167"/>
      <c r="T134" s="1167"/>
      <c r="U134" s="1167"/>
      <c r="V134" s="1167"/>
      <c r="W134" s="1167"/>
      <c r="X134" s="1167"/>
      <c r="Y134" s="1167"/>
      <c r="Z134" s="1167"/>
      <c r="AA134" s="1167"/>
      <c r="AB134" s="1167"/>
      <c r="AC134" s="1167"/>
      <c r="AD134" s="1167"/>
      <c r="AE134" s="1167"/>
      <c r="AF134" s="1167"/>
      <c r="AG134" s="1167"/>
      <c r="AH134" s="1167"/>
      <c r="AI134" s="1167"/>
      <c r="AJ134" s="1167"/>
      <c r="AK134" s="1167"/>
      <c r="AL134" s="1167"/>
      <c r="AM134" s="1167"/>
      <c r="AN134" s="1167"/>
      <c r="AO134" s="1167"/>
      <c r="AP134" s="1167"/>
      <c r="AQ134" s="1167"/>
      <c r="AR134" s="1167"/>
      <c r="AS134" s="1167"/>
      <c r="AT134" s="1167"/>
      <c r="AU134" s="1167"/>
      <c r="AV134" s="1167"/>
      <c r="AW134" s="1167"/>
      <c r="AX134" s="1167"/>
      <c r="AY134" s="1167"/>
      <c r="AZ134" s="1167"/>
      <c r="BA134" s="1167"/>
      <c r="BB134" s="1167"/>
      <c r="BC134" s="1167"/>
      <c r="BD134" s="1167"/>
      <c r="BE134" s="1167"/>
      <c r="BF134" s="1167"/>
      <c r="BG134" s="1167"/>
      <c r="BH134" s="1167"/>
      <c r="BI134" s="1167"/>
      <c r="BJ134" s="1167"/>
      <c r="BK134" s="1167"/>
      <c r="BL134" s="1167"/>
      <c r="BM134" s="1167"/>
      <c r="BN134" s="1169" t="s">
        <v>2107</v>
      </c>
      <c r="BO134" s="1304" t="s">
        <v>7983</v>
      </c>
      <c r="BV134" s="456" t="s">
        <v>8000</v>
      </c>
      <c r="EN134" s="1323" t="s">
        <v>778</v>
      </c>
      <c r="EO134" s="3" t="s">
        <v>155</v>
      </c>
      <c r="EP134" s="3" t="s">
        <v>204</v>
      </c>
      <c r="EQ134" s="3" t="s">
        <v>460</v>
      </c>
      <c r="ER134" s="3" t="s">
        <v>563</v>
      </c>
      <c r="ES134" s="19" t="s">
        <v>170</v>
      </c>
      <c r="EX134" s="19" t="s">
        <v>3717</v>
      </c>
      <c r="EZ134" s="3" t="s">
        <v>497</v>
      </c>
      <c r="FA134" s="3" t="s">
        <v>779</v>
      </c>
      <c r="FC134" s="3" t="s">
        <v>780</v>
      </c>
      <c r="FD134" s="3">
        <v>3</v>
      </c>
      <c r="FE134" s="3">
        <v>4</v>
      </c>
      <c r="FJ134" s="3" t="s">
        <v>499</v>
      </c>
      <c r="FL134" s="3">
        <v>300</v>
      </c>
      <c r="FM134" s="3">
        <v>0.5</v>
      </c>
      <c r="FN134" s="3" t="s">
        <v>360</v>
      </c>
      <c r="FO134" s="3">
        <v>6</v>
      </c>
      <c r="FQ134" s="3" t="str">
        <f t="shared" si="31"/>
        <v>pistols</v>
      </c>
      <c r="FR134" s="3" t="s">
        <v>781</v>
      </c>
      <c r="FS134" s="8" t="s">
        <v>782</v>
      </c>
      <c r="GC134" s="1323" t="s">
        <v>8142</v>
      </c>
      <c r="GD134" s="3" t="s">
        <v>7946</v>
      </c>
      <c r="GE134" s="19">
        <v>100</v>
      </c>
      <c r="GF134" s="19">
        <v>0.2</v>
      </c>
      <c r="GG134" s="19" t="s">
        <v>249</v>
      </c>
      <c r="GH134" s="3" t="str">
        <f t="shared" si="32"/>
        <v>personal multitool</v>
      </c>
      <c r="GI134" s="8" t="str">
        <f t="shared" si="33"/>
        <v>personal multitools</v>
      </c>
      <c r="GJ134" s="3"/>
      <c r="IC134" s="1540" t="str">
        <f t="shared" si="30"/>
        <v/>
      </c>
      <c r="ID13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5" spans="1:241">
      <c r="A135" s="12" t="s">
        <v>892</v>
      </c>
      <c r="B135">
        <v>6</v>
      </c>
      <c r="BO135" s="1304" t="s">
        <v>276</v>
      </c>
      <c r="BV135" s="456" t="s">
        <v>2031</v>
      </c>
      <c r="EN135" s="1323" t="s">
        <v>7016</v>
      </c>
      <c r="EO135" s="3" t="s">
        <v>6758</v>
      </c>
      <c r="EP135" s="3" t="s">
        <v>204</v>
      </c>
      <c r="EQ135" s="3" t="s">
        <v>460</v>
      </c>
      <c r="ER135" s="3" t="s">
        <v>563</v>
      </c>
      <c r="ES135" s="19" t="s">
        <v>274</v>
      </c>
      <c r="EV135" s="19" t="s">
        <v>1337</v>
      </c>
      <c r="EX135" s="19" t="s">
        <v>3717</v>
      </c>
      <c r="EZ135" s="3" t="s">
        <v>497</v>
      </c>
      <c r="FA135" s="3" t="s">
        <v>160</v>
      </c>
      <c r="FC135" s="3" t="s">
        <v>7017</v>
      </c>
      <c r="FD135" s="3">
        <v>3</v>
      </c>
      <c r="FE135" s="3">
        <v>6</v>
      </c>
      <c r="FL135" s="3">
        <v>400</v>
      </c>
      <c r="FM135" s="3">
        <v>1</v>
      </c>
      <c r="FN135" s="3">
        <v>250</v>
      </c>
      <c r="FR135" s="3" t="s">
        <v>7018</v>
      </c>
      <c r="FS135" s="8" t="s">
        <v>7019</v>
      </c>
      <c r="GC135" s="12" t="s">
        <v>8141</v>
      </c>
      <c r="GD135" s="3" t="s">
        <v>7946</v>
      </c>
      <c r="GE135" s="1426">
        <v>2000</v>
      </c>
      <c r="GF135" s="19">
        <v>0.2</v>
      </c>
      <c r="GG135" s="19" t="s">
        <v>249</v>
      </c>
      <c r="GH135" s="3" t="str">
        <f t="shared" si="32"/>
        <v>personal translator</v>
      </c>
      <c r="GI135" s="8" t="str">
        <f t="shared" si="33"/>
        <v>personal translators</v>
      </c>
      <c r="GJ135" s="3"/>
      <c r="IC135" s="1540" t="str">
        <f t="shared" si="30"/>
        <v/>
      </c>
      <c r="ID13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6" spans="1:241">
      <c r="A136" s="12" t="s">
        <v>909</v>
      </c>
      <c r="B136">
        <v>6</v>
      </c>
      <c r="BO136" s="1304" t="s">
        <v>7984</v>
      </c>
      <c r="BV136" s="456" t="s">
        <v>8001</v>
      </c>
      <c r="EN136" s="1323" t="s">
        <v>2176</v>
      </c>
      <c r="EO136" s="3" t="s">
        <v>2159</v>
      </c>
      <c r="EP136" s="3" t="s">
        <v>204</v>
      </c>
      <c r="EQ136" s="3" t="s">
        <v>460</v>
      </c>
      <c r="ER136" s="3" t="s">
        <v>563</v>
      </c>
      <c r="ES136" s="19" t="s">
        <v>170</v>
      </c>
      <c r="EX136" s="19" t="s">
        <v>3717</v>
      </c>
      <c r="EZ136" s="3" t="s">
        <v>497</v>
      </c>
      <c r="FA136" s="3" t="s">
        <v>779</v>
      </c>
      <c r="FC136" s="3" t="s">
        <v>2177</v>
      </c>
      <c r="FD136" s="3">
        <v>3</v>
      </c>
      <c r="FE136" s="3">
        <v>6</v>
      </c>
      <c r="FL136" s="3">
        <v>250</v>
      </c>
      <c r="FM136" s="3">
        <v>1</v>
      </c>
      <c r="FN136" s="3" t="s">
        <v>424</v>
      </c>
      <c r="FO136" s="3">
        <v>1</v>
      </c>
      <c r="FP136" s="3">
        <v>1</v>
      </c>
      <c r="FQ136" s="3" t="str">
        <f>IF(EP136="R",IF(EQ136&lt;&gt;"EWP",ER136,"pistols"),"")</f>
        <v>pistols</v>
      </c>
      <c r="FR136" s="3" t="s">
        <v>2178</v>
      </c>
      <c r="FS136" s="8" t="s">
        <v>2179</v>
      </c>
      <c r="GC136" s="12" t="s">
        <v>7289</v>
      </c>
      <c r="GD136" s="3" t="s">
        <v>6758</v>
      </c>
      <c r="GE136" s="1426">
        <v>12500</v>
      </c>
      <c r="GF136" s="19">
        <v>700</v>
      </c>
      <c r="GG136" s="19" t="s">
        <v>201</v>
      </c>
      <c r="GH136" s="3" t="str">
        <f t="shared" si="32"/>
        <v>plasma bridge</v>
      </c>
      <c r="GI136" s="8" t="str">
        <f t="shared" si="33"/>
        <v>plasma bridges</v>
      </c>
      <c r="GJ136" s="3"/>
      <c r="IC136" s="1540" t="str">
        <f t="shared" si="30"/>
        <v/>
      </c>
      <c r="ID13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7" spans="1:241" s="1304" customFormat="1">
      <c r="A137" s="12" t="s">
        <v>917</v>
      </c>
      <c r="B137">
        <v>4</v>
      </c>
      <c r="C137"/>
      <c r="D137"/>
      <c r="E137"/>
      <c r="F137"/>
      <c r="J137" s="132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8"/>
      <c r="BO137" s="1304" t="s">
        <v>7958</v>
      </c>
      <c r="BP137" s="1552" t="s">
        <v>375</v>
      </c>
      <c r="BQ137" s="1552" t="s">
        <v>5810</v>
      </c>
      <c r="BR137" s="954"/>
      <c r="BS137" s="954"/>
      <c r="BT137" s="954"/>
      <c r="BU137" s="954"/>
      <c r="BV137" s="456" t="s">
        <v>8023</v>
      </c>
      <c r="BW137" s="1323"/>
      <c r="BX137" s="1323"/>
      <c r="BY137" s="19"/>
      <c r="BZ137" s="19"/>
      <c r="CA137" s="19"/>
      <c r="CB137" s="19"/>
      <c r="CC137" s="19"/>
      <c r="CD137" s="19"/>
      <c r="CE137" s="19"/>
      <c r="CF137" s="19"/>
      <c r="CG137" s="19"/>
      <c r="CH137" s="19"/>
      <c r="CI137" s="3"/>
      <c r="CJ137" s="3"/>
      <c r="CK137" s="3"/>
      <c r="CL137" s="3"/>
      <c r="CM137" s="3"/>
      <c r="CN137" s="3"/>
      <c r="CO137" s="3"/>
      <c r="CP137" s="3"/>
      <c r="CQ137" s="3"/>
      <c r="CR137" s="3"/>
      <c r="CS137" s="3"/>
      <c r="CT137" s="3"/>
      <c r="CU137" s="3"/>
      <c r="CV137" s="3"/>
      <c r="CW137" s="3"/>
      <c r="CX137" s="3"/>
      <c r="CY137" s="8"/>
      <c r="CZ137" s="1323"/>
      <c r="DA137" s="14"/>
      <c r="DB137" s="19"/>
      <c r="DC137" s="12"/>
      <c r="DD137"/>
      <c r="DE137"/>
      <c r="DF137"/>
      <c r="DG137"/>
      <c r="DH137"/>
      <c r="DI137"/>
      <c r="DJ137"/>
      <c r="DK137"/>
      <c r="DL137"/>
      <c r="DM137"/>
      <c r="DN137"/>
      <c r="DO137"/>
      <c r="DP137"/>
      <c r="DQ137"/>
      <c r="DR137"/>
      <c r="DS137"/>
      <c r="DT137"/>
      <c r="DU137"/>
      <c r="DV137"/>
      <c r="DW137" s="640"/>
      <c r="DX137"/>
      <c r="DY137"/>
      <c r="DZ137"/>
      <c r="EA137"/>
      <c r="EB137"/>
      <c r="EC137" s="382"/>
      <c r="ED137"/>
      <c r="EE137"/>
      <c r="EF137"/>
      <c r="EG137"/>
      <c r="EH137"/>
      <c r="EI137"/>
      <c r="EJ137"/>
      <c r="EK137"/>
      <c r="EL137"/>
      <c r="EM137"/>
      <c r="EN137" s="1323" t="s">
        <v>804</v>
      </c>
      <c r="EO137" s="3" t="s">
        <v>155</v>
      </c>
      <c r="EP137" s="3" t="s">
        <v>204</v>
      </c>
      <c r="EQ137" s="3" t="s">
        <v>460</v>
      </c>
      <c r="ER137" s="3" t="s">
        <v>563</v>
      </c>
      <c r="ES137" s="19" t="s">
        <v>274</v>
      </c>
      <c r="ET137" s="19"/>
      <c r="EU137" s="19"/>
      <c r="EV137" s="19" t="s">
        <v>202</v>
      </c>
      <c r="EW137" s="19"/>
      <c r="EX137" s="19" t="s">
        <v>3717</v>
      </c>
      <c r="EY137" s="19"/>
      <c r="EZ137" s="3" t="s">
        <v>497</v>
      </c>
      <c r="FA137" s="3" t="s">
        <v>321</v>
      </c>
      <c r="FB137" s="3"/>
      <c r="FC137" s="3"/>
      <c r="FD137" s="3">
        <v>3</v>
      </c>
      <c r="FE137" s="3">
        <v>4</v>
      </c>
      <c r="FF137" s="3"/>
      <c r="FG137" s="3"/>
      <c r="FH137" s="3"/>
      <c r="FI137" s="3"/>
      <c r="FJ137" s="3" t="s">
        <v>587</v>
      </c>
      <c r="FK137" s="3"/>
      <c r="FL137" s="3">
        <v>300</v>
      </c>
      <c r="FM137" s="3">
        <v>1</v>
      </c>
      <c r="FN137" s="3" t="s">
        <v>424</v>
      </c>
      <c r="FO137" s="3">
        <v>100</v>
      </c>
      <c r="FP137" s="3"/>
      <c r="FQ137" s="3" t="str">
        <f>IF(EP137="R",IF(EQ137&lt;&gt;"EWP",ER137,"pistols"),"")</f>
        <v>pistols</v>
      </c>
      <c r="FR137" s="3" t="s">
        <v>805</v>
      </c>
      <c r="FS137" s="8" t="s">
        <v>806</v>
      </c>
      <c r="FX137" s="1323"/>
      <c r="FY137" s="3"/>
      <c r="FZ137" s="3"/>
      <c r="GA137" s="3"/>
      <c r="GB137" s="8"/>
      <c r="GC137" s="12" t="s">
        <v>8140</v>
      </c>
      <c r="GD137" s="3" t="s">
        <v>7946</v>
      </c>
      <c r="GE137" s="19">
        <v>300</v>
      </c>
      <c r="GF137" s="19">
        <v>2.7</v>
      </c>
      <c r="GG137" s="19" t="s">
        <v>170</v>
      </c>
      <c r="GH137" s="3" t="str">
        <f t="shared" si="32"/>
        <v>plastent</v>
      </c>
      <c r="GI137" s="8" t="str">
        <f t="shared" si="33"/>
        <v>plastents</v>
      </c>
      <c r="GJ137" s="3"/>
      <c r="GK137" s="3"/>
      <c r="GL137" s="3"/>
      <c r="GM137" s="3"/>
      <c r="GN137" s="3"/>
      <c r="GO137" s="8"/>
      <c r="GP137" s="1323"/>
      <c r="GQ137" s="3"/>
      <c r="GR137" s="3"/>
      <c r="GS137" s="8"/>
      <c r="GT137" s="1323"/>
      <c r="GU137" s="3"/>
      <c r="GV137" s="3"/>
      <c r="GW137" s="3"/>
      <c r="GX137" s="3"/>
      <c r="GY137" s="3"/>
      <c r="GZ137" s="3"/>
      <c r="HA137" s="3"/>
      <c r="HB137" s="3"/>
      <c r="HC137" s="8"/>
      <c r="HD137" s="1323"/>
      <c r="HE137" s="3"/>
      <c r="HF137" s="3"/>
      <c r="HG137" s="3"/>
      <c r="HH137" s="3"/>
      <c r="HI137" s="1323"/>
      <c r="HJ137" s="3"/>
      <c r="HK137" s="3"/>
      <c r="HL137" s="8"/>
      <c r="HM137" s="8"/>
      <c r="HN137" s="12"/>
      <c r="HO137" s="3"/>
      <c r="HP137" s="3"/>
      <c r="HQ137" s="3"/>
      <c r="HR137" s="3"/>
      <c r="HS137" s="3"/>
      <c r="HT137" s="8"/>
      <c r="HU137" s="1323"/>
      <c r="HV137" s="3"/>
      <c r="HW137" s="3"/>
      <c r="HX137" s="3"/>
      <c r="HY137" s="8"/>
      <c r="IA137" s="1323"/>
      <c r="IB137" s="8"/>
      <c r="IC137" s="1540" t="str">
        <f t="shared" si="30"/>
        <v/>
      </c>
      <c r="ID13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8" spans="1:241">
      <c r="A138" s="12" t="s">
        <v>899</v>
      </c>
      <c r="B138">
        <v>6</v>
      </c>
      <c r="BO138" s="1304" t="s">
        <v>629</v>
      </c>
      <c r="BV138" s="456" t="s">
        <v>2032</v>
      </c>
      <c r="EN138" s="1323" t="s">
        <v>826</v>
      </c>
      <c r="EO138" s="3" t="s">
        <v>155</v>
      </c>
      <c r="EP138" s="3" t="s">
        <v>204</v>
      </c>
      <c r="EQ138" s="3" t="s">
        <v>460</v>
      </c>
      <c r="ER138" s="3" t="s">
        <v>563</v>
      </c>
      <c r="ES138" s="19" t="s">
        <v>149</v>
      </c>
      <c r="EV138" s="19" t="s">
        <v>202</v>
      </c>
      <c r="EX138" s="19" t="s">
        <v>3717</v>
      </c>
      <c r="EZ138" s="3" t="s">
        <v>497</v>
      </c>
      <c r="FA138" s="3" t="s">
        <v>160</v>
      </c>
      <c r="FC138" s="3" t="s">
        <v>3784</v>
      </c>
      <c r="FD138" s="3">
        <v>3</v>
      </c>
      <c r="FE138" s="3">
        <v>8</v>
      </c>
      <c r="FL138" s="3">
        <v>1000</v>
      </c>
      <c r="FM138" s="3">
        <v>1.5</v>
      </c>
      <c r="FN138" s="3" t="s">
        <v>424</v>
      </c>
      <c r="FO138" s="3">
        <v>50</v>
      </c>
      <c r="FQ138" s="3" t="str">
        <f>IF(EP138="R",IF(EQ138&lt;&gt;"EWP",ER138,"pistols"),"")</f>
        <v>pistols</v>
      </c>
      <c r="FR138" s="3" t="s">
        <v>827</v>
      </c>
      <c r="FS138" s="8" t="s">
        <v>828</v>
      </c>
      <c r="GC138" s="12" t="s">
        <v>1628</v>
      </c>
      <c r="GD138" s="3" t="s">
        <v>155</v>
      </c>
      <c r="GE138" s="19">
        <v>400</v>
      </c>
      <c r="GF138" s="19">
        <v>0.5</v>
      </c>
      <c r="GG138" s="19" t="s">
        <v>249</v>
      </c>
      <c r="GH138" s="3" t="s">
        <v>1629</v>
      </c>
      <c r="GI138" s="8" t="s">
        <v>1630</v>
      </c>
      <c r="GJ138" s="3"/>
      <c r="HN138" s="1323"/>
      <c r="IC138" s="1540" t="str">
        <f t="shared" si="30"/>
        <v/>
      </c>
      <c r="ID13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39" spans="1:241">
      <c r="BO139" s="1423" t="s">
        <v>1056</v>
      </c>
      <c r="BV139" s="456" t="s">
        <v>2033</v>
      </c>
      <c r="EN139" s="1323" t="s">
        <v>1069</v>
      </c>
      <c r="EO139" s="3" t="s">
        <v>169</v>
      </c>
      <c r="EP139" s="3" t="s">
        <v>204</v>
      </c>
      <c r="EQ139" s="3" t="s">
        <v>460</v>
      </c>
      <c r="ER139" s="3" t="s">
        <v>563</v>
      </c>
      <c r="ES139" s="19" t="s">
        <v>149</v>
      </c>
      <c r="EY139" s="19" t="s">
        <v>13</v>
      </c>
      <c r="EZ139" s="3" t="s">
        <v>497</v>
      </c>
      <c r="FA139" s="3" t="s">
        <v>160</v>
      </c>
      <c r="FD139" s="3">
        <v>3</v>
      </c>
      <c r="FE139" s="3">
        <v>6</v>
      </c>
      <c r="FK139" s="3" t="b">
        <v>1</v>
      </c>
      <c r="FL139" s="3">
        <v>750</v>
      </c>
      <c r="FM139" s="3">
        <v>2</v>
      </c>
      <c r="FN139" s="3" t="s">
        <v>424</v>
      </c>
      <c r="FO139" s="3">
        <v>50</v>
      </c>
      <c r="FP139" s="3">
        <v>1</v>
      </c>
      <c r="FQ139" s="3" t="str">
        <f>IF(EP139="R",IF(EQ139&lt;&gt;"EWP",ER139,"pistols"),"")</f>
        <v>pistols</v>
      </c>
      <c r="FR139" s="3" t="s">
        <v>1070</v>
      </c>
      <c r="FS139" s="8" t="s">
        <v>1071</v>
      </c>
      <c r="GC139" s="12" t="s">
        <v>8139</v>
      </c>
      <c r="GD139" s="3" t="s">
        <v>7946</v>
      </c>
      <c r="GE139" s="1426">
        <v>1500</v>
      </c>
      <c r="GF139" s="19">
        <v>6.8</v>
      </c>
      <c r="GG139" s="19" t="s">
        <v>274</v>
      </c>
      <c r="GH139" s="3" t="str">
        <f>LOWER(GC139)</f>
        <v>portable beacon</v>
      </c>
      <c r="GI139" s="8" t="str">
        <f>GH139&amp;"s"</f>
        <v>portable beacons</v>
      </c>
      <c r="GJ139" s="3"/>
      <c r="IC139" s="1540" t="str">
        <f t="shared" si="30"/>
        <v/>
      </c>
      <c r="ID13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0" spans="1:241">
      <c r="A140" s="1304" t="s">
        <v>6547</v>
      </c>
      <c r="BO140" s="1423" t="s">
        <v>879</v>
      </c>
      <c r="BV140" s="456" t="s">
        <v>2036</v>
      </c>
      <c r="EN140" s="1323" t="s">
        <v>8072</v>
      </c>
      <c r="EO140" s="3" t="s">
        <v>7183</v>
      </c>
      <c r="EP140" s="3" t="s">
        <v>204</v>
      </c>
      <c r="EQ140" s="569" t="s">
        <v>460</v>
      </c>
      <c r="ER140" s="569" t="s">
        <v>563</v>
      </c>
      <c r="ES140" s="19" t="s">
        <v>170</v>
      </c>
      <c r="EX140" s="19" t="s">
        <v>3717</v>
      </c>
      <c r="EZ140" s="3" t="s">
        <v>497</v>
      </c>
      <c r="FA140" s="3" t="s">
        <v>779</v>
      </c>
      <c r="FD140" s="3">
        <v>3</v>
      </c>
      <c r="FE140" s="3">
        <v>4</v>
      </c>
      <c r="FJ140" s="3" t="s">
        <v>499</v>
      </c>
      <c r="FL140" s="1552">
        <v>800</v>
      </c>
      <c r="FM140" s="1552">
        <v>0.5</v>
      </c>
      <c r="FN140" s="3" t="s">
        <v>8069</v>
      </c>
      <c r="FO140" s="3">
        <v>1</v>
      </c>
      <c r="FP140" s="569">
        <v>1</v>
      </c>
      <c r="FQ140" s="3" t="s">
        <v>563</v>
      </c>
      <c r="FR140" s="3" t="s">
        <v>8071</v>
      </c>
      <c r="FS140" s="8" t="str">
        <f>FR140&amp;"s"</f>
        <v>wrist blasters</v>
      </c>
      <c r="GC140" s="12" t="s">
        <v>1634</v>
      </c>
      <c r="GD140" s="3" t="s">
        <v>155</v>
      </c>
      <c r="GE140" s="19">
        <v>5000</v>
      </c>
      <c r="GF140" s="19">
        <v>2</v>
      </c>
      <c r="GG140" s="19" t="s">
        <v>170</v>
      </c>
      <c r="GH140" s="3" t="s">
        <v>1635</v>
      </c>
      <c r="GI140" s="8" t="s">
        <v>1636</v>
      </c>
      <c r="GJ140" s="3"/>
      <c r="IC140" s="1540" t="str">
        <f t="shared" si="30"/>
        <v/>
      </c>
      <c r="ID14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1" spans="1:241">
      <c r="A141" s="1304"/>
      <c r="B141" s="1304" t="s">
        <v>6543</v>
      </c>
      <c r="C141" s="1304" t="s">
        <v>4581</v>
      </c>
      <c r="D141" s="1304" t="s">
        <v>6544</v>
      </c>
      <c r="E141" s="1304" t="s">
        <v>6545</v>
      </c>
      <c r="F141" s="1304" t="s">
        <v>6546</v>
      </c>
      <c r="BO141" s="1423" t="s">
        <v>1432</v>
      </c>
      <c r="BV141" s="456" t="s">
        <v>2038</v>
      </c>
      <c r="DC141" s="1323"/>
      <c r="DD141" s="1304"/>
      <c r="DE141" s="1304"/>
      <c r="DF141" s="1304"/>
      <c r="DG141" s="1304"/>
      <c r="DH141" s="1304"/>
      <c r="DI141" s="1304"/>
      <c r="DJ141" s="1304"/>
      <c r="DK141" s="1304"/>
      <c r="DL141" s="1304"/>
      <c r="DM141" s="1304"/>
      <c r="DN141" s="1304"/>
      <c r="DO141" s="1304"/>
      <c r="DP141" s="1304"/>
      <c r="DQ141" s="1304"/>
      <c r="DR141" s="1304"/>
      <c r="DS141" s="1304"/>
      <c r="DT141" s="1304"/>
      <c r="DU141" s="1304"/>
      <c r="DV141" s="1304"/>
      <c r="DW141" s="1304"/>
      <c r="DX141" s="1304"/>
      <c r="DY141" s="1304"/>
      <c r="DZ141" s="1304"/>
      <c r="EA141" s="1304"/>
      <c r="EB141" s="1304"/>
      <c r="EC141" s="1304"/>
      <c r="ED141" s="1304"/>
      <c r="EE141" s="1304"/>
      <c r="EF141" s="1304"/>
      <c r="EG141" s="1304"/>
      <c r="EH141" s="1304"/>
      <c r="EI141" s="1304"/>
      <c r="EJ141" s="1304"/>
      <c r="EK141" s="1304"/>
      <c r="EL141" s="1304"/>
      <c r="EM141" s="1304"/>
      <c r="EN141" s="1323" t="s">
        <v>1129</v>
      </c>
      <c r="EO141" s="3" t="s">
        <v>272</v>
      </c>
      <c r="EP141" s="3" t="s">
        <v>204</v>
      </c>
      <c r="EQ141" s="3" t="s">
        <v>460</v>
      </c>
      <c r="ER141" s="3" t="s">
        <v>563</v>
      </c>
      <c r="ES141" s="19" t="s">
        <v>149</v>
      </c>
      <c r="EX141" s="19" t="s">
        <v>3717</v>
      </c>
      <c r="EZ141" s="3" t="s">
        <v>497</v>
      </c>
      <c r="FA141" s="3" t="s">
        <v>321</v>
      </c>
      <c r="FD141" s="3">
        <v>3</v>
      </c>
      <c r="FE141" s="3">
        <v>4</v>
      </c>
      <c r="FJ141" s="3" t="s">
        <v>587</v>
      </c>
      <c r="FL141" s="3">
        <v>1350</v>
      </c>
      <c r="FM141" s="3">
        <v>3</v>
      </c>
      <c r="FN141" s="3" t="s">
        <v>424</v>
      </c>
      <c r="FO141" s="3">
        <v>100</v>
      </c>
      <c r="FQ141" s="3" t="str">
        <f>IF(EP141="R",IF(EQ141&lt;&gt;"EWP",ER141,"pistols"),"")</f>
        <v>pistols</v>
      </c>
      <c r="FR141" s="3" t="s">
        <v>1129</v>
      </c>
      <c r="FS141" s="8" t="s">
        <v>1130</v>
      </c>
      <c r="GC141" s="12" t="s">
        <v>1640</v>
      </c>
      <c r="GD141" s="3" t="s">
        <v>155</v>
      </c>
      <c r="GE141" s="19">
        <v>750</v>
      </c>
      <c r="GF141" s="19">
        <v>15</v>
      </c>
      <c r="GG141" s="19" t="s">
        <v>274</v>
      </c>
      <c r="GH141" s="3" t="s">
        <v>656</v>
      </c>
      <c r="GI141" s="8" t="s">
        <v>657</v>
      </c>
      <c r="GJ141" s="3"/>
      <c r="IC141" s="1540" t="str">
        <f t="shared" si="30"/>
        <v/>
      </c>
      <c r="ID14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2" spans="1:241">
      <c r="A142" s="1304">
        <v>1</v>
      </c>
      <c r="B142">
        <v>1</v>
      </c>
      <c r="C142">
        <v>1</v>
      </c>
      <c r="D142" s="1304">
        <v>1</v>
      </c>
      <c r="E142" s="1304">
        <v>1</v>
      </c>
      <c r="F142" s="1304">
        <v>1</v>
      </c>
      <c r="BO142" s="1423" t="s">
        <v>1596</v>
      </c>
      <c r="BV142" s="456" t="s">
        <v>2039</v>
      </c>
      <c r="EN142" s="1323" t="s">
        <v>7029</v>
      </c>
      <c r="EO142" s="3" t="s">
        <v>6758</v>
      </c>
      <c r="EP142" s="3" t="s">
        <v>204</v>
      </c>
      <c r="EQ142" s="3" t="s">
        <v>460</v>
      </c>
      <c r="ER142" s="3" t="s">
        <v>461</v>
      </c>
      <c r="ES142" s="19" t="s">
        <v>149</v>
      </c>
      <c r="EX142" s="19" t="s">
        <v>3717</v>
      </c>
      <c r="EZ142" s="3" t="s">
        <v>242</v>
      </c>
      <c r="FA142" s="3" t="s">
        <v>3718</v>
      </c>
      <c r="FD142" s="3">
        <v>1</v>
      </c>
      <c r="FE142" s="3">
        <v>8</v>
      </c>
      <c r="FL142" s="3">
        <v>400</v>
      </c>
      <c r="FM142" s="3">
        <v>1.2</v>
      </c>
      <c r="FN142" s="3">
        <v>10</v>
      </c>
      <c r="FR142" s="3" t="s">
        <v>7030</v>
      </c>
      <c r="FS142" s="8" t="s">
        <v>7031</v>
      </c>
      <c r="GC142" s="12" t="s">
        <v>1645</v>
      </c>
      <c r="GD142" s="3" t="s">
        <v>248</v>
      </c>
      <c r="GE142" s="19">
        <v>1250</v>
      </c>
      <c r="GF142" s="19">
        <v>7.5</v>
      </c>
      <c r="GG142" s="19" t="s">
        <v>274</v>
      </c>
      <c r="GH142" s="3" t="s">
        <v>1646</v>
      </c>
      <c r="GI142" s="8" t="s">
        <v>1647</v>
      </c>
      <c r="GJ142" s="3"/>
      <c r="IC142" s="1540" t="str">
        <f t="shared" si="30"/>
        <v/>
      </c>
      <c r="ID14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3" spans="1:241">
      <c r="A143" s="1304">
        <v>2</v>
      </c>
      <c r="B143">
        <v>2</v>
      </c>
      <c r="C143">
        <v>1</v>
      </c>
      <c r="D143" s="1304">
        <v>2</v>
      </c>
      <c r="E143" s="1304">
        <v>1</v>
      </c>
      <c r="F143" s="1304">
        <v>1</v>
      </c>
      <c r="BO143" s="1423" t="s">
        <v>312</v>
      </c>
      <c r="BV143" s="456" t="s">
        <v>2040</v>
      </c>
      <c r="EN143" s="1323" t="s">
        <v>1297</v>
      </c>
      <c r="EO143" s="3" t="s">
        <v>530</v>
      </c>
      <c r="EP143" s="3" t="s">
        <v>204</v>
      </c>
      <c r="EQ143" s="3" t="s">
        <v>460</v>
      </c>
      <c r="ER143" s="3" t="s">
        <v>563</v>
      </c>
      <c r="ES143" s="19" t="s">
        <v>170</v>
      </c>
      <c r="EX143" s="19" t="s">
        <v>3717</v>
      </c>
      <c r="EZ143" s="3" t="s">
        <v>242</v>
      </c>
      <c r="FA143" s="3" t="s">
        <v>321</v>
      </c>
      <c r="FD143" s="3">
        <v>2</v>
      </c>
      <c r="FE143" s="3">
        <v>4</v>
      </c>
      <c r="FL143" s="3">
        <v>325</v>
      </c>
      <c r="FM143" s="3">
        <v>0.5</v>
      </c>
      <c r="FN143" s="3" t="s">
        <v>615</v>
      </c>
      <c r="FO143" s="3">
        <v>4</v>
      </c>
      <c r="FQ143" s="3" t="str">
        <f>IF(EP143="R",IF(EQ143&lt;&gt;"EWP",ER143,"pistols"),"")</f>
        <v>pistols</v>
      </c>
      <c r="FR143" s="3" t="s">
        <v>1297</v>
      </c>
      <c r="FS143" s="8" t="s">
        <v>1298</v>
      </c>
      <c r="GC143" s="12" t="s">
        <v>1657</v>
      </c>
      <c r="GD143" s="3" t="s">
        <v>155</v>
      </c>
      <c r="GE143" s="19">
        <v>25</v>
      </c>
      <c r="GF143" s="19">
        <v>0.1</v>
      </c>
      <c r="GG143" s="19" t="s">
        <v>249</v>
      </c>
      <c r="GH143" s="3" t="s">
        <v>675</v>
      </c>
      <c r="GI143" s="8" t="s">
        <v>676</v>
      </c>
      <c r="GJ143" s="3"/>
      <c r="IC143" s="1540" t="str">
        <f t="shared" si="30"/>
        <v/>
      </c>
      <c r="ID14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4" spans="1:241">
      <c r="A144" s="1304">
        <v>3</v>
      </c>
      <c r="B144">
        <v>3</v>
      </c>
      <c r="C144">
        <v>2</v>
      </c>
      <c r="D144" s="1304">
        <v>3</v>
      </c>
      <c r="E144" s="1304">
        <v>2</v>
      </c>
      <c r="F144" s="1304">
        <v>2</v>
      </c>
      <c r="BO144" s="1423" t="s">
        <v>7310</v>
      </c>
      <c r="BV144" s="456" t="s">
        <v>7313</v>
      </c>
      <c r="EN144" s="1323" t="s">
        <v>8064</v>
      </c>
      <c r="EO144" s="3" t="s">
        <v>7183</v>
      </c>
      <c r="EP144" s="569" t="s">
        <v>204</v>
      </c>
      <c r="EQ144" s="569" t="s">
        <v>460</v>
      </c>
      <c r="ER144" s="569" t="s">
        <v>563</v>
      </c>
      <c r="ES144" s="19" t="s">
        <v>149</v>
      </c>
      <c r="EX144" s="19" t="s">
        <v>3717</v>
      </c>
      <c r="EZ144" s="3" t="s">
        <v>242</v>
      </c>
      <c r="FA144" s="569" t="s">
        <v>321</v>
      </c>
      <c r="FC144" s="569" t="s">
        <v>8067</v>
      </c>
      <c r="FF144" s="3">
        <v>1</v>
      </c>
      <c r="FL144" s="1552">
        <v>150</v>
      </c>
      <c r="FM144" s="1552">
        <v>3</v>
      </c>
      <c r="FN144" s="3" t="s">
        <v>2204</v>
      </c>
      <c r="FO144" s="3">
        <v>1</v>
      </c>
      <c r="FP144" s="569">
        <v>1</v>
      </c>
      <c r="FQ144" s="3" t="s">
        <v>563</v>
      </c>
      <c r="FR144" s="3" t="s">
        <v>8074</v>
      </c>
      <c r="FS144" s="8" t="str">
        <f>FR144&amp;"s"</f>
        <v>darters</v>
      </c>
      <c r="GC144" s="12" t="s">
        <v>1661</v>
      </c>
      <c r="GD144" s="3" t="s">
        <v>155</v>
      </c>
      <c r="GE144" s="19">
        <v>100</v>
      </c>
      <c r="GF144" s="19">
        <v>1</v>
      </c>
      <c r="GG144" s="19" t="s">
        <v>209</v>
      </c>
      <c r="GH144" s="3" t="s">
        <v>1662</v>
      </c>
      <c r="GI144" s="8" t="s">
        <v>1663</v>
      </c>
      <c r="GJ144" s="3"/>
      <c r="IC144" s="1540" t="str">
        <f t="shared" si="30"/>
        <v/>
      </c>
      <c r="ID14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5" spans="1:238">
      <c r="A145" s="1304">
        <v>4</v>
      </c>
      <c r="B145">
        <v>4</v>
      </c>
      <c r="C145">
        <v>3</v>
      </c>
      <c r="D145" s="1304">
        <v>4</v>
      </c>
      <c r="E145" s="1304">
        <v>3</v>
      </c>
      <c r="F145" s="1304">
        <v>3</v>
      </c>
      <c r="BO145" s="1423" t="s">
        <v>1574</v>
      </c>
      <c r="BV145" s="456" t="s">
        <v>2047</v>
      </c>
      <c r="EN145" s="1323" t="s">
        <v>1347</v>
      </c>
      <c r="EO145" s="3" t="s">
        <v>272</v>
      </c>
      <c r="EP145" s="3" t="s">
        <v>204</v>
      </c>
      <c r="EQ145" s="3" t="s">
        <v>460</v>
      </c>
      <c r="ER145" s="3" t="s">
        <v>563</v>
      </c>
      <c r="ES145" s="19" t="s">
        <v>149</v>
      </c>
      <c r="EX145" s="19" t="s">
        <v>3717</v>
      </c>
      <c r="EZ145" s="3" t="s">
        <v>497</v>
      </c>
      <c r="FA145" s="3" t="s">
        <v>779</v>
      </c>
      <c r="FC145" s="3" t="s">
        <v>1348</v>
      </c>
      <c r="FD145" s="3">
        <v>3</v>
      </c>
      <c r="FE145" s="3">
        <v>6</v>
      </c>
      <c r="FL145" s="3">
        <v>3000</v>
      </c>
      <c r="FM145" s="3">
        <v>3</v>
      </c>
      <c r="FN145" s="3" t="s">
        <v>424</v>
      </c>
      <c r="FO145" s="3">
        <v>10</v>
      </c>
      <c r="FQ145" s="3" t="str">
        <f>IF(EP145="R",IF(EQ145&lt;&gt;"EWP",ER145,"pistols"),"")</f>
        <v>pistols</v>
      </c>
      <c r="FR145" s="3" t="s">
        <v>1347</v>
      </c>
      <c r="FS145" s="8" t="s">
        <v>1349</v>
      </c>
      <c r="GC145" s="12" t="s">
        <v>6584</v>
      </c>
      <c r="GD145" s="569" t="s">
        <v>6222</v>
      </c>
      <c r="GE145" s="19">
        <v>200</v>
      </c>
      <c r="GF145" s="19">
        <v>10</v>
      </c>
      <c r="GG145" s="19" t="s">
        <v>274</v>
      </c>
      <c r="GH145" s="1085" t="s">
        <v>6587</v>
      </c>
      <c r="GI145" s="8" t="s">
        <v>6588</v>
      </c>
      <c r="GJ145" s="3"/>
      <c r="IC145" s="1540" t="str">
        <f t="shared" ref="IC145:IC192" si="35">IF(EQ157="EWP",EN157&amp;";","")</f>
        <v/>
      </c>
      <c r="ID14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6" spans="1:238">
      <c r="A146" s="1304">
        <v>5</v>
      </c>
      <c r="B146">
        <v>6</v>
      </c>
      <c r="C146">
        <v>4</v>
      </c>
      <c r="D146" s="1304">
        <v>6</v>
      </c>
      <c r="E146" s="1304">
        <v>4</v>
      </c>
      <c r="F146" s="1304">
        <v>4</v>
      </c>
      <c r="BO146" s="1423" t="s">
        <v>484</v>
      </c>
      <c r="BV146" s="456" t="str">
        <f>"Withing "&amp;10+IF(AND(Race="Ewok",Feats!M388&gt;0),10,0)&amp;" squares, ignore concealment and cover for purposes of Perception checks; no penalty from poor visibility when tracking"</f>
        <v>Withing 10 squares, ignore concealment and cover for purposes of Perception checks; no penalty from poor visibility when tracking</v>
      </c>
      <c r="EN146" s="1323" t="s">
        <v>1454</v>
      </c>
      <c r="EO146" s="3" t="s">
        <v>530</v>
      </c>
      <c r="EP146" s="3" t="s">
        <v>204</v>
      </c>
      <c r="EQ146" s="3" t="s">
        <v>460</v>
      </c>
      <c r="ER146" s="3" t="s">
        <v>563</v>
      </c>
      <c r="ES146" s="19" t="s">
        <v>170</v>
      </c>
      <c r="EZ146" s="3" t="s">
        <v>497</v>
      </c>
      <c r="FA146" s="3" t="s">
        <v>779</v>
      </c>
      <c r="FD146" s="3">
        <v>3</v>
      </c>
      <c r="FE146" s="3">
        <v>4</v>
      </c>
      <c r="FJ146" s="3" t="s">
        <v>499</v>
      </c>
      <c r="FL146" s="3">
        <v>400</v>
      </c>
      <c r="FM146" s="3">
        <v>0.25</v>
      </c>
      <c r="FN146" s="3" t="s">
        <v>424</v>
      </c>
      <c r="FO146" s="3">
        <v>2</v>
      </c>
      <c r="FQ146" s="3" t="str">
        <f>IF(EP146="R",IF(EQ146&lt;&gt;"EWP",ER146,"pistols"),"")</f>
        <v>pistols</v>
      </c>
      <c r="FR146" s="3" t="s">
        <v>1454</v>
      </c>
      <c r="FS146" s="8" t="s">
        <v>1455</v>
      </c>
      <c r="GC146" s="12" t="s">
        <v>7281</v>
      </c>
      <c r="GD146" s="3" t="s">
        <v>6758</v>
      </c>
      <c r="GE146" s="19">
        <v>50</v>
      </c>
      <c r="GF146" s="19">
        <v>0.5</v>
      </c>
      <c r="GG146" s="19" t="s">
        <v>249</v>
      </c>
      <c r="GH146" s="3" t="str">
        <f>LOWER(GC146)</f>
        <v>proximity flare</v>
      </c>
      <c r="GI146" s="8" t="str">
        <f>GH146&amp;"s"</f>
        <v>proximity flares</v>
      </c>
      <c r="GJ146" s="3"/>
      <c r="IC146" s="1540" t="str">
        <f t="shared" si="35"/>
        <v/>
      </c>
      <c r="ID14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7" spans="1:238">
      <c r="A147" s="1304">
        <v>6</v>
      </c>
      <c r="B147">
        <v>8</v>
      </c>
      <c r="C147">
        <v>6</v>
      </c>
      <c r="D147" s="1304">
        <v>8</v>
      </c>
      <c r="E147" s="1304">
        <v>6</v>
      </c>
      <c r="F147" s="1304">
        <v>6</v>
      </c>
      <c r="BO147" s="1423" t="s">
        <v>8060</v>
      </c>
      <c r="BV147" s="456" t="s">
        <v>8061</v>
      </c>
      <c r="EN147" s="1323" t="s">
        <v>8094</v>
      </c>
      <c r="EO147" s="569" t="s">
        <v>7946</v>
      </c>
      <c r="EP147" s="569" t="s">
        <v>204</v>
      </c>
      <c r="EQ147" s="1552" t="s">
        <v>460</v>
      </c>
      <c r="ER147" s="1552" t="s">
        <v>563</v>
      </c>
      <c r="ES147" s="1552" t="s">
        <v>149</v>
      </c>
      <c r="EV147" s="1552"/>
      <c r="EX147" s="1552" t="s">
        <v>3717</v>
      </c>
      <c r="EZ147" s="1552" t="s">
        <v>242</v>
      </c>
      <c r="FA147" s="1552" t="s">
        <v>204</v>
      </c>
      <c r="FB147" s="1552"/>
      <c r="FC147" s="794" t="s">
        <v>8112</v>
      </c>
      <c r="FD147" s="1552">
        <v>2</v>
      </c>
      <c r="FE147" s="1552">
        <v>8</v>
      </c>
      <c r="FL147" s="1552">
        <v>400</v>
      </c>
      <c r="FM147" s="1552">
        <v>2.1</v>
      </c>
      <c r="FN147" s="3" t="s">
        <v>8106</v>
      </c>
      <c r="FO147" s="3">
        <v>8</v>
      </c>
      <c r="FP147" s="569">
        <v>1</v>
      </c>
      <c r="FQ147" s="569" t="s">
        <v>563</v>
      </c>
      <c r="FR147" s="3" t="s">
        <v>8101</v>
      </c>
      <c r="FS147" s="8" t="str">
        <f>FR147&amp;"s"</f>
        <v>heavy slugthrower pistols</v>
      </c>
      <c r="GC147" s="12" t="s">
        <v>7282</v>
      </c>
      <c r="GD147" s="3" t="s">
        <v>6758</v>
      </c>
      <c r="GE147" s="19">
        <v>20</v>
      </c>
      <c r="GF147" s="19">
        <v>0</v>
      </c>
      <c r="GG147" s="19" t="s">
        <v>249</v>
      </c>
      <c r="GH147" s="3" t="str">
        <f>LOWER(GC147)</f>
        <v>radiation detector</v>
      </c>
      <c r="GI147" s="8" t="str">
        <f>GH147&amp;"s"</f>
        <v>radiation detectors</v>
      </c>
      <c r="GJ147" s="3"/>
      <c r="IC147" s="1540" t="str">
        <f t="shared" si="35"/>
        <v/>
      </c>
      <c r="ID14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8" spans="1:238">
      <c r="A148" s="1304">
        <v>7</v>
      </c>
      <c r="B148">
        <v>6</v>
      </c>
      <c r="C148">
        <v>8</v>
      </c>
      <c r="D148" s="1304">
        <v>6</v>
      </c>
      <c r="E148" s="1304">
        <v>8</v>
      </c>
      <c r="F148" s="1304">
        <v>8</v>
      </c>
      <c r="BO148" s="1423" t="s">
        <v>8043</v>
      </c>
      <c r="BV148" s="456" t="s">
        <v>8058</v>
      </c>
      <c r="EN148" s="1323" t="s">
        <v>1553</v>
      </c>
      <c r="EO148" s="3" t="s">
        <v>155</v>
      </c>
      <c r="EP148" s="3" t="s">
        <v>204</v>
      </c>
      <c r="EQ148" s="3" t="s">
        <v>460</v>
      </c>
      <c r="ER148" s="3" t="s">
        <v>563</v>
      </c>
      <c r="ES148" s="19" t="s">
        <v>274</v>
      </c>
      <c r="EX148" s="19" t="s">
        <v>3717</v>
      </c>
      <c r="EZ148" s="3" t="s">
        <v>1372</v>
      </c>
      <c r="FA148" s="3" t="s">
        <v>321</v>
      </c>
      <c r="FC148" s="3" t="s">
        <v>1554</v>
      </c>
      <c r="FD148" s="3">
        <v>3</v>
      </c>
      <c r="FE148" s="3">
        <f ca="1">IF(Feats!$M$70&gt;0,8,6)</f>
        <v>6</v>
      </c>
      <c r="FL148" s="3">
        <v>250</v>
      </c>
      <c r="FM148" s="3">
        <v>1</v>
      </c>
      <c r="FN148" s="3" t="s">
        <v>424</v>
      </c>
      <c r="FO148" s="3">
        <v>30</v>
      </c>
      <c r="FQ148" s="3" t="str">
        <f t="shared" ref="FQ148:FQ153" si="36">IF(EP148="R",IF(EQ148&lt;&gt;"EWP",ER148,"pistols"),"")</f>
        <v>pistols</v>
      </c>
      <c r="FR148" s="3" t="s">
        <v>1555</v>
      </c>
      <c r="FS148" s="8" t="s">
        <v>1556</v>
      </c>
      <c r="GC148" s="12" t="s">
        <v>1670</v>
      </c>
      <c r="GD148" s="3" t="s">
        <v>155</v>
      </c>
      <c r="GE148" s="19">
        <v>5</v>
      </c>
      <c r="GF148" s="19">
        <v>0.1</v>
      </c>
      <c r="GG148" s="19" t="s">
        <v>249</v>
      </c>
      <c r="GH148" s="3" t="s">
        <v>1671</v>
      </c>
      <c r="GI148" s="8" t="s">
        <v>1672</v>
      </c>
      <c r="GJ148" s="3"/>
      <c r="IC148" s="1540" t="str">
        <f t="shared" si="35"/>
        <v/>
      </c>
      <c r="ID14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49" spans="1:238">
      <c r="A149" s="1304">
        <v>8</v>
      </c>
      <c r="B149">
        <v>6</v>
      </c>
      <c r="C149">
        <v>6</v>
      </c>
      <c r="D149" s="1304">
        <v>6</v>
      </c>
      <c r="E149" s="1304">
        <v>6</v>
      </c>
      <c r="F149" s="1304">
        <v>6</v>
      </c>
      <c r="BO149" s="1423" t="s">
        <v>7962</v>
      </c>
      <c r="BV149" s="456" t="s">
        <v>8026</v>
      </c>
      <c r="EN149" s="1323" t="s">
        <v>1659</v>
      </c>
      <c r="EO149" s="3" t="s">
        <v>530</v>
      </c>
      <c r="EP149" s="3" t="s">
        <v>204</v>
      </c>
      <c r="EQ149" s="3" t="s">
        <v>460</v>
      </c>
      <c r="ER149" s="3" t="s">
        <v>563</v>
      </c>
      <c r="ES149" s="19" t="s">
        <v>149</v>
      </c>
      <c r="EV149" s="19" t="s">
        <v>202</v>
      </c>
      <c r="EX149" s="19" t="s">
        <v>3717</v>
      </c>
      <c r="EZ149" s="3" t="s">
        <v>497</v>
      </c>
      <c r="FA149" s="3" t="s">
        <v>204</v>
      </c>
      <c r="FD149" s="3">
        <v>3</v>
      </c>
      <c r="FE149" s="3">
        <v>8</v>
      </c>
      <c r="FL149" s="3">
        <v>650</v>
      </c>
      <c r="FM149" s="3">
        <v>1.2</v>
      </c>
      <c r="FN149" s="3" t="s">
        <v>424</v>
      </c>
      <c r="FO149" s="3">
        <v>50</v>
      </c>
      <c r="FQ149" s="3" t="str">
        <f t="shared" si="36"/>
        <v>pistols</v>
      </c>
      <c r="FR149" s="3" t="s">
        <v>1659</v>
      </c>
      <c r="FS149" s="8" t="s">
        <v>1660</v>
      </c>
      <c r="GC149" s="12" t="s">
        <v>8120</v>
      </c>
      <c r="GD149" s="3" t="s">
        <v>7183</v>
      </c>
      <c r="GE149" s="19">
        <v>500</v>
      </c>
      <c r="GF149" s="19">
        <v>0</v>
      </c>
      <c r="GG149" s="19" t="s">
        <v>249</v>
      </c>
      <c r="GH149" s="3" t="str">
        <f>LOWER(GC149)</f>
        <v>redirection crystal</v>
      </c>
      <c r="GI149" s="8" t="str">
        <f>GH149&amp;"s"</f>
        <v>redirection crystals</v>
      </c>
      <c r="IC149" s="1540" t="str">
        <f t="shared" si="35"/>
        <v/>
      </c>
      <c r="ID14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0" spans="1:238">
      <c r="A150" s="1304">
        <v>9</v>
      </c>
      <c r="B150">
        <v>6</v>
      </c>
      <c r="C150">
        <v>6</v>
      </c>
      <c r="D150" s="1304">
        <v>6</v>
      </c>
      <c r="E150" s="1304">
        <v>6</v>
      </c>
      <c r="F150" s="1304">
        <v>6</v>
      </c>
      <c r="BO150" s="1423" t="s">
        <v>1825</v>
      </c>
      <c r="BV150" s="456" t="s">
        <v>2051</v>
      </c>
      <c r="EN150" s="1323" t="s">
        <v>1766</v>
      </c>
      <c r="EO150" s="3" t="s">
        <v>173</v>
      </c>
      <c r="EP150" s="3" t="s">
        <v>204</v>
      </c>
      <c r="EQ150" s="3" t="s">
        <v>460</v>
      </c>
      <c r="ER150" s="3" t="s">
        <v>563</v>
      </c>
      <c r="ES150" s="19" t="s">
        <v>274</v>
      </c>
      <c r="EX150" s="19" t="s">
        <v>3717</v>
      </c>
      <c r="EZ150" s="3" t="s">
        <v>242</v>
      </c>
      <c r="FA150" s="3" t="s">
        <v>321</v>
      </c>
      <c r="FD150" s="3">
        <v>2</v>
      </c>
      <c r="FE150" s="3">
        <v>4</v>
      </c>
      <c r="FJ150" s="3" t="s">
        <v>499</v>
      </c>
      <c r="FL150" s="3">
        <v>650</v>
      </c>
      <c r="FM150" s="3">
        <v>1</v>
      </c>
      <c r="FN150" s="3" t="s">
        <v>165</v>
      </c>
      <c r="FQ150" s="3" t="str">
        <f t="shared" si="36"/>
        <v>pistols</v>
      </c>
      <c r="FR150" s="3" t="s">
        <v>1767</v>
      </c>
      <c r="FS150" s="8" t="s">
        <v>1768</v>
      </c>
      <c r="GC150" s="12" t="s">
        <v>1677</v>
      </c>
      <c r="GD150" s="3" t="s">
        <v>173</v>
      </c>
      <c r="GE150" s="19">
        <v>4250</v>
      </c>
      <c r="GG150" s="19" t="s">
        <v>249</v>
      </c>
      <c r="GH150" s="3" t="s">
        <v>365</v>
      </c>
      <c r="GI150" s="8" t="s">
        <v>1678</v>
      </c>
      <c r="IC150" s="1540" t="str">
        <f t="shared" si="35"/>
        <v/>
      </c>
      <c r="ID15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1" spans="1:238" ht="14.5" customHeight="1">
      <c r="BO151" t="s">
        <v>1079</v>
      </c>
      <c r="BV151" s="456" t="s">
        <v>2052</v>
      </c>
      <c r="EN151" s="1323" t="s">
        <v>1826</v>
      </c>
      <c r="EO151" s="3" t="s">
        <v>173</v>
      </c>
      <c r="EP151" s="3" t="s">
        <v>204</v>
      </c>
      <c r="EQ151" s="3" t="s">
        <v>460</v>
      </c>
      <c r="ER151" s="3" t="s">
        <v>563</v>
      </c>
      <c r="ES151" s="19" t="s">
        <v>274</v>
      </c>
      <c r="EX151" s="19" t="s">
        <v>3717</v>
      </c>
      <c r="EZ151" s="3" t="s">
        <v>497</v>
      </c>
      <c r="FA151" s="3" t="s">
        <v>321</v>
      </c>
      <c r="FC151" s="3" t="s">
        <v>1827</v>
      </c>
      <c r="FD151" s="3">
        <v>2</v>
      </c>
      <c r="FE151" s="3">
        <v>6</v>
      </c>
      <c r="FJ151" s="3" t="s">
        <v>499</v>
      </c>
      <c r="FL151" s="3">
        <v>200</v>
      </c>
      <c r="FM151" s="3">
        <v>1</v>
      </c>
      <c r="FN151" s="3" t="s">
        <v>424</v>
      </c>
      <c r="FO151" s="3">
        <v>100</v>
      </c>
      <c r="FQ151" s="3" t="str">
        <f t="shared" si="36"/>
        <v>pistols</v>
      </c>
      <c r="FR151" s="3" t="s">
        <v>1828</v>
      </c>
      <c r="FS151" s="8" t="s">
        <v>1829</v>
      </c>
      <c r="GC151" s="12" t="s">
        <v>8138</v>
      </c>
      <c r="GD151" s="3" t="s">
        <v>7946</v>
      </c>
      <c r="GE151" s="19">
        <v>200</v>
      </c>
      <c r="GF151" s="19">
        <v>2</v>
      </c>
      <c r="GG151" s="19" t="s">
        <v>170</v>
      </c>
      <c r="GH151" s="3" t="str">
        <f>LOWER(GC151)</f>
        <v>repulsor boots</v>
      </c>
      <c r="GI151" s="8" t="str">
        <f>GH151&amp;"s"</f>
        <v>repulsor bootss</v>
      </c>
      <c r="IC151" s="1540" t="str">
        <f t="shared" si="35"/>
        <v/>
      </c>
      <c r="ID15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2" spans="1:238">
      <c r="A152" s="1304" t="s">
        <v>6548</v>
      </c>
      <c r="B152" s="1304"/>
      <c r="C152" s="1304"/>
      <c r="D152" s="1304"/>
      <c r="E152" s="1304"/>
      <c r="F152" s="1304"/>
      <c r="BO152" s="1423" t="s">
        <v>2188</v>
      </c>
      <c r="BV152" s="456" t="s">
        <v>2234</v>
      </c>
      <c r="EN152" s="1323" t="s">
        <v>1847</v>
      </c>
      <c r="EO152" s="3" t="s">
        <v>173</v>
      </c>
      <c r="EP152" s="3" t="s">
        <v>204</v>
      </c>
      <c r="EQ152" s="3" t="s">
        <v>460</v>
      </c>
      <c r="ER152" s="3" t="s">
        <v>563</v>
      </c>
      <c r="ES152" s="19" t="s">
        <v>274</v>
      </c>
      <c r="EX152" s="19" t="s">
        <v>3717</v>
      </c>
      <c r="EZ152" s="3" t="s">
        <v>357</v>
      </c>
      <c r="FA152" s="3" t="s">
        <v>321</v>
      </c>
      <c r="FC152" s="3" t="s">
        <v>1848</v>
      </c>
      <c r="FD152" s="3">
        <v>2</v>
      </c>
      <c r="FE152" s="3">
        <v>4</v>
      </c>
      <c r="FJ152" s="3" t="s">
        <v>499</v>
      </c>
      <c r="FL152" s="3">
        <v>750</v>
      </c>
      <c r="FM152" s="3">
        <v>1</v>
      </c>
      <c r="FN152" s="3" t="s">
        <v>165</v>
      </c>
      <c r="FO152" s="3">
        <v>10</v>
      </c>
      <c r="FQ152" s="3" t="str">
        <f t="shared" si="36"/>
        <v>pistols</v>
      </c>
      <c r="FR152" s="3" t="s">
        <v>1849</v>
      </c>
      <c r="FS152" s="8" t="s">
        <v>1850</v>
      </c>
      <c r="GC152" s="12" t="s">
        <v>8137</v>
      </c>
      <c r="GD152" s="3" t="s">
        <v>7946</v>
      </c>
      <c r="GE152" s="19">
        <v>100</v>
      </c>
      <c r="GF152" s="19">
        <v>3</v>
      </c>
      <c r="GG152" s="19" t="s">
        <v>170</v>
      </c>
      <c r="GH152" s="3" t="str">
        <f>LOWER(GC152)</f>
        <v>repulsor hitch</v>
      </c>
      <c r="GI152" s="8" t="str">
        <f>GH152&amp;"s"</f>
        <v>repulsor hitchs</v>
      </c>
      <c r="IC152" s="1540" t="str">
        <f t="shared" si="35"/>
        <v/>
      </c>
      <c r="ID15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3" spans="1:238">
      <c r="A153" s="1304"/>
      <c r="B153" s="1304" t="s">
        <v>6543</v>
      </c>
      <c r="C153" s="1304" t="s">
        <v>4581</v>
      </c>
      <c r="D153" s="1304" t="s">
        <v>6544</v>
      </c>
      <c r="E153" s="1304" t="s">
        <v>6545</v>
      </c>
      <c r="F153" s="1304" t="s">
        <v>6546</v>
      </c>
      <c r="BO153" s="1423" t="s">
        <v>63</v>
      </c>
      <c r="BP153" s="1552" t="s">
        <v>347</v>
      </c>
      <c r="BQ153" s="1552" t="s">
        <v>5810</v>
      </c>
      <c r="BV153" s="456" t="str">
        <f>Race&amp;"s can reroll a Persuasion check, but must accept the result of the second roll, even if it is worse than the first"</f>
        <v>s can reroll a Persuasion check, but must accept the result of the second roll, even if it is worse than the first</v>
      </c>
      <c r="EN153" s="1323" t="s">
        <v>1871</v>
      </c>
      <c r="EO153" s="3" t="s">
        <v>155</v>
      </c>
      <c r="EP153" s="3" t="s">
        <v>204</v>
      </c>
      <c r="EQ153" s="3" t="s">
        <v>460</v>
      </c>
      <c r="ER153" s="3" t="s">
        <v>563</v>
      </c>
      <c r="ES153" s="19" t="s">
        <v>274</v>
      </c>
      <c r="EX153" s="19" t="s">
        <v>3717</v>
      </c>
      <c r="EZ153" s="3" t="s">
        <v>242</v>
      </c>
      <c r="FA153" s="3" t="s">
        <v>321</v>
      </c>
      <c r="FD153" s="3">
        <v>2</v>
      </c>
      <c r="FE153" s="3">
        <v>6</v>
      </c>
      <c r="FL153" s="3">
        <v>250</v>
      </c>
      <c r="FM153" s="3">
        <v>1.4</v>
      </c>
      <c r="FN153" s="3" t="s">
        <v>615</v>
      </c>
      <c r="FO153" s="3">
        <v>10</v>
      </c>
      <c r="FQ153" s="3" t="str">
        <f t="shared" si="36"/>
        <v>pistols</v>
      </c>
      <c r="FR153" s="3" t="s">
        <v>1872</v>
      </c>
      <c r="FS153" s="8" t="s">
        <v>1873</v>
      </c>
      <c r="GC153" s="12" t="s">
        <v>1686</v>
      </c>
      <c r="GD153" s="3" t="s">
        <v>272</v>
      </c>
      <c r="GE153" s="19">
        <v>200</v>
      </c>
      <c r="GF153" s="19">
        <v>6</v>
      </c>
      <c r="GG153" s="19" t="s">
        <v>274</v>
      </c>
      <c r="GH153" s="3" t="s">
        <v>1687</v>
      </c>
      <c r="GI153" s="8" t="s">
        <v>1688</v>
      </c>
      <c r="IC153" s="1540" t="str">
        <f t="shared" si="35"/>
        <v/>
      </c>
      <c r="ID15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4" spans="1:238">
      <c r="A154" s="1304">
        <v>1</v>
      </c>
      <c r="B154" s="1304">
        <v>1</v>
      </c>
      <c r="C154" s="1304">
        <v>1</v>
      </c>
      <c r="D154" s="1304">
        <v>1</v>
      </c>
      <c r="E154" s="1304">
        <v>1</v>
      </c>
      <c r="F154" s="1304">
        <v>1</v>
      </c>
      <c r="BO154" s="1540" t="s">
        <v>1343</v>
      </c>
      <c r="BP154" s="1552" t="s">
        <v>559</v>
      </c>
      <c r="BQ154" s="1552" t="s">
        <v>5810</v>
      </c>
      <c r="BV154" s="456" t="s">
        <v>2063</v>
      </c>
      <c r="EN154" s="1323" t="s">
        <v>8063</v>
      </c>
      <c r="EO154" s="3" t="s">
        <v>7183</v>
      </c>
      <c r="EP154" s="3" t="s">
        <v>204</v>
      </c>
      <c r="EQ154" s="569" t="s">
        <v>460</v>
      </c>
      <c r="ER154" s="569" t="s">
        <v>563</v>
      </c>
      <c r="ES154" s="19" t="s">
        <v>149</v>
      </c>
      <c r="EV154" s="19" t="s">
        <v>8065</v>
      </c>
      <c r="EX154" s="19" t="s">
        <v>3717</v>
      </c>
      <c r="EZ154" s="3" t="s">
        <v>203</v>
      </c>
      <c r="FA154" s="1086" t="s">
        <v>321</v>
      </c>
      <c r="FC154" s="1086" t="s">
        <v>8068</v>
      </c>
      <c r="FL154" s="1552">
        <v>600</v>
      </c>
      <c r="FM154" s="1552">
        <v>2</v>
      </c>
      <c r="FN154" s="3" t="s">
        <v>8070</v>
      </c>
      <c r="FO154" s="3">
        <v>2</v>
      </c>
      <c r="FP154" s="569">
        <v>1</v>
      </c>
      <c r="FQ154" s="3" t="s">
        <v>563</v>
      </c>
      <c r="FR154" s="3" t="s">
        <v>8073</v>
      </c>
      <c r="FS154" s="8" t="str">
        <f>FR154&amp;"s"</f>
        <v>snare pistols</v>
      </c>
      <c r="GC154" s="12" t="s">
        <v>1692</v>
      </c>
      <c r="GD154" s="3" t="s">
        <v>248</v>
      </c>
      <c r="GE154" s="19">
        <v>5</v>
      </c>
      <c r="GG154" s="19" t="s">
        <v>249</v>
      </c>
      <c r="GH154" s="3" t="s">
        <v>1693</v>
      </c>
      <c r="GI154" s="8" t="s">
        <v>1694</v>
      </c>
      <c r="IC154" s="1540" t="str">
        <f t="shared" si="35"/>
        <v/>
      </c>
      <c r="ID15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5" spans="1:238">
      <c r="A155" s="1304">
        <v>2</v>
      </c>
      <c r="B155" s="1304">
        <v>1</v>
      </c>
      <c r="C155" s="1304">
        <v>1</v>
      </c>
      <c r="D155" s="1304">
        <v>1</v>
      </c>
      <c r="E155" s="1304">
        <v>1</v>
      </c>
      <c r="F155" s="1304">
        <v>1</v>
      </c>
      <c r="BO155" s="1540" t="s">
        <v>1615</v>
      </c>
      <c r="BV155" s="456" t="s">
        <v>2066</v>
      </c>
      <c r="EN155" s="1323" t="s">
        <v>1891</v>
      </c>
      <c r="EO155" s="3" t="s">
        <v>173</v>
      </c>
      <c r="EP155" s="3" t="s">
        <v>204</v>
      </c>
      <c r="EQ155" s="3" t="s">
        <v>460</v>
      </c>
      <c r="ER155" s="3" t="s">
        <v>563</v>
      </c>
      <c r="ES155" s="19" t="s">
        <v>274</v>
      </c>
      <c r="EX155" s="19" t="s">
        <v>3717</v>
      </c>
      <c r="EZ155" s="3" t="s">
        <v>422</v>
      </c>
      <c r="FA155" s="3" t="s">
        <v>779</v>
      </c>
      <c r="FC155" s="3" t="s">
        <v>1892</v>
      </c>
      <c r="FD155" s="3">
        <v>2</v>
      </c>
      <c r="FE155" s="3">
        <v>6</v>
      </c>
      <c r="FL155" s="3">
        <v>1000</v>
      </c>
      <c r="FM155" s="3">
        <v>1</v>
      </c>
      <c r="FN155" s="3" t="s">
        <v>424</v>
      </c>
      <c r="FO155" s="3">
        <v>10</v>
      </c>
      <c r="FQ155" s="3" t="str">
        <f>IF(EP155="R",IF(EQ155&lt;&gt;"EWP",ER155,"pistols"),"")</f>
        <v>pistols</v>
      </c>
      <c r="FR155" s="3" t="s">
        <v>1893</v>
      </c>
      <c r="FS155" s="8" t="s">
        <v>1894</v>
      </c>
      <c r="GC155" s="12" t="s">
        <v>1699</v>
      </c>
      <c r="GD155" s="3" t="s">
        <v>771</v>
      </c>
      <c r="GE155" s="19">
        <v>500</v>
      </c>
      <c r="GF155" s="19">
        <v>6</v>
      </c>
      <c r="GG155" s="19" t="s">
        <v>274</v>
      </c>
      <c r="GH155" s="3" t="s">
        <v>1700</v>
      </c>
      <c r="GI155" s="8" t="s">
        <v>1701</v>
      </c>
      <c r="IC155" s="1540" t="str">
        <f t="shared" si="35"/>
        <v/>
      </c>
      <c r="ID15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6" spans="1:238">
      <c r="A156" s="1304">
        <v>3</v>
      </c>
      <c r="B156" s="1304">
        <v>1</v>
      </c>
      <c r="C156" s="1304">
        <v>1</v>
      </c>
      <c r="D156" s="1304">
        <v>1</v>
      </c>
      <c r="E156" s="1304">
        <v>1</v>
      </c>
      <c r="F156" s="1304">
        <v>1</v>
      </c>
      <c r="BO156" s="1540" t="s">
        <v>1782</v>
      </c>
      <c r="BP156" s="1552" t="s">
        <v>347</v>
      </c>
      <c r="BQ156" s="1552" t="s">
        <v>5810</v>
      </c>
      <c r="BV156" s="456" t="s">
        <v>1900</v>
      </c>
      <c r="EN156" s="1323" t="s">
        <v>1896</v>
      </c>
      <c r="EO156" s="3" t="s">
        <v>173</v>
      </c>
      <c r="EP156" s="3" t="s">
        <v>204</v>
      </c>
      <c r="EQ156" s="3" t="s">
        <v>460</v>
      </c>
      <c r="ER156" s="3" t="s">
        <v>563</v>
      </c>
      <c r="ES156" s="19" t="s">
        <v>274</v>
      </c>
      <c r="EX156" s="19" t="s">
        <v>3717</v>
      </c>
      <c r="EZ156" s="3" t="s">
        <v>422</v>
      </c>
      <c r="FA156" s="3" t="s">
        <v>321</v>
      </c>
      <c r="FC156" s="3" t="s">
        <v>1897</v>
      </c>
      <c r="FD156" s="3">
        <v>2</v>
      </c>
      <c r="FE156" s="3">
        <v>6</v>
      </c>
      <c r="FL156" s="3">
        <v>900</v>
      </c>
      <c r="FM156" s="3">
        <v>1</v>
      </c>
      <c r="FN156" s="3" t="s">
        <v>424</v>
      </c>
      <c r="FO156" s="3">
        <v>100</v>
      </c>
      <c r="FQ156" s="3" t="str">
        <f>IF(EP156="R",IF(EQ156&lt;&gt;"EWP",ER156,"pistols"),"")</f>
        <v>pistols</v>
      </c>
      <c r="FR156" s="3" t="s">
        <v>1898</v>
      </c>
      <c r="FS156" s="8" t="s">
        <v>1899</v>
      </c>
      <c r="GC156" s="12" t="s">
        <v>8136</v>
      </c>
      <c r="GD156" s="3" t="s">
        <v>7946</v>
      </c>
      <c r="GE156" s="19">
        <v>125</v>
      </c>
      <c r="GF156" s="19">
        <v>4</v>
      </c>
      <c r="GG156" s="19" t="s">
        <v>170</v>
      </c>
      <c r="GH156" s="3" t="str">
        <f>LOWER(GC156)</f>
        <v>saddle, riding</v>
      </c>
      <c r="GI156" s="8" t="str">
        <f>GH156&amp;"s"</f>
        <v>saddle, ridings</v>
      </c>
      <c r="IC156" s="1540" t="str">
        <f t="shared" si="35"/>
        <v/>
      </c>
      <c r="ID15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7" spans="1:238">
      <c r="A157" s="1304">
        <v>4</v>
      </c>
      <c r="B157" s="1304">
        <v>1</v>
      </c>
      <c r="C157" s="1304">
        <v>1</v>
      </c>
      <c r="D157" s="1304">
        <v>1</v>
      </c>
      <c r="E157" s="1304">
        <v>1</v>
      </c>
      <c r="F157" s="1304">
        <v>1</v>
      </c>
      <c r="BO157" s="1540" t="s">
        <v>7951</v>
      </c>
      <c r="BV157" s="456" t="str">
        <f>"As a swift action once per round, an Anzat can use its proboscis to drain energy from a grabbed target, moving the target -1 step on the condition track as a persistent condition and granting the Anzat +"&amp;5+INT(CharacterLevel/2)&amp;" bonus hit points. If the target survives, the persistent condition is removed after 8 hours of rest."</f>
        <v>As a swift action once per round, an Anzat can use its proboscis to drain energy from a grabbed target, moving the target -1 step on the condition track as a persistent condition and granting the Anzat +5 bonus hit points. If the target survives, the persistent condition is removed after 8 hours of rest.</v>
      </c>
      <c r="EN157" s="1323" t="s">
        <v>1901</v>
      </c>
      <c r="EO157" s="3" t="s">
        <v>173</v>
      </c>
      <c r="EP157" s="3" t="s">
        <v>204</v>
      </c>
      <c r="EQ157" s="3" t="s">
        <v>460</v>
      </c>
      <c r="ER157" s="3" t="s">
        <v>563</v>
      </c>
      <c r="ES157" s="19" t="s">
        <v>149</v>
      </c>
      <c r="EX157" s="19" t="s">
        <v>3717</v>
      </c>
      <c r="EZ157" s="3" t="s">
        <v>422</v>
      </c>
      <c r="FA157" s="3" t="s">
        <v>321</v>
      </c>
      <c r="FC157" s="3" t="s">
        <v>1897</v>
      </c>
      <c r="FD157" s="3">
        <v>2</v>
      </c>
      <c r="FE157" s="3">
        <v>8</v>
      </c>
      <c r="FL157" s="3">
        <v>1250</v>
      </c>
      <c r="FM157" s="3">
        <v>1</v>
      </c>
      <c r="FN157" s="3" t="s">
        <v>424</v>
      </c>
      <c r="FO157" s="3">
        <v>50</v>
      </c>
      <c r="FQ157" s="3" t="str">
        <f>IF(EP157="R",IF(EQ157&lt;&gt;"EWP",ER157,"pistols"),"")</f>
        <v>pistols</v>
      </c>
      <c r="FR157" s="3" t="s">
        <v>1902</v>
      </c>
      <c r="FS157" s="8" t="s">
        <v>1903</v>
      </c>
      <c r="GC157" s="12" t="s">
        <v>8135</v>
      </c>
      <c r="GD157" s="3" t="s">
        <v>7946</v>
      </c>
      <c r="GE157" s="19">
        <v>250</v>
      </c>
      <c r="GF157" s="19">
        <v>6</v>
      </c>
      <c r="GG157" s="19" t="s">
        <v>274</v>
      </c>
      <c r="GH157" s="3" t="str">
        <f>LOWER(GC157)</f>
        <v>saddle, war</v>
      </c>
      <c r="GI157" s="8" t="str">
        <f>GH157&amp;"s"</f>
        <v>saddle, wars</v>
      </c>
      <c r="IC157" s="1540" t="str">
        <f t="shared" si="35"/>
        <v/>
      </c>
      <c r="ID15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8" spans="1:238">
      <c r="A158" s="1304">
        <v>5</v>
      </c>
      <c r="B158" s="1304">
        <v>1</v>
      </c>
      <c r="C158" s="1304">
        <v>1</v>
      </c>
      <c r="D158" s="1304">
        <v>1</v>
      </c>
      <c r="E158" s="1304">
        <v>1</v>
      </c>
      <c r="F158" s="1304">
        <v>1</v>
      </c>
      <c r="BO158" s="1540" t="s">
        <v>2046</v>
      </c>
      <c r="BV158" s="456" t="s">
        <v>2068</v>
      </c>
      <c r="EN158" s="1323" t="s">
        <v>1910</v>
      </c>
      <c r="EO158" s="3" t="s">
        <v>771</v>
      </c>
      <c r="EP158" s="3" t="s">
        <v>204</v>
      </c>
      <c r="EQ158" s="3" t="s">
        <v>460</v>
      </c>
      <c r="ER158" s="3" t="s">
        <v>563</v>
      </c>
      <c r="ES158" s="19" t="s">
        <v>170</v>
      </c>
      <c r="EV158" s="19" t="s">
        <v>1165</v>
      </c>
      <c r="EZ158" s="3" t="s">
        <v>422</v>
      </c>
      <c r="FA158" s="3" t="s">
        <v>779</v>
      </c>
      <c r="FD158" s="3">
        <v>3</v>
      </c>
      <c r="FE158" s="3">
        <v>6</v>
      </c>
      <c r="FL158" s="3">
        <v>450</v>
      </c>
      <c r="FM158" s="3">
        <v>1</v>
      </c>
      <c r="FN158" s="3" t="s">
        <v>424</v>
      </c>
      <c r="FO158" s="3">
        <v>100</v>
      </c>
      <c r="FQ158" s="3" t="str">
        <f>IF(EP158="R",IF(EQ158&lt;&gt;"EWP",ER158,"pistols"),"")</f>
        <v>pistols</v>
      </c>
      <c r="FR158" s="3" t="s">
        <v>1911</v>
      </c>
      <c r="FS158" s="8" t="s">
        <v>1911</v>
      </c>
      <c r="GC158" s="12" t="s">
        <v>1705</v>
      </c>
      <c r="GD158" s="3" t="s">
        <v>155</v>
      </c>
      <c r="GE158" s="19">
        <v>750</v>
      </c>
      <c r="GF158" s="19">
        <v>1</v>
      </c>
      <c r="GG158" s="19" t="s">
        <v>209</v>
      </c>
      <c r="GH158" s="3" t="s">
        <v>1706</v>
      </c>
      <c r="GI158" s="8" t="s">
        <v>1707</v>
      </c>
      <c r="IC158" s="1540" t="str">
        <f t="shared" si="35"/>
        <v/>
      </c>
      <c r="ID15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59" spans="1:238">
      <c r="A159" s="1304">
        <v>6</v>
      </c>
      <c r="B159" s="1304">
        <v>1</v>
      </c>
      <c r="C159" s="1304">
        <v>1</v>
      </c>
      <c r="D159" s="1304">
        <v>1</v>
      </c>
      <c r="E159" s="1304">
        <v>1</v>
      </c>
      <c r="F159" s="1304">
        <v>1</v>
      </c>
      <c r="BO159" s="1540" t="s">
        <v>1603</v>
      </c>
      <c r="BV159" s="456" t="s">
        <v>2069</v>
      </c>
      <c r="EN159" s="1323" t="s">
        <v>8095</v>
      </c>
      <c r="EO159" s="569" t="s">
        <v>7946</v>
      </c>
      <c r="EP159" s="569" t="s">
        <v>204</v>
      </c>
      <c r="EQ159" s="1552" t="s">
        <v>460</v>
      </c>
      <c r="ER159" s="1552" t="s">
        <v>563</v>
      </c>
      <c r="ES159" s="1552" t="s">
        <v>274</v>
      </c>
      <c r="EV159" s="1552" t="s">
        <v>8098</v>
      </c>
      <c r="EX159" s="1552" t="s">
        <v>3717</v>
      </c>
      <c r="EZ159" s="1552" t="s">
        <v>497</v>
      </c>
      <c r="FA159" s="1552" t="s">
        <v>321</v>
      </c>
      <c r="FB159" s="1552"/>
      <c r="FC159" s="569" t="s">
        <v>8114</v>
      </c>
      <c r="FD159" s="1552"/>
      <c r="FE159" s="1552"/>
      <c r="FL159" s="1552">
        <v>550</v>
      </c>
      <c r="FM159" s="1552">
        <v>1</v>
      </c>
      <c r="FN159" s="569" t="s">
        <v>424</v>
      </c>
      <c r="FO159" s="569">
        <v>50</v>
      </c>
      <c r="FP159" s="569">
        <v>1</v>
      </c>
      <c r="FQ159" s="569" t="s">
        <v>3771</v>
      </c>
      <c r="FR159" s="3" t="s">
        <v>8100</v>
      </c>
      <c r="FS159" s="8" t="str">
        <f>FR159&amp;"s"</f>
        <v>stun pistols</v>
      </c>
      <c r="GC159" s="12" t="s">
        <v>1712</v>
      </c>
      <c r="GD159" s="3" t="s">
        <v>155</v>
      </c>
      <c r="GE159" s="19">
        <v>1500</v>
      </c>
      <c r="GF159" s="19">
        <v>9</v>
      </c>
      <c r="GG159" s="19" t="s">
        <v>274</v>
      </c>
      <c r="GH159" s="3" t="s">
        <v>1713</v>
      </c>
      <c r="GI159" s="8" t="s">
        <v>1714</v>
      </c>
      <c r="IC159" s="1540" t="str">
        <f t="shared" si="35"/>
        <v/>
      </c>
      <c r="ID15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0" spans="1:238">
      <c r="A160" s="1304">
        <v>7</v>
      </c>
      <c r="B160" s="1304">
        <v>2</v>
      </c>
      <c r="C160" s="1304">
        <v>1</v>
      </c>
      <c r="D160" s="1304">
        <v>2</v>
      </c>
      <c r="E160" s="1304">
        <v>1</v>
      </c>
      <c r="F160" s="1304">
        <v>1</v>
      </c>
      <c r="BO160" s="1540" t="s">
        <v>8050</v>
      </c>
      <c r="BV160" s="456" t="s">
        <v>8049</v>
      </c>
      <c r="EN160" s="1331" t="s">
        <v>6532</v>
      </c>
      <c r="GC160" s="12" t="s">
        <v>1720</v>
      </c>
      <c r="GD160" s="3" t="s">
        <v>248</v>
      </c>
      <c r="GE160" s="19">
        <v>2000</v>
      </c>
      <c r="GF160" s="19">
        <v>4.5</v>
      </c>
      <c r="GG160" s="19" t="s">
        <v>170</v>
      </c>
      <c r="GH160" s="3" t="s">
        <v>1721</v>
      </c>
      <c r="GI160" s="8" t="s">
        <v>1722</v>
      </c>
      <c r="IC160" s="1540" t="str">
        <f t="shared" si="35"/>
        <v/>
      </c>
      <c r="ID16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1" spans="1:238">
      <c r="A161" s="1304">
        <v>8</v>
      </c>
      <c r="B161" s="1304">
        <v>3</v>
      </c>
      <c r="C161" s="1304">
        <v>2</v>
      </c>
      <c r="D161" s="1304">
        <v>3</v>
      </c>
      <c r="E161" s="1304">
        <v>2</v>
      </c>
      <c r="F161" s="1304">
        <v>2</v>
      </c>
      <c r="BO161" s="1540" t="s">
        <v>1421</v>
      </c>
      <c r="BV161" s="456" t="s">
        <v>2070</v>
      </c>
      <c r="EN161" s="1323" t="s">
        <v>529</v>
      </c>
      <c r="EO161" s="3" t="s">
        <v>530</v>
      </c>
      <c r="EP161" s="3" t="s">
        <v>204</v>
      </c>
      <c r="EQ161" s="3" t="s">
        <v>460</v>
      </c>
      <c r="ER161" s="3" t="s">
        <v>531</v>
      </c>
      <c r="ES161" s="19" t="s">
        <v>149</v>
      </c>
      <c r="EV161" s="19" t="s">
        <v>202</v>
      </c>
      <c r="EX161" s="19" t="s">
        <v>3717</v>
      </c>
      <c r="EY161" s="19" t="s">
        <v>13</v>
      </c>
      <c r="EZ161" s="3" t="s">
        <v>497</v>
      </c>
      <c r="FA161" s="3" t="s">
        <v>160</v>
      </c>
      <c r="FC161" s="3" t="s">
        <v>532</v>
      </c>
      <c r="FD161" s="3">
        <v>3</v>
      </c>
      <c r="FE161" s="3">
        <v>8</v>
      </c>
      <c r="FJ161" s="3" t="s">
        <v>499</v>
      </c>
      <c r="FL161" s="3">
        <v>100</v>
      </c>
      <c r="FM161" s="3">
        <v>4.5</v>
      </c>
      <c r="FN161" s="3" t="s">
        <v>424</v>
      </c>
      <c r="FO161" s="3">
        <v>50</v>
      </c>
      <c r="FQ161" s="3" t="str">
        <f>IF(EP161="R",IF(EQ161&lt;&gt;"EWP",ER161,"pistols"),"")</f>
        <v>rifles</v>
      </c>
      <c r="FR161" s="3" t="s">
        <v>529</v>
      </c>
      <c r="FS161" s="8" t="s">
        <v>533</v>
      </c>
      <c r="GC161" s="12" t="s">
        <v>1730</v>
      </c>
      <c r="GD161" s="3" t="s">
        <v>173</v>
      </c>
      <c r="GE161" s="19">
        <v>2500</v>
      </c>
      <c r="GG161" s="19" t="s">
        <v>249</v>
      </c>
      <c r="GH161" s="3" t="s">
        <v>398</v>
      </c>
      <c r="GI161" s="8" t="s">
        <v>1731</v>
      </c>
      <c r="IC161" s="1540" t="str">
        <f t="shared" si="35"/>
        <v/>
      </c>
      <c r="ID16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2" spans="1:238">
      <c r="A162" s="1304">
        <v>9</v>
      </c>
      <c r="B162" s="1304">
        <v>4</v>
      </c>
      <c r="C162" s="1304">
        <v>3</v>
      </c>
      <c r="D162" s="1304">
        <v>4</v>
      </c>
      <c r="E162" s="1304">
        <v>3</v>
      </c>
      <c r="F162" s="1304">
        <v>3</v>
      </c>
      <c r="BO162" s="1540" t="s">
        <v>2233</v>
      </c>
      <c r="BV162" s="456" t="s">
        <v>2235</v>
      </c>
      <c r="EN162" s="1332" t="s">
        <v>6508</v>
      </c>
      <c r="EO162" s="569" t="s">
        <v>6222</v>
      </c>
      <c r="EP162" s="569" t="s">
        <v>204</v>
      </c>
      <c r="EQ162" s="3" t="s">
        <v>460</v>
      </c>
      <c r="ER162" s="569" t="s">
        <v>531</v>
      </c>
      <c r="ES162" s="1085" t="s">
        <v>149</v>
      </c>
      <c r="ET162" s="3"/>
      <c r="EU162" s="3"/>
      <c r="EV162" s="3" t="s">
        <v>202</v>
      </c>
      <c r="EW162" s="3"/>
      <c r="EX162" s="3" t="s">
        <v>3717</v>
      </c>
      <c r="EY162" s="3" t="s">
        <v>13</v>
      </c>
      <c r="EZ162" s="3" t="s">
        <v>497</v>
      </c>
      <c r="FA162" s="3" t="s">
        <v>160</v>
      </c>
      <c r="FC162" s="794" t="s">
        <v>6522</v>
      </c>
      <c r="FD162" s="3">
        <v>3</v>
      </c>
      <c r="FE162" s="3">
        <v>8</v>
      </c>
      <c r="FL162" s="569">
        <v>1200</v>
      </c>
      <c r="FM162" s="569">
        <v>2.2000000000000002</v>
      </c>
      <c r="FN162" s="3" t="s">
        <v>424</v>
      </c>
      <c r="FO162" s="3">
        <v>50</v>
      </c>
      <c r="FP162" s="3">
        <v>1</v>
      </c>
      <c r="FQ162" s="3" t="s">
        <v>531</v>
      </c>
      <c r="FR162" s="3" t="str">
        <f>(EN162)</f>
        <v>Blastech 500 riot gun</v>
      </c>
      <c r="FS162" s="8" t="str">
        <f>FR162&amp;"s"</f>
        <v>Blastech 500 riot guns</v>
      </c>
      <c r="GC162" s="12" t="s">
        <v>8119</v>
      </c>
      <c r="GD162" s="3" t="s">
        <v>7183</v>
      </c>
      <c r="GE162" s="19">
        <v>10000</v>
      </c>
      <c r="GF162" s="19">
        <v>20</v>
      </c>
      <c r="GG162" s="19" t="s">
        <v>274</v>
      </c>
      <c r="GH162" s="3" t="str">
        <f>LOWER(GC162)</f>
        <v>shield cage</v>
      </c>
      <c r="GI162" s="8" t="str">
        <f>GH162&amp;"s"</f>
        <v>shield cages</v>
      </c>
      <c r="IC162" s="1540" t="str">
        <f t="shared" si="35"/>
        <v/>
      </c>
      <c r="ID16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3" spans="1:238">
      <c r="BO163" s="1540" t="s">
        <v>2062</v>
      </c>
      <c r="BV163" s="456" t="s">
        <v>2071</v>
      </c>
      <c r="EN163" s="1323" t="s">
        <v>586</v>
      </c>
      <c r="EO163" s="3" t="s">
        <v>530</v>
      </c>
      <c r="EP163" s="3" t="s">
        <v>204</v>
      </c>
      <c r="EQ163" s="3" t="s">
        <v>460</v>
      </c>
      <c r="ER163" s="3" t="s">
        <v>531</v>
      </c>
      <c r="ES163" s="19" t="s">
        <v>201</v>
      </c>
      <c r="EX163" s="19" t="s">
        <v>3717</v>
      </c>
      <c r="EY163" s="19" t="s">
        <v>13</v>
      </c>
      <c r="EZ163" s="3" t="s">
        <v>497</v>
      </c>
      <c r="FA163" s="3" t="s">
        <v>160</v>
      </c>
      <c r="FD163" s="3">
        <v>3</v>
      </c>
      <c r="FE163" s="3">
        <v>10</v>
      </c>
      <c r="FJ163" s="3" t="s">
        <v>587</v>
      </c>
      <c r="FL163" s="3">
        <v>1300</v>
      </c>
      <c r="FM163" s="3">
        <v>6.7</v>
      </c>
      <c r="FN163" s="3" t="s">
        <v>424</v>
      </c>
      <c r="FO163" s="3">
        <v>30</v>
      </c>
      <c r="FQ163" s="3" t="str">
        <f t="shared" ref="FQ163:FQ175" si="37">IF(EP163="R",IF(EQ163&lt;&gt;"EWP",ER163,"pistols"),"")</f>
        <v>rifles</v>
      </c>
      <c r="FR163" s="3" t="s">
        <v>586</v>
      </c>
      <c r="FS163" s="8" t="s">
        <v>588</v>
      </c>
      <c r="GC163" s="12" t="s">
        <v>8134</v>
      </c>
      <c r="GD163" s="3" t="s">
        <v>7946</v>
      </c>
      <c r="GE163" s="19">
        <v>200</v>
      </c>
      <c r="GF163" s="19">
        <v>1</v>
      </c>
      <c r="GG163" s="19" t="s">
        <v>209</v>
      </c>
      <c r="GH163" s="3" t="str">
        <f>LOWER(GC163)</f>
        <v>shipsuit</v>
      </c>
      <c r="GI163" s="8" t="str">
        <f>GH163&amp;"s"</f>
        <v>shipsuits</v>
      </c>
      <c r="IC163" s="1540" t="str">
        <f t="shared" si="35"/>
        <v/>
      </c>
      <c r="ID16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4" spans="1:238">
      <c r="A164" s="1304" t="s">
        <v>6549</v>
      </c>
      <c r="BO164" s="1540" t="s">
        <v>7985</v>
      </c>
      <c r="BV164" s="456" t="s">
        <v>8008</v>
      </c>
      <c r="EN164" s="1323" t="s">
        <v>672</v>
      </c>
      <c r="EO164" s="3" t="s">
        <v>155</v>
      </c>
      <c r="EP164" s="3" t="s">
        <v>204</v>
      </c>
      <c r="EQ164" s="3" t="s">
        <v>460</v>
      </c>
      <c r="ER164" s="3" t="s">
        <v>531</v>
      </c>
      <c r="ES164" s="19" t="s">
        <v>149</v>
      </c>
      <c r="EV164" s="19" t="s">
        <v>202</v>
      </c>
      <c r="EX164" s="19" t="s">
        <v>3717</v>
      </c>
      <c r="EY164" s="19" t="s">
        <v>13</v>
      </c>
      <c r="EZ164" s="3" t="s">
        <v>497</v>
      </c>
      <c r="FA164" s="3" t="s">
        <v>204</v>
      </c>
      <c r="FD164" s="3">
        <v>3</v>
      </c>
      <c r="FE164" s="3">
        <v>8</v>
      </c>
      <c r="FJ164" s="3" t="s">
        <v>499</v>
      </c>
      <c r="FK164" s="3" t="b">
        <v>1</v>
      </c>
      <c r="FL164" s="3">
        <v>900</v>
      </c>
      <c r="FM164" s="3">
        <v>2.2000000000000002</v>
      </c>
      <c r="FN164" s="3" t="s">
        <v>424</v>
      </c>
      <c r="FO164" s="3">
        <v>50</v>
      </c>
      <c r="FQ164" s="3" t="str">
        <f t="shared" si="37"/>
        <v>rifles</v>
      </c>
      <c r="FR164" s="3" t="s">
        <v>673</v>
      </c>
      <c r="FS164" s="8" t="s">
        <v>674</v>
      </c>
      <c r="GC164" s="12" t="s">
        <v>8133</v>
      </c>
      <c r="GD164" s="3" t="s">
        <v>7946</v>
      </c>
      <c r="GE164" s="19">
        <v>300</v>
      </c>
      <c r="GF164" s="19">
        <v>0.2</v>
      </c>
      <c r="GG164" s="19" t="s">
        <v>249</v>
      </c>
      <c r="GH164" s="3" t="str">
        <f>LOWER(GC164)</f>
        <v>signal wand</v>
      </c>
      <c r="GI164" s="8" t="str">
        <f>GH164&amp;"s"</f>
        <v>signal wands</v>
      </c>
      <c r="IC164" s="1540" t="str">
        <f t="shared" si="35"/>
        <v/>
      </c>
      <c r="ID16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5" spans="1:238">
      <c r="A165" s="1304" t="s">
        <v>6543</v>
      </c>
      <c r="B165">
        <v>2</v>
      </c>
      <c r="C165" s="1304" t="s">
        <v>635</v>
      </c>
      <c r="BO165" s="1540" t="s">
        <v>1080</v>
      </c>
      <c r="BV165" s="456" t="s">
        <v>2074</v>
      </c>
      <c r="EN165" s="1323" t="s">
        <v>695</v>
      </c>
      <c r="EO165" s="3" t="s">
        <v>155</v>
      </c>
      <c r="EP165" s="3" t="s">
        <v>204</v>
      </c>
      <c r="EQ165" s="3" t="s">
        <v>460</v>
      </c>
      <c r="ER165" s="3" t="s">
        <v>531</v>
      </c>
      <c r="ES165" s="19" t="s">
        <v>149</v>
      </c>
      <c r="EV165" s="19" t="s">
        <v>202</v>
      </c>
      <c r="EX165" s="19" t="s">
        <v>3717</v>
      </c>
      <c r="EY165" s="19" t="s">
        <v>13</v>
      </c>
      <c r="EZ165" s="3" t="s">
        <v>497</v>
      </c>
      <c r="FA165" s="3" t="s">
        <v>204</v>
      </c>
      <c r="FC165" s="3" t="s">
        <v>696</v>
      </c>
      <c r="FD165" s="3">
        <v>3</v>
      </c>
      <c r="FE165" s="3">
        <v>8</v>
      </c>
      <c r="FJ165" s="3" t="s">
        <v>499</v>
      </c>
      <c r="FL165" s="3">
        <v>850</v>
      </c>
      <c r="FM165" s="3">
        <v>2.2000000000000002</v>
      </c>
      <c r="FN165" s="3" t="s">
        <v>424</v>
      </c>
      <c r="FO165" s="3">
        <v>50</v>
      </c>
      <c r="FQ165" s="3" t="str">
        <f t="shared" si="37"/>
        <v>rifles</v>
      </c>
      <c r="FR165" s="3" t="s">
        <v>673</v>
      </c>
      <c r="FS165" s="8" t="s">
        <v>674</v>
      </c>
      <c r="GC165" s="12" t="s">
        <v>4514</v>
      </c>
      <c r="GD165" s="569" t="s">
        <v>3800</v>
      </c>
      <c r="GF165" s="19">
        <v>1</v>
      </c>
      <c r="GG165" s="19" t="s">
        <v>209</v>
      </c>
      <c r="GH165" s="3" t="str">
        <f>LOWER(GC165)</f>
        <v>silver robes</v>
      </c>
      <c r="GI165" s="8" t="str">
        <f>GH165</f>
        <v>silver robes</v>
      </c>
      <c r="IC165" s="1540" t="str">
        <f t="shared" si="35"/>
        <v/>
      </c>
      <c r="ID16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6" spans="1:238">
      <c r="A166" s="1304" t="s">
        <v>4581</v>
      </c>
      <c r="B166">
        <v>3</v>
      </c>
      <c r="C166" s="1304" t="s">
        <v>633</v>
      </c>
      <c r="BO166" s="1540" t="s">
        <v>1680</v>
      </c>
      <c r="BV166" s="456" t="s">
        <v>5953</v>
      </c>
      <c r="EN166" s="1323" t="s">
        <v>2158</v>
      </c>
      <c r="EO166" s="3" t="s">
        <v>2159</v>
      </c>
      <c r="EP166" s="3" t="s">
        <v>204</v>
      </c>
      <c r="EQ166" s="3" t="s">
        <v>460</v>
      </c>
      <c r="ER166" s="3" t="s">
        <v>531</v>
      </c>
      <c r="ES166" s="19" t="s">
        <v>149</v>
      </c>
      <c r="EV166" s="19" t="s">
        <v>202</v>
      </c>
      <c r="EX166" s="19" t="s">
        <v>3717</v>
      </c>
      <c r="EZ166" s="3" t="s">
        <v>497</v>
      </c>
      <c r="FA166" s="3" t="s">
        <v>204</v>
      </c>
      <c r="FC166" s="3" t="s">
        <v>2160</v>
      </c>
      <c r="FD166" s="3">
        <v>3</v>
      </c>
      <c r="FE166" s="3">
        <v>8</v>
      </c>
      <c r="FJ166" s="3" t="s">
        <v>499</v>
      </c>
      <c r="FL166" s="3">
        <v>1200</v>
      </c>
      <c r="FM166" s="3">
        <v>1.9</v>
      </c>
      <c r="FN166" s="3" t="s">
        <v>424</v>
      </c>
      <c r="FO166" s="3">
        <v>50</v>
      </c>
      <c r="FP166" s="3">
        <v>1</v>
      </c>
      <c r="FQ166" s="3" t="str">
        <f t="shared" si="37"/>
        <v>rifles</v>
      </c>
      <c r="FR166" s="3" t="s">
        <v>2161</v>
      </c>
      <c r="FS166" s="8" t="s">
        <v>2162</v>
      </c>
      <c r="GC166" s="12" t="s">
        <v>4518</v>
      </c>
      <c r="GD166" s="569" t="s">
        <v>3800</v>
      </c>
      <c r="GF166" s="19">
        <v>1</v>
      </c>
      <c r="GG166" s="19" t="s">
        <v>209</v>
      </c>
      <c r="GH166" s="3" t="str">
        <f>GC166</f>
        <v>Sith apprentice's robes</v>
      </c>
      <c r="GI166" s="8" t="str">
        <f>GH166</f>
        <v>Sith apprentice's robes</v>
      </c>
      <c r="IC166" s="1540" t="str">
        <f t="shared" si="35"/>
        <v/>
      </c>
      <c r="ID16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7" spans="1:238">
      <c r="A167" s="1304" t="s">
        <v>6544</v>
      </c>
      <c r="B167">
        <v>4</v>
      </c>
      <c r="C167" s="1304" t="s">
        <v>635</v>
      </c>
      <c r="BO167" t="s">
        <v>2078</v>
      </c>
      <c r="BV167" s="456" t="s">
        <v>2079</v>
      </c>
      <c r="EN167" s="1323" t="s">
        <v>2163</v>
      </c>
      <c r="EO167" s="3" t="s">
        <v>2159</v>
      </c>
      <c r="EP167" s="3" t="s">
        <v>204</v>
      </c>
      <c r="EQ167" s="3" t="s">
        <v>460</v>
      </c>
      <c r="ER167" s="3" t="s">
        <v>531</v>
      </c>
      <c r="ES167" s="19" t="s">
        <v>149</v>
      </c>
      <c r="EV167" s="19" t="s">
        <v>202</v>
      </c>
      <c r="EX167" s="19" t="s">
        <v>3717</v>
      </c>
      <c r="EZ167" s="3" t="s">
        <v>497</v>
      </c>
      <c r="FA167" s="3" t="s">
        <v>204</v>
      </c>
      <c r="FC167" s="3" t="s">
        <v>2164</v>
      </c>
      <c r="FD167" s="3">
        <v>3</v>
      </c>
      <c r="FE167" s="3">
        <v>8</v>
      </c>
      <c r="FJ167" s="3" t="s">
        <v>499</v>
      </c>
      <c r="FL167" s="3">
        <v>1000</v>
      </c>
      <c r="FM167" s="3">
        <v>2.1</v>
      </c>
      <c r="FN167" s="3" t="s">
        <v>424</v>
      </c>
      <c r="FO167" s="3">
        <v>50</v>
      </c>
      <c r="FP167" s="3">
        <v>1</v>
      </c>
      <c r="FQ167" s="3" t="str">
        <f t="shared" si="37"/>
        <v>rifles</v>
      </c>
      <c r="FR167" s="3" t="s">
        <v>2165</v>
      </c>
      <c r="FS167" s="8" t="s">
        <v>2166</v>
      </c>
      <c r="GC167" s="12" t="s">
        <v>4471</v>
      </c>
      <c r="GD167" s="569" t="s">
        <v>3800</v>
      </c>
      <c r="GE167" s="19">
        <v>5000</v>
      </c>
      <c r="GF167" s="19">
        <v>90</v>
      </c>
      <c r="GG167" s="19" t="s">
        <v>149</v>
      </c>
      <c r="GH167" s="3" t="str">
        <f>GC167</f>
        <v>Sith battle harness</v>
      </c>
      <c r="GI167" s="8" t="str">
        <f>GH167&amp;"s"</f>
        <v>Sith battle harnesss</v>
      </c>
      <c r="IC167" s="1540" t="str">
        <f t="shared" si="35"/>
        <v/>
      </c>
      <c r="ID16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8" spans="1:238">
      <c r="A168" s="1304" t="s">
        <v>6545</v>
      </c>
      <c r="B168">
        <v>5</v>
      </c>
      <c r="C168" s="1304" t="s">
        <v>637</v>
      </c>
      <c r="BO168" t="s">
        <v>7332</v>
      </c>
      <c r="BV168" s="456" t="s">
        <v>7333</v>
      </c>
      <c r="EN168" s="1323" t="s">
        <v>716</v>
      </c>
      <c r="EO168" s="3" t="s">
        <v>173</v>
      </c>
      <c r="EP168" s="3" t="s">
        <v>204</v>
      </c>
      <c r="EQ168" s="3" t="s">
        <v>460</v>
      </c>
      <c r="ER168" s="3" t="s">
        <v>531</v>
      </c>
      <c r="ES168" s="19" t="s">
        <v>201</v>
      </c>
      <c r="EV168" s="19" t="s">
        <v>202</v>
      </c>
      <c r="EY168" s="19" t="s">
        <v>13</v>
      </c>
      <c r="EZ168" s="3" t="s">
        <v>497</v>
      </c>
      <c r="FA168" s="3" t="s">
        <v>160</v>
      </c>
      <c r="FD168" s="3">
        <v>3</v>
      </c>
      <c r="FE168" s="3">
        <v>10</v>
      </c>
      <c r="FJ168" s="3" t="s">
        <v>499</v>
      </c>
      <c r="FL168" s="3">
        <v>2000</v>
      </c>
      <c r="FM168" s="3">
        <v>6</v>
      </c>
      <c r="FN168" s="3" t="s">
        <v>424</v>
      </c>
      <c r="FO168" s="3">
        <v>30</v>
      </c>
      <c r="FQ168" s="3" t="str">
        <f t="shared" si="37"/>
        <v>rifles</v>
      </c>
      <c r="FR168" s="3" t="s">
        <v>717</v>
      </c>
      <c r="FS168" s="8" t="s">
        <v>718</v>
      </c>
      <c r="GC168" s="12" t="s">
        <v>4520</v>
      </c>
      <c r="GD168" s="569" t="s">
        <v>3800</v>
      </c>
      <c r="GF168" s="19">
        <v>1</v>
      </c>
      <c r="GG168" s="19" t="s">
        <v>209</v>
      </c>
      <c r="GH168" s="3" t="str">
        <f>GC168</f>
        <v>Sith lord's robes</v>
      </c>
      <c r="GI168" s="8" t="str">
        <f>GH168</f>
        <v>Sith lord's robes</v>
      </c>
      <c r="IC168" s="1540" t="str">
        <f t="shared" si="35"/>
        <v/>
      </c>
      <c r="ID16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69" spans="1:238">
      <c r="A169" s="1304" t="s">
        <v>6546</v>
      </c>
      <c r="B169">
        <v>6</v>
      </c>
      <c r="C169" s="1304" t="s">
        <v>635</v>
      </c>
      <c r="BO169" t="s">
        <v>7986</v>
      </c>
      <c r="BV169" s="456" t="s">
        <v>8009</v>
      </c>
      <c r="EN169" s="1323" t="s">
        <v>2168</v>
      </c>
      <c r="EO169" s="3" t="s">
        <v>2159</v>
      </c>
      <c r="EP169" s="3" t="s">
        <v>204</v>
      </c>
      <c r="EQ169" s="3" t="s">
        <v>460</v>
      </c>
      <c r="ER169" s="3" t="s">
        <v>531</v>
      </c>
      <c r="ES169" s="19" t="s">
        <v>149</v>
      </c>
      <c r="EV169" s="19" t="s">
        <v>202</v>
      </c>
      <c r="EX169" s="19" t="s">
        <v>3717</v>
      </c>
      <c r="EZ169" s="3" t="s">
        <v>497</v>
      </c>
      <c r="FA169" s="3" t="s">
        <v>204</v>
      </c>
      <c r="FC169" s="3" t="s">
        <v>2169</v>
      </c>
      <c r="FD169" s="3">
        <v>3</v>
      </c>
      <c r="FE169" s="3">
        <v>8</v>
      </c>
      <c r="FJ169" s="3" t="s">
        <v>499</v>
      </c>
      <c r="FL169" s="3">
        <v>1000</v>
      </c>
      <c r="FM169" s="3">
        <v>2.6</v>
      </c>
      <c r="FN169" s="3" t="s">
        <v>424</v>
      </c>
      <c r="FO169" s="3">
        <v>100</v>
      </c>
      <c r="FP169" s="3">
        <v>1</v>
      </c>
      <c r="FQ169" s="3" t="str">
        <f t="shared" si="37"/>
        <v>rifles</v>
      </c>
      <c r="FR169" s="3" t="s">
        <v>2170</v>
      </c>
      <c r="FS169" s="8" t="s">
        <v>2171</v>
      </c>
      <c r="GC169" s="12" t="s">
        <v>4519</v>
      </c>
      <c r="GD169" s="569" t="s">
        <v>3800</v>
      </c>
      <c r="GF169" s="19">
        <v>1</v>
      </c>
      <c r="GG169" s="19" t="s">
        <v>209</v>
      </c>
      <c r="GH169" s="3" t="str">
        <f>GC169</f>
        <v>Sith master's robes</v>
      </c>
      <c r="GI169" s="8" t="str">
        <f>GH169</f>
        <v>Sith master's robes</v>
      </c>
      <c r="IC169" s="1540" t="str">
        <f t="shared" si="35"/>
        <v/>
      </c>
      <c r="ID16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0" spans="1:238">
      <c r="A170" s="1552" t="s">
        <v>8636</v>
      </c>
      <c r="B170" s="1552">
        <v>7</v>
      </c>
      <c r="C170" s="1552" t="s">
        <v>637</v>
      </c>
      <c r="D170" s="1552"/>
      <c r="E170" s="1552"/>
      <c r="F170" s="1552"/>
      <c r="G170" s="1552"/>
      <c r="H170" s="1552"/>
      <c r="I170" s="1552"/>
      <c r="BO170" t="s">
        <v>1377</v>
      </c>
      <c r="BV170" s="456" t="s">
        <v>2082</v>
      </c>
      <c r="EN170" s="1323" t="s">
        <v>846</v>
      </c>
      <c r="EO170" s="3" t="s">
        <v>155</v>
      </c>
      <c r="EP170" s="3" t="s">
        <v>204</v>
      </c>
      <c r="EQ170" s="3" t="s">
        <v>460</v>
      </c>
      <c r="ER170" s="3" t="s">
        <v>531</v>
      </c>
      <c r="ES170" s="19" t="s">
        <v>149</v>
      </c>
      <c r="EV170" s="19" t="s">
        <v>202</v>
      </c>
      <c r="EX170" s="19" t="s">
        <v>3717</v>
      </c>
      <c r="EY170" s="19" t="s">
        <v>13</v>
      </c>
      <c r="EZ170" s="3" t="s">
        <v>497</v>
      </c>
      <c r="FA170" s="3" t="s">
        <v>204</v>
      </c>
      <c r="FD170" s="3">
        <v>3</v>
      </c>
      <c r="FE170" s="3">
        <v>8</v>
      </c>
      <c r="FK170" s="3" t="b">
        <v>1</v>
      </c>
      <c r="FL170" s="3">
        <v>1000</v>
      </c>
      <c r="FM170" s="3">
        <v>4.5</v>
      </c>
      <c r="FN170" s="3" t="s">
        <v>424</v>
      </c>
      <c r="FO170" s="3">
        <v>50</v>
      </c>
      <c r="FQ170" s="3" t="str">
        <f t="shared" si="37"/>
        <v>rifles</v>
      </c>
      <c r="FR170" s="3" t="s">
        <v>847</v>
      </c>
      <c r="FS170" s="8" t="s">
        <v>848</v>
      </c>
      <c r="GC170" s="1323" t="s">
        <v>4509</v>
      </c>
      <c r="GD170" s="569" t="s">
        <v>3800</v>
      </c>
      <c r="GF170" s="19">
        <v>1</v>
      </c>
      <c r="GG170" s="19" t="s">
        <v>209</v>
      </c>
      <c r="GH170" s="3" t="str">
        <f>GC170</f>
        <v>Sith robes</v>
      </c>
      <c r="GI170" s="8" t="str">
        <f>GH170</f>
        <v>Sith robes</v>
      </c>
      <c r="IC170" s="1540" t="str">
        <f t="shared" si="35"/>
        <v/>
      </c>
      <c r="ID17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1" spans="1:238">
      <c r="A171" s="1552" t="s">
        <v>8637</v>
      </c>
      <c r="B171" s="1552">
        <v>8</v>
      </c>
      <c r="C171" s="1552" t="s">
        <v>637</v>
      </c>
      <c r="D171" s="1552"/>
      <c r="E171" s="1552"/>
      <c r="F171" s="1552"/>
      <c r="G171" s="1552"/>
      <c r="H171" s="1552"/>
      <c r="I171" s="1552"/>
      <c r="BO171" t="s">
        <v>8044</v>
      </c>
      <c r="BV171" s="456" t="s">
        <v>8059</v>
      </c>
      <c r="EN171" s="1323" t="s">
        <v>865</v>
      </c>
      <c r="EO171" s="3" t="s">
        <v>155</v>
      </c>
      <c r="EP171" s="3" t="s">
        <v>204</v>
      </c>
      <c r="EQ171" s="3" t="s">
        <v>460</v>
      </c>
      <c r="ER171" s="3" t="s">
        <v>531</v>
      </c>
      <c r="ES171" s="19" t="s">
        <v>149</v>
      </c>
      <c r="EV171" s="19" t="s">
        <v>202</v>
      </c>
      <c r="EX171" s="19" t="s">
        <v>3717</v>
      </c>
      <c r="EY171" s="19" t="s">
        <v>13</v>
      </c>
      <c r="EZ171" s="3" t="s">
        <v>497</v>
      </c>
      <c r="FA171" s="3" t="s">
        <v>204</v>
      </c>
      <c r="FC171" s="3" t="s">
        <v>696</v>
      </c>
      <c r="FD171" s="3">
        <v>3</v>
      </c>
      <c r="FE171" s="3">
        <v>8</v>
      </c>
      <c r="FL171" s="3">
        <v>900</v>
      </c>
      <c r="FM171" s="3">
        <v>4.5</v>
      </c>
      <c r="FN171" s="3" t="s">
        <v>424</v>
      </c>
      <c r="FO171" s="3">
        <v>50</v>
      </c>
      <c r="FQ171" s="3" t="str">
        <f t="shared" si="37"/>
        <v>rifles</v>
      </c>
      <c r="FR171" s="3" t="s">
        <v>847</v>
      </c>
      <c r="FS171" s="8" t="s">
        <v>848</v>
      </c>
      <c r="GC171" s="1323" t="s">
        <v>8132</v>
      </c>
      <c r="GD171" s="3" t="s">
        <v>7946</v>
      </c>
      <c r="GE171" s="19">
        <v>400</v>
      </c>
      <c r="GF171" s="19">
        <v>1</v>
      </c>
      <c r="GG171" s="19" t="s">
        <v>209</v>
      </c>
      <c r="GH171" s="3" t="str">
        <f>LOWER(GC171)</f>
        <v>sonar mapper</v>
      </c>
      <c r="GI171" s="8" t="str">
        <f>GH171&amp;"s"</f>
        <v>sonar mappers</v>
      </c>
      <c r="IC171" s="1540" t="str">
        <f t="shared" si="35"/>
        <v/>
      </c>
      <c r="ID17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2" spans="1:238">
      <c r="BO172" t="s">
        <v>6563</v>
      </c>
      <c r="BP172" s="1552" t="s">
        <v>190</v>
      </c>
      <c r="BQ172" s="1552" t="s">
        <v>5810</v>
      </c>
      <c r="BV172" s="456" t="s">
        <v>6562</v>
      </c>
      <c r="EN172" s="1323" t="s">
        <v>884</v>
      </c>
      <c r="EO172" s="3" t="s">
        <v>173</v>
      </c>
      <c r="EP172" s="3" t="s">
        <v>204</v>
      </c>
      <c r="EQ172" s="3" t="s">
        <v>460</v>
      </c>
      <c r="ER172" s="3" t="s">
        <v>531</v>
      </c>
      <c r="ES172" s="19" t="s">
        <v>201</v>
      </c>
      <c r="EV172" s="19" t="s">
        <v>202</v>
      </c>
      <c r="EX172" s="19" t="s">
        <v>3717</v>
      </c>
      <c r="EY172" s="19" t="s">
        <v>13</v>
      </c>
      <c r="EZ172" s="3" t="s">
        <v>497</v>
      </c>
      <c r="FA172" s="3" t="s">
        <v>160</v>
      </c>
      <c r="FD172" s="3">
        <v>3</v>
      </c>
      <c r="FE172" s="3">
        <v>8</v>
      </c>
      <c r="FJ172" s="3" t="s">
        <v>587</v>
      </c>
      <c r="FL172" s="3">
        <v>1750</v>
      </c>
      <c r="FM172" s="3">
        <v>5</v>
      </c>
      <c r="FN172" s="3" t="s">
        <v>424</v>
      </c>
      <c r="FO172" s="3">
        <v>50</v>
      </c>
      <c r="FQ172" s="3" t="str">
        <f t="shared" si="37"/>
        <v>rifles</v>
      </c>
      <c r="FR172" s="3" t="s">
        <v>885</v>
      </c>
      <c r="FS172" s="8" t="s">
        <v>886</v>
      </c>
      <c r="GC172" s="1323" t="s">
        <v>1734</v>
      </c>
      <c r="GD172" s="3" t="s">
        <v>272</v>
      </c>
      <c r="GE172" s="19">
        <v>3500</v>
      </c>
      <c r="GF172" s="19">
        <v>1</v>
      </c>
      <c r="GG172" s="19" t="s">
        <v>209</v>
      </c>
      <c r="GH172" s="3" t="s">
        <v>1735</v>
      </c>
      <c r="GI172" s="8" t="s">
        <v>1736</v>
      </c>
      <c r="IC172" s="1540" t="str">
        <f t="shared" si="35"/>
        <v/>
      </c>
      <c r="ID17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3" spans="1:238">
      <c r="A173" s="1304" t="s">
        <v>6555</v>
      </c>
      <c r="BO173" t="s">
        <v>5964</v>
      </c>
      <c r="BV173" s="456" t="s">
        <v>5965</v>
      </c>
      <c r="EN173" s="1323" t="s">
        <v>901</v>
      </c>
      <c r="EO173" s="3" t="s">
        <v>173</v>
      </c>
      <c r="EP173" s="3" t="s">
        <v>204</v>
      </c>
      <c r="EQ173" s="3" t="s">
        <v>460</v>
      </c>
      <c r="ER173" s="3" t="s">
        <v>531</v>
      </c>
      <c r="ES173" s="19" t="s">
        <v>149</v>
      </c>
      <c r="EX173" s="19" t="s">
        <v>3717</v>
      </c>
      <c r="EY173" s="19" t="s">
        <v>13</v>
      </c>
      <c r="EZ173" s="3" t="s">
        <v>497</v>
      </c>
      <c r="FA173" s="3" t="s">
        <v>160</v>
      </c>
      <c r="FD173" s="3">
        <v>3</v>
      </c>
      <c r="FE173" s="3">
        <v>10</v>
      </c>
      <c r="FL173" s="3">
        <v>1250</v>
      </c>
      <c r="FM173" s="3">
        <v>3.3</v>
      </c>
      <c r="FN173" s="3" t="s">
        <v>424</v>
      </c>
      <c r="FO173" s="3">
        <v>25</v>
      </c>
      <c r="FQ173" s="3" t="str">
        <f t="shared" si="37"/>
        <v>rifles</v>
      </c>
      <c r="FR173" s="3" t="s">
        <v>902</v>
      </c>
      <c r="FS173" s="8" t="s">
        <v>903</v>
      </c>
      <c r="GC173" s="1323" t="s">
        <v>1741</v>
      </c>
      <c r="GD173" s="3" t="s">
        <v>169</v>
      </c>
      <c r="GE173" s="19">
        <v>200</v>
      </c>
      <c r="GF173" s="19">
        <v>10</v>
      </c>
      <c r="GG173" s="19" t="s">
        <v>274</v>
      </c>
      <c r="GH173" s="3" t="s">
        <v>1742</v>
      </c>
      <c r="GI173" s="8" t="s">
        <v>1743</v>
      </c>
      <c r="IC173" s="1540" t="str">
        <f t="shared" si="35"/>
        <v/>
      </c>
      <c r="ID17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4" spans="1:238">
      <c r="A174" s="1304" t="s">
        <v>11</v>
      </c>
      <c r="B174" s="1304" t="s">
        <v>4552</v>
      </c>
      <c r="C174" s="1304" t="s">
        <v>4576</v>
      </c>
      <c r="D174" s="1304" t="s">
        <v>4553</v>
      </c>
      <c r="BO174" t="s">
        <v>1539</v>
      </c>
      <c r="BV174" s="456" t="s">
        <v>2084</v>
      </c>
      <c r="EN174" s="1323" t="s">
        <v>919</v>
      </c>
      <c r="EO174" s="3" t="s">
        <v>155</v>
      </c>
      <c r="EP174" s="3" t="s">
        <v>204</v>
      </c>
      <c r="EQ174" s="3" t="s">
        <v>460</v>
      </c>
      <c r="ER174" s="3" t="s">
        <v>531</v>
      </c>
      <c r="ES174" s="19" t="s">
        <v>201</v>
      </c>
      <c r="EV174" s="19" t="s">
        <v>202</v>
      </c>
      <c r="EX174" s="19" t="s">
        <v>3717</v>
      </c>
      <c r="EY174" s="19" t="s">
        <v>13</v>
      </c>
      <c r="EZ174" s="3" t="s">
        <v>497</v>
      </c>
      <c r="FA174" s="3" t="s">
        <v>160</v>
      </c>
      <c r="FD174" s="3">
        <v>3</v>
      </c>
      <c r="FE174" s="3">
        <v>10</v>
      </c>
      <c r="FJ174" s="3" t="s">
        <v>499</v>
      </c>
      <c r="FL174" s="3">
        <v>2000</v>
      </c>
      <c r="FM174" s="3">
        <v>6</v>
      </c>
      <c r="FN174" s="3" t="s">
        <v>424</v>
      </c>
      <c r="FO174" s="3">
        <v>30</v>
      </c>
      <c r="FQ174" s="3" t="str">
        <f t="shared" si="37"/>
        <v>rifles</v>
      </c>
      <c r="FR174" s="3" t="s">
        <v>920</v>
      </c>
      <c r="FS174" s="8" t="s">
        <v>921</v>
      </c>
      <c r="GC174" s="1323" t="s">
        <v>2212</v>
      </c>
      <c r="GD174" s="3" t="s">
        <v>2152</v>
      </c>
      <c r="GE174" s="19">
        <v>1300</v>
      </c>
      <c r="GF174" s="19">
        <v>0.3</v>
      </c>
      <c r="GG174" s="19" t="s">
        <v>249</v>
      </c>
      <c r="GH174" s="3" t="s">
        <v>2213</v>
      </c>
      <c r="GI174" s="8" t="s">
        <v>2214</v>
      </c>
      <c r="IC174" s="1540" t="str">
        <f t="shared" si="35"/>
        <v/>
      </c>
      <c r="ID17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5" spans="1:238">
      <c r="A175" s="1304">
        <v>1</v>
      </c>
      <c r="B175" s="1304">
        <v>-8</v>
      </c>
      <c r="C175" s="1304"/>
      <c r="D175" s="1304">
        <v>8</v>
      </c>
      <c r="BO175" t="s">
        <v>989</v>
      </c>
      <c r="BP175" s="1552" t="s">
        <v>795</v>
      </c>
      <c r="BQ175" s="1552" t="s">
        <v>5810</v>
      </c>
      <c r="BT175" s="1552"/>
      <c r="BV175" s="456" t="s">
        <v>2086</v>
      </c>
      <c r="EN175" s="1323" t="s">
        <v>2183</v>
      </c>
      <c r="EO175" s="3" t="s">
        <v>2159</v>
      </c>
      <c r="EP175" s="3" t="s">
        <v>204</v>
      </c>
      <c r="EQ175" s="3" t="s">
        <v>460</v>
      </c>
      <c r="ER175" s="3" t="s">
        <v>531</v>
      </c>
      <c r="ES175" s="19" t="s">
        <v>201</v>
      </c>
      <c r="EX175" s="19" t="s">
        <v>3717</v>
      </c>
      <c r="EY175" s="19" t="s">
        <v>13</v>
      </c>
      <c r="EZ175" s="3" t="s">
        <v>497</v>
      </c>
      <c r="FA175" s="3" t="s">
        <v>160</v>
      </c>
      <c r="FC175" s="3" t="s">
        <v>2184</v>
      </c>
      <c r="FD175" s="3">
        <v>3</v>
      </c>
      <c r="FE175" s="3">
        <v>10</v>
      </c>
      <c r="FL175" s="3">
        <v>3000</v>
      </c>
      <c r="FM175" s="3">
        <v>7</v>
      </c>
      <c r="FN175" s="3" t="s">
        <v>424</v>
      </c>
      <c r="FO175" s="3">
        <v>50</v>
      </c>
      <c r="FP175" s="3">
        <v>1</v>
      </c>
      <c r="FQ175" s="3" t="str">
        <f t="shared" si="37"/>
        <v>rifles</v>
      </c>
      <c r="FR175" s="3" t="s">
        <v>2185</v>
      </c>
      <c r="FS175" s="8" t="s">
        <v>2186</v>
      </c>
      <c r="GC175" s="1323" t="s">
        <v>1744</v>
      </c>
      <c r="GD175" s="3" t="s">
        <v>173</v>
      </c>
      <c r="GE175" s="19">
        <v>5000</v>
      </c>
      <c r="GF175" s="19">
        <v>0.2</v>
      </c>
      <c r="GG175" s="19" t="s">
        <v>249</v>
      </c>
      <c r="GH175" s="3" t="s">
        <v>1745</v>
      </c>
      <c r="GI175" s="8" t="s">
        <v>1746</v>
      </c>
      <c r="IC175" s="1540" t="str">
        <f t="shared" si="35"/>
        <v/>
      </c>
      <c r="ID17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6" spans="1:238">
      <c r="A176" s="1304">
        <v>2</v>
      </c>
      <c r="B176" s="1304">
        <v>-6</v>
      </c>
      <c r="C176" s="1304"/>
      <c r="D176" s="1304">
        <v>6</v>
      </c>
      <c r="BO176" t="s">
        <v>1493</v>
      </c>
      <c r="BV176" s="456" t="s">
        <v>2087</v>
      </c>
      <c r="EN176" s="1323" t="s">
        <v>7020</v>
      </c>
      <c r="EO176" s="3" t="s">
        <v>6758</v>
      </c>
      <c r="EP176" s="3" t="s">
        <v>204</v>
      </c>
      <c r="EQ176" s="3" t="s">
        <v>460</v>
      </c>
      <c r="ER176" s="3" t="s">
        <v>531</v>
      </c>
      <c r="ES176" s="19" t="s">
        <v>201</v>
      </c>
      <c r="EV176" s="19" t="s">
        <v>1337</v>
      </c>
      <c r="EX176" s="19" t="s">
        <v>3717</v>
      </c>
      <c r="EZ176" s="3" t="s">
        <v>497</v>
      </c>
      <c r="FA176" s="3" t="s">
        <v>3718</v>
      </c>
      <c r="FC176" s="3" t="s">
        <v>7021</v>
      </c>
      <c r="FD176" s="3">
        <v>3</v>
      </c>
      <c r="FE176" s="3">
        <v>6</v>
      </c>
      <c r="FJ176" s="3" t="s">
        <v>499</v>
      </c>
      <c r="FL176" s="3">
        <v>2250</v>
      </c>
      <c r="FM176" s="3">
        <v>6.5</v>
      </c>
      <c r="FN176" s="3">
        <v>500</v>
      </c>
      <c r="FR176" s="3" t="s">
        <v>7022</v>
      </c>
      <c r="FS176" s="8" t="s">
        <v>7023</v>
      </c>
      <c r="GC176" s="1323" t="s">
        <v>4472</v>
      </c>
      <c r="GE176" s="19">
        <v>23000</v>
      </c>
      <c r="GG176" s="19" t="s">
        <v>249</v>
      </c>
      <c r="GH176" s="3" t="str">
        <f>LOWER(GC176)</f>
        <v>subelectronic converter</v>
      </c>
      <c r="GI176" s="8" t="str">
        <f>GH176&amp;"s"</f>
        <v>subelectronic converters</v>
      </c>
      <c r="IC176" s="1540" t="str">
        <f t="shared" si="35"/>
        <v/>
      </c>
      <c r="ID17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7" spans="1:238">
      <c r="A177" s="1304">
        <v>3</v>
      </c>
      <c r="B177" s="1304">
        <v>-4</v>
      </c>
      <c r="C177" s="1304"/>
      <c r="D177" s="1304">
        <v>4</v>
      </c>
      <c r="BO177" t="s">
        <v>6571</v>
      </c>
      <c r="BP177" s="1552"/>
      <c r="BQ177" s="1552"/>
      <c r="BR177" s="1552"/>
      <c r="BS177" s="1552"/>
      <c r="BT177" s="1552"/>
      <c r="BU177" s="1552"/>
      <c r="BV177" s="456" t="s">
        <v>6572</v>
      </c>
      <c r="EN177" s="1323" t="s">
        <v>942</v>
      </c>
      <c r="EO177" s="3" t="s">
        <v>248</v>
      </c>
      <c r="EP177" s="3" t="s">
        <v>204</v>
      </c>
      <c r="EQ177" s="3" t="s">
        <v>460</v>
      </c>
      <c r="ER177" s="3" t="s">
        <v>531</v>
      </c>
      <c r="ES177" s="19" t="s">
        <v>201</v>
      </c>
      <c r="EX177" s="19" t="s">
        <v>3717</v>
      </c>
      <c r="EZ177" s="3" t="s">
        <v>497</v>
      </c>
      <c r="FA177" s="3" t="s">
        <v>160</v>
      </c>
      <c r="FD177" s="3">
        <v>3</v>
      </c>
      <c r="FE177" s="3">
        <v>8</v>
      </c>
      <c r="FJ177" s="3" t="s">
        <v>587</v>
      </c>
      <c r="FL177" s="3">
        <v>1200</v>
      </c>
      <c r="FM177" s="3">
        <v>5.5</v>
      </c>
      <c r="FN177" s="3" t="s">
        <v>424</v>
      </c>
      <c r="FO177" s="3">
        <v>50</v>
      </c>
      <c r="FQ177" s="3" t="str">
        <f>IF(EP177="R",IF(EQ177&lt;&gt;"EWP",ER177,"pistols"),"")</f>
        <v>rifles</v>
      </c>
      <c r="FR177" s="3" t="s">
        <v>943</v>
      </c>
      <c r="FS177" s="8" t="s">
        <v>943</v>
      </c>
      <c r="GC177" s="1323" t="s">
        <v>8131</v>
      </c>
      <c r="GD177" s="3" t="s">
        <v>7946</v>
      </c>
      <c r="GE177" s="19">
        <v>120</v>
      </c>
      <c r="GF177" s="19">
        <v>0.2</v>
      </c>
      <c r="GG177" s="19" t="s">
        <v>249</v>
      </c>
      <c r="GH177" s="3" t="str">
        <f>LOWER(GC177)</f>
        <v>subsonic field emitter</v>
      </c>
      <c r="GI177" s="8" t="str">
        <f>GH177&amp;"s"</f>
        <v>subsonic field emitters</v>
      </c>
      <c r="IC177" s="1540" t="str">
        <f t="shared" si="35"/>
        <v/>
      </c>
      <c r="ID17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8" spans="1:238">
      <c r="A178" s="1304">
        <v>4</v>
      </c>
      <c r="B178" s="1304">
        <v>-2</v>
      </c>
      <c r="C178" s="1304"/>
      <c r="D178" s="1304">
        <v>2</v>
      </c>
      <c r="BO178" t="s">
        <v>1481</v>
      </c>
      <c r="BV178" s="456" t="s">
        <v>2089</v>
      </c>
      <c r="EN178" s="1323" t="s">
        <v>964</v>
      </c>
      <c r="EO178" s="3" t="s">
        <v>169</v>
      </c>
      <c r="EP178" s="3" t="s">
        <v>204</v>
      </c>
      <c r="EQ178" s="3" t="s">
        <v>460</v>
      </c>
      <c r="ER178" s="3" t="s">
        <v>531</v>
      </c>
      <c r="ES178" s="19" t="s">
        <v>201</v>
      </c>
      <c r="EX178" s="19" t="s">
        <v>3717</v>
      </c>
      <c r="EZ178" s="3" t="s">
        <v>497</v>
      </c>
      <c r="FA178" s="3" t="s">
        <v>160</v>
      </c>
      <c r="FD178" s="3">
        <v>3</v>
      </c>
      <c r="FE178" s="3">
        <v>10</v>
      </c>
      <c r="FJ178" s="569" t="s">
        <v>587</v>
      </c>
      <c r="FL178" s="3">
        <v>2000</v>
      </c>
      <c r="FM178" s="3">
        <v>8</v>
      </c>
      <c r="FN178" s="3" t="s">
        <v>424</v>
      </c>
      <c r="FO178" s="3">
        <v>10</v>
      </c>
      <c r="FP178" s="3">
        <v>1</v>
      </c>
      <c r="FQ178" s="3" t="str">
        <f>IF(EP178="R",IF(EQ178&lt;&gt;"EWP",ER178,"pistols"),"")</f>
        <v>rifles</v>
      </c>
      <c r="FR178" s="3" t="s">
        <v>965</v>
      </c>
      <c r="FS178" s="8" t="s">
        <v>966</v>
      </c>
      <c r="GC178" s="1323" t="s">
        <v>1750</v>
      </c>
      <c r="GD178" s="3" t="s">
        <v>155</v>
      </c>
      <c r="GE178" s="19">
        <v>1000</v>
      </c>
      <c r="GF178" s="19">
        <v>10</v>
      </c>
      <c r="GG178" s="19" t="s">
        <v>274</v>
      </c>
      <c r="GH178" s="3" t="s">
        <v>1751</v>
      </c>
      <c r="GI178" s="8" t="s">
        <v>1752</v>
      </c>
      <c r="IC178" s="1540" t="str">
        <f t="shared" si="35"/>
        <v/>
      </c>
      <c r="ID17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79" spans="1:238">
      <c r="A179" s="1304">
        <v>5</v>
      </c>
      <c r="B179" s="1304"/>
      <c r="C179" s="1304"/>
      <c r="D179" s="1304"/>
      <c r="BO179" t="s">
        <v>7965</v>
      </c>
      <c r="BV179" s="456" t="s">
        <v>8028</v>
      </c>
      <c r="EN179" s="1323" t="s">
        <v>981</v>
      </c>
      <c r="EO179" s="3" t="s">
        <v>155</v>
      </c>
      <c r="EP179" s="3" t="s">
        <v>204</v>
      </c>
      <c r="EQ179" s="3" t="s">
        <v>460</v>
      </c>
      <c r="ER179" s="3" t="s">
        <v>531</v>
      </c>
      <c r="ES179" s="19" t="s">
        <v>149</v>
      </c>
      <c r="EV179" s="19" t="s">
        <v>202</v>
      </c>
      <c r="EX179" s="19" t="s">
        <v>3717</v>
      </c>
      <c r="EZ179" s="3" t="s">
        <v>497</v>
      </c>
      <c r="FA179" s="3" t="s">
        <v>321</v>
      </c>
      <c r="FD179" s="3">
        <v>3</v>
      </c>
      <c r="FE179" s="3">
        <v>6</v>
      </c>
      <c r="FJ179" s="3" t="s">
        <v>587</v>
      </c>
      <c r="FL179" s="3">
        <v>800</v>
      </c>
      <c r="FM179" s="3">
        <v>4</v>
      </c>
      <c r="FN179" s="3" t="s">
        <v>424</v>
      </c>
      <c r="FO179" s="3">
        <v>50</v>
      </c>
      <c r="FQ179" s="3" t="str">
        <f>IF(EP179="R",IF(EQ179&lt;&gt;"EWP",ER179,"pistols"),"")</f>
        <v>rifles</v>
      </c>
      <c r="FR179" s="3" t="s">
        <v>982</v>
      </c>
      <c r="FS179" s="8" t="s">
        <v>983</v>
      </c>
      <c r="GC179" s="1323" t="s">
        <v>8126</v>
      </c>
      <c r="GD179" s="3" t="s">
        <v>7183</v>
      </c>
      <c r="GE179" s="19">
        <v>450</v>
      </c>
      <c r="GF179" s="19">
        <v>0.5</v>
      </c>
      <c r="GG179" s="19" t="s">
        <v>249</v>
      </c>
      <c r="GH179" s="3" t="str">
        <f>LOWER(GC179)</f>
        <v>surveillance detector</v>
      </c>
      <c r="GI179" s="8" t="str">
        <f>GH179&amp;"s"</f>
        <v>surveillance detectors</v>
      </c>
      <c r="IC179" s="1540" t="str">
        <f t="shared" si="35"/>
        <v/>
      </c>
      <c r="ID17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0" spans="1:238">
      <c r="A180" s="1304">
        <v>6</v>
      </c>
      <c r="B180" s="1304">
        <v>8</v>
      </c>
      <c r="C180" s="1304">
        <v>8</v>
      </c>
      <c r="D180" s="1304">
        <v>-2</v>
      </c>
      <c r="BO180" t="s">
        <v>1772</v>
      </c>
      <c r="BV180" s="456" t="s">
        <v>2028</v>
      </c>
      <c r="EN180" s="1323" t="s">
        <v>7024</v>
      </c>
      <c r="EO180" s="3" t="s">
        <v>6758</v>
      </c>
      <c r="EP180" s="3" t="s">
        <v>204</v>
      </c>
      <c r="EQ180" s="3" t="s">
        <v>460</v>
      </c>
      <c r="ER180" s="3" t="s">
        <v>531</v>
      </c>
      <c r="ES180" s="19" t="s">
        <v>149</v>
      </c>
      <c r="EV180" s="19" t="s">
        <v>7025</v>
      </c>
      <c r="EX180" s="19" t="s">
        <v>3717</v>
      </c>
      <c r="EY180" s="19" t="s">
        <v>13</v>
      </c>
      <c r="EZ180" s="3" t="s">
        <v>497</v>
      </c>
      <c r="FA180" s="3" t="s">
        <v>160</v>
      </c>
      <c r="FC180" s="3" t="s">
        <v>7026</v>
      </c>
      <c r="FD180" s="3">
        <v>3</v>
      </c>
      <c r="FE180" s="3">
        <v>4</v>
      </c>
      <c r="FL180" s="3">
        <v>1300</v>
      </c>
      <c r="FM180" s="3">
        <v>5</v>
      </c>
      <c r="FN180" s="3">
        <v>500</v>
      </c>
      <c r="FR180" s="3" t="s">
        <v>7027</v>
      </c>
      <c r="FS180" s="8" t="s">
        <v>7028</v>
      </c>
      <c r="GC180" s="1323" t="s">
        <v>8125</v>
      </c>
      <c r="GD180" s="3" t="s">
        <v>7183</v>
      </c>
      <c r="GE180" s="19">
        <v>450</v>
      </c>
      <c r="GF180" s="19">
        <v>0.5</v>
      </c>
      <c r="GG180" s="19" t="s">
        <v>249</v>
      </c>
      <c r="GH180" s="3" t="str">
        <f>LOWER(GC180)</f>
        <v>surveillance tagger</v>
      </c>
      <c r="GI180" s="8" t="str">
        <f>GH180&amp;"s"</f>
        <v>surveillance taggers</v>
      </c>
      <c r="IC180" s="1540" t="str">
        <f t="shared" si="35"/>
        <v/>
      </c>
      <c r="ID18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1" spans="1:238">
      <c r="A181" s="1304">
        <v>7</v>
      </c>
      <c r="B181" s="1304">
        <v>16</v>
      </c>
      <c r="C181" s="1304">
        <v>16</v>
      </c>
      <c r="D181" s="1304">
        <v>-4</v>
      </c>
      <c r="BO181" t="s">
        <v>7956</v>
      </c>
      <c r="BV181" s="456" t="s">
        <v>8022</v>
      </c>
      <c r="EN181" s="1323" t="s">
        <v>1047</v>
      </c>
      <c r="EO181" s="3" t="s">
        <v>155</v>
      </c>
      <c r="EP181" s="3" t="s">
        <v>204</v>
      </c>
      <c r="EQ181" s="3" t="s">
        <v>460</v>
      </c>
      <c r="ER181" s="3" t="s">
        <v>531</v>
      </c>
      <c r="ES181" s="19" t="s">
        <v>201</v>
      </c>
      <c r="EY181" s="19" t="s">
        <v>13</v>
      </c>
      <c r="EZ181" s="3" t="s">
        <v>497</v>
      </c>
      <c r="FA181" s="3" t="s">
        <v>160</v>
      </c>
      <c r="FD181" s="3">
        <v>3</v>
      </c>
      <c r="FE181" s="3">
        <v>8</v>
      </c>
      <c r="FL181" s="3">
        <v>1200</v>
      </c>
      <c r="FM181" s="3">
        <v>6</v>
      </c>
      <c r="FN181" s="3" t="s">
        <v>424</v>
      </c>
      <c r="FO181" s="3">
        <v>30</v>
      </c>
      <c r="FQ181" s="3" t="str">
        <f>IF(EP181="R",IF(EQ181&lt;&gt;"EWP",ER181,"pistols"),"")</f>
        <v>rifles</v>
      </c>
      <c r="FR181" s="3" t="s">
        <v>1048</v>
      </c>
      <c r="FS181" s="8" t="s">
        <v>1049</v>
      </c>
      <c r="GC181" s="1323" t="s">
        <v>1755</v>
      </c>
      <c r="GD181" s="3" t="s">
        <v>155</v>
      </c>
      <c r="GE181" s="19">
        <v>20</v>
      </c>
      <c r="GF181" s="19">
        <v>2.5</v>
      </c>
      <c r="GG181" s="19" t="s">
        <v>170</v>
      </c>
      <c r="GH181" s="3" t="s">
        <v>1756</v>
      </c>
      <c r="GI181" s="8" t="s">
        <v>1757</v>
      </c>
      <c r="IC181" s="1540" t="str">
        <f t="shared" si="35"/>
        <v/>
      </c>
      <c r="ID18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2" spans="1:238">
      <c r="A182" s="1304">
        <v>8</v>
      </c>
      <c r="B182" s="1304">
        <v>24</v>
      </c>
      <c r="C182" s="1304">
        <v>24</v>
      </c>
      <c r="D182" s="1304">
        <v>-4</v>
      </c>
      <c r="BO182" t="s">
        <v>7952</v>
      </c>
      <c r="BV182" s="456" t="s">
        <v>8019</v>
      </c>
      <c r="EN182" s="1323" t="s">
        <v>1146</v>
      </c>
      <c r="EO182" s="3" t="s">
        <v>272</v>
      </c>
      <c r="EP182" s="3" t="s">
        <v>204</v>
      </c>
      <c r="EQ182" s="3" t="s">
        <v>460</v>
      </c>
      <c r="ER182" s="3" t="s">
        <v>531</v>
      </c>
      <c r="ES182" s="19" t="s">
        <v>149</v>
      </c>
      <c r="EX182" s="19" t="s">
        <v>3717</v>
      </c>
      <c r="EZ182" s="3" t="s">
        <v>497</v>
      </c>
      <c r="FA182" s="3" t="s">
        <v>321</v>
      </c>
      <c r="FD182" s="3">
        <v>3</v>
      </c>
      <c r="FE182" s="3">
        <v>8</v>
      </c>
      <c r="FJ182" s="3" t="s">
        <v>499</v>
      </c>
      <c r="FL182" s="3">
        <v>1350</v>
      </c>
      <c r="FM182" s="3">
        <v>3</v>
      </c>
      <c r="FN182" s="3" t="s">
        <v>424</v>
      </c>
      <c r="FO182" s="3">
        <v>50</v>
      </c>
      <c r="FQ182" s="3" t="str">
        <f>IF(EP182="R",IF(EQ182&lt;&gt;"EWP",ER182,"pistols"),"")</f>
        <v>rifles</v>
      </c>
      <c r="FR182" s="3" t="s">
        <v>1146</v>
      </c>
      <c r="FS182" s="8" t="s">
        <v>1147</v>
      </c>
      <c r="GC182" s="1323" t="s">
        <v>7278</v>
      </c>
      <c r="GD182" s="3" t="s">
        <v>6758</v>
      </c>
      <c r="GE182" s="19">
        <v>300</v>
      </c>
      <c r="GF182" s="19">
        <v>0.1</v>
      </c>
      <c r="GG182" s="19" t="s">
        <v>249</v>
      </c>
      <c r="GH182" s="3" t="str">
        <f>LOWER(GC182)</f>
        <v>targeting beacon</v>
      </c>
      <c r="GI182" s="8" t="str">
        <f>GH182&amp;"s"</f>
        <v>targeting beacons</v>
      </c>
      <c r="IC182" s="1540" t="str">
        <f t="shared" si="35"/>
        <v/>
      </c>
      <c r="ID18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3" spans="1:238">
      <c r="A183" s="1304">
        <v>9</v>
      </c>
      <c r="B183" s="1304">
        <v>32</v>
      </c>
      <c r="C183" s="1304">
        <v>32</v>
      </c>
      <c r="D183" s="1304">
        <v>-4</v>
      </c>
      <c r="BO183" t="s">
        <v>1482</v>
      </c>
      <c r="BV183" s="456" t="s">
        <v>2093</v>
      </c>
      <c r="EN183" s="1323" t="s">
        <v>8092</v>
      </c>
      <c r="EO183" s="569" t="s">
        <v>7946</v>
      </c>
      <c r="EP183" s="569" t="s">
        <v>204</v>
      </c>
      <c r="EQ183" s="1552" t="s">
        <v>460</v>
      </c>
      <c r="ER183" s="1552" t="s">
        <v>531</v>
      </c>
      <c r="ES183" s="1552" t="s">
        <v>201</v>
      </c>
      <c r="EV183" s="1552"/>
      <c r="EX183" s="1552" t="s">
        <v>3717</v>
      </c>
      <c r="EZ183" s="1552" t="s">
        <v>422</v>
      </c>
      <c r="FA183" s="1552" t="s">
        <v>204</v>
      </c>
      <c r="FB183" s="1552" t="s">
        <v>118</v>
      </c>
      <c r="FC183" s="3" t="s">
        <v>8110</v>
      </c>
      <c r="FD183" s="1552">
        <v>2</v>
      </c>
      <c r="FE183" s="1552">
        <v>10</v>
      </c>
      <c r="FL183" s="1552">
        <v>1800</v>
      </c>
      <c r="FM183" s="1552">
        <v>2.1</v>
      </c>
      <c r="FN183" s="3" t="s">
        <v>424</v>
      </c>
      <c r="FO183" s="3">
        <v>25</v>
      </c>
      <c r="FP183" s="569">
        <v>1</v>
      </c>
      <c r="FQ183" s="569" t="s">
        <v>531</v>
      </c>
      <c r="FR183" s="3" t="s">
        <v>8103</v>
      </c>
      <c r="FS183" s="8" t="str">
        <f>FR183&amp;"s"</f>
        <v>concussion rifles</v>
      </c>
      <c r="GC183" s="1323" t="s">
        <v>1759</v>
      </c>
      <c r="GD183" s="3" t="s">
        <v>155</v>
      </c>
      <c r="GE183" s="19">
        <v>1000</v>
      </c>
      <c r="GF183" s="19">
        <v>1.2</v>
      </c>
      <c r="GG183" s="19" t="s">
        <v>209</v>
      </c>
      <c r="GH183" s="3" t="s">
        <v>1760</v>
      </c>
      <c r="GI183" s="8" t="s">
        <v>1761</v>
      </c>
      <c r="IC183" s="1540" t="str">
        <f t="shared" si="35"/>
        <v/>
      </c>
      <c r="ID18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4" spans="1:238">
      <c r="BO184" t="s">
        <v>7959</v>
      </c>
      <c r="BV184" s="456" t="s">
        <v>8024</v>
      </c>
      <c r="EN184" s="1323" t="s">
        <v>1307</v>
      </c>
      <c r="EO184" s="3" t="s">
        <v>530</v>
      </c>
      <c r="EP184" s="3" t="s">
        <v>204</v>
      </c>
      <c r="EQ184" s="3" t="s">
        <v>460</v>
      </c>
      <c r="ER184" s="3" t="s">
        <v>531</v>
      </c>
      <c r="ES184" s="19" t="s">
        <v>149</v>
      </c>
      <c r="EX184" s="19" t="s">
        <v>3717</v>
      </c>
      <c r="EZ184" s="3" t="s">
        <v>242</v>
      </c>
      <c r="FA184" s="3" t="s">
        <v>204</v>
      </c>
      <c r="FD184" s="3">
        <v>2</v>
      </c>
      <c r="FE184" s="3">
        <v>10</v>
      </c>
      <c r="FJ184" s="3" t="s">
        <v>587</v>
      </c>
      <c r="FL184" s="3">
        <v>360</v>
      </c>
      <c r="FM184" s="3">
        <v>4</v>
      </c>
      <c r="FN184" s="3" t="s">
        <v>719</v>
      </c>
      <c r="FO184" s="3">
        <v>25</v>
      </c>
      <c r="FQ184" s="3" t="str">
        <f>IF(EP184="R",IF(EQ184&lt;&gt;"EWP",ER184,"pistols"),"")</f>
        <v>rifles</v>
      </c>
      <c r="FR184" s="3" t="s">
        <v>1307</v>
      </c>
      <c r="FS184" s="8" t="s">
        <v>1308</v>
      </c>
      <c r="GC184" s="1323" t="s">
        <v>1763</v>
      </c>
      <c r="GD184" s="3" t="s">
        <v>155</v>
      </c>
      <c r="GE184" s="19">
        <v>100</v>
      </c>
      <c r="GF184" s="19">
        <v>0.2</v>
      </c>
      <c r="GG184" s="19" t="s">
        <v>249</v>
      </c>
      <c r="GH184" s="3" t="s">
        <v>1764</v>
      </c>
      <c r="GI184" s="8" t="s">
        <v>1765</v>
      </c>
      <c r="IC184" s="1540" t="str">
        <f t="shared" si="35"/>
        <v/>
      </c>
      <c r="ID18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5" spans="1:238">
      <c r="A185" s="1527" t="s">
        <v>4101</v>
      </c>
      <c r="B185" t="str">
        <f>IF(CharacterGender&lt;&gt;"",INDEX(GenderTable,MATCH(CharacterGender,GenderList,0),2),"it")</f>
        <v>it</v>
      </c>
      <c r="C185" s="1527" t="str">
        <f>IF(CharacterGender&lt;&gt;"",INDEX(GenderTable,MATCH(CharacterGender,GenderList,0),3),"its")</f>
        <v>its</v>
      </c>
      <c r="BO185" t="s">
        <v>8041</v>
      </c>
      <c r="BV185" s="456" t="s">
        <v>8056</v>
      </c>
      <c r="EN185" s="1323" t="s">
        <v>1326</v>
      </c>
      <c r="EO185" s="3" t="s">
        <v>482</v>
      </c>
      <c r="EP185" s="3" t="s">
        <v>204</v>
      </c>
      <c r="EQ185" s="3" t="s">
        <v>460</v>
      </c>
      <c r="ER185" s="3" t="s">
        <v>531</v>
      </c>
      <c r="ES185" s="19" t="s">
        <v>149</v>
      </c>
      <c r="EX185" s="19" t="s">
        <v>3717</v>
      </c>
      <c r="EZ185" s="3" t="s">
        <v>497</v>
      </c>
      <c r="FA185" s="3" t="s">
        <v>160</v>
      </c>
      <c r="FB185" s="3" t="s">
        <v>118</v>
      </c>
      <c r="FC185" s="3" t="s">
        <v>1327</v>
      </c>
      <c r="FD185" s="3">
        <v>3</v>
      </c>
      <c r="FE185" s="3">
        <v>8</v>
      </c>
      <c r="FL185" s="3">
        <v>3500</v>
      </c>
      <c r="FM185" s="3">
        <v>5</v>
      </c>
      <c r="FN185" s="3" t="s">
        <v>424</v>
      </c>
      <c r="FO185" s="3">
        <v>10</v>
      </c>
      <c r="FP185" s="3">
        <v>1</v>
      </c>
      <c r="FQ185" s="3" t="str">
        <f>IF(EP185="R",IF(EQ185&lt;&gt;"EWP",ER185,"pistols"),"")</f>
        <v>rifles</v>
      </c>
      <c r="FR185" s="3" t="s">
        <v>1328</v>
      </c>
      <c r="FS185" s="8" t="s">
        <v>1329</v>
      </c>
      <c r="GC185" s="1323" t="s">
        <v>1769</v>
      </c>
      <c r="GD185" s="3" t="s">
        <v>155</v>
      </c>
      <c r="GE185" s="19">
        <v>250</v>
      </c>
      <c r="GF185" s="19">
        <v>1</v>
      </c>
      <c r="GG185" s="19" t="s">
        <v>209</v>
      </c>
      <c r="GH185" s="3" t="s">
        <v>1770</v>
      </c>
      <c r="GI185" s="8" t="s">
        <v>1771</v>
      </c>
      <c r="IC185" s="1540" t="str">
        <f t="shared" si="35"/>
        <v/>
      </c>
      <c r="ID18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6" spans="1:238">
      <c r="A186" s="1527" t="s">
        <v>7856</v>
      </c>
      <c r="B186" s="1527" t="s">
        <v>7871</v>
      </c>
      <c r="C186" s="1527" t="s">
        <v>7866</v>
      </c>
      <c r="BO186" t="s">
        <v>7967</v>
      </c>
      <c r="BV186" s="456" t="s">
        <v>8029</v>
      </c>
      <c r="EN186" s="1323" t="s">
        <v>1355</v>
      </c>
      <c r="EO186" s="3" t="s">
        <v>272</v>
      </c>
      <c r="EP186" s="3" t="s">
        <v>204</v>
      </c>
      <c r="EQ186" s="3" t="s">
        <v>460</v>
      </c>
      <c r="ER186" s="3" t="s">
        <v>531</v>
      </c>
      <c r="ES186" s="19" t="s">
        <v>201</v>
      </c>
      <c r="EX186" s="19" t="s">
        <v>3717</v>
      </c>
      <c r="EZ186" s="3" t="s">
        <v>497</v>
      </c>
      <c r="FA186" s="3" t="s">
        <v>779</v>
      </c>
      <c r="FC186" s="3" t="s">
        <v>1348</v>
      </c>
      <c r="FD186" s="3">
        <v>3</v>
      </c>
      <c r="FE186" s="3">
        <v>8</v>
      </c>
      <c r="FL186" s="3">
        <v>3500</v>
      </c>
      <c r="FM186" s="3">
        <v>6</v>
      </c>
      <c r="FN186" s="3" t="s">
        <v>424</v>
      </c>
      <c r="FO186" s="3">
        <v>10</v>
      </c>
      <c r="FQ186" s="3" t="str">
        <f>IF(EP186="R",IF(EQ186&lt;&gt;"EWP",ER186,"pistols"),"")</f>
        <v>rifles</v>
      </c>
      <c r="FR186" s="3" t="s">
        <v>1355</v>
      </c>
      <c r="FS186" s="8" t="s">
        <v>1356</v>
      </c>
      <c r="GC186" s="1323" t="s">
        <v>8121</v>
      </c>
      <c r="GD186" s="3" t="s">
        <v>7183</v>
      </c>
      <c r="GE186" s="19">
        <v>700</v>
      </c>
      <c r="GF186" s="19">
        <v>0.5</v>
      </c>
      <c r="GG186" s="19" t="s">
        <v>249</v>
      </c>
      <c r="GH186" s="3" t="str">
        <f>LOWER(GC186)</f>
        <v>toxin detector</v>
      </c>
      <c r="GI186" s="8" t="str">
        <f>GH186&amp;"s"</f>
        <v>toxin detectors</v>
      </c>
      <c r="IC186" s="1540" t="str">
        <f t="shared" si="35"/>
        <v/>
      </c>
      <c r="ID186"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7" spans="1:238">
      <c r="A187" s="1527" t="s">
        <v>7857</v>
      </c>
      <c r="B187" s="1527" t="s">
        <v>7872</v>
      </c>
      <c r="C187" s="1527" t="s">
        <v>7861</v>
      </c>
      <c r="BO187" t="s">
        <v>7987</v>
      </c>
      <c r="BV187" s="456" t="s">
        <v>8010</v>
      </c>
      <c r="EN187" s="1332" t="s">
        <v>6517</v>
      </c>
      <c r="EO187" s="569" t="s">
        <v>6222</v>
      </c>
      <c r="EP187" s="569" t="s">
        <v>204</v>
      </c>
      <c r="EQ187" s="3" t="s">
        <v>460</v>
      </c>
      <c r="ER187" s="569" t="s">
        <v>531</v>
      </c>
      <c r="ES187" s="1085" t="s">
        <v>201</v>
      </c>
      <c r="ET187" s="3"/>
      <c r="EU187" s="3"/>
      <c r="EV187" s="3"/>
      <c r="EW187" s="3"/>
      <c r="EX187" s="3"/>
      <c r="EY187" s="3"/>
      <c r="EZ187" s="569" t="s">
        <v>1434</v>
      </c>
      <c r="FA187" s="569" t="s">
        <v>204</v>
      </c>
      <c r="FC187" s="569" t="s">
        <v>6526</v>
      </c>
      <c r="FD187" s="569">
        <v>2</v>
      </c>
      <c r="FE187" s="569">
        <v>8</v>
      </c>
      <c r="FL187" s="569">
        <v>3500</v>
      </c>
      <c r="FM187" s="569">
        <v>5</v>
      </c>
      <c r="FN187" s="3" t="s">
        <v>424</v>
      </c>
      <c r="FO187" s="3">
        <v>50</v>
      </c>
      <c r="FP187" s="3">
        <v>1</v>
      </c>
      <c r="FQ187" s="3" t="s">
        <v>531</v>
      </c>
      <c r="FR187" s="3" t="str">
        <f>LOWER(EN187)</f>
        <v>energy lance (plasma bolt)</v>
      </c>
      <c r="FS187" s="8" t="str">
        <f>FR187&amp;"s"</f>
        <v>energy lance (plasma bolt)s</v>
      </c>
      <c r="GC187" s="1323" t="s">
        <v>6118</v>
      </c>
      <c r="GD187" s="569" t="s">
        <v>169</v>
      </c>
      <c r="GE187" s="19">
        <v>100</v>
      </c>
      <c r="GG187" s="19" t="s">
        <v>249</v>
      </c>
      <c r="GH187" s="1086" t="s">
        <v>6119</v>
      </c>
      <c r="GI187" s="8" t="s">
        <v>6120</v>
      </c>
      <c r="IC187" s="1540" t="str">
        <f t="shared" si="35"/>
        <v/>
      </c>
      <c r="ID187"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8" spans="1:238">
      <c r="A188" s="1527" t="s">
        <v>7858</v>
      </c>
      <c r="B188" s="1527" t="s">
        <v>7860</v>
      </c>
      <c r="C188" s="1527" t="s">
        <v>7865</v>
      </c>
      <c r="BO188" t="s">
        <v>7316</v>
      </c>
      <c r="BP188" s="1552" t="s">
        <v>7318</v>
      </c>
      <c r="BQ188" s="1552" t="s">
        <v>5810</v>
      </c>
      <c r="BV188" s="456" t="s">
        <v>7319</v>
      </c>
      <c r="EN188" s="1323" t="s">
        <v>1422</v>
      </c>
      <c r="EO188" s="3" t="s">
        <v>272</v>
      </c>
      <c r="EP188" s="3" t="s">
        <v>204</v>
      </c>
      <c r="EQ188" s="3" t="s">
        <v>460</v>
      </c>
      <c r="ER188" s="3" t="s">
        <v>531</v>
      </c>
      <c r="ES188" s="19" t="s">
        <v>201</v>
      </c>
      <c r="EX188" s="19" t="s">
        <v>3717</v>
      </c>
      <c r="EZ188" s="3" t="s">
        <v>242</v>
      </c>
      <c r="FA188" s="3" t="s">
        <v>160</v>
      </c>
      <c r="FC188" s="3" t="s">
        <v>1423</v>
      </c>
      <c r="FD188" s="3">
        <v>3</v>
      </c>
      <c r="FE188" s="3">
        <v>8</v>
      </c>
      <c r="FJ188" s="3" t="s">
        <v>499</v>
      </c>
      <c r="FL188" s="3">
        <v>1100</v>
      </c>
      <c r="FM188" s="3">
        <v>5</v>
      </c>
      <c r="FN188" s="3" t="s">
        <v>388</v>
      </c>
      <c r="FO188" s="3">
        <v>4</v>
      </c>
      <c r="FQ188" s="3" t="str">
        <f>IF(EP188="R",IF(EQ188&lt;&gt;"EWP",ER188,"pistols"),"")</f>
        <v>rifles</v>
      </c>
      <c r="FR188" s="3" t="s">
        <v>1424</v>
      </c>
      <c r="FS188" s="8" t="s">
        <v>1425</v>
      </c>
      <c r="GC188" s="1323" t="s">
        <v>7279</v>
      </c>
      <c r="GD188" s="3" t="s">
        <v>6758</v>
      </c>
      <c r="GE188" s="19">
        <v>1400</v>
      </c>
      <c r="GF188" s="19">
        <v>0.5</v>
      </c>
      <c r="GG188" s="19" t="s">
        <v>249</v>
      </c>
      <c r="GH188" s="3" t="str">
        <f>LOWER(GC188)</f>
        <v>triangulation visor</v>
      </c>
      <c r="GI188" s="8" t="str">
        <f>GH188&amp;"s"</f>
        <v>triangulation visors</v>
      </c>
      <c r="IC188" s="1540" t="str">
        <f t="shared" si="35"/>
        <v/>
      </c>
      <c r="ID188"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89" spans="1:238">
      <c r="A189" s="1527" t="s">
        <v>7859</v>
      </c>
      <c r="B189" s="1527" t="s">
        <v>7871</v>
      </c>
      <c r="C189" s="1527" t="s">
        <v>7866</v>
      </c>
      <c r="BO189" t="s">
        <v>1651</v>
      </c>
      <c r="BV189" s="456" t="s">
        <v>2094</v>
      </c>
      <c r="EN189" s="1323" t="s">
        <v>1541</v>
      </c>
      <c r="EO189" s="3" t="s">
        <v>272</v>
      </c>
      <c r="EP189" s="3" t="s">
        <v>204</v>
      </c>
      <c r="EQ189" s="3" t="s">
        <v>460</v>
      </c>
      <c r="ER189" s="3" t="s">
        <v>531</v>
      </c>
      <c r="ES189" s="19" t="s">
        <v>149</v>
      </c>
      <c r="EX189" s="19" t="s">
        <v>3717</v>
      </c>
      <c r="EZ189" s="3" t="s">
        <v>497</v>
      </c>
      <c r="FA189" s="3" t="s">
        <v>160</v>
      </c>
      <c r="FD189" s="3">
        <v>3</v>
      </c>
      <c r="FE189" s="3">
        <v>6</v>
      </c>
      <c r="FL189" s="3">
        <v>3500</v>
      </c>
      <c r="FM189" s="3">
        <v>5</v>
      </c>
      <c r="FN189" s="3" t="s">
        <v>424</v>
      </c>
      <c r="FO189" s="3">
        <v>20</v>
      </c>
      <c r="FQ189" s="3" t="str">
        <f>IF(EP189="R",IF(EQ189&lt;&gt;"EWP",ER189,"pistols"),"")</f>
        <v>rifles</v>
      </c>
      <c r="FR189" s="3" t="s">
        <v>1542</v>
      </c>
      <c r="FS189" s="8" t="s">
        <v>1543</v>
      </c>
      <c r="GC189" s="1323" t="s">
        <v>1778</v>
      </c>
      <c r="GD189" s="3" t="s">
        <v>169</v>
      </c>
      <c r="GE189" s="19">
        <v>200</v>
      </c>
      <c r="GG189" s="19" t="s">
        <v>249</v>
      </c>
      <c r="GH189" s="3" t="s">
        <v>1779</v>
      </c>
      <c r="GI189" s="8" t="s">
        <v>1779</v>
      </c>
      <c r="IC189" s="1540" t="str">
        <f t="shared" si="35"/>
        <v/>
      </c>
      <c r="ID189"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0" spans="1:238">
      <c r="A190" s="1527" t="s">
        <v>154</v>
      </c>
      <c r="B190" s="1527" t="s">
        <v>7860</v>
      </c>
      <c r="C190" s="1527" t="s">
        <v>7865</v>
      </c>
      <c r="BO190" s="1541" t="s">
        <v>1652</v>
      </c>
      <c r="BV190" s="456" t="s">
        <v>2095</v>
      </c>
      <c r="EN190" s="1323" t="s">
        <v>8896</v>
      </c>
      <c r="EO190" s="3" t="s">
        <v>6758</v>
      </c>
      <c r="EP190" s="3" t="s">
        <v>204</v>
      </c>
      <c r="EQ190" s="3" t="s">
        <v>460</v>
      </c>
      <c r="ER190" s="3" t="s">
        <v>531</v>
      </c>
      <c r="ES190" s="19" t="s">
        <v>149</v>
      </c>
      <c r="EV190" s="19" t="s">
        <v>1365</v>
      </c>
      <c r="EX190" s="19" t="s">
        <v>3717</v>
      </c>
      <c r="EY190" s="19" t="s">
        <v>13</v>
      </c>
      <c r="EZ190" s="3" t="s">
        <v>497</v>
      </c>
      <c r="FA190" s="3" t="s">
        <v>160</v>
      </c>
      <c r="FC190" s="3" t="s">
        <v>7044</v>
      </c>
      <c r="FD190" s="3">
        <v>3</v>
      </c>
      <c r="FE190" s="3">
        <v>8</v>
      </c>
      <c r="FL190" s="3">
        <v>4500</v>
      </c>
      <c r="FM190" s="3">
        <v>5</v>
      </c>
      <c r="FR190" s="3" t="s">
        <v>7045</v>
      </c>
      <c r="FS190" s="8" t="s">
        <v>7046</v>
      </c>
      <c r="GC190" s="1323" t="s">
        <v>6121</v>
      </c>
      <c r="GD190" s="569" t="s">
        <v>169</v>
      </c>
      <c r="GG190" s="19" t="s">
        <v>249</v>
      </c>
      <c r="GH190" s="1085" t="s">
        <v>6122</v>
      </c>
      <c r="GI190" s="8" t="s">
        <v>6123</v>
      </c>
      <c r="IC190" s="1540" t="str">
        <f t="shared" si="35"/>
        <v/>
      </c>
      <c r="ID190"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1" spans="1:238">
      <c r="BO191" s="1541" t="s">
        <v>7327</v>
      </c>
      <c r="BV191" s="456" t="s">
        <v>7328</v>
      </c>
      <c r="EN191" s="1323" t="s">
        <v>7047</v>
      </c>
      <c r="EO191" s="3" t="s">
        <v>6758</v>
      </c>
      <c r="EP191" s="3" t="s">
        <v>204</v>
      </c>
      <c r="EQ191" s="3" t="s">
        <v>460</v>
      </c>
      <c r="ER191" s="3" t="s">
        <v>531</v>
      </c>
      <c r="ES191" s="19" t="s">
        <v>149</v>
      </c>
      <c r="EX191" s="19" t="s">
        <v>3717</v>
      </c>
      <c r="EZ191" s="3" t="s">
        <v>357</v>
      </c>
      <c r="FA191" s="3" t="s">
        <v>3718</v>
      </c>
      <c r="FC191" s="3" t="s">
        <v>7048</v>
      </c>
      <c r="FD191" s="3">
        <v>4</v>
      </c>
      <c r="FE191" s="3">
        <v>6</v>
      </c>
      <c r="FL191" s="3">
        <v>4500</v>
      </c>
      <c r="FM191" s="3">
        <v>5</v>
      </c>
      <c r="FN191" s="3">
        <v>1</v>
      </c>
      <c r="FR191" s="3" t="s">
        <v>7049</v>
      </c>
      <c r="FS191" s="8" t="s">
        <v>7050</v>
      </c>
      <c r="GC191" s="1323" t="s">
        <v>4470</v>
      </c>
      <c r="GD191" s="569" t="s">
        <v>3800</v>
      </c>
      <c r="GE191" s="19">
        <v>20000</v>
      </c>
      <c r="GF191" s="19">
        <v>3000</v>
      </c>
      <c r="GG191" s="19" t="s">
        <v>201</v>
      </c>
      <c r="GH191" s="3" t="str">
        <f>LOWER(GC191)</f>
        <v>universal energy cage</v>
      </c>
      <c r="GI191" s="8" t="str">
        <f>GH191&amp;"s"</f>
        <v>universal energy cages</v>
      </c>
      <c r="IC191" s="1540" t="str">
        <f t="shared" si="35"/>
        <v/>
      </c>
      <c r="ID191"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2" spans="1:238">
      <c r="A192" s="1" t="s">
        <v>0</v>
      </c>
      <c r="B192" s="1" t="s">
        <v>1</v>
      </c>
      <c r="C192" s="1" t="s">
        <v>2</v>
      </c>
      <c r="D192" s="1" t="s">
        <v>3</v>
      </c>
      <c r="E192" s="1" t="s">
        <v>4</v>
      </c>
      <c r="F192" s="1" t="s">
        <v>5</v>
      </c>
      <c r="G192" s="1" t="s">
        <v>6</v>
      </c>
      <c r="H192" s="1"/>
      <c r="I192" s="1"/>
      <c r="BO192" s="1304" t="s">
        <v>2236</v>
      </c>
      <c r="BV192" s="456" t="s">
        <v>2237</v>
      </c>
      <c r="EN192" s="1323" t="s">
        <v>7051</v>
      </c>
      <c r="EO192" s="3" t="s">
        <v>6758</v>
      </c>
      <c r="EP192" s="3" t="s">
        <v>204</v>
      </c>
      <c r="EQ192" s="3" t="s">
        <v>460</v>
      </c>
      <c r="ER192" s="3" t="s">
        <v>531</v>
      </c>
      <c r="ES192" s="19" t="s">
        <v>149</v>
      </c>
      <c r="EX192" s="19" t="s">
        <v>3717</v>
      </c>
      <c r="EZ192" s="3" t="s">
        <v>497</v>
      </c>
      <c r="FA192" s="3" t="s">
        <v>3718</v>
      </c>
      <c r="FC192" s="3" t="s">
        <v>7052</v>
      </c>
      <c r="FD192" s="3">
        <v>3</v>
      </c>
      <c r="FE192" s="3">
        <v>10</v>
      </c>
      <c r="FJ192" s="3" t="s">
        <v>587</v>
      </c>
      <c r="FL192" s="3">
        <v>4500</v>
      </c>
      <c r="FM192" s="3">
        <v>5</v>
      </c>
      <c r="FR192" s="3" t="s">
        <v>7053</v>
      </c>
      <c r="FS192" s="8" t="s">
        <v>7054</v>
      </c>
      <c r="GC192" s="1323" t="s">
        <v>1788</v>
      </c>
      <c r="GD192" s="3" t="s">
        <v>155</v>
      </c>
      <c r="GE192" s="19">
        <v>70</v>
      </c>
      <c r="GF192" s="19">
        <v>0.6</v>
      </c>
      <c r="GG192" s="19" t="s">
        <v>249</v>
      </c>
      <c r="GH192" s="3" t="s">
        <v>1789</v>
      </c>
      <c r="GI192" s="8" t="s">
        <v>1790</v>
      </c>
      <c r="IC192" s="1540" t="str">
        <f t="shared" si="35"/>
        <v/>
      </c>
      <c r="ID192"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3" spans="1:238">
      <c r="A193" s="1622"/>
      <c r="B193" s="1622"/>
      <c r="C193" s="1622"/>
      <c r="D193" s="1622"/>
      <c r="E193" s="1622"/>
      <c r="F193" s="1622"/>
      <c r="G193" s="1622"/>
      <c r="H193" s="1622"/>
      <c r="I193" s="1622"/>
      <c r="BO193" s="570" t="s">
        <v>8638</v>
      </c>
      <c r="EN193" s="1323" t="s">
        <v>1550</v>
      </c>
      <c r="EO193" s="3" t="s">
        <v>173</v>
      </c>
      <c r="EP193" s="3" t="s">
        <v>204</v>
      </c>
      <c r="EQ193" s="3" t="s">
        <v>460</v>
      </c>
      <c r="ER193" s="3" t="s">
        <v>531</v>
      </c>
      <c r="ES193" s="19" t="s">
        <v>149</v>
      </c>
      <c r="EX193" s="19" t="s">
        <v>3717</v>
      </c>
      <c r="EY193" s="19" t="s">
        <v>13</v>
      </c>
      <c r="EZ193" s="3" t="s">
        <v>1372</v>
      </c>
      <c r="FA193" s="3" t="s">
        <v>204</v>
      </c>
      <c r="FD193" s="3">
        <v>3</v>
      </c>
      <c r="FE193" s="3">
        <v>8</v>
      </c>
      <c r="FJ193" s="3" t="s">
        <v>499</v>
      </c>
      <c r="FL193" s="3">
        <v>800</v>
      </c>
      <c r="FM193" s="3">
        <v>3</v>
      </c>
      <c r="FN193" s="3" t="s">
        <v>424</v>
      </c>
      <c r="FO193" s="3">
        <v>30</v>
      </c>
      <c r="FQ193" s="3" t="str">
        <f>IF(EP193="R",IF(EQ193&lt;&gt;"EWP",ER193,"pistols"),"")</f>
        <v>rifles</v>
      </c>
      <c r="FR193" s="3" t="s">
        <v>1551</v>
      </c>
      <c r="FS193" s="8" t="s">
        <v>1552</v>
      </c>
      <c r="GC193" s="1323" t="s">
        <v>1798</v>
      </c>
      <c r="GD193" s="3" t="s">
        <v>248</v>
      </c>
      <c r="GE193" s="19">
        <v>140</v>
      </c>
      <c r="GF193" s="19">
        <v>0.3</v>
      </c>
      <c r="GG193" s="19" t="s">
        <v>249</v>
      </c>
      <c r="GH193" s="3" t="s">
        <v>1799</v>
      </c>
      <c r="GI193" s="8" t="s">
        <v>1800</v>
      </c>
      <c r="IC193" s="1540" t="str">
        <f>IF(EQ207="EWP",EN207&amp;";","")</f>
        <v/>
      </c>
      <c r="ID193"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4" spans="1:238">
      <c r="A194" s="1622" t="s">
        <v>188</v>
      </c>
      <c r="B194" s="1622">
        <v>-4</v>
      </c>
      <c r="C194" s="1622">
        <v>-2</v>
      </c>
      <c r="D194" s="1622">
        <v>-4</v>
      </c>
      <c r="E194" s="1622">
        <v>-2</v>
      </c>
      <c r="F194" s="1622">
        <v>-2</v>
      </c>
      <c r="G194" s="1622">
        <v>-2</v>
      </c>
      <c r="H194" s="1622">
        <v>1</v>
      </c>
      <c r="I194" s="1622">
        <f>IF(A200&lt;H195,1,0)</f>
        <v>1</v>
      </c>
      <c r="BO194" s="1557" t="s">
        <v>2673</v>
      </c>
      <c r="BV194" s="456" t="s">
        <v>8639</v>
      </c>
      <c r="EN194" s="1323" t="s">
        <v>1558</v>
      </c>
      <c r="EO194" s="3" t="s">
        <v>155</v>
      </c>
      <c r="EP194" s="3" t="s">
        <v>204</v>
      </c>
      <c r="EQ194" s="3" t="s">
        <v>460</v>
      </c>
      <c r="ER194" s="3" t="s">
        <v>531</v>
      </c>
      <c r="ES194" s="19" t="s">
        <v>149</v>
      </c>
      <c r="EX194" s="19" t="s">
        <v>3717</v>
      </c>
      <c r="EZ194" s="3" t="s">
        <v>1372</v>
      </c>
      <c r="FA194" s="3" t="s">
        <v>204</v>
      </c>
      <c r="FC194" s="3" t="s">
        <v>1554</v>
      </c>
      <c r="FD194" s="3">
        <v>3</v>
      </c>
      <c r="FE194" s="3">
        <v>8</v>
      </c>
      <c r="FJ194" s="3" t="str">
        <f ca="1">IF(Feats!$M$70&gt;0,"","in")</f>
        <v>in</v>
      </c>
      <c r="FL194" s="3">
        <v>800</v>
      </c>
      <c r="FM194" s="3">
        <v>3.1</v>
      </c>
      <c r="FN194" s="3" t="s">
        <v>424</v>
      </c>
      <c r="FO194" s="3">
        <v>20</v>
      </c>
      <c r="FQ194" s="3" t="str">
        <f>IF(EP194="R",IF(EQ194&lt;&gt;"EWP",ER194,"pistols"),"")</f>
        <v>rifles</v>
      </c>
      <c r="FR194" s="3" t="s">
        <v>1559</v>
      </c>
      <c r="FS194" s="8" t="s">
        <v>1560</v>
      </c>
      <c r="GC194" s="1323" t="s">
        <v>570</v>
      </c>
      <c r="GD194" s="3" t="s">
        <v>173</v>
      </c>
      <c r="GE194" s="19">
        <v>650</v>
      </c>
      <c r="GF194" s="19">
        <v>0.3</v>
      </c>
      <c r="GG194" s="19" t="s">
        <v>249</v>
      </c>
      <c r="GH194" s="3" t="s">
        <v>571</v>
      </c>
      <c r="GI194" s="8" t="s">
        <v>572</v>
      </c>
      <c r="IC194" s="1540" t="str">
        <f>IF(EQ208="EWP",EN208&amp;";","")</f>
        <v/>
      </c>
      <c r="ID194"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5" spans="1:238">
      <c r="A195" s="1622" t="s">
        <v>345</v>
      </c>
      <c r="B195" s="1622">
        <v>-1</v>
      </c>
      <c r="C195" s="1622">
        <v>-1</v>
      </c>
      <c r="D195" s="1622">
        <v>-1</v>
      </c>
      <c r="E195" s="1622">
        <v>-1</v>
      </c>
      <c r="F195" s="1622">
        <v>-1</v>
      </c>
      <c r="G195" s="1622">
        <v>-1</v>
      </c>
      <c r="H195" s="1622" t="str">
        <f>IF(CharacterAge&lt;&gt;"",INDEX(RaceListTable,MATCH(Race,RaceList,0),14),"")</f>
        <v/>
      </c>
      <c r="I195" s="1622">
        <f>IF(AND($A$200&gt;=H195,$A$200&lt;H196),2,0)</f>
        <v>0</v>
      </c>
      <c r="BO195" s="1557" t="s">
        <v>8640</v>
      </c>
      <c r="BV195" s="456" t="s">
        <v>8641</v>
      </c>
      <c r="EN195" s="1323" t="s">
        <v>1666</v>
      </c>
      <c r="EO195" s="3" t="s">
        <v>169</v>
      </c>
      <c r="EP195" s="3" t="s">
        <v>204</v>
      </c>
      <c r="EQ195" s="3" t="s">
        <v>460</v>
      </c>
      <c r="ER195" s="3" t="s">
        <v>531</v>
      </c>
      <c r="ES195" s="19" t="s">
        <v>149</v>
      </c>
      <c r="EX195" s="19" t="s">
        <v>3717</v>
      </c>
      <c r="FA195" s="3" t="s">
        <v>779</v>
      </c>
      <c r="FC195" s="3" t="s">
        <v>1460</v>
      </c>
      <c r="FD195" s="3">
        <v>2</v>
      </c>
      <c r="FE195" s="3">
        <v>6</v>
      </c>
      <c r="FL195" s="3">
        <v>2500</v>
      </c>
      <c r="FM195" s="3">
        <v>3</v>
      </c>
      <c r="FN195" s="3" t="s">
        <v>1667</v>
      </c>
      <c r="FO195" s="3">
        <v>1</v>
      </c>
      <c r="FP195" s="3">
        <v>4</v>
      </c>
      <c r="FQ195" s="3" t="str">
        <f>IF(EP195="R",IF(EQ195&lt;&gt;"EWP",ER195,"pistols"),"")</f>
        <v>rifles</v>
      </c>
      <c r="FR195" s="3" t="s">
        <v>1668</v>
      </c>
      <c r="FS195" s="8" t="s">
        <v>1669</v>
      </c>
      <c r="GC195" s="1323" t="s">
        <v>7290</v>
      </c>
      <c r="GD195" s="3" t="s">
        <v>6758</v>
      </c>
      <c r="GE195" s="19">
        <v>800</v>
      </c>
      <c r="GF195" s="19">
        <v>1</v>
      </c>
      <c r="GG195" s="19" t="s">
        <v>209</v>
      </c>
      <c r="GH195" s="3" t="str">
        <f>LOWER(GC195)</f>
        <v>vacuum survival pouch</v>
      </c>
      <c r="GI195" s="8" t="str">
        <f>GH195&amp;"s"</f>
        <v>vacuum survival pouchs</v>
      </c>
      <c r="IC195" s="1540" t="str">
        <f>IF(EQ209="EWP",EN209&amp;";","")</f>
        <v/>
      </c>
      <c r="ID195" s="1540" t="str">
        <f t="shared" si="34"/>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6" spans="1:238">
      <c r="A196" s="1622" t="s">
        <v>148</v>
      </c>
      <c r="B196" s="1622">
        <v>0</v>
      </c>
      <c r="C196" s="1622">
        <v>0</v>
      </c>
      <c r="D196" s="1622">
        <v>0</v>
      </c>
      <c r="E196" s="1622">
        <v>0</v>
      </c>
      <c r="F196" s="1622">
        <v>0</v>
      </c>
      <c r="G196" s="1622">
        <v>0</v>
      </c>
      <c r="H196" s="1622" t="str">
        <f>IF(CharacterAge&lt;&gt;"",INDEX(RaceListTable,MATCH(Race,RaceList,0),15),"")</f>
        <v/>
      </c>
      <c r="I196" s="1622">
        <f>IF(AND($A$200&gt;=H196,$A$200&lt;H197),3,0)</f>
        <v>0</v>
      </c>
      <c r="BO196" s="1557" t="s">
        <v>8642</v>
      </c>
      <c r="BV196" s="456" t="s">
        <v>8643</v>
      </c>
      <c r="EN196" s="1323" t="s">
        <v>1835</v>
      </c>
      <c r="EO196" s="3" t="s">
        <v>173</v>
      </c>
      <c r="EP196" s="3" t="s">
        <v>204</v>
      </c>
      <c r="EQ196" s="3" t="s">
        <v>460</v>
      </c>
      <c r="ER196" s="3" t="s">
        <v>531</v>
      </c>
      <c r="ES196" s="19" t="s">
        <v>149</v>
      </c>
      <c r="EX196" s="19" t="s">
        <v>3717</v>
      </c>
      <c r="EY196" s="19" t="s">
        <v>13</v>
      </c>
      <c r="EZ196" s="3" t="s">
        <v>497</v>
      </c>
      <c r="FA196" s="3" t="s">
        <v>204</v>
      </c>
      <c r="FC196" s="3" t="s">
        <v>1836</v>
      </c>
      <c r="FD196" s="3">
        <v>2</v>
      </c>
      <c r="FE196" s="3">
        <v>8</v>
      </c>
      <c r="FJ196" s="3" t="s">
        <v>499</v>
      </c>
      <c r="FL196" s="3">
        <v>550</v>
      </c>
      <c r="FM196" s="3">
        <v>4</v>
      </c>
      <c r="FN196" s="3" t="s">
        <v>424</v>
      </c>
      <c r="FO196" s="3">
        <v>50</v>
      </c>
      <c r="FQ196" s="3" t="str">
        <f>IF(EP196="R",IF(EQ196&lt;&gt;"EWP",ER196,"pistols"),"")</f>
        <v>rifles</v>
      </c>
      <c r="FR196" s="3" t="s">
        <v>1837</v>
      </c>
      <c r="FS196" s="8" t="s">
        <v>1838</v>
      </c>
      <c r="GC196" s="1323" t="s">
        <v>8124</v>
      </c>
      <c r="GD196" s="3" t="s">
        <v>7183</v>
      </c>
      <c r="GE196" s="1426">
        <v>4000</v>
      </c>
      <c r="GF196" s="19">
        <v>0.1</v>
      </c>
      <c r="GG196" s="19" t="s">
        <v>249</v>
      </c>
      <c r="GH196" s="3" t="str">
        <f>LOWER(GC196)</f>
        <v>veridicator</v>
      </c>
      <c r="GI196" s="8" t="str">
        <f>GH196&amp;"s"</f>
        <v>veridicators</v>
      </c>
      <c r="IC196" s="1540" t="str">
        <f t="shared" ref="IC196:IC215" si="38">IF(EQ211="EWP",EN211&amp;";","")</f>
        <v/>
      </c>
      <c r="ID196" s="1540" t="str">
        <f t="shared" ref="ID196:ID254" si="39">IF(IC196&lt;&gt;"",IC196&amp;ID197,ID197)</f>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7" spans="1:238">
      <c r="A197" s="1622" t="s">
        <v>231</v>
      </c>
      <c r="B197" s="1622">
        <v>1</v>
      </c>
      <c r="C197" s="1622">
        <v>0</v>
      </c>
      <c r="D197" s="1622">
        <v>1</v>
      </c>
      <c r="E197" s="1622">
        <v>0</v>
      </c>
      <c r="F197" s="1622">
        <v>0</v>
      </c>
      <c r="G197" s="1622">
        <v>0</v>
      </c>
      <c r="H197" s="1622" t="str">
        <f>IF(CharacterAge&lt;&gt;"",INDEX(RaceListTable,MATCH(Race,RaceList,0),16),"")</f>
        <v/>
      </c>
      <c r="I197" s="1622">
        <f>IF(AND($A$200&gt;=H197,$A$200&lt;H198),4,0)</f>
        <v>0</v>
      </c>
      <c r="BO197" s="1557" t="s">
        <v>8644</v>
      </c>
      <c r="BV197" s="456" t="s">
        <v>8645</v>
      </c>
      <c r="EN197" s="1323" t="s">
        <v>1844</v>
      </c>
      <c r="EO197" s="3" t="s">
        <v>272</v>
      </c>
      <c r="EP197" s="3" t="s">
        <v>204</v>
      </c>
      <c r="EQ197" s="3" t="s">
        <v>460</v>
      </c>
      <c r="ER197" s="3" t="s">
        <v>531</v>
      </c>
      <c r="ES197" s="19" t="s">
        <v>201</v>
      </c>
      <c r="EX197" s="19" t="s">
        <v>3717</v>
      </c>
      <c r="EZ197" s="3" t="s">
        <v>242</v>
      </c>
      <c r="FA197" s="3" t="s">
        <v>160</v>
      </c>
      <c r="FC197" s="3" t="s">
        <v>1423</v>
      </c>
      <c r="FD197" s="3">
        <v>3</v>
      </c>
      <c r="FE197" s="3">
        <v>8</v>
      </c>
      <c r="FL197" s="3">
        <v>1900</v>
      </c>
      <c r="FM197" s="3">
        <v>5</v>
      </c>
      <c r="FN197" s="3" t="s">
        <v>761</v>
      </c>
      <c r="FO197" s="3">
        <v>10</v>
      </c>
      <c r="FQ197" s="3" t="str">
        <f>IF(EP197="R",IF(EQ197&lt;&gt;"EWP",ER197,"pistols"),"")</f>
        <v>rifles</v>
      </c>
      <c r="FR197" s="3" t="s">
        <v>1845</v>
      </c>
      <c r="FS197" s="8" t="s">
        <v>1846</v>
      </c>
      <c r="GC197" s="1323" t="s">
        <v>1811</v>
      </c>
      <c r="GD197" s="3" t="s">
        <v>155</v>
      </c>
      <c r="GE197" s="19">
        <v>50</v>
      </c>
      <c r="GF197" s="19">
        <v>0.1</v>
      </c>
      <c r="GG197" s="19" t="s">
        <v>249</v>
      </c>
      <c r="GH197" s="3" t="s">
        <v>1812</v>
      </c>
      <c r="GI197" s="8" t="s">
        <v>1813</v>
      </c>
      <c r="IC197" s="1540" t="str">
        <f t="shared" si="38"/>
        <v/>
      </c>
      <c r="ID197"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8" spans="1:238">
      <c r="A198" s="1622" t="s">
        <v>270</v>
      </c>
      <c r="B198" s="1622">
        <v>2</v>
      </c>
      <c r="C198" s="1622">
        <v>0</v>
      </c>
      <c r="D198" s="1622">
        <v>2</v>
      </c>
      <c r="E198" s="1622">
        <v>0</v>
      </c>
      <c r="F198" s="1622">
        <v>0</v>
      </c>
      <c r="G198" s="1622">
        <v>0</v>
      </c>
      <c r="H198" s="1622" t="str">
        <f>IF(CharacterAge&lt;&gt;"",INDEX(RaceListTable,MATCH(Race,RaceList,0),17),"")</f>
        <v/>
      </c>
      <c r="I198" s="1622">
        <f>IF(AND($A$200&gt;=H198,$A$200&lt;H199),5,0)</f>
        <v>0</v>
      </c>
      <c r="BO198" s="1557" t="s">
        <v>1949</v>
      </c>
      <c r="BV198" s="456" t="s">
        <v>8646</v>
      </c>
      <c r="EN198" s="1323" t="s">
        <v>7059</v>
      </c>
      <c r="EO198" s="3" t="s">
        <v>6758</v>
      </c>
      <c r="EP198" s="3" t="s">
        <v>204</v>
      </c>
      <c r="EQ198" s="3" t="s">
        <v>460</v>
      </c>
      <c r="ER198" s="3" t="s">
        <v>531</v>
      </c>
      <c r="ES198" s="19" t="s">
        <v>149</v>
      </c>
      <c r="EX198" s="19" t="s">
        <v>3717</v>
      </c>
      <c r="EZ198" s="3" t="s">
        <v>242</v>
      </c>
      <c r="FA198" s="3" t="s">
        <v>321</v>
      </c>
      <c r="FC198" s="3" t="s">
        <v>7060</v>
      </c>
      <c r="FD198" s="3">
        <v>3</v>
      </c>
      <c r="FE198" s="3">
        <v>8</v>
      </c>
      <c r="FG198" s="3">
        <v>2</v>
      </c>
      <c r="FH198" s="3">
        <v>8</v>
      </c>
      <c r="FJ198" s="3" t="s">
        <v>499</v>
      </c>
      <c r="FL198" s="3">
        <v>275</v>
      </c>
      <c r="FM198" s="3">
        <v>4</v>
      </c>
      <c r="FN198" s="3">
        <v>10</v>
      </c>
      <c r="FR198" s="3" t="s">
        <v>7061</v>
      </c>
      <c r="FS198" s="8" t="s">
        <v>7062</v>
      </c>
      <c r="GC198" s="1323" t="s">
        <v>8123</v>
      </c>
      <c r="GD198" s="3" t="s">
        <v>7183</v>
      </c>
      <c r="GE198" s="1426">
        <v>3400</v>
      </c>
      <c r="GF198" s="19">
        <v>0.5</v>
      </c>
      <c r="GG198" s="19" t="s">
        <v>249</v>
      </c>
      <c r="GH198" s="3" t="str">
        <f>LOWER(GC198)</f>
        <v>vid-vox scrambler</v>
      </c>
      <c r="GI198" s="8" t="str">
        <f>GH198&amp;"s"</f>
        <v>vid-vox scramblers</v>
      </c>
      <c r="IC198" s="1540" t="str">
        <f t="shared" si="38"/>
        <v/>
      </c>
      <c r="ID198"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199" spans="1:238">
      <c r="A199" s="1622" t="s">
        <v>309</v>
      </c>
      <c r="B199" s="1622">
        <v>2</v>
      </c>
      <c r="C199" s="1622">
        <v>0</v>
      </c>
      <c r="D199" s="1622">
        <v>2</v>
      </c>
      <c r="E199" s="1622">
        <v>0</v>
      </c>
      <c r="F199" s="1622">
        <v>0</v>
      </c>
      <c r="G199" s="1622">
        <v>0</v>
      </c>
      <c r="H199" s="1622" t="str">
        <f>IF(CharacterAge&lt;&gt;"",INDEX(RaceListTable,MATCH(Race,RaceList,0),18),"")</f>
        <v/>
      </c>
      <c r="I199" s="1622">
        <f>IF(AND($A$200&gt;=H199,$A$200&lt;H200),6,0)</f>
        <v>0</v>
      </c>
      <c r="BO199" s="1557" t="s">
        <v>289</v>
      </c>
      <c r="BV199" s="456" t="s">
        <v>8647</v>
      </c>
      <c r="EN199" s="1332" t="s">
        <v>6509</v>
      </c>
      <c r="EO199" s="569" t="s">
        <v>6222</v>
      </c>
      <c r="EP199" s="569" t="s">
        <v>204</v>
      </c>
      <c r="EQ199" s="3" t="s">
        <v>460</v>
      </c>
      <c r="ER199" s="569" t="s">
        <v>531</v>
      </c>
      <c r="ES199" s="1085" t="s">
        <v>149</v>
      </c>
      <c r="ET199" s="3"/>
      <c r="EU199" s="3"/>
      <c r="EV199" s="3" t="s">
        <v>6513</v>
      </c>
      <c r="EW199" s="3"/>
      <c r="EX199" s="3" t="s">
        <v>3717</v>
      </c>
      <c r="EY199" s="3" t="s">
        <v>13</v>
      </c>
      <c r="EZ199" s="3" t="s">
        <v>497</v>
      </c>
      <c r="FA199" s="3" t="s">
        <v>160</v>
      </c>
      <c r="FC199" s="3" t="s">
        <v>6524</v>
      </c>
      <c r="FD199" s="3">
        <v>3</v>
      </c>
      <c r="FE199" s="3">
        <v>8</v>
      </c>
      <c r="FL199" s="569">
        <v>400</v>
      </c>
      <c r="FM199" s="569">
        <v>5</v>
      </c>
      <c r="FN199" s="3" t="s">
        <v>424</v>
      </c>
      <c r="FO199" s="3">
        <v>50</v>
      </c>
      <c r="FP199" s="3">
        <v>1</v>
      </c>
      <c r="FQ199" s="3" t="s">
        <v>531</v>
      </c>
      <c r="FR199" s="3" t="str">
        <f>(EN199)</f>
        <v>SG-4 blaster rifle</v>
      </c>
      <c r="FS199" s="8" t="str">
        <f>FR199&amp;"s"</f>
        <v>SG-4 blaster rifles</v>
      </c>
      <c r="GC199" s="1323" t="s">
        <v>1820</v>
      </c>
      <c r="GD199" s="3" t="s">
        <v>530</v>
      </c>
      <c r="GE199" s="19">
        <v>1300</v>
      </c>
      <c r="GF199" s="19">
        <v>0.25</v>
      </c>
      <c r="GG199" s="19" t="s">
        <v>249</v>
      </c>
      <c r="GH199" s="3" t="s">
        <v>1821</v>
      </c>
      <c r="GI199" s="8" t="s">
        <v>1822</v>
      </c>
      <c r="IC199" s="1540" t="str">
        <f t="shared" si="38"/>
        <v/>
      </c>
      <c r="ID199"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0" spans="1:238">
      <c r="A200" s="1622">
        <f>CharacterAge</f>
        <v>0</v>
      </c>
      <c r="B200" s="1622">
        <f>IF(AND($A$200&lt;&gt;"",$A$200&lt;&gt;0),INDEX(FeeorinAgeTable,$I$200,2),0)</f>
        <v>0</v>
      </c>
      <c r="C200" s="1622">
        <f>IF(AND($A$200&lt;&gt;"",$A$200&lt;&gt;0),INDEX(FeeorinAgeTable,$I$200,3),0)</f>
        <v>0</v>
      </c>
      <c r="D200" s="1622">
        <f>IF(AND($A$200&lt;&gt;"",$A$200&lt;&gt;0),INDEX(FeeorinAgeTable,$I$200,4),0)</f>
        <v>0</v>
      </c>
      <c r="E200" s="1622">
        <f>IF(AND($A$200&lt;&gt;"",$A$200&lt;&gt;0),INDEX(FeeorinAgeTable,$I$200,5),0)</f>
        <v>0</v>
      </c>
      <c r="F200" s="1622">
        <f>IF(AND($A$200&lt;&gt;"",$A$200&lt;&gt;0),INDEX(FeeorinAgeTable,$I$200,6),0)</f>
        <v>0</v>
      </c>
      <c r="G200" s="1622">
        <f>IF(AND($A$200&lt;&gt;"",$A$200&lt;&gt;0),INDEX(FeeorinAgeTable,$I$200,7),0)</f>
        <v>0</v>
      </c>
      <c r="H200" s="1622">
        <v>900000</v>
      </c>
      <c r="I200" s="1622">
        <f>SUM(I194:I199)</f>
        <v>1</v>
      </c>
      <c r="BO200" s="1557" t="s">
        <v>8648</v>
      </c>
      <c r="BV200" s="456" t="s">
        <v>8649</v>
      </c>
      <c r="EN200" s="1332" t="s">
        <v>6510</v>
      </c>
      <c r="EO200" s="569" t="s">
        <v>6222</v>
      </c>
      <c r="EP200" s="569" t="s">
        <v>204</v>
      </c>
      <c r="EQ200" s="3" t="s">
        <v>460</v>
      </c>
      <c r="ER200" s="569" t="s">
        <v>531</v>
      </c>
      <c r="ES200" s="1085" t="s">
        <v>149</v>
      </c>
      <c r="ET200" s="3"/>
      <c r="EU200" s="3"/>
      <c r="EV200" s="3"/>
      <c r="EW200" s="3"/>
      <c r="EX200" s="3" t="s">
        <v>3717</v>
      </c>
      <c r="EY200" s="3"/>
      <c r="EZ200" s="3" t="s">
        <v>242</v>
      </c>
      <c r="FA200" s="3" t="s">
        <v>160</v>
      </c>
      <c r="FC200" s="3" t="s">
        <v>6523</v>
      </c>
      <c r="FD200" s="3">
        <v>2</v>
      </c>
      <c r="FE200" s="3">
        <v>6</v>
      </c>
      <c r="FL200" s="569">
        <v>400</v>
      </c>
      <c r="FM200" s="569">
        <v>5</v>
      </c>
      <c r="FN200" s="3" t="s">
        <v>6521</v>
      </c>
      <c r="FO200" s="3">
        <v>1</v>
      </c>
      <c r="FP200" s="3">
        <v>1</v>
      </c>
      <c r="FQ200" s="3" t="s">
        <v>531</v>
      </c>
      <c r="FR200" s="3" t="str">
        <f>(EN200)</f>
        <v>SG-4 blaster rifle (underwater)</v>
      </c>
      <c r="FS200" s="8" t="str">
        <f>FR200&amp;"s"</f>
        <v>SG-4 blaster rifle (underwater)s</v>
      </c>
      <c r="GC200" s="1323" t="s">
        <v>1830</v>
      </c>
      <c r="GD200" s="3" t="s">
        <v>155</v>
      </c>
      <c r="GE200" s="19">
        <v>200</v>
      </c>
      <c r="GF200" s="19">
        <v>0.1</v>
      </c>
      <c r="GG200" s="19" t="s">
        <v>249</v>
      </c>
      <c r="GH200" s="3" t="s">
        <v>1831</v>
      </c>
      <c r="GI200" s="8" t="s">
        <v>1832</v>
      </c>
      <c r="IC200" s="1540" t="str">
        <f t="shared" si="38"/>
        <v/>
      </c>
      <c r="ID200"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1" spans="1:238">
      <c r="BO201" s="1557" t="s">
        <v>3927</v>
      </c>
      <c r="BV201" s="456" t="s">
        <v>8651</v>
      </c>
      <c r="EN201" s="1323" t="s">
        <v>1878</v>
      </c>
      <c r="EO201" s="3" t="s">
        <v>155</v>
      </c>
      <c r="EP201" s="3" t="s">
        <v>204</v>
      </c>
      <c r="EQ201" s="3" t="s">
        <v>460</v>
      </c>
      <c r="ER201" s="3" t="s">
        <v>531</v>
      </c>
      <c r="ES201" s="19" t="s">
        <v>149</v>
      </c>
      <c r="EX201" s="19" t="s">
        <v>3717</v>
      </c>
      <c r="EY201" s="19" t="s">
        <v>13</v>
      </c>
      <c r="EZ201" s="3" t="s">
        <v>497</v>
      </c>
      <c r="FA201" s="3" t="s">
        <v>204</v>
      </c>
      <c r="FD201" s="3">
        <v>2</v>
      </c>
      <c r="FE201" s="3">
        <v>8</v>
      </c>
      <c r="FL201" s="3">
        <v>300</v>
      </c>
      <c r="FM201" s="3">
        <v>4</v>
      </c>
      <c r="FN201" s="3" t="s">
        <v>719</v>
      </c>
      <c r="FO201" s="3">
        <v>20</v>
      </c>
      <c r="FQ201" s="3" t="str">
        <f t="shared" ref="FQ201:FQ206" si="40">IF(EP201="R",IF(EQ201&lt;&gt;"EWP",ER201,"pistols"),"")</f>
        <v>rifles</v>
      </c>
      <c r="FR201" s="3" t="s">
        <v>1879</v>
      </c>
      <c r="FS201" s="8" t="s">
        <v>1880</v>
      </c>
      <c r="GC201" s="1323" t="s">
        <v>8130</v>
      </c>
      <c r="GD201" s="3" t="s">
        <v>7946</v>
      </c>
      <c r="GE201" s="19">
        <v>400</v>
      </c>
      <c r="GF201" s="19">
        <v>3.2</v>
      </c>
      <c r="GG201" s="19" t="s">
        <v>170</v>
      </c>
      <c r="GH201" s="3" t="str">
        <f>LOWER(GC201)</f>
        <v>water extractor</v>
      </c>
      <c r="GI201" s="8" t="str">
        <f>GH201&amp;"s"</f>
        <v>water extractors</v>
      </c>
      <c r="IC201" s="1540" t="str">
        <f t="shared" si="38"/>
        <v/>
      </c>
      <c r="ID201"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2" spans="1:238">
      <c r="A202" s="1653" t="str">
        <f>IF(Talents!L567&lt;&gt;"",1,"0")</f>
        <v>0</v>
      </c>
      <c r="BO202" s="1557" t="s">
        <v>8650</v>
      </c>
      <c r="BV202" s="456" t="s">
        <v>8652</v>
      </c>
      <c r="EN202" s="1323" t="s">
        <v>1886</v>
      </c>
      <c r="EO202" s="3" t="s">
        <v>169</v>
      </c>
      <c r="EP202" s="3" t="s">
        <v>204</v>
      </c>
      <c r="EQ202" s="3" t="s">
        <v>460</v>
      </c>
      <c r="ER202" s="3" t="s">
        <v>531</v>
      </c>
      <c r="ES202" s="19" t="s">
        <v>149</v>
      </c>
      <c r="EV202" s="19" t="s">
        <v>632</v>
      </c>
      <c r="EX202" s="19" t="s">
        <v>3717</v>
      </c>
      <c r="EZ202" s="3" t="s">
        <v>203</v>
      </c>
      <c r="FA202" s="3" t="s">
        <v>321</v>
      </c>
      <c r="FL202" s="3">
        <v>1200</v>
      </c>
      <c r="FM202" s="3">
        <v>5</v>
      </c>
      <c r="FN202" s="3" t="s">
        <v>1887</v>
      </c>
      <c r="FO202" s="3">
        <v>5</v>
      </c>
      <c r="FP202" s="3">
        <v>1</v>
      </c>
      <c r="FQ202" s="3" t="str">
        <f t="shared" si="40"/>
        <v>rifles</v>
      </c>
      <c r="FR202" s="3" t="s">
        <v>1888</v>
      </c>
      <c r="FS202" s="8" t="s">
        <v>1889</v>
      </c>
      <c r="GC202" s="683" t="s">
        <v>4069</v>
      </c>
      <c r="IC202" s="1540" t="str">
        <f t="shared" si="38"/>
        <v/>
      </c>
      <c r="ID202"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3" spans="1:238">
      <c r="BO203" s="1557" t="s">
        <v>2041</v>
      </c>
      <c r="BV203" s="456" t="s">
        <v>8653</v>
      </c>
      <c r="EN203" s="1323" t="s">
        <v>1905</v>
      </c>
      <c r="EO203" s="3" t="s">
        <v>173</v>
      </c>
      <c r="EP203" s="3" t="s">
        <v>204</v>
      </c>
      <c r="EQ203" s="3" t="s">
        <v>460</v>
      </c>
      <c r="ER203" s="3" t="s">
        <v>531</v>
      </c>
      <c r="ES203" s="19" t="s">
        <v>149</v>
      </c>
      <c r="EX203" s="19" t="s">
        <v>3717</v>
      </c>
      <c r="EY203" s="19" t="s">
        <v>13</v>
      </c>
      <c r="EZ203" s="3" t="s">
        <v>422</v>
      </c>
      <c r="FA203" s="3" t="s">
        <v>204</v>
      </c>
      <c r="FC203" s="3" t="s">
        <v>1897</v>
      </c>
      <c r="FD203" s="3">
        <v>2</v>
      </c>
      <c r="FE203" s="3">
        <v>8</v>
      </c>
      <c r="FL203" s="3">
        <v>900</v>
      </c>
      <c r="FM203" s="3">
        <v>5</v>
      </c>
      <c r="FN203" s="3" t="s">
        <v>424</v>
      </c>
      <c r="FO203" s="3">
        <v>50</v>
      </c>
      <c r="FQ203" s="3" t="str">
        <f t="shared" si="40"/>
        <v>rifles</v>
      </c>
      <c r="FR203" s="3" t="s">
        <v>1906</v>
      </c>
      <c r="FS203" s="8" t="s">
        <v>1907</v>
      </c>
      <c r="GC203" s="12" t="s">
        <v>8106</v>
      </c>
      <c r="GD203" s="3" t="s">
        <v>7946</v>
      </c>
      <c r="GE203" s="19">
        <v>15</v>
      </c>
      <c r="GF203" s="19">
        <v>0.1</v>
      </c>
      <c r="GG203" s="19" t="s">
        <v>249</v>
      </c>
      <c r="GH203" s="1086" t="s">
        <v>8150</v>
      </c>
      <c r="GI203" s="8" t="s">
        <v>8151</v>
      </c>
      <c r="IC203" s="1540" t="str">
        <f t="shared" si="38"/>
        <v/>
      </c>
      <c r="ID203"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4" spans="1:238">
      <c r="BO204" s="1557" t="s">
        <v>732</v>
      </c>
      <c r="BV204" s="456" t="s">
        <v>8654</v>
      </c>
      <c r="EN204" s="1323" t="s">
        <v>1917</v>
      </c>
      <c r="EO204" s="3" t="s">
        <v>530</v>
      </c>
      <c r="EP204" s="3" t="s">
        <v>204</v>
      </c>
      <c r="EQ204" s="3" t="s">
        <v>460</v>
      </c>
      <c r="ER204" s="3" t="s">
        <v>531</v>
      </c>
      <c r="ES204" s="19" t="s">
        <v>149</v>
      </c>
      <c r="EV204" s="19" t="s">
        <v>1918</v>
      </c>
      <c r="EX204" s="19" t="s">
        <v>3717</v>
      </c>
      <c r="EY204" s="19" t="s">
        <v>13</v>
      </c>
      <c r="EZ204" s="3" t="s">
        <v>497</v>
      </c>
      <c r="FA204" s="3" t="s">
        <v>204</v>
      </c>
      <c r="FD204" s="3">
        <v>3</v>
      </c>
      <c r="FE204" s="3">
        <v>8</v>
      </c>
      <c r="FL204" s="3">
        <v>1200</v>
      </c>
      <c r="FM204" s="3">
        <v>2.5</v>
      </c>
      <c r="FN204" s="3" t="s">
        <v>424</v>
      </c>
      <c r="FO204" s="3">
        <v>50</v>
      </c>
      <c r="FQ204" s="3" t="str">
        <f t="shared" si="40"/>
        <v>rifles</v>
      </c>
      <c r="FR204" s="3" t="s">
        <v>1917</v>
      </c>
      <c r="FS204" s="8" t="s">
        <v>1919</v>
      </c>
      <c r="GC204" s="12" t="s">
        <v>165</v>
      </c>
      <c r="GE204" s="19">
        <v>20</v>
      </c>
      <c r="GF204" s="19">
        <v>0.1</v>
      </c>
      <c r="GG204" s="19" t="s">
        <v>249</v>
      </c>
      <c r="GH204" s="3" t="s">
        <v>166</v>
      </c>
      <c r="GI204" s="8" t="s">
        <v>167</v>
      </c>
      <c r="IC204" s="1540" t="str">
        <f t="shared" si="38"/>
        <v/>
      </c>
      <c r="ID204"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5" spans="1:238">
      <c r="BO205" s="1557" t="s">
        <v>8656</v>
      </c>
      <c r="BV205" s="456" t="s">
        <v>8655</v>
      </c>
      <c r="EN205" s="1323" t="s">
        <v>1933</v>
      </c>
      <c r="EO205" s="3" t="s">
        <v>272</v>
      </c>
      <c r="EP205" s="3" t="s">
        <v>204</v>
      </c>
      <c r="EQ205" s="3" t="s">
        <v>460</v>
      </c>
      <c r="ER205" s="3" t="s">
        <v>531</v>
      </c>
      <c r="ES205" s="19" t="s">
        <v>149</v>
      </c>
      <c r="EV205" s="19" t="s">
        <v>1165</v>
      </c>
      <c r="EX205" s="19" t="s">
        <v>3717</v>
      </c>
      <c r="EZ205" s="3" t="s">
        <v>497</v>
      </c>
      <c r="FA205" s="3" t="s">
        <v>204</v>
      </c>
      <c r="FC205" s="3" t="s">
        <v>1775</v>
      </c>
      <c r="FD205" s="3">
        <v>3</v>
      </c>
      <c r="FE205" s="3">
        <v>8</v>
      </c>
      <c r="FJ205" s="3" t="s">
        <v>499</v>
      </c>
      <c r="FL205" s="3">
        <v>14000</v>
      </c>
      <c r="FM205" s="3">
        <v>4</v>
      </c>
      <c r="FN205" s="3" t="s">
        <v>783</v>
      </c>
      <c r="FO205" s="3">
        <v>80</v>
      </c>
      <c r="FQ205" s="3" t="str">
        <f t="shared" si="40"/>
        <v>rifles</v>
      </c>
      <c r="FR205" s="3" t="s">
        <v>1933</v>
      </c>
      <c r="FS205" s="8" t="s">
        <v>1934</v>
      </c>
      <c r="GC205" s="12" t="s">
        <v>205</v>
      </c>
      <c r="GE205" s="19">
        <v>100</v>
      </c>
      <c r="GF205" s="19">
        <v>2</v>
      </c>
      <c r="GG205" s="19" t="s">
        <v>170</v>
      </c>
      <c r="GH205" s="3" t="s">
        <v>206</v>
      </c>
      <c r="GI205" s="8" t="s">
        <v>207</v>
      </c>
      <c r="IC205" s="1540" t="str">
        <f t="shared" si="38"/>
        <v/>
      </c>
      <c r="ID205"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6" spans="1:238">
      <c r="BO206" s="1557" t="s">
        <v>8657</v>
      </c>
      <c r="BV206" s="456" t="s">
        <v>8658</v>
      </c>
      <c r="EN206" s="1323" t="s">
        <v>1948</v>
      </c>
      <c r="EO206" s="3" t="s">
        <v>248</v>
      </c>
      <c r="EP206" s="3" t="s">
        <v>204</v>
      </c>
      <c r="EQ206" s="3" t="s">
        <v>460</v>
      </c>
      <c r="ER206" s="3" t="s">
        <v>531</v>
      </c>
      <c r="ES206" s="19" t="s">
        <v>149</v>
      </c>
      <c r="EY206" s="19" t="s">
        <v>13</v>
      </c>
      <c r="EZ206" s="3" t="s">
        <v>497</v>
      </c>
      <c r="FA206" s="3" t="s">
        <v>160</v>
      </c>
      <c r="FD206" s="3">
        <v>3</v>
      </c>
      <c r="FE206" s="3">
        <v>6</v>
      </c>
      <c r="FJ206" s="3" t="s">
        <v>1071</v>
      </c>
      <c r="FK206" s="3" t="b">
        <v>1</v>
      </c>
      <c r="FL206" s="3">
        <v>1000</v>
      </c>
      <c r="FM206" s="3">
        <v>1.7</v>
      </c>
      <c r="FN206" s="3" t="s">
        <v>424</v>
      </c>
      <c r="FO206" s="3">
        <v>50</v>
      </c>
      <c r="FQ206" s="3" t="str">
        <f t="shared" si="40"/>
        <v>rifles</v>
      </c>
      <c r="FR206" s="3" t="s">
        <v>1070</v>
      </c>
      <c r="FS206" s="8" t="s">
        <v>1071</v>
      </c>
      <c r="GC206" s="12" t="s">
        <v>8107</v>
      </c>
      <c r="GD206" s="3" t="s">
        <v>7946</v>
      </c>
      <c r="GE206" s="19">
        <v>5</v>
      </c>
      <c r="GF206" s="19">
        <v>0</v>
      </c>
      <c r="GG206" s="19" t="s">
        <v>249</v>
      </c>
      <c r="GH206" s="854" t="s">
        <v>8153</v>
      </c>
      <c r="GI206" s="8" t="str">
        <f>GH206</f>
        <v>shots (50)</v>
      </c>
      <c r="IC206" s="1540" t="str">
        <f t="shared" si="38"/>
        <v/>
      </c>
      <c r="ID206"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7" spans="1:238">
      <c r="BO207" s="1557" t="s">
        <v>484</v>
      </c>
      <c r="BV207" s="456" t="s">
        <v>8659</v>
      </c>
      <c r="EN207" s="1323" t="s">
        <v>8093</v>
      </c>
      <c r="EO207" s="569" t="s">
        <v>7946</v>
      </c>
      <c r="EP207" s="569" t="s">
        <v>204</v>
      </c>
      <c r="EQ207" s="1552" t="s">
        <v>460</v>
      </c>
      <c r="ER207" s="1552" t="s">
        <v>531</v>
      </c>
      <c r="ES207" s="1552" t="s">
        <v>149</v>
      </c>
      <c r="EV207" s="1552" t="s">
        <v>202</v>
      </c>
      <c r="EX207" s="1552" t="s">
        <v>3717</v>
      </c>
      <c r="EZ207" s="1552" t="s">
        <v>497</v>
      </c>
      <c r="FA207" s="1552" t="s">
        <v>204</v>
      </c>
      <c r="FB207" s="1552"/>
      <c r="FC207" s="569" t="s">
        <v>8115</v>
      </c>
      <c r="FD207" s="1552">
        <v>3</v>
      </c>
      <c r="FE207" s="1552">
        <v>6</v>
      </c>
      <c r="FJ207" s="3" t="s">
        <v>587</v>
      </c>
      <c r="FL207" s="1552">
        <v>1000</v>
      </c>
      <c r="FM207" s="1552">
        <v>4</v>
      </c>
      <c r="FN207" s="569" t="s">
        <v>424</v>
      </c>
      <c r="FO207" s="569">
        <v>50</v>
      </c>
      <c r="FP207" s="569">
        <v>1</v>
      </c>
      <c r="FQ207" s="569" t="s">
        <v>531</v>
      </c>
      <c r="FR207" s="3" t="s">
        <v>8102</v>
      </c>
      <c r="FS207" s="8" t="str">
        <f>FR207&amp;"s"</f>
        <v>targeting blaster rifles</v>
      </c>
      <c r="GC207" s="12" t="s">
        <v>244</v>
      </c>
      <c r="GE207" s="19">
        <v>50</v>
      </c>
      <c r="GF207" s="19">
        <v>1</v>
      </c>
      <c r="GG207" s="19" t="s">
        <v>209</v>
      </c>
      <c r="GH207" s="3" t="s">
        <v>245</v>
      </c>
      <c r="GI207" s="8" t="s">
        <v>246</v>
      </c>
      <c r="IC207" s="1540" t="str">
        <f t="shared" si="38"/>
        <v/>
      </c>
      <c r="ID207"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8" spans="1:238">
      <c r="BO208" s="1557" t="s">
        <v>8660</v>
      </c>
      <c r="BV208" s="456" t="s">
        <v>8661</v>
      </c>
      <c r="EN208" s="1331" t="s">
        <v>6531</v>
      </c>
      <c r="GC208" s="12" t="s">
        <v>290</v>
      </c>
      <c r="GE208" s="19">
        <v>50</v>
      </c>
      <c r="GF208" s="19">
        <v>1</v>
      </c>
      <c r="GG208" s="19" t="s">
        <v>209</v>
      </c>
      <c r="GH208" s="3" t="s">
        <v>291</v>
      </c>
      <c r="GI208" s="8" t="s">
        <v>292</v>
      </c>
      <c r="IC208" s="1540" t="str">
        <f t="shared" si="38"/>
        <v/>
      </c>
      <c r="ID208"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09" spans="67:238">
      <c r="BO209" s="1557" t="s">
        <v>8662</v>
      </c>
      <c r="BV209" s="456" t="s">
        <v>8663</v>
      </c>
      <c r="EN209" s="1323" t="s">
        <v>1092</v>
      </c>
      <c r="EO209" s="3" t="s">
        <v>155</v>
      </c>
      <c r="EP209" s="3" t="s">
        <v>204</v>
      </c>
      <c r="EQ209" s="3" t="s">
        <v>460</v>
      </c>
      <c r="ER209" s="3" t="s">
        <v>461</v>
      </c>
      <c r="ES209" s="19" t="s">
        <v>149</v>
      </c>
      <c r="EX209" s="19" t="s">
        <v>3717</v>
      </c>
      <c r="EZ209" s="3" t="s">
        <v>242</v>
      </c>
      <c r="FA209" s="3" t="s">
        <v>3718</v>
      </c>
      <c r="FD209" s="3">
        <v>1</v>
      </c>
      <c r="FE209" s="3">
        <v>6</v>
      </c>
      <c r="FL209" s="3">
        <v>300</v>
      </c>
      <c r="FM209" s="3">
        <v>1.4</v>
      </c>
      <c r="FN209" s="3" t="s">
        <v>697</v>
      </c>
      <c r="FO209" s="3">
        <v>10</v>
      </c>
      <c r="FQ209" s="3" t="str">
        <f>IF(EP209="R",IF(EQ209&lt;&gt;"EWP",ER209,"pistols"),"")</f>
        <v>simple</v>
      </c>
      <c r="FR209" s="3" t="s">
        <v>1093</v>
      </c>
      <c r="FS209" s="8" t="s">
        <v>1094</v>
      </c>
      <c r="GC209" s="12" t="s">
        <v>326</v>
      </c>
      <c r="GE209" s="19">
        <v>200</v>
      </c>
      <c r="GF209" s="19">
        <v>4</v>
      </c>
      <c r="GG209" s="19" t="s">
        <v>170</v>
      </c>
      <c r="GH209" s="3" t="s">
        <v>327</v>
      </c>
      <c r="GI209" s="8" t="s">
        <v>328</v>
      </c>
      <c r="IC209" s="1540" t="str">
        <f t="shared" si="38"/>
        <v/>
      </c>
      <c r="ID209"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0" spans="67:238">
      <c r="BO210" s="1557" t="s">
        <v>8664</v>
      </c>
      <c r="BV210" s="456" t="s">
        <v>8665</v>
      </c>
      <c r="EN210" s="1323" t="s">
        <v>8091</v>
      </c>
      <c r="EO210" s="569" t="s">
        <v>7946</v>
      </c>
      <c r="EP210" s="569" t="s">
        <v>204</v>
      </c>
      <c r="EQ210" s="1552" t="s">
        <v>460</v>
      </c>
      <c r="ER210" s="1552" t="s">
        <v>461</v>
      </c>
      <c r="ES210" s="1552" t="s">
        <v>149</v>
      </c>
      <c r="EV210" s="1552"/>
      <c r="EX210" s="1552" t="s">
        <v>3717</v>
      </c>
      <c r="EZ210" s="1552" t="s">
        <v>242</v>
      </c>
      <c r="FA210" s="1552" t="s">
        <v>3718</v>
      </c>
      <c r="FB210" s="1552"/>
      <c r="FD210" s="1552">
        <v>1</v>
      </c>
      <c r="FE210" s="1552">
        <v>8</v>
      </c>
      <c r="FL210" s="1552">
        <v>300</v>
      </c>
      <c r="FM210" s="1552">
        <v>1.8</v>
      </c>
      <c r="FN210" s="569" t="s">
        <v>8111</v>
      </c>
      <c r="FO210" s="569">
        <v>1</v>
      </c>
      <c r="FP210" s="569">
        <v>1</v>
      </c>
      <c r="FQ210" s="569" t="s">
        <v>563</v>
      </c>
      <c r="FR210" s="3" t="s">
        <v>8104</v>
      </c>
      <c r="FS210" s="8" t="str">
        <f>FR210&amp;"s"</f>
        <v>crossbows</v>
      </c>
      <c r="GC210" s="12" t="s">
        <v>8111</v>
      </c>
      <c r="GD210" s="3" t="s">
        <v>7946</v>
      </c>
      <c r="GE210" s="19">
        <v>20</v>
      </c>
      <c r="GF210" s="19">
        <v>0.6</v>
      </c>
      <c r="GG210" s="19" t="s">
        <v>249</v>
      </c>
      <c r="GH210" s="854" t="s">
        <v>8154</v>
      </c>
      <c r="GI210" s="8" t="str">
        <f>GH210</f>
        <v>bolts (10)</v>
      </c>
      <c r="IC210" s="1540" t="str">
        <f t="shared" si="38"/>
        <v/>
      </c>
      <c r="ID210"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1" spans="67:238">
      <c r="BO211" s="1557" t="s">
        <v>8666</v>
      </c>
      <c r="BV211" s="456" t="s">
        <v>8667</v>
      </c>
      <c r="EN211" s="1323" t="s">
        <v>1392</v>
      </c>
      <c r="EO211" s="3" t="s">
        <v>155</v>
      </c>
      <c r="EP211" s="3" t="s">
        <v>204</v>
      </c>
      <c r="EQ211" s="3" t="s">
        <v>460</v>
      </c>
      <c r="ER211" s="3" t="s">
        <v>461</v>
      </c>
      <c r="ES211" s="19" t="s">
        <v>170</v>
      </c>
      <c r="EX211" s="19" t="s">
        <v>3717</v>
      </c>
      <c r="EZ211" s="3" t="s">
        <v>497</v>
      </c>
      <c r="FA211" s="3" t="s">
        <v>321</v>
      </c>
      <c r="FB211" s="3" t="s">
        <v>118</v>
      </c>
      <c r="FD211" s="3">
        <v>2</v>
      </c>
      <c r="FE211" s="3">
        <v>8</v>
      </c>
      <c r="FL211" s="3">
        <v>20</v>
      </c>
      <c r="FM211" s="3">
        <v>0.25</v>
      </c>
      <c r="FQ211" s="3" t="str">
        <f>IF(EP211="R",IF(EQ211&lt;&gt;"EWP",ER211,"pistols"),"")</f>
        <v>simple</v>
      </c>
      <c r="FR211" s="3" t="s">
        <v>1393</v>
      </c>
      <c r="FS211" s="8" t="s">
        <v>1394</v>
      </c>
      <c r="GC211" s="12" t="s">
        <v>2204</v>
      </c>
      <c r="GD211" s="3" t="s">
        <v>7183</v>
      </c>
      <c r="GE211" s="19">
        <v>0</v>
      </c>
      <c r="GF211" s="19">
        <v>0</v>
      </c>
      <c r="GG211" s="19" t="s">
        <v>249</v>
      </c>
      <c r="GH211" s="854" t="s">
        <v>8159</v>
      </c>
      <c r="GI211" s="8" t="s">
        <v>8160</v>
      </c>
      <c r="IC211" s="1540" t="str">
        <f t="shared" si="38"/>
        <v/>
      </c>
      <c r="ID211"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2" spans="67:238">
      <c r="BO212" s="1557" t="s">
        <v>8668</v>
      </c>
      <c r="BV212" s="456" t="s">
        <v>8669</v>
      </c>
      <c r="EN212" s="1323" t="s">
        <v>1466</v>
      </c>
      <c r="EO212" s="3" t="s">
        <v>173</v>
      </c>
      <c r="EP212" s="3" t="s">
        <v>204</v>
      </c>
      <c r="EQ212" s="3" t="s">
        <v>460</v>
      </c>
      <c r="ER212" s="3" t="s">
        <v>461</v>
      </c>
      <c r="ES212" s="19" t="s">
        <v>170</v>
      </c>
      <c r="EZ212" s="3" t="s">
        <v>497</v>
      </c>
      <c r="FA212" s="3" t="s">
        <v>204</v>
      </c>
      <c r="FC212" s="3" t="s">
        <v>1166</v>
      </c>
      <c r="FD212" s="569">
        <v>0</v>
      </c>
      <c r="FE212" s="569">
        <v>0</v>
      </c>
      <c r="FL212" s="3">
        <v>200</v>
      </c>
      <c r="FM212" s="3">
        <v>0.5</v>
      </c>
      <c r="FQ212" s="3" t="s">
        <v>3745</v>
      </c>
      <c r="FR212" s="3" t="s">
        <v>1467</v>
      </c>
      <c r="FS212" s="8" t="s">
        <v>1468</v>
      </c>
      <c r="GC212" s="12" t="s">
        <v>360</v>
      </c>
      <c r="GE212" s="19">
        <v>10</v>
      </c>
      <c r="GF212" s="19">
        <v>0</v>
      </c>
      <c r="GG212" s="19" t="s">
        <v>249</v>
      </c>
      <c r="GH212" s="3" t="s">
        <v>361</v>
      </c>
      <c r="GI212" s="8" t="s">
        <v>362</v>
      </c>
      <c r="IC212" s="1540" t="str">
        <f t="shared" si="38"/>
        <v/>
      </c>
      <c r="ID212"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3" spans="67:238">
      <c r="BO213" s="1557" t="s">
        <v>8670</v>
      </c>
      <c r="BV213" s="456" t="s">
        <v>8671</v>
      </c>
      <c r="EN213" s="1332" t="s">
        <v>6512</v>
      </c>
      <c r="EO213" s="569" t="s">
        <v>6222</v>
      </c>
      <c r="EP213" s="569" t="s">
        <v>204</v>
      </c>
      <c r="EQ213" s="3" t="s">
        <v>460</v>
      </c>
      <c r="ER213" s="569" t="s">
        <v>461</v>
      </c>
      <c r="ES213" s="1085" t="s">
        <v>170</v>
      </c>
      <c r="ET213" s="3"/>
      <c r="EU213" s="3"/>
      <c r="EV213" s="3"/>
      <c r="EW213" s="3"/>
      <c r="EX213" s="3"/>
      <c r="EY213" s="3"/>
      <c r="EZ213" s="3" t="s">
        <v>203</v>
      </c>
      <c r="FA213" s="3" t="s">
        <v>160</v>
      </c>
      <c r="FC213" s="3" t="s">
        <v>6525</v>
      </c>
      <c r="FD213" s="3">
        <v>8</v>
      </c>
      <c r="FE213" s="3">
        <v>6</v>
      </c>
      <c r="FL213" s="569">
        <v>400</v>
      </c>
      <c r="FM213" s="569">
        <v>0.5</v>
      </c>
      <c r="FQ213" s="3" t="s">
        <v>461</v>
      </c>
      <c r="FR213" s="3" t="s">
        <v>6527</v>
      </c>
      <c r="FS213" s="8" t="str">
        <f>FR213&amp;"s"</f>
        <v>concussion grenades</v>
      </c>
      <c r="GC213" s="12" t="s">
        <v>388</v>
      </c>
      <c r="GE213" s="19">
        <v>50</v>
      </c>
      <c r="GF213" s="19">
        <v>0.1</v>
      </c>
      <c r="GG213" s="19" t="s">
        <v>249</v>
      </c>
      <c r="GH213" s="3" t="s">
        <v>389</v>
      </c>
      <c r="GI213" s="8" t="s">
        <v>390</v>
      </c>
      <c r="IC213" s="1540" t="str">
        <f t="shared" si="38"/>
        <v/>
      </c>
      <c r="ID213"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4" spans="67:238">
      <c r="BO214" s="1557" t="s">
        <v>8673</v>
      </c>
      <c r="BV214" s="456" t="s">
        <v>8672</v>
      </c>
      <c r="EN214" s="1323" t="s">
        <v>1473</v>
      </c>
      <c r="EO214" s="3" t="s">
        <v>173</v>
      </c>
      <c r="EP214" s="3" t="s">
        <v>204</v>
      </c>
      <c r="EQ214" s="3" t="s">
        <v>460</v>
      </c>
      <c r="ER214" s="3" t="s">
        <v>461</v>
      </c>
      <c r="ES214" s="19" t="s">
        <v>170</v>
      </c>
      <c r="EZ214" s="3" t="s">
        <v>497</v>
      </c>
      <c r="FA214" s="3" t="s">
        <v>204</v>
      </c>
      <c r="FC214" s="3" t="s">
        <v>1474</v>
      </c>
      <c r="FD214" s="3">
        <v>3</v>
      </c>
      <c r="FE214" s="3">
        <v>6</v>
      </c>
      <c r="FL214" s="3">
        <v>500</v>
      </c>
      <c r="FM214" s="3">
        <v>0.5</v>
      </c>
      <c r="FQ214" s="3" t="s">
        <v>3745</v>
      </c>
      <c r="FR214" s="3" t="s">
        <v>1475</v>
      </c>
      <c r="FS214" s="8" t="s">
        <v>1476</v>
      </c>
      <c r="GC214" s="12" t="s">
        <v>164</v>
      </c>
      <c r="GE214" s="19">
        <v>200</v>
      </c>
      <c r="GF214" s="19">
        <v>0.5</v>
      </c>
      <c r="GG214" s="19" t="s">
        <v>249</v>
      </c>
      <c r="GH214" s="3" t="s">
        <v>427</v>
      </c>
      <c r="GI214" s="8" t="s">
        <v>428</v>
      </c>
      <c r="IC214" s="1540" t="str">
        <f t="shared" si="38"/>
        <v/>
      </c>
      <c r="ID214"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5" spans="67:238">
      <c r="BO215" s="1557" t="s">
        <v>8674</v>
      </c>
      <c r="BV215" s="456" t="s">
        <v>8675</v>
      </c>
      <c r="EN215" s="1323" t="s">
        <v>1485</v>
      </c>
      <c r="EO215" s="3" t="s">
        <v>530</v>
      </c>
      <c r="EP215" s="3" t="s">
        <v>204</v>
      </c>
      <c r="EQ215" s="3" t="s">
        <v>460</v>
      </c>
      <c r="ER215" s="3" t="s">
        <v>461</v>
      </c>
      <c r="ES215" s="19" t="s">
        <v>274</v>
      </c>
      <c r="EZ215" s="3" t="s">
        <v>1372</v>
      </c>
      <c r="FA215" s="3" t="s">
        <v>204</v>
      </c>
      <c r="FC215" s="3" t="str">
        <f ca="1">IF(Feats!$M$70&gt;0,"3-square burst","2-square burst")</f>
        <v>2-square burst</v>
      </c>
      <c r="FD215" s="3">
        <v>3</v>
      </c>
      <c r="FE215" s="3">
        <v>6</v>
      </c>
      <c r="FL215" s="3">
        <v>500</v>
      </c>
      <c r="FM215" s="3">
        <v>0.5</v>
      </c>
      <c r="FN215" s="3" t="s">
        <v>424</v>
      </c>
      <c r="FO215" s="3">
        <v>50</v>
      </c>
      <c r="FQ215" s="3" t="s">
        <v>3745</v>
      </c>
      <c r="FR215" s="3" t="s">
        <v>1486</v>
      </c>
      <c r="FS215" s="8" t="s">
        <v>1487</v>
      </c>
      <c r="GC215" s="12" t="s">
        <v>464</v>
      </c>
      <c r="GE215" s="19">
        <v>250</v>
      </c>
      <c r="GF215" s="19">
        <v>0.5</v>
      </c>
      <c r="GG215" s="19" t="s">
        <v>249</v>
      </c>
      <c r="GH215" s="3" t="s">
        <v>465</v>
      </c>
      <c r="GI215" s="8" t="s">
        <v>466</v>
      </c>
      <c r="IC215" s="1540" t="str">
        <f t="shared" si="38"/>
        <v/>
      </c>
      <c r="ID215"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6" spans="67:238">
      <c r="BO216" s="1557" t="s">
        <v>8676</v>
      </c>
      <c r="BV216" s="456" t="s">
        <v>8677</v>
      </c>
      <c r="EN216" s="1323" t="s">
        <v>164</v>
      </c>
      <c r="EO216" s="3" t="s">
        <v>155</v>
      </c>
      <c r="EP216" s="3" t="s">
        <v>204</v>
      </c>
      <c r="EQ216" s="3" t="s">
        <v>460</v>
      </c>
      <c r="ER216" s="3" t="s">
        <v>461</v>
      </c>
      <c r="ES216" s="19" t="s">
        <v>170</v>
      </c>
      <c r="EZ216" s="3" t="s">
        <v>357</v>
      </c>
      <c r="FA216" s="3" t="s">
        <v>160</v>
      </c>
      <c r="FC216" s="3" t="s">
        <v>1494</v>
      </c>
      <c r="FD216" s="3">
        <v>4</v>
      </c>
      <c r="FE216" s="3">
        <v>6</v>
      </c>
      <c r="FL216" s="3">
        <v>200</v>
      </c>
      <c r="FM216" s="3">
        <v>0.5</v>
      </c>
      <c r="FQ216" s="3" t="s">
        <v>3745</v>
      </c>
      <c r="FR216" s="3" t="s">
        <v>427</v>
      </c>
      <c r="FS216" s="8" t="s">
        <v>428</v>
      </c>
      <c r="GC216" s="12" t="s">
        <v>501</v>
      </c>
      <c r="GE216" s="19">
        <v>250</v>
      </c>
      <c r="GF216" s="19">
        <v>0.5</v>
      </c>
      <c r="GG216" s="19" t="s">
        <v>249</v>
      </c>
      <c r="GH216" s="3" t="s">
        <v>502</v>
      </c>
      <c r="GI216" s="8" t="s">
        <v>503</v>
      </c>
      <c r="IC216" s="1540" t="str">
        <f t="shared" ref="IC216:IC237" si="41">IF(EQ235="EWP",EN235&amp;";","")</f>
        <v>Concealed dart launcher;</v>
      </c>
      <c r="ID216" s="1540" t="str">
        <f t="shared" si="39"/>
        <v>Concealed dart launcher;Deck sweeper;Discblade;Flamethrower;Lanvarok, Massassi (disc);Lanvarok, Sith;Magna caster;Neural inhibitor;Pulse rifle;Siang lance;Squib tensor rifle;Verpine shatter gun;Wrist rocket launcher;Xerrol nightstinger;Atlatl;Blastsword;Amphistaff (spit);Aurial blaster;Blast cannon;Bowcaster;</v>
      </c>
    </row>
    <row r="217" spans="67:238">
      <c r="BO217" s="1557" t="s">
        <v>8678</v>
      </c>
      <c r="BV217" s="456" t="s">
        <v>8679</v>
      </c>
      <c r="EN217" s="1332" t="s">
        <v>6511</v>
      </c>
      <c r="EO217" s="569" t="s">
        <v>6222</v>
      </c>
      <c r="EP217" s="569" t="s">
        <v>204</v>
      </c>
      <c r="EQ217" s="3" t="s">
        <v>460</v>
      </c>
      <c r="ER217" s="569" t="s">
        <v>461</v>
      </c>
      <c r="ES217" s="1085" t="s">
        <v>170</v>
      </c>
      <c r="ET217" s="3"/>
      <c r="EU217" s="3"/>
      <c r="EV217" s="3"/>
      <c r="EW217" s="3"/>
      <c r="EX217" s="3"/>
      <c r="EY217" s="3"/>
      <c r="FA217" s="3" t="s">
        <v>160</v>
      </c>
      <c r="FC217" s="3" t="s">
        <v>6515</v>
      </c>
      <c r="FL217" s="569">
        <v>250</v>
      </c>
      <c r="FM217" s="569">
        <v>0.5</v>
      </c>
      <c r="FQ217" s="3" t="s">
        <v>461</v>
      </c>
      <c r="FR217" s="3" t="s">
        <v>6528</v>
      </c>
      <c r="FS217" s="8" t="str">
        <f>FR217&amp;"s"</f>
        <v>gas grenades</v>
      </c>
      <c r="GC217" s="12" t="s">
        <v>534</v>
      </c>
      <c r="GE217" s="19">
        <v>800</v>
      </c>
      <c r="GF217" s="19">
        <v>10</v>
      </c>
      <c r="GG217" s="19" t="s">
        <v>274</v>
      </c>
      <c r="GH217" s="3" t="s">
        <v>535</v>
      </c>
      <c r="GI217" s="8" t="s">
        <v>536</v>
      </c>
      <c r="IC217" s="1540" t="str">
        <f t="shared" si="41"/>
        <v>Deck sweeper;</v>
      </c>
      <c r="ID217" s="1540" t="str">
        <f t="shared" si="39"/>
        <v>Deck sweeper;Discblade;Flamethrower;Lanvarok, Massassi (disc);Lanvarok, Sith;Magna caster;Neural inhibitor;Pulse rifle;Siang lance;Squib tensor rifle;Verpine shatter gun;Wrist rocket launcher;Xerrol nightstinger;Atlatl;Blastsword;Amphistaff (spit);Aurial blaster;Blast cannon;Bowcaster;</v>
      </c>
    </row>
    <row r="218" spans="67:238">
      <c r="BO218">
        <f>CustomTrait1</f>
        <v>0</v>
      </c>
      <c r="BV218" s="456">
        <f>CustomTrait1Desc</f>
        <v>0</v>
      </c>
      <c r="EN218" s="1323" t="s">
        <v>464</v>
      </c>
      <c r="EO218" s="3" t="s">
        <v>155</v>
      </c>
      <c r="EP218" s="3" t="s">
        <v>204</v>
      </c>
      <c r="EQ218" s="3" t="s">
        <v>460</v>
      </c>
      <c r="ER218" s="3" t="s">
        <v>461</v>
      </c>
      <c r="ES218" s="19" t="s">
        <v>170</v>
      </c>
      <c r="EZ218" s="3" t="s">
        <v>1372</v>
      </c>
      <c r="FA218" s="3" t="s">
        <v>204</v>
      </c>
      <c r="FC218" s="3" t="s">
        <v>1494</v>
      </c>
      <c r="FD218" s="3">
        <v>4</v>
      </c>
      <c r="FE218" s="3">
        <v>6</v>
      </c>
      <c r="FL218" s="3">
        <v>250</v>
      </c>
      <c r="FM218" s="3">
        <v>0.5</v>
      </c>
      <c r="FQ218" s="3" t="s">
        <v>3745</v>
      </c>
      <c r="FR218" s="3" t="s">
        <v>465</v>
      </c>
      <c r="FS218" s="8" t="s">
        <v>466</v>
      </c>
      <c r="GC218" s="12" t="s">
        <v>565</v>
      </c>
      <c r="GE218" s="19">
        <v>200</v>
      </c>
      <c r="GF218" s="19">
        <v>5</v>
      </c>
      <c r="GG218" s="19" t="s">
        <v>274</v>
      </c>
      <c r="GH218" s="3" t="s">
        <v>566</v>
      </c>
      <c r="GI218" s="8" t="s">
        <v>567</v>
      </c>
      <c r="IC218" s="1540" t="str">
        <f t="shared" si="41"/>
        <v>Discblade;</v>
      </c>
      <c r="ID218" s="1540" t="str">
        <f t="shared" si="39"/>
        <v>Discblade;Flamethrower;Lanvarok, Massassi (disc);Lanvarok, Sith;Magna caster;Neural inhibitor;Pulse rifle;Siang lance;Squib tensor rifle;Verpine shatter gun;Wrist rocket launcher;Xerrol nightstinger;Atlatl;Blastsword;Amphistaff (spit);Aurial blaster;Blast cannon;Bowcaster;</v>
      </c>
    </row>
    <row r="219" spans="67:238">
      <c r="BO219" s="1352">
        <f>CustomTrait2</f>
        <v>0</v>
      </c>
      <c r="BV219" s="456">
        <f>CustomTrait2Desc</f>
        <v>0</v>
      </c>
      <c r="EN219" s="1323" t="s">
        <v>7036</v>
      </c>
      <c r="EO219" s="3" t="s">
        <v>6758</v>
      </c>
      <c r="EP219" s="3" t="s">
        <v>204</v>
      </c>
      <c r="EQ219" s="3" t="s">
        <v>460</v>
      </c>
      <c r="ER219" s="3" t="s">
        <v>461</v>
      </c>
      <c r="ES219" s="19" t="s">
        <v>170</v>
      </c>
      <c r="EX219" s="19" t="s">
        <v>3717</v>
      </c>
      <c r="EZ219" s="3" t="s">
        <v>497</v>
      </c>
      <c r="FA219" s="3" t="s">
        <v>779</v>
      </c>
      <c r="FC219" s="3" t="s">
        <v>7037</v>
      </c>
      <c r="FD219" s="3">
        <v>3</v>
      </c>
      <c r="FE219" s="3">
        <v>8</v>
      </c>
      <c r="FL219" s="3">
        <v>500</v>
      </c>
      <c r="FM219" s="3">
        <v>0.5</v>
      </c>
      <c r="FR219" s="3" t="s">
        <v>7038</v>
      </c>
      <c r="FS219" s="8" t="s">
        <v>7039</v>
      </c>
      <c r="GC219" s="12" t="s">
        <v>8105</v>
      </c>
      <c r="GD219" s="3" t="s">
        <v>7946</v>
      </c>
      <c r="GE219" s="19">
        <v>10</v>
      </c>
      <c r="GF219" s="19">
        <v>1</v>
      </c>
      <c r="GG219" s="19" t="s">
        <v>209</v>
      </c>
      <c r="GH219" s="1086" t="s">
        <v>8152</v>
      </c>
      <c r="GI219" s="8" t="str">
        <f>GH219</f>
        <v>Magna caster bolts (10)</v>
      </c>
      <c r="IC219" s="1540" t="str">
        <f t="shared" si="41"/>
        <v>Flamethrower;</v>
      </c>
      <c r="ID219" s="1540" t="str">
        <f t="shared" si="39"/>
        <v>Flamethrower;Lanvarok, Massassi (disc);Lanvarok, Sith;Magna caster;Neural inhibitor;Pulse rifle;Siang lance;Squib tensor rifle;Verpine shatter gun;Wrist rocket launcher;Xerrol nightstinger;Atlatl;Blastsword;Amphistaff (spit);Aurial blaster;Blast cannon;Bowcaster;</v>
      </c>
    </row>
    <row r="220" spans="67:238">
      <c r="BO220" s="1352">
        <f>CustomTrait3</f>
        <v>0</v>
      </c>
      <c r="BV220" s="456">
        <f>CustomTrait3Desc</f>
        <v>0</v>
      </c>
      <c r="EN220" s="1323" t="s">
        <v>1503</v>
      </c>
      <c r="EO220" s="3" t="s">
        <v>173</v>
      </c>
      <c r="EP220" s="3" t="s">
        <v>204</v>
      </c>
      <c r="EQ220" s="3" t="s">
        <v>460</v>
      </c>
      <c r="ER220" s="3" t="s">
        <v>461</v>
      </c>
      <c r="ES220" s="19" t="s">
        <v>170</v>
      </c>
      <c r="EZ220" s="3" t="s">
        <v>497</v>
      </c>
      <c r="FA220" s="3" t="s">
        <v>160</v>
      </c>
      <c r="FC220" s="3" t="s">
        <v>1504</v>
      </c>
      <c r="FD220" s="3">
        <v>4</v>
      </c>
      <c r="FE220" s="3">
        <v>6</v>
      </c>
      <c r="FL220" s="3">
        <v>300</v>
      </c>
      <c r="FM220" s="3">
        <v>1</v>
      </c>
      <c r="FQ220" s="3" t="s">
        <v>3745</v>
      </c>
      <c r="FR220" s="3" t="s">
        <v>1505</v>
      </c>
      <c r="FS220" s="8" t="s">
        <v>1506</v>
      </c>
      <c r="GC220" s="12" t="s">
        <v>589</v>
      </c>
      <c r="GE220" s="19">
        <v>75</v>
      </c>
      <c r="GF220" s="19">
        <v>1.2</v>
      </c>
      <c r="GG220" s="19" t="s">
        <v>209</v>
      </c>
      <c r="GH220" s="3" t="s">
        <v>590</v>
      </c>
      <c r="GI220" s="8" t="s">
        <v>591</v>
      </c>
      <c r="IC220" s="1540" t="str">
        <f t="shared" si="41"/>
        <v>Lanvarok, Massassi (disc);</v>
      </c>
      <c r="ID220" s="1540" t="str">
        <f t="shared" si="39"/>
        <v>Lanvarok, Massassi (disc);Lanvarok, Sith;Magna caster;Neural inhibitor;Pulse rifle;Siang lance;Squib tensor rifle;Verpine shatter gun;Wrist rocket launcher;Xerrol nightstinger;Atlatl;Blastsword;Amphistaff (spit);Aurial blaster;Blast cannon;Bowcaster;</v>
      </c>
    </row>
    <row r="221" spans="67:238">
      <c r="BO221" s="1352">
        <f>CustomTrait4</f>
        <v>0</v>
      </c>
      <c r="BV221" s="456">
        <f>CustomTrait4Desc</f>
        <v>0</v>
      </c>
      <c r="EN221" s="1323" t="s">
        <v>7040</v>
      </c>
      <c r="EO221" s="3" t="s">
        <v>6758</v>
      </c>
      <c r="EP221" s="3" t="s">
        <v>204</v>
      </c>
      <c r="EQ221" s="3" t="s">
        <v>460</v>
      </c>
      <c r="ER221" s="3" t="s">
        <v>461</v>
      </c>
      <c r="ES221" s="19" t="s">
        <v>170</v>
      </c>
      <c r="EX221" s="19" t="s">
        <v>3717</v>
      </c>
      <c r="FA221" s="3" t="s">
        <v>204</v>
      </c>
      <c r="FC221" s="3" t="s">
        <v>7041</v>
      </c>
      <c r="FL221" s="3">
        <v>100</v>
      </c>
      <c r="FM221" s="3">
        <v>0.5</v>
      </c>
      <c r="FR221" s="3" t="s">
        <v>7042</v>
      </c>
      <c r="FS221" s="8" t="s">
        <v>7043</v>
      </c>
      <c r="GC221" s="12" t="s">
        <v>615</v>
      </c>
      <c r="GE221" s="19">
        <v>20</v>
      </c>
      <c r="GF221" s="19">
        <v>0.1</v>
      </c>
      <c r="GG221" s="19" t="s">
        <v>249</v>
      </c>
      <c r="GH221" s="3" t="s">
        <v>616</v>
      </c>
      <c r="GI221" s="8" t="s">
        <v>617</v>
      </c>
      <c r="IC221" s="1540" t="str">
        <f t="shared" si="41"/>
        <v>Lanvarok, Sith;</v>
      </c>
      <c r="ID221" s="1540" t="str">
        <f t="shared" si="39"/>
        <v>Lanvarok, Sith;Magna caster;Neural inhibitor;Pulse rifle;Siang lance;Squib tensor rifle;Verpine shatter gun;Wrist rocket launcher;Xerrol nightstinger;Atlatl;Blastsword;Amphistaff (spit);Aurial blaster;Blast cannon;Bowcaster;</v>
      </c>
    </row>
    <row r="222" spans="67:238">
      <c r="BO222" s="1352">
        <f>CustomTrait5</f>
        <v>0</v>
      </c>
      <c r="BV222" s="456">
        <f>CustomTrait5Desc</f>
        <v>0</v>
      </c>
      <c r="EN222" s="1323" t="s">
        <v>501</v>
      </c>
      <c r="EO222" s="3" t="s">
        <v>155</v>
      </c>
      <c r="EP222" s="3" t="s">
        <v>204</v>
      </c>
      <c r="EQ222" s="3" t="s">
        <v>460</v>
      </c>
      <c r="ER222" s="3" t="s">
        <v>461</v>
      </c>
      <c r="ES222" s="19" t="s">
        <v>170</v>
      </c>
      <c r="EV222" s="19" t="s">
        <v>1165</v>
      </c>
      <c r="EZ222" s="3" t="s">
        <v>497</v>
      </c>
      <c r="FA222" s="3" t="s">
        <v>204</v>
      </c>
      <c r="FC222" s="3" t="s">
        <v>1494</v>
      </c>
      <c r="FD222" s="3">
        <v>4</v>
      </c>
      <c r="FE222" s="3">
        <v>6</v>
      </c>
      <c r="FL222" s="3">
        <v>250</v>
      </c>
      <c r="FM222" s="3">
        <v>0.5</v>
      </c>
      <c r="FQ222" s="3" t="s">
        <v>3745</v>
      </c>
      <c r="FR222" s="3" t="s">
        <v>1512</v>
      </c>
      <c r="FS222" s="8" t="s">
        <v>503</v>
      </c>
      <c r="GC222" s="12" t="s">
        <v>8069</v>
      </c>
      <c r="GD222" s="3" t="s">
        <v>7183</v>
      </c>
      <c r="GE222" s="19">
        <v>0</v>
      </c>
      <c r="GF222" s="19">
        <v>0</v>
      </c>
      <c r="GG222" s="19" t="s">
        <v>249</v>
      </c>
      <c r="GH222" s="854" t="s">
        <v>8157</v>
      </c>
      <c r="GI222" s="8" t="s">
        <v>8158</v>
      </c>
      <c r="IC222" s="1540" t="str">
        <f t="shared" si="41"/>
        <v>Magna caster;</v>
      </c>
      <c r="ID222" s="1540" t="str">
        <f t="shared" si="39"/>
        <v>Magna caster;Neural inhibitor;Pulse rifle;Siang lance;Squib tensor rifle;Verpine shatter gun;Wrist rocket launcher;Xerrol nightstinger;Atlatl;Blastsword;Amphistaff (spit);Aurial blaster;Blast cannon;Bowcaster;</v>
      </c>
    </row>
    <row r="223" spans="67:238">
      <c r="BO223" s="1030"/>
      <c r="BP223" s="1336"/>
      <c r="BQ223" s="1336"/>
      <c r="BR223" s="1336"/>
      <c r="BS223" s="1336"/>
      <c r="BT223" s="1336"/>
      <c r="BU223" s="1336"/>
      <c r="BV223" s="1337"/>
      <c r="EN223" s="1323" t="s">
        <v>1774</v>
      </c>
      <c r="EO223" s="3" t="s">
        <v>155</v>
      </c>
      <c r="EP223" s="3" t="s">
        <v>204</v>
      </c>
      <c r="EQ223" s="3" t="s">
        <v>460</v>
      </c>
      <c r="ER223" s="3" t="s">
        <v>461</v>
      </c>
      <c r="ES223" s="19" t="s">
        <v>201</v>
      </c>
      <c r="EX223" s="19" t="s">
        <v>3717</v>
      </c>
      <c r="FA223" s="3" t="s">
        <v>3718</v>
      </c>
      <c r="FC223" s="3" t="s">
        <v>1775</v>
      </c>
      <c r="FJ223" s="3" t="s">
        <v>499</v>
      </c>
      <c r="FL223" s="3">
        <v>25</v>
      </c>
      <c r="FM223" s="3">
        <v>4.5</v>
      </c>
      <c r="FQ223" s="3" t="str">
        <f>IF(EP223="R",IF(EQ223&lt;&gt;"EWP",ER223,"pistols"),"")</f>
        <v>simple</v>
      </c>
      <c r="FR223" s="3" t="s">
        <v>1776</v>
      </c>
      <c r="FS223" s="8" t="s">
        <v>1777</v>
      </c>
      <c r="GC223" s="12" t="s">
        <v>655</v>
      </c>
      <c r="GE223" s="19">
        <v>750</v>
      </c>
      <c r="GF223" s="19">
        <v>15</v>
      </c>
      <c r="GG223" s="19" t="s">
        <v>274</v>
      </c>
      <c r="GH223" s="3" t="s">
        <v>656</v>
      </c>
      <c r="GI223" s="8" t="s">
        <v>657</v>
      </c>
      <c r="IC223" s="1540" t="str">
        <f t="shared" si="41"/>
        <v>Neural inhibitor;</v>
      </c>
      <c r="ID223" s="1540" t="str">
        <f t="shared" si="39"/>
        <v>Neural inhibitor;Pulse rifle;Siang lance;Squib tensor rifle;Verpine shatter gun;Wrist rocket launcher;Xerrol nightstinger;Atlatl;Blastsword;Amphistaff (spit);Aurial blaster;Blast cannon;Bowcaster;</v>
      </c>
    </row>
    <row r="224" spans="67:238">
      <c r="EN224" s="1323" t="s">
        <v>4307</v>
      </c>
      <c r="EO224" s="3" t="s">
        <v>3800</v>
      </c>
      <c r="EP224" s="3" t="s">
        <v>204</v>
      </c>
      <c r="EQ224" s="569" t="s">
        <v>460</v>
      </c>
      <c r="ER224" s="569" t="s">
        <v>461</v>
      </c>
      <c r="ES224" s="19" t="s">
        <v>170</v>
      </c>
      <c r="EU224" s="19" t="s">
        <v>202</v>
      </c>
      <c r="EZ224" s="569" t="s">
        <v>497</v>
      </c>
      <c r="FA224" s="3" t="s">
        <v>204</v>
      </c>
      <c r="FL224" s="569">
        <v>100</v>
      </c>
      <c r="FM224" s="569">
        <v>0.5</v>
      </c>
      <c r="FQ224" s="569" t="s">
        <v>461</v>
      </c>
      <c r="FR224" s="3" t="s">
        <v>4307</v>
      </c>
      <c r="FS224" s="8" t="str">
        <f>FR224&amp;"s"</f>
        <v>R-9 flash canisters</v>
      </c>
      <c r="GC224" s="12" t="s">
        <v>424</v>
      </c>
      <c r="GE224" s="19">
        <v>25</v>
      </c>
      <c r="GF224" s="19">
        <v>0.1</v>
      </c>
      <c r="GG224" s="19" t="s">
        <v>249</v>
      </c>
      <c r="GH224" s="3" t="s">
        <v>675</v>
      </c>
      <c r="GI224" s="8" t="s">
        <v>676</v>
      </c>
      <c r="IC224" s="1540" t="str">
        <f t="shared" si="41"/>
        <v>Pulse rifle;</v>
      </c>
      <c r="ID224" s="1540" t="str">
        <f t="shared" si="39"/>
        <v>Pulse rifle;Siang lance;Squib tensor rifle;Verpine shatter gun;Wrist rocket launcher;Xerrol nightstinger;Atlatl;Blastsword;Amphistaff (spit);Aurial blaster;Blast cannon;Bowcaster;</v>
      </c>
    </row>
    <row r="225" spans="13:238">
      <c r="EN225" s="1323" t="s">
        <v>2217</v>
      </c>
      <c r="EO225" s="3" t="s">
        <v>2159</v>
      </c>
      <c r="EP225" s="3" t="s">
        <v>204</v>
      </c>
      <c r="EQ225" s="3" t="s">
        <v>460</v>
      </c>
      <c r="ER225" s="3" t="s">
        <v>461</v>
      </c>
      <c r="ES225" s="19" t="s">
        <v>274</v>
      </c>
      <c r="EZ225" s="3" t="s">
        <v>357</v>
      </c>
      <c r="FA225" s="3" t="s">
        <v>779</v>
      </c>
      <c r="FB225" s="3" t="s">
        <v>118</v>
      </c>
      <c r="FC225" s="3" t="s">
        <v>2218</v>
      </c>
      <c r="FD225" s="3">
        <v>2</v>
      </c>
      <c r="FE225" s="3">
        <v>8</v>
      </c>
      <c r="FL225" s="3">
        <v>800</v>
      </c>
      <c r="FM225" s="3">
        <v>0.5</v>
      </c>
      <c r="FQ225" s="3" t="s">
        <v>3745</v>
      </c>
      <c r="FR225" s="3" t="s">
        <v>2219</v>
      </c>
      <c r="FS225" s="8" t="s">
        <v>2220</v>
      </c>
      <c r="GC225" s="12" t="s">
        <v>697</v>
      </c>
      <c r="GE225" s="19">
        <v>20</v>
      </c>
      <c r="GF225" s="19">
        <v>0.8</v>
      </c>
      <c r="GG225" s="19" t="s">
        <v>249</v>
      </c>
      <c r="GH225" s="3" t="s">
        <v>698</v>
      </c>
      <c r="GI225" s="8" t="s">
        <v>699</v>
      </c>
      <c r="IC225" s="1540" t="str">
        <f t="shared" si="41"/>
        <v>Siang lance;</v>
      </c>
      <c r="ID225" s="1540" t="str">
        <f t="shared" si="39"/>
        <v>Siang lance;Squib tensor rifle;Verpine shatter gun;Wrist rocket launcher;Xerrol nightstinger;Atlatl;Blastsword;Amphistaff (spit);Aurial blaster;Blast cannon;Bowcaster;</v>
      </c>
    </row>
    <row r="226" spans="13:238">
      <c r="EN226" s="1323" t="s">
        <v>1868</v>
      </c>
      <c r="EO226" s="3" t="s">
        <v>155</v>
      </c>
      <c r="EP226" s="3" t="s">
        <v>204</v>
      </c>
      <c r="EQ226" s="3" t="s">
        <v>460</v>
      </c>
      <c r="ER226" s="3" t="s">
        <v>461</v>
      </c>
      <c r="ES226" s="19" t="s">
        <v>274</v>
      </c>
      <c r="EX226" s="19" t="s">
        <v>3717</v>
      </c>
      <c r="EZ226" s="3" t="s">
        <v>203</v>
      </c>
      <c r="FA226" s="3" t="s">
        <v>3718</v>
      </c>
      <c r="FD226" s="3">
        <v>1</v>
      </c>
      <c r="FE226" s="3">
        <v>4</v>
      </c>
      <c r="FL226" s="3">
        <v>35</v>
      </c>
      <c r="FM226" s="3">
        <v>0.3</v>
      </c>
      <c r="FQ226" s="3" t="str">
        <f>IF(EP226="R",IF(EQ226&lt;&gt;"EWP",ER226,"pistols"),"")</f>
        <v>simple</v>
      </c>
      <c r="FR226" s="3" t="s">
        <v>1869</v>
      </c>
      <c r="FS226" s="8" t="s">
        <v>1870</v>
      </c>
      <c r="GC226" s="12" t="s">
        <v>719</v>
      </c>
      <c r="GE226" s="19">
        <v>40</v>
      </c>
      <c r="GF226" s="19">
        <v>0.2</v>
      </c>
      <c r="GG226" s="19" t="s">
        <v>249</v>
      </c>
      <c r="GH226" s="3" t="s">
        <v>720</v>
      </c>
      <c r="GI226" s="8" t="s">
        <v>721</v>
      </c>
      <c r="IC226" s="1540" t="str">
        <f t="shared" si="41"/>
        <v>Squib tensor rifle;</v>
      </c>
      <c r="ID226" s="1540" t="str">
        <f t="shared" si="39"/>
        <v>Squib tensor rifle;Verpine shatter gun;Wrist rocket launcher;Xerrol nightstinger;Atlatl;Blastsword;Amphistaff (spit);Aurial blaster;Blast cannon;Bowcaster;</v>
      </c>
    </row>
    <row r="227" spans="13:238">
      <c r="EN227" s="1323" t="s">
        <v>7067</v>
      </c>
      <c r="EO227" s="3" t="s">
        <v>6758</v>
      </c>
      <c r="EP227" s="3" t="s">
        <v>204</v>
      </c>
      <c r="EQ227" s="3" t="s">
        <v>460</v>
      </c>
      <c r="ER227" s="3" t="s">
        <v>461</v>
      </c>
      <c r="ES227" s="19" t="s">
        <v>170</v>
      </c>
      <c r="EX227" s="19" t="s">
        <v>3717</v>
      </c>
      <c r="EZ227" s="3" t="s">
        <v>497</v>
      </c>
      <c r="FA227" s="3" t="s">
        <v>321</v>
      </c>
      <c r="FC227" s="3" t="s">
        <v>7068</v>
      </c>
      <c r="FD227" s="3" t="s">
        <v>3771</v>
      </c>
      <c r="FL227" s="3">
        <v>50</v>
      </c>
      <c r="FM227" s="3">
        <v>0.1</v>
      </c>
      <c r="FR227" s="3" t="s">
        <v>7069</v>
      </c>
      <c r="FS227" s="8" t="s">
        <v>7070</v>
      </c>
      <c r="GC227" s="12" t="s">
        <v>8070</v>
      </c>
      <c r="GD227" s="3" t="s">
        <v>7183</v>
      </c>
      <c r="GE227" s="19">
        <v>25</v>
      </c>
      <c r="GF227" s="19">
        <v>1</v>
      </c>
      <c r="GG227" s="19" t="s">
        <v>209</v>
      </c>
      <c r="GH227" s="854" t="s">
        <v>8161</v>
      </c>
      <c r="GI227" s="8" t="s">
        <v>8162</v>
      </c>
      <c r="IC227" s="1540" t="str">
        <f t="shared" si="41"/>
        <v>Verpine shatter gun;</v>
      </c>
      <c r="ID227" s="1540" t="str">
        <f t="shared" si="39"/>
        <v>Verpine shatter gun;Wrist rocket launcher;Xerrol nightstinger;Atlatl;Blastsword;Amphistaff (spit);Aurial blaster;Blast cannon;Bowcaster;</v>
      </c>
    </row>
    <row r="228" spans="13:238">
      <c r="EN228" s="1323" t="s">
        <v>1968</v>
      </c>
      <c r="EO228" s="3" t="s">
        <v>155</v>
      </c>
      <c r="EP228" s="3" t="s">
        <v>204</v>
      </c>
      <c r="EQ228" s="3" t="s">
        <v>460</v>
      </c>
      <c r="ER228" s="3" t="s">
        <v>461</v>
      </c>
      <c r="ES228" s="19" t="s">
        <v>170</v>
      </c>
      <c r="EZ228" s="3" t="s">
        <v>497</v>
      </c>
      <c r="FA228" s="3" t="s">
        <v>779</v>
      </c>
      <c r="FC228" s="3" t="s">
        <v>1969</v>
      </c>
      <c r="FD228" s="3">
        <v>8</v>
      </c>
      <c r="FE228" s="3">
        <v>6</v>
      </c>
      <c r="FJ228" s="3" t="s">
        <v>499</v>
      </c>
      <c r="FL228" s="3">
        <v>2000</v>
      </c>
      <c r="FM228" s="3">
        <v>1</v>
      </c>
      <c r="FQ228" s="3" t="s">
        <v>3745</v>
      </c>
      <c r="FR228" s="3" t="s">
        <v>1970</v>
      </c>
      <c r="FS228" s="8" t="s">
        <v>1971</v>
      </c>
      <c r="GC228" s="12" t="s">
        <v>740</v>
      </c>
      <c r="GE228" s="19">
        <v>100</v>
      </c>
      <c r="GF228" s="19">
        <v>0</v>
      </c>
      <c r="GG228" s="19" t="s">
        <v>249</v>
      </c>
      <c r="GH228" s="3" t="s">
        <v>741</v>
      </c>
      <c r="GI228" s="8" t="s">
        <v>742</v>
      </c>
      <c r="IC228" s="1540" t="str">
        <f t="shared" si="41"/>
        <v>Wrist rocket launcher;</v>
      </c>
      <c r="ID228" s="1540" t="str">
        <f t="shared" si="39"/>
        <v>Wrist rocket launcher;Xerrol nightstinger;Atlatl;Blastsword;Amphistaff (spit);Aurial blaster;Blast cannon;Bowcaster;</v>
      </c>
    </row>
    <row r="229" spans="13:238">
      <c r="EN229" s="1323" t="s">
        <v>1975</v>
      </c>
      <c r="EO229" s="3" t="s">
        <v>2159</v>
      </c>
      <c r="EP229" s="3" t="s">
        <v>204</v>
      </c>
      <c r="EQ229" s="3" t="s">
        <v>460</v>
      </c>
      <c r="ER229" s="3" t="s">
        <v>461</v>
      </c>
      <c r="ES229" s="19" t="s">
        <v>274</v>
      </c>
      <c r="EV229" s="19" t="s">
        <v>202</v>
      </c>
      <c r="EZ229" s="3" t="s">
        <v>203</v>
      </c>
      <c r="FA229" s="3" t="s">
        <v>779</v>
      </c>
      <c r="FB229" s="3" t="s">
        <v>118</v>
      </c>
      <c r="FC229" s="3" t="s">
        <v>2232</v>
      </c>
      <c r="FD229" s="3">
        <v>2</v>
      </c>
      <c r="FE229" s="3">
        <v>8</v>
      </c>
      <c r="FL229" s="3">
        <v>800</v>
      </c>
      <c r="FM229" s="3">
        <v>0.5</v>
      </c>
      <c r="FQ229" s="3" t="s">
        <v>3745</v>
      </c>
      <c r="FR229" s="3" t="s">
        <v>1976</v>
      </c>
      <c r="FS229" s="8" t="s">
        <v>1977</v>
      </c>
      <c r="GC229" s="12" t="s">
        <v>761</v>
      </c>
      <c r="GE229" s="19">
        <v>50</v>
      </c>
      <c r="GF229" s="19">
        <v>0.5</v>
      </c>
      <c r="GG229" s="19" t="s">
        <v>249</v>
      </c>
      <c r="GH229" s="3" t="s">
        <v>762</v>
      </c>
      <c r="GI229" s="8" t="s">
        <v>763</v>
      </c>
      <c r="IC229" s="1540" t="str">
        <f t="shared" si="41"/>
        <v>Xerrol nightstinger;</v>
      </c>
      <c r="ID229" s="1540" t="str">
        <f t="shared" si="39"/>
        <v>Xerrol nightstinger;Atlatl;Blastsword;Amphistaff (spit);Aurial blaster;Blast cannon;Bowcaster;</v>
      </c>
    </row>
    <row r="230" spans="13:238">
      <c r="M230" s="4"/>
      <c r="N230" s="4"/>
      <c r="O230" s="4"/>
      <c r="P230" s="4"/>
      <c r="Q230" s="4"/>
      <c r="R230" s="4"/>
      <c r="EN230" s="1331" t="s">
        <v>6530</v>
      </c>
      <c r="GC230" s="12" t="s">
        <v>783</v>
      </c>
      <c r="GE230" s="19">
        <v>100</v>
      </c>
      <c r="GF230" s="19">
        <v>0.1</v>
      </c>
      <c r="GG230" s="19" t="s">
        <v>249</v>
      </c>
      <c r="GH230" s="3" t="s">
        <v>784</v>
      </c>
      <c r="GI230" s="8" t="s">
        <v>785</v>
      </c>
      <c r="IC230" s="1540" t="str">
        <f t="shared" si="41"/>
        <v/>
      </c>
      <c r="ID230" s="1540" t="str">
        <f t="shared" si="39"/>
        <v>Atlatl;Blastsword;Amphistaff (spit);Aurial blaster;Blast cannon;Bowcaster;</v>
      </c>
    </row>
    <row r="231" spans="13:238">
      <c r="M231" s="4"/>
      <c r="N231" s="4"/>
      <c r="O231" s="4"/>
      <c r="P231" s="4"/>
      <c r="Q231" s="4"/>
      <c r="R231" s="4"/>
      <c r="EN231" s="1323" t="s">
        <v>288</v>
      </c>
      <c r="EO231" s="3" t="s">
        <v>155</v>
      </c>
      <c r="EP231" s="3" t="s">
        <v>204</v>
      </c>
      <c r="EQ231" s="3" t="s">
        <v>200</v>
      </c>
      <c r="ER231" s="3" t="s">
        <v>159</v>
      </c>
      <c r="ES231" s="19" t="s">
        <v>201</v>
      </c>
      <c r="EX231" s="19" t="s">
        <v>3717</v>
      </c>
      <c r="EZ231" s="3" t="s">
        <v>73</v>
      </c>
      <c r="FA231" s="3" t="s">
        <v>3718</v>
      </c>
      <c r="FB231" s="3" t="s">
        <v>118</v>
      </c>
      <c r="FC231" s="3" t="s">
        <v>289</v>
      </c>
      <c r="FL231" s="3">
        <v>0</v>
      </c>
      <c r="FM231" s="3">
        <v>2</v>
      </c>
      <c r="FQ231" s="3" t="str">
        <f>IF(EP231="R",IF(EQ231&lt;&gt;"EWP",ER231,"pistols"),"")</f>
        <v>pistols</v>
      </c>
      <c r="FR231" s="3" t="s">
        <v>161</v>
      </c>
      <c r="FS231" s="8" t="s">
        <v>162</v>
      </c>
      <c r="GC231" s="12" t="s">
        <v>8117</v>
      </c>
      <c r="GD231" s="3" t="s">
        <v>7946</v>
      </c>
      <c r="GE231" s="19">
        <v>1000</v>
      </c>
      <c r="GF231" s="19">
        <v>0</v>
      </c>
      <c r="GG231" s="19" t="s">
        <v>249</v>
      </c>
      <c r="GH231" s="1086" t="s">
        <v>8155</v>
      </c>
      <c r="GI231" s="8" t="str">
        <f>GH231&amp;"s"</f>
        <v>Verpine shatter gun clips</v>
      </c>
      <c r="IC231" s="1540" t="str">
        <f t="shared" si="41"/>
        <v/>
      </c>
      <c r="ID231" s="1540" t="str">
        <f t="shared" si="39"/>
        <v>Atlatl;Blastsword;Amphistaff (spit);Aurial blaster;Blast cannon;Bowcaster;</v>
      </c>
    </row>
    <row r="232" spans="13:238">
      <c r="M232" s="4"/>
      <c r="N232" s="4"/>
      <c r="O232" s="4"/>
      <c r="P232" s="4"/>
      <c r="Q232" s="4"/>
      <c r="R232" s="4"/>
      <c r="EN232" s="1323" t="s">
        <v>421</v>
      </c>
      <c r="EO232" s="3" t="s">
        <v>173</v>
      </c>
      <c r="EP232" s="3" t="s">
        <v>204</v>
      </c>
      <c r="EQ232" s="3" t="s">
        <v>200</v>
      </c>
      <c r="ER232" s="3" t="s">
        <v>421</v>
      </c>
      <c r="ES232" s="19" t="s">
        <v>149</v>
      </c>
      <c r="EX232" s="19" t="s">
        <v>3717</v>
      </c>
      <c r="EZ232" s="3" t="s">
        <v>422</v>
      </c>
      <c r="FA232" s="3" t="s">
        <v>204</v>
      </c>
      <c r="FC232" s="3" t="s">
        <v>423</v>
      </c>
      <c r="FD232" s="3">
        <v>3</v>
      </c>
      <c r="FE232" s="3">
        <v>6</v>
      </c>
      <c r="FL232" s="3">
        <v>2500</v>
      </c>
      <c r="FM232" s="3">
        <v>1</v>
      </c>
      <c r="FN232" s="3" t="s">
        <v>424</v>
      </c>
      <c r="FO232" s="3">
        <v>50</v>
      </c>
      <c r="FQ232" s="3" t="str">
        <f>IF(EP232="R",IF(EQ232&lt;&gt;"EWP",ER232,"pistols"),"")</f>
        <v>pistols</v>
      </c>
      <c r="FR232" s="3" t="s">
        <v>425</v>
      </c>
      <c r="FS232" s="8" t="s">
        <v>426</v>
      </c>
      <c r="GC232" s="12" t="s">
        <v>8075</v>
      </c>
      <c r="GD232" s="3" t="s">
        <v>7183</v>
      </c>
      <c r="GE232" s="19">
        <v>1000</v>
      </c>
      <c r="GF232" s="19">
        <v>0</v>
      </c>
      <c r="GG232" s="19" t="s">
        <v>249</v>
      </c>
      <c r="GH232" s="854" t="s">
        <v>8156</v>
      </c>
      <c r="GI232" s="8" t="str">
        <f>GH232&amp;"s"</f>
        <v>Xerrol nightsinger gas canisters</v>
      </c>
      <c r="IC232" s="1540" t="str">
        <f t="shared" si="41"/>
        <v/>
      </c>
      <c r="ID232" s="1540" t="str">
        <f t="shared" si="39"/>
        <v>Atlatl;Blastsword;Amphistaff (spit);Aurial blaster;Blast cannon;Bowcaster;</v>
      </c>
    </row>
    <row r="233" spans="13:238">
      <c r="M233" s="4"/>
      <c r="N233" s="4"/>
      <c r="O233" s="4"/>
      <c r="P233" s="4"/>
      <c r="Q233" s="4"/>
      <c r="R233" s="4"/>
      <c r="EN233" s="1323" t="s">
        <v>495</v>
      </c>
      <c r="EO233" s="3" t="s">
        <v>272</v>
      </c>
      <c r="EP233" s="3" t="s">
        <v>204</v>
      </c>
      <c r="EQ233" s="3" t="s">
        <v>200</v>
      </c>
      <c r="ER233" s="3" t="s">
        <v>496</v>
      </c>
      <c r="ES233" s="19" t="s">
        <v>201</v>
      </c>
      <c r="EX233" s="19" t="s">
        <v>3717</v>
      </c>
      <c r="EZ233" s="3" t="s">
        <v>497</v>
      </c>
      <c r="FA233" s="3" t="s">
        <v>160</v>
      </c>
      <c r="FC233" s="3" t="s">
        <v>498</v>
      </c>
      <c r="FD233" s="3">
        <v>3</v>
      </c>
      <c r="FE233" s="3">
        <v>8</v>
      </c>
      <c r="FJ233" s="3" t="s">
        <v>499</v>
      </c>
      <c r="FL233" s="3">
        <v>2000</v>
      </c>
      <c r="FM233" s="3">
        <v>6</v>
      </c>
      <c r="FN233" s="3" t="s">
        <v>424</v>
      </c>
      <c r="FO233" s="3">
        <v>5</v>
      </c>
      <c r="FQ233" s="3" t="str">
        <f>IF(EP233="R",IF(EQ233&lt;&gt;"EWP",ER233,"heavy weapons"),"")</f>
        <v>heavy weapons</v>
      </c>
      <c r="FR233" s="3" t="s">
        <v>500</v>
      </c>
      <c r="FS233" s="8" t="s">
        <v>500</v>
      </c>
      <c r="GC233" s="1029"/>
      <c r="GD233" s="1167"/>
      <c r="GE233" s="1168"/>
      <c r="GF233" s="1168"/>
      <c r="GG233" s="1168"/>
      <c r="GH233" s="1167"/>
      <c r="GI233" s="1169"/>
      <c r="IC233" s="1540" t="str">
        <f t="shared" si="41"/>
        <v/>
      </c>
      <c r="ID233" s="1540" t="str">
        <f t="shared" si="39"/>
        <v>Atlatl;Blastsword;Amphistaff (spit);Aurial blaster;Blast cannon;Bowcaster;</v>
      </c>
    </row>
    <row r="234" spans="13:238">
      <c r="M234" s="4"/>
      <c r="N234" s="4"/>
      <c r="O234" s="4"/>
      <c r="P234" s="4"/>
      <c r="Q234" s="4"/>
      <c r="R234" s="4"/>
      <c r="EN234" s="1323" t="s">
        <v>1110</v>
      </c>
      <c r="EO234" s="3" t="s">
        <v>155</v>
      </c>
      <c r="EP234" s="3" t="s">
        <v>204</v>
      </c>
      <c r="EQ234" s="3" t="s">
        <v>200</v>
      </c>
      <c r="ER234" s="3" t="s">
        <v>1111</v>
      </c>
      <c r="ES234" s="19" t="s">
        <v>201</v>
      </c>
      <c r="EX234" s="19" t="s">
        <v>3717</v>
      </c>
      <c r="EZ234" s="3" t="s">
        <v>1112</v>
      </c>
      <c r="FA234" s="3" t="s">
        <v>321</v>
      </c>
      <c r="FB234" s="3" t="s">
        <v>118</v>
      </c>
      <c r="FD234" s="3">
        <v>3</v>
      </c>
      <c r="FE234" s="3">
        <v>10</v>
      </c>
      <c r="FJ234" s="3" t="s">
        <v>587</v>
      </c>
      <c r="FL234" s="3">
        <v>1500</v>
      </c>
      <c r="FM234" s="3">
        <v>8</v>
      </c>
      <c r="FN234" s="3" t="s">
        <v>244</v>
      </c>
      <c r="FO234" s="3">
        <v>10</v>
      </c>
      <c r="FQ234" s="3" t="str">
        <f>IF(EP234="R",IF(EQ234&lt;&gt;"EWP",ER234,"rifles"),"")</f>
        <v>rifles</v>
      </c>
      <c r="FR234" s="3" t="s">
        <v>1111</v>
      </c>
      <c r="FS234" s="8" t="s">
        <v>1113</v>
      </c>
      <c r="GH234" s="854"/>
      <c r="IC234" s="1540" t="str">
        <f t="shared" si="41"/>
        <v/>
      </c>
      <c r="ID234" s="1540" t="str">
        <f t="shared" si="39"/>
        <v>Atlatl;Blastsword;Amphistaff (spit);Aurial blaster;Blast cannon;Bowcaster;</v>
      </c>
    </row>
    <row r="235" spans="13:238">
      <c r="M235" s="4"/>
      <c r="N235" s="4"/>
      <c r="O235" s="4"/>
      <c r="P235" s="4"/>
      <c r="Q235" s="4"/>
      <c r="R235" s="4"/>
      <c r="EN235" s="1323" t="s">
        <v>2201</v>
      </c>
      <c r="EO235" s="3" t="s">
        <v>2159</v>
      </c>
      <c r="EP235" s="3" t="s">
        <v>204</v>
      </c>
      <c r="EQ235" s="3" t="s">
        <v>200</v>
      </c>
      <c r="ER235" s="3" t="s">
        <v>2202</v>
      </c>
      <c r="ES235" s="19" t="s">
        <v>274</v>
      </c>
      <c r="EV235" s="19" t="s">
        <v>2203</v>
      </c>
      <c r="EX235" s="19" t="s">
        <v>3717</v>
      </c>
      <c r="EZ235" s="3" t="s">
        <v>242</v>
      </c>
      <c r="FA235" s="3" t="s">
        <v>779</v>
      </c>
      <c r="FC235" s="3" t="s">
        <v>2177</v>
      </c>
      <c r="FL235" s="3">
        <v>1900</v>
      </c>
      <c r="FM235" s="3">
        <v>0.5</v>
      </c>
      <c r="FN235" s="3" t="s">
        <v>2204</v>
      </c>
      <c r="FO235" s="3">
        <v>6</v>
      </c>
      <c r="FP235" s="3">
        <v>1</v>
      </c>
      <c r="FQ235" s="3" t="str">
        <f>IF(EP235="R",IF(EQ235&lt;&gt;"EWP",ER235,"pistols"),"")</f>
        <v>pistols</v>
      </c>
      <c r="FR235" s="3" t="s">
        <v>2202</v>
      </c>
      <c r="FS235" s="8" t="s">
        <v>2205</v>
      </c>
      <c r="GH235" s="1086"/>
      <c r="IC235" s="1540" t="str">
        <f t="shared" si="41"/>
        <v/>
      </c>
      <c r="ID235" s="1540" t="str">
        <f t="shared" si="39"/>
        <v>Atlatl;Blastsword;Amphistaff (spit);Aurial blaster;Blast cannon;Bowcaster;</v>
      </c>
    </row>
    <row r="236" spans="13:238">
      <c r="M236" s="4"/>
      <c r="N236" s="4"/>
      <c r="O236" s="4"/>
      <c r="P236" s="4"/>
      <c r="Q236" s="4"/>
      <c r="R236" s="4"/>
      <c r="EN236" s="1323" t="s">
        <v>1336</v>
      </c>
      <c r="EO236" s="3" t="s">
        <v>169</v>
      </c>
      <c r="EP236" s="3" t="s">
        <v>204</v>
      </c>
      <c r="EQ236" s="3" t="s">
        <v>200</v>
      </c>
      <c r="ER236" s="3" t="s">
        <v>1336</v>
      </c>
      <c r="ES236" s="19" t="s">
        <v>201</v>
      </c>
      <c r="EV236" s="19" t="s">
        <v>1337</v>
      </c>
      <c r="EX236" s="19" t="s">
        <v>3717</v>
      </c>
      <c r="EZ236" s="3" t="s">
        <v>497</v>
      </c>
      <c r="FA236" s="3" t="s">
        <v>204</v>
      </c>
      <c r="FL236" s="3">
        <v>5000</v>
      </c>
      <c r="FM236" s="3">
        <v>4.5</v>
      </c>
      <c r="FN236" s="3" t="s">
        <v>424</v>
      </c>
      <c r="FO236" s="3">
        <v>5</v>
      </c>
      <c r="FQ236" s="3" t="str">
        <f>IF(EP236="R",IF(EQ236&lt;&gt;"EWP",ER236,"pistols"),"")</f>
        <v>pistols</v>
      </c>
      <c r="FR236" s="3" t="s">
        <v>1338</v>
      </c>
      <c r="FS236" s="8" t="s">
        <v>1339</v>
      </c>
      <c r="GH236" s="854"/>
      <c r="IC236" s="1540" t="str">
        <f t="shared" si="41"/>
        <v/>
      </c>
      <c r="ID236" s="1540" t="str">
        <f t="shared" si="39"/>
        <v>Atlatl;Blastsword;Amphistaff (spit);Aurial blaster;Blast cannon;Bowcaster;</v>
      </c>
    </row>
    <row r="237" spans="13:238">
      <c r="M237" s="4"/>
      <c r="N237" s="4"/>
      <c r="O237" s="4"/>
      <c r="P237" s="4"/>
      <c r="Q237" s="4"/>
      <c r="R237" s="4"/>
      <c r="EN237" s="1323" t="s">
        <v>4288</v>
      </c>
      <c r="EO237" s="3" t="s">
        <v>3800</v>
      </c>
      <c r="EP237" s="3" t="s">
        <v>204</v>
      </c>
      <c r="EQ237" s="569" t="s">
        <v>200</v>
      </c>
      <c r="ER237" s="569" t="s">
        <v>4288</v>
      </c>
      <c r="ES237" s="19" t="s">
        <v>274</v>
      </c>
      <c r="EZ237" s="569" t="s">
        <v>357</v>
      </c>
      <c r="FA237" s="3" t="s">
        <v>3718</v>
      </c>
      <c r="FB237" s="3" t="s">
        <v>118</v>
      </c>
      <c r="FD237" s="3">
        <v>2</v>
      </c>
      <c r="FE237" s="3">
        <v>8</v>
      </c>
      <c r="FL237" s="569">
        <v>2000</v>
      </c>
      <c r="FM237" s="569">
        <v>1.25</v>
      </c>
      <c r="FR237" s="569" t="s">
        <v>4307</v>
      </c>
      <c r="FS237" s="8" t="str">
        <f>FR237&amp;"s"</f>
        <v>R-9 flash canisters</v>
      </c>
      <c r="GH237" s="1086"/>
      <c r="IC237" s="1540" t="str">
        <f t="shared" si="41"/>
        <v/>
      </c>
      <c r="ID237" s="1540" t="str">
        <f t="shared" si="39"/>
        <v>Atlatl;Blastsword;Amphistaff (spit);Aurial blaster;Blast cannon;Bowcaster;</v>
      </c>
    </row>
    <row r="238" spans="13:238">
      <c r="M238" s="4"/>
      <c r="N238" s="4"/>
      <c r="O238" s="4"/>
      <c r="P238" s="4"/>
      <c r="Q238" s="4"/>
      <c r="R238" s="4"/>
      <c r="EN238" s="1323" t="s">
        <v>1414</v>
      </c>
      <c r="EO238" s="3" t="s">
        <v>155</v>
      </c>
      <c r="EP238" s="3" t="s">
        <v>204</v>
      </c>
      <c r="EQ238" s="3" t="s">
        <v>200</v>
      </c>
      <c r="ER238" s="3" t="s">
        <v>1414</v>
      </c>
      <c r="ES238" s="19" t="s">
        <v>149</v>
      </c>
      <c r="EX238" s="19" t="s">
        <v>3717</v>
      </c>
      <c r="EZ238" s="3" t="s">
        <v>1416</v>
      </c>
      <c r="FA238" s="3" t="s">
        <v>160</v>
      </c>
      <c r="FC238" s="3" t="s">
        <v>1417</v>
      </c>
      <c r="FD238" s="3">
        <v>3</v>
      </c>
      <c r="FE238" s="3">
        <v>6</v>
      </c>
      <c r="FL238" s="3">
        <v>1000</v>
      </c>
      <c r="FM238" s="3">
        <v>7</v>
      </c>
      <c r="FN238" s="3" t="s">
        <v>326</v>
      </c>
      <c r="FO238" s="3">
        <v>5</v>
      </c>
      <c r="FQ238" s="3" t="s">
        <v>3771</v>
      </c>
      <c r="FR238" s="3" t="s">
        <v>1415</v>
      </c>
      <c r="FS238" s="8" t="s">
        <v>1418</v>
      </c>
      <c r="GH238" s="854"/>
      <c r="IC238" s="1540" t="str">
        <f t="shared" ref="IC238:IC247" si="42">IF(EQ266="EWP",EN266&amp;";","")</f>
        <v/>
      </c>
      <c r="ID238" s="1540" t="str">
        <f t="shared" si="39"/>
        <v>Atlatl;Blastsword;Amphistaff (spit);Aurial blaster;Blast cannon;Bowcaster;</v>
      </c>
    </row>
    <row r="239" spans="13:238">
      <c r="M239" s="4"/>
      <c r="N239" s="4"/>
      <c r="O239" s="4"/>
      <c r="P239" s="4"/>
      <c r="Q239" s="4"/>
      <c r="R239" s="4"/>
      <c r="EN239" s="1323" t="s">
        <v>1576</v>
      </c>
      <c r="EO239" s="3" t="s">
        <v>173</v>
      </c>
      <c r="EP239" s="3" t="s">
        <v>204</v>
      </c>
      <c r="EQ239" s="3" t="s">
        <v>200</v>
      </c>
      <c r="ER239" s="3" t="s">
        <v>1577</v>
      </c>
      <c r="ES239" s="19" t="s">
        <v>201</v>
      </c>
      <c r="EX239" s="19" t="s">
        <v>3717</v>
      </c>
      <c r="EZ239" s="3" t="s">
        <v>203</v>
      </c>
      <c r="FA239" s="3" t="s">
        <v>3718</v>
      </c>
      <c r="FB239" s="3" t="s">
        <v>118</v>
      </c>
      <c r="FD239" s="3">
        <v>3</v>
      </c>
      <c r="FE239" s="3">
        <v>4</v>
      </c>
      <c r="FJ239" s="3" t="s">
        <v>499</v>
      </c>
      <c r="FL239" s="3">
        <v>250</v>
      </c>
      <c r="FM239" s="3">
        <v>9.8000000000000007</v>
      </c>
      <c r="FN239" s="3" t="s">
        <v>1578</v>
      </c>
      <c r="FO239" s="3">
        <v>5</v>
      </c>
      <c r="FQ239" s="3" t="str">
        <f>IF(EP239="R",IF(EQ239&lt;&gt;"EWP",ER239,"simple"),"")</f>
        <v>simple</v>
      </c>
      <c r="FR239" s="3" t="s">
        <v>1579</v>
      </c>
      <c r="FS239" s="8" t="s">
        <v>1580</v>
      </c>
      <c r="GH239" s="854"/>
      <c r="IC239" s="1540" t="str">
        <f t="shared" si="42"/>
        <v/>
      </c>
      <c r="ID239" s="1540" t="str">
        <f t="shared" si="39"/>
        <v>Atlatl;Blastsword;Amphistaff (spit);Aurial blaster;Blast cannon;Bowcaster;</v>
      </c>
    </row>
    <row r="240" spans="13:238">
      <c r="M240" s="4"/>
      <c r="N240" s="4"/>
      <c r="O240" s="4"/>
      <c r="P240" s="4"/>
      <c r="Q240" s="4"/>
      <c r="R240" s="4"/>
      <c r="EN240" s="1323" t="s">
        <v>1589</v>
      </c>
      <c r="EO240" s="3" t="s">
        <v>173</v>
      </c>
      <c r="EP240" s="3" t="s">
        <v>204</v>
      </c>
      <c r="EQ240" s="3" t="s">
        <v>200</v>
      </c>
      <c r="ER240" s="3" t="s">
        <v>1589</v>
      </c>
      <c r="ES240" s="19" t="s">
        <v>149</v>
      </c>
      <c r="EX240" s="19" t="s">
        <v>3717</v>
      </c>
      <c r="EZ240" s="3" t="s">
        <v>203</v>
      </c>
      <c r="FA240" s="3" t="s">
        <v>3718</v>
      </c>
      <c r="FB240" s="3" t="s">
        <v>118</v>
      </c>
      <c r="FD240" s="3">
        <v>3</v>
      </c>
      <c r="FE240" s="3">
        <v>4</v>
      </c>
      <c r="FJ240" s="3" t="s">
        <v>499</v>
      </c>
      <c r="FL240" s="3">
        <v>4000</v>
      </c>
      <c r="FM240" s="3">
        <v>5.8</v>
      </c>
      <c r="FN240" s="3" t="s">
        <v>1578</v>
      </c>
      <c r="FO240" s="3">
        <v>1</v>
      </c>
      <c r="FQ240" s="3" t="str">
        <f>IF(EP240="R",IF(EQ240&lt;&gt;"EWP",ER240,"simple"),"")</f>
        <v>simple</v>
      </c>
      <c r="FR240" s="3" t="s">
        <v>1590</v>
      </c>
      <c r="FS240" s="8" t="s">
        <v>1591</v>
      </c>
      <c r="GH240" s="1086"/>
      <c r="IC240" s="1540" t="str">
        <f t="shared" si="42"/>
        <v/>
      </c>
      <c r="ID240" s="1540" t="str">
        <f t="shared" si="39"/>
        <v>Atlatl;Blastsword;Amphistaff (spit);Aurial blaster;Blast cannon;Bowcaster;</v>
      </c>
    </row>
    <row r="241" spans="10:261">
      <c r="M241" s="4"/>
      <c r="N241" s="4"/>
      <c r="O241" s="4"/>
      <c r="P241" s="4"/>
      <c r="Q241" s="4"/>
      <c r="R241" s="4"/>
      <c r="EN241" s="1323" t="s">
        <v>8097</v>
      </c>
      <c r="EO241" s="569" t="s">
        <v>7946</v>
      </c>
      <c r="EP241" s="569" t="s">
        <v>204</v>
      </c>
      <c r="EQ241" s="1552" t="s">
        <v>200</v>
      </c>
      <c r="ER241" s="1552" t="s">
        <v>8097</v>
      </c>
      <c r="ES241" s="1552" t="s">
        <v>149</v>
      </c>
      <c r="EV241" s="1552"/>
      <c r="EX241" s="1552" t="s">
        <v>3717</v>
      </c>
      <c r="EZ241" s="1552" t="s">
        <v>242</v>
      </c>
      <c r="FA241" s="1552" t="s">
        <v>204</v>
      </c>
      <c r="FB241" s="1552"/>
      <c r="FC241" s="3" t="s">
        <v>8109</v>
      </c>
      <c r="FD241" s="1552">
        <v>3</v>
      </c>
      <c r="FE241" s="1552">
        <v>8</v>
      </c>
      <c r="FJ241" s="3" t="s">
        <v>587</v>
      </c>
      <c r="FL241" s="1552">
        <v>2000</v>
      </c>
      <c r="FM241" s="1552">
        <v>4</v>
      </c>
      <c r="FN241" s="569" t="s">
        <v>8105</v>
      </c>
      <c r="FO241" s="3">
        <v>10</v>
      </c>
      <c r="FP241" s="569">
        <v>1</v>
      </c>
      <c r="FQ241" s="3" t="s">
        <v>563</v>
      </c>
      <c r="FR241" s="3" t="s">
        <v>8097</v>
      </c>
      <c r="FS241" s="8" t="str">
        <f>FR241&amp;"s"</f>
        <v>Magna casters</v>
      </c>
      <c r="GH241" s="854"/>
      <c r="IC241" s="1540" t="str">
        <f t="shared" si="42"/>
        <v/>
      </c>
      <c r="ID241" s="1540" t="str">
        <f t="shared" si="39"/>
        <v>Atlatl;Blastsword;Amphistaff (spit);Aurial blaster;Blast cannon;Bowcaster;</v>
      </c>
    </row>
    <row r="242" spans="10:261">
      <c r="M242" s="4"/>
      <c r="N242" s="4"/>
      <c r="O242" s="4"/>
      <c r="P242" s="4"/>
      <c r="Q242" s="4"/>
      <c r="R242" s="4"/>
      <c r="EN242" s="1323" t="s">
        <v>1785</v>
      </c>
      <c r="EO242" s="3" t="s">
        <v>169</v>
      </c>
      <c r="EP242" s="3" t="s">
        <v>204</v>
      </c>
      <c r="EQ242" s="3" t="s">
        <v>200</v>
      </c>
      <c r="ER242" s="3" t="s">
        <v>1785</v>
      </c>
      <c r="ES242" s="19" t="s">
        <v>149</v>
      </c>
      <c r="EX242" s="19" t="s">
        <v>3717</v>
      </c>
      <c r="EZ242" s="3" t="s">
        <v>242</v>
      </c>
      <c r="FA242" s="3" t="s">
        <v>779</v>
      </c>
      <c r="FD242" s="3">
        <v>1</v>
      </c>
      <c r="FE242" s="3">
        <v>6</v>
      </c>
      <c r="FJ242" s="3" t="s">
        <v>499</v>
      </c>
      <c r="FL242" s="3">
        <v>4200</v>
      </c>
      <c r="FM242" s="3">
        <v>1</v>
      </c>
      <c r="FQ242" s="3" t="str">
        <f>IF(EP242="R",IF(EQ242&lt;&gt;"EWP",ER242,"pistols"),"")</f>
        <v>pistols</v>
      </c>
      <c r="FR242" s="3" t="s">
        <v>1786</v>
      </c>
      <c r="FS242" s="8" t="s">
        <v>1787</v>
      </c>
      <c r="GH242" s="854"/>
      <c r="IC242" s="1540" t="str">
        <f t="shared" si="42"/>
        <v/>
      </c>
      <c r="ID242" s="1540" t="str">
        <f t="shared" si="39"/>
        <v>Atlatl;Blastsword;Amphistaff (spit);Aurial blaster;Blast cannon;Bowcaster;</v>
      </c>
    </row>
    <row r="243" spans="10:261">
      <c r="M243" s="4"/>
      <c r="N243" s="4"/>
      <c r="O243" s="4"/>
      <c r="P243" s="4"/>
      <c r="Q243" s="4"/>
      <c r="R243" s="4"/>
      <c r="EN243" s="1323" t="s">
        <v>1816</v>
      </c>
      <c r="EO243" s="3" t="s">
        <v>169</v>
      </c>
      <c r="EP243" s="3" t="s">
        <v>204</v>
      </c>
      <c r="EQ243" s="3" t="s">
        <v>200</v>
      </c>
      <c r="ER243" s="3" t="s">
        <v>1816</v>
      </c>
      <c r="ES243" s="19" t="s">
        <v>149</v>
      </c>
      <c r="EX243" s="19" t="s">
        <v>3717</v>
      </c>
      <c r="EZ243" s="3" t="s">
        <v>497</v>
      </c>
      <c r="FA243" s="3" t="s">
        <v>779</v>
      </c>
      <c r="FC243" s="3" t="s">
        <v>1817</v>
      </c>
      <c r="FD243" s="3">
        <v>2</v>
      </c>
      <c r="FE243" s="3">
        <v>8</v>
      </c>
      <c r="FL243" s="3">
        <v>5000</v>
      </c>
      <c r="FM243" s="3">
        <v>25</v>
      </c>
      <c r="FN243" s="3" t="s">
        <v>424</v>
      </c>
      <c r="FO243" s="3">
        <v>5</v>
      </c>
      <c r="FQ243" s="3" t="str">
        <f>IF(EP243="R",IF(EQ243&lt;&gt;"EWP",ER243,"rifles"),"")</f>
        <v>rifles</v>
      </c>
      <c r="FR243" s="3" t="s">
        <v>1818</v>
      </c>
      <c r="FS243" s="8" t="s">
        <v>1819</v>
      </c>
      <c r="GH243" s="854"/>
      <c r="IC243" s="1540" t="str">
        <f t="shared" si="42"/>
        <v/>
      </c>
      <c r="ID243" s="1540" t="str">
        <f t="shared" si="39"/>
        <v>Atlatl;Blastsword;Amphistaff (spit);Aurial blaster;Blast cannon;Bowcaster;</v>
      </c>
    </row>
    <row r="244" spans="10:261">
      <c r="M244" s="4"/>
      <c r="N244" s="4"/>
      <c r="O244" s="4"/>
      <c r="P244" s="4"/>
      <c r="Q244" s="4"/>
      <c r="R244" s="4"/>
      <c r="EN244" s="1332" t="s">
        <v>6505</v>
      </c>
      <c r="EO244" s="569" t="s">
        <v>6222</v>
      </c>
      <c r="EP244" s="569" t="s">
        <v>204</v>
      </c>
      <c r="EQ244" s="569" t="str">
        <f>IF(Talents!$M$680&gt;0,"WP","EWP")</f>
        <v>EWP</v>
      </c>
      <c r="ER244" s="569" t="str">
        <f>IF(Talents!$M$680&gt;0,"rifles","Siang lance")</f>
        <v>Siang lance</v>
      </c>
      <c r="ES244" s="1085" t="s">
        <v>149</v>
      </c>
      <c r="ET244" s="3"/>
      <c r="EU244" s="3"/>
      <c r="EV244" s="3" t="s">
        <v>202</v>
      </c>
      <c r="EW244" s="3"/>
      <c r="EX244" s="3" t="s">
        <v>3717</v>
      </c>
      <c r="EY244" s="3"/>
      <c r="EZ244" s="3" t="s">
        <v>497</v>
      </c>
      <c r="FA244" s="3" t="s">
        <v>779</v>
      </c>
      <c r="FB244" s="3" t="s">
        <v>118</v>
      </c>
      <c r="FD244" s="3">
        <v>3</v>
      </c>
      <c r="FE244" s="3">
        <v>8</v>
      </c>
      <c r="FJ244" s="3" t="s">
        <v>587</v>
      </c>
      <c r="FL244" s="569">
        <v>2000</v>
      </c>
      <c r="FM244" s="569">
        <v>4</v>
      </c>
      <c r="FN244" s="3" t="s">
        <v>424</v>
      </c>
      <c r="FO244" s="3">
        <v>100</v>
      </c>
      <c r="FP244" s="3">
        <v>1</v>
      </c>
      <c r="FQ244" s="3" t="s">
        <v>531</v>
      </c>
      <c r="FR244" s="3" t="str">
        <f>LOWER(EN244)</f>
        <v>siang lance</v>
      </c>
      <c r="FS244" s="8" t="str">
        <f>FR244&amp;"s"</f>
        <v>siang lances</v>
      </c>
      <c r="IC244" s="1540" t="str">
        <f t="shared" si="42"/>
        <v/>
      </c>
      <c r="ID244" s="1540" t="str">
        <f t="shared" si="39"/>
        <v>Atlatl;Blastsword;Amphistaff (spit);Aurial blaster;Blast cannon;Bowcaster;</v>
      </c>
    </row>
    <row r="245" spans="10:261">
      <c r="M245" s="4"/>
      <c r="N245" s="4"/>
      <c r="O245" s="4"/>
      <c r="P245" s="4"/>
      <c r="Q245" s="4"/>
      <c r="R245" s="4"/>
      <c r="EN245" s="1323" t="s">
        <v>7966</v>
      </c>
      <c r="EO245" s="569" t="s">
        <v>7946</v>
      </c>
      <c r="EP245" s="569" t="s">
        <v>204</v>
      </c>
      <c r="EQ245" s="1552" t="s">
        <v>200</v>
      </c>
      <c r="ER245" s="1552" t="s">
        <v>7966</v>
      </c>
      <c r="ES245" s="1552" t="s">
        <v>149</v>
      </c>
      <c r="EV245" s="1552"/>
      <c r="EX245" s="1552" t="s">
        <v>3717</v>
      </c>
      <c r="EZ245" s="1552" t="s">
        <v>497</v>
      </c>
      <c r="FA245" s="1552" t="s">
        <v>204</v>
      </c>
      <c r="FB245" s="1552" t="s">
        <v>118</v>
      </c>
      <c r="FC245" s="3" t="s">
        <v>8113</v>
      </c>
      <c r="FD245" s="1552">
        <v>3</v>
      </c>
      <c r="FE245" s="1552">
        <v>8</v>
      </c>
      <c r="FL245" s="1552">
        <v>10000</v>
      </c>
      <c r="FM245" s="1552">
        <v>7.2</v>
      </c>
      <c r="FN245" s="569" t="s">
        <v>424</v>
      </c>
      <c r="FO245" s="3">
        <v>15</v>
      </c>
      <c r="FP245" s="569">
        <v>1</v>
      </c>
      <c r="FQ245" s="3" t="s">
        <v>531</v>
      </c>
      <c r="FR245" s="3" t="s">
        <v>7966</v>
      </c>
      <c r="FS245" s="8" t="str">
        <f>FR245&amp;"s"</f>
        <v>Squib tensor rifles</v>
      </c>
      <c r="IC245" s="1540" t="str">
        <f t="shared" si="42"/>
        <v/>
      </c>
      <c r="ID245" s="1540" t="str">
        <f t="shared" si="39"/>
        <v>Atlatl;Blastsword;Amphistaff (spit);Aurial blaster;Blast cannon;Bowcaster;</v>
      </c>
    </row>
    <row r="246" spans="10:261">
      <c r="M246" s="4"/>
      <c r="N246" s="4"/>
      <c r="O246" s="4"/>
      <c r="P246" s="4"/>
      <c r="Q246" s="4"/>
      <c r="R246" s="4"/>
      <c r="EN246" s="1323" t="s">
        <v>8031</v>
      </c>
      <c r="EO246" s="569" t="s">
        <v>7946</v>
      </c>
      <c r="EP246" s="569" t="s">
        <v>204</v>
      </c>
      <c r="EQ246" s="1552" t="s">
        <v>200</v>
      </c>
      <c r="ER246" s="1552" t="s">
        <v>8031</v>
      </c>
      <c r="ES246" s="1552" t="s">
        <v>149</v>
      </c>
      <c r="EV246" s="1552"/>
      <c r="EX246" s="1552" t="s">
        <v>3717</v>
      </c>
      <c r="EZ246" s="1552" t="s">
        <v>497</v>
      </c>
      <c r="FA246" s="1552" t="s">
        <v>779</v>
      </c>
      <c r="FB246" s="1552" t="s">
        <v>118</v>
      </c>
      <c r="FC246" s="612" t="s">
        <v>8116</v>
      </c>
      <c r="FD246" s="1552">
        <v>3</v>
      </c>
      <c r="FE246" s="1552">
        <v>10</v>
      </c>
      <c r="FJ246" s="3" t="s">
        <v>587</v>
      </c>
      <c r="FL246" s="1552">
        <v>15000</v>
      </c>
      <c r="FM246" s="1552">
        <v>1</v>
      </c>
      <c r="FN246" s="569" t="s">
        <v>8117</v>
      </c>
      <c r="FO246" s="3">
        <v>50</v>
      </c>
      <c r="FP246" s="569">
        <v>1</v>
      </c>
      <c r="FQ246" s="3" t="s">
        <v>563</v>
      </c>
      <c r="FR246" s="3" t="s">
        <v>8031</v>
      </c>
      <c r="FS246" s="8" t="str">
        <f>FR246&amp;"s"</f>
        <v>Verpine shatter guns</v>
      </c>
      <c r="IC246" s="1540" t="str">
        <f t="shared" si="42"/>
        <v/>
      </c>
      <c r="ID246" s="1540" t="str">
        <f t="shared" si="39"/>
        <v>Atlatl;Blastsword;Amphistaff (spit);Aurial blaster;Blast cannon;Bowcaster;</v>
      </c>
    </row>
    <row r="247" spans="10:261">
      <c r="M247" s="4"/>
      <c r="N247" s="4"/>
      <c r="O247" s="4"/>
      <c r="P247" s="4"/>
      <c r="Q247" s="4"/>
      <c r="R247" s="4"/>
      <c r="EN247" s="1323" t="s">
        <v>2017</v>
      </c>
      <c r="EO247" s="3" t="s">
        <v>530</v>
      </c>
      <c r="EP247" s="3" t="s">
        <v>204</v>
      </c>
      <c r="EQ247" s="3" t="s">
        <v>200</v>
      </c>
      <c r="ER247" s="3" t="s">
        <v>2017</v>
      </c>
      <c r="ES247" s="19" t="s">
        <v>274</v>
      </c>
      <c r="EX247" s="19" t="s">
        <v>3717</v>
      </c>
      <c r="EZ247" s="3" t="s">
        <v>203</v>
      </c>
      <c r="FA247" s="3" t="s">
        <v>204</v>
      </c>
      <c r="FL247" s="3">
        <v>2500</v>
      </c>
      <c r="FM247" s="3">
        <v>1</v>
      </c>
      <c r="FQ247" s="3" t="str">
        <f>IF(EP247="R",IF(EQ247&lt;&gt;"EWP",ER247,"pistols"),"")</f>
        <v>pistols</v>
      </c>
      <c r="FR247" s="3" t="s">
        <v>2018</v>
      </c>
      <c r="FS247" s="8" t="s">
        <v>2019</v>
      </c>
      <c r="IC247" s="1540" t="str">
        <f t="shared" si="42"/>
        <v/>
      </c>
      <c r="ID247" s="1540" t="str">
        <f t="shared" si="39"/>
        <v>Atlatl;Blastsword;Amphistaff (spit);Aurial blaster;Blast cannon;Bowcaster;</v>
      </c>
    </row>
    <row r="248" spans="10:261">
      <c r="EN248" s="1323" t="s">
        <v>8062</v>
      </c>
      <c r="EO248" s="3" t="s">
        <v>7183</v>
      </c>
      <c r="EP248" s="3" t="s">
        <v>204</v>
      </c>
      <c r="EQ248" s="569" t="s">
        <v>200</v>
      </c>
      <c r="ER248" s="3" t="s">
        <v>8062</v>
      </c>
      <c r="ES248" s="19" t="s">
        <v>149</v>
      </c>
      <c r="EX248" s="19" t="s">
        <v>3717</v>
      </c>
      <c r="EZ248" s="3" t="s">
        <v>497</v>
      </c>
      <c r="FA248" s="3" t="s">
        <v>779</v>
      </c>
      <c r="FC248" s="569" t="s">
        <v>8066</v>
      </c>
      <c r="FD248" s="3">
        <v>3</v>
      </c>
      <c r="FE248" s="3">
        <v>6</v>
      </c>
      <c r="FL248" s="1552">
        <v>1500</v>
      </c>
      <c r="FM248" s="1552">
        <v>4.5</v>
      </c>
      <c r="FN248" s="3" t="s">
        <v>8075</v>
      </c>
      <c r="FO248" s="3">
        <v>5</v>
      </c>
      <c r="FP248" s="569">
        <v>1</v>
      </c>
      <c r="FQ248" s="3" t="s">
        <v>531</v>
      </c>
      <c r="FR248" s="3" t="s">
        <v>8062</v>
      </c>
      <c r="FS248" s="8" t="str">
        <f>FR248&amp;"s"</f>
        <v>Xerrol nightstingers</v>
      </c>
      <c r="IC248" s="1540" t="str">
        <f>IF(EQ93="EWP",EN93&amp;";","")</f>
        <v>Atlatl;</v>
      </c>
      <c r="ID248" s="1540" t="str">
        <f t="shared" si="39"/>
        <v>Atlatl;Blastsword;Amphistaff (spit);Aurial blaster;Blast cannon;Bowcaster;</v>
      </c>
    </row>
    <row r="249" spans="10:261">
      <c r="EN249" s="1331" t="s">
        <v>6529</v>
      </c>
      <c r="IC249" s="1540" t="str">
        <f>IF(EQ94="EWP",EN94&amp;";","")</f>
        <v>Blastsword;</v>
      </c>
      <c r="ID249" s="1540" t="str">
        <f t="shared" si="39"/>
        <v>Blastsword;Amphistaff (spit);Aurial blaster;Blast cannon;Bowcaster;</v>
      </c>
    </row>
    <row r="250" spans="10:261">
      <c r="EN250" s="1323" t="s">
        <v>1674</v>
      </c>
      <c r="EO250" s="3" t="s">
        <v>272</v>
      </c>
      <c r="FA250" s="3" t="s">
        <v>3718</v>
      </c>
      <c r="FD250" s="3">
        <v>10</v>
      </c>
      <c r="FE250" s="3">
        <v>6</v>
      </c>
      <c r="FL250" s="3">
        <v>1500</v>
      </c>
      <c r="FM250" s="3">
        <v>0.5</v>
      </c>
      <c r="FQ250" s="3" t="str">
        <f t="shared" ref="FQ250:FQ256" si="43">IF(EP250="R",IF(EQ250&lt;&gt;"EWP",ER250,"pistols"),"")</f>
        <v/>
      </c>
      <c r="FR250" s="3" t="s">
        <v>1675</v>
      </c>
      <c r="FS250" s="8" t="s">
        <v>1676</v>
      </c>
      <c r="IC250" s="1540" t="str">
        <f>IF(EQ8="EWP",EN8&amp;";","")</f>
        <v/>
      </c>
      <c r="ID250" s="1540" t="str">
        <f t="shared" si="39"/>
        <v>Amphistaff (spit);Aurial blaster;Blast cannon;Bowcaster;</v>
      </c>
    </row>
    <row r="251" spans="10:261">
      <c r="EN251" s="1323" t="s">
        <v>1683</v>
      </c>
      <c r="EO251" s="3" t="s">
        <v>482</v>
      </c>
      <c r="FA251" s="3" t="s">
        <v>3718</v>
      </c>
      <c r="FL251" s="3">
        <v>2000</v>
      </c>
      <c r="FM251" s="3">
        <v>1.5</v>
      </c>
      <c r="FQ251" s="3" t="str">
        <f t="shared" si="43"/>
        <v/>
      </c>
      <c r="FR251" s="3" t="s">
        <v>1684</v>
      </c>
      <c r="FS251" s="8" t="s">
        <v>1685</v>
      </c>
      <c r="IC251" s="1540" t="str">
        <f>IF(EQ68="EWP",EN68&amp;";","")</f>
        <v/>
      </c>
      <c r="ID251" s="1540" t="str">
        <f t="shared" si="39"/>
        <v>Amphistaff (spit);Aurial blaster;Blast cannon;Bowcaster;</v>
      </c>
    </row>
    <row r="252" spans="10:261">
      <c r="EN252" s="1323" t="s">
        <v>1689</v>
      </c>
      <c r="EO252" s="3" t="s">
        <v>272</v>
      </c>
      <c r="FA252" s="3" t="s">
        <v>3718</v>
      </c>
      <c r="FD252" s="3">
        <v>8</v>
      </c>
      <c r="FE252" s="3">
        <v>6</v>
      </c>
      <c r="FL252" s="3">
        <v>1200</v>
      </c>
      <c r="FM252" s="3">
        <v>0.5</v>
      </c>
      <c r="FQ252" s="3" t="str">
        <f t="shared" si="43"/>
        <v/>
      </c>
      <c r="FR252" s="3" t="s">
        <v>1690</v>
      </c>
      <c r="FS252" s="8" t="s">
        <v>1691</v>
      </c>
      <c r="IC252" s="1552" t="str">
        <f>IF(EQ69="EWP",EN69&amp;";","")</f>
        <v/>
      </c>
      <c r="ID252" s="1540" t="str">
        <f t="shared" si="39"/>
        <v>Amphistaff (spit);Aurial blaster;Blast cannon;Bowcaster;</v>
      </c>
    </row>
    <row r="253" spans="10:261">
      <c r="EN253" s="1323" t="s">
        <v>1696</v>
      </c>
      <c r="EO253" s="3" t="s">
        <v>482</v>
      </c>
      <c r="FA253" s="3" t="s">
        <v>3718</v>
      </c>
      <c r="FD253" s="3">
        <v>6</v>
      </c>
      <c r="FE253" s="3">
        <v>6</v>
      </c>
      <c r="FL253" s="3">
        <v>750</v>
      </c>
      <c r="FM253" s="3">
        <v>1</v>
      </c>
      <c r="FQ253" s="3" t="str">
        <f t="shared" si="43"/>
        <v/>
      </c>
      <c r="FR253" s="3" t="s">
        <v>1697</v>
      </c>
      <c r="FS253" s="8" t="s">
        <v>1698</v>
      </c>
      <c r="IC253" s="1552" t="str">
        <f>IF(EQ231="EWP",EN231&amp;";","")</f>
        <v>Amphistaff (spit);</v>
      </c>
      <c r="ID253" s="1540" t="str">
        <f t="shared" si="39"/>
        <v>Amphistaff (spit);Aurial blaster;Blast cannon;Bowcaster;</v>
      </c>
    </row>
    <row r="254" spans="10:261">
      <c r="EN254" s="1323" t="s">
        <v>1702</v>
      </c>
      <c r="EO254" s="3" t="s">
        <v>272</v>
      </c>
      <c r="FA254" s="3" t="s">
        <v>3718</v>
      </c>
      <c r="FD254" s="3">
        <v>8</v>
      </c>
      <c r="FE254" s="3">
        <v>6</v>
      </c>
      <c r="FF254" s="3">
        <v>0</v>
      </c>
      <c r="FL254" s="3">
        <v>500</v>
      </c>
      <c r="FM254" s="3">
        <v>0.5</v>
      </c>
      <c r="FQ254" s="3" t="str">
        <f t="shared" si="43"/>
        <v/>
      </c>
      <c r="FR254" s="3" t="s">
        <v>1703</v>
      </c>
      <c r="FS254" s="8" t="s">
        <v>1704</v>
      </c>
      <c r="IC254" s="1552" t="str">
        <f>IF(EQ232="EWP",EN232&amp;";","")</f>
        <v>Aurial blaster;</v>
      </c>
      <c r="ID254" s="1540" t="str">
        <f t="shared" si="39"/>
        <v>Aurial blaster;Blast cannon;Bowcaster;</v>
      </c>
    </row>
    <row r="255" spans="10:261">
      <c r="EN255" s="1323" t="s">
        <v>1709</v>
      </c>
      <c r="EO255" s="3" t="s">
        <v>272</v>
      </c>
      <c r="EZ255" s="3" t="s">
        <v>203</v>
      </c>
      <c r="FA255" s="3" t="s">
        <v>3718</v>
      </c>
      <c r="FD255" s="3">
        <v>8</v>
      </c>
      <c r="FE255" s="3">
        <v>6</v>
      </c>
      <c r="FF255" s="3">
        <v>0</v>
      </c>
      <c r="FL255" s="3">
        <v>700</v>
      </c>
      <c r="FM255" s="3">
        <v>0.5</v>
      </c>
      <c r="FQ255" s="3" t="str">
        <f t="shared" si="43"/>
        <v/>
      </c>
      <c r="FR255" s="3" t="s">
        <v>1710</v>
      </c>
      <c r="FS255" s="8" t="s">
        <v>1711</v>
      </c>
      <c r="IC255" s="1552" t="str">
        <f>IF(EQ233="EWP",EN233&amp;";","")</f>
        <v>Blast cannon;</v>
      </c>
      <c r="ID255" s="1540" t="str">
        <f>IF(IC255&lt;&gt;"",IC255&amp;ID256,ID256)</f>
        <v>Blast cannon;Bowcaster;</v>
      </c>
    </row>
    <row r="256" spans="10:261" s="1704" customFormat="1">
      <c r="J256" s="132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8"/>
      <c r="BP256" s="954"/>
      <c r="BQ256" s="954"/>
      <c r="BR256" s="954"/>
      <c r="BS256" s="954"/>
      <c r="BT256" s="954"/>
      <c r="BU256" s="954"/>
      <c r="BV256" s="1703"/>
      <c r="BW256" s="1323"/>
      <c r="BX256" s="1323"/>
      <c r="BY256" s="19"/>
      <c r="BZ256" s="19"/>
      <c r="CA256" s="19"/>
      <c r="CB256" s="19"/>
      <c r="CC256" s="19"/>
      <c r="CD256" s="19"/>
      <c r="CE256" s="19"/>
      <c r="CF256" s="19"/>
      <c r="CG256" s="19"/>
      <c r="CH256" s="19"/>
      <c r="CI256" s="3"/>
      <c r="CJ256" s="3"/>
      <c r="CK256" s="3"/>
      <c r="CL256" s="3"/>
      <c r="CM256" s="3"/>
      <c r="CN256" s="3"/>
      <c r="CO256" s="3"/>
      <c r="CP256" s="3"/>
      <c r="CQ256" s="3"/>
      <c r="CR256" s="3"/>
      <c r="CS256" s="3"/>
      <c r="CT256" s="3"/>
      <c r="CU256" s="3"/>
      <c r="CV256" s="3"/>
      <c r="CW256" s="3"/>
      <c r="CX256" s="3"/>
      <c r="CY256" s="8"/>
      <c r="CZ256" s="1323"/>
      <c r="DA256" s="14"/>
      <c r="DB256" s="19"/>
      <c r="DC256" s="1323"/>
      <c r="EN256" s="1323" t="s">
        <v>1717</v>
      </c>
      <c r="EO256" s="3" t="s">
        <v>272</v>
      </c>
      <c r="EP256" s="3"/>
      <c r="EQ256" s="3"/>
      <c r="ER256" s="3"/>
      <c r="ES256" s="19"/>
      <c r="ET256" s="19"/>
      <c r="EU256" s="19"/>
      <c r="EV256" s="19"/>
      <c r="EW256" s="19"/>
      <c r="EX256" s="19"/>
      <c r="EY256" s="19"/>
      <c r="EZ256" s="3" t="s">
        <v>203</v>
      </c>
      <c r="FA256" s="3" t="s">
        <v>3718</v>
      </c>
      <c r="FB256" s="3"/>
      <c r="FC256" s="3"/>
      <c r="FD256" s="3">
        <v>6</v>
      </c>
      <c r="FE256" s="3">
        <v>6</v>
      </c>
      <c r="FF256" s="3">
        <v>0</v>
      </c>
      <c r="FG256" s="3"/>
      <c r="FH256" s="3"/>
      <c r="FI256" s="3"/>
      <c r="FJ256" s="3"/>
      <c r="FK256" s="3"/>
      <c r="FL256" s="3">
        <v>1500</v>
      </c>
      <c r="FM256" s="3">
        <v>0.5</v>
      </c>
      <c r="FN256" s="3"/>
      <c r="FO256" s="3"/>
      <c r="FP256" s="3"/>
      <c r="FQ256" s="3" t="str">
        <f t="shared" si="43"/>
        <v/>
      </c>
      <c r="FR256" s="3" t="s">
        <v>1718</v>
      </c>
      <c r="FS256" s="8" t="s">
        <v>1719</v>
      </c>
      <c r="FX256" s="1323"/>
      <c r="FY256" s="3"/>
      <c r="FZ256" s="3"/>
      <c r="GA256" s="3"/>
      <c r="GB256" s="8"/>
      <c r="GC256" s="12"/>
      <c r="GD256" s="3"/>
      <c r="GE256" s="19"/>
      <c r="GF256" s="19"/>
      <c r="GG256" s="19"/>
      <c r="GH256" s="3"/>
      <c r="GI256" s="8"/>
      <c r="GJ256" s="1323"/>
      <c r="GK256" s="3"/>
      <c r="GL256" s="3"/>
      <c r="GM256" s="3"/>
      <c r="GN256" s="3"/>
      <c r="GO256" s="8"/>
      <c r="GP256" s="1323"/>
      <c r="GQ256" s="3"/>
      <c r="GR256" s="3"/>
      <c r="GS256" s="8"/>
      <c r="GT256" s="1323"/>
      <c r="GU256" s="3"/>
      <c r="GV256" s="3"/>
      <c r="GW256" s="3"/>
      <c r="GX256" s="3"/>
      <c r="GY256" s="3"/>
      <c r="GZ256" s="3"/>
      <c r="HA256" s="3"/>
      <c r="HB256" s="3"/>
      <c r="HC256" s="8"/>
      <c r="HD256" s="1323"/>
      <c r="HE256" s="3"/>
      <c r="HF256" s="3"/>
      <c r="HG256" s="3"/>
      <c r="HH256" s="3"/>
      <c r="HI256" s="1323"/>
      <c r="HJ256" s="3"/>
      <c r="HK256" s="3"/>
      <c r="HL256" s="8"/>
      <c r="HM256" s="8"/>
      <c r="HN256" s="1323"/>
      <c r="HO256" s="3"/>
      <c r="HP256" s="3"/>
      <c r="HQ256" s="3"/>
      <c r="HR256" s="3"/>
      <c r="HS256" s="3"/>
      <c r="HT256" s="8"/>
      <c r="HU256" s="1323"/>
      <c r="HV256" s="3"/>
      <c r="HW256" s="3"/>
      <c r="HX256" s="3"/>
      <c r="HY256" s="8"/>
      <c r="IA256" s="1323"/>
      <c r="IB256" s="8"/>
      <c r="IC256" s="1552" t="str">
        <f>IF(EQ234="EWP",EN234&amp;";","")</f>
        <v>Bowcaster;</v>
      </c>
      <c r="ID256" s="1540" t="str">
        <f>IF(IC256&lt;&gt;"",IC256&amp;ID257,ID257)</f>
        <v>Bowcaster;</v>
      </c>
      <c r="IE256"/>
      <c r="IF256"/>
      <c r="IG256"/>
      <c r="IH256"/>
      <c r="II256"/>
      <c r="IJ256"/>
      <c r="IK256"/>
      <c r="IL256"/>
      <c r="IM256"/>
      <c r="IN256"/>
      <c r="IO256"/>
      <c r="IP256"/>
      <c r="IQ256"/>
      <c r="IR256"/>
      <c r="IS256"/>
      <c r="IT256"/>
      <c r="IU256"/>
      <c r="IV256"/>
      <c r="IW256"/>
      <c r="IX256"/>
      <c r="IY256"/>
      <c r="IZ256"/>
      <c r="JA256"/>
    </row>
    <row r="257" spans="10:261" s="1704" customFormat="1">
      <c r="J257" s="132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8"/>
      <c r="BP257" s="954"/>
      <c r="BQ257" s="954"/>
      <c r="BR257" s="954"/>
      <c r="BS257" s="954"/>
      <c r="BT257" s="954"/>
      <c r="BU257" s="954"/>
      <c r="BV257" s="1703"/>
      <c r="BW257" s="1323"/>
      <c r="BX257" s="1323"/>
      <c r="BY257" s="19"/>
      <c r="BZ257" s="19"/>
      <c r="CA257" s="19"/>
      <c r="CB257" s="19"/>
      <c r="CC257" s="19"/>
      <c r="CD257" s="19"/>
      <c r="CE257" s="19"/>
      <c r="CF257" s="19"/>
      <c r="CG257" s="19"/>
      <c r="CH257" s="19"/>
      <c r="CI257" s="3"/>
      <c r="CJ257" s="3"/>
      <c r="CK257" s="3"/>
      <c r="CL257" s="3"/>
      <c r="CM257" s="3"/>
      <c r="CN257" s="3"/>
      <c r="CO257" s="3"/>
      <c r="CP257" s="3"/>
      <c r="CQ257" s="3"/>
      <c r="CR257" s="3"/>
      <c r="CS257" s="3"/>
      <c r="CT257" s="3"/>
      <c r="CU257" s="3"/>
      <c r="CV257" s="3"/>
      <c r="CW257" s="3"/>
      <c r="CX257" s="3"/>
      <c r="CY257" s="8"/>
      <c r="CZ257" s="1323"/>
      <c r="DA257" s="14"/>
      <c r="DB257" s="19"/>
      <c r="DC257" s="1323"/>
      <c r="EN257" s="1331" t="s">
        <v>8860</v>
      </c>
      <c r="EO257" s="3"/>
      <c r="EP257" s="3"/>
      <c r="EQ257" s="3"/>
      <c r="ER257" s="3"/>
      <c r="ES257" s="19"/>
      <c r="ET257" s="19"/>
      <c r="EU257" s="19"/>
      <c r="EV257" s="19"/>
      <c r="EW257" s="19"/>
      <c r="EX257" s="19"/>
      <c r="EY257" s="19"/>
      <c r="EZ257" s="3"/>
      <c r="FA257" s="3"/>
      <c r="FB257" s="3"/>
      <c r="FC257" s="3"/>
      <c r="FD257" s="3"/>
      <c r="FE257" s="3"/>
      <c r="FF257" s="3"/>
      <c r="FG257" s="3"/>
      <c r="FH257" s="3"/>
      <c r="FI257" s="3"/>
      <c r="FJ257" s="3"/>
      <c r="FK257" s="3"/>
      <c r="FL257" s="3"/>
      <c r="FM257" s="3"/>
      <c r="FN257" s="3"/>
      <c r="FO257" s="3"/>
      <c r="FP257" s="3"/>
      <c r="FQ257" s="3"/>
      <c r="FR257" s="3"/>
      <c r="FS257" s="8"/>
      <c r="FX257" s="1323"/>
      <c r="FY257" s="3"/>
      <c r="FZ257" s="3"/>
      <c r="GA257" s="3"/>
      <c r="GB257" s="8"/>
      <c r="GC257" s="1323"/>
      <c r="GD257" s="3"/>
      <c r="GE257" s="19"/>
      <c r="GF257" s="19"/>
      <c r="GG257" s="19"/>
      <c r="GH257" s="3"/>
      <c r="GI257" s="8"/>
      <c r="GJ257" s="1323"/>
      <c r="GK257" s="3"/>
      <c r="GL257" s="3"/>
      <c r="GM257" s="3"/>
      <c r="GN257" s="3"/>
      <c r="GO257" s="8"/>
      <c r="GP257" s="1323"/>
      <c r="GQ257" s="3"/>
      <c r="GR257" s="3"/>
      <c r="GS257" s="8"/>
      <c r="GT257" s="1323"/>
      <c r="GU257" s="3"/>
      <c r="GV257" s="3"/>
      <c r="GW257" s="3"/>
      <c r="GX257" s="3"/>
      <c r="GY257" s="3"/>
      <c r="GZ257" s="3"/>
      <c r="HA257" s="3"/>
      <c r="HB257" s="3"/>
      <c r="HC257" s="8"/>
      <c r="HD257" s="1323"/>
      <c r="HE257" s="3"/>
      <c r="HF257" s="3"/>
      <c r="HG257" s="3"/>
      <c r="HH257" s="3"/>
      <c r="HI257" s="1323"/>
      <c r="HJ257" s="3"/>
      <c r="HK257" s="3"/>
      <c r="HL257" s="8"/>
      <c r="HM257" s="8"/>
      <c r="HN257" s="1323"/>
      <c r="HO257" s="3"/>
      <c r="HP257" s="3"/>
      <c r="HQ257" s="3"/>
      <c r="HR257" s="3"/>
      <c r="HS257" s="3"/>
      <c r="HT257" s="8"/>
      <c r="HU257" s="1323"/>
      <c r="HV257" s="3"/>
      <c r="HW257" s="3"/>
      <c r="HX257" s="3"/>
      <c r="HY257" s="8"/>
      <c r="IA257" s="1323"/>
      <c r="IB257" s="8"/>
      <c r="IC257" s="1552" t="str">
        <f t="shared" ref="IC257:IC262" si="44">IF(EQ151="EWP",EN151&amp;";","")</f>
        <v/>
      </c>
      <c r="ID257" s="1540" t="str">
        <f>IF(IC257&lt;&gt;"",IC257&amp;ID258,ID258)</f>
        <v/>
      </c>
      <c r="IE257"/>
      <c r="IF257"/>
      <c r="IG257"/>
      <c r="IH257"/>
      <c r="II257"/>
      <c r="IJ257"/>
      <c r="IK257"/>
      <c r="IL257"/>
      <c r="IM257"/>
      <c r="IN257"/>
      <c r="IO257"/>
      <c r="IP257"/>
      <c r="IQ257"/>
      <c r="IR257"/>
      <c r="IS257"/>
      <c r="IT257"/>
      <c r="IU257"/>
      <c r="IV257"/>
      <c r="IW257"/>
      <c r="IX257"/>
      <c r="IY257"/>
      <c r="IZ257"/>
      <c r="JA257"/>
    </row>
    <row r="258" spans="10:261" s="1704" customFormat="1">
      <c r="J258" s="132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8"/>
      <c r="BP258" s="954"/>
      <c r="BQ258" s="954"/>
      <c r="BR258" s="954"/>
      <c r="BS258" s="954"/>
      <c r="BT258" s="954"/>
      <c r="BU258" s="954"/>
      <c r="BV258" s="1703"/>
      <c r="BW258" s="1323"/>
      <c r="BX258" s="1323"/>
      <c r="BY258" s="19"/>
      <c r="BZ258" s="19"/>
      <c r="CA258" s="19"/>
      <c r="CB258" s="19"/>
      <c r="CC258" s="19"/>
      <c r="CD258" s="19"/>
      <c r="CE258" s="19"/>
      <c r="CF258" s="19"/>
      <c r="CG258" s="19"/>
      <c r="CH258" s="19"/>
      <c r="CI258" s="3"/>
      <c r="CJ258" s="3"/>
      <c r="CK258" s="3"/>
      <c r="CL258" s="3"/>
      <c r="CM258" s="3"/>
      <c r="CN258" s="3"/>
      <c r="CO258" s="3"/>
      <c r="CP258" s="3"/>
      <c r="CQ258" s="3"/>
      <c r="CR258" s="3"/>
      <c r="CS258" s="3"/>
      <c r="CT258" s="3"/>
      <c r="CU258" s="3"/>
      <c r="CV258" s="3"/>
      <c r="CW258" s="3"/>
      <c r="CX258" s="3"/>
      <c r="CY258" s="8"/>
      <c r="CZ258" s="1323"/>
      <c r="DA258" s="14"/>
      <c r="DB258" s="19"/>
      <c r="DC258" s="1323"/>
      <c r="EN258" s="1323" t="s">
        <v>8861</v>
      </c>
      <c r="EO258" s="3" t="s">
        <v>155</v>
      </c>
      <c r="EP258" s="3"/>
      <c r="EQ258" s="569"/>
      <c r="ER258" s="569"/>
      <c r="ES258" s="19" t="s">
        <v>209</v>
      </c>
      <c r="ET258" s="19"/>
      <c r="EU258" s="19"/>
      <c r="EV258" s="19"/>
      <c r="EW258" s="19"/>
      <c r="EX258" s="19"/>
      <c r="EY258" s="19"/>
      <c r="EZ258" s="3" t="s">
        <v>497</v>
      </c>
      <c r="FA258" s="569" t="s">
        <v>204</v>
      </c>
      <c r="FB258" s="3"/>
      <c r="FC258" s="3" t="s">
        <v>8866</v>
      </c>
      <c r="FD258" s="569">
        <v>10</v>
      </c>
      <c r="FE258" s="569">
        <v>6</v>
      </c>
      <c r="FF258" s="3"/>
      <c r="FG258" s="3"/>
      <c r="FH258" s="3"/>
      <c r="FI258" s="3"/>
      <c r="FJ258" s="3"/>
      <c r="FK258" s="3"/>
      <c r="FL258" s="569">
        <v>1500</v>
      </c>
      <c r="FM258" s="569">
        <v>0.5</v>
      </c>
      <c r="FN258" s="3"/>
      <c r="FO258" s="3"/>
      <c r="FP258" s="3"/>
      <c r="FQ258" s="3"/>
      <c r="FR258" s="569" t="s">
        <v>8861</v>
      </c>
      <c r="FS258" s="8" t="s">
        <v>8870</v>
      </c>
      <c r="FX258" s="1323"/>
      <c r="FY258" s="3"/>
      <c r="FZ258" s="3"/>
      <c r="GA258" s="3"/>
      <c r="GB258" s="8"/>
      <c r="GC258" s="1323"/>
      <c r="GD258" s="3"/>
      <c r="GE258" s="19"/>
      <c r="GF258" s="19"/>
      <c r="GG258" s="19"/>
      <c r="GH258" s="3"/>
      <c r="GI258" s="8"/>
      <c r="GJ258" s="1323"/>
      <c r="GK258" s="3"/>
      <c r="GL258" s="3"/>
      <c r="GM258" s="3"/>
      <c r="GN258" s="3"/>
      <c r="GO258" s="8"/>
      <c r="GP258" s="1323"/>
      <c r="GQ258" s="3"/>
      <c r="GR258" s="3"/>
      <c r="GS258" s="8"/>
      <c r="GT258" s="1323"/>
      <c r="GU258" s="3"/>
      <c r="GV258" s="3"/>
      <c r="GW258" s="3"/>
      <c r="GX258" s="3"/>
      <c r="GY258" s="3"/>
      <c r="GZ258" s="3"/>
      <c r="HA258" s="3"/>
      <c r="HB258" s="3"/>
      <c r="HC258" s="8"/>
      <c r="HD258" s="1323"/>
      <c r="HE258" s="3"/>
      <c r="HF258" s="3"/>
      <c r="HG258" s="3"/>
      <c r="HH258" s="3"/>
      <c r="HI258" s="1323"/>
      <c r="HJ258" s="3"/>
      <c r="HK258" s="3"/>
      <c r="HL258" s="8"/>
      <c r="HM258" s="8"/>
      <c r="HN258" s="1323"/>
      <c r="HO258" s="3"/>
      <c r="HP258" s="3"/>
      <c r="HQ258" s="3"/>
      <c r="HR258" s="3"/>
      <c r="HS258" s="3"/>
      <c r="HT258" s="8"/>
      <c r="HU258" s="1323"/>
      <c r="HV258" s="3"/>
      <c r="HW258" s="3"/>
      <c r="HX258" s="3"/>
      <c r="HY258" s="8"/>
      <c r="IA258" s="1323"/>
      <c r="IB258" s="8"/>
      <c r="IC258" s="1552" t="str">
        <f t="shared" si="44"/>
        <v/>
      </c>
      <c r="ID258" s="1540" t="str">
        <f>IF(IC258&lt;&gt;"",IC258&amp;ID259,ID259)</f>
        <v/>
      </c>
      <c r="IE258"/>
      <c r="IF258"/>
      <c r="IG258"/>
      <c r="IH258"/>
      <c r="II258"/>
      <c r="IJ258"/>
      <c r="IK258"/>
      <c r="IL258"/>
      <c r="IM258"/>
      <c r="IN258"/>
      <c r="IO258"/>
      <c r="IP258"/>
      <c r="IQ258"/>
      <c r="IR258"/>
      <c r="IS258"/>
      <c r="IT258"/>
      <c r="IU258"/>
      <c r="IV258"/>
      <c r="IW258"/>
      <c r="IX258"/>
      <c r="IY258"/>
      <c r="IZ258"/>
      <c r="JA258"/>
    </row>
    <row r="259" spans="10:261" s="1704" customFormat="1">
      <c r="J259" s="132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8"/>
      <c r="BP259" s="954"/>
      <c r="BQ259" s="954"/>
      <c r="BR259" s="954"/>
      <c r="BS259" s="954"/>
      <c r="BT259" s="954"/>
      <c r="BU259" s="954"/>
      <c r="BV259" s="1703"/>
      <c r="BW259" s="1323"/>
      <c r="BX259" s="1323"/>
      <c r="BY259" s="19"/>
      <c r="BZ259" s="19"/>
      <c r="CA259" s="19"/>
      <c r="CB259" s="19"/>
      <c r="CC259" s="19"/>
      <c r="CD259" s="19"/>
      <c r="CE259" s="19"/>
      <c r="CF259" s="19"/>
      <c r="CG259" s="19"/>
      <c r="CH259" s="19"/>
      <c r="CI259" s="3"/>
      <c r="CJ259" s="3"/>
      <c r="CK259" s="3"/>
      <c r="CL259" s="3"/>
      <c r="CM259" s="3"/>
      <c r="CN259" s="3"/>
      <c r="CO259" s="3"/>
      <c r="CP259" s="3"/>
      <c r="CQ259" s="3"/>
      <c r="CR259" s="3"/>
      <c r="CS259" s="3"/>
      <c r="CT259" s="3"/>
      <c r="CU259" s="3"/>
      <c r="CV259" s="3"/>
      <c r="CW259" s="3"/>
      <c r="CX259" s="3"/>
      <c r="CY259" s="8"/>
      <c r="CZ259" s="1323"/>
      <c r="DA259" s="14"/>
      <c r="DB259" s="19"/>
      <c r="DC259" s="1323"/>
      <c r="EN259" s="1323" t="s">
        <v>8862</v>
      </c>
      <c r="EO259" s="3" t="s">
        <v>155</v>
      </c>
      <c r="EP259" s="3"/>
      <c r="EQ259" s="569"/>
      <c r="ER259" s="569"/>
      <c r="ES259" s="19" t="s">
        <v>249</v>
      </c>
      <c r="ET259" s="19"/>
      <c r="EU259" s="19"/>
      <c r="EV259" s="19"/>
      <c r="EW259" s="19"/>
      <c r="EX259" s="19"/>
      <c r="EY259" s="19"/>
      <c r="EZ259" s="569" t="s">
        <v>497</v>
      </c>
      <c r="FA259" s="569" t="s">
        <v>204</v>
      </c>
      <c r="FB259" s="3"/>
      <c r="FC259" s="3" t="s">
        <v>8866</v>
      </c>
      <c r="FD259" s="569">
        <v>5</v>
      </c>
      <c r="FE259" s="569">
        <v>6</v>
      </c>
      <c r="FF259" s="3"/>
      <c r="FG259" s="3"/>
      <c r="FH259" s="3"/>
      <c r="FI259" s="3"/>
      <c r="FJ259" s="3"/>
      <c r="FK259" s="3"/>
      <c r="FL259" s="569">
        <v>500</v>
      </c>
      <c r="FM259" s="569">
        <v>0.1</v>
      </c>
      <c r="FN259" s="3"/>
      <c r="FO259" s="3"/>
      <c r="FP259" s="3"/>
      <c r="FQ259" s="3"/>
      <c r="FR259" s="569" t="s">
        <v>8862</v>
      </c>
      <c r="FS259" s="8" t="s">
        <v>8869</v>
      </c>
      <c r="FX259" s="1323"/>
      <c r="FY259" s="3"/>
      <c r="FZ259" s="3"/>
      <c r="GA259" s="3"/>
      <c r="GB259" s="8"/>
      <c r="GC259" s="1323"/>
      <c r="GD259" s="3"/>
      <c r="GE259" s="19"/>
      <c r="GF259" s="19"/>
      <c r="GG259" s="19"/>
      <c r="GH259" s="3"/>
      <c r="GI259" s="8"/>
      <c r="GJ259" s="1323"/>
      <c r="GK259" s="3"/>
      <c r="GL259" s="3"/>
      <c r="GM259" s="3"/>
      <c r="GN259" s="3"/>
      <c r="GO259" s="8"/>
      <c r="GP259" s="1323"/>
      <c r="GQ259" s="3"/>
      <c r="GR259" s="3"/>
      <c r="GS259" s="8"/>
      <c r="GT259" s="1323"/>
      <c r="GU259" s="3"/>
      <c r="GV259" s="3"/>
      <c r="GW259" s="3"/>
      <c r="GX259" s="3"/>
      <c r="GY259" s="3"/>
      <c r="GZ259" s="3"/>
      <c r="HA259" s="3"/>
      <c r="HB259" s="3"/>
      <c r="HC259" s="8"/>
      <c r="HD259" s="1323"/>
      <c r="HE259" s="3"/>
      <c r="HF259" s="3"/>
      <c r="HG259" s="3"/>
      <c r="HH259" s="3"/>
      <c r="HI259" s="1323"/>
      <c r="HJ259" s="3"/>
      <c r="HK259" s="3"/>
      <c r="HL259" s="8"/>
      <c r="HM259" s="8"/>
      <c r="HN259" s="1323"/>
      <c r="HO259" s="3"/>
      <c r="HP259" s="3"/>
      <c r="HQ259" s="3"/>
      <c r="HR259" s="3"/>
      <c r="HS259" s="3"/>
      <c r="HT259" s="8"/>
      <c r="HU259" s="1323"/>
      <c r="HV259" s="3"/>
      <c r="HW259" s="3"/>
      <c r="HX259" s="3"/>
      <c r="HY259" s="8"/>
      <c r="IA259" s="1323"/>
      <c r="IB259" s="8"/>
      <c r="IC259" s="1552" t="str">
        <f t="shared" si="44"/>
        <v/>
      </c>
      <c r="ID259" s="1540" t="str">
        <f>IF(IC259&lt;&gt;"",IC259&amp;ID260,ID260)</f>
        <v/>
      </c>
      <c r="IE259"/>
      <c r="IF259"/>
      <c r="IG259"/>
      <c r="IH259"/>
      <c r="II259"/>
      <c r="IJ259"/>
      <c r="IK259"/>
      <c r="IL259"/>
      <c r="IM259"/>
      <c r="IN259"/>
      <c r="IO259"/>
      <c r="IP259"/>
      <c r="IQ259"/>
      <c r="IR259"/>
      <c r="IS259"/>
      <c r="IT259"/>
      <c r="IU259"/>
      <c r="IV259"/>
      <c r="IW259"/>
      <c r="IX259"/>
      <c r="IY259"/>
      <c r="IZ259"/>
      <c r="JA259"/>
    </row>
    <row r="260" spans="10:261" s="1704" customFormat="1">
      <c r="J260" s="132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8"/>
      <c r="BP260" s="954"/>
      <c r="BQ260" s="954"/>
      <c r="BR260" s="954"/>
      <c r="BS260" s="954"/>
      <c r="BT260" s="954"/>
      <c r="BU260" s="954"/>
      <c r="BV260" s="1703"/>
      <c r="BW260" s="1323"/>
      <c r="BX260" s="1323"/>
      <c r="BY260" s="19"/>
      <c r="BZ260" s="19"/>
      <c r="CA260" s="19"/>
      <c r="CB260" s="19"/>
      <c r="CC260" s="19"/>
      <c r="CD260" s="19"/>
      <c r="CE260" s="19"/>
      <c r="CF260" s="19"/>
      <c r="CG260" s="19"/>
      <c r="CH260" s="19"/>
      <c r="CI260" s="3"/>
      <c r="CJ260" s="3"/>
      <c r="CK260" s="3"/>
      <c r="CL260" s="3"/>
      <c r="CM260" s="3"/>
      <c r="CN260" s="3"/>
      <c r="CO260" s="3"/>
      <c r="CP260" s="3"/>
      <c r="CQ260" s="3"/>
      <c r="CR260" s="3"/>
      <c r="CS260" s="3"/>
      <c r="CT260" s="3"/>
      <c r="CU260" s="3"/>
      <c r="CV260" s="3"/>
      <c r="CW260" s="3"/>
      <c r="CX260" s="3"/>
      <c r="CY260" s="8"/>
      <c r="CZ260" s="1323"/>
      <c r="DA260" s="14"/>
      <c r="DB260" s="19"/>
      <c r="DC260" s="1323"/>
      <c r="EN260" s="1323" t="s">
        <v>8863</v>
      </c>
      <c r="EO260" s="3" t="s">
        <v>155</v>
      </c>
      <c r="EP260" s="3"/>
      <c r="EQ260" s="569"/>
      <c r="ER260" s="569"/>
      <c r="ES260" s="19" t="s">
        <v>249</v>
      </c>
      <c r="ET260" s="19"/>
      <c r="EU260" s="19"/>
      <c r="EV260" s="19"/>
      <c r="EW260" s="19"/>
      <c r="EX260" s="19"/>
      <c r="EY260" s="19"/>
      <c r="EZ260" s="3"/>
      <c r="FA260" s="569" t="s">
        <v>321</v>
      </c>
      <c r="FB260" s="3"/>
      <c r="FC260" s="3"/>
      <c r="FD260" s="3"/>
      <c r="FE260" s="3"/>
      <c r="FF260" s="3"/>
      <c r="FG260" s="3"/>
      <c r="FH260" s="3"/>
      <c r="FI260" s="3"/>
      <c r="FJ260" s="3"/>
      <c r="FK260" s="3"/>
      <c r="FL260" s="569">
        <v>250</v>
      </c>
      <c r="FM260" s="569">
        <v>0.1</v>
      </c>
      <c r="FN260" s="3"/>
      <c r="FO260" s="3"/>
      <c r="FP260" s="3"/>
      <c r="FQ260" s="3"/>
      <c r="FR260" s="569" t="s">
        <v>8863</v>
      </c>
      <c r="FS260" s="8" t="s">
        <v>8868</v>
      </c>
      <c r="FX260" s="1323"/>
      <c r="FY260" s="3"/>
      <c r="FZ260" s="3"/>
      <c r="GA260" s="3"/>
      <c r="GB260" s="8"/>
      <c r="GC260" s="1323"/>
      <c r="GD260" s="3"/>
      <c r="GE260" s="19"/>
      <c r="GF260" s="19"/>
      <c r="GG260" s="19"/>
      <c r="GH260" s="3"/>
      <c r="GI260" s="8"/>
      <c r="GJ260" s="1323"/>
      <c r="GK260" s="3"/>
      <c r="GL260" s="3"/>
      <c r="GM260" s="3"/>
      <c r="GN260" s="3"/>
      <c r="GO260" s="8"/>
      <c r="GP260" s="1323"/>
      <c r="GQ260" s="3"/>
      <c r="GR260" s="3"/>
      <c r="GS260" s="8"/>
      <c r="GT260" s="1323"/>
      <c r="GU260" s="3"/>
      <c r="GV260" s="3"/>
      <c r="GW260" s="3"/>
      <c r="GX260" s="3"/>
      <c r="GY260" s="3"/>
      <c r="GZ260" s="3"/>
      <c r="HA260" s="3"/>
      <c r="HB260" s="3"/>
      <c r="HC260" s="8"/>
      <c r="HD260" s="1323"/>
      <c r="HE260" s="3"/>
      <c r="HF260" s="3"/>
      <c r="HG260" s="3"/>
      <c r="HH260" s="3"/>
      <c r="HI260" s="1323"/>
      <c r="HJ260" s="3"/>
      <c r="HK260" s="3"/>
      <c r="HL260" s="8"/>
      <c r="HM260" s="8"/>
      <c r="HN260" s="1323"/>
      <c r="HO260" s="3"/>
      <c r="HP260" s="3"/>
      <c r="HQ260" s="3"/>
      <c r="HR260" s="3"/>
      <c r="HS260" s="3"/>
      <c r="HT260" s="8"/>
      <c r="HU260" s="1323"/>
      <c r="HV260" s="3"/>
      <c r="HW260" s="3"/>
      <c r="HX260" s="3"/>
      <c r="HY260" s="8"/>
      <c r="IA260" s="1323"/>
      <c r="IB260" s="8"/>
      <c r="IC260" s="1552" t="str">
        <f t="shared" si="44"/>
        <v/>
      </c>
      <c r="ID260" s="1540" t="str">
        <f t="shared" ref="ID260:ID300" si="45">IF(IC260&lt;&gt;"",IC260&amp;ID261,ID261)</f>
        <v/>
      </c>
      <c r="IE260"/>
      <c r="IF260"/>
      <c r="IG260"/>
      <c r="IH260"/>
      <c r="II260"/>
      <c r="IJ260"/>
      <c r="IK260"/>
      <c r="IL260"/>
      <c r="IM260"/>
      <c r="IN260"/>
      <c r="IO260"/>
      <c r="IP260"/>
      <c r="IQ260"/>
      <c r="IR260"/>
      <c r="IS260"/>
      <c r="IT260"/>
      <c r="IU260"/>
      <c r="IV260"/>
      <c r="IW260"/>
      <c r="IX260"/>
      <c r="IY260"/>
      <c r="IZ260"/>
      <c r="JA260"/>
    </row>
    <row r="261" spans="10:261" s="1704" customFormat="1">
      <c r="J261" s="132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8"/>
      <c r="BP261" s="954"/>
      <c r="BQ261" s="954"/>
      <c r="BR261" s="954"/>
      <c r="BS261" s="954"/>
      <c r="BT261" s="954"/>
      <c r="BU261" s="954"/>
      <c r="BV261" s="1703"/>
      <c r="BW261" s="1323"/>
      <c r="BX261" s="1323"/>
      <c r="BY261" s="19"/>
      <c r="BZ261" s="19"/>
      <c r="CA261" s="19"/>
      <c r="CB261" s="19"/>
      <c r="CC261" s="19"/>
      <c r="CD261" s="19"/>
      <c r="CE261" s="19"/>
      <c r="CF261" s="19"/>
      <c r="CG261" s="19"/>
      <c r="CH261" s="19"/>
      <c r="CI261" s="3"/>
      <c r="CJ261" s="3"/>
      <c r="CK261" s="3"/>
      <c r="CL261" s="3"/>
      <c r="CM261" s="3"/>
      <c r="CN261" s="3"/>
      <c r="CO261" s="3"/>
      <c r="CP261" s="3"/>
      <c r="CQ261" s="3"/>
      <c r="CR261" s="3"/>
      <c r="CS261" s="3"/>
      <c r="CT261" s="3"/>
      <c r="CU261" s="3"/>
      <c r="CV261" s="3"/>
      <c r="CW261" s="3"/>
      <c r="CX261" s="3"/>
      <c r="CY261" s="8"/>
      <c r="CZ261" s="1323"/>
      <c r="DA261" s="14"/>
      <c r="DB261" s="19"/>
      <c r="DC261" s="1323"/>
      <c r="EN261" s="1323" t="s">
        <v>8864</v>
      </c>
      <c r="EO261" s="569" t="s">
        <v>272</v>
      </c>
      <c r="EP261" s="3"/>
      <c r="EQ261" s="569"/>
      <c r="ER261" s="569"/>
      <c r="ES261" s="19" t="s">
        <v>249</v>
      </c>
      <c r="ET261" s="19"/>
      <c r="EU261" s="19"/>
      <c r="EV261" s="19"/>
      <c r="EW261" s="19"/>
      <c r="EX261" s="19"/>
      <c r="EY261" s="19"/>
      <c r="EZ261" s="3"/>
      <c r="FA261" s="569" t="s">
        <v>321</v>
      </c>
      <c r="FB261" s="3"/>
      <c r="FC261" s="3"/>
      <c r="FD261" s="3"/>
      <c r="FE261" s="3"/>
      <c r="FF261" s="3"/>
      <c r="FG261" s="3"/>
      <c r="FH261" s="3"/>
      <c r="FI261" s="3"/>
      <c r="FJ261" s="3"/>
      <c r="FK261" s="3"/>
      <c r="FL261" s="569">
        <v>100</v>
      </c>
      <c r="FM261" s="569">
        <v>0.1</v>
      </c>
      <c r="FN261" s="3"/>
      <c r="FO261" s="3"/>
      <c r="FP261" s="3"/>
      <c r="FQ261" s="3"/>
      <c r="FR261" s="569" t="s">
        <v>8864</v>
      </c>
      <c r="FS261" s="8" t="s">
        <v>8867</v>
      </c>
      <c r="FX261" s="1323"/>
      <c r="FY261" s="3"/>
      <c r="FZ261" s="3"/>
      <c r="GA261" s="3"/>
      <c r="GB261" s="8"/>
      <c r="GC261" s="1323"/>
      <c r="GD261" s="3"/>
      <c r="GE261" s="19"/>
      <c r="GF261" s="19"/>
      <c r="GG261" s="19"/>
      <c r="GH261" s="3"/>
      <c r="GI261" s="8"/>
      <c r="GJ261" s="1323"/>
      <c r="GK261" s="3"/>
      <c r="GL261" s="3"/>
      <c r="GM261" s="3"/>
      <c r="GN261" s="3"/>
      <c r="GO261" s="8"/>
      <c r="GP261" s="1323"/>
      <c r="GQ261" s="3"/>
      <c r="GR261" s="3"/>
      <c r="GS261" s="8"/>
      <c r="GT261" s="1323"/>
      <c r="GU261" s="3"/>
      <c r="GV261" s="3"/>
      <c r="GW261" s="3"/>
      <c r="GX261" s="3"/>
      <c r="GY261" s="3"/>
      <c r="GZ261" s="3"/>
      <c r="HA261" s="3"/>
      <c r="HB261" s="3"/>
      <c r="HC261" s="8"/>
      <c r="HD261" s="1323"/>
      <c r="HE261" s="3"/>
      <c r="HF261" s="3"/>
      <c r="HG261" s="3"/>
      <c r="HH261" s="3"/>
      <c r="HI261" s="1323"/>
      <c r="HJ261" s="3"/>
      <c r="HK261" s="3"/>
      <c r="HL261" s="8"/>
      <c r="HM261" s="8"/>
      <c r="HN261" s="1323"/>
      <c r="HO261" s="3"/>
      <c r="HP261" s="3"/>
      <c r="HQ261" s="3"/>
      <c r="HR261" s="3"/>
      <c r="HS261" s="3"/>
      <c r="HT261" s="8"/>
      <c r="HU261" s="1323"/>
      <c r="HV261" s="3"/>
      <c r="HW261" s="3"/>
      <c r="HX261" s="3"/>
      <c r="HY261" s="8"/>
      <c r="IA261" s="1323"/>
      <c r="IB261" s="8"/>
      <c r="IC261" s="1552" t="str">
        <f t="shared" si="44"/>
        <v/>
      </c>
      <c r="ID261" s="1540" t="str">
        <f t="shared" si="45"/>
        <v/>
      </c>
      <c r="IE261"/>
      <c r="IF261"/>
      <c r="IG261"/>
      <c r="IH261"/>
      <c r="II261"/>
      <c r="IJ261"/>
      <c r="IK261"/>
      <c r="IL261"/>
      <c r="IM261"/>
      <c r="IN261"/>
      <c r="IO261"/>
      <c r="IP261"/>
      <c r="IQ261"/>
      <c r="IR261"/>
      <c r="IS261"/>
      <c r="IT261"/>
      <c r="IU261"/>
      <c r="IV261"/>
      <c r="IW261"/>
      <c r="IX261"/>
      <c r="IY261"/>
      <c r="IZ261"/>
      <c r="JA261"/>
    </row>
    <row r="262" spans="10:261" s="1704" customFormat="1">
      <c r="J262" s="132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8"/>
      <c r="BP262" s="954"/>
      <c r="BQ262" s="954"/>
      <c r="BR262" s="954"/>
      <c r="BS262" s="954"/>
      <c r="BT262" s="954"/>
      <c r="BU262" s="954"/>
      <c r="BV262" s="1703"/>
      <c r="BW262" s="1323"/>
      <c r="BX262" s="1323"/>
      <c r="BY262" s="19"/>
      <c r="BZ262" s="19"/>
      <c r="CA262" s="19"/>
      <c r="CB262" s="19"/>
      <c r="CC262" s="19"/>
      <c r="CD262" s="19"/>
      <c r="CE262" s="19"/>
      <c r="CF262" s="19"/>
      <c r="CG262" s="19"/>
      <c r="CH262" s="19"/>
      <c r="CI262" s="3"/>
      <c r="CJ262" s="3"/>
      <c r="CK262" s="3"/>
      <c r="CL262" s="3"/>
      <c r="CM262" s="3"/>
      <c r="CN262" s="3"/>
      <c r="CO262" s="3"/>
      <c r="CP262" s="3"/>
      <c r="CQ262" s="3"/>
      <c r="CR262" s="3"/>
      <c r="CS262" s="3"/>
      <c r="CT262" s="3"/>
      <c r="CU262" s="3"/>
      <c r="CV262" s="3"/>
      <c r="CW262" s="3"/>
      <c r="CX262" s="3"/>
      <c r="CY262" s="8"/>
      <c r="CZ262" s="1323"/>
      <c r="DA262" s="14"/>
      <c r="DB262" s="19"/>
      <c r="DC262" s="1323"/>
      <c r="EN262" s="1323" t="s">
        <v>8865</v>
      </c>
      <c r="EO262" s="569" t="s">
        <v>6758</v>
      </c>
      <c r="EP262" s="3"/>
      <c r="EQ262" s="569"/>
      <c r="ER262" s="569"/>
      <c r="ES262" s="19" t="s">
        <v>170</v>
      </c>
      <c r="ET262" s="19"/>
      <c r="EU262" s="19"/>
      <c r="EV262" s="19"/>
      <c r="EW262" s="19"/>
      <c r="EX262" s="19"/>
      <c r="EY262" s="19"/>
      <c r="EZ262" s="3" t="s">
        <v>497</v>
      </c>
      <c r="FA262" s="569" t="s">
        <v>321</v>
      </c>
      <c r="FB262" s="3"/>
      <c r="FC262" s="3" t="s">
        <v>8866</v>
      </c>
      <c r="FD262" s="3">
        <v>4</v>
      </c>
      <c r="FE262" s="3">
        <v>6</v>
      </c>
      <c r="FF262" s="3"/>
      <c r="FG262" s="3"/>
      <c r="FH262" s="3"/>
      <c r="FI262" s="3"/>
      <c r="FJ262" s="3"/>
      <c r="FK262" s="3"/>
      <c r="FL262" s="569">
        <v>1000</v>
      </c>
      <c r="FM262" s="569">
        <v>1</v>
      </c>
      <c r="FN262" s="3"/>
      <c r="FO262" s="3"/>
      <c r="FP262" s="3"/>
      <c r="FQ262" s="3"/>
      <c r="FR262" s="569" t="s">
        <v>8865</v>
      </c>
      <c r="FS262" s="8" t="s">
        <v>8865</v>
      </c>
      <c r="FX262" s="1323"/>
      <c r="FY262" s="3"/>
      <c r="FZ262" s="3"/>
      <c r="GA262" s="3"/>
      <c r="GB262" s="8"/>
      <c r="GC262" s="1323"/>
      <c r="GD262" s="3"/>
      <c r="GE262" s="19"/>
      <c r="GF262" s="19"/>
      <c r="GG262" s="19"/>
      <c r="GH262" s="3"/>
      <c r="GI262" s="8"/>
      <c r="GJ262" s="1323"/>
      <c r="GK262" s="3"/>
      <c r="GL262" s="3"/>
      <c r="GM262" s="3"/>
      <c r="GN262" s="3"/>
      <c r="GO262" s="8"/>
      <c r="GP262" s="1323"/>
      <c r="GQ262" s="3"/>
      <c r="GR262" s="3"/>
      <c r="GS262" s="8"/>
      <c r="GT262" s="1323"/>
      <c r="GU262" s="3"/>
      <c r="GV262" s="3"/>
      <c r="GW262" s="3"/>
      <c r="GX262" s="3"/>
      <c r="GY262" s="3"/>
      <c r="GZ262" s="3"/>
      <c r="HA262" s="3"/>
      <c r="HB262" s="3"/>
      <c r="HC262" s="8"/>
      <c r="HD262" s="1323"/>
      <c r="HE262" s="3"/>
      <c r="HF262" s="3"/>
      <c r="HG262" s="3"/>
      <c r="HH262" s="3"/>
      <c r="HI262" s="1323"/>
      <c r="HJ262" s="3"/>
      <c r="HK262" s="3"/>
      <c r="HL262" s="8"/>
      <c r="HM262" s="8"/>
      <c r="HN262" s="1323"/>
      <c r="HO262" s="3"/>
      <c r="HP262" s="3"/>
      <c r="HQ262" s="3"/>
      <c r="HR262" s="3"/>
      <c r="HS262" s="3"/>
      <c r="HT262" s="8"/>
      <c r="HU262" s="1323"/>
      <c r="HV262" s="3"/>
      <c r="HW262" s="3"/>
      <c r="HX262" s="3"/>
      <c r="HY262" s="8"/>
      <c r="IA262" s="1323"/>
      <c r="IB262" s="8"/>
      <c r="IC262" s="1552" t="str">
        <f t="shared" si="44"/>
        <v/>
      </c>
      <c r="ID262" s="1540" t="str">
        <f t="shared" si="45"/>
        <v/>
      </c>
      <c r="IE262"/>
      <c r="IF262"/>
      <c r="IG262"/>
      <c r="IH262"/>
      <c r="II262"/>
      <c r="IJ262"/>
      <c r="IK262"/>
      <c r="IL262"/>
      <c r="IM262"/>
      <c r="IN262"/>
      <c r="IO262"/>
      <c r="IP262"/>
      <c r="IQ262"/>
      <c r="IR262"/>
      <c r="IS262"/>
      <c r="IT262"/>
      <c r="IU262"/>
      <c r="IV262"/>
      <c r="IW262"/>
      <c r="IX262"/>
      <c r="IY262"/>
      <c r="IZ262"/>
      <c r="JA262"/>
    </row>
    <row r="263" spans="10:261" s="1704" customFormat="1">
      <c r="J263" s="132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8"/>
      <c r="BP263" s="954"/>
      <c r="BQ263" s="954"/>
      <c r="BR263" s="954"/>
      <c r="BS263" s="954"/>
      <c r="BT263" s="954"/>
      <c r="BU263" s="954"/>
      <c r="BV263" s="1703"/>
      <c r="BW263" s="1323"/>
      <c r="BX263" s="1323"/>
      <c r="BY263" s="19"/>
      <c r="BZ263" s="19"/>
      <c r="CA263" s="19"/>
      <c r="CB263" s="19"/>
      <c r="CC263" s="19"/>
      <c r="CD263" s="19"/>
      <c r="CE263" s="19"/>
      <c r="CF263" s="19"/>
      <c r="CG263" s="19"/>
      <c r="CH263" s="19"/>
      <c r="CI263" s="3"/>
      <c r="CJ263" s="3"/>
      <c r="CK263" s="3"/>
      <c r="CL263" s="3"/>
      <c r="CM263" s="3"/>
      <c r="CN263" s="3"/>
      <c r="CO263" s="3"/>
      <c r="CP263" s="3"/>
      <c r="CQ263" s="3"/>
      <c r="CR263" s="3"/>
      <c r="CS263" s="3"/>
      <c r="CT263" s="3"/>
      <c r="CU263" s="3"/>
      <c r="CV263" s="3"/>
      <c r="CW263" s="3"/>
      <c r="CX263" s="3"/>
      <c r="CY263" s="8"/>
      <c r="CZ263" s="1323"/>
      <c r="DA263" s="14"/>
      <c r="DB263" s="19"/>
      <c r="DC263" s="1323"/>
      <c r="EN263" s="1323"/>
      <c r="EO263" s="3"/>
      <c r="EP263" s="3"/>
      <c r="EQ263" s="569"/>
      <c r="ER263" s="569"/>
      <c r="ES263" s="19" t="s">
        <v>274</v>
      </c>
      <c r="ET263" s="19"/>
      <c r="EU263" s="19"/>
      <c r="EV263" s="19"/>
      <c r="EW263" s="19"/>
      <c r="EX263" s="19"/>
      <c r="EY263" s="19"/>
      <c r="EZ263" s="3"/>
      <c r="FA263" s="3"/>
      <c r="FB263" s="3"/>
      <c r="FC263" s="3"/>
      <c r="FD263" s="3"/>
      <c r="FE263" s="3"/>
      <c r="FF263" s="3"/>
      <c r="FG263" s="3"/>
      <c r="FH263" s="3"/>
      <c r="FI263" s="3"/>
      <c r="FJ263" s="3"/>
      <c r="FK263" s="3"/>
      <c r="FL263" s="3"/>
      <c r="FM263" s="3"/>
      <c r="FN263" s="3"/>
      <c r="FO263" s="3"/>
      <c r="FP263" s="3"/>
      <c r="FQ263" s="3"/>
      <c r="FR263" s="3"/>
      <c r="FS263" s="8"/>
      <c r="FX263" s="1323"/>
      <c r="FY263" s="3"/>
      <c r="FZ263" s="3"/>
      <c r="GA263" s="3"/>
      <c r="GB263" s="8"/>
      <c r="GC263" s="1323"/>
      <c r="GD263" s="3"/>
      <c r="GE263" s="19"/>
      <c r="GF263" s="19"/>
      <c r="GG263" s="19"/>
      <c r="GH263" s="3"/>
      <c r="GI263" s="8"/>
      <c r="GJ263" s="1323"/>
      <c r="GK263" s="3"/>
      <c r="GL263" s="3"/>
      <c r="GM263" s="3"/>
      <c r="GN263" s="3"/>
      <c r="GO263" s="8"/>
      <c r="GP263" s="1323"/>
      <c r="GQ263" s="3"/>
      <c r="GR263" s="3"/>
      <c r="GS263" s="8"/>
      <c r="GT263" s="1323"/>
      <c r="GU263" s="3"/>
      <c r="GV263" s="3"/>
      <c r="GW263" s="3"/>
      <c r="GX263" s="3"/>
      <c r="GY263" s="3"/>
      <c r="GZ263" s="3"/>
      <c r="HA263" s="3"/>
      <c r="HB263" s="3"/>
      <c r="HC263" s="8"/>
      <c r="HD263" s="1323"/>
      <c r="HE263" s="3"/>
      <c r="HF263" s="3"/>
      <c r="HG263" s="3"/>
      <c r="HH263" s="3"/>
      <c r="HI263" s="1323"/>
      <c r="HJ263" s="3"/>
      <c r="HK263" s="3"/>
      <c r="HL263" s="8"/>
      <c r="HM263" s="8"/>
      <c r="HN263" s="1323"/>
      <c r="HO263" s="3"/>
      <c r="HP263" s="3"/>
      <c r="HQ263" s="3"/>
      <c r="HR263" s="3"/>
      <c r="HS263" s="3"/>
      <c r="HT263" s="8"/>
      <c r="HU263" s="1323"/>
      <c r="HV263" s="3"/>
      <c r="HW263" s="3"/>
      <c r="HX263" s="3"/>
      <c r="HY263" s="8"/>
      <c r="IA263" s="1323"/>
      <c r="IB263" s="8"/>
      <c r="IC263" s="1552" t="str">
        <f>IF(EQ205="EWP",EN205&amp;";","")</f>
        <v/>
      </c>
      <c r="ID263" s="1540" t="str">
        <f t="shared" si="45"/>
        <v/>
      </c>
      <c r="IE263"/>
      <c r="IF263"/>
      <c r="IG263"/>
      <c r="IH263"/>
      <c r="II263"/>
      <c r="IJ263"/>
      <c r="IK263"/>
      <c r="IL263"/>
      <c r="IM263"/>
      <c r="IN263"/>
      <c r="IO263"/>
      <c r="IP263"/>
      <c r="IQ263"/>
      <c r="IR263"/>
      <c r="IS263"/>
      <c r="IT263"/>
      <c r="IU263"/>
      <c r="IV263"/>
      <c r="IW263"/>
      <c r="IX263"/>
      <c r="IY263"/>
      <c r="IZ263"/>
      <c r="JA263"/>
    </row>
    <row r="264" spans="10:261" s="1704" customFormat="1">
      <c r="J264" s="132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8"/>
      <c r="BP264" s="954"/>
      <c r="BQ264" s="954"/>
      <c r="BR264" s="954"/>
      <c r="BS264" s="954"/>
      <c r="BT264" s="954"/>
      <c r="BU264" s="954"/>
      <c r="BV264" s="1703"/>
      <c r="BW264" s="1323"/>
      <c r="BX264" s="1323"/>
      <c r="BY264" s="19"/>
      <c r="BZ264" s="19"/>
      <c r="CA264" s="19"/>
      <c r="CB264" s="19"/>
      <c r="CC264" s="19"/>
      <c r="CD264" s="19"/>
      <c r="CE264" s="19"/>
      <c r="CF264" s="19"/>
      <c r="CG264" s="19"/>
      <c r="CH264" s="19"/>
      <c r="CI264" s="3"/>
      <c r="CJ264" s="3"/>
      <c r="CK264" s="3"/>
      <c r="CL264" s="3"/>
      <c r="CM264" s="3"/>
      <c r="CN264" s="3"/>
      <c r="CO264" s="3"/>
      <c r="CP264" s="3"/>
      <c r="CQ264" s="3"/>
      <c r="CR264" s="3"/>
      <c r="CS264" s="3"/>
      <c r="CT264" s="3"/>
      <c r="CU264" s="3"/>
      <c r="CV264" s="3"/>
      <c r="CW264" s="3"/>
      <c r="CX264" s="3"/>
      <c r="CY264" s="8"/>
      <c r="CZ264" s="1323"/>
      <c r="DA264" s="14"/>
      <c r="DB264" s="19"/>
      <c r="DC264" s="1323"/>
      <c r="EN264" s="1323"/>
      <c r="EO264" s="3"/>
      <c r="EP264" s="3"/>
      <c r="EQ264" s="569"/>
      <c r="ER264" s="569"/>
      <c r="ES264" s="19" t="s">
        <v>249</v>
      </c>
      <c r="ET264" s="19"/>
      <c r="EU264" s="19"/>
      <c r="EV264" s="19"/>
      <c r="EW264" s="19"/>
      <c r="EX264" s="19"/>
      <c r="EY264" s="19"/>
      <c r="EZ264" s="3"/>
      <c r="FA264" s="3"/>
      <c r="FB264" s="3"/>
      <c r="FC264" s="3"/>
      <c r="FD264" s="3"/>
      <c r="FE264" s="3"/>
      <c r="FF264" s="3"/>
      <c r="FG264" s="3"/>
      <c r="FH264" s="3"/>
      <c r="FI264" s="3"/>
      <c r="FJ264" s="3"/>
      <c r="FK264" s="3"/>
      <c r="FL264" s="3"/>
      <c r="FM264" s="3"/>
      <c r="FN264" s="3"/>
      <c r="FO264" s="3"/>
      <c r="FP264" s="3"/>
      <c r="FQ264" s="3"/>
      <c r="FR264" s="3"/>
      <c r="FS264" s="8"/>
      <c r="FX264" s="1323"/>
      <c r="FY264" s="3"/>
      <c r="FZ264" s="3"/>
      <c r="GA264" s="3"/>
      <c r="GB264" s="8"/>
      <c r="GC264" s="1323"/>
      <c r="GD264" s="3"/>
      <c r="GE264" s="19"/>
      <c r="GF264" s="19"/>
      <c r="GG264" s="19"/>
      <c r="GH264" s="3"/>
      <c r="GI264" s="8"/>
      <c r="GJ264" s="1323"/>
      <c r="GK264" s="3"/>
      <c r="GL264" s="3"/>
      <c r="GM264" s="3"/>
      <c r="GN264" s="3"/>
      <c r="GO264" s="8"/>
      <c r="GP264" s="1323"/>
      <c r="GQ264" s="3"/>
      <c r="GR264" s="3"/>
      <c r="GS264" s="8"/>
      <c r="GT264" s="1323"/>
      <c r="GU264" s="3"/>
      <c r="GV264" s="3"/>
      <c r="GW264" s="3"/>
      <c r="GX264" s="3"/>
      <c r="GY264" s="3"/>
      <c r="GZ264" s="3"/>
      <c r="HA264" s="3"/>
      <c r="HB264" s="3"/>
      <c r="HC264" s="8"/>
      <c r="HD264" s="1323"/>
      <c r="HE264" s="3"/>
      <c r="HF264" s="3"/>
      <c r="HG264" s="3"/>
      <c r="HH264" s="3"/>
      <c r="HI264" s="1323"/>
      <c r="HJ264" s="3"/>
      <c r="HK264" s="3"/>
      <c r="HL264" s="8"/>
      <c r="HM264" s="8"/>
      <c r="HN264" s="1323"/>
      <c r="HO264" s="3"/>
      <c r="HP264" s="3"/>
      <c r="HQ264" s="3"/>
      <c r="HR264" s="3"/>
      <c r="HS264" s="3"/>
      <c r="HT264" s="8"/>
      <c r="HU264" s="1323"/>
      <c r="HV264" s="3"/>
      <c r="HW264" s="3"/>
      <c r="HX264" s="3"/>
      <c r="HY264" s="8"/>
      <c r="IA264" s="1323"/>
      <c r="IB264" s="8"/>
      <c r="IC264" s="1552" t="str">
        <f>IF(EQ206="EWP",EN206&amp;";","")</f>
        <v/>
      </c>
      <c r="ID264" s="1540" t="str">
        <f t="shared" si="45"/>
        <v/>
      </c>
      <c r="IE264"/>
      <c r="IF264"/>
      <c r="IG264"/>
      <c r="IH264"/>
      <c r="II264"/>
      <c r="IJ264"/>
      <c r="IK264"/>
      <c r="IL264"/>
      <c r="IM264"/>
      <c r="IN264"/>
      <c r="IO264"/>
      <c r="IP264"/>
      <c r="IQ264"/>
      <c r="IR264"/>
      <c r="IS264"/>
      <c r="IT264"/>
      <c r="IU264"/>
      <c r="IV264"/>
      <c r="IW264"/>
      <c r="IX264"/>
      <c r="IY264"/>
      <c r="IZ264"/>
      <c r="JA264"/>
    </row>
    <row r="265" spans="10:261">
      <c r="EQ265" s="569"/>
      <c r="ER265" s="569"/>
      <c r="ES265" s="19" t="s">
        <v>170</v>
      </c>
      <c r="GC265" s="1323"/>
      <c r="IC265" s="1552" t="str">
        <f>IF(EQ210="EWP",EN210&amp;";","")</f>
        <v/>
      </c>
      <c r="ID265" s="1540" t="str">
        <f t="shared" si="45"/>
        <v/>
      </c>
    </row>
    <row r="266" spans="10:261">
      <c r="EN266" s="1333" t="s">
        <v>6501</v>
      </c>
      <c r="ES266" s="3"/>
      <c r="ET266" s="3"/>
      <c r="EU266" s="3"/>
      <c r="EV266" s="3"/>
      <c r="EW266" s="3"/>
      <c r="EX266" s="3"/>
      <c r="EY266" s="3"/>
      <c r="IC266" s="1540" t="str">
        <f t="shared" ref="IC266:IC300" si="46">IF(EQ276="EWP",EN276&amp;";","")</f>
        <v/>
      </c>
      <c r="ID266" s="1540" t="str">
        <f t="shared" si="45"/>
        <v/>
      </c>
    </row>
    <row r="267" spans="10:261">
      <c r="EN267" s="1323" t="s">
        <v>1236</v>
      </c>
      <c r="EO267" s="3" t="s">
        <v>155</v>
      </c>
      <c r="EP267" s="3" t="s">
        <v>160</v>
      </c>
      <c r="EQ267" s="3" t="s">
        <v>460</v>
      </c>
      <c r="ER267" s="3" t="s">
        <v>461</v>
      </c>
      <c r="ES267" s="19" t="s">
        <v>195</v>
      </c>
      <c r="EU267" s="19" t="s">
        <v>195</v>
      </c>
      <c r="EV267" s="19" t="s">
        <v>195</v>
      </c>
      <c r="EW267" s="19" t="s">
        <v>195</v>
      </c>
      <c r="EY267" s="19" t="s">
        <v>195</v>
      </c>
      <c r="EZ267" s="3" t="s">
        <v>195</v>
      </c>
      <c r="FA267" s="3" t="s">
        <v>3718</v>
      </c>
      <c r="FB267" s="3" t="s">
        <v>195</v>
      </c>
      <c r="FC267" s="3" t="s">
        <v>195</v>
      </c>
      <c r="FD267" s="3">
        <v>0</v>
      </c>
      <c r="FE267" s="3">
        <v>0</v>
      </c>
      <c r="FF267" s="3">
        <v>0</v>
      </c>
      <c r="FG267" s="3" t="s">
        <v>195</v>
      </c>
      <c r="FH267" s="3" t="s">
        <v>195</v>
      </c>
      <c r="FI267" s="3" t="s">
        <v>195</v>
      </c>
      <c r="FJ267" s="3" t="s">
        <v>195</v>
      </c>
      <c r="FL267" s="3">
        <v>0</v>
      </c>
      <c r="FM267" s="3">
        <v>0</v>
      </c>
      <c r="FN267" s="3">
        <v>0</v>
      </c>
      <c r="FO267" s="3">
        <v>0</v>
      </c>
      <c r="FP267" s="3">
        <v>0</v>
      </c>
      <c r="FQ267" s="3" t="str">
        <f t="shared" ref="FQ267:FQ272" si="47">IF(EP267="R",IF(EQ267&lt;&gt;"EWP",ER267,"pistols"),"")</f>
        <v/>
      </c>
      <c r="FR267" s="3" t="s">
        <v>195</v>
      </c>
      <c r="IC267" s="1540" t="str">
        <f t="shared" si="46"/>
        <v/>
      </c>
      <c r="ID267" s="1540" t="str">
        <f t="shared" si="45"/>
        <v/>
      </c>
    </row>
    <row r="268" spans="10:261">
      <c r="EN268" s="1323" t="s">
        <v>1248</v>
      </c>
      <c r="EO268" s="3" t="s">
        <v>155</v>
      </c>
      <c r="EP268" s="3" t="s">
        <v>160</v>
      </c>
      <c r="EQ268" s="3" t="s">
        <v>460</v>
      </c>
      <c r="ER268" s="3" t="s">
        <v>461</v>
      </c>
      <c r="ES268" s="19" t="s">
        <v>195</v>
      </c>
      <c r="EU268" s="19" t="s">
        <v>195</v>
      </c>
      <c r="EV268" s="19" t="s">
        <v>195</v>
      </c>
      <c r="EW268" s="19" t="s">
        <v>195</v>
      </c>
      <c r="EY268" s="19" t="s">
        <v>195</v>
      </c>
      <c r="EZ268" s="3" t="s">
        <v>195</v>
      </c>
      <c r="FA268" s="3" t="s">
        <v>3718</v>
      </c>
      <c r="FB268" s="3" t="s">
        <v>195</v>
      </c>
      <c r="FC268" s="3" t="s">
        <v>195</v>
      </c>
      <c r="FD268" s="3">
        <v>0</v>
      </c>
      <c r="FE268" s="3">
        <v>0</v>
      </c>
      <c r="FF268" s="3">
        <v>0</v>
      </c>
      <c r="FG268" s="3" t="s">
        <v>195</v>
      </c>
      <c r="FH268" s="3" t="s">
        <v>195</v>
      </c>
      <c r="FI268" s="3" t="s">
        <v>195</v>
      </c>
      <c r="FJ268" s="3" t="s">
        <v>195</v>
      </c>
      <c r="FL268" s="3">
        <v>0</v>
      </c>
      <c r="FM268" s="3">
        <v>0</v>
      </c>
      <c r="FN268" s="3">
        <v>0</v>
      </c>
      <c r="FO268" s="3">
        <v>0</v>
      </c>
      <c r="FP268" s="3">
        <v>0</v>
      </c>
      <c r="FQ268" s="3" t="str">
        <f t="shared" si="47"/>
        <v/>
      </c>
      <c r="FR268" s="3" t="s">
        <v>195</v>
      </c>
      <c r="IC268" s="1540" t="str">
        <f t="shared" si="46"/>
        <v/>
      </c>
      <c r="ID268" s="1540" t="str">
        <f t="shared" si="45"/>
        <v/>
      </c>
    </row>
    <row r="269" spans="10:261">
      <c r="EN269" s="1323" t="s">
        <v>1263</v>
      </c>
      <c r="EO269" s="3" t="s">
        <v>155</v>
      </c>
      <c r="EP269" s="3" t="s">
        <v>160</v>
      </c>
      <c r="EQ269" s="3" t="s">
        <v>460</v>
      </c>
      <c r="ER269" s="3" t="s">
        <v>461</v>
      </c>
      <c r="ES269" s="19" t="s">
        <v>195</v>
      </c>
      <c r="EU269" s="19" t="s">
        <v>195</v>
      </c>
      <c r="EV269" s="19" t="s">
        <v>195</v>
      </c>
      <c r="EW269" s="19" t="s">
        <v>195</v>
      </c>
      <c r="EY269" s="19" t="s">
        <v>195</v>
      </c>
      <c r="EZ269" s="3" t="s">
        <v>195</v>
      </c>
      <c r="FA269" s="3" t="s">
        <v>3718</v>
      </c>
      <c r="FB269" s="3" t="s">
        <v>195</v>
      </c>
      <c r="FC269" s="3" t="s">
        <v>195</v>
      </c>
      <c r="FD269" s="3">
        <v>0</v>
      </c>
      <c r="FE269" s="3">
        <v>0</v>
      </c>
      <c r="FF269" s="3">
        <v>0</v>
      </c>
      <c r="FG269" s="3" t="s">
        <v>195</v>
      </c>
      <c r="FH269" s="3" t="s">
        <v>195</v>
      </c>
      <c r="FI269" s="3" t="s">
        <v>195</v>
      </c>
      <c r="FJ269" s="3" t="s">
        <v>195</v>
      </c>
      <c r="FL269" s="3">
        <v>0</v>
      </c>
      <c r="FM269" s="3">
        <v>0</v>
      </c>
      <c r="FN269" s="3">
        <v>0</v>
      </c>
      <c r="FO269" s="3">
        <v>0</v>
      </c>
      <c r="FP269" s="3">
        <v>0</v>
      </c>
      <c r="FQ269" s="3" t="str">
        <f t="shared" si="47"/>
        <v/>
      </c>
      <c r="FR269" s="3" t="s">
        <v>195</v>
      </c>
      <c r="IC269" s="1540" t="str">
        <f t="shared" si="46"/>
        <v/>
      </c>
      <c r="ID269" s="1540" t="str">
        <f t="shared" si="45"/>
        <v/>
      </c>
    </row>
    <row r="270" spans="10:261">
      <c r="EN270" s="1323" t="s">
        <v>1274</v>
      </c>
      <c r="EO270" s="3" t="s">
        <v>155</v>
      </c>
      <c r="EP270" s="3" t="s">
        <v>160</v>
      </c>
      <c r="EQ270" s="3" t="s">
        <v>460</v>
      </c>
      <c r="ER270" s="3" t="s">
        <v>461</v>
      </c>
      <c r="ES270" s="19" t="s">
        <v>195</v>
      </c>
      <c r="EU270" s="19" t="s">
        <v>195</v>
      </c>
      <c r="EV270" s="19" t="s">
        <v>195</v>
      </c>
      <c r="EW270" s="19" t="s">
        <v>195</v>
      </c>
      <c r="EY270" s="19" t="s">
        <v>195</v>
      </c>
      <c r="EZ270" s="3" t="s">
        <v>195</v>
      </c>
      <c r="FA270" s="3" t="s">
        <v>3718</v>
      </c>
      <c r="FB270" s="3" t="s">
        <v>195</v>
      </c>
      <c r="FC270" s="3" t="s">
        <v>195</v>
      </c>
      <c r="FD270" s="3">
        <v>0</v>
      </c>
      <c r="FE270" s="3">
        <v>0</v>
      </c>
      <c r="FF270" s="3">
        <v>0</v>
      </c>
      <c r="FG270" s="3" t="s">
        <v>195</v>
      </c>
      <c r="FH270" s="3" t="s">
        <v>195</v>
      </c>
      <c r="FI270" s="3" t="s">
        <v>195</v>
      </c>
      <c r="FJ270" s="3" t="s">
        <v>195</v>
      </c>
      <c r="FL270" s="3">
        <v>0</v>
      </c>
      <c r="FM270" s="3">
        <v>0</v>
      </c>
      <c r="FN270" s="3">
        <v>0</v>
      </c>
      <c r="FO270" s="3">
        <v>0</v>
      </c>
      <c r="FP270" s="3">
        <v>0</v>
      </c>
      <c r="FQ270" s="3" t="str">
        <f t="shared" si="47"/>
        <v/>
      </c>
      <c r="FR270" s="3" t="s">
        <v>195</v>
      </c>
      <c r="IC270" s="1540" t="str">
        <f t="shared" si="46"/>
        <v/>
      </c>
      <c r="ID270" s="1540" t="str">
        <f t="shared" si="45"/>
        <v/>
      </c>
    </row>
    <row r="271" spans="10:261">
      <c r="EN271" s="1323" t="s">
        <v>1280</v>
      </c>
      <c r="EO271" s="3" t="s">
        <v>155</v>
      </c>
      <c r="EP271" s="3" t="s">
        <v>160</v>
      </c>
      <c r="EQ271" s="3" t="s">
        <v>460</v>
      </c>
      <c r="ER271" s="3" t="s">
        <v>461</v>
      </c>
      <c r="ES271" s="19" t="s">
        <v>195</v>
      </c>
      <c r="EU271" s="19" t="s">
        <v>195</v>
      </c>
      <c r="EV271" s="19" t="s">
        <v>195</v>
      </c>
      <c r="EW271" s="19" t="s">
        <v>195</v>
      </c>
      <c r="EY271" s="19" t="s">
        <v>195</v>
      </c>
      <c r="EZ271" s="3" t="s">
        <v>195</v>
      </c>
      <c r="FA271" s="3" t="s">
        <v>3718</v>
      </c>
      <c r="FB271" s="3" t="s">
        <v>195</v>
      </c>
      <c r="FC271" s="3" t="s">
        <v>195</v>
      </c>
      <c r="FD271" s="3">
        <v>0</v>
      </c>
      <c r="FE271" s="3">
        <v>0</v>
      </c>
      <c r="FF271" s="3">
        <v>0</v>
      </c>
      <c r="FG271" s="3" t="s">
        <v>195</v>
      </c>
      <c r="FH271" s="3" t="s">
        <v>195</v>
      </c>
      <c r="FI271" s="3" t="s">
        <v>195</v>
      </c>
      <c r="FJ271" s="3" t="s">
        <v>195</v>
      </c>
      <c r="FL271" s="3">
        <v>0</v>
      </c>
      <c r="FM271" s="3">
        <v>0</v>
      </c>
      <c r="FN271" s="3">
        <v>0</v>
      </c>
      <c r="FO271" s="3">
        <v>0</v>
      </c>
      <c r="FP271" s="3">
        <v>0</v>
      </c>
      <c r="FQ271" s="3" t="str">
        <f t="shared" si="47"/>
        <v/>
      </c>
      <c r="FR271" s="3" t="s">
        <v>195</v>
      </c>
      <c r="IC271" s="1540" t="str">
        <f t="shared" si="46"/>
        <v/>
      </c>
      <c r="ID271" s="1540" t="str">
        <f t="shared" si="45"/>
        <v/>
      </c>
    </row>
    <row r="272" spans="10:261">
      <c r="EN272" s="1323" t="s">
        <v>1288</v>
      </c>
      <c r="EO272" s="3" t="s">
        <v>155</v>
      </c>
      <c r="EP272" s="3" t="s">
        <v>160</v>
      </c>
      <c r="EQ272" s="3" t="s">
        <v>460</v>
      </c>
      <c r="ER272" s="3" t="s">
        <v>461</v>
      </c>
      <c r="ES272" s="19" t="s">
        <v>195</v>
      </c>
      <c r="EU272" s="19" t="s">
        <v>195</v>
      </c>
      <c r="EV272" s="19" t="s">
        <v>195</v>
      </c>
      <c r="EW272" s="19" t="s">
        <v>195</v>
      </c>
      <c r="EY272" s="19" t="s">
        <v>195</v>
      </c>
      <c r="EZ272" s="3" t="s">
        <v>195</v>
      </c>
      <c r="FA272" s="3" t="s">
        <v>3718</v>
      </c>
      <c r="FB272" s="3" t="s">
        <v>195</v>
      </c>
      <c r="FC272" s="3" t="s">
        <v>195</v>
      </c>
      <c r="FD272" s="3">
        <v>0</v>
      </c>
      <c r="FE272" s="3">
        <v>0</v>
      </c>
      <c r="FF272" s="3">
        <v>0</v>
      </c>
      <c r="FG272" s="3" t="s">
        <v>195</v>
      </c>
      <c r="FH272" s="3" t="s">
        <v>195</v>
      </c>
      <c r="FI272" s="3" t="s">
        <v>195</v>
      </c>
      <c r="FJ272" s="3" t="s">
        <v>195</v>
      </c>
      <c r="FL272" s="3">
        <v>0</v>
      </c>
      <c r="FM272" s="3">
        <v>0</v>
      </c>
      <c r="FN272" s="3">
        <v>0</v>
      </c>
      <c r="FO272" s="3">
        <v>0</v>
      </c>
      <c r="FP272" s="3">
        <v>0</v>
      </c>
      <c r="FQ272" s="3" t="str">
        <f t="shared" si="47"/>
        <v/>
      </c>
      <c r="FR272" s="3" t="s">
        <v>195</v>
      </c>
      <c r="IC272" s="1540" t="str">
        <f t="shared" si="46"/>
        <v/>
      </c>
      <c r="ID272" s="1540" t="str">
        <f t="shared" si="45"/>
        <v/>
      </c>
    </row>
    <row r="273" spans="144:238">
      <c r="EN273" s="1335"/>
      <c r="EO273" s="1167"/>
      <c r="EP273" s="1167"/>
      <c r="EQ273" s="1167"/>
      <c r="ER273" s="1167"/>
      <c r="ES273" s="1168"/>
      <c r="ET273" s="1168"/>
      <c r="EU273" s="1168"/>
      <c r="EV273" s="1168"/>
      <c r="EW273" s="1168"/>
      <c r="EX273" s="1168"/>
      <c r="EY273" s="1168"/>
      <c r="EZ273" s="1167"/>
      <c r="FA273" s="1167"/>
      <c r="FB273" s="1167"/>
      <c r="FC273" s="1167"/>
      <c r="FD273" s="1167"/>
      <c r="FE273" s="1167"/>
      <c r="FF273" s="1167"/>
      <c r="FG273" s="1167"/>
      <c r="FH273" s="1167"/>
      <c r="FI273" s="1167"/>
      <c r="FJ273" s="1167"/>
      <c r="FK273" s="1167"/>
      <c r="FL273" s="1167"/>
      <c r="FM273" s="1167"/>
      <c r="FN273" s="1167"/>
      <c r="FO273" s="1167"/>
      <c r="FP273" s="1167"/>
      <c r="FQ273" s="1167"/>
      <c r="FR273" s="1167"/>
      <c r="FS273" s="1169"/>
      <c r="IC273" s="1540" t="str">
        <f t="shared" si="46"/>
        <v/>
      </c>
      <c r="ID273" s="1540" t="str">
        <f t="shared" si="45"/>
        <v/>
      </c>
    </row>
    <row r="274" spans="144:238">
      <c r="IC274" s="1540" t="str">
        <f t="shared" si="46"/>
        <v/>
      </c>
      <c r="ID274" s="1540" t="str">
        <f t="shared" si="45"/>
        <v/>
      </c>
    </row>
    <row r="275" spans="144:238">
      <c r="IC275" s="1540" t="str">
        <f t="shared" si="46"/>
        <v/>
      </c>
      <c r="ID275" s="1540" t="str">
        <f t="shared" si="45"/>
        <v/>
      </c>
    </row>
    <row r="276" spans="144:238">
      <c r="IC276" s="1540" t="str">
        <f t="shared" si="46"/>
        <v/>
      </c>
      <c r="ID276" s="1540" t="str">
        <f t="shared" si="45"/>
        <v/>
      </c>
    </row>
    <row r="277" spans="144:238">
      <c r="IC277" s="1540" t="str">
        <f t="shared" si="46"/>
        <v/>
      </c>
      <c r="ID277" s="1540" t="str">
        <f t="shared" si="45"/>
        <v/>
      </c>
    </row>
    <row r="278" spans="144:238">
      <c r="IC278" s="1540" t="str">
        <f t="shared" si="46"/>
        <v/>
      </c>
      <c r="ID278" s="1540" t="str">
        <f t="shared" si="45"/>
        <v/>
      </c>
    </row>
    <row r="279" spans="144:238">
      <c r="IC279" s="1540" t="str">
        <f t="shared" si="46"/>
        <v/>
      </c>
      <c r="ID279" s="1540" t="str">
        <f t="shared" si="45"/>
        <v/>
      </c>
    </row>
    <row r="280" spans="144:238">
      <c r="IC280" s="1540" t="str">
        <f t="shared" si="46"/>
        <v/>
      </c>
      <c r="ID280" s="1540" t="str">
        <f t="shared" si="45"/>
        <v/>
      </c>
    </row>
    <row r="281" spans="144:238">
      <c r="IC281" s="1540" t="str">
        <f t="shared" si="46"/>
        <v/>
      </c>
      <c r="ID281" s="1540" t="str">
        <f t="shared" si="45"/>
        <v/>
      </c>
    </row>
    <row r="282" spans="144:238">
      <c r="IC282" s="1540" t="str">
        <f t="shared" si="46"/>
        <v/>
      </c>
      <c r="ID282" s="1540" t="str">
        <f t="shared" si="45"/>
        <v/>
      </c>
    </row>
    <row r="283" spans="144:238">
      <c r="IC283" s="1540" t="str">
        <f t="shared" si="46"/>
        <v/>
      </c>
      <c r="ID283" s="1540" t="str">
        <f t="shared" si="45"/>
        <v/>
      </c>
    </row>
    <row r="284" spans="144:238">
      <c r="IC284" s="1540" t="str">
        <f t="shared" si="46"/>
        <v/>
      </c>
      <c r="ID284" s="1540" t="str">
        <f t="shared" si="45"/>
        <v/>
      </c>
    </row>
    <row r="285" spans="144:238">
      <c r="IC285" s="1540" t="str">
        <f t="shared" si="46"/>
        <v/>
      </c>
      <c r="ID285" s="1540" t="str">
        <f t="shared" si="45"/>
        <v/>
      </c>
    </row>
    <row r="286" spans="144:238">
      <c r="IC286" s="1540" t="str">
        <f t="shared" si="46"/>
        <v/>
      </c>
      <c r="ID286" s="1540" t="str">
        <f t="shared" si="45"/>
        <v/>
      </c>
    </row>
    <row r="287" spans="144:238">
      <c r="IC287" s="1540" t="str">
        <f t="shared" si="46"/>
        <v/>
      </c>
      <c r="ID287" s="1540" t="str">
        <f t="shared" si="45"/>
        <v/>
      </c>
    </row>
    <row r="288" spans="144:238">
      <c r="IC288" s="1540" t="str">
        <f t="shared" si="46"/>
        <v/>
      </c>
      <c r="ID288" s="1540" t="str">
        <f t="shared" si="45"/>
        <v/>
      </c>
    </row>
    <row r="289" spans="13:238">
      <c r="IC289" s="1540" t="str">
        <f t="shared" si="46"/>
        <v/>
      </c>
      <c r="ID289" s="1540" t="str">
        <f t="shared" si="45"/>
        <v/>
      </c>
    </row>
    <row r="290" spans="13:238">
      <c r="IC290" s="1540" t="str">
        <f t="shared" si="46"/>
        <v/>
      </c>
      <c r="ID290" s="1540" t="str">
        <f t="shared" si="45"/>
        <v/>
      </c>
    </row>
    <row r="291" spans="13:238">
      <c r="M291" s="4"/>
      <c r="N291" s="4"/>
      <c r="O291" s="4"/>
      <c r="P291" s="4"/>
      <c r="Q291" s="4"/>
      <c r="R291" s="4"/>
      <c r="IC291" s="1540" t="str">
        <f t="shared" si="46"/>
        <v/>
      </c>
      <c r="ID291" s="1540" t="str">
        <f t="shared" si="45"/>
        <v/>
      </c>
    </row>
    <row r="292" spans="13:238">
      <c r="M292" s="4"/>
      <c r="N292" s="4"/>
      <c r="O292" s="4"/>
      <c r="P292" s="4"/>
      <c r="Q292" s="4"/>
      <c r="R292" s="4"/>
      <c r="IC292" s="1540" t="str">
        <f t="shared" si="46"/>
        <v/>
      </c>
      <c r="ID292" s="1540" t="str">
        <f t="shared" si="45"/>
        <v/>
      </c>
    </row>
    <row r="293" spans="13:238">
      <c r="M293" s="4"/>
      <c r="N293" s="4"/>
      <c r="O293" s="4"/>
      <c r="P293" s="4"/>
      <c r="Q293" s="4"/>
      <c r="R293" s="4"/>
      <c r="IC293" s="1540" t="str">
        <f t="shared" si="46"/>
        <v/>
      </c>
      <c r="ID293" s="1540" t="str">
        <f t="shared" si="45"/>
        <v/>
      </c>
    </row>
    <row r="294" spans="13:238">
      <c r="M294" s="4"/>
      <c r="N294" s="4"/>
      <c r="O294" s="4"/>
      <c r="P294" s="4"/>
      <c r="Q294" s="4"/>
      <c r="R294" s="4"/>
      <c r="IC294" s="1540" t="str">
        <f t="shared" si="46"/>
        <v/>
      </c>
      <c r="ID294" s="1540" t="str">
        <f t="shared" si="45"/>
        <v/>
      </c>
    </row>
    <row r="295" spans="13:238">
      <c r="M295" s="4"/>
      <c r="N295" s="4"/>
      <c r="O295" s="4"/>
      <c r="P295" s="4"/>
      <c r="Q295" s="4"/>
      <c r="R295" s="4"/>
      <c r="IC295" s="1540" t="str">
        <f t="shared" si="46"/>
        <v/>
      </c>
      <c r="ID295" s="1540" t="str">
        <f t="shared" si="45"/>
        <v/>
      </c>
    </row>
    <row r="296" spans="13:238">
      <c r="M296" s="4"/>
      <c r="N296" s="4"/>
      <c r="O296" s="4"/>
      <c r="P296" s="4"/>
      <c r="Q296" s="4"/>
      <c r="R296" s="4"/>
      <c r="IC296" s="1540" t="str">
        <f t="shared" si="46"/>
        <v/>
      </c>
      <c r="ID296" s="1540" t="str">
        <f t="shared" si="45"/>
        <v/>
      </c>
    </row>
    <row r="297" spans="13:238">
      <c r="M297" s="4"/>
      <c r="N297" s="4"/>
      <c r="O297" s="4"/>
      <c r="P297" s="4"/>
      <c r="Q297" s="4"/>
      <c r="R297" s="4"/>
      <c r="IC297" s="1540" t="str">
        <f t="shared" si="46"/>
        <v/>
      </c>
      <c r="ID297" s="1540" t="str">
        <f t="shared" si="45"/>
        <v/>
      </c>
    </row>
    <row r="298" spans="13:238">
      <c r="M298" s="4"/>
      <c r="N298" s="4"/>
      <c r="O298" s="4"/>
      <c r="P298" s="4"/>
      <c r="Q298" s="4"/>
      <c r="R298" s="4"/>
      <c r="IC298" s="1540" t="str">
        <f t="shared" si="46"/>
        <v/>
      </c>
      <c r="ID298" s="1540" t="str">
        <f t="shared" si="45"/>
        <v/>
      </c>
    </row>
    <row r="299" spans="13:238">
      <c r="M299" s="4"/>
      <c r="N299" s="4"/>
      <c r="O299" s="4"/>
      <c r="P299" s="4"/>
      <c r="Q299" s="4"/>
      <c r="R299" s="4"/>
      <c r="IC299" s="1540" t="str">
        <f t="shared" si="46"/>
        <v/>
      </c>
      <c r="ID299" s="1540" t="str">
        <f t="shared" si="45"/>
        <v/>
      </c>
    </row>
    <row r="300" spans="13:238">
      <c r="M300" s="4"/>
      <c r="N300" s="4"/>
      <c r="O300" s="4"/>
      <c r="P300" s="4"/>
      <c r="Q300" s="4"/>
      <c r="R300" s="4"/>
      <c r="IC300" s="1540" t="str">
        <f t="shared" si="46"/>
        <v/>
      </c>
      <c r="ID300" s="1540" t="str">
        <f t="shared" si="45"/>
        <v/>
      </c>
    </row>
    <row r="301" spans="13:238">
      <c r="M301" s="4"/>
      <c r="N301" s="4"/>
      <c r="O301" s="4"/>
      <c r="P301" s="4"/>
      <c r="Q301" s="4"/>
      <c r="R301" s="4"/>
      <c r="ID301" s="570" t="s">
        <v>195</v>
      </c>
    </row>
    <row r="302" spans="13:238">
      <c r="M302" s="4"/>
      <c r="N302" s="4"/>
      <c r="O302" s="4"/>
      <c r="P302" s="4"/>
      <c r="Q302" s="4"/>
      <c r="R302" s="4"/>
    </row>
    <row r="303" spans="13:238">
      <c r="M303" s="4"/>
      <c r="N303" s="4"/>
      <c r="O303" s="4"/>
      <c r="P303" s="4"/>
      <c r="Q303" s="4"/>
      <c r="R303" s="4"/>
    </row>
    <row r="304" spans="13:238">
      <c r="M304" s="4"/>
      <c r="N304" s="4"/>
      <c r="O304" s="4"/>
      <c r="P304" s="4"/>
      <c r="Q304" s="4"/>
      <c r="R304" s="4"/>
    </row>
    <row r="305" spans="13:18">
      <c r="M305" s="4"/>
      <c r="N305" s="4"/>
      <c r="O305" s="4"/>
      <c r="P305" s="4"/>
      <c r="Q305" s="4"/>
      <c r="R305" s="4"/>
    </row>
    <row r="306" spans="13:18">
      <c r="M306" s="4"/>
      <c r="N306" s="4"/>
      <c r="O306" s="4"/>
      <c r="P306" s="4"/>
      <c r="Q306" s="4"/>
      <c r="R306" s="4"/>
    </row>
    <row r="307" spans="13:18">
      <c r="M307" s="4"/>
      <c r="N307" s="4"/>
      <c r="O307" s="4"/>
      <c r="P307" s="4"/>
      <c r="Q307" s="4"/>
      <c r="R307" s="4"/>
    </row>
    <row r="308" spans="13:18">
      <c r="M308" s="4"/>
      <c r="N308" s="4"/>
      <c r="O308" s="4"/>
      <c r="P308" s="4"/>
      <c r="Q308" s="4"/>
      <c r="R308" s="4"/>
    </row>
    <row r="309" spans="13:18">
      <c r="M309" s="4"/>
      <c r="N309" s="4"/>
      <c r="O309" s="4"/>
      <c r="P309" s="4"/>
      <c r="Q309" s="4"/>
      <c r="R309" s="4"/>
    </row>
    <row r="310" spans="13:18">
      <c r="M310" s="4"/>
      <c r="N310" s="4"/>
      <c r="O310" s="4"/>
      <c r="P310" s="4"/>
      <c r="Q310" s="4"/>
      <c r="R310" s="4"/>
    </row>
    <row r="311" spans="13:18">
      <c r="M311" s="4"/>
      <c r="N311" s="4"/>
      <c r="O311" s="4"/>
      <c r="P311" s="4"/>
      <c r="Q311" s="4"/>
      <c r="R311" s="4"/>
    </row>
    <row r="312" spans="13:18">
      <c r="M312" s="4"/>
      <c r="N312" s="4"/>
      <c r="O312" s="4"/>
      <c r="P312" s="4"/>
      <c r="Q312" s="4"/>
      <c r="R312" s="4"/>
    </row>
    <row r="313" spans="13:18">
      <c r="M313" s="4"/>
      <c r="N313" s="4"/>
      <c r="O313" s="4"/>
      <c r="P313" s="4"/>
      <c r="Q313" s="4"/>
      <c r="R313" s="4"/>
    </row>
    <row r="314" spans="13:18">
      <c r="M314" s="4"/>
      <c r="N314" s="4"/>
      <c r="O314" s="4"/>
      <c r="P314" s="4"/>
      <c r="Q314" s="4"/>
      <c r="R314" s="4"/>
    </row>
    <row r="315" spans="13:18">
      <c r="M315" s="4"/>
      <c r="N315" s="4"/>
      <c r="O315" s="4"/>
      <c r="P315" s="4"/>
      <c r="Q315" s="4"/>
      <c r="R315" s="4"/>
    </row>
    <row r="316" spans="13:18">
      <c r="M316" s="4"/>
      <c r="N316" s="4"/>
      <c r="O316" s="4"/>
      <c r="P316" s="4"/>
      <c r="Q316" s="4"/>
      <c r="R316" s="4"/>
    </row>
    <row r="317" spans="13:18">
      <c r="M317" s="4"/>
      <c r="N317" s="4"/>
      <c r="O317" s="4"/>
      <c r="P317" s="4"/>
      <c r="Q317" s="4"/>
      <c r="R317" s="4"/>
    </row>
    <row r="318" spans="13:18">
      <c r="M318" s="4"/>
      <c r="N318" s="4"/>
      <c r="O318" s="4"/>
      <c r="P318" s="4"/>
      <c r="Q318" s="4"/>
      <c r="R318" s="4"/>
    </row>
    <row r="319" spans="13:18">
      <c r="M319" s="4"/>
      <c r="N319" s="4"/>
      <c r="O319" s="4"/>
      <c r="P319" s="4"/>
      <c r="Q319" s="4"/>
      <c r="R319" s="4"/>
    </row>
    <row r="320" spans="13:18">
      <c r="M320" s="4"/>
      <c r="N320" s="4"/>
      <c r="O320" s="4"/>
      <c r="P320" s="4"/>
      <c r="Q320" s="4"/>
      <c r="R320" s="4"/>
    </row>
    <row r="321" spans="13:18">
      <c r="M321" s="4"/>
      <c r="N321" s="4"/>
      <c r="O321" s="4"/>
      <c r="P321" s="4"/>
      <c r="Q321" s="4"/>
      <c r="R321" s="4"/>
    </row>
    <row r="322" spans="13:18">
      <c r="M322" s="4"/>
      <c r="N322" s="4"/>
      <c r="O322" s="4"/>
      <c r="P322" s="4"/>
      <c r="Q322" s="4"/>
      <c r="R322" s="4"/>
    </row>
    <row r="323" spans="13:18">
      <c r="M323" s="4"/>
      <c r="N323" s="4"/>
      <c r="O323" s="4"/>
      <c r="P323" s="4"/>
      <c r="Q323" s="4"/>
      <c r="R323" s="4"/>
    </row>
    <row r="324" spans="13:18">
      <c r="M324" s="4"/>
      <c r="N324" s="4"/>
      <c r="O324" s="4"/>
      <c r="P324" s="4"/>
      <c r="Q324" s="4"/>
      <c r="R324" s="4"/>
    </row>
    <row r="325" spans="13:18">
      <c r="M325" s="4"/>
      <c r="N325" s="4"/>
      <c r="O325" s="4"/>
      <c r="P325" s="4"/>
      <c r="Q325" s="4"/>
      <c r="R325" s="4"/>
    </row>
    <row r="326" spans="13:18">
      <c r="M326" s="4"/>
      <c r="N326" s="4"/>
      <c r="O326" s="4"/>
      <c r="P326" s="4"/>
      <c r="Q326" s="4"/>
      <c r="R326" s="4"/>
    </row>
    <row r="327" spans="13:18">
      <c r="M327" s="4"/>
      <c r="N327" s="4"/>
      <c r="O327" s="4"/>
      <c r="P327" s="4"/>
      <c r="Q327" s="4"/>
      <c r="R327" s="4"/>
    </row>
    <row r="328" spans="13:18">
      <c r="M328" s="4"/>
      <c r="N328" s="4"/>
      <c r="O328" s="4"/>
      <c r="P328" s="4"/>
      <c r="Q328" s="4"/>
      <c r="R328" s="4"/>
    </row>
    <row r="329" spans="13:18">
      <c r="M329" s="4"/>
      <c r="N329" s="4"/>
      <c r="O329" s="4"/>
      <c r="P329" s="4"/>
      <c r="Q329" s="4"/>
      <c r="R329" s="4"/>
    </row>
    <row r="330" spans="13:18">
      <c r="M330" s="4"/>
      <c r="N330" s="4"/>
      <c r="O330" s="4"/>
      <c r="P330" s="4"/>
      <c r="Q330" s="4"/>
      <c r="R330" s="4"/>
    </row>
    <row r="331" spans="13:18">
      <c r="M331" s="4"/>
      <c r="N331" s="4"/>
      <c r="O331" s="4"/>
      <c r="P331" s="4"/>
      <c r="Q331" s="4"/>
      <c r="R331" s="4"/>
    </row>
    <row r="332" spans="13:18">
      <c r="M332" s="4"/>
      <c r="N332" s="4"/>
      <c r="O332" s="4"/>
      <c r="P332" s="4"/>
      <c r="Q332" s="4"/>
      <c r="R332" s="4"/>
    </row>
    <row r="333" spans="13:18">
      <c r="M333" s="4"/>
      <c r="N333" s="4"/>
      <c r="O333" s="4"/>
      <c r="P333" s="4"/>
      <c r="Q333" s="4"/>
      <c r="R333" s="4"/>
    </row>
    <row r="334" spans="13:18">
      <c r="M334" s="4"/>
      <c r="N334" s="4"/>
      <c r="O334" s="4"/>
      <c r="P334" s="4"/>
      <c r="Q334" s="4"/>
      <c r="R334" s="4"/>
    </row>
    <row r="335" spans="13:18">
      <c r="M335" s="4"/>
      <c r="N335" s="4"/>
      <c r="O335" s="4"/>
      <c r="P335" s="4"/>
      <c r="Q335" s="4"/>
      <c r="R335" s="4"/>
    </row>
    <row r="336" spans="13:18">
      <c r="M336" s="4"/>
      <c r="N336" s="4"/>
      <c r="O336" s="4"/>
      <c r="P336" s="4"/>
      <c r="Q336" s="4"/>
      <c r="R336" s="4"/>
    </row>
    <row r="337" spans="13:18">
      <c r="M337" s="4"/>
      <c r="N337" s="4"/>
      <c r="O337" s="4"/>
      <c r="P337" s="4"/>
      <c r="Q337" s="4"/>
      <c r="R337" s="4"/>
    </row>
    <row r="338" spans="13:18">
      <c r="M338" s="4"/>
      <c r="N338" s="4"/>
      <c r="O338" s="4"/>
      <c r="P338" s="4"/>
      <c r="Q338" s="4"/>
      <c r="R338" s="4"/>
    </row>
    <row r="339" spans="13:18">
      <c r="M339" s="4"/>
      <c r="N339" s="4"/>
      <c r="O339" s="4"/>
      <c r="P339" s="4"/>
      <c r="Q339" s="4"/>
      <c r="R339" s="4"/>
    </row>
    <row r="340" spans="13:18">
      <c r="M340" s="4"/>
      <c r="N340" s="4"/>
      <c r="O340" s="4"/>
      <c r="P340" s="4"/>
      <c r="Q340" s="4"/>
      <c r="R340" s="4"/>
    </row>
    <row r="341" spans="13:18">
      <c r="M341" s="4"/>
      <c r="N341" s="4"/>
      <c r="O341" s="4"/>
      <c r="P341" s="4"/>
      <c r="Q341" s="4"/>
      <c r="R341" s="4"/>
    </row>
    <row r="342" spans="13:18">
      <c r="M342" s="4"/>
      <c r="N342" s="4"/>
      <c r="O342" s="4"/>
      <c r="P342" s="4"/>
      <c r="Q342" s="4"/>
      <c r="R342" s="4"/>
    </row>
    <row r="343" spans="13:18">
      <c r="M343" s="4"/>
      <c r="N343" s="4"/>
      <c r="O343" s="4"/>
      <c r="P343" s="4"/>
      <c r="Q343" s="4"/>
      <c r="R343" s="4"/>
    </row>
    <row r="344" spans="13:18">
      <c r="M344" s="4"/>
      <c r="N344" s="4"/>
      <c r="O344" s="4"/>
      <c r="P344" s="4"/>
      <c r="Q344" s="4"/>
      <c r="R344" s="4"/>
    </row>
    <row r="345" spans="13:18">
      <c r="M345" s="4"/>
      <c r="N345" s="4"/>
      <c r="O345" s="4"/>
      <c r="P345" s="4"/>
      <c r="Q345" s="4"/>
      <c r="R345" s="4"/>
    </row>
    <row r="346" spans="13:18">
      <c r="M346" s="4"/>
      <c r="N346" s="4"/>
      <c r="O346" s="4"/>
      <c r="P346" s="4"/>
      <c r="Q346" s="4"/>
      <c r="R346" s="4"/>
    </row>
    <row r="347" spans="13:18">
      <c r="M347" s="4"/>
      <c r="N347" s="4"/>
      <c r="O347" s="4"/>
      <c r="P347" s="4"/>
      <c r="Q347" s="4"/>
      <c r="R347" s="4"/>
    </row>
    <row r="348" spans="13:18">
      <c r="M348" s="4"/>
      <c r="N348" s="4"/>
      <c r="O348" s="4"/>
      <c r="P348" s="4"/>
      <c r="Q348" s="4"/>
      <c r="R348" s="4"/>
    </row>
    <row r="349" spans="13:18">
      <c r="M349" s="4"/>
      <c r="N349" s="4"/>
      <c r="O349" s="4"/>
      <c r="P349" s="4"/>
      <c r="Q349" s="4"/>
      <c r="R349" s="4"/>
    </row>
    <row r="350" spans="13:18">
      <c r="M350" s="4"/>
      <c r="N350" s="4"/>
      <c r="O350" s="4"/>
      <c r="P350" s="4"/>
      <c r="Q350" s="4"/>
      <c r="R350" s="4"/>
    </row>
    <row r="351" spans="13:18">
      <c r="M351" s="4"/>
      <c r="N351" s="4"/>
      <c r="O351" s="4"/>
      <c r="P351" s="4"/>
      <c r="Q351" s="4"/>
      <c r="R351" s="4"/>
    </row>
    <row r="352" spans="13:18">
      <c r="M352" s="4"/>
      <c r="N352" s="4"/>
      <c r="O352" s="4"/>
      <c r="P352" s="4"/>
      <c r="Q352" s="4"/>
      <c r="R352" s="4"/>
    </row>
    <row r="353" spans="13:18">
      <c r="M353" s="4"/>
      <c r="N353" s="4"/>
      <c r="O353" s="4"/>
      <c r="P353" s="4"/>
      <c r="Q353" s="4"/>
      <c r="R353" s="4"/>
    </row>
    <row r="354" spans="13:18">
      <c r="M354" s="4"/>
      <c r="N354" s="4"/>
      <c r="O354" s="4"/>
      <c r="P354" s="4"/>
      <c r="Q354" s="4"/>
      <c r="R354" s="4"/>
    </row>
    <row r="355" spans="13:18">
      <c r="M355" s="4"/>
      <c r="N355" s="4"/>
      <c r="O355" s="4"/>
      <c r="P355" s="4"/>
      <c r="Q355" s="4"/>
      <c r="R355" s="4"/>
    </row>
    <row r="356" spans="13:18">
      <c r="M356" s="4"/>
      <c r="N356" s="4"/>
      <c r="O356" s="4"/>
      <c r="P356" s="4"/>
      <c r="Q356" s="4"/>
      <c r="R356" s="4"/>
    </row>
    <row r="357" spans="13:18">
      <c r="M357" s="4"/>
      <c r="N357" s="4"/>
      <c r="O357" s="4"/>
      <c r="P357" s="4"/>
      <c r="Q357" s="4"/>
      <c r="R357" s="4"/>
    </row>
    <row r="358" spans="13:18">
      <c r="M358" s="4"/>
      <c r="N358" s="4"/>
      <c r="O358" s="4"/>
      <c r="P358" s="4"/>
      <c r="Q358" s="4"/>
      <c r="R358" s="4"/>
    </row>
    <row r="359" spans="13:18">
      <c r="M359" s="4"/>
      <c r="N359" s="4"/>
      <c r="O359" s="4"/>
      <c r="P359" s="4"/>
      <c r="Q359" s="4"/>
      <c r="R359" s="4"/>
    </row>
    <row r="360" spans="13:18">
      <c r="M360" s="4"/>
      <c r="N360" s="4"/>
      <c r="O360" s="4"/>
      <c r="P360" s="4"/>
      <c r="Q360" s="4"/>
      <c r="R360" s="4"/>
    </row>
    <row r="361" spans="13:18">
      <c r="M361" s="4"/>
      <c r="N361" s="4"/>
      <c r="O361" s="4"/>
      <c r="P361" s="4"/>
      <c r="Q361" s="4"/>
      <c r="R361" s="4"/>
    </row>
    <row r="362" spans="13:18">
      <c r="M362" s="4"/>
      <c r="N362" s="4"/>
      <c r="O362" s="4"/>
      <c r="P362" s="4"/>
      <c r="Q362" s="4"/>
      <c r="R362" s="4"/>
    </row>
    <row r="363" spans="13:18">
      <c r="M363" s="4"/>
      <c r="N363" s="4"/>
      <c r="O363" s="4"/>
      <c r="P363" s="4"/>
      <c r="Q363" s="4"/>
      <c r="R363" s="4"/>
    </row>
    <row r="364" spans="13:18">
      <c r="M364" s="4"/>
      <c r="N364" s="4"/>
      <c r="O364" s="4"/>
      <c r="P364" s="4"/>
      <c r="Q364" s="4"/>
      <c r="R364" s="4"/>
    </row>
    <row r="365" spans="13:18">
      <c r="M365" s="4"/>
      <c r="N365" s="4"/>
      <c r="O365" s="4"/>
      <c r="P365" s="4"/>
      <c r="Q365" s="4"/>
      <c r="R365" s="4"/>
    </row>
    <row r="366" spans="13:18">
      <c r="M366" s="4"/>
      <c r="N366" s="4"/>
      <c r="O366" s="4"/>
      <c r="P366" s="4"/>
      <c r="Q366" s="4"/>
      <c r="R366" s="4"/>
    </row>
    <row r="367" spans="13:18">
      <c r="M367" s="4"/>
      <c r="N367" s="4"/>
      <c r="O367" s="4"/>
      <c r="P367" s="4"/>
      <c r="Q367" s="4"/>
      <c r="R367" s="4"/>
    </row>
    <row r="368" spans="13:18">
      <c r="M368" s="4"/>
      <c r="N368" s="4"/>
      <c r="O368" s="4"/>
      <c r="P368" s="4"/>
      <c r="Q368" s="4"/>
      <c r="R368" s="4"/>
    </row>
    <row r="369" spans="13:18">
      <c r="M369" s="4"/>
      <c r="N369" s="4"/>
      <c r="O369" s="4"/>
      <c r="P369" s="4"/>
      <c r="Q369" s="4"/>
      <c r="R369" s="4"/>
    </row>
    <row r="370" spans="13:18">
      <c r="M370" s="4"/>
      <c r="N370" s="4"/>
      <c r="O370" s="4"/>
      <c r="P370" s="4"/>
      <c r="Q370" s="4"/>
      <c r="R370" s="4"/>
    </row>
    <row r="371" spans="13:18">
      <c r="M371" s="4"/>
      <c r="N371" s="4"/>
      <c r="O371" s="4"/>
      <c r="P371" s="4"/>
      <c r="Q371" s="4"/>
      <c r="R371" s="4"/>
    </row>
    <row r="372" spans="13:18">
      <c r="M372" s="4"/>
      <c r="N372" s="4"/>
      <c r="O372" s="4"/>
      <c r="P372" s="4"/>
      <c r="Q372" s="4"/>
      <c r="R372" s="4"/>
    </row>
    <row r="373" spans="13:18">
      <c r="M373" s="4"/>
      <c r="N373" s="4"/>
      <c r="O373" s="4"/>
      <c r="P373" s="4"/>
      <c r="Q373" s="4"/>
      <c r="R373" s="4"/>
    </row>
    <row r="374" spans="13:18">
      <c r="M374" s="4"/>
      <c r="N374" s="4"/>
      <c r="O374" s="4"/>
      <c r="P374" s="4"/>
      <c r="Q374" s="4"/>
      <c r="R374" s="4"/>
    </row>
    <row r="375" spans="13:18">
      <c r="M375" s="4"/>
      <c r="N375" s="4"/>
      <c r="O375" s="4"/>
      <c r="P375" s="4"/>
      <c r="Q375" s="4"/>
      <c r="R375" s="4"/>
    </row>
    <row r="376" spans="13:18">
      <c r="M376" s="4"/>
      <c r="N376" s="4"/>
      <c r="O376" s="4"/>
      <c r="P376" s="4"/>
      <c r="Q376" s="4"/>
      <c r="R376" s="4"/>
    </row>
    <row r="377" spans="13:18">
      <c r="M377" s="4"/>
      <c r="N377" s="4"/>
      <c r="O377" s="4"/>
      <c r="P377" s="4"/>
      <c r="Q377" s="4"/>
      <c r="R377" s="4"/>
    </row>
    <row r="378" spans="13:18">
      <c r="M378" s="4"/>
      <c r="N378" s="4"/>
      <c r="O378" s="4"/>
      <c r="P378" s="4"/>
      <c r="Q378" s="4"/>
      <c r="R378" s="4"/>
    </row>
    <row r="379" spans="13:18">
      <c r="M379" s="4"/>
      <c r="N379" s="4"/>
      <c r="O379" s="4"/>
      <c r="P379" s="4"/>
      <c r="Q379" s="4"/>
      <c r="R379" s="4"/>
    </row>
    <row r="380" spans="13:18">
      <c r="M380" s="4"/>
      <c r="N380" s="4"/>
      <c r="O380" s="4"/>
      <c r="P380" s="4"/>
      <c r="Q380" s="4"/>
      <c r="R380" s="4"/>
    </row>
    <row r="381" spans="13:18">
      <c r="M381" s="4"/>
      <c r="N381" s="4"/>
      <c r="O381" s="4"/>
      <c r="P381" s="4"/>
      <c r="Q381" s="4"/>
      <c r="R381" s="4"/>
    </row>
    <row r="382" spans="13:18">
      <c r="M382" s="4"/>
      <c r="N382" s="4"/>
      <c r="O382" s="4"/>
      <c r="P382" s="4"/>
      <c r="Q382" s="4"/>
      <c r="R382" s="4"/>
    </row>
    <row r="383" spans="13:18">
      <c r="M383" s="4"/>
      <c r="N383" s="4"/>
      <c r="O383" s="4"/>
      <c r="P383" s="4"/>
      <c r="Q383" s="4"/>
      <c r="R383" s="4"/>
    </row>
    <row r="384" spans="13:18">
      <c r="M384" s="4"/>
      <c r="N384" s="4"/>
      <c r="O384" s="4"/>
      <c r="P384" s="4"/>
      <c r="Q384" s="4"/>
      <c r="R384" s="4"/>
    </row>
    <row r="385" spans="13:18">
      <c r="M385" s="4"/>
      <c r="N385" s="4"/>
      <c r="O385" s="4"/>
      <c r="P385" s="4"/>
      <c r="Q385" s="4"/>
      <c r="R385" s="4"/>
    </row>
    <row r="386" spans="13:18">
      <c r="M386" s="4"/>
      <c r="N386" s="4"/>
      <c r="O386" s="4"/>
      <c r="P386" s="4"/>
      <c r="Q386" s="4"/>
      <c r="R386" s="4"/>
    </row>
    <row r="387" spans="13:18">
      <c r="M387" s="4"/>
      <c r="N387" s="4"/>
      <c r="O387" s="4"/>
      <c r="P387" s="4"/>
      <c r="Q387" s="4"/>
      <c r="R387" s="4"/>
    </row>
    <row r="388" spans="13:18">
      <c r="M388" s="4"/>
      <c r="N388" s="4"/>
      <c r="O388" s="4"/>
      <c r="P388" s="4"/>
      <c r="Q388" s="4"/>
      <c r="R388" s="4"/>
    </row>
    <row r="389" spans="13:18">
      <c r="M389" s="4"/>
      <c r="N389" s="4"/>
      <c r="O389" s="4"/>
      <c r="P389" s="4"/>
      <c r="Q389" s="4"/>
      <c r="R389" s="4"/>
    </row>
    <row r="390" spans="13:18">
      <c r="M390" s="4"/>
      <c r="N390" s="4"/>
      <c r="O390" s="4"/>
      <c r="P390" s="4"/>
      <c r="Q390" s="4"/>
      <c r="R390" s="4"/>
    </row>
    <row r="391" spans="13:18">
      <c r="M391" s="4"/>
      <c r="N391" s="4"/>
      <c r="O391" s="4"/>
      <c r="P391" s="4"/>
      <c r="Q391" s="4"/>
      <c r="R391" s="4"/>
    </row>
    <row r="392" spans="13:18">
      <c r="M392" s="4"/>
      <c r="N392" s="4"/>
      <c r="O392" s="4"/>
      <c r="P392" s="4"/>
      <c r="Q392" s="4"/>
      <c r="R392" s="4"/>
    </row>
    <row r="393" spans="13:18">
      <c r="M393" s="4"/>
      <c r="N393" s="4"/>
      <c r="O393" s="4"/>
      <c r="P393" s="4"/>
      <c r="Q393" s="4"/>
      <c r="R393" s="4"/>
    </row>
    <row r="394" spans="13:18">
      <c r="M394" s="4"/>
      <c r="N394" s="4"/>
      <c r="O394" s="4"/>
      <c r="P394" s="4"/>
      <c r="Q394" s="4"/>
      <c r="R394" s="4"/>
    </row>
    <row r="395" spans="13:18">
      <c r="M395" s="4"/>
      <c r="N395" s="4"/>
      <c r="O395" s="4"/>
      <c r="P395" s="4"/>
      <c r="Q395" s="4"/>
      <c r="R395" s="4"/>
    </row>
    <row r="396" spans="13:18">
      <c r="M396" s="4"/>
      <c r="N396" s="4"/>
      <c r="O396" s="4"/>
      <c r="P396" s="4"/>
      <c r="Q396" s="4"/>
      <c r="R396" s="4"/>
    </row>
    <row r="397" spans="13:18">
      <c r="M397" s="4"/>
      <c r="N397" s="4"/>
      <c r="O397" s="4"/>
      <c r="P397" s="4"/>
      <c r="Q397" s="4"/>
      <c r="R397" s="4"/>
    </row>
    <row r="398" spans="13:18">
      <c r="M398" s="4"/>
      <c r="N398" s="4"/>
      <c r="O398" s="4"/>
      <c r="P398" s="4"/>
      <c r="Q398" s="4"/>
      <c r="R398" s="4"/>
    </row>
    <row r="399" spans="13:18">
      <c r="M399" s="4"/>
      <c r="N399" s="4"/>
      <c r="O399" s="4"/>
      <c r="P399" s="4"/>
      <c r="Q399" s="4"/>
      <c r="R399" s="4"/>
    </row>
    <row r="400" spans="13:18">
      <c r="M400" s="4"/>
      <c r="N400" s="4"/>
      <c r="O400" s="4"/>
      <c r="P400" s="4"/>
      <c r="Q400" s="4"/>
      <c r="R400" s="4"/>
    </row>
    <row r="401" spans="13:18">
      <c r="M401" s="4"/>
      <c r="N401" s="4"/>
      <c r="O401" s="4"/>
      <c r="P401" s="4"/>
      <c r="Q401" s="4"/>
      <c r="R401" s="4"/>
    </row>
    <row r="402" spans="13:18">
      <c r="M402" s="4"/>
      <c r="N402" s="4"/>
      <c r="O402" s="4"/>
      <c r="P402" s="4"/>
      <c r="Q402" s="4"/>
      <c r="R402" s="4"/>
    </row>
    <row r="403" spans="13:18">
      <c r="M403" s="4"/>
      <c r="N403" s="4"/>
      <c r="O403" s="4"/>
      <c r="P403" s="4"/>
      <c r="Q403" s="4"/>
      <c r="R403" s="4"/>
    </row>
    <row r="404" spans="13:18">
      <c r="M404" s="4"/>
      <c r="N404" s="4"/>
      <c r="O404" s="4"/>
      <c r="P404" s="4"/>
      <c r="Q404" s="4"/>
      <c r="R404" s="4"/>
    </row>
    <row r="405" spans="13:18">
      <c r="M405" s="4"/>
      <c r="N405" s="4"/>
      <c r="O405" s="4"/>
      <c r="P405" s="4"/>
      <c r="Q405" s="4"/>
      <c r="R405" s="4"/>
    </row>
    <row r="406" spans="13:18">
      <c r="M406" s="4"/>
      <c r="N406" s="4"/>
      <c r="O406" s="4"/>
      <c r="P406" s="4"/>
      <c r="Q406" s="4"/>
      <c r="R406" s="4"/>
    </row>
    <row r="407" spans="13:18">
      <c r="M407" s="4"/>
      <c r="N407" s="4"/>
      <c r="O407" s="4"/>
      <c r="P407" s="4"/>
      <c r="Q407" s="4"/>
      <c r="R407" s="4"/>
    </row>
    <row r="408" spans="13:18">
      <c r="M408" s="4"/>
      <c r="N408" s="4"/>
      <c r="O408" s="4"/>
      <c r="P408" s="4"/>
      <c r="Q408" s="4"/>
      <c r="R408" s="4"/>
    </row>
    <row r="409" spans="13:18">
      <c r="M409" s="4"/>
      <c r="N409" s="4"/>
      <c r="O409" s="4"/>
      <c r="P409" s="4"/>
      <c r="Q409" s="4"/>
      <c r="R409" s="4"/>
    </row>
    <row r="410" spans="13:18">
      <c r="M410" s="4"/>
      <c r="N410" s="4"/>
      <c r="O410" s="4"/>
      <c r="P410" s="4"/>
      <c r="Q410" s="4"/>
      <c r="R410" s="4"/>
    </row>
    <row r="411" spans="13:18">
      <c r="M411" s="4"/>
      <c r="N411" s="4"/>
      <c r="O411" s="4"/>
      <c r="P411" s="4"/>
      <c r="Q411" s="4"/>
      <c r="R411" s="4"/>
    </row>
    <row r="412" spans="13:18">
      <c r="M412" s="4"/>
      <c r="N412" s="4"/>
      <c r="O412" s="4"/>
      <c r="P412" s="4"/>
      <c r="Q412" s="4"/>
      <c r="R412" s="4"/>
    </row>
    <row r="413" spans="13:18">
      <c r="M413" s="4"/>
      <c r="N413" s="4"/>
      <c r="O413" s="4"/>
      <c r="P413" s="4"/>
      <c r="Q413" s="4"/>
      <c r="R413" s="4"/>
    </row>
    <row r="414" spans="13:18">
      <c r="M414" s="4"/>
      <c r="N414" s="4"/>
      <c r="O414" s="4"/>
      <c r="P414" s="4"/>
      <c r="Q414" s="4"/>
      <c r="R414" s="4"/>
    </row>
    <row r="415" spans="13:18">
      <c r="M415" s="4"/>
      <c r="N415" s="4"/>
      <c r="O415" s="4"/>
      <c r="P415" s="4"/>
      <c r="Q415" s="4"/>
      <c r="R415" s="4"/>
    </row>
    <row r="416" spans="13:18">
      <c r="M416" s="4"/>
      <c r="N416" s="4"/>
      <c r="O416" s="4"/>
      <c r="P416" s="4"/>
      <c r="Q416" s="4"/>
      <c r="R416" s="4"/>
    </row>
    <row r="417" spans="13:18">
      <c r="M417" s="4"/>
      <c r="N417" s="4"/>
      <c r="O417" s="4"/>
      <c r="P417" s="4"/>
      <c r="Q417" s="4"/>
      <c r="R417" s="4"/>
    </row>
  </sheetData>
  <sortState xmlns:xlrd2="http://schemas.microsoft.com/office/spreadsheetml/2017/richdata2" ref="BO3:BV192">
    <sortCondition ref="BO3:BO192"/>
  </sortState>
  <conditionalFormatting sqref="J140:J1048576 J1:J135">
    <cfRule type="expression" dxfId="138" priority="20">
      <formula>COUNTIF($J$1:$J$2011,J1)&gt;1</formula>
    </cfRule>
  </conditionalFormatting>
  <conditionalFormatting sqref="BO249:BO512 BO223:BO247 BO3:BO217">
    <cfRule type="expression" dxfId="137" priority="143">
      <formula>OR(COUNTIF($AC$3:$AC$512,$BO3)&lt;&gt;0,COUNTIF($AD$3:$AD$512,$BO3)&lt;&gt;0,COUNTIF($AE$3:$AE$512,$BO3)&lt;&gt;0,COUNTIF($AF$3:$AF$512,$BO3)&lt;&gt;0,COUNTIF($AG$3:$AG$512,$BO3)&lt;&gt;0)</formula>
    </cfRule>
  </conditionalFormatting>
  <pageMargins left="0.70866141732283472" right="0.70866141732283472" top="0.74803149606299213" bottom="0.74803149606299213" header="0.31496062992125984" footer="0.31496062992125984"/>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IK285"/>
  <sheetViews>
    <sheetView topLeftCell="HK1" zoomScale="70" zoomScaleNormal="70" workbookViewId="0">
      <pane ySplit="1" topLeftCell="A2" activePane="bottomLeft" state="frozen"/>
      <selection activeCell="FK1" sqref="FK1"/>
      <selection pane="bottomLeft" activeCell="BT24" sqref="BT24"/>
    </sheetView>
  </sheetViews>
  <sheetFormatPr defaultRowHeight="14.5"/>
  <cols>
    <col min="1" max="1" width="27.453125" customWidth="1"/>
    <col min="2" max="2" width="27.453125" style="555" customWidth="1"/>
    <col min="3" max="3" width="24.54296875" customWidth="1"/>
    <col min="4" max="4" width="24.54296875" style="555" customWidth="1"/>
    <col min="5" max="6" width="24.54296875" customWidth="1"/>
    <col min="8" max="8" width="28.7265625" style="12" customWidth="1"/>
    <col min="9" max="14" width="9.1796875" style="3"/>
    <col min="15" max="15" width="11.54296875" style="3" customWidth="1"/>
    <col min="16" max="16" width="20.26953125" style="1176" customWidth="1"/>
    <col min="17" max="17" width="59.1796875" style="1177" customWidth="1"/>
    <col min="18" max="18" width="21.7265625" customWidth="1"/>
    <col min="23" max="23" width="13.26953125" style="12" customWidth="1"/>
    <col min="24" max="26" width="9.1796875" style="3"/>
    <col min="27" max="27" width="25.26953125" style="8" bestFit="1" customWidth="1"/>
    <col min="28" max="29" width="10.1796875" style="581" customWidth="1"/>
    <col min="30" max="30" width="35.7265625" customWidth="1"/>
    <col min="31" max="32" width="9.1796875" style="616"/>
    <col min="33" max="33" width="30.453125" style="616" customWidth="1"/>
    <col min="34" max="34" width="26.7265625" style="1183" customWidth="1"/>
    <col min="35" max="35" width="29.453125" style="3" customWidth="1"/>
    <col min="36" max="43" width="9.1796875" style="3"/>
    <col min="44" max="44" width="9.1796875" style="8"/>
    <col min="45" max="45" width="43.26953125" style="12" customWidth="1"/>
    <col min="46" max="46" width="15" style="3" customWidth="1"/>
    <col min="47" max="47" width="11.54296875" style="3" customWidth="1"/>
    <col min="48" max="48" width="14.26953125" style="3" customWidth="1"/>
    <col min="49" max="50" width="13.1796875" style="3" customWidth="1"/>
    <col min="51" max="51" width="9.1796875" style="3"/>
    <col min="52" max="52" width="9.1796875" style="936"/>
    <col min="53" max="53" width="37.54296875" customWidth="1"/>
    <col min="62" max="62" width="23.81640625" style="12" customWidth="1"/>
    <col min="63" max="63" width="18.453125" style="3" customWidth="1"/>
    <col min="64" max="64" width="9.1796875" style="3"/>
    <col min="65" max="65" width="39.7265625" style="8" customWidth="1"/>
    <col min="66" max="66" width="17.453125" style="12" customWidth="1"/>
    <col min="67" max="70" width="9.1796875" style="3"/>
    <col min="71" max="71" width="9.1796875" style="8"/>
    <col min="72" max="72" width="30.7265625" style="12" customWidth="1"/>
    <col min="73" max="79" width="9.1796875" style="3"/>
    <col min="80" max="80" width="29.81640625" style="8" customWidth="1"/>
    <col min="81" max="81" width="35" style="12" customWidth="1"/>
    <col min="82" max="82" width="9.1796875" style="3"/>
    <col min="83" max="83" width="10" style="3" bestFit="1" customWidth="1"/>
    <col min="84" max="85" width="9.1796875" style="3"/>
    <col min="86" max="86" width="9.1796875" style="8"/>
    <col min="87" max="87" width="25.453125" customWidth="1"/>
    <col min="94" max="94" width="15.7265625" style="1082" customWidth="1"/>
    <col min="95" max="95" width="57.81640625" style="1081" customWidth="1"/>
    <col min="96" max="96" width="26" customWidth="1"/>
    <col min="99" max="99" width="22.54296875" customWidth="1"/>
    <col min="104" max="104" width="12.54296875" customWidth="1"/>
    <col min="107" max="107" width="28.26953125" customWidth="1"/>
    <col min="108" max="108" width="12.7265625" customWidth="1"/>
    <col min="130" max="130" width="25.26953125" customWidth="1"/>
    <col min="134" max="134" width="20.453125" style="1323" customWidth="1"/>
    <col min="135" max="135" width="30.453125" style="8" customWidth="1"/>
    <col min="136" max="136" width="9.1796875" style="1323"/>
    <col min="137" max="138" width="9.1796875" style="3"/>
    <col min="139" max="139" width="176.7265625" style="8" customWidth="1"/>
    <col min="140" max="140" width="22.54296875" style="1323" customWidth="1"/>
    <col min="141" max="141" width="47.1796875" style="8" customWidth="1"/>
    <col min="142" max="142" width="32" style="1323" customWidth="1"/>
    <col min="143" max="143" width="15" style="19" customWidth="1"/>
    <col min="144" max="144" width="9.1796875" style="19"/>
    <col min="145" max="145" width="15" style="19" customWidth="1"/>
    <col min="146" max="147" width="9.1796875" style="19"/>
    <col min="148" max="148" width="13.54296875" style="19" customWidth="1"/>
    <col min="149" max="150" width="9.1796875" style="19"/>
    <col min="151" max="151" width="9.1796875" style="8"/>
    <col min="152" max="152" width="30.54296875" style="954" customWidth="1"/>
    <col min="153" max="162" width="9.1796875" style="954"/>
    <col min="163" max="163" width="36.453125" style="954" customWidth="1"/>
    <col min="164" max="166" width="9.1796875" style="954"/>
    <col min="167" max="167" width="20.54296875" style="1323" customWidth="1"/>
    <col min="168" max="168" width="10.1796875" style="3" customWidth="1"/>
    <col min="169" max="169" width="6.26953125" style="3" customWidth="1"/>
    <col min="170" max="172" width="9.1796875" style="3"/>
    <col min="173" max="173" width="9.1796875" style="597"/>
    <col min="174" max="177" width="5.7265625" style="3" customWidth="1"/>
    <col min="178" max="184" width="5.453125" style="3" customWidth="1"/>
    <col min="185" max="185" width="56" style="597" customWidth="1"/>
    <col min="186" max="186" width="11.1796875" style="597" bestFit="1" customWidth="1"/>
    <col min="187" max="187" width="9.1796875" style="597"/>
    <col min="188" max="189" width="9.1796875" style="3"/>
    <col min="190" max="190" width="9.1796875" style="8"/>
    <col min="193" max="193" width="129" style="456" customWidth="1"/>
    <col min="194" max="194" width="18" style="456" bestFit="1" customWidth="1"/>
    <col min="195" max="196" width="8.1796875" style="1618" customWidth="1"/>
    <col min="197" max="197" width="140.54296875" style="1573" customWidth="1"/>
    <col min="198" max="218" width="9.1796875" customWidth="1"/>
  </cols>
  <sheetData>
    <row r="1" spans="1:203" ht="15" thickBot="1">
      <c r="A1" s="1" t="s">
        <v>3723</v>
      </c>
      <c r="B1" s="1"/>
      <c r="C1" s="1" t="s">
        <v>3722</v>
      </c>
      <c r="D1" s="3"/>
      <c r="E1" s="555" t="s">
        <v>552</v>
      </c>
      <c r="F1" s="555" t="s">
        <v>3755</v>
      </c>
      <c r="H1" s="702" t="s">
        <v>3765</v>
      </c>
      <c r="I1" s="703"/>
      <c r="J1" s="703"/>
      <c r="K1" s="703"/>
      <c r="L1" s="703"/>
      <c r="M1" s="703"/>
      <c r="N1" s="703"/>
      <c r="O1" s="703" t="s">
        <v>3760</v>
      </c>
      <c r="P1" s="1174"/>
      <c r="Q1" s="1175"/>
      <c r="R1" s="565" t="s">
        <v>3780</v>
      </c>
      <c r="W1" s="1187" t="s">
        <v>3959</v>
      </c>
      <c r="X1" s="703"/>
      <c r="Y1" s="703"/>
      <c r="Z1" s="703"/>
      <c r="AA1" s="1437"/>
      <c r="AD1" s="613" t="s">
        <v>3960</v>
      </c>
      <c r="AE1" s="614" t="s">
        <v>2113</v>
      </c>
      <c r="AF1" s="614" t="s">
        <v>3961</v>
      </c>
      <c r="AG1" s="614" t="s">
        <v>3962</v>
      </c>
      <c r="AH1" s="1182" t="s">
        <v>4044</v>
      </c>
      <c r="AI1" s="1434" t="s">
        <v>4067</v>
      </c>
      <c r="AJ1" s="1185" t="s">
        <v>8</v>
      </c>
      <c r="AK1" s="1185" t="s">
        <v>3691</v>
      </c>
      <c r="AL1" s="1185" t="s">
        <v>88</v>
      </c>
      <c r="AM1" s="703"/>
      <c r="AN1" s="703"/>
      <c r="AO1" s="703"/>
      <c r="AP1" s="703"/>
      <c r="AQ1" s="703" t="s">
        <v>56</v>
      </c>
      <c r="AR1" s="1181"/>
      <c r="AS1" s="702" t="s">
        <v>4076</v>
      </c>
      <c r="AT1" s="703" t="s">
        <v>4077</v>
      </c>
      <c r="AU1" s="703" t="s">
        <v>4078</v>
      </c>
      <c r="AV1" s="703" t="s">
        <v>4080</v>
      </c>
      <c r="AW1" s="703" t="s">
        <v>4079</v>
      </c>
      <c r="AX1" s="704" t="s">
        <v>4081</v>
      </c>
      <c r="AY1" s="704" t="s">
        <v>4082</v>
      </c>
      <c r="AZ1" s="935" t="s">
        <v>5691</v>
      </c>
      <c r="BA1" s="1186" t="s">
        <v>4131</v>
      </c>
      <c r="BB1" s="1186" t="s">
        <v>3720</v>
      </c>
      <c r="BC1" s="1186" t="s">
        <v>3721</v>
      </c>
      <c r="BD1" s="613" t="s">
        <v>1381</v>
      </c>
      <c r="BE1" s="613" t="s">
        <v>651</v>
      </c>
      <c r="BF1" s="613" t="s">
        <v>1520</v>
      </c>
      <c r="BG1" s="613" t="s">
        <v>563</v>
      </c>
      <c r="BH1" s="613" t="s">
        <v>531</v>
      </c>
      <c r="BI1" s="613" t="s">
        <v>461</v>
      </c>
      <c r="BJ1" s="1187" t="s">
        <v>3546</v>
      </c>
      <c r="BK1" s="703"/>
      <c r="BL1" s="703"/>
      <c r="BM1" s="1181"/>
      <c r="BN1" s="1188" t="s">
        <v>4575</v>
      </c>
      <c r="BO1" s="1189" t="s">
        <v>4583</v>
      </c>
      <c r="BP1" s="1189" t="s">
        <v>4584</v>
      </c>
      <c r="BQ1" s="1189" t="s">
        <v>4600</v>
      </c>
      <c r="BR1" s="1189" t="s">
        <v>3691</v>
      </c>
      <c r="BS1" s="1190" t="s">
        <v>106</v>
      </c>
      <c r="BT1" s="702"/>
      <c r="BU1" s="703" t="s">
        <v>3691</v>
      </c>
      <c r="BV1" s="703" t="s">
        <v>29</v>
      </c>
      <c r="BW1" s="703" t="s">
        <v>3659</v>
      </c>
      <c r="BX1" s="703" t="s">
        <v>106</v>
      </c>
      <c r="BY1" s="703" t="s">
        <v>104</v>
      </c>
      <c r="BZ1" s="703" t="s">
        <v>118</v>
      </c>
      <c r="CA1" s="703" t="s">
        <v>48</v>
      </c>
      <c r="CB1" s="1181" t="s">
        <v>4611</v>
      </c>
      <c r="CC1" s="702" t="s">
        <v>5714</v>
      </c>
      <c r="CD1" s="703"/>
      <c r="CE1" s="703"/>
      <c r="CF1" s="703"/>
      <c r="CG1" s="703"/>
      <c r="CH1" s="1181"/>
      <c r="CI1" t="s">
        <v>8859</v>
      </c>
      <c r="CP1" s="1080" t="s">
        <v>6068</v>
      </c>
      <c r="CR1" s="613" t="s">
        <v>8855</v>
      </c>
      <c r="CS1" s="1704"/>
      <c r="CT1" s="1704"/>
      <c r="CU1" s="1704"/>
      <c r="CV1" s="1704"/>
      <c r="CW1" s="1704"/>
      <c r="CX1" s="1704"/>
      <c r="CY1" s="1704"/>
      <c r="CZ1" s="1704"/>
      <c r="DA1" s="570" t="s">
        <v>195</v>
      </c>
      <c r="DB1" s="570" t="s">
        <v>195</v>
      </c>
      <c r="DC1" s="570" t="s">
        <v>195</v>
      </c>
      <c r="DD1" s="570" t="s">
        <v>195</v>
      </c>
      <c r="DE1" s="570" t="s">
        <v>195</v>
      </c>
      <c r="DF1" s="1104"/>
      <c r="DG1" s="1104"/>
      <c r="DY1" s="613" t="s">
        <v>7123</v>
      </c>
      <c r="ED1" s="1436" t="s">
        <v>7348</v>
      </c>
      <c r="EE1" s="1437"/>
      <c r="EF1" s="1436" t="s">
        <v>7529</v>
      </c>
      <c r="EG1" s="1471" t="s">
        <v>7530</v>
      </c>
      <c r="EH1" s="1471" t="s">
        <v>7531</v>
      </c>
      <c r="EI1" s="1472" t="s">
        <v>56</v>
      </c>
      <c r="EJ1" s="1436" t="s">
        <v>7636</v>
      </c>
      <c r="EK1" s="1472" t="s">
        <v>7637</v>
      </c>
      <c r="EL1" s="1486">
        <v>1</v>
      </c>
      <c r="EM1" s="1487">
        <v>2</v>
      </c>
      <c r="EN1" s="1487">
        <v>3</v>
      </c>
      <c r="EO1" s="1487">
        <v>4</v>
      </c>
      <c r="EP1" s="1487">
        <v>5</v>
      </c>
      <c r="EQ1" s="1488">
        <v>6</v>
      </c>
      <c r="ER1" s="1471" t="s">
        <v>7707</v>
      </c>
      <c r="ES1" s="1471" t="s">
        <v>7708</v>
      </c>
      <c r="ET1" s="1488">
        <v>9</v>
      </c>
      <c r="EU1" s="1472" t="s">
        <v>7706</v>
      </c>
      <c r="EV1" s="613" t="s">
        <v>4076</v>
      </c>
      <c r="EW1" s="613" t="s">
        <v>4077</v>
      </c>
      <c r="EX1" s="613" t="s">
        <v>4078</v>
      </c>
      <c r="EY1" s="613" t="s">
        <v>4080</v>
      </c>
      <c r="EZ1" s="613" t="s">
        <v>4079</v>
      </c>
      <c r="FA1" s="613" t="s">
        <v>4081</v>
      </c>
      <c r="FB1" s="613" t="s">
        <v>4082</v>
      </c>
      <c r="FC1" s="613" t="s">
        <v>3754</v>
      </c>
      <c r="FD1" s="613" t="s">
        <v>5691</v>
      </c>
      <c r="FE1" s="613" t="s">
        <v>7754</v>
      </c>
      <c r="FF1" s="613" t="s">
        <v>7769</v>
      </c>
      <c r="FG1" s="613" t="s">
        <v>7752</v>
      </c>
      <c r="FH1" s="613" t="s">
        <v>7755</v>
      </c>
      <c r="FI1" s="613" t="s">
        <v>7782</v>
      </c>
      <c r="FJ1" s="613" t="s">
        <v>8</v>
      </c>
      <c r="FK1" s="1436" t="s">
        <v>7783</v>
      </c>
      <c r="FL1" s="1519" t="s">
        <v>7822</v>
      </c>
      <c r="FM1" s="1471" t="s">
        <v>7089</v>
      </c>
      <c r="FN1" s="1471" t="s">
        <v>7801</v>
      </c>
      <c r="FO1" s="1471" t="s">
        <v>7754</v>
      </c>
      <c r="FP1" s="1471" t="s">
        <v>7754</v>
      </c>
      <c r="FQ1" s="1508" t="s">
        <v>7752</v>
      </c>
      <c r="FR1" s="1471" t="s">
        <v>7779</v>
      </c>
      <c r="FS1" s="1471" t="s">
        <v>7798</v>
      </c>
      <c r="FT1" s="1471" t="s">
        <v>7799</v>
      </c>
      <c r="FU1" s="1471" t="s">
        <v>7781</v>
      </c>
      <c r="FV1" s="1471" t="s">
        <v>7789</v>
      </c>
      <c r="FW1" s="1471" t="s">
        <v>7790</v>
      </c>
      <c r="FX1" s="1471" t="s">
        <v>7791</v>
      </c>
      <c r="FY1" s="1471" t="s">
        <v>7792</v>
      </c>
      <c r="FZ1" s="1471" t="s">
        <v>7793</v>
      </c>
      <c r="GA1" s="1471" t="s">
        <v>7794</v>
      </c>
      <c r="GB1" s="1471" t="s">
        <v>7819</v>
      </c>
      <c r="GC1" s="1508" t="s">
        <v>7802</v>
      </c>
      <c r="GD1" s="1508" t="s">
        <v>7803</v>
      </c>
      <c r="GE1" s="1508" t="s">
        <v>7795</v>
      </c>
      <c r="GF1" s="1471" t="s">
        <v>7804</v>
      </c>
      <c r="GG1" s="1471" t="s">
        <v>7820</v>
      </c>
      <c r="GH1" s="1472" t="s">
        <v>29</v>
      </c>
      <c r="GL1" s="1605" t="s">
        <v>8683</v>
      </c>
      <c r="GM1" s="1615" t="s">
        <v>63</v>
      </c>
      <c r="GN1" s="1615" t="s">
        <v>8747</v>
      </c>
      <c r="GO1" s="1634" t="s">
        <v>8734</v>
      </c>
    </row>
    <row r="2" spans="1:203">
      <c r="A2" s="12" t="s">
        <v>3728</v>
      </c>
      <c r="B2" s="12">
        <v>2000</v>
      </c>
      <c r="C2" s="12" t="s">
        <v>3724</v>
      </c>
      <c r="D2" s="3">
        <v>4000</v>
      </c>
      <c r="E2" s="555" t="s">
        <v>3276</v>
      </c>
      <c r="F2" s="555" t="s">
        <v>3754</v>
      </c>
      <c r="H2" s="683"/>
      <c r="R2" s="565" t="s">
        <v>165</v>
      </c>
      <c r="S2" s="565">
        <v>20</v>
      </c>
      <c r="T2" s="565">
        <v>0.1</v>
      </c>
      <c r="U2" s="565" t="s">
        <v>166</v>
      </c>
      <c r="V2" s="565" t="s">
        <v>167</v>
      </c>
      <c r="W2" s="1323" t="s">
        <v>159</v>
      </c>
      <c r="Y2" s="3" t="s">
        <v>160</v>
      </c>
      <c r="Z2" s="569" t="s">
        <v>200</v>
      </c>
      <c r="AA2" s="1724" t="s">
        <v>159</v>
      </c>
      <c r="AB2" s="3"/>
      <c r="AC2" s="3"/>
      <c r="AD2" s="569" t="s">
        <v>3978</v>
      </c>
      <c r="AE2" s="616" t="s">
        <v>3970</v>
      </c>
      <c r="AF2" s="616" t="s">
        <v>3980</v>
      </c>
      <c r="AH2" s="1183" t="s">
        <v>271</v>
      </c>
      <c r="AI2" s="3" t="s">
        <v>4062</v>
      </c>
      <c r="AJ2" s="3" t="s">
        <v>169</v>
      </c>
      <c r="AK2" s="3">
        <v>500</v>
      </c>
      <c r="AL2" s="3">
        <v>1</v>
      </c>
      <c r="AQ2" s="1176"/>
      <c r="AR2" s="1177" t="s">
        <v>4013</v>
      </c>
      <c r="AS2" s="1171" t="s">
        <v>195</v>
      </c>
      <c r="AT2" s="1167"/>
      <c r="AU2" s="1167"/>
      <c r="AV2" s="1167"/>
      <c r="AW2" s="1167"/>
      <c r="AX2" s="1167"/>
      <c r="AY2" s="1167"/>
      <c r="AZ2" s="1170"/>
      <c r="BA2" s="742" t="s">
        <v>4132</v>
      </c>
      <c r="BB2">
        <v>1</v>
      </c>
      <c r="BD2" s="742"/>
      <c r="BE2" s="742"/>
      <c r="BF2" s="742"/>
      <c r="BG2" s="742"/>
      <c r="BH2" s="742"/>
      <c r="BI2" s="742"/>
      <c r="BJ2" s="683" t="s">
        <v>4479</v>
      </c>
      <c r="BN2" s="26" t="s">
        <v>4578</v>
      </c>
      <c r="BO2" s="3">
        <v>2</v>
      </c>
      <c r="BP2" s="3">
        <v>0.5</v>
      </c>
      <c r="BQ2" s="3" t="s">
        <v>4601</v>
      </c>
      <c r="BR2" s="3">
        <v>1000</v>
      </c>
      <c r="BS2" s="8">
        <v>10</v>
      </c>
      <c r="CI2" s="3" t="s">
        <v>693</v>
      </c>
      <c r="CJ2" s="1024" t="s">
        <v>321</v>
      </c>
      <c r="CK2" s="1024"/>
      <c r="CL2" s="1024"/>
      <c r="CM2" s="1024">
        <v>4</v>
      </c>
      <c r="CN2" s="1024"/>
      <c r="CO2" s="1024" t="s">
        <v>173</v>
      </c>
      <c r="CP2" s="1082" t="s">
        <v>336</v>
      </c>
      <c r="CQ2" s="1081" t="s">
        <v>4490</v>
      </c>
      <c r="CR2" s="569" t="s">
        <v>8856</v>
      </c>
      <c r="CS2" s="1704"/>
      <c r="CT2" s="1704"/>
      <c r="CU2" s="1704"/>
      <c r="CV2" s="1704"/>
      <c r="CW2" s="1704"/>
      <c r="CX2" s="1704"/>
      <c r="CY2" s="1704"/>
      <c r="CZ2" s="1704"/>
      <c r="DA2" s="570" t="s">
        <v>195</v>
      </c>
      <c r="DB2" s="570" t="s">
        <v>195</v>
      </c>
      <c r="DC2" s="570" t="s">
        <v>195</v>
      </c>
      <c r="DD2" s="570" t="s">
        <v>195</v>
      </c>
      <c r="DE2" s="570" t="s">
        <v>195</v>
      </c>
      <c r="DF2" s="1104"/>
      <c r="DG2" s="1104"/>
      <c r="DH2" s="1024"/>
      <c r="DI2" s="1024"/>
      <c r="DJ2" s="1024"/>
      <c r="DK2" s="1024"/>
      <c r="DL2" s="1024"/>
      <c r="DM2" s="1024"/>
      <c r="DN2" s="1024"/>
      <c r="DO2" s="1024"/>
      <c r="DP2" s="1024">
        <v>2000</v>
      </c>
      <c r="DQ2" s="1024">
        <v>1</v>
      </c>
      <c r="DR2" s="1024" t="s">
        <v>694</v>
      </c>
      <c r="DS2" s="1024" t="s">
        <v>694</v>
      </c>
      <c r="DW2" s="1358" t="s">
        <v>3984</v>
      </c>
      <c r="DY2" s="1379" t="s">
        <v>58</v>
      </c>
      <c r="DZ2" s="1379" t="str">
        <f ca="1">ClassSpecials</f>
        <v/>
      </c>
      <c r="EA2" t="s">
        <v>7161</v>
      </c>
      <c r="EB2" s="1379" t="s">
        <v>3718</v>
      </c>
      <c r="EC2" s="1379" t="s">
        <v>7177</v>
      </c>
      <c r="ED2" s="1323" t="s">
        <v>7335</v>
      </c>
      <c r="EE2" s="1438" t="s">
        <v>7412</v>
      </c>
      <c r="EF2" s="1323" t="s">
        <v>2061</v>
      </c>
      <c r="EG2" s="3" t="s">
        <v>195</v>
      </c>
      <c r="EH2" s="3" t="s">
        <v>3717</v>
      </c>
      <c r="EI2" s="8" t="s">
        <v>7540</v>
      </c>
      <c r="EJ2" s="1323" t="s">
        <v>7608</v>
      </c>
      <c r="EK2" s="8" t="s">
        <v>7609</v>
      </c>
      <c r="EL2" s="1323" t="s">
        <v>7639</v>
      </c>
      <c r="EM2" s="1489">
        <v>100</v>
      </c>
      <c r="EN2" s="19" t="s">
        <v>7640</v>
      </c>
      <c r="EP2" s="1489">
        <f>EM2</f>
        <v>100</v>
      </c>
      <c r="EQ2" s="1473">
        <f t="shared" ref="EQ2:EQ38" si="0" xml:space="preserve"> IF(NOT(ISERROR(FIND("cost factor",EN2,1))),DroidCostFactor,1)</f>
        <v>1</v>
      </c>
      <c r="ER2" s="3">
        <f t="shared" ref="ER2:ER38" si="1">EP2*EQ2</f>
        <v>100</v>
      </c>
      <c r="ES2" s="19" t="str">
        <f t="shared" ref="ES2:ES7" si="2">IF(NOT(ISERROR(FIND("cost factor",EN2,1))),LEFT(EN2,LEN(EN2)-(LEN(EN2)-FIND("x",EN2,1))-1),LEFT(EN2,LEN(EN2)-(LEN(EN2)-FIND("kg",EN2,1))-1))</f>
        <v xml:space="preserve">.5 </v>
      </c>
      <c r="ET2" s="3">
        <f t="shared" ref="ET2:ET38" si="3">IF(NOT(ISERROR(FIND("cost factor",EN2,1))),DroidWeightModifier,1)</f>
        <v>1</v>
      </c>
      <c r="EU2" s="8">
        <f>ES2*ET2</f>
        <v>0.5</v>
      </c>
      <c r="EV2" s="1501" t="s">
        <v>2280</v>
      </c>
      <c r="EW2" s="1501"/>
      <c r="EX2" s="1501"/>
      <c r="EY2" s="1501"/>
      <c r="EZ2" s="1501"/>
      <c r="FA2" s="1501"/>
      <c r="FB2" s="1501" t="s">
        <v>4084</v>
      </c>
      <c r="FC2" s="1501" t="s">
        <v>13</v>
      </c>
      <c r="FD2" s="1501"/>
      <c r="FE2" s="1501"/>
      <c r="FF2" s="1501"/>
      <c r="FG2" s="1491" t="s">
        <v>7757</v>
      </c>
      <c r="FH2" s="1490" t="s">
        <v>57</v>
      </c>
      <c r="FI2" s="1490"/>
      <c r="FJ2" s="1490" t="s">
        <v>7177</v>
      </c>
      <c r="FK2" s="1323">
        <v>1</v>
      </c>
      <c r="FL2" s="3">
        <f>FK2+1</f>
        <v>2</v>
      </c>
      <c r="FM2" s="3">
        <f>FL2+1</f>
        <v>3</v>
      </c>
      <c r="FN2" s="3">
        <f>FM2+1</f>
        <v>4</v>
      </c>
      <c r="FO2" s="3">
        <f>FN2+1</f>
        <v>5</v>
      </c>
      <c r="FP2" s="3">
        <f t="shared" ref="FP2:FV2" si="4">FO2+1</f>
        <v>6</v>
      </c>
      <c r="FQ2" s="597">
        <f t="shared" si="4"/>
        <v>7</v>
      </c>
      <c r="FR2" s="3">
        <f t="shared" si="4"/>
        <v>8</v>
      </c>
      <c r="FS2" s="3">
        <f t="shared" si="4"/>
        <v>9</v>
      </c>
      <c r="FT2" s="3">
        <f t="shared" si="4"/>
        <v>10</v>
      </c>
      <c r="FU2" s="3">
        <f t="shared" si="4"/>
        <v>11</v>
      </c>
      <c r="FV2" s="3">
        <f t="shared" si="4"/>
        <v>12</v>
      </c>
      <c r="FW2" s="3">
        <f>FV2+1</f>
        <v>13</v>
      </c>
      <c r="FX2" s="3">
        <f t="shared" ref="FX2:GH2" si="5">FW2+1</f>
        <v>14</v>
      </c>
      <c r="FY2" s="3">
        <f t="shared" si="5"/>
        <v>15</v>
      </c>
      <c r="FZ2" s="3">
        <f t="shared" si="5"/>
        <v>16</v>
      </c>
      <c r="GA2" s="3">
        <f t="shared" si="5"/>
        <v>17</v>
      </c>
      <c r="GB2" s="3">
        <f>GA2+1</f>
        <v>18</v>
      </c>
      <c r="GC2" s="3">
        <f>GB2+1</f>
        <v>19</v>
      </c>
      <c r="GD2" s="597">
        <f t="shared" si="5"/>
        <v>20</v>
      </c>
      <c r="GE2" s="597">
        <f t="shared" si="5"/>
        <v>21</v>
      </c>
      <c r="GF2" s="3">
        <f t="shared" si="5"/>
        <v>22</v>
      </c>
      <c r="GG2" s="3">
        <f t="shared" si="5"/>
        <v>23</v>
      </c>
      <c r="GH2" s="8">
        <f t="shared" si="5"/>
        <v>24</v>
      </c>
      <c r="GI2" s="456"/>
      <c r="GJ2" t="e">
        <f ca="1">GJ3</f>
        <v>#REF!</v>
      </c>
      <c r="GL2" s="1606" t="s">
        <v>154</v>
      </c>
      <c r="GM2" s="1616">
        <v>0</v>
      </c>
      <c r="GN2" s="1616"/>
      <c r="GO2" s="1635"/>
    </row>
    <row r="3" spans="1:203">
      <c r="A3" s="12" t="s">
        <v>3729</v>
      </c>
      <c r="B3" s="12">
        <v>2000</v>
      </c>
      <c r="C3" s="12" t="s">
        <v>3725</v>
      </c>
      <c r="D3" s="3">
        <v>4000</v>
      </c>
      <c r="E3" s="555" t="s">
        <v>3277</v>
      </c>
      <c r="F3" s="569" t="s">
        <v>3721</v>
      </c>
      <c r="H3" s="683" t="s">
        <v>3764</v>
      </c>
      <c r="R3" s="565" t="s">
        <v>205</v>
      </c>
      <c r="S3" s="565">
        <v>100</v>
      </c>
      <c r="T3" s="565">
        <v>2</v>
      </c>
      <c r="U3" s="565" t="s">
        <v>206</v>
      </c>
      <c r="V3" s="565" t="s">
        <v>207</v>
      </c>
      <c r="W3" s="12" t="s">
        <v>356</v>
      </c>
      <c r="X3" s="3" t="s">
        <v>173</v>
      </c>
      <c r="Y3" s="3" t="s">
        <v>160</v>
      </c>
      <c r="Z3" s="3" t="s">
        <v>200</v>
      </c>
      <c r="AA3" s="8" t="s">
        <v>356</v>
      </c>
      <c r="AB3" s="3"/>
      <c r="AC3" s="3"/>
      <c r="AD3" s="569" t="s">
        <v>3836</v>
      </c>
      <c r="AE3" s="615" t="s">
        <v>3963</v>
      </c>
      <c r="AF3" s="615" t="s">
        <v>3964</v>
      </c>
      <c r="AG3" s="615" t="s">
        <v>3965</v>
      </c>
      <c r="AH3" s="1183" t="s">
        <v>311</v>
      </c>
      <c r="AI3" s="3" t="s">
        <v>339</v>
      </c>
      <c r="AJ3" s="3" t="s">
        <v>169</v>
      </c>
      <c r="AK3" s="3">
        <v>750</v>
      </c>
      <c r="AL3" s="3">
        <v>1</v>
      </c>
      <c r="AQ3" s="1176" t="s">
        <v>4013</v>
      </c>
      <c r="AR3" s="1177"/>
      <c r="AS3" s="12" t="s">
        <v>2265</v>
      </c>
      <c r="AT3" s="569">
        <v>2</v>
      </c>
      <c r="AZ3" s="936" t="s">
        <v>202</v>
      </c>
      <c r="BA3" s="742" t="s">
        <v>4133</v>
      </c>
      <c r="BB3">
        <v>1</v>
      </c>
      <c r="BD3" s="742"/>
      <c r="BE3" s="742"/>
      <c r="BF3" s="742"/>
      <c r="BG3" s="742"/>
      <c r="BH3" s="742"/>
      <c r="BI3" s="742"/>
      <c r="BJ3" s="12" t="s">
        <v>4476</v>
      </c>
      <c r="BK3" s="3" t="s">
        <v>1381</v>
      </c>
      <c r="BL3" s="3" t="s">
        <v>461</v>
      </c>
      <c r="BM3" s="8" t="s">
        <v>4487</v>
      </c>
      <c r="BN3" s="26" t="s">
        <v>4579</v>
      </c>
      <c r="BO3" s="3">
        <v>10</v>
      </c>
      <c r="BP3" s="3">
        <v>2</v>
      </c>
      <c r="BQ3" s="3" t="s">
        <v>4602</v>
      </c>
      <c r="BR3" s="3">
        <v>10000</v>
      </c>
      <c r="BS3" s="8">
        <v>100</v>
      </c>
      <c r="BT3" s="683" t="s">
        <v>7084</v>
      </c>
      <c r="CC3" s="12" t="s">
        <v>3378</v>
      </c>
      <c r="CD3" s="3">
        <f>Talents!M1102*2</f>
        <v>0</v>
      </c>
      <c r="CE3" s="3" t="s">
        <v>1520</v>
      </c>
      <c r="CF3" s="3" t="e">
        <f ca="1">IF(AND(INDEX(WeaponTable,MATCH(Weapons!$E$11,WeaponList,0),5)=CE3,NOT(ISERROR(FIND(INDEX(MultiattackProficiencyTable,MATCH(INDEX(WeaponTable,MATCH(Weapons!$E$11,WeaponList,0),5),MultiattackProficiencyType,0),1),TalentsTakenList,1)))),CD3,0)</f>
        <v>#N/A</v>
      </c>
      <c r="CI3" s="3" t="s">
        <v>714</v>
      </c>
      <c r="CJ3" s="1024" t="s">
        <v>160</v>
      </c>
      <c r="CK3" s="1024"/>
      <c r="CL3" s="1024"/>
      <c r="CM3" s="1024">
        <v>3</v>
      </c>
      <c r="CN3" s="1024"/>
      <c r="CO3" s="1024" t="s">
        <v>173</v>
      </c>
      <c r="CP3" s="1082" t="s">
        <v>4482</v>
      </c>
      <c r="CQ3" s="1083" t="s">
        <v>6070</v>
      </c>
      <c r="CR3" s="569" t="s">
        <v>8857</v>
      </c>
      <c r="CS3" s="1704"/>
      <c r="CT3" s="1704"/>
      <c r="CU3" s="1704"/>
      <c r="CV3" s="1704"/>
      <c r="CW3" s="1704"/>
      <c r="CX3" s="1704"/>
      <c r="CY3" s="1704"/>
      <c r="CZ3" s="1704"/>
      <c r="DA3" s="570" t="s">
        <v>195</v>
      </c>
      <c r="DB3" s="570" t="s">
        <v>195</v>
      </c>
      <c r="DC3" s="570" t="s">
        <v>195</v>
      </c>
      <c r="DD3" s="570" t="s">
        <v>195</v>
      </c>
      <c r="DE3" s="570" t="s">
        <v>195</v>
      </c>
      <c r="DF3" s="1104"/>
      <c r="DG3" s="1104"/>
      <c r="DH3" s="1024"/>
      <c r="DI3" s="1024"/>
      <c r="DJ3" s="1024"/>
      <c r="DK3" s="1024"/>
      <c r="DL3" s="1024"/>
      <c r="DM3" s="1024"/>
      <c r="DN3" s="1024"/>
      <c r="DO3" s="1024"/>
      <c r="DP3" s="1024">
        <v>4500</v>
      </c>
      <c r="DQ3" s="1024">
        <v>1</v>
      </c>
      <c r="DR3" s="1024" t="s">
        <v>715</v>
      </c>
      <c r="DS3" s="1024" t="s">
        <v>715</v>
      </c>
      <c r="DW3" s="1358" t="s">
        <v>3984</v>
      </c>
      <c r="DY3" s="1379" t="s">
        <v>111</v>
      </c>
      <c r="DZ3" s="1379" t="str">
        <f ca="1">FeatsListStatBlock</f>
        <v/>
      </c>
      <c r="EA3" t="s">
        <v>7162</v>
      </c>
      <c r="EB3" s="1379" t="s">
        <v>7152</v>
      </c>
      <c r="EC3" s="570" t="s">
        <v>195</v>
      </c>
      <c r="ED3" s="1323" t="s">
        <v>7336</v>
      </c>
      <c r="EE3" s="1439" t="s">
        <v>7413</v>
      </c>
      <c r="EF3" s="1323" t="s">
        <v>7532</v>
      </c>
      <c r="EG3" s="3" t="s">
        <v>238</v>
      </c>
      <c r="EH3" s="3" t="s">
        <v>195</v>
      </c>
      <c r="EI3" s="8" t="s">
        <v>7533</v>
      </c>
      <c r="EJ3" s="1323" t="s">
        <v>7610</v>
      </c>
      <c r="EK3" s="8" t="s">
        <v>7611</v>
      </c>
      <c r="EL3" s="1323" t="s">
        <v>7641</v>
      </c>
      <c r="EM3" s="1489">
        <v>2000</v>
      </c>
      <c r="EN3" s="19" t="s">
        <v>7642</v>
      </c>
      <c r="EP3" s="1489">
        <f>EM3</f>
        <v>2000</v>
      </c>
      <c r="EQ3" s="1473">
        <f t="shared" si="0"/>
        <v>1</v>
      </c>
      <c r="ER3" s="3">
        <f t="shared" si="1"/>
        <v>2000</v>
      </c>
      <c r="ES3" s="19" t="str">
        <f t="shared" si="2"/>
        <v xml:space="preserve">1 </v>
      </c>
      <c r="ET3" s="3">
        <f t="shared" si="3"/>
        <v>1</v>
      </c>
      <c r="EU3" s="8">
        <f t="shared" ref="EU3:EU38" si="6">ES3*ET3</f>
        <v>1</v>
      </c>
      <c r="EV3" s="954" t="s">
        <v>2303</v>
      </c>
      <c r="EW3" s="954">
        <v>-5</v>
      </c>
      <c r="EZ3" s="954">
        <v>2</v>
      </c>
      <c r="FA3" s="954" t="s">
        <v>651</v>
      </c>
      <c r="FB3" s="954" t="s">
        <v>4084</v>
      </c>
      <c r="FC3" s="1478" t="s">
        <v>13</v>
      </c>
      <c r="FG3" s="1492" t="s">
        <v>7760</v>
      </c>
      <c r="FH3" s="1493" t="s">
        <v>57</v>
      </c>
      <c r="FI3" s="1493"/>
      <c r="FJ3" s="1493" t="s">
        <v>7152</v>
      </c>
      <c r="FK3" s="1323" t="s">
        <v>2335</v>
      </c>
      <c r="FL3" s="1493" t="s">
        <v>3720</v>
      </c>
      <c r="FM3" s="569" t="s">
        <v>111</v>
      </c>
      <c r="FN3" s="1493" t="s">
        <v>111</v>
      </c>
      <c r="FO3" s="569" t="s">
        <v>7796</v>
      </c>
      <c r="FP3" s="569" t="s">
        <v>7797</v>
      </c>
      <c r="FQ3" s="1509" t="s">
        <v>7761</v>
      </c>
      <c r="FU3" s="3">
        <v>1</v>
      </c>
      <c r="FV3" s="3" t="str">
        <f>IF($GE3&lt;&gt;"",IF(Weapons!$E$12=$GE3,Weapon1&amp;"; "&amp;IF($GE3="Ranged",Weapons!$D$129,"")&amp;IF((Weapons!$E$110+$FR3)&lt;0,Weapons!$E$110+$FR3,"+"&amp;Weapons!$E$110+$FR3)&amp;" vs. "&amp;$GF3&amp;"; "&amp;IF(Weapons!$E$11&lt;&gt;"",IF(Weapons!$E$21="special",Weapons!$E$21,Weapons!$E$78+FU3&amp;"d"&amp;Weapons!$E$79&amp;IF((Weapons!$E$116+$FS3)&gt;=0,"+","")&amp;Weapons!$E$116+$FS3),""),""),"")</f>
        <v/>
      </c>
      <c r="FW3" s="3" t="str">
        <f>IF($GE3&lt;&gt;"",IF(Weapons!$O$12=$GE3,Weapon1&amp;"; "&amp;IF($GE3="Ranged",Weapons!$N$129,"")&amp;IF((Weapons!$O$110+$FR3)&lt;0,Weapons!$O$110+$FR3,"+"&amp;Weapons!$O$110+$FR3)&amp;" vs. "&amp;$GF3&amp;"; "&amp;IF(Weapons!$O$11&lt;&gt;"",IF(Weapons!$O$21="special",Weapons!$O$21,Weapons!$O$78+FU3&amp;"d"&amp;Weapons!$O$79&amp;IF((Weapons!$O$116+$FS3)&gt;=0,"+","")&amp;Weapons!$O$116+$FS3),""),""),"")</f>
        <v/>
      </c>
      <c r="GB3" s="597" t="str">
        <f>IF(FV3&lt;&gt;"",FV3&amp;IF(COUNTA(FW3:GA3)&gt;0,"
",""),"")&amp;IF(FW3&lt;&gt;"",FW3&amp;IF(COUNTA(FX3:GA3)&gt;0,"
",""),"")&amp;IF(FX3&lt;&gt;"",FX3&amp;IF(COUNTA(FY3:GA3)&gt;0,"
",""),"")&amp;IF(FY3&lt;&gt;"",FY3&amp;IF(COUNTA(FZ3:GA3)&gt;0,"
",""),"")&amp;IF(FZ3&lt;&gt;"",FZ3&amp;IF(COUNTA(GA3:GA3)&gt;0,"
",""),"")&amp;IF(GA3&lt;&gt;"",GA3,"")</f>
        <v/>
      </c>
      <c r="GC3" s="597" t="str">
        <f>GB3</f>
        <v/>
      </c>
      <c r="GD3" s="597" t="str">
        <f t="shared" ref="GD3:GD9" si="7">IF(HTML,IF(FL3="Attack",TRG,IF(FL3="Defense",TRO,TRLSG))&amp;WFS&amp;"u"&amp;WFF&amp;BS,"//")&amp;" "&amp;FK3&amp;IF(HTML,BF,"")&amp;IF(FO3&lt;&gt;""," ("&amp;FO3&amp;IF(FP3&lt;&gt;"","; "&amp;FP3,"")&amp;IF(FQ3&lt;&gt;"","; "&amp;FQ3,"")&amp;") "&amp;IF(HTML,WFS&amp;"v"&amp;WFF&amp;BS,"•"),IF(HTML,WFS&amp;"v"&amp;WFF&amp;BS,"•"))&amp;" "&amp;FM3&amp;IF(HTML,BF&amp;TRF&amp;TRW,"")&amp;"
"&amp;GC3&amp;TRFF</f>
        <v xml:space="preserve">// Deadeye (full-round; at-will; after aiming) • Feat
</v>
      </c>
      <c r="GE3" s="597" t="s">
        <v>3735</v>
      </c>
      <c r="GF3" s="3" t="s">
        <v>60</v>
      </c>
      <c r="GG3" s="3" t="b">
        <v>1</v>
      </c>
      <c r="GI3" s="1512" t="str">
        <f t="shared" ref="GI3:GI65" ca="1" si="8">IF(OnlyCombatDescs,IF(GG3=TRUE,IF(NOT(ISERROR(FIND(FK3,INDEX(SpecialsTable,MATCH(FN3,SpecialsList,0),2),1))),GD3,""),""),IF(NOT(ISERROR(FIND(FK3,INDEX(SpecialsTable,MATCH(FN3,SpecialsList,0),2),1))),GD3,""))</f>
        <v/>
      </c>
      <c r="GJ3" s="1512" t="e">
        <f t="shared" ref="GJ3:GJ65" ca="1" si="9">IF(GI3&lt;&gt;"",GI3&amp;IF(GJ4&lt;&gt;"","
"&amp;IF(AND(HTML,Tables=FALSE),"&lt;BR&gt;","")&amp;GJ4,""),GJ4)</f>
        <v>#REF!</v>
      </c>
      <c r="GK3" s="456" t="str">
        <f t="shared" ref="GK3:GK65" si="10">IF(GD3&lt;&gt;"",GD3,"")</f>
        <v xml:space="preserve">// Deadeye (full-round; at-will; after aiming) • Feat
</v>
      </c>
      <c r="GL3" s="1606" t="s">
        <v>8684</v>
      </c>
      <c r="GM3" s="1616">
        <v>1</v>
      </c>
      <c r="GN3" s="1616"/>
      <c r="GO3" s="1635" t="s">
        <v>8735</v>
      </c>
      <c r="GP3" s="1639" t="s">
        <v>8753</v>
      </c>
      <c r="GQ3" s="1590"/>
      <c r="GR3" s="1590"/>
      <c r="GU3" s="1639"/>
    </row>
    <row r="4" spans="1:203">
      <c r="A4" s="12" t="s">
        <v>3730</v>
      </c>
      <c r="B4" s="12">
        <v>2000</v>
      </c>
      <c r="C4" s="12" t="s">
        <v>3726</v>
      </c>
      <c r="D4" s="3">
        <v>4000</v>
      </c>
      <c r="F4" s="569" t="s">
        <v>3753</v>
      </c>
      <c r="H4" s="12" t="s">
        <v>812</v>
      </c>
      <c r="I4" s="3" t="s">
        <v>169</v>
      </c>
      <c r="J4" s="3">
        <v>3000</v>
      </c>
      <c r="K4" s="3">
        <v>1</v>
      </c>
      <c r="L4" s="3" t="s">
        <v>3736</v>
      </c>
      <c r="O4" s="3" t="s">
        <v>3761</v>
      </c>
      <c r="Q4" s="1177" t="s">
        <v>813</v>
      </c>
      <c r="R4" s="565" t="s">
        <v>534</v>
      </c>
      <c r="S4" s="565">
        <v>800</v>
      </c>
      <c r="T4" s="565">
        <v>10</v>
      </c>
      <c r="U4" s="565" t="s">
        <v>535</v>
      </c>
      <c r="V4" s="565" t="s">
        <v>536</v>
      </c>
      <c r="W4" s="12" t="s">
        <v>384</v>
      </c>
      <c r="X4" s="3" t="s">
        <v>155</v>
      </c>
      <c r="Y4" s="3" t="s">
        <v>160</v>
      </c>
      <c r="Z4" s="3" t="s">
        <v>200</v>
      </c>
      <c r="AA4" s="8" t="s">
        <v>384</v>
      </c>
      <c r="AB4" s="3"/>
      <c r="AC4" s="3"/>
      <c r="AD4" s="569" t="s">
        <v>3977</v>
      </c>
      <c r="AE4" s="616" t="s">
        <v>3963</v>
      </c>
      <c r="AF4" s="616" t="s">
        <v>3964</v>
      </c>
      <c r="AG4" s="616" t="s">
        <v>3981</v>
      </c>
      <c r="AH4" s="1183" t="s">
        <v>446</v>
      </c>
      <c r="AI4" s="3" t="s">
        <v>4063</v>
      </c>
      <c r="AJ4" s="3" t="s">
        <v>169</v>
      </c>
      <c r="AK4" s="3">
        <v>2000</v>
      </c>
      <c r="AL4" s="3">
        <v>2</v>
      </c>
      <c r="AQ4" s="1176"/>
      <c r="AR4" s="1177" t="s">
        <v>4015</v>
      </c>
      <c r="AS4" s="12" t="s">
        <v>2267</v>
      </c>
      <c r="AU4" s="3">
        <f>CharacterLevel-INT(CharacterLevel/2)</f>
        <v>0</v>
      </c>
      <c r="BA4" s="742" t="s">
        <v>4134</v>
      </c>
      <c r="BB4">
        <v>1</v>
      </c>
      <c r="BD4" s="742"/>
      <c r="BE4" s="742"/>
      <c r="BF4" s="742"/>
      <c r="BG4" s="742"/>
      <c r="BH4" s="742"/>
      <c r="BI4" s="742"/>
      <c r="BJ4" s="12" t="s">
        <v>4477</v>
      </c>
      <c r="BK4" s="3" t="s">
        <v>1381</v>
      </c>
      <c r="BL4" s="3" t="s">
        <v>461</v>
      </c>
      <c r="BM4" s="8" t="s">
        <v>4488</v>
      </c>
      <c r="BN4" s="26" t="s">
        <v>4580</v>
      </c>
      <c r="BO4" s="3">
        <v>5</v>
      </c>
      <c r="BP4" s="3">
        <v>1</v>
      </c>
      <c r="BQ4" s="3" t="s">
        <v>4603</v>
      </c>
      <c r="BR4" s="3">
        <v>100000</v>
      </c>
      <c r="BS4" s="8">
        <v>1000</v>
      </c>
      <c r="BT4" s="12" t="s">
        <v>4619</v>
      </c>
      <c r="BU4" s="3">
        <v>3600</v>
      </c>
      <c r="BV4" s="3">
        <v>6</v>
      </c>
      <c r="BW4" s="3">
        <v>3</v>
      </c>
      <c r="BX4" s="3">
        <v>12</v>
      </c>
      <c r="BY4" s="3" t="s">
        <v>201</v>
      </c>
      <c r="CA4" s="3" t="s">
        <v>4360</v>
      </c>
      <c r="CB4" s="8" t="s">
        <v>4620</v>
      </c>
      <c r="CC4" s="12" t="s">
        <v>3256</v>
      </c>
      <c r="CD4" s="3">
        <f>Talents!M952*2</f>
        <v>0</v>
      </c>
      <c r="CE4" s="3" t="s">
        <v>651</v>
      </c>
      <c r="CF4" s="3" t="e">
        <f ca="1">IF(AND(Weapons!$E$74=CE4,NOT(ISERROR(FIND(CC4,TalentsTakenList,1)))),CD4,0)</f>
        <v>#N/A</v>
      </c>
      <c r="CI4" s="3" t="s">
        <v>735</v>
      </c>
      <c r="CJ4" s="1024" t="s">
        <v>160</v>
      </c>
      <c r="CK4" s="1024"/>
      <c r="CL4" s="1024"/>
      <c r="CM4" s="1024">
        <v>3</v>
      </c>
      <c r="CN4" s="1024"/>
      <c r="CO4" s="1024" t="s">
        <v>173</v>
      </c>
      <c r="CP4" s="1082" t="s">
        <v>4483</v>
      </c>
      <c r="CQ4" s="1083" t="s">
        <v>6071</v>
      </c>
      <c r="CR4" s="569" t="s">
        <v>8858</v>
      </c>
      <c r="CS4" s="1704"/>
      <c r="CT4" s="1704"/>
      <c r="CU4" s="1704"/>
      <c r="CV4" s="1704"/>
      <c r="CW4" s="1704"/>
      <c r="CX4" s="1704"/>
      <c r="CY4" s="1704"/>
      <c r="CZ4" s="1704"/>
      <c r="DA4" s="570" t="s">
        <v>195</v>
      </c>
      <c r="DB4" s="570" t="s">
        <v>195</v>
      </c>
      <c r="DC4" s="570" t="s">
        <v>195</v>
      </c>
      <c r="DD4" s="570" t="s">
        <v>195</v>
      </c>
      <c r="DE4" s="570" t="s">
        <v>195</v>
      </c>
      <c r="DF4" s="1104"/>
      <c r="DG4" s="1104"/>
      <c r="DH4" s="1024"/>
      <c r="DI4" s="1024"/>
      <c r="DJ4" s="1024"/>
      <c r="DK4" s="1024"/>
      <c r="DL4" s="1024"/>
      <c r="DM4" s="1024"/>
      <c r="DN4" s="1024"/>
      <c r="DO4" s="1024"/>
      <c r="DP4" s="1024">
        <v>8000</v>
      </c>
      <c r="DQ4" s="1024">
        <v>1</v>
      </c>
      <c r="DR4" s="1024" t="s">
        <v>736</v>
      </c>
      <c r="DS4" s="1024" t="s">
        <v>736</v>
      </c>
      <c r="DW4" s="1358" t="s">
        <v>3988</v>
      </c>
      <c r="DY4" s="1379" t="s">
        <v>3807</v>
      </c>
      <c r="DZ4" s="1379" t="str">
        <f>ForcePowersKnownStatBlock</f>
        <v/>
      </c>
      <c r="EA4" t="s">
        <v>7163</v>
      </c>
      <c r="EB4" s="1379" t="s">
        <v>7154</v>
      </c>
      <c r="EC4" s="1379" t="s">
        <v>7175</v>
      </c>
      <c r="ED4" s="1323" t="s">
        <v>7337</v>
      </c>
      <c r="EE4" s="1439" t="s">
        <v>7414</v>
      </c>
      <c r="EF4" s="1323" t="s">
        <v>7596</v>
      </c>
      <c r="EG4" s="3" t="s">
        <v>238</v>
      </c>
      <c r="EH4" s="3" t="s">
        <v>3717</v>
      </c>
      <c r="EI4" s="8" t="s">
        <v>7597</v>
      </c>
      <c r="EJ4" s="1323" t="s">
        <v>7612</v>
      </c>
      <c r="EK4" s="8" t="s">
        <v>7613</v>
      </c>
      <c r="EL4" s="1323" t="s">
        <v>7643</v>
      </c>
      <c r="EM4" s="1489">
        <v>5000</v>
      </c>
      <c r="EN4" s="19" t="s">
        <v>7644</v>
      </c>
      <c r="EO4" s="19" t="s">
        <v>7645</v>
      </c>
      <c r="EP4" s="1489">
        <f>EM4</f>
        <v>5000</v>
      </c>
      <c r="EQ4" s="1473">
        <f t="shared" si="0"/>
        <v>1</v>
      </c>
      <c r="ER4" s="3">
        <f t="shared" si="1"/>
        <v>5000</v>
      </c>
      <c r="ES4" s="19" t="str">
        <f t="shared" si="2"/>
        <v xml:space="preserve">3 </v>
      </c>
      <c r="ET4" s="3">
        <f t="shared" si="3"/>
        <v>1</v>
      </c>
      <c r="EU4" s="8">
        <f t="shared" si="6"/>
        <v>3</v>
      </c>
      <c r="EV4" s="954" t="s">
        <v>2308</v>
      </c>
      <c r="EW4" s="954">
        <v>1</v>
      </c>
      <c r="FB4" s="954" t="s">
        <v>4084</v>
      </c>
      <c r="FD4" s="954" t="s">
        <v>202</v>
      </c>
      <c r="FG4" s="1503" t="s">
        <v>7761</v>
      </c>
      <c r="FH4" s="1504" t="s">
        <v>57</v>
      </c>
      <c r="FI4" s="1504"/>
      <c r="FJ4" s="1504" t="s">
        <v>7152</v>
      </c>
      <c r="FK4" s="1323" t="s">
        <v>2607</v>
      </c>
      <c r="FL4" s="1493" t="s">
        <v>3720</v>
      </c>
      <c r="FM4" s="1513" t="s">
        <v>7898</v>
      </c>
      <c r="FN4" s="1513" t="s">
        <v>4129</v>
      </c>
      <c r="FO4" s="569" t="s">
        <v>7092</v>
      </c>
      <c r="FP4" s="569" t="s">
        <v>7797</v>
      </c>
      <c r="FQ4" s="1509" t="str">
        <f>IF(Talents!M1097&gt;0,"all targets in 6 square line","one target")</f>
        <v>one target</v>
      </c>
      <c r="FV4" s="3" t="str">
        <f>IF(Weapon1&lt;&gt;"",IF($GE4&lt;&gt;"",IF(Weapons!$E$76=$GE4,Weapon1&amp;"; "&amp;Data!$B$40&amp;"/"&amp;Data!$C$40&amp;"/"&amp;Data!$D$40&amp;"/"&amp;Data!$E$40&amp;"; +"&amp;BAB+DexMod+Weapons!$E$112+Weapons!$E$113+Weapons!$E$114+Weapons!$E$102+FR$131&amp;" vs. Reflex, "&amp;Weapons!$E$78&amp;"d"&amp;Weapons!$E$79&amp;" "&amp;LOWER(Weapons!$E$98)&amp;" damage",""),""),"")</f>
        <v/>
      </c>
      <c r="FW4" s="3" t="str">
        <f>IF(Weapon2&lt;&gt;"",IF($GE4&lt;&gt;"",IF(Weapons!$O$76=$GE4,Weapon2&amp;"; "&amp;Data!$B$40&amp;"/"&amp;Data!$C$40&amp;"/"&amp;Data!$D$40&amp;"/"&amp;Data!$E$40&amp;"; +"&amp;BAB+DexMod+Weapons!$O$112+Weapons!$O$113+Weapons!$O$114+Weapons!$O$102+FR$131&amp;" vs. Reflex, "&amp;Weapons!$O$78&amp;"d"&amp;Weapons!$O$79&amp;" "&amp;LOWER(Weapons!$O$98)&amp;" damage",""),""),"")</f>
        <v/>
      </c>
      <c r="GB4" s="597" t="str">
        <f>IF(FV4&lt;&gt;"",FV4&amp;IF(COUNTA(FW4:GA4)&gt;0,"
",""),"")&amp;IF(FW4&lt;&gt;"",FW4&amp;IF(COUNTA(FX4:GA4)&gt;0,"
",""),"")&amp;IF(FX4&lt;&gt;"",FX4&amp;IF(COUNTA(FY4:GA4)&gt;0,"
",""),"")&amp;IF(FY4&lt;&gt;"",FY4&amp;IF(COUNTA(FZ4:GA4)&gt;0,"
",""),"")&amp;IF(FZ4&lt;&gt;"",FZ4&amp;IF(COUNTA(GA4:GA4)&gt;0,"
",""),"")&amp;IF(GA4&lt;&gt;"",GA4,"")</f>
        <v/>
      </c>
      <c r="GC4" s="597" t="str">
        <f ca="1">GB4&amp;IF(HTML,"&lt;BR&gt;","
")&amp;"+"&amp;UsetheForce&amp;" vs. DC 20 to retrieve from 6 squares"&amp;IF(Talents!M1098&gt;0,IF(HTML,"&lt;BR&gt;","
")&amp;"Targets damaged move at half speed until "&amp;CharacterName&amp;"'s next turn","")</f>
        <v xml:space="preserve">
+0 vs. DC 20 to retrieve from 6 squares</v>
      </c>
      <c r="GD4" s="597" t="str">
        <f t="shared" ca="1" si="7"/>
        <v>// Lightsaber Throw (standard; at-will; one target) • Talent, Weapon
+0 vs. DC 20 to retrieve from 6 squares</v>
      </c>
      <c r="GE4" s="597" t="s">
        <v>3761</v>
      </c>
      <c r="GF4" s="3" t="s">
        <v>60</v>
      </c>
      <c r="GG4" s="3" t="b">
        <v>1</v>
      </c>
      <c r="GH4" s="8">
        <f>IF(FN4="Talent",INDEX(TalentsTable,MATCH(FK4,TalentsTableList,0),13),"")</f>
        <v>41</v>
      </c>
      <c r="GI4" s="1512" t="str">
        <f t="shared" si="8"/>
        <v/>
      </c>
      <c r="GJ4" s="1512" t="e">
        <f t="shared" ca="1" si="9"/>
        <v>#REF!</v>
      </c>
      <c r="GK4" s="456" t="str">
        <f t="shared" ca="1" si="10"/>
        <v>// Lightsaber Throw (standard; at-will; one target) • Talent, Weapon
+0 vs. DC 20 to retrieve from 6 squares</v>
      </c>
      <c r="GL4" s="1606" t="s">
        <v>8685</v>
      </c>
      <c r="GM4" s="1616">
        <v>1</v>
      </c>
      <c r="GN4" s="1616"/>
      <c r="GO4" s="1635" t="s">
        <v>8736</v>
      </c>
      <c r="GP4" s="1639" t="s">
        <v>8754</v>
      </c>
      <c r="GQ4" s="1590"/>
      <c r="GR4" s="1590"/>
      <c r="GU4" s="1639"/>
    </row>
    <row r="5" spans="1:203">
      <c r="A5" s="555" t="str">
        <f>A2&amp;" (self-made)"</f>
        <v>Improved Accuracy (self-made)</v>
      </c>
      <c r="B5" s="555">
        <v>1000</v>
      </c>
      <c r="C5" s="12" t="s">
        <v>3727</v>
      </c>
      <c r="D5" s="569">
        <v>4000</v>
      </c>
      <c r="F5" s="555" t="s">
        <v>110</v>
      </c>
      <c r="H5" s="12" t="s">
        <v>438</v>
      </c>
      <c r="I5" s="3" t="s">
        <v>173</v>
      </c>
      <c r="J5" s="3">
        <v>2000</v>
      </c>
      <c r="K5" s="3">
        <v>1</v>
      </c>
      <c r="L5" s="3" t="s">
        <v>3736</v>
      </c>
      <c r="N5" s="3" t="s">
        <v>357</v>
      </c>
      <c r="O5" s="3" t="s">
        <v>3761</v>
      </c>
      <c r="P5" s="1178" t="s">
        <v>218</v>
      </c>
      <c r="Q5" s="1177" t="s">
        <v>439</v>
      </c>
      <c r="R5" s="565" t="s">
        <v>565</v>
      </c>
      <c r="S5" s="565">
        <v>200</v>
      </c>
      <c r="T5" s="565">
        <v>5</v>
      </c>
      <c r="U5" s="565" t="s">
        <v>566</v>
      </c>
      <c r="V5" s="565" t="s">
        <v>567</v>
      </c>
      <c r="W5" s="1323" t="s">
        <v>8088</v>
      </c>
      <c r="X5" s="569" t="s">
        <v>7946</v>
      </c>
      <c r="Y5" s="569" t="s">
        <v>160</v>
      </c>
      <c r="Z5" s="1719" t="s">
        <v>200</v>
      </c>
      <c r="AA5" s="8" t="s">
        <v>8080</v>
      </c>
      <c r="AB5" s="3"/>
      <c r="AC5" s="3"/>
      <c r="AD5" s="569" t="s">
        <v>3966</v>
      </c>
      <c r="AE5" s="616" t="s">
        <v>371</v>
      </c>
      <c r="AF5" s="616" t="s">
        <v>3969</v>
      </c>
      <c r="AG5" s="616" t="s">
        <v>3968</v>
      </c>
      <c r="AH5" s="1183" t="s">
        <v>483</v>
      </c>
      <c r="AI5" s="3" t="s">
        <v>4014</v>
      </c>
      <c r="AJ5" s="3" t="s">
        <v>169</v>
      </c>
      <c r="AK5" s="3">
        <v>1000</v>
      </c>
      <c r="AL5" s="3">
        <v>1</v>
      </c>
      <c r="AQ5" s="1176"/>
      <c r="AR5" s="1177"/>
      <c r="AS5" s="12" t="s">
        <v>2303</v>
      </c>
      <c r="AT5" s="3">
        <f>IF(Strength&lt;13,-10,IF(Talents!M946&gt;0,-2,-5))</f>
        <v>-5</v>
      </c>
      <c r="AW5" s="3">
        <v>2</v>
      </c>
      <c r="AX5" s="3" t="s">
        <v>651</v>
      </c>
      <c r="AY5" s="3" t="s">
        <v>4084</v>
      </c>
      <c r="BA5" s="742" t="s">
        <v>4135</v>
      </c>
      <c r="BB5">
        <v>1</v>
      </c>
      <c r="BD5" s="742"/>
      <c r="BE5" s="742"/>
      <c r="BF5" s="742"/>
      <c r="BG5" s="742"/>
      <c r="BH5" s="742"/>
      <c r="BI5" s="742"/>
      <c r="BJ5" s="12" t="s">
        <v>4478</v>
      </c>
      <c r="BK5" s="3" t="s">
        <v>1381</v>
      </c>
      <c r="BL5" s="3" t="s">
        <v>461</v>
      </c>
      <c r="BM5" s="8" t="s">
        <v>4489</v>
      </c>
      <c r="BN5" s="26" t="s">
        <v>4581</v>
      </c>
      <c r="BO5" s="3">
        <v>20</v>
      </c>
      <c r="BP5" s="3">
        <v>5</v>
      </c>
      <c r="BQ5" s="3" t="s">
        <v>4604</v>
      </c>
      <c r="BR5" s="3">
        <v>1000000</v>
      </c>
      <c r="BS5" s="8">
        <v>10000</v>
      </c>
      <c r="BT5" s="12" t="s">
        <v>4621</v>
      </c>
      <c r="BU5" s="3">
        <v>1600</v>
      </c>
      <c r="BV5" s="3">
        <v>4</v>
      </c>
      <c r="BW5" s="3">
        <v>4</v>
      </c>
      <c r="BX5" s="3">
        <v>8</v>
      </c>
      <c r="BY5" s="3" t="s">
        <v>5785</v>
      </c>
      <c r="CA5" s="3" t="s">
        <v>4360</v>
      </c>
      <c r="CB5" s="8" t="s">
        <v>4622</v>
      </c>
      <c r="CC5" s="12" t="s">
        <v>3315</v>
      </c>
      <c r="CD5" s="3">
        <f>Talents!M1026*2</f>
        <v>0</v>
      </c>
      <c r="CE5" s="3" t="s">
        <v>563</v>
      </c>
      <c r="CF5" s="3" t="e">
        <f ca="1">IF(AND(Weapons!$E$74=CE5,NOT(ISERROR(FIND(CC5,TalentsTakenList,1)))),CD5,0)</f>
        <v>#N/A</v>
      </c>
      <c r="CI5" s="3" t="s">
        <v>756</v>
      </c>
      <c r="CJ5" s="1024" t="s">
        <v>238</v>
      </c>
      <c r="CK5" s="1024"/>
      <c r="CL5" s="1024"/>
      <c r="CM5" s="1024">
        <v>2</v>
      </c>
      <c r="CN5" s="1024"/>
      <c r="CO5" s="1024" t="s">
        <v>173</v>
      </c>
      <c r="CP5" s="1082" t="s">
        <v>4484</v>
      </c>
      <c r="CQ5" s="1083" t="s">
        <v>6069</v>
      </c>
      <c r="CS5" s="1704"/>
      <c r="CT5" s="1704"/>
      <c r="CU5" s="1704"/>
      <c r="CV5" s="1704"/>
      <c r="CW5" s="1704"/>
      <c r="CX5" s="1704"/>
      <c r="CY5" s="1704"/>
      <c r="CZ5" s="1704"/>
      <c r="DA5" s="570" t="s">
        <v>195</v>
      </c>
      <c r="DB5" s="570" t="s">
        <v>195</v>
      </c>
      <c r="DC5" s="570" t="s">
        <v>195</v>
      </c>
      <c r="DD5" s="570" t="s">
        <v>195</v>
      </c>
      <c r="DE5" s="570" t="s">
        <v>195</v>
      </c>
      <c r="DF5" s="1104"/>
      <c r="DG5" s="1104"/>
      <c r="DH5" s="1024"/>
      <c r="DI5" s="1024"/>
      <c r="DJ5" s="1024"/>
      <c r="DK5" s="1024"/>
      <c r="DL5" s="1024"/>
      <c r="DM5" s="1024"/>
      <c r="DN5" s="1024"/>
      <c r="DO5" s="1024"/>
      <c r="DP5" s="1024">
        <v>12500</v>
      </c>
      <c r="DQ5" s="1024">
        <v>1</v>
      </c>
      <c r="DR5" s="1024" t="s">
        <v>757</v>
      </c>
      <c r="DS5" s="1024" t="s">
        <v>757</v>
      </c>
      <c r="DW5" s="1358" t="s">
        <v>3988</v>
      </c>
      <c r="DY5" s="1379" t="s">
        <v>4715</v>
      </c>
      <c r="DZ5" t="str">
        <f>ForceSecretsKnownStatBlock</f>
        <v/>
      </c>
      <c r="EA5" t="s">
        <v>7164</v>
      </c>
      <c r="EB5" s="1379" t="s">
        <v>7182</v>
      </c>
      <c r="EC5" s="1379" t="s">
        <v>7183</v>
      </c>
      <c r="ED5" s="1323" t="s">
        <v>7338</v>
      </c>
      <c r="EE5" s="1439" t="s">
        <v>7415</v>
      </c>
      <c r="EF5" s="1323" t="s">
        <v>7555</v>
      </c>
      <c r="EG5" s="3" t="s">
        <v>195</v>
      </c>
      <c r="EH5" s="3" t="s">
        <v>3717</v>
      </c>
      <c r="EI5" s="8" t="s">
        <v>7556</v>
      </c>
      <c r="EJ5" s="1323" t="s">
        <v>7614</v>
      </c>
      <c r="EK5" s="8" t="s">
        <v>7615</v>
      </c>
      <c r="EL5" s="1323" t="s">
        <v>7646</v>
      </c>
      <c r="EM5" s="1489">
        <v>1000</v>
      </c>
      <c r="EN5" s="19" t="s">
        <v>7647</v>
      </c>
      <c r="EP5" s="1489">
        <f>EM5</f>
        <v>1000</v>
      </c>
      <c r="EQ5" s="1473">
        <f t="shared" si="0"/>
        <v>1</v>
      </c>
      <c r="ER5" s="3">
        <f t="shared" si="1"/>
        <v>1000</v>
      </c>
      <c r="ES5" s="19" t="str">
        <f t="shared" si="2"/>
        <v xml:space="preserve">2 </v>
      </c>
      <c r="ET5" s="3">
        <f t="shared" si="3"/>
        <v>1</v>
      </c>
      <c r="EU5" s="8">
        <f t="shared" si="6"/>
        <v>2</v>
      </c>
      <c r="EV5" s="954" t="s">
        <v>5707</v>
      </c>
      <c r="EW5" s="954">
        <f ca="1">IF(Feats!M232&gt;0,4,2)</f>
        <v>2</v>
      </c>
      <c r="EX5" s="954" t="str">
        <f ca="1">IF(Feats!M232&gt;0,INT(HeroicLevel/2),"")</f>
        <v/>
      </c>
      <c r="FB5" s="954" t="s">
        <v>4083</v>
      </c>
      <c r="FD5" s="954" t="s">
        <v>202</v>
      </c>
      <c r="FG5" s="1478" t="s">
        <v>7762</v>
      </c>
      <c r="FH5" s="1478" t="s">
        <v>57</v>
      </c>
      <c r="FI5" s="1478"/>
      <c r="FJ5" s="1478" t="s">
        <v>7152</v>
      </c>
      <c r="FK5" s="1323" t="s">
        <v>2443</v>
      </c>
      <c r="FL5" s="1493" t="s">
        <v>3720</v>
      </c>
      <c r="FM5" s="1492" t="s">
        <v>111</v>
      </c>
      <c r="FN5" s="1492" t="s">
        <v>111</v>
      </c>
      <c r="FO5" s="1492" t="s">
        <v>7796</v>
      </c>
      <c r="FP5" s="1492" t="s">
        <v>7797</v>
      </c>
      <c r="FU5" s="3">
        <v>1</v>
      </c>
      <c r="FV5" s="3" t="str">
        <f>IF($GE5&lt;&gt;"",IF(Weapons!$E$12=$GE5,Weapon1&amp;"; "&amp;IF($GE5="Ranged",Weapons!$D$129,"")&amp;IF((Weapons!$E$110+$FR5)&lt;0,Weapons!$E$110+$FR5,"+"&amp;Weapons!$E$110+$FR5)&amp;" vs. "&amp;$GF5&amp;"; "&amp;IF(Weapons!$E$11&lt;&gt;"",IF(Weapons!$E$21="special",Weapons!$E$21,Weapons!$E$78+FU5&amp;"d"&amp;Weapons!$E$79&amp;IF((Weapons!$E$116+$FS5)&gt;=0,"+","")&amp;Weapons!$E$116+$FS5),""),""),"")</f>
        <v/>
      </c>
      <c r="FW5" s="3" t="str">
        <f>IF($GE5&lt;&gt;"",IF(Weapons!$O$12=$GE5,Weapon2&amp;"; "&amp;IF($GE5="Ranged",Weapons!$N$129,"")&amp;IF((Weapons!$O$110+$FR5)&lt;0,Weapons!$O$110+$FR5,"+"&amp;Weapons!$O$110+$FR5)&amp;" vs. "&amp;$GF5&amp;"; "&amp;IF(Weapons!$O$11&lt;&gt;"",IF(Weapons!$O$21="special",Weapons!$O$21,Weapons!$O$78+FU5&amp;"d"&amp;Weapons!$O$79&amp;IF((Weapons!$O$116+$FS5)&gt;=0,"+","")&amp;Weapons!$O$116+$FS5),""),""),"")</f>
        <v/>
      </c>
      <c r="GB5" s="597" t="str">
        <f>IF(FV5&lt;&gt;"",FV5&amp;IF(COUNTA(FW5:GA5)&gt;0,"
",""),"")&amp;IF(FW5&lt;&gt;"",FW5&amp;IF(COUNTA(FX5:GA5)&gt;0,"
",""),"")&amp;IF(FX5&lt;&gt;"",FX5&amp;IF(COUNTA(FY5:GA5)&gt;0,"
",""),"")&amp;IF(FY5&lt;&gt;"",FY5&amp;IF(COUNTA(FZ5:GA5)&gt;0,"
",""),"")&amp;IF(FZ5&lt;&gt;"",FZ5&amp;IF(COUNTA(GA5:GA5)&gt;0,"
",""),"")&amp;IF(GA5&lt;&gt;"",GA5,"")</f>
        <v/>
      </c>
      <c r="GC5" s="597" t="str">
        <f>GB5</f>
        <v/>
      </c>
      <c r="GD5" s="597" t="str">
        <f t="shared" si="7"/>
        <v xml:space="preserve">// Mighty Swing (full-round; at-will) • Feat
</v>
      </c>
      <c r="GE5" s="597" t="s">
        <v>3736</v>
      </c>
      <c r="GF5" s="3" t="s">
        <v>60</v>
      </c>
      <c r="GG5" s="3" t="b">
        <v>1</v>
      </c>
      <c r="GI5" s="1512" t="str">
        <f t="shared" ca="1" si="8"/>
        <v/>
      </c>
      <c r="GJ5" s="1512" t="e">
        <f t="shared" ca="1" si="9"/>
        <v>#REF!</v>
      </c>
      <c r="GK5" s="456" t="str">
        <f t="shared" si="10"/>
        <v xml:space="preserve">// Mighty Swing (full-round; at-will) • Feat
</v>
      </c>
      <c r="GL5" s="1606" t="s">
        <v>8686</v>
      </c>
      <c r="GM5" s="1616">
        <v>1</v>
      </c>
      <c r="GN5" s="1616"/>
      <c r="GO5" s="1635" t="s">
        <v>8740</v>
      </c>
      <c r="GP5" s="1639" t="s">
        <v>8755</v>
      </c>
      <c r="GQ5" s="1590"/>
      <c r="GR5" s="1590"/>
      <c r="GU5" s="1639"/>
    </row>
    <row r="6" spans="1:203">
      <c r="A6" s="555" t="str">
        <f>A3&amp;" (self-made)"</f>
        <v>Improved Damage (self-made)</v>
      </c>
      <c r="B6" s="555">
        <v>1000</v>
      </c>
      <c r="C6" t="str">
        <f>C2&amp;" (self-made)"</f>
        <v>Superior Accuracy (self-made)</v>
      </c>
      <c r="D6" s="569">
        <v>2000</v>
      </c>
      <c r="F6" s="555" t="s">
        <v>3757</v>
      </c>
      <c r="H6" s="12" t="s">
        <v>513</v>
      </c>
      <c r="I6" s="3" t="s">
        <v>173</v>
      </c>
      <c r="J6" s="3">
        <v>3000</v>
      </c>
      <c r="K6" s="3">
        <v>1</v>
      </c>
      <c r="L6" s="3" t="s">
        <v>3736</v>
      </c>
      <c r="M6" s="3" t="s">
        <v>360</v>
      </c>
      <c r="O6" s="3" t="s">
        <v>3761</v>
      </c>
      <c r="P6" s="1176" t="s">
        <v>514</v>
      </c>
      <c r="Q6" s="1177" t="s">
        <v>514</v>
      </c>
      <c r="R6" s="565" t="s">
        <v>589</v>
      </c>
      <c r="S6" s="565">
        <v>75</v>
      </c>
      <c r="T6" s="565">
        <v>1.2</v>
      </c>
      <c r="U6" s="565" t="s">
        <v>590</v>
      </c>
      <c r="V6" s="565" t="s">
        <v>591</v>
      </c>
      <c r="W6" s="12" t="s">
        <v>1186</v>
      </c>
      <c r="X6" s="3" t="s">
        <v>155</v>
      </c>
      <c r="Y6" s="3" t="s">
        <v>160</v>
      </c>
      <c r="Z6" s="3" t="s">
        <v>200</v>
      </c>
      <c r="AA6" s="8" t="s">
        <v>1186</v>
      </c>
      <c r="AB6" s="3"/>
      <c r="AC6" s="3"/>
      <c r="AD6" s="569" t="s">
        <v>3967</v>
      </c>
      <c r="AE6" s="616" t="s">
        <v>3970</v>
      </c>
      <c r="AF6" s="616" t="s">
        <v>3980</v>
      </c>
      <c r="AG6" s="616" t="s">
        <v>3970</v>
      </c>
      <c r="AH6" s="1183" t="s">
        <v>178</v>
      </c>
      <c r="AI6" s="3" t="s">
        <v>477</v>
      </c>
      <c r="AJ6" s="3" t="s">
        <v>169</v>
      </c>
      <c r="AK6" s="3">
        <v>1000</v>
      </c>
      <c r="AL6" s="3">
        <v>1</v>
      </c>
      <c r="AQ6" s="1176" t="s">
        <v>4015</v>
      </c>
      <c r="AR6" s="1177"/>
      <c r="AS6" s="12" t="s">
        <v>2308</v>
      </c>
      <c r="AT6" s="569">
        <v>1</v>
      </c>
      <c r="AY6" s="569" t="s">
        <v>4084</v>
      </c>
      <c r="AZ6" s="936" t="s">
        <v>202</v>
      </c>
      <c r="BA6" s="742" t="s">
        <v>4136</v>
      </c>
      <c r="BB6">
        <v>1</v>
      </c>
      <c r="BD6" s="742"/>
      <c r="BE6" s="742"/>
      <c r="BF6" s="742"/>
      <c r="BG6" s="742"/>
      <c r="BH6" s="742"/>
      <c r="BI6" s="742"/>
      <c r="BJ6" s="683" t="s">
        <v>4480</v>
      </c>
      <c r="BN6" s="26" t="s">
        <v>113</v>
      </c>
      <c r="BO6" s="3">
        <v>50</v>
      </c>
      <c r="BP6" s="3">
        <v>5</v>
      </c>
      <c r="BT6" s="12" t="s">
        <v>7075</v>
      </c>
      <c r="BU6" s="569">
        <v>1000</v>
      </c>
      <c r="BV6" s="569">
        <v>4</v>
      </c>
      <c r="BW6" s="569">
        <v>3</v>
      </c>
      <c r="BX6" s="569">
        <v>10</v>
      </c>
      <c r="BY6" s="569" t="s">
        <v>201</v>
      </c>
      <c r="CA6" s="569" t="s">
        <v>4360</v>
      </c>
      <c r="CB6" s="8" t="s">
        <v>7076</v>
      </c>
      <c r="CC6" s="12" t="s">
        <v>3443</v>
      </c>
      <c r="CD6" s="3">
        <f>(Talents!M1204+Talents!M1189)*2</f>
        <v>0</v>
      </c>
      <c r="CE6" s="3" t="s">
        <v>5715</v>
      </c>
      <c r="CF6" s="3" t="e">
        <f ca="1">IF(AND(Weapons!$E$74=CE6,NOT(ISERROR(FIND(CC6,TalentsTakenList,1)))),CD6,0)</f>
        <v>#N/A</v>
      </c>
      <c r="CI6" s="3" t="s">
        <v>776</v>
      </c>
      <c r="CJ6" s="1024" t="s">
        <v>238</v>
      </c>
      <c r="CK6" s="1024"/>
      <c r="CL6" s="1024"/>
      <c r="CM6" s="1024">
        <v>2</v>
      </c>
      <c r="CN6" s="1024"/>
      <c r="CO6" s="1024" t="s">
        <v>173</v>
      </c>
      <c r="CS6" s="1704"/>
      <c r="CT6" s="1704"/>
      <c r="CU6" s="1704"/>
      <c r="CV6" s="1704"/>
      <c r="CW6" s="1704"/>
      <c r="CX6" s="1704"/>
      <c r="CY6" s="1704"/>
      <c r="CZ6" s="1704"/>
      <c r="DA6" s="570" t="s">
        <v>195</v>
      </c>
      <c r="DB6" s="570" t="s">
        <v>195</v>
      </c>
      <c r="DC6" s="570" t="s">
        <v>195</v>
      </c>
      <c r="DD6" s="570" t="s">
        <v>195</v>
      </c>
      <c r="DE6" s="570" t="s">
        <v>195</v>
      </c>
      <c r="DF6" s="1104"/>
      <c r="DG6" s="1104"/>
      <c r="DH6" s="1024"/>
      <c r="DI6" s="1024"/>
      <c r="DJ6" s="1024"/>
      <c r="DK6" s="1024"/>
      <c r="DL6" s="1024"/>
      <c r="DM6" s="1024"/>
      <c r="DN6" s="1024"/>
      <c r="DO6" s="1024"/>
      <c r="DP6" s="1024">
        <v>18000</v>
      </c>
      <c r="DQ6" s="1024">
        <v>1</v>
      </c>
      <c r="DR6" s="1024" t="s">
        <v>777</v>
      </c>
      <c r="DS6" s="1024" t="s">
        <v>777</v>
      </c>
      <c r="DW6" s="1358" t="s">
        <v>3987</v>
      </c>
      <c r="DY6" s="1379" t="s">
        <v>4129</v>
      </c>
      <c r="DZ6" t="str">
        <f>TalentsListStatBlock</f>
        <v/>
      </c>
      <c r="EA6" t="s">
        <v>7165</v>
      </c>
      <c r="EB6" s="1379" t="s">
        <v>7179</v>
      </c>
      <c r="EC6" s="1379" t="s">
        <v>7184</v>
      </c>
      <c r="ED6" s="1323" t="s">
        <v>7339</v>
      </c>
      <c r="EE6" s="1439" t="s">
        <v>7416</v>
      </c>
      <c r="EF6" s="1323" t="s">
        <v>7590</v>
      </c>
      <c r="EG6" s="3" t="s">
        <v>195</v>
      </c>
      <c r="EH6" s="3" t="s">
        <v>3717</v>
      </c>
      <c r="EI6" s="8" t="s">
        <v>7591</v>
      </c>
      <c r="EJ6" s="1323" t="s">
        <v>7616</v>
      </c>
      <c r="EK6" s="8" t="s">
        <v>7617</v>
      </c>
      <c r="EL6" s="1323" t="s">
        <v>7648</v>
      </c>
      <c r="EM6" s="1489">
        <v>300</v>
      </c>
      <c r="EN6" s="19" t="s">
        <v>7642</v>
      </c>
      <c r="EO6" s="19" t="s">
        <v>7649</v>
      </c>
      <c r="EP6" s="1489">
        <f>EM6</f>
        <v>300</v>
      </c>
      <c r="EQ6" s="1473">
        <f t="shared" si="0"/>
        <v>1</v>
      </c>
      <c r="ER6" s="3">
        <f t="shared" si="1"/>
        <v>300</v>
      </c>
      <c r="ES6" s="19" t="str">
        <f t="shared" si="2"/>
        <v xml:space="preserve">1 </v>
      </c>
      <c r="ET6" s="3">
        <f t="shared" si="3"/>
        <v>1</v>
      </c>
      <c r="EU6" s="8">
        <f t="shared" si="6"/>
        <v>1</v>
      </c>
      <c r="EV6" s="954" t="s">
        <v>2310</v>
      </c>
      <c r="FB6" s="954" t="s">
        <v>4084</v>
      </c>
      <c r="FD6" s="954" t="s">
        <v>202</v>
      </c>
      <c r="FG6" s="954" t="str">
        <f ca="1">"make ranged attack at end of a charge"&amp;IF(Feats!M171&lt;&gt;"",", +2 attack, +2 Will, ","")&amp;" but take -"&amp;IF(Feats!$M$74&gt;0,1,2)&amp;" penality to Reflex Defense until next turn"</f>
        <v>make ranged attack at end of a charge, +2 attack, +2 Will,  but take -2 penality to Reflex Defense until next turn</v>
      </c>
      <c r="FH6" s="1478" t="s">
        <v>57</v>
      </c>
      <c r="FI6" s="1478"/>
      <c r="FJ6" s="1478" t="s">
        <v>7152</v>
      </c>
      <c r="FK6" s="1323" t="s">
        <v>2458</v>
      </c>
      <c r="FL6" s="1493" t="s">
        <v>3720</v>
      </c>
      <c r="FM6" s="3" t="s">
        <v>111</v>
      </c>
      <c r="FN6" s="569" t="s">
        <v>111</v>
      </c>
      <c r="FO6" s="1502" t="s">
        <v>7188</v>
      </c>
      <c r="FP6" s="1502" t="s">
        <v>7797</v>
      </c>
      <c r="FQ6" s="1510"/>
      <c r="FR6" s="1502">
        <v>-1</v>
      </c>
      <c r="FS6" s="1502">
        <v>1</v>
      </c>
      <c r="FT6" s="1502"/>
      <c r="FV6" s="3" t="str">
        <f>IF($GE6&lt;&gt;"",IF(Weapons!$E$12=$GE6,Weapon1&amp;"; "&amp;IF($GE6="Ranged",Weapons!$D$129,"")&amp;IF((Weapons!$E$110+$FR6)&lt;0,Weapons!$E$110+$FR6,"+"&amp;Weapons!$E$110+$FR6)&amp;" vs. "&amp;$GF6&amp;"; "&amp;IF(Weapons!$E$11&lt;&gt;"",IF(Weapons!$E$21="special",Weapons!$E$21,Weapons!$E$78+FU6&amp;"d"&amp;Weapons!$E$79&amp;IF((Weapons!$E$116+$FS6)&gt;=0,"+","")&amp;Weapons!$E$116+$FS6),""),""),"")</f>
        <v/>
      </c>
      <c r="FW6" s="3" t="str">
        <f>IF($GE6&lt;&gt;"",IF(Weapons!$O$12=$GE6,Weapon2&amp;"; "&amp;IF($GE6="Ranged",Weapons!$N$129,"")&amp;IF((Weapons!$O$110+$FR6)&lt;0,Weapons!$O$110+$FR6,"+"&amp;Weapons!$O$110+$FR6)&amp;" vs. "&amp;$GF6&amp;"; "&amp;IF(Weapons!$O$11&lt;&gt;"",IF(Weapons!$O$21="special",Weapons!$O$21,Weapons!$O$78+FU6&amp;"d"&amp;Weapons!$O$79&amp;IF((Weapons!$O$116+$FS6)&gt;=0,"+","")&amp;Weapons!$O$116+$FS6),""),""),"")</f>
        <v/>
      </c>
      <c r="GB6" s="597" t="str">
        <f>IF(FV6&lt;&gt;"",FV6&amp;IF(COUNTA(FW6:GA6)&gt;0,"
",""),"")&amp;IF(FW6&lt;&gt;"",FW6&amp;IF(COUNTA(FX6:GA6)&gt;0,"
",""),"")&amp;IF(FX6&lt;&gt;"",FX6&amp;IF(COUNTA(FY6:GA6)&gt;0,"
",""),"")&amp;IF(FY6&lt;&gt;"",FY6&amp;IF(COUNTA(FZ6:GA6)&gt;0,"
",""),"")&amp;IF(FZ6&lt;&gt;"",FZ6&amp;IF(COUNTA(GA6:GA6)&gt;0,"
",""),"")&amp;IF(GA6&lt;&gt;"",GA6,"")</f>
        <v/>
      </c>
      <c r="GC6" s="597" t="str">
        <f>GB6</f>
        <v/>
      </c>
      <c r="GD6" s="597" t="str">
        <f t="shared" si="7"/>
        <v xml:space="preserve">// Power Blast (swift; at-will) • Feat
</v>
      </c>
      <c r="GE6" s="1509" t="s">
        <v>3735</v>
      </c>
      <c r="GF6" s="569" t="s">
        <v>60</v>
      </c>
      <c r="GG6" s="3" t="b">
        <v>1</v>
      </c>
      <c r="GH6" s="8" t="s">
        <v>3813</v>
      </c>
      <c r="GI6" s="1512" t="str">
        <f t="shared" ca="1" si="8"/>
        <v/>
      </c>
      <c r="GJ6" s="1512" t="e">
        <f t="shared" ca="1" si="9"/>
        <v>#REF!</v>
      </c>
      <c r="GK6" s="456" t="str">
        <f t="shared" si="10"/>
        <v xml:space="preserve">// Power Blast (swift; at-will) • Feat
</v>
      </c>
      <c r="GL6" s="1606" t="s">
        <v>8687</v>
      </c>
      <c r="GM6" s="1617">
        <v>1</v>
      </c>
      <c r="GN6" s="1617"/>
      <c r="GO6" s="1636" t="s">
        <v>8737</v>
      </c>
      <c r="GP6" s="1639" t="s">
        <v>8756</v>
      </c>
      <c r="GQ6" s="1590"/>
      <c r="GR6" s="1590"/>
      <c r="GU6" s="1639"/>
    </row>
    <row r="7" spans="1:203">
      <c r="A7" s="555" t="str">
        <f>A4&amp;" (self-made)"</f>
        <v>Selective Fire (self-made)</v>
      </c>
      <c r="B7" s="555">
        <v>1000</v>
      </c>
      <c r="C7" s="555" t="str">
        <f>C3&amp;" (self-made)"</f>
        <v>Superior Capacity (self-made)</v>
      </c>
      <c r="D7" s="569">
        <v>2000</v>
      </c>
      <c r="H7" s="12" t="s">
        <v>180</v>
      </c>
      <c r="I7" s="3" t="s">
        <v>169</v>
      </c>
      <c r="K7" s="3">
        <v>0</v>
      </c>
      <c r="L7" s="3" t="s">
        <v>3736</v>
      </c>
      <c r="R7" s="565" t="s">
        <v>615</v>
      </c>
      <c r="S7" s="565">
        <v>20</v>
      </c>
      <c r="T7" s="565">
        <v>0.1</v>
      </c>
      <c r="U7" s="565" t="s">
        <v>616</v>
      </c>
      <c r="V7" s="565" t="s">
        <v>617</v>
      </c>
      <c r="W7" s="12" t="s">
        <v>6976</v>
      </c>
      <c r="X7" s="3" t="s">
        <v>6758</v>
      </c>
      <c r="Y7" s="3" t="s">
        <v>160</v>
      </c>
      <c r="Z7" s="3" t="s">
        <v>200</v>
      </c>
      <c r="AA7" s="8" t="s">
        <v>6976</v>
      </c>
      <c r="AB7" s="3"/>
      <c r="AC7" s="3"/>
      <c r="AD7" s="569" t="s">
        <v>3971</v>
      </c>
      <c r="AE7" s="615" t="s">
        <v>3963</v>
      </c>
      <c r="AF7" s="615" t="s">
        <v>3964</v>
      </c>
      <c r="AG7" s="616" t="s">
        <v>7087</v>
      </c>
      <c r="AH7" s="1183" t="s">
        <v>601</v>
      </c>
      <c r="AI7" s="3" t="s">
        <v>545</v>
      </c>
      <c r="AJ7" s="3" t="s">
        <v>169</v>
      </c>
      <c r="AK7" s="3">
        <v>400</v>
      </c>
      <c r="AL7" s="3">
        <v>1</v>
      </c>
      <c r="AQ7" s="1176" t="s">
        <v>4016</v>
      </c>
      <c r="AR7" s="1177"/>
      <c r="AS7" s="12" t="s">
        <v>5708</v>
      </c>
      <c r="AT7" s="569">
        <v>1</v>
      </c>
      <c r="AW7" s="3">
        <v>1</v>
      </c>
      <c r="AY7" s="569" t="s">
        <v>4084</v>
      </c>
      <c r="AZ7" s="936" t="s">
        <v>202</v>
      </c>
      <c r="BA7" s="742" t="str">
        <f>"Weapon Focus ("&amp;Feats!D100&amp;")"</f>
        <v>Weapon Focus ()</v>
      </c>
      <c r="BB7">
        <v>1</v>
      </c>
      <c r="BJ7" s="12" t="s">
        <v>4481</v>
      </c>
      <c r="BM7" s="8" t="s">
        <v>4490</v>
      </c>
      <c r="BT7" s="12" t="s">
        <v>7077</v>
      </c>
      <c r="BU7" s="569">
        <v>3000</v>
      </c>
      <c r="BV7" s="569">
        <v>4</v>
      </c>
      <c r="BW7" s="569">
        <v>3</v>
      </c>
      <c r="BX7" s="569">
        <v>15</v>
      </c>
      <c r="BY7" s="569" t="s">
        <v>149</v>
      </c>
      <c r="CA7" s="569" t="s">
        <v>4360</v>
      </c>
      <c r="CB7" s="8" t="s">
        <v>7078</v>
      </c>
      <c r="CC7" s="12" t="s">
        <v>3257</v>
      </c>
      <c r="CD7" s="3">
        <f>(Talents!M953+Talents!M1013)*2</f>
        <v>0</v>
      </c>
      <c r="CE7" s="3" t="s">
        <v>531</v>
      </c>
      <c r="CF7" s="3" t="e">
        <f ca="1">IF(AND(Weapons!$E$74=CE7,NOT(ISERROR(FIND(CC7,TalentsTakenList,1)))),CD7,0)</f>
        <v>#N/A</v>
      </c>
      <c r="CI7" s="3" t="s">
        <v>802</v>
      </c>
      <c r="CJ7" s="1024" t="s">
        <v>321</v>
      </c>
      <c r="CK7" s="1024"/>
      <c r="CL7" s="1024"/>
      <c r="CM7" s="1024">
        <v>4</v>
      </c>
      <c r="CN7" s="1024"/>
      <c r="CO7" s="1024" t="s">
        <v>173</v>
      </c>
      <c r="CR7" s="1704"/>
      <c r="CS7" s="1704"/>
      <c r="CT7" s="1704"/>
      <c r="CU7" s="1704"/>
      <c r="CV7" s="1704"/>
      <c r="CW7" s="1704"/>
      <c r="CX7" s="1704"/>
      <c r="CY7" s="1704"/>
      <c r="CZ7" s="1704"/>
      <c r="DA7" s="570" t="s">
        <v>195</v>
      </c>
      <c r="DB7" s="570" t="s">
        <v>195</v>
      </c>
      <c r="DC7" s="570" t="s">
        <v>195</v>
      </c>
      <c r="DD7" s="570" t="s">
        <v>195</v>
      </c>
      <c r="DE7" s="570" t="s">
        <v>195</v>
      </c>
      <c r="DF7" s="1104"/>
      <c r="DG7" s="1104"/>
      <c r="DH7" s="1024"/>
      <c r="DI7" s="1024"/>
      <c r="DJ7" s="1024"/>
      <c r="DK7" s="1024"/>
      <c r="DL7" s="1024"/>
      <c r="DM7" s="1024"/>
      <c r="DN7" s="1024"/>
      <c r="DO7" s="1024"/>
      <c r="DP7" s="1024">
        <v>500</v>
      </c>
      <c r="DQ7" s="1024">
        <v>1</v>
      </c>
      <c r="DR7" s="1024" t="s">
        <v>803</v>
      </c>
      <c r="DS7" s="1024" t="s">
        <v>803</v>
      </c>
      <c r="DW7" s="1358" t="s">
        <v>3987</v>
      </c>
      <c r="DY7" s="1379" t="s">
        <v>4022</v>
      </c>
      <c r="DZ7" s="1379" t="str">
        <f>ForceTechniquesKnownStatBlock</f>
        <v/>
      </c>
      <c r="EA7" t="s">
        <v>7166</v>
      </c>
      <c r="EB7" s="1379" t="s">
        <v>7149</v>
      </c>
      <c r="EC7" s="1379" t="s">
        <v>3814</v>
      </c>
      <c r="ED7" s="1323" t="s">
        <v>7340</v>
      </c>
      <c r="EE7" s="1439" t="s">
        <v>7417</v>
      </c>
      <c r="EF7" s="1323" t="s">
        <v>7584</v>
      </c>
      <c r="EG7" s="3" t="s">
        <v>195</v>
      </c>
      <c r="EH7" s="3" t="s">
        <v>3717</v>
      </c>
      <c r="EI7" s="8" t="s">
        <v>7585</v>
      </c>
      <c r="EJ7" s="1323" t="s">
        <v>7618</v>
      </c>
      <c r="EK7" s="8" t="s">
        <v>7619</v>
      </c>
      <c r="EL7" s="1323" t="s">
        <v>7650</v>
      </c>
      <c r="EM7" s="1489" t="s">
        <v>7651</v>
      </c>
      <c r="EN7" s="19" t="s">
        <v>7652</v>
      </c>
      <c r="EP7" s="19" t="str">
        <f>IF(NOT(ISERROR(FIND("cost factor",EM7,1))),LEFT(EM7,LEN(EM7)-(LEN(EM7)-FIND("x",EM7,1))-1),LEFT(EM7,LEN(EM7)-(LEN(EM7)-FIND("kg",EM7,1))-1))</f>
        <v xml:space="preserve">2,000 </v>
      </c>
      <c r="EQ7" s="1473">
        <f t="shared" si="0"/>
        <v>2</v>
      </c>
      <c r="ER7" s="3">
        <f t="shared" si="1"/>
        <v>4000</v>
      </c>
      <c r="ES7" s="19" t="str">
        <f t="shared" si="2"/>
        <v>10</v>
      </c>
      <c r="ET7" s="3">
        <f t="shared" si="3"/>
        <v>2</v>
      </c>
      <c r="EU7" s="8">
        <f t="shared" si="6"/>
        <v>20</v>
      </c>
      <c r="EV7" s="1478" t="s">
        <v>2312</v>
      </c>
      <c r="FE7" s="1478" t="s">
        <v>7153</v>
      </c>
      <c r="FF7" s="1478"/>
      <c r="FG7" s="1478" t="s">
        <v>7763</v>
      </c>
      <c r="FH7" s="1478" t="s">
        <v>57</v>
      </c>
      <c r="FI7" s="1478"/>
      <c r="FJ7" s="1478" t="s">
        <v>7152</v>
      </c>
      <c r="FK7" s="1323" t="s">
        <v>2605</v>
      </c>
      <c r="FL7" s="1493" t="s">
        <v>3720</v>
      </c>
      <c r="FM7" s="1513" t="s">
        <v>4129</v>
      </c>
      <c r="FN7" s="1513" t="s">
        <v>4129</v>
      </c>
      <c r="FO7" s="569" t="s">
        <v>7092</v>
      </c>
      <c r="FQ7" s="1509" t="s">
        <v>7895</v>
      </c>
      <c r="GC7" s="597" t="str">
        <f>"Make melee attack with lightsaber; reduce target's speed to 2 squares until end of "&amp;CharacterName&amp;"'s next turn"</f>
        <v>Make melee attack with lightsaber; reduce target's speed to 2 squares until end of 's next turn</v>
      </c>
      <c r="GD7" s="597" t="str">
        <f t="shared" si="7"/>
        <v>// Precision (standard; when wielding a lightsaber) • Talent
Make melee attack with lightsaber; reduce target's speed to 2 squares until end of 's next turn</v>
      </c>
      <c r="GG7" s="569" t="b">
        <v>1</v>
      </c>
      <c r="GH7" s="8" t="str">
        <f>IF(FN7="Talent",INDEX(TalentsTable,MATCH(FK7,TalentsTableList,0),13),"")</f>
        <v>LE 27</v>
      </c>
      <c r="GI7" s="1512" t="str">
        <f t="shared" si="8"/>
        <v/>
      </c>
      <c r="GJ7" s="1512" t="e">
        <f t="shared" ca="1" si="9"/>
        <v>#REF!</v>
      </c>
      <c r="GK7" s="456" t="str">
        <f t="shared" si="10"/>
        <v>// Precision (standard; when wielding a lightsaber) • Talent
Make melee attack with lightsaber; reduce target's speed to 2 squares until end of 's next turn</v>
      </c>
      <c r="GL7" s="1606" t="s">
        <v>8688</v>
      </c>
      <c r="GM7" s="1617">
        <v>1</v>
      </c>
      <c r="GN7" s="1617"/>
      <c r="GO7" s="1636" t="s">
        <v>8738</v>
      </c>
      <c r="GP7" s="1639" t="s">
        <v>8757</v>
      </c>
      <c r="GQ7" s="1590"/>
      <c r="GR7" s="1590"/>
      <c r="GU7" s="1639"/>
    </row>
    <row r="8" spans="1:203">
      <c r="C8" s="555" t="str">
        <f>C4&amp;" (self-made)"</f>
        <v>Superior Damage (self-made)</v>
      </c>
      <c r="D8" s="569">
        <v>2000</v>
      </c>
      <c r="H8" s="12" t="s">
        <v>704</v>
      </c>
      <c r="I8" s="3" t="s">
        <v>169</v>
      </c>
      <c r="J8" s="3">
        <v>3000</v>
      </c>
      <c r="K8" s="3">
        <v>1</v>
      </c>
      <c r="L8" s="3" t="s">
        <v>3736</v>
      </c>
      <c r="P8" s="1178" t="s">
        <v>5898</v>
      </c>
      <c r="Q8" s="1177" t="s">
        <v>705</v>
      </c>
      <c r="R8" s="565" t="s">
        <v>719</v>
      </c>
      <c r="S8" s="565">
        <v>40</v>
      </c>
      <c r="T8" s="565">
        <v>0.2</v>
      </c>
      <c r="U8" s="565" t="s">
        <v>720</v>
      </c>
      <c r="V8" s="565" t="s">
        <v>721</v>
      </c>
      <c r="W8" s="12" t="s">
        <v>1398</v>
      </c>
      <c r="X8" s="3" t="s">
        <v>272</v>
      </c>
      <c r="Y8" s="3" t="s">
        <v>160</v>
      </c>
      <c r="Z8" s="3" t="s">
        <v>200</v>
      </c>
      <c r="AA8" s="8" t="s">
        <v>1398</v>
      </c>
      <c r="AB8" s="3"/>
      <c r="AC8" s="3"/>
      <c r="AD8" s="569" t="s">
        <v>3979</v>
      </c>
      <c r="AE8" s="616" t="s">
        <v>371</v>
      </c>
      <c r="AF8" s="616" t="s">
        <v>3969</v>
      </c>
      <c r="AG8" s="616" t="s">
        <v>3970</v>
      </c>
      <c r="AH8" s="1183" t="s">
        <v>628</v>
      </c>
      <c r="AI8" s="3" t="s">
        <v>597</v>
      </c>
      <c r="AJ8" s="3" t="s">
        <v>169</v>
      </c>
      <c r="AK8" s="3">
        <v>200</v>
      </c>
      <c r="AL8" s="3">
        <v>1</v>
      </c>
      <c r="AQ8" s="1176" t="s">
        <v>4017</v>
      </c>
      <c r="AR8" s="1177" t="s">
        <v>872</v>
      </c>
      <c r="AS8" s="12" t="s">
        <v>5705</v>
      </c>
      <c r="AT8" s="569">
        <v>2</v>
      </c>
      <c r="AU8" s="3">
        <v>1</v>
      </c>
      <c r="AY8" s="569" t="s">
        <v>4084</v>
      </c>
      <c r="AZ8" s="936" t="s">
        <v>202</v>
      </c>
      <c r="BA8" s="742" t="str">
        <f>"Weapon Focus ("&amp;Feats!D101&amp;")"</f>
        <v>Weapon Focus ()</v>
      </c>
      <c r="BB8">
        <v>1</v>
      </c>
      <c r="BJ8" s="12" t="s">
        <v>4482</v>
      </c>
      <c r="BM8" s="561" t="s">
        <v>4491</v>
      </c>
      <c r="BT8" s="12" t="s">
        <v>4626</v>
      </c>
      <c r="BU8" s="3">
        <v>400</v>
      </c>
      <c r="BV8" s="3">
        <v>2</v>
      </c>
      <c r="BW8" s="3">
        <v>5</v>
      </c>
      <c r="BX8" s="3">
        <v>2</v>
      </c>
      <c r="BY8" s="3" t="s">
        <v>5785</v>
      </c>
      <c r="CA8" s="3" t="s">
        <v>4360</v>
      </c>
      <c r="CB8" s="8" t="s">
        <v>4627</v>
      </c>
      <c r="CC8" s="12" t="str">
        <f>"Multiattack Proficiency (exotic weapons)"</f>
        <v>Multiattack Proficiency (exotic weapons)</v>
      </c>
      <c r="CD8" s="3">
        <f>Talents!M1005*2</f>
        <v>0</v>
      </c>
      <c r="CE8" s="3" t="s">
        <v>5716</v>
      </c>
      <c r="CF8" s="3" t="e">
        <f ca="1">IF(AND(INDEX(WeaponTable,MATCH(Weapons!$E$11,WeaponList,0),4)="EWP",NOT(ISERROR(FIND(CC8,TalentsTakenList,1)))),1,0)</f>
        <v>#N/A</v>
      </c>
      <c r="CR8" s="1704"/>
      <c r="CS8" s="1704"/>
      <c r="CT8" s="1704"/>
      <c r="CU8" s="1704"/>
      <c r="CV8" s="1704"/>
      <c r="CW8" s="1704"/>
      <c r="CX8" s="1704"/>
      <c r="CY8" s="1704"/>
      <c r="CZ8" s="1704"/>
      <c r="DA8" s="570" t="s">
        <v>195</v>
      </c>
      <c r="DB8" s="570" t="s">
        <v>195</v>
      </c>
      <c r="DC8" s="570" t="s">
        <v>195</v>
      </c>
      <c r="DD8" s="570" t="s">
        <v>195</v>
      </c>
      <c r="DE8" s="570" t="s">
        <v>195</v>
      </c>
      <c r="DF8" s="1104"/>
      <c r="DG8" s="1104"/>
      <c r="DW8" s="1358" t="s">
        <v>6639</v>
      </c>
      <c r="DY8" s="1536" t="s">
        <v>134</v>
      </c>
      <c r="EA8" t="s">
        <v>7167</v>
      </c>
      <c r="EB8" s="1379" t="s">
        <v>7157</v>
      </c>
      <c r="EC8" s="1379" t="s">
        <v>269</v>
      </c>
      <c r="ED8" s="1323" t="s">
        <v>7341</v>
      </c>
      <c r="EE8" s="1439" t="s">
        <v>7418</v>
      </c>
      <c r="EF8" s="1323" t="s">
        <v>7568</v>
      </c>
      <c r="EG8" s="3" t="s">
        <v>238</v>
      </c>
      <c r="EH8" s="3" t="s">
        <v>3717</v>
      </c>
      <c r="EI8" s="8" t="s">
        <v>7569</v>
      </c>
      <c r="EJ8" s="1323" t="s">
        <v>7620</v>
      </c>
      <c r="EK8" s="8" t="s">
        <v>7621</v>
      </c>
      <c r="EL8" s="1323" t="s">
        <v>7653</v>
      </c>
      <c r="EM8" s="1489" t="s">
        <v>7654</v>
      </c>
      <c r="EO8" s="19" t="s">
        <v>7645</v>
      </c>
      <c r="EQ8" s="1473">
        <f t="shared" si="0"/>
        <v>1</v>
      </c>
      <c r="ER8" s="3">
        <f t="shared" si="1"/>
        <v>0</v>
      </c>
      <c r="ET8" s="3">
        <f t="shared" si="3"/>
        <v>1</v>
      </c>
      <c r="EU8" s="8">
        <f t="shared" si="6"/>
        <v>0</v>
      </c>
      <c r="EV8" s="954" t="s">
        <v>2332</v>
      </c>
      <c r="EW8" s="954">
        <v>2</v>
      </c>
      <c r="FG8" s="1478" t="s">
        <v>7764</v>
      </c>
      <c r="FH8" s="1478" t="s">
        <v>57</v>
      </c>
      <c r="FI8" s="1478"/>
      <c r="FJ8" s="1478" t="s">
        <v>7175</v>
      </c>
      <c r="FK8" s="1323" t="s">
        <v>2603</v>
      </c>
      <c r="FL8" s="1493" t="s">
        <v>3720</v>
      </c>
      <c r="FM8" s="1513" t="s">
        <v>4129</v>
      </c>
      <c r="FN8" s="1513" t="s">
        <v>4129</v>
      </c>
      <c r="FO8" s="569" t="s">
        <v>7189</v>
      </c>
      <c r="FQ8" s="1509" t="s">
        <v>7894</v>
      </c>
      <c r="GC8" s="597" t="str">
        <f>"Once per round on a successful use of Deflect on a single blaster bolt, make a ranged attack against a target using the blaster weapon's damage"&amp;IF(Talents!M67&gt;0," +1 die of damage","")&amp;IF(Talents!M1099&gt;0,IF(HTML,"&lt;BR&gt;","
")&amp;"If the first use of Redirect Shot per round succeeds, the Deflect which triggered it does not count towards the cumulative penalty from Deflect","")</f>
        <v>Once per round on a successful use of Deflect on a single blaster bolt, make a ranged attack against a target using the blaster weapon's damage</v>
      </c>
      <c r="GD8" s="597" t="str">
        <f t="shared" si="7"/>
        <v>// Redirect Shot (reaction; after using Deflect) • Talent
Once per round on a successful use of Deflect on a single blaster bolt, make a ranged attack against a target using the blaster weapon's damage</v>
      </c>
      <c r="GG8" s="569" t="b">
        <v>1</v>
      </c>
      <c r="GH8" s="8">
        <f>IF(FN8="Talent",INDEX(TalentsTable,MATCH(FK8,TalentsTableList,0),13),"")</f>
        <v>41</v>
      </c>
      <c r="GI8" s="1512" t="str">
        <f t="shared" si="8"/>
        <v/>
      </c>
      <c r="GJ8" s="1512" t="e">
        <f t="shared" ca="1" si="9"/>
        <v>#REF!</v>
      </c>
      <c r="GK8" s="456" t="str">
        <f t="shared" si="10"/>
        <v>// Redirect Shot (reaction; after using Deflect) • Talent
Once per round on a successful use of Deflect on a single blaster bolt, make a ranged attack against a target using the blaster weapon's damage</v>
      </c>
      <c r="GL8" s="1606" t="s">
        <v>8689</v>
      </c>
      <c r="GM8" s="1617">
        <v>1</v>
      </c>
      <c r="GN8" s="1617"/>
      <c r="GO8" s="1636" t="s">
        <v>8739</v>
      </c>
      <c r="GP8" s="1639" t="s">
        <v>8758</v>
      </c>
      <c r="GQ8" s="1604"/>
      <c r="GR8" s="1590"/>
      <c r="GU8" s="1639"/>
    </row>
    <row r="9" spans="1:203">
      <c r="C9" s="555" t="str">
        <f>C5&amp;" (self-made)"</f>
        <v>Superior Range (self-made)</v>
      </c>
      <c r="D9" s="569">
        <v>2000</v>
      </c>
      <c r="H9" s="12" t="s">
        <v>1252</v>
      </c>
      <c r="I9" s="3" t="s">
        <v>173</v>
      </c>
      <c r="J9" s="3">
        <v>1000</v>
      </c>
      <c r="K9" s="3">
        <v>1</v>
      </c>
      <c r="L9" s="3" t="s">
        <v>3736</v>
      </c>
      <c r="M9" s="3" t="s">
        <v>360</v>
      </c>
      <c r="O9" s="3" t="s">
        <v>3761</v>
      </c>
      <c r="P9" s="1176" t="s">
        <v>3762</v>
      </c>
      <c r="Q9" s="1177" t="s">
        <v>3762</v>
      </c>
      <c r="R9" s="565"/>
      <c r="S9" s="565"/>
      <c r="T9" s="565"/>
      <c r="U9" s="565"/>
      <c r="V9" s="565"/>
      <c r="W9" s="12" t="s">
        <v>1403</v>
      </c>
      <c r="X9" s="3" t="s">
        <v>173</v>
      </c>
      <c r="Y9" s="3" t="s">
        <v>160</v>
      </c>
      <c r="Z9" s="3" t="s">
        <v>200</v>
      </c>
      <c r="AA9" s="8" t="s">
        <v>1403</v>
      </c>
      <c r="AB9" s="3"/>
      <c r="AC9" s="3"/>
      <c r="AD9" s="569" t="s">
        <v>3972</v>
      </c>
      <c r="AE9" s="616" t="s">
        <v>3975</v>
      </c>
      <c r="AF9" s="616" t="s">
        <v>3976</v>
      </c>
      <c r="AH9" s="1183" t="s">
        <v>273</v>
      </c>
      <c r="AI9" s="1469" t="s">
        <v>7519</v>
      </c>
      <c r="AJ9" s="1469" t="s">
        <v>6758</v>
      </c>
      <c r="AK9" s="569">
        <v>1000</v>
      </c>
      <c r="AL9" s="569">
        <v>1</v>
      </c>
      <c r="AQ9" s="1176"/>
      <c r="AR9" s="1177"/>
      <c r="AS9" s="12" t="s">
        <v>5706</v>
      </c>
      <c r="AT9" s="569">
        <v>3</v>
      </c>
      <c r="AU9" s="3">
        <v>1</v>
      </c>
      <c r="AW9" s="569">
        <v>1</v>
      </c>
      <c r="AY9" s="569" t="s">
        <v>4084</v>
      </c>
      <c r="AZ9" s="936" t="s">
        <v>202</v>
      </c>
      <c r="BA9" s="742" t="s">
        <v>4137</v>
      </c>
      <c r="BC9">
        <v>2</v>
      </c>
      <c r="BJ9" s="12" t="s">
        <v>4483</v>
      </c>
      <c r="BM9" s="561" t="s">
        <v>4492</v>
      </c>
      <c r="BT9" s="12" t="s">
        <v>4630</v>
      </c>
      <c r="BU9" s="3">
        <v>900</v>
      </c>
      <c r="BV9" s="3">
        <v>3</v>
      </c>
      <c r="BW9" s="3">
        <v>4</v>
      </c>
      <c r="BX9" s="3">
        <v>3</v>
      </c>
      <c r="BY9" s="3" t="s">
        <v>5785</v>
      </c>
      <c r="CA9" s="3" t="s">
        <v>4360</v>
      </c>
      <c r="CB9" s="8" t="s">
        <v>4631</v>
      </c>
      <c r="CR9" s="1704"/>
      <c r="CS9" s="1704"/>
      <c r="CT9" s="1704"/>
      <c r="CU9" s="1704"/>
      <c r="CV9" s="1704"/>
      <c r="CW9" s="1704"/>
      <c r="CX9" s="1704"/>
      <c r="CY9" s="1704"/>
      <c r="CZ9" s="1704"/>
      <c r="DA9" s="570" t="s">
        <v>195</v>
      </c>
      <c r="DB9" s="570" t="s">
        <v>195</v>
      </c>
      <c r="DC9" s="570" t="s">
        <v>195</v>
      </c>
      <c r="DD9" s="570" t="s">
        <v>195</v>
      </c>
      <c r="DE9" s="570" t="s">
        <v>195</v>
      </c>
      <c r="DF9" s="1104"/>
      <c r="DG9" s="1104"/>
      <c r="DW9" s="1358" t="s">
        <v>6639</v>
      </c>
      <c r="DY9" s="1536" t="s">
        <v>86</v>
      </c>
      <c r="EA9" t="s">
        <v>7168</v>
      </c>
      <c r="EB9" s="1379" t="s">
        <v>321</v>
      </c>
      <c r="EC9" s="1379" t="s">
        <v>2146</v>
      </c>
      <c r="ED9" s="1323" t="s">
        <v>7342</v>
      </c>
      <c r="EE9" s="1439" t="s">
        <v>7419</v>
      </c>
      <c r="EF9" s="1323" t="s">
        <v>7606</v>
      </c>
      <c r="EG9" s="3" t="s">
        <v>195</v>
      </c>
      <c r="EH9" s="3" t="s">
        <v>3717</v>
      </c>
      <c r="EI9" s="8" t="s">
        <v>7607</v>
      </c>
      <c r="EJ9" s="1323" t="s">
        <v>7622</v>
      </c>
      <c r="EK9" s="8" t="s">
        <v>7623</v>
      </c>
      <c r="EL9" s="1323" t="s">
        <v>7655</v>
      </c>
      <c r="EM9" s="1489">
        <v>200</v>
      </c>
      <c r="EN9" s="19" t="s">
        <v>7656</v>
      </c>
      <c r="EP9" s="1489">
        <f>EM9</f>
        <v>200</v>
      </c>
      <c r="EQ9" s="1473">
        <f t="shared" si="0"/>
        <v>2</v>
      </c>
      <c r="ER9" s="3">
        <f t="shared" si="1"/>
        <v>400</v>
      </c>
      <c r="ES9" s="19" t="str">
        <f t="shared" ref="ES9:ES38" si="11">IF(NOT(ISERROR(FIND("cost factor",EN9,1))),LEFT(EN9,LEN(EN9)-(LEN(EN9)-FIND("x",EN9,1))-1),LEFT(EN9,LEN(EN9)-(LEN(EN9)-FIND("kg",EN9,1))-1))</f>
        <v xml:space="preserve">2 </v>
      </c>
      <c r="ET9" s="3">
        <f t="shared" si="3"/>
        <v>2</v>
      </c>
      <c r="EU9" s="8">
        <f t="shared" si="6"/>
        <v>4</v>
      </c>
      <c r="EV9" s="954" t="s">
        <v>2335</v>
      </c>
      <c r="EZ9" s="954">
        <v>1</v>
      </c>
      <c r="FB9" s="954" t="s">
        <v>4084</v>
      </c>
      <c r="FD9" s="954" t="s">
        <v>202</v>
      </c>
      <c r="FE9" s="1478" t="s">
        <v>7158</v>
      </c>
      <c r="FF9" s="1478"/>
      <c r="FG9" s="1478" t="s">
        <v>7761</v>
      </c>
      <c r="FH9" s="1478" t="s">
        <v>202</v>
      </c>
      <c r="FI9" s="1478"/>
      <c r="FJ9" s="1478" t="s">
        <v>7152</v>
      </c>
      <c r="FK9" s="1323" t="s">
        <v>2600</v>
      </c>
      <c r="FL9" s="1493" t="s">
        <v>3720</v>
      </c>
      <c r="FM9" s="1513" t="s">
        <v>7892</v>
      </c>
      <c r="FN9" s="1513" t="s">
        <v>4129</v>
      </c>
      <c r="FO9" s="569" t="s">
        <v>7807</v>
      </c>
      <c r="FP9" s="3" t="s">
        <v>7806</v>
      </c>
      <c r="FQ9" s="1509" t="s">
        <v>7893</v>
      </c>
      <c r="GC9" s="1509" t="str">
        <f>"Make a free lightsaber attack against the opponent"&amp;IF(Talents!M1100&gt;0,IF(HTML,"&lt;BR&gt;","
")&amp;"Upon succeeding at Riposte, the Block which triggered it does not count towards the cumulative penalty from Block","")</f>
        <v>Make a free lightsaber attack against the opponent</v>
      </c>
      <c r="GD9" s="597" t="str">
        <f t="shared" si="7"/>
        <v>// Riposte (free action; encounter; after using Block) • Force, Talent, Weapon
Make a free lightsaber attack against the opponent</v>
      </c>
      <c r="GG9" s="569" t="b">
        <v>1</v>
      </c>
      <c r="GH9" s="8" t="str">
        <f>IF(FN9="Talent",INDEX(TalentsTable,MATCH(FK9,TalentsTableList,0),13),"")</f>
        <v>KotOR 25</v>
      </c>
      <c r="GI9" s="1512" t="str">
        <f t="shared" si="8"/>
        <v/>
      </c>
      <c r="GJ9" s="1512" t="e">
        <f t="shared" ca="1" si="9"/>
        <v>#REF!</v>
      </c>
      <c r="GK9" s="456" t="str">
        <f t="shared" si="10"/>
        <v>// Riposte (free action; encounter; after using Block) • Force, Talent, Weapon
Make a free lightsaber attack against the opponent</v>
      </c>
      <c r="GL9" s="1606" t="s">
        <v>8690</v>
      </c>
      <c r="GM9" s="1617">
        <v>1</v>
      </c>
      <c r="GN9" s="1617"/>
      <c r="GO9" s="1636" t="s">
        <v>8741</v>
      </c>
      <c r="GP9" s="1639" t="s">
        <v>8759</v>
      </c>
      <c r="GQ9" s="1590"/>
      <c r="GR9" s="1590"/>
      <c r="GU9" s="1639"/>
    </row>
    <row r="10" spans="1:203">
      <c r="H10" s="683" t="s">
        <v>3763</v>
      </c>
      <c r="R10" s="565"/>
      <c r="S10" s="565"/>
      <c r="T10" s="565"/>
      <c r="U10" s="565"/>
      <c r="V10" s="565"/>
      <c r="W10" s="12" t="s">
        <v>1449</v>
      </c>
      <c r="X10" s="3" t="s">
        <v>530</v>
      </c>
      <c r="Y10" s="3" t="s">
        <v>160</v>
      </c>
      <c r="Z10" s="3" t="s">
        <v>200</v>
      </c>
      <c r="AA10" s="8" t="s">
        <v>1449</v>
      </c>
      <c r="AB10" s="3"/>
      <c r="AC10" s="3"/>
      <c r="AD10" s="569" t="s">
        <v>3973</v>
      </c>
      <c r="AE10" s="616" t="s">
        <v>371</v>
      </c>
      <c r="AF10" s="616" t="s">
        <v>3974</v>
      </c>
      <c r="AG10" s="616" t="s">
        <v>3965</v>
      </c>
      <c r="AH10" s="1183" t="s">
        <v>797</v>
      </c>
      <c r="AI10" s="3" t="s">
        <v>4064</v>
      </c>
      <c r="AJ10" s="3" t="s">
        <v>169</v>
      </c>
      <c r="AK10" s="3">
        <v>4000</v>
      </c>
      <c r="AL10" s="3">
        <v>1</v>
      </c>
      <c r="AQ10" s="1176"/>
      <c r="AR10" s="1177"/>
      <c r="AS10" s="12" t="s">
        <v>5711</v>
      </c>
      <c r="AT10" s="569">
        <v>2</v>
      </c>
      <c r="AU10" s="569">
        <v>1</v>
      </c>
      <c r="AW10" s="3">
        <v>1</v>
      </c>
      <c r="AY10" s="569" t="s">
        <v>4084</v>
      </c>
      <c r="AZ10" s="936" t="s">
        <v>202</v>
      </c>
      <c r="BA10" s="742" t="s">
        <v>4138</v>
      </c>
      <c r="BC10">
        <v>2</v>
      </c>
      <c r="BJ10" s="12" t="s">
        <v>4484</v>
      </c>
      <c r="BM10" s="561" t="s">
        <v>4493</v>
      </c>
      <c r="BT10" s="1331" t="s">
        <v>7085</v>
      </c>
      <c r="CR10" s="1704"/>
      <c r="CS10" s="1704"/>
      <c r="CT10" s="1704"/>
      <c r="CU10" s="1704"/>
      <c r="CV10" s="1704"/>
      <c r="CW10" s="1704"/>
      <c r="CX10" s="1704"/>
      <c r="CY10" s="1704"/>
      <c r="CZ10" s="1704"/>
      <c r="DA10" s="570" t="s">
        <v>195</v>
      </c>
      <c r="DB10" s="570" t="s">
        <v>195</v>
      </c>
      <c r="DC10" s="570" t="s">
        <v>195</v>
      </c>
      <c r="DD10" s="570" t="s">
        <v>195</v>
      </c>
      <c r="DE10" s="570" t="s">
        <v>195</v>
      </c>
      <c r="DF10" s="1104"/>
      <c r="DG10" s="1104"/>
      <c r="DW10" s="570" t="s">
        <v>6650</v>
      </c>
      <c r="DY10" s="1536" t="s">
        <v>7824</v>
      </c>
      <c r="DZ10" s="1536" t="s">
        <v>7848</v>
      </c>
      <c r="EA10" t="s">
        <v>7169</v>
      </c>
      <c r="EB10" s="1379" t="s">
        <v>204</v>
      </c>
      <c r="EC10" s="1379" t="s">
        <v>7178</v>
      </c>
      <c r="EF10" s="1323" t="s">
        <v>7602</v>
      </c>
      <c r="EG10" s="3" t="s">
        <v>195</v>
      </c>
      <c r="EH10" s="3" t="s">
        <v>3717</v>
      </c>
      <c r="EI10" s="8" t="s">
        <v>7603</v>
      </c>
      <c r="EJ10" s="1323" t="s">
        <v>7624</v>
      </c>
      <c r="EK10" s="8" t="s">
        <v>7625</v>
      </c>
      <c r="EL10" s="1323" t="s">
        <v>7657</v>
      </c>
      <c r="EM10" s="1489">
        <v>50</v>
      </c>
      <c r="EN10" s="19" t="s">
        <v>7642</v>
      </c>
      <c r="EO10" s="19" t="s">
        <v>7649</v>
      </c>
      <c r="EP10" s="1489">
        <f>EM10</f>
        <v>50</v>
      </c>
      <c r="EQ10" s="1473">
        <f t="shared" si="0"/>
        <v>1</v>
      </c>
      <c r="ER10" s="3">
        <f t="shared" si="1"/>
        <v>50</v>
      </c>
      <c r="ES10" s="19" t="str">
        <f t="shared" si="11"/>
        <v xml:space="preserve">1 </v>
      </c>
      <c r="ET10" s="3">
        <f t="shared" si="3"/>
        <v>1</v>
      </c>
      <c r="EU10" s="8">
        <f t="shared" si="6"/>
        <v>1</v>
      </c>
      <c r="EV10" s="954" t="s">
        <v>2337</v>
      </c>
      <c r="EW10" s="954">
        <v>2</v>
      </c>
      <c r="EZ10" s="954">
        <v>1</v>
      </c>
      <c r="FB10" s="954" t="s">
        <v>4084</v>
      </c>
      <c r="FG10" s="1478" t="s">
        <v>7770</v>
      </c>
      <c r="FH10" s="1478" t="s">
        <v>57</v>
      </c>
      <c r="FI10" s="1478"/>
      <c r="FJ10" s="954" t="s">
        <v>377</v>
      </c>
      <c r="FK10" s="1323" t="s">
        <v>1749</v>
      </c>
      <c r="FL10" s="1493" t="s">
        <v>7853</v>
      </c>
      <c r="FM10" s="1513" t="s">
        <v>7854</v>
      </c>
      <c r="FN10" s="1513" t="s">
        <v>111</v>
      </c>
      <c r="GD10" s="1509" t="str">
        <f ca="1">IF(NewStatBlockForcePowersKnown&lt;&gt;"",NewStatBlockForcePowersKnown,"")</f>
        <v/>
      </c>
      <c r="GG10" s="569" t="b">
        <v>1</v>
      </c>
      <c r="GI10" s="1512" t="str">
        <f t="shared" ca="1" si="8"/>
        <v/>
      </c>
      <c r="GJ10" s="1512" t="e">
        <f t="shared" ca="1" si="9"/>
        <v>#REF!</v>
      </c>
      <c r="GK10" s="456" t="str">
        <f t="shared" ca="1" si="10"/>
        <v/>
      </c>
      <c r="GL10" s="1606" t="s">
        <v>8691</v>
      </c>
      <c r="GM10" s="1617">
        <v>1</v>
      </c>
      <c r="GN10" s="1617"/>
      <c r="GO10" s="1636" t="s">
        <v>8742</v>
      </c>
      <c r="GP10" s="1639" t="s">
        <v>8760</v>
      </c>
      <c r="GQ10" s="1590"/>
      <c r="GR10" s="1590"/>
      <c r="GU10" s="1639"/>
    </row>
    <row r="11" spans="1:203">
      <c r="H11" s="12" t="s">
        <v>221</v>
      </c>
      <c r="I11" s="3" t="s">
        <v>173</v>
      </c>
      <c r="J11" s="3">
        <v>1200</v>
      </c>
      <c r="K11" s="3">
        <v>2</v>
      </c>
      <c r="L11" s="3" t="s">
        <v>3735</v>
      </c>
      <c r="N11" s="3" t="s">
        <v>497</v>
      </c>
      <c r="P11" s="1176" t="s">
        <v>222</v>
      </c>
      <c r="Q11" s="1177" t="s">
        <v>222</v>
      </c>
      <c r="R11" s="565"/>
      <c r="S11" s="565"/>
      <c r="T11" s="565"/>
      <c r="U11" s="565"/>
      <c r="V11" s="565"/>
      <c r="W11" s="12" t="s">
        <v>1584</v>
      </c>
      <c r="X11" s="3" t="s">
        <v>173</v>
      </c>
      <c r="Y11" s="3" t="s">
        <v>160</v>
      </c>
      <c r="Z11" s="3" t="s">
        <v>200</v>
      </c>
      <c r="AA11" s="8" t="s">
        <v>1577</v>
      </c>
      <c r="AD11" s="612" t="s">
        <v>4012</v>
      </c>
      <c r="AH11" s="1183" t="s">
        <v>1285</v>
      </c>
      <c r="AI11" s="3" t="s">
        <v>4065</v>
      </c>
      <c r="AJ11" s="3" t="s">
        <v>169</v>
      </c>
      <c r="AK11" s="3">
        <v>16000</v>
      </c>
      <c r="AL11" s="3">
        <v>2</v>
      </c>
      <c r="AQ11" s="1176" t="s">
        <v>768</v>
      </c>
      <c r="AR11" s="1177"/>
      <c r="AS11" s="12" t="s">
        <v>5712</v>
      </c>
      <c r="AT11" s="569">
        <v>3</v>
      </c>
      <c r="AU11" s="569">
        <v>1</v>
      </c>
      <c r="AW11" s="3">
        <v>2</v>
      </c>
      <c r="AY11" s="569" t="s">
        <v>4084</v>
      </c>
      <c r="AZ11" s="936" t="s">
        <v>202</v>
      </c>
      <c r="BA11" s="742" t="s">
        <v>2606</v>
      </c>
      <c r="BC11">
        <v>2</v>
      </c>
      <c r="BJ11" s="683" t="s">
        <v>4485</v>
      </c>
      <c r="BT11" s="12" t="s">
        <v>4628</v>
      </c>
      <c r="BU11" s="3">
        <v>2500</v>
      </c>
      <c r="BV11" s="3">
        <v>5</v>
      </c>
      <c r="BW11" s="3">
        <v>3</v>
      </c>
      <c r="BX11" s="3">
        <v>10</v>
      </c>
      <c r="BY11" s="3" t="s">
        <v>201</v>
      </c>
      <c r="CA11" s="3" t="s">
        <v>3711</v>
      </c>
      <c r="CB11" s="8" t="s">
        <v>4629</v>
      </c>
      <c r="CR11" s="1704"/>
      <c r="CS11" s="1704"/>
      <c r="CT11" s="1704"/>
      <c r="CU11" s="1704"/>
      <c r="CV11" s="1704"/>
      <c r="CW11" s="1704"/>
      <c r="CX11" s="1704"/>
      <c r="CY11" s="1704"/>
      <c r="CZ11" s="1704"/>
      <c r="DA11" s="570" t="s">
        <v>195</v>
      </c>
      <c r="DB11" s="570" t="s">
        <v>195</v>
      </c>
      <c r="DC11" s="570" t="s">
        <v>195</v>
      </c>
      <c r="DD11" s="570" t="s">
        <v>195</v>
      </c>
      <c r="DE11" s="570" t="s">
        <v>195</v>
      </c>
      <c r="DF11" s="1104"/>
      <c r="DG11" s="1104"/>
      <c r="DW11" s="570" t="s">
        <v>6650</v>
      </c>
      <c r="EA11" t="s">
        <v>7170</v>
      </c>
      <c r="EB11" s="1379" t="s">
        <v>3717</v>
      </c>
      <c r="EC11" s="1379" t="s">
        <v>344</v>
      </c>
      <c r="EF11" s="1323" t="s">
        <v>7564</v>
      </c>
      <c r="EG11" s="3" t="s">
        <v>195</v>
      </c>
      <c r="EH11" s="3" t="s">
        <v>3717</v>
      </c>
      <c r="EI11" s="8" t="s">
        <v>7565</v>
      </c>
      <c r="EJ11" s="1323" t="s">
        <v>7626</v>
      </c>
      <c r="EK11" s="8" t="s">
        <v>7627</v>
      </c>
      <c r="EL11" s="1323" t="s">
        <v>7658</v>
      </c>
      <c r="EM11" s="1489">
        <v>500</v>
      </c>
      <c r="EN11" s="19" t="s">
        <v>7659</v>
      </c>
      <c r="EP11" s="1489">
        <f>EM11</f>
        <v>500</v>
      </c>
      <c r="EQ11" s="1473">
        <f t="shared" si="0"/>
        <v>2</v>
      </c>
      <c r="ER11" s="3">
        <f t="shared" si="1"/>
        <v>1000</v>
      </c>
      <c r="ES11" s="19" t="str">
        <f t="shared" si="11"/>
        <v xml:space="preserve">600 </v>
      </c>
      <c r="ET11" s="3">
        <f t="shared" si="3"/>
        <v>2</v>
      </c>
      <c r="EU11" s="8">
        <f t="shared" si="6"/>
        <v>1200</v>
      </c>
      <c r="EV11" s="1478" t="str">
        <f>"Double Attack ("&amp;Feats!$D$100&amp;")"</f>
        <v>Double Attack ()</v>
      </c>
      <c r="EW11" s="954">
        <f>-5+CD8</f>
        <v>-5</v>
      </c>
      <c r="FA11" s="954">
        <f>Feats!$D$100</f>
        <v>0</v>
      </c>
      <c r="FE11" s="1478" t="s">
        <v>7158</v>
      </c>
      <c r="FF11" s="1478"/>
      <c r="FG11" s="1478" t="s">
        <v>7766</v>
      </c>
      <c r="FH11" s="1478" t="s">
        <v>57</v>
      </c>
      <c r="FI11" s="1478"/>
      <c r="FJ11" s="954" t="s">
        <v>7152</v>
      </c>
      <c r="FK11" s="1323" t="s">
        <v>2610</v>
      </c>
      <c r="FL11" s="1493" t="s">
        <v>7823</v>
      </c>
      <c r="FM11" s="1513" t="s">
        <v>7800</v>
      </c>
      <c r="FN11" s="1513" t="s">
        <v>4129</v>
      </c>
      <c r="FO11" s="3" t="s">
        <v>7188</v>
      </c>
      <c r="FP11" s="3" t="s">
        <v>65</v>
      </c>
      <c r="GC11" s="597" t="s">
        <v>7851</v>
      </c>
      <c r="GD11" s="597" t="str">
        <f t="shared" ref="GD11:GD41" si="12">IF(HTML,IF(FL11="Attack",TRG,IF(FL11="Defense",TRO,TRLSG))&amp;WFS&amp;"u"&amp;WFF&amp;BS,"//")&amp;" "&amp;FK11&amp;IF(HTML,BF,"")&amp;IF(FO11&lt;&gt;""," ("&amp;FO11&amp;IF(FP11&lt;&gt;"","; "&amp;FP11,"")&amp;IF(FQ11&lt;&gt;"","; "&amp;FQ11,"")&amp;") "&amp;IF(HTML,WFS&amp;"v"&amp;WFF&amp;BS,"•"),IF(HTML,WFS&amp;"v"&amp;WFF&amp;BS,"•"))&amp;" "&amp;FM11&amp;IF(HTML,BF&amp;TRF&amp;TRW,"")&amp;"
"&amp;GC11&amp;TRFF</f>
        <v>// Aversion (swift; FP) • Force, Talent
All squares in a 2-square radius count as difficult terrain for enemies</v>
      </c>
      <c r="GG11" s="569" t="b">
        <v>1</v>
      </c>
      <c r="GH11" s="8" t="s">
        <v>2611</v>
      </c>
      <c r="GI11" s="1512" t="str">
        <f t="shared" si="8"/>
        <v/>
      </c>
      <c r="GJ11" s="1512" t="e">
        <f t="shared" si="9"/>
        <v>#REF!</v>
      </c>
      <c r="GK11" s="456" t="str">
        <f t="shared" si="10"/>
        <v>// Aversion (swift; FP) • Force, Talent
All squares in a 2-square radius count as difficult terrain for enemies</v>
      </c>
      <c r="GL11" s="1606" t="s">
        <v>8692</v>
      </c>
      <c r="GM11" s="1617">
        <v>1</v>
      </c>
      <c r="GN11" s="1617"/>
      <c r="GO11" s="1636" t="s">
        <v>8743</v>
      </c>
      <c r="GP11" s="1639" t="s">
        <v>8761</v>
      </c>
      <c r="GQ11" s="1590"/>
      <c r="GR11" s="1590"/>
      <c r="GU11" s="1639"/>
    </row>
    <row r="12" spans="1:203">
      <c r="H12" s="12" t="s">
        <v>261</v>
      </c>
      <c r="I12" s="3" t="s">
        <v>169</v>
      </c>
      <c r="J12" s="3">
        <v>100</v>
      </c>
      <c r="K12" s="3">
        <v>0</v>
      </c>
      <c r="L12" s="3" t="s">
        <v>3735</v>
      </c>
      <c r="P12" s="1176" t="s">
        <v>3779</v>
      </c>
      <c r="Q12" s="1177" t="s">
        <v>262</v>
      </c>
      <c r="R12" s="565"/>
      <c r="S12" s="565"/>
      <c r="T12" s="565"/>
      <c r="U12" s="565"/>
      <c r="V12" s="565"/>
      <c r="W12" s="12" t="s">
        <v>1794</v>
      </c>
      <c r="X12" s="3" t="s">
        <v>272</v>
      </c>
      <c r="Y12" s="3" t="s">
        <v>160</v>
      </c>
      <c r="Z12" s="3" t="s">
        <v>200</v>
      </c>
      <c r="AA12" s="8" t="s">
        <v>1794</v>
      </c>
      <c r="AB12" s="569" t="s">
        <v>3983</v>
      </c>
      <c r="AC12" s="1358" t="s">
        <v>3984</v>
      </c>
      <c r="AD12" t="str">
        <f t="shared" ref="AD12:AD42" si="13">AC12&amp;" Legacy ("&amp;AB12&amp;")"</f>
        <v>Ackbar Legacy (Denied)</v>
      </c>
      <c r="AE12" s="616" t="s">
        <v>3985</v>
      </c>
      <c r="AF12" s="616" t="s">
        <v>3986</v>
      </c>
      <c r="AH12" s="1183" t="s">
        <v>770</v>
      </c>
      <c r="AI12" s="3" t="s">
        <v>768</v>
      </c>
      <c r="AJ12" s="3" t="s">
        <v>169</v>
      </c>
      <c r="AK12" s="3">
        <v>500</v>
      </c>
      <c r="AL12" s="3">
        <v>1</v>
      </c>
      <c r="AQ12" s="1176" t="s">
        <v>872</v>
      </c>
      <c r="AR12" s="1177" t="s">
        <v>1116</v>
      </c>
      <c r="AS12" s="12" t="s">
        <v>5707</v>
      </c>
      <c r="AT12" s="569">
        <v>2</v>
      </c>
      <c r="AY12" s="569" t="s">
        <v>4083</v>
      </c>
      <c r="AZ12" s="936" t="s">
        <v>202</v>
      </c>
      <c r="BA12" s="742" t="s">
        <v>4139</v>
      </c>
      <c r="BC12">
        <v>2</v>
      </c>
      <c r="BJ12" s="12" t="s">
        <v>193</v>
      </c>
      <c r="BM12" s="8" t="s">
        <v>4494</v>
      </c>
      <c r="BT12" s="12" t="s">
        <v>4614</v>
      </c>
      <c r="BU12" s="3">
        <v>6400</v>
      </c>
      <c r="BV12" s="3">
        <v>8</v>
      </c>
      <c r="BW12" s="3">
        <v>2</v>
      </c>
      <c r="BX12" s="3">
        <v>16</v>
      </c>
      <c r="BY12" s="3" t="s">
        <v>4615</v>
      </c>
      <c r="CA12" s="3" t="s">
        <v>3711</v>
      </c>
      <c r="CB12" s="8" t="s">
        <v>4616</v>
      </c>
      <c r="CR12" s="1704"/>
      <c r="CS12" s="1704"/>
      <c r="CT12" s="1704"/>
      <c r="CU12" s="1704"/>
      <c r="CV12" s="1704"/>
      <c r="CW12" s="1704"/>
      <c r="CX12" s="1704"/>
      <c r="CY12" s="1704"/>
      <c r="CZ12" s="1704"/>
      <c r="DA12" s="570" t="s">
        <v>195</v>
      </c>
      <c r="DB12" s="570" t="s">
        <v>195</v>
      </c>
      <c r="DC12" s="570" t="s">
        <v>195</v>
      </c>
      <c r="DD12" s="570" t="s">
        <v>195</v>
      </c>
      <c r="DE12" s="570" t="s">
        <v>195</v>
      </c>
      <c r="DF12" s="1104"/>
      <c r="DG12" s="1104"/>
      <c r="DW12" s="1358" t="s">
        <v>6645</v>
      </c>
      <c r="EA12" t="s">
        <v>7171</v>
      </c>
      <c r="EB12" s="1379" t="s">
        <v>7181</v>
      </c>
      <c r="EC12" s="1379" t="s">
        <v>7180</v>
      </c>
      <c r="EF12" s="1323" t="s">
        <v>7566</v>
      </c>
      <c r="EG12" s="3" t="s">
        <v>195</v>
      </c>
      <c r="EH12" s="3" t="s">
        <v>3717</v>
      </c>
      <c r="EI12" s="8" t="s">
        <v>7567</v>
      </c>
      <c r="EJ12" s="1323" t="s">
        <v>7628</v>
      </c>
      <c r="EK12" s="8" t="s">
        <v>7629</v>
      </c>
      <c r="EL12" s="1323" t="s">
        <v>7660</v>
      </c>
      <c r="EM12" s="1489">
        <v>20</v>
      </c>
      <c r="EN12" s="19" t="s">
        <v>7640</v>
      </c>
      <c r="EP12" s="1489">
        <f>EM12</f>
        <v>20</v>
      </c>
      <c r="EQ12" s="1473">
        <f t="shared" si="0"/>
        <v>1</v>
      </c>
      <c r="ER12" s="3">
        <f t="shared" si="1"/>
        <v>20</v>
      </c>
      <c r="ES12" s="19" t="str">
        <f t="shared" si="11"/>
        <v xml:space="preserve">.5 </v>
      </c>
      <c r="ET12" s="3">
        <f t="shared" si="3"/>
        <v>1</v>
      </c>
      <c r="EU12" s="8">
        <f t="shared" si="6"/>
        <v>0.5</v>
      </c>
      <c r="EV12" s="1478" t="str">
        <f>"Double Attack ("&amp;Feats!$D$101&amp;")"</f>
        <v>Double Attack ()</v>
      </c>
      <c r="EW12" s="954">
        <f>-5+CD8</f>
        <v>-5</v>
      </c>
      <c r="FA12" s="954">
        <f>Feats!$D$101</f>
        <v>0</v>
      </c>
      <c r="FE12" s="1478" t="s">
        <v>7158</v>
      </c>
      <c r="FF12" s="1478"/>
      <c r="FG12" s="1478" t="s">
        <v>7766</v>
      </c>
      <c r="FH12" s="1478" t="s">
        <v>57</v>
      </c>
      <c r="FI12" s="1478"/>
      <c r="FJ12" s="954" t="s">
        <v>7152</v>
      </c>
      <c r="FK12" s="1323" t="s">
        <v>2599</v>
      </c>
      <c r="FL12" s="1493" t="s">
        <v>7823</v>
      </c>
      <c r="FM12" s="569" t="s">
        <v>7800</v>
      </c>
      <c r="FN12" s="569" t="s">
        <v>4129</v>
      </c>
      <c r="FO12" s="955" t="s">
        <v>7189</v>
      </c>
      <c r="FP12" s="1502"/>
      <c r="FQ12" s="1510" t="str">
        <f>"when "&amp;CharacterName&amp;" is targeted by melee attack"</f>
        <v>when  is targeted by melee attack</v>
      </c>
      <c r="FR12" s="1502"/>
      <c r="FS12" s="1502"/>
      <c r="FT12" s="1502"/>
      <c r="FW12" s="1502"/>
      <c r="FX12" s="1502"/>
      <c r="GC12" s="597" t="str">
        <f ca="1">IF(UsetheForce&lt;0,UsetheForce,"+"&amp;UsetheForce)&amp;" vs. Reflex attack roll of incoming attack; attack negated; cumulative -5 to each Block after the first in same round; cover vs. Whirlwind Attack"&amp;IF(HTML,"&lt;BR&gt;","
")&amp;"Spend a Force Point to negate an attack against an adjacent character"&amp;IF(Talents!M32&gt;0,IF(HTML,"&lt;BR&gt;","
")&amp;"+2 if fighting defensively","")</f>
        <v>+0 vs. Reflex attack roll of incoming attack; attack negated; cumulative -5 to each Block after the first in same round; cover vs. Whirlwind Attack
Spend a Force Point to negate an attack against an adjacent character</v>
      </c>
      <c r="GD12" s="597" t="str">
        <f t="shared" ca="1" si="12"/>
        <v>// Block (reaction; when  is targeted by melee attack) • Force, Talent
+0 vs. Reflex attack roll of incoming attack; attack negated; cumulative -5 to each Block after the first in same round; cover vs. Whirlwind Attack
Spend a Force Point to negate an attack against an adjacent character</v>
      </c>
      <c r="GG12" s="569" t="b">
        <v>1</v>
      </c>
      <c r="GI12" s="1512" t="str">
        <f t="shared" si="8"/>
        <v/>
      </c>
      <c r="GJ12" s="1512" t="e">
        <f t="shared" si="9"/>
        <v>#REF!</v>
      </c>
      <c r="GK12" s="456" t="str">
        <f t="shared" ca="1" si="10"/>
        <v>// Block (reaction; when  is targeted by melee attack) • Force, Talent
+0 vs. Reflex attack roll of incoming attack; attack negated; cumulative -5 to each Block after the first in same round; cover vs. Whirlwind Attack
Spend a Force Point to negate an attack against an adjacent character</v>
      </c>
      <c r="GL12" s="1606" t="s">
        <v>8693</v>
      </c>
      <c r="GM12" s="1617">
        <v>1</v>
      </c>
      <c r="GN12" s="1617"/>
      <c r="GO12" s="1636" t="s">
        <v>8744</v>
      </c>
      <c r="GP12" s="1639" t="s">
        <v>8762</v>
      </c>
      <c r="GQ12" s="1590"/>
      <c r="GR12" s="1590"/>
      <c r="GU12" s="1639"/>
    </row>
    <row r="13" spans="1:203">
      <c r="H13" s="1323" t="s">
        <v>6595</v>
      </c>
      <c r="I13" s="569" t="s">
        <v>6222</v>
      </c>
      <c r="J13" s="569">
        <v>2000</v>
      </c>
      <c r="K13" s="569">
        <v>0</v>
      </c>
      <c r="L13" s="569" t="s">
        <v>3735</v>
      </c>
      <c r="P13" s="1176" t="s">
        <v>6596</v>
      </c>
      <c r="Q13" s="1177" t="s">
        <v>6596</v>
      </c>
      <c r="R13" s="565"/>
      <c r="S13" s="565"/>
      <c r="T13" s="565"/>
      <c r="U13" s="565"/>
      <c r="V13" s="565"/>
      <c r="W13" s="12" t="s">
        <v>1851</v>
      </c>
      <c r="X13" s="3" t="s">
        <v>272</v>
      </c>
      <c r="Y13" s="3" t="s">
        <v>160</v>
      </c>
      <c r="Z13" s="3" t="s">
        <v>200</v>
      </c>
      <c r="AA13" s="8" t="s">
        <v>1851</v>
      </c>
      <c r="AB13" s="569" t="s">
        <v>3982</v>
      </c>
      <c r="AC13" s="1358" t="s">
        <v>3984</v>
      </c>
      <c r="AD13" s="581" t="str">
        <f t="shared" si="13"/>
        <v>Ackbar Legacy (Embraced)</v>
      </c>
      <c r="AE13" s="616" t="s">
        <v>3985</v>
      </c>
      <c r="AF13" s="616" t="s">
        <v>3986</v>
      </c>
      <c r="AH13" s="1184" t="s">
        <v>4130</v>
      </c>
      <c r="AI13" s="3" t="s">
        <v>871</v>
      </c>
      <c r="AJ13" s="3" t="s">
        <v>169</v>
      </c>
      <c r="AK13" s="3">
        <v>500</v>
      </c>
      <c r="AL13" s="3">
        <v>1</v>
      </c>
      <c r="AQ13" s="1176" t="s">
        <v>4018</v>
      </c>
      <c r="AR13" s="1177" t="s">
        <v>1193</v>
      </c>
      <c r="AS13" s="12" t="s">
        <v>2310</v>
      </c>
      <c r="AY13" s="569" t="s">
        <v>4084</v>
      </c>
      <c r="AZ13" s="936" t="s">
        <v>202</v>
      </c>
      <c r="BA13" s="742" t="s">
        <v>4140</v>
      </c>
      <c r="BC13">
        <v>2</v>
      </c>
      <c r="BJ13" s="12" t="s">
        <v>4486</v>
      </c>
      <c r="BM13" s="561" t="s">
        <v>4495</v>
      </c>
      <c r="BT13" s="12" t="s">
        <v>4617</v>
      </c>
      <c r="BU13" s="3">
        <v>9600</v>
      </c>
      <c r="BV13" s="3">
        <v>8</v>
      </c>
      <c r="BW13" s="3">
        <v>3</v>
      </c>
      <c r="BX13" s="3">
        <v>8</v>
      </c>
      <c r="BY13" s="3" t="s">
        <v>4615</v>
      </c>
      <c r="CA13" s="3" t="s">
        <v>3711</v>
      </c>
      <c r="CB13" s="8" t="s">
        <v>4618</v>
      </c>
      <c r="CE13" s="3" t="e">
        <f ca="1">IF(INDEX(WeaponTable,MATCH(Weapons!$E$11,WeaponList,0),4)&lt;&gt;"EWP",IF(NOT(ISERROR(FIND(INDEX(MultiattackProficiencyTable,MATCH(INDEX(WeaponTable,MATCH(Weapons!$E$11,WeaponList,0),5),MultiattackProficiencyType,0),1),TalentsTakenList,1))),INDEX(MultiattackProficiencyTable,MATCH(INDEX(WeaponTable,MATCH(Weapons!$E$11,WeaponList,0),5),MultiattackProficiencyType,0),2),0),IF(NOT(ISERROR(FIND(Lists!$CC$8,TalentsTakenList,1))),Lists!$CD$8,0))</f>
        <v>#N/A</v>
      </c>
      <c r="CR13" s="1704"/>
      <c r="CS13" s="1704"/>
      <c r="CT13" s="1704"/>
      <c r="CU13" s="1704"/>
      <c r="CV13" s="1704"/>
      <c r="CW13" s="1704"/>
      <c r="CX13" s="1704"/>
      <c r="CY13" s="1704"/>
      <c r="CZ13" s="1704"/>
      <c r="DA13" s="570" t="s">
        <v>195</v>
      </c>
      <c r="DB13" s="570" t="s">
        <v>195</v>
      </c>
      <c r="DC13" s="570" t="s">
        <v>195</v>
      </c>
      <c r="DD13" s="570" t="s">
        <v>195</v>
      </c>
      <c r="DE13" s="570" t="s">
        <v>195</v>
      </c>
      <c r="DF13" s="1104"/>
      <c r="DG13" s="1104"/>
      <c r="DW13" s="1358" t="s">
        <v>6645</v>
      </c>
      <c r="EA13" t="s">
        <v>7172</v>
      </c>
      <c r="EB13" s="1379" t="s">
        <v>7176</v>
      </c>
      <c r="EC13" s="1379" t="s">
        <v>377</v>
      </c>
      <c r="EF13" s="1323" t="s">
        <v>7547</v>
      </c>
      <c r="EG13" s="3" t="s">
        <v>195</v>
      </c>
      <c r="EH13" s="3" t="s">
        <v>3717</v>
      </c>
      <c r="EI13" s="8" t="s">
        <v>7548</v>
      </c>
      <c r="EJ13" s="1323" t="s">
        <v>7630</v>
      </c>
      <c r="EK13" s="8" t="s">
        <v>7631</v>
      </c>
      <c r="EL13" s="1323" t="s">
        <v>7661</v>
      </c>
      <c r="EM13" s="1489" t="s">
        <v>7662</v>
      </c>
      <c r="EN13" s="19" t="s">
        <v>7663</v>
      </c>
      <c r="EO13" s="19" t="s">
        <v>7645</v>
      </c>
      <c r="EP13" s="19" t="str">
        <f>IF(NOT(ISERROR(FIND("cost factor",EM13,1))),LEFT(EM13,LEN(EM13)-(LEN(EM13)-FIND("x",EM13,1))-1),LEFT(EM13,LEN(EM13)-(LEN(EM13)-FIND("kg",EM13,1))-1))</f>
        <v xml:space="preserve">3,000 </v>
      </c>
      <c r="EQ13" s="1473">
        <f t="shared" si="0"/>
        <v>2</v>
      </c>
      <c r="ER13" s="3">
        <f t="shared" si="1"/>
        <v>6000</v>
      </c>
      <c r="ES13" s="19" t="str">
        <f t="shared" si="11"/>
        <v xml:space="preserve">100 </v>
      </c>
      <c r="ET13" s="3">
        <f t="shared" si="3"/>
        <v>2</v>
      </c>
      <c r="EU13" s="8">
        <f t="shared" si="6"/>
        <v>200</v>
      </c>
      <c r="EV13" s="1478" t="s">
        <v>7784</v>
      </c>
      <c r="EW13" s="954">
        <f>-5+CD6</f>
        <v>-5</v>
      </c>
      <c r="FA13" s="1478" t="s">
        <v>1381</v>
      </c>
      <c r="FB13" s="954" t="s">
        <v>4083</v>
      </c>
      <c r="FE13" s="1478" t="s">
        <v>7158</v>
      </c>
      <c r="FF13" s="1478"/>
      <c r="FG13" s="1478" t="s">
        <v>7766</v>
      </c>
      <c r="FH13" s="1478" t="s">
        <v>57</v>
      </c>
      <c r="FI13" s="1478"/>
      <c r="FJ13" s="954" t="s">
        <v>7152</v>
      </c>
      <c r="FK13" s="1323" t="s">
        <v>2601</v>
      </c>
      <c r="FL13" s="1493" t="s">
        <v>7823</v>
      </c>
      <c r="FM13" s="1513" t="s">
        <v>4129</v>
      </c>
      <c r="FN13" s="1513" t="s">
        <v>4129</v>
      </c>
      <c r="FO13" s="569" t="s">
        <v>7189</v>
      </c>
      <c r="FQ13" s="597" t="str">
        <f>"when "&amp;CharacterName&amp;" is targeted by melee attack"</f>
        <v>when  is targeted by melee attack</v>
      </c>
      <c r="GC13" s="597" t="str">
        <f ca="1">IF(UsetheForce&lt;0,UsetheForce,"+"&amp;UsetheForce)&amp;" vs. Reflex attack roll of incoming attack; attack negated; cumulative -5 to each block after the first in same round; cover vs. Whirlwind Attack; lightsaber blocked deactivates"&amp;IF(Talents!M32&gt;0,IF(HTML,"&lt;BR&gt;","
")&amp;"+2 if fighting defensively","")</f>
        <v>+0 vs. Reflex attack roll of incoming attack; attack negated; cumulative -5 to each block after the first in same round; cover vs. Whirlwind Attack; lightsaber blocked deactivates</v>
      </c>
      <c r="GD13" s="597" t="str">
        <f t="shared" ca="1" si="12"/>
        <v>// Cortosis Gauntlet Block (reaction; when  is targeted by melee attack) • Talent
+0 vs. Reflex attack roll of incoming attack; attack negated; cumulative -5 to each block after the first in same round; cover vs. Whirlwind Attack; lightsaber blocked deactivates</v>
      </c>
      <c r="GG13" s="569" t="b">
        <v>1</v>
      </c>
      <c r="GH13" s="8" t="str">
        <f>IF(FN13="Talent",INDEX(TalentsTable,MATCH(FK13,TalentsTableList,0),13),"")</f>
        <v>LE 27</v>
      </c>
      <c r="GI13" s="1512" t="str">
        <f t="shared" si="8"/>
        <v/>
      </c>
      <c r="GJ13" s="1512" t="e">
        <f>IF(GI13&lt;&gt;"",GI13&amp;IF(#REF!&lt;&gt;"","
"&amp;IF(AND(HTML,Tables=FALSE),"&lt;BR&gt;","")&amp;#REF!,""),#REF!)</f>
        <v>#REF!</v>
      </c>
      <c r="GK13" s="456" t="str">
        <f t="shared" ca="1" si="10"/>
        <v>// Cortosis Gauntlet Block (reaction; when  is targeted by melee attack) • Talent
+0 vs. Reflex attack roll of incoming attack; attack negated; cumulative -5 to each block after the first in same round; cover vs. Whirlwind Attack; lightsaber blocked deactivates</v>
      </c>
      <c r="GL13" s="1606" t="s">
        <v>8694</v>
      </c>
      <c r="GM13" s="1617">
        <v>1</v>
      </c>
      <c r="GN13" s="1617"/>
      <c r="GO13" s="1636" t="s">
        <v>8745</v>
      </c>
      <c r="GP13" s="1639" t="s">
        <v>8763</v>
      </c>
      <c r="GQ13" s="1604"/>
      <c r="GR13" s="1590"/>
      <c r="GU13" s="1639"/>
    </row>
    <row r="14" spans="1:203">
      <c r="H14" s="12" t="s">
        <v>662</v>
      </c>
      <c r="I14" s="3" t="s">
        <v>173</v>
      </c>
      <c r="J14" s="3">
        <v>1200</v>
      </c>
      <c r="K14" s="3">
        <v>1</v>
      </c>
      <c r="L14" s="3" t="s">
        <v>3735</v>
      </c>
      <c r="P14" s="1176" t="s">
        <v>663</v>
      </c>
      <c r="Q14" s="1177" t="s">
        <v>663</v>
      </c>
      <c r="R14" s="565"/>
      <c r="S14" s="565"/>
      <c r="T14" s="565"/>
      <c r="U14" s="565"/>
      <c r="V14" s="565"/>
      <c r="W14" s="12" t="s">
        <v>1860</v>
      </c>
      <c r="X14" s="3" t="s">
        <v>173</v>
      </c>
      <c r="Y14" s="3" t="s">
        <v>160</v>
      </c>
      <c r="Z14" s="3" t="s">
        <v>200</v>
      </c>
      <c r="AA14" s="8" t="s">
        <v>1860</v>
      </c>
      <c r="AB14" s="569" t="s">
        <v>3982</v>
      </c>
      <c r="AC14" s="1358" t="s">
        <v>3988</v>
      </c>
      <c r="AD14" s="581" t="str">
        <f t="shared" si="13"/>
        <v>Antares Legacy (Embraced)</v>
      </c>
      <c r="AE14" s="616" t="s">
        <v>3985</v>
      </c>
      <c r="AF14" s="616" t="s">
        <v>3986</v>
      </c>
      <c r="AH14" s="1184" t="s">
        <v>817</v>
      </c>
      <c r="AI14" s="3" t="s">
        <v>985</v>
      </c>
      <c r="AJ14" s="3" t="s">
        <v>169</v>
      </c>
      <c r="AK14" s="3">
        <v>100</v>
      </c>
      <c r="AL14" s="3">
        <v>0</v>
      </c>
      <c r="AQ14" s="1176" t="s">
        <v>4021</v>
      </c>
      <c r="AR14" s="1177"/>
      <c r="AS14" s="12" t="s">
        <v>2335</v>
      </c>
      <c r="AW14" s="3">
        <v>1</v>
      </c>
      <c r="AY14" s="569" t="s">
        <v>4084</v>
      </c>
      <c r="AZ14" s="936" t="s">
        <v>202</v>
      </c>
      <c r="BA14" s="742" t="s">
        <v>1946</v>
      </c>
      <c r="BB14">
        <v>1</v>
      </c>
      <c r="BT14" s="1331" t="s">
        <v>7086</v>
      </c>
      <c r="CR14" s="1704"/>
      <c r="CS14" s="1704"/>
      <c r="CT14" s="1704"/>
      <c r="CU14" s="1704"/>
      <c r="CV14" s="1704"/>
      <c r="CW14" s="1704"/>
      <c r="CX14" s="1704"/>
      <c r="CY14" s="1704"/>
      <c r="CZ14" s="1704"/>
      <c r="DA14" s="570" t="s">
        <v>195</v>
      </c>
      <c r="DB14" s="570" t="s">
        <v>195</v>
      </c>
      <c r="DC14" s="570" t="s">
        <v>195</v>
      </c>
      <c r="DD14" s="570" t="s">
        <v>195</v>
      </c>
      <c r="DE14" s="570" t="s">
        <v>195</v>
      </c>
      <c r="DF14" s="1104"/>
      <c r="DG14" s="1104"/>
      <c r="DW14" s="1358" t="s">
        <v>6646</v>
      </c>
      <c r="EA14" t="s">
        <v>7173</v>
      </c>
      <c r="EF14" s="1323" t="s">
        <v>7578</v>
      </c>
      <c r="EG14" s="3" t="s">
        <v>238</v>
      </c>
      <c r="EH14" s="3" t="s">
        <v>195</v>
      </c>
      <c r="EI14" s="8" t="s">
        <v>7579</v>
      </c>
      <c r="EJ14" s="1323" t="s">
        <v>7632</v>
      </c>
      <c r="EK14" s="8" t="s">
        <v>7633</v>
      </c>
      <c r="EL14" s="1323" t="s">
        <v>7665</v>
      </c>
      <c r="EM14" s="1489" t="s">
        <v>7666</v>
      </c>
      <c r="EN14" s="19" t="s">
        <v>7656</v>
      </c>
      <c r="EO14" s="19" t="s">
        <v>7649</v>
      </c>
      <c r="EP14" s="19" t="str">
        <f>IF(NOT(ISERROR(FIND("cost factor",EM14,1))),LEFT(EM14,LEN(EM14)-(LEN(EM14)-FIND("x",EM14,1))-1),LEFT(EM14,LEN(EM14)-(LEN(EM14)-FIND("kg",EM14,1))-1))</f>
        <v xml:space="preserve">500 </v>
      </c>
      <c r="EQ14" s="1473">
        <f t="shared" si="0"/>
        <v>2</v>
      </c>
      <c r="ER14" s="3">
        <f t="shared" si="1"/>
        <v>1000</v>
      </c>
      <c r="ES14" s="19" t="str">
        <f t="shared" si="11"/>
        <v xml:space="preserve">2 </v>
      </c>
      <c r="ET14" s="3">
        <f t="shared" si="3"/>
        <v>2</v>
      </c>
      <c r="EU14" s="8">
        <f t="shared" si="6"/>
        <v>4</v>
      </c>
      <c r="EV14" s="1478" t="s">
        <v>7785</v>
      </c>
      <c r="EW14" s="954">
        <f>-5+CD3</f>
        <v>-5</v>
      </c>
      <c r="FA14" s="1478" t="s">
        <v>1520</v>
      </c>
      <c r="FB14" s="954" t="s">
        <v>4083</v>
      </c>
      <c r="FE14" s="1478" t="s">
        <v>7158</v>
      </c>
      <c r="FF14" s="1478"/>
      <c r="FG14" s="1478" t="s">
        <v>7766</v>
      </c>
      <c r="FH14" s="1478" t="s">
        <v>57</v>
      </c>
      <c r="FI14" s="1478"/>
      <c r="FJ14" s="954" t="s">
        <v>7152</v>
      </c>
      <c r="FK14" s="1323" t="s">
        <v>2602</v>
      </c>
      <c r="FL14" s="1493" t="s">
        <v>7823</v>
      </c>
      <c r="FM14" s="569" t="s">
        <v>7800</v>
      </c>
      <c r="FN14" s="569" t="s">
        <v>4129</v>
      </c>
      <c r="FO14" s="955" t="s">
        <v>7189</v>
      </c>
      <c r="FP14" s="1502"/>
      <c r="FQ14" s="1510" t="str">
        <f>"when "&amp;CharacterName&amp;" is targeted by ranged attack"</f>
        <v>when  is targeted by ranged attack</v>
      </c>
      <c r="FR14" s="1502"/>
      <c r="FS14" s="1502"/>
      <c r="FT14" s="1502"/>
      <c r="FW14" s="1502"/>
      <c r="FX14" s="1502"/>
      <c r="GC14" s="597" t="str">
        <f ca="1">IF(UsetheForce&lt;0,UsetheForce,"+"&amp;UsetheForce)&amp;" vs. Reflex attack roll of incoming attack; attack negated; cumulative -5 to each Deflect after the first in same round"&amp;IF(HTML,"&lt;BR&gt;","
")&amp;"Spend a Force Point to negate an attack against an adjacent character"&amp;IF(Talents!M32&gt;0,IF(HTML,"&lt;BR&gt;","
")&amp;"+2 if fighting defensively","")</f>
        <v>+0 vs. Reflex attack roll of incoming attack; attack negated; cumulative -5 to each Deflect after the first in same round
Spend a Force Point to negate an attack against an adjacent character</v>
      </c>
      <c r="GD14" s="597" t="str">
        <f t="shared" ca="1" si="12"/>
        <v>// Deflect (reaction; when  is targeted by ranged attack) • Force, Talent
+0 vs. Reflex attack roll of incoming attack; attack negated; cumulative -5 to each Deflect after the first in same round
Spend a Force Point to negate an attack against an adjacent character</v>
      </c>
      <c r="GG14" s="569" t="b">
        <v>1</v>
      </c>
      <c r="GI14" s="1512" t="str">
        <f t="shared" si="8"/>
        <v/>
      </c>
      <c r="GJ14" s="1512" t="str">
        <f t="shared" ca="1" si="9"/>
        <v/>
      </c>
      <c r="GK14" s="456" t="str">
        <f t="shared" ca="1" si="10"/>
        <v>// Deflect (reaction; when  is targeted by ranged attack) • Force, Talent
+0 vs. Reflex attack roll of incoming attack; attack negated; cumulative -5 to each Deflect after the first in same round
Spend a Force Point to negate an attack against an adjacent character</v>
      </c>
      <c r="GL14" s="1606" t="s">
        <v>8695</v>
      </c>
      <c r="GM14" s="1616">
        <v>1</v>
      </c>
      <c r="GN14" s="1616"/>
      <c r="GO14" s="1635" t="s">
        <v>8746</v>
      </c>
      <c r="GP14" s="1639" t="s">
        <v>8764</v>
      </c>
      <c r="GQ14" s="569"/>
      <c r="GR14" s="569"/>
      <c r="GU14" s="1639"/>
    </row>
    <row r="15" spans="1:203">
      <c r="H15" s="12" t="s">
        <v>682</v>
      </c>
      <c r="I15" s="3" t="s">
        <v>173</v>
      </c>
      <c r="J15" s="3">
        <v>4000</v>
      </c>
      <c r="K15" s="3">
        <v>1</v>
      </c>
      <c r="L15" s="3" t="s">
        <v>3735</v>
      </c>
      <c r="Q15" s="1177" t="s">
        <v>683</v>
      </c>
      <c r="R15" s="565"/>
      <c r="S15" s="565"/>
      <c r="T15" s="565"/>
      <c r="U15" s="565"/>
      <c r="V15" s="565"/>
      <c r="W15" s="12" t="s">
        <v>2228</v>
      </c>
      <c r="X15" s="3" t="s">
        <v>2159</v>
      </c>
      <c r="Y15" s="3" t="s">
        <v>160</v>
      </c>
      <c r="Z15" s="3" t="s">
        <v>200</v>
      </c>
      <c r="AA15" s="8" t="s">
        <v>2228</v>
      </c>
      <c r="AB15" s="569" t="s">
        <v>3983</v>
      </c>
      <c r="AC15" s="1358" t="s">
        <v>3987</v>
      </c>
      <c r="AD15" s="581" t="str">
        <f t="shared" si="13"/>
        <v>Antilles Legacy (Denied)</v>
      </c>
      <c r="AE15" s="616" t="s">
        <v>3985</v>
      </c>
      <c r="AF15" s="616" t="s">
        <v>3986</v>
      </c>
      <c r="AH15" s="1183" t="s">
        <v>837</v>
      </c>
      <c r="AI15" s="3" t="s">
        <v>1075</v>
      </c>
      <c r="AJ15" s="3" t="s">
        <v>169</v>
      </c>
      <c r="AK15" s="3">
        <v>600</v>
      </c>
      <c r="AL15" s="3">
        <v>1</v>
      </c>
      <c r="AQ15" s="1176" t="s">
        <v>1116</v>
      </c>
      <c r="AR15" s="1177"/>
      <c r="AS15" s="12" t="s">
        <v>5709</v>
      </c>
      <c r="AT15" s="3">
        <v>1</v>
      </c>
      <c r="AU15" s="3">
        <v>1</v>
      </c>
      <c r="AW15" s="3">
        <v>1</v>
      </c>
      <c r="AY15" s="569" t="s">
        <v>4084</v>
      </c>
      <c r="AZ15" s="936" t="s">
        <v>202</v>
      </c>
      <c r="BA15" t="str">
        <f>"Weapon Specialization ("&amp;Feats!D100&amp;")"</f>
        <v>Weapon Specialization ()</v>
      </c>
      <c r="BC15">
        <v>2</v>
      </c>
      <c r="BT15" s="12" t="s">
        <v>7079</v>
      </c>
      <c r="BU15" s="569">
        <v>50000</v>
      </c>
      <c r="BV15" s="569">
        <v>10</v>
      </c>
      <c r="BW15" s="569">
        <v>2</v>
      </c>
      <c r="BX15" s="569">
        <v>30</v>
      </c>
      <c r="BY15" s="569" t="s">
        <v>149</v>
      </c>
      <c r="BZ15" s="3" t="s">
        <v>4615</v>
      </c>
      <c r="CA15" s="569" t="s">
        <v>4359</v>
      </c>
      <c r="CB15" s="8" t="s">
        <v>7080</v>
      </c>
      <c r="CR15" s="1704"/>
      <c r="CS15" s="1704"/>
      <c r="CT15" s="1704"/>
      <c r="CU15" s="1704"/>
      <c r="CV15" s="1704"/>
      <c r="CW15" s="1704"/>
      <c r="CX15" s="1704"/>
      <c r="CY15" s="1704"/>
      <c r="CZ15" s="1704"/>
      <c r="DA15" s="570" t="s">
        <v>195</v>
      </c>
      <c r="DB15" s="570" t="s">
        <v>195</v>
      </c>
      <c r="DC15" s="570" t="s">
        <v>195</v>
      </c>
      <c r="DD15" s="570" t="s">
        <v>195</v>
      </c>
      <c r="DE15" s="570" t="s">
        <v>195</v>
      </c>
      <c r="DF15" s="1104"/>
      <c r="DG15" s="1104"/>
      <c r="DW15" s="1358" t="s">
        <v>6648</v>
      </c>
      <c r="EA15" t="s">
        <v>7174</v>
      </c>
      <c r="EF15" s="1323" t="s">
        <v>7576</v>
      </c>
      <c r="EG15" s="3" t="s">
        <v>195</v>
      </c>
      <c r="EH15" s="3" t="s">
        <v>3717</v>
      </c>
      <c r="EI15" s="8" t="s">
        <v>7577</v>
      </c>
      <c r="EJ15" s="1323" t="s">
        <v>7634</v>
      </c>
      <c r="EK15" s="8" t="s">
        <v>7635</v>
      </c>
      <c r="EL15" s="1323" t="s">
        <v>7667</v>
      </c>
      <c r="EM15" s="1489">
        <v>2500</v>
      </c>
      <c r="EN15" s="19" t="s">
        <v>7668</v>
      </c>
      <c r="EO15" s="19" t="s">
        <v>7649</v>
      </c>
      <c r="EP15" s="1489">
        <f>EM15</f>
        <v>2500</v>
      </c>
      <c r="EQ15" s="1473">
        <f t="shared" si="0"/>
        <v>1</v>
      </c>
      <c r="ER15" s="3">
        <f t="shared" si="1"/>
        <v>2500</v>
      </c>
      <c r="ES15" s="19" t="str">
        <f t="shared" si="11"/>
        <v xml:space="preserve">500 </v>
      </c>
      <c r="ET15" s="3">
        <f t="shared" si="3"/>
        <v>1</v>
      </c>
      <c r="EU15" s="8">
        <f t="shared" si="6"/>
        <v>500</v>
      </c>
      <c r="EV15" s="1478" t="s">
        <v>7786</v>
      </c>
      <c r="EW15" s="954">
        <f>-5+CD5</f>
        <v>-5</v>
      </c>
      <c r="FA15" s="1478" t="s">
        <v>563</v>
      </c>
      <c r="FB15" s="954" t="s">
        <v>4084</v>
      </c>
      <c r="FE15" s="1478" t="s">
        <v>7158</v>
      </c>
      <c r="FF15" s="1478"/>
      <c r="FG15" s="1478" t="s">
        <v>7766</v>
      </c>
      <c r="FH15" s="1478" t="s">
        <v>57</v>
      </c>
      <c r="FI15" s="1478"/>
      <c r="FJ15" s="954" t="s">
        <v>7152</v>
      </c>
      <c r="FK15" s="1323" t="s">
        <v>2628</v>
      </c>
      <c r="FL15" s="1493" t="s">
        <v>7823</v>
      </c>
      <c r="FM15" s="1513" t="s">
        <v>7800</v>
      </c>
      <c r="FN15" s="1513" t="s">
        <v>4129</v>
      </c>
      <c r="FO15" s="569" t="s">
        <v>7188</v>
      </c>
      <c r="FP15" s="569" t="s">
        <v>65</v>
      </c>
      <c r="GC15" s="597" t="s">
        <v>7907</v>
      </c>
      <c r="GD15" s="597" t="str">
        <f t="shared" si="12"/>
        <v>// Equilibrium (swift; FP) • Force, Talent
Remove all debilitating conditions and move to top of the condition track</v>
      </c>
      <c r="GG15" s="569" t="b">
        <v>1</v>
      </c>
      <c r="GH15" s="8">
        <f>IF(FN15="Talent",INDEX(TalentsTable,MATCH(FK15,TalentsTableList,0),13),"")</f>
        <v>101</v>
      </c>
      <c r="GI15" s="1512" t="str">
        <f t="shared" si="8"/>
        <v/>
      </c>
      <c r="GJ15" s="1512" t="str">
        <f t="shared" ca="1" si="9"/>
        <v/>
      </c>
      <c r="GK15" s="456" t="str">
        <f t="shared" si="10"/>
        <v>// Equilibrium (swift; FP) • Force, Talent
Remove all debilitating conditions and move to top of the condition track</v>
      </c>
      <c r="GL15" s="1606" t="s">
        <v>8696</v>
      </c>
      <c r="GM15" s="1616">
        <v>1</v>
      </c>
      <c r="GN15" s="1616"/>
      <c r="GO15" s="1635" t="s">
        <v>8746</v>
      </c>
      <c r="GP15" s="1639" t="s">
        <v>8765</v>
      </c>
      <c r="GQ15" s="1604"/>
      <c r="GR15" s="569"/>
      <c r="GU15" s="1639"/>
    </row>
    <row r="16" spans="1:203">
      <c r="H16" s="12" t="s">
        <v>791</v>
      </c>
      <c r="I16" s="3" t="s">
        <v>169</v>
      </c>
      <c r="J16" s="3">
        <v>250</v>
      </c>
      <c r="K16" s="3">
        <v>1</v>
      </c>
      <c r="L16" s="3" t="s">
        <v>3735</v>
      </c>
      <c r="Q16" s="1177" t="s">
        <v>792</v>
      </c>
      <c r="R16" s="565"/>
      <c r="S16" s="565"/>
      <c r="T16" s="565"/>
      <c r="U16" s="565"/>
      <c r="V16" s="565"/>
      <c r="W16" s="1323" t="s">
        <v>4287</v>
      </c>
      <c r="X16" s="3" t="s">
        <v>3800</v>
      </c>
      <c r="Y16" s="3" t="s">
        <v>160</v>
      </c>
      <c r="Z16" s="569" t="s">
        <v>200</v>
      </c>
      <c r="AA16" s="1724" t="s">
        <v>4287</v>
      </c>
      <c r="AB16" s="569" t="s">
        <v>3982</v>
      </c>
      <c r="AC16" s="1358" t="s">
        <v>3987</v>
      </c>
      <c r="AD16" s="581" t="str">
        <f t="shared" si="13"/>
        <v>Antilles Legacy (Embraced)</v>
      </c>
      <c r="AE16" s="616" t="s">
        <v>3985</v>
      </c>
      <c r="AF16" s="616" t="s">
        <v>3986</v>
      </c>
      <c r="AH16" s="1183" t="s">
        <v>878</v>
      </c>
      <c r="AI16" s="3" t="s">
        <v>1115</v>
      </c>
      <c r="AJ16" s="3" t="s">
        <v>169</v>
      </c>
      <c r="AK16" s="3">
        <v>2500</v>
      </c>
      <c r="AL16" s="3">
        <v>1</v>
      </c>
      <c r="AQ16" s="1176" t="s">
        <v>1193</v>
      </c>
      <c r="AR16" s="1177"/>
      <c r="AS16" s="12" t="s">
        <v>5710</v>
      </c>
      <c r="AT16" s="569">
        <v>2</v>
      </c>
      <c r="AU16" s="3">
        <v>1</v>
      </c>
      <c r="AW16" s="569">
        <v>2</v>
      </c>
      <c r="AY16" s="569" t="s">
        <v>4084</v>
      </c>
      <c r="AZ16" s="936" t="s">
        <v>202</v>
      </c>
      <c r="BA16" s="742" t="str">
        <f>"Weapon Specialization ("&amp;Feats!D101&amp;")"</f>
        <v>Weapon Specialization ()</v>
      </c>
      <c r="BC16">
        <v>2</v>
      </c>
      <c r="BT16" s="12" t="s">
        <v>4612</v>
      </c>
      <c r="BU16" s="3">
        <v>10000</v>
      </c>
      <c r="BV16" s="3">
        <v>10</v>
      </c>
      <c r="BW16" s="3">
        <v>2</v>
      </c>
      <c r="BX16" s="3">
        <v>10</v>
      </c>
      <c r="BY16" s="3" t="s">
        <v>149</v>
      </c>
      <c r="CA16" s="3" t="s">
        <v>4359</v>
      </c>
      <c r="CB16" s="8" t="s">
        <v>4613</v>
      </c>
      <c r="CR16" s="1704"/>
      <c r="CS16" s="1704"/>
      <c r="CT16" s="1704"/>
      <c r="CU16" s="1704"/>
      <c r="CV16" s="1704"/>
      <c r="CW16" s="1704"/>
      <c r="CX16" s="1704"/>
      <c r="CY16" s="1704"/>
      <c r="CZ16" s="1704"/>
      <c r="DA16" s="570" t="s">
        <v>195</v>
      </c>
      <c r="DB16" s="570" t="s">
        <v>195</v>
      </c>
      <c r="DC16" s="570" t="s">
        <v>195</v>
      </c>
      <c r="DD16" s="570" t="s">
        <v>195</v>
      </c>
      <c r="DE16" s="570" t="s">
        <v>195</v>
      </c>
      <c r="DF16" s="1104"/>
      <c r="DG16" s="1104"/>
      <c r="DW16" s="1358" t="s">
        <v>6648</v>
      </c>
      <c r="EF16" s="1323" t="s">
        <v>3068</v>
      </c>
      <c r="EG16" s="3" t="s">
        <v>195</v>
      </c>
      <c r="EH16" s="3" t="s">
        <v>3717</v>
      </c>
      <c r="EI16" s="8" t="s">
        <v>7570</v>
      </c>
      <c r="EL16" s="1323" t="s">
        <v>7669</v>
      </c>
      <c r="EM16" s="1489">
        <v>300</v>
      </c>
      <c r="EN16" s="19" t="s">
        <v>7644</v>
      </c>
      <c r="EP16" s="1489">
        <f>EM16</f>
        <v>300</v>
      </c>
      <c r="EQ16" s="1473">
        <f t="shared" si="0"/>
        <v>1</v>
      </c>
      <c r="ER16" s="3">
        <f t="shared" si="1"/>
        <v>300</v>
      </c>
      <c r="ES16" s="19" t="str">
        <f t="shared" si="11"/>
        <v xml:space="preserve">3 </v>
      </c>
      <c r="ET16" s="3">
        <f t="shared" si="3"/>
        <v>1</v>
      </c>
      <c r="EU16" s="8">
        <f t="shared" si="6"/>
        <v>3</v>
      </c>
      <c r="EV16" s="1478" t="s">
        <v>7787</v>
      </c>
      <c r="EW16" s="954">
        <f>-5+CD7</f>
        <v>-5</v>
      </c>
      <c r="FA16" s="1478" t="s">
        <v>531</v>
      </c>
      <c r="FB16" s="954" t="s">
        <v>4084</v>
      </c>
      <c r="FE16" s="1478" t="s">
        <v>7158</v>
      </c>
      <c r="FF16" s="1478"/>
      <c r="FG16" s="1478" t="s">
        <v>7766</v>
      </c>
      <c r="FH16" s="1478" t="s">
        <v>57</v>
      </c>
      <c r="FI16" s="1478"/>
      <c r="FJ16" s="954" t="s">
        <v>7152</v>
      </c>
      <c r="FK16" s="1323" t="s">
        <v>2562</v>
      </c>
      <c r="FL16" s="1493" t="s">
        <v>7823</v>
      </c>
      <c r="FM16" s="1513" t="s">
        <v>7800</v>
      </c>
      <c r="FN16" s="1513" t="s">
        <v>4129</v>
      </c>
      <c r="FO16" s="1513" t="s">
        <v>7188</v>
      </c>
      <c r="FP16" s="1513" t="s">
        <v>65</v>
      </c>
      <c r="FQ16" s="1513" t="s">
        <v>7862</v>
      </c>
      <c r="GC16" s="597" t="s">
        <v>7863</v>
      </c>
      <c r="GD16" s="597" t="str">
        <f t="shared" si="12"/>
        <v>// Force of Will (swift; FP; all allies within 6 squares) • Force, Talent
Allies within range gain +2 to Will Defense until the end of the encounter</v>
      </c>
      <c r="GG16" s="569" t="b">
        <v>1</v>
      </c>
      <c r="GH16" s="8" t="str">
        <f>IF(FN16="Talent",INDEX(TalentsTable,MATCH(FK16,TalentsTableList,0),13),"")</f>
        <v>TFU 24</v>
      </c>
      <c r="GI16" s="1512" t="str">
        <f t="shared" si="8"/>
        <v/>
      </c>
      <c r="GJ16" s="1512" t="str">
        <f t="shared" ca="1" si="9"/>
        <v/>
      </c>
      <c r="GK16" s="456" t="str">
        <f t="shared" si="10"/>
        <v>// Force of Will (swift; FP; all allies within 6 squares) • Force, Talent
Allies within range gain +2 to Will Defense until the end of the encounter</v>
      </c>
      <c r="GL16" s="1606" t="s">
        <v>8697</v>
      </c>
      <c r="GM16" s="1616">
        <v>1</v>
      </c>
      <c r="GN16" s="1616"/>
      <c r="GO16" s="1635" t="s">
        <v>8746</v>
      </c>
      <c r="GP16" s="1639" t="s">
        <v>8756</v>
      </c>
      <c r="GQ16" s="1604"/>
      <c r="GR16" s="569"/>
      <c r="GU16" s="1639"/>
    </row>
    <row r="17" spans="8:245">
      <c r="H17" s="12" t="s">
        <v>907</v>
      </c>
      <c r="I17" s="3" t="s">
        <v>169</v>
      </c>
      <c r="J17" s="3">
        <v>2000</v>
      </c>
      <c r="K17" s="3">
        <v>1</v>
      </c>
      <c r="L17" s="3" t="s">
        <v>3735</v>
      </c>
      <c r="N17" s="3" t="s">
        <v>497</v>
      </c>
      <c r="Q17" s="1177" t="s">
        <v>908</v>
      </c>
      <c r="R17" s="565"/>
      <c r="S17" s="565"/>
      <c r="T17" s="565"/>
      <c r="U17" s="565"/>
      <c r="V17" s="565"/>
      <c r="W17" s="12" t="s">
        <v>2020</v>
      </c>
      <c r="X17" s="3" t="s">
        <v>173</v>
      </c>
      <c r="Y17" s="3" t="s">
        <v>160</v>
      </c>
      <c r="Z17" s="3" t="s">
        <v>200</v>
      </c>
      <c r="AA17" s="8" t="s">
        <v>2020</v>
      </c>
      <c r="AB17" s="569" t="s">
        <v>3983</v>
      </c>
      <c r="AC17" s="1358" t="s">
        <v>6639</v>
      </c>
      <c r="AD17" s="581" t="str">
        <f t="shared" si="13"/>
        <v>Askar (clan) Legacy (Denied)</v>
      </c>
      <c r="AE17" s="616" t="s">
        <v>3985</v>
      </c>
      <c r="AF17" s="616" t="s">
        <v>3986</v>
      </c>
      <c r="AH17" s="1183" t="s">
        <v>912</v>
      </c>
      <c r="AI17" s="3" t="s">
        <v>1192</v>
      </c>
      <c r="AJ17" s="3" t="s">
        <v>169</v>
      </c>
      <c r="AK17" s="3">
        <v>300</v>
      </c>
      <c r="AL17" s="3">
        <v>1</v>
      </c>
      <c r="AQ17" s="1176" t="s">
        <v>4020</v>
      </c>
      <c r="AR17" s="1177"/>
      <c r="AS17" s="12" t="s">
        <v>2337</v>
      </c>
      <c r="AT17" s="569">
        <v>2</v>
      </c>
      <c r="AW17" s="3">
        <v>1</v>
      </c>
      <c r="AY17" s="569" t="s">
        <v>4084</v>
      </c>
      <c r="BA17" s="742" t="s">
        <v>4142</v>
      </c>
      <c r="BB17">
        <v>1</v>
      </c>
      <c r="BT17" s="12" t="s">
        <v>8925</v>
      </c>
      <c r="BU17" s="569">
        <v>20000</v>
      </c>
      <c r="BV17" s="569">
        <v>12</v>
      </c>
      <c r="BW17" s="569">
        <v>2</v>
      </c>
      <c r="BX17" s="569">
        <v>15</v>
      </c>
      <c r="BY17" s="569" t="s">
        <v>149</v>
      </c>
      <c r="BZ17" s="3" t="s">
        <v>4615</v>
      </c>
      <c r="CA17" s="569" t="s">
        <v>4359</v>
      </c>
      <c r="CB17" s="8" t="s">
        <v>7081</v>
      </c>
      <c r="CR17" s="1704"/>
      <c r="CS17" s="1704"/>
      <c r="CT17" s="1704"/>
      <c r="CU17" s="1704"/>
      <c r="CV17" s="1704"/>
      <c r="CW17" s="1704"/>
      <c r="CX17" s="1704"/>
      <c r="CY17" s="1704"/>
      <c r="CZ17" s="1704"/>
      <c r="DA17" s="570" t="s">
        <v>195</v>
      </c>
      <c r="DB17" s="570" t="s">
        <v>195</v>
      </c>
      <c r="DC17" s="570" t="s">
        <v>195</v>
      </c>
      <c r="DD17" s="570" t="s">
        <v>195</v>
      </c>
      <c r="DE17" s="570" t="s">
        <v>195</v>
      </c>
      <c r="DF17" s="1104"/>
      <c r="DG17" s="1104"/>
      <c r="DW17" s="1358" t="s">
        <v>3989</v>
      </c>
      <c r="EF17" s="1323" t="s">
        <v>7586</v>
      </c>
      <c r="EG17" s="3" t="s">
        <v>195</v>
      </c>
      <c r="EH17" s="3" t="s">
        <v>3717</v>
      </c>
      <c r="EI17" s="8" t="s">
        <v>7587</v>
      </c>
      <c r="EL17" s="1323" t="s">
        <v>7670</v>
      </c>
      <c r="EM17" s="1489" t="s">
        <v>7671</v>
      </c>
      <c r="EN17" s="19" t="s">
        <v>7672</v>
      </c>
      <c r="EO17" s="19" t="s">
        <v>7645</v>
      </c>
      <c r="EP17" s="19" t="str">
        <f>IF(NOT(ISERROR(FIND("cost factor",EM17,1))),LEFT(EM17,LEN(EM17)-(LEN(EM17)-FIND("x",EM17,1))-1),LEFT(EM17,LEN(EM17)-(LEN(EM17)-FIND("kg",EM17,1))-1))</f>
        <v xml:space="preserve">20,000 </v>
      </c>
      <c r="EQ17" s="1473">
        <f t="shared" si="0"/>
        <v>2</v>
      </c>
      <c r="ER17" s="3">
        <f t="shared" si="1"/>
        <v>40000</v>
      </c>
      <c r="ES17" s="19" t="str">
        <f t="shared" si="11"/>
        <v xml:space="preserve">20 </v>
      </c>
      <c r="ET17" s="3">
        <f t="shared" si="3"/>
        <v>2</v>
      </c>
      <c r="EU17" s="8">
        <f t="shared" si="6"/>
        <v>40</v>
      </c>
      <c r="EV17" s="1478" t="s">
        <v>7788</v>
      </c>
      <c r="EW17" s="954">
        <f>-5</f>
        <v>-5</v>
      </c>
      <c r="FA17" s="1478" t="s">
        <v>461</v>
      </c>
      <c r="FE17" s="1478" t="s">
        <v>7158</v>
      </c>
      <c r="FF17" s="1478"/>
      <c r="FG17" s="1478" t="s">
        <v>7766</v>
      </c>
      <c r="FH17" s="1478" t="s">
        <v>57</v>
      </c>
      <c r="FI17" s="1478"/>
      <c r="FJ17" s="954" t="s">
        <v>7152</v>
      </c>
      <c r="FK17" s="1323" t="s">
        <v>6359</v>
      </c>
      <c r="FL17" s="1493" t="s">
        <v>7823</v>
      </c>
      <c r="FM17" s="1513" t="s">
        <v>7800</v>
      </c>
      <c r="FN17" s="1513" t="s">
        <v>4129</v>
      </c>
      <c r="FQ17" s="597" t="s">
        <v>7882</v>
      </c>
      <c r="GC17" s="597" t="s">
        <v>7883</v>
      </c>
      <c r="GD17" s="597" t="str">
        <f t="shared" si="12"/>
        <v>// Gradual Resistance• Force, Talent
Gain a +2 Force bonus to all defenses against further attacks from the same type of Force power until the end of the encounter</v>
      </c>
      <c r="GG17" s="569" t="b">
        <v>1</v>
      </c>
      <c r="GH17" s="8" t="str">
        <f>IF(FN17="Talent",INDEX(TalentsTable,MATCH(FK17,TalentsTableList,0),13),"")</f>
        <v>RE 23</v>
      </c>
      <c r="GI17" s="1512" t="str">
        <f t="shared" si="8"/>
        <v/>
      </c>
      <c r="GJ17" s="1512" t="str">
        <f t="shared" ca="1" si="9"/>
        <v/>
      </c>
      <c r="GK17" s="456" t="str">
        <f t="shared" si="10"/>
        <v>// Gradual Resistance• Force, Talent
Gain a +2 Force bonus to all defenses against further attacks from the same type of Force power until the end of the encounter</v>
      </c>
      <c r="GL17" s="1606" t="s">
        <v>8698</v>
      </c>
      <c r="GM17" s="1616">
        <v>1</v>
      </c>
      <c r="GN17" s="1616"/>
      <c r="GO17" s="1635" t="s">
        <v>8746</v>
      </c>
      <c r="GP17" s="1639" t="s">
        <v>8766</v>
      </c>
      <c r="GQ17" s="1604"/>
      <c r="GR17" s="569"/>
      <c r="GU17" s="1639"/>
    </row>
    <row r="18" spans="8:245">
      <c r="H18" s="12" t="s">
        <v>925</v>
      </c>
      <c r="I18" s="3" t="s">
        <v>169</v>
      </c>
      <c r="J18" s="3">
        <v>200</v>
      </c>
      <c r="K18" s="3">
        <v>1</v>
      </c>
      <c r="L18" s="3" t="s">
        <v>3735</v>
      </c>
      <c r="Q18" s="1177" t="s">
        <v>926</v>
      </c>
      <c r="R18" s="565"/>
      <c r="S18" s="565"/>
      <c r="T18" s="565"/>
      <c r="U18" s="565"/>
      <c r="V18" s="565"/>
      <c r="W18" s="12" t="s">
        <v>421</v>
      </c>
      <c r="X18" s="3" t="s">
        <v>173</v>
      </c>
      <c r="Y18" s="3" t="s">
        <v>204</v>
      </c>
      <c r="Z18" s="3" t="s">
        <v>200</v>
      </c>
      <c r="AA18" s="8" t="s">
        <v>421</v>
      </c>
      <c r="AB18" s="569" t="s">
        <v>3982</v>
      </c>
      <c r="AC18" s="1358" t="s">
        <v>6639</v>
      </c>
      <c r="AD18" s="581" t="str">
        <f t="shared" si="13"/>
        <v>Askar (clan) Legacy (Embraced)</v>
      </c>
      <c r="AE18" s="616" t="s">
        <v>3985</v>
      </c>
      <c r="AF18" s="616" t="s">
        <v>3986</v>
      </c>
      <c r="AH18" s="1183" t="s">
        <v>952</v>
      </c>
      <c r="AI18" s="3" t="s">
        <v>1213</v>
      </c>
      <c r="AJ18" s="3" t="s">
        <v>169</v>
      </c>
      <c r="AK18" s="3">
        <v>100</v>
      </c>
      <c r="AL18" s="3">
        <v>0</v>
      </c>
      <c r="AQ18" s="1176"/>
      <c r="AR18" s="1177"/>
      <c r="AS18" s="12" t="s">
        <v>2347</v>
      </c>
      <c r="AT18" s="3">
        <v>5</v>
      </c>
      <c r="AU18" s="3">
        <v>5</v>
      </c>
      <c r="AY18" s="3" t="s">
        <v>4083</v>
      </c>
      <c r="BA18" s="742" t="s">
        <v>4143</v>
      </c>
      <c r="BB18">
        <v>1</v>
      </c>
      <c r="BT18" s="12" t="s">
        <v>4623</v>
      </c>
      <c r="BU18" s="3">
        <v>8100</v>
      </c>
      <c r="BV18" s="3">
        <v>9</v>
      </c>
      <c r="BW18" s="3">
        <v>3</v>
      </c>
      <c r="BX18" s="3">
        <v>9</v>
      </c>
      <c r="BY18" s="3" t="s">
        <v>149</v>
      </c>
      <c r="BZ18" s="3" t="s">
        <v>4615</v>
      </c>
      <c r="CA18" s="3" t="s">
        <v>4359</v>
      </c>
      <c r="CB18" s="8" t="s">
        <v>4623</v>
      </c>
      <c r="CR18" s="1704"/>
      <c r="CS18" s="1704"/>
      <c r="CT18" s="1704"/>
      <c r="CU18" s="1704"/>
      <c r="CV18" s="1704"/>
      <c r="CW18" s="1704"/>
      <c r="CX18" s="1704"/>
      <c r="CY18" s="1704"/>
      <c r="CZ18" s="1704"/>
      <c r="DA18" s="570" t="s">
        <v>195</v>
      </c>
      <c r="DB18" s="570" t="s">
        <v>195</v>
      </c>
      <c r="DC18" s="570" t="s">
        <v>195</v>
      </c>
      <c r="DD18" s="570" t="s">
        <v>195</v>
      </c>
      <c r="DE18" s="570" t="s">
        <v>195</v>
      </c>
      <c r="DF18" s="1104"/>
      <c r="DG18" s="1104"/>
      <c r="DW18" s="1358" t="s">
        <v>3989</v>
      </c>
      <c r="EF18" s="1323" t="s">
        <v>7604</v>
      </c>
      <c r="EG18" s="3" t="s">
        <v>195</v>
      </c>
      <c r="EH18" s="3" t="s">
        <v>3717</v>
      </c>
      <c r="EI18" s="8" t="s">
        <v>7605</v>
      </c>
      <c r="EL18" s="1323" t="s">
        <v>7673</v>
      </c>
      <c r="EM18" s="1489">
        <v>5000</v>
      </c>
      <c r="EN18" s="19" t="s">
        <v>7642</v>
      </c>
      <c r="EO18" s="19" t="s">
        <v>7674</v>
      </c>
      <c r="EP18" s="1489">
        <f>EM18</f>
        <v>5000</v>
      </c>
      <c r="EQ18" s="1473">
        <f t="shared" si="0"/>
        <v>1</v>
      </c>
      <c r="ER18" s="3">
        <f t="shared" si="1"/>
        <v>5000</v>
      </c>
      <c r="ES18" s="19" t="str">
        <f t="shared" si="11"/>
        <v xml:space="preserve">1 </v>
      </c>
      <c r="ET18" s="3">
        <f t="shared" si="3"/>
        <v>1</v>
      </c>
      <c r="EU18" s="8">
        <f t="shared" si="6"/>
        <v>1</v>
      </c>
      <c r="EV18" s="1478" t="s">
        <v>7767</v>
      </c>
      <c r="EW18" s="954">
        <f ca="1">IF(DualWeap3&gt;0,0,IF(DualWeap2&gt;0,-2,IF(DualWeap1&gt;0,-5,-10)))</f>
        <v>-10</v>
      </c>
      <c r="FE18" s="1478" t="s">
        <v>7158</v>
      </c>
      <c r="FF18" s="1478"/>
      <c r="FG18" s="954" t="str">
        <f ca="1">IF(EW18&lt;&gt;0,EW18&amp;" penalty to ","")&amp;"attack with two different weapons"</f>
        <v>-10 penalty to attack with two different weapons</v>
      </c>
      <c r="FH18" s="1478" t="s">
        <v>57</v>
      </c>
      <c r="FI18" s="1478"/>
      <c r="FJ18" s="954" t="s">
        <v>7152</v>
      </c>
      <c r="FK18" s="1323" t="s">
        <v>2604</v>
      </c>
      <c r="FL18" s="1493" t="s">
        <v>7823</v>
      </c>
      <c r="FM18" s="1513" t="s">
        <v>4129</v>
      </c>
      <c r="FN18" s="1513" t="s">
        <v>4129</v>
      </c>
      <c r="FO18" s="569" t="s">
        <v>7188</v>
      </c>
      <c r="FQ18" s="1509" t="s">
        <v>7895</v>
      </c>
      <c r="GC18" s="597" t="str">
        <f>"Gain +"&amp;Talents!M68&amp;" to Reflex defense until start of next turn"</f>
        <v>Gain +0 to Reflex defense until start of next turn</v>
      </c>
      <c r="GD18" s="597" t="str">
        <f t="shared" si="12"/>
        <v>// Lightsaber Defense (swift; when wielding a lightsaber) • Talent
Gain +0 to Reflex defense until start of next turn</v>
      </c>
      <c r="GG18" s="569" t="b">
        <v>1</v>
      </c>
      <c r="GH18" s="8">
        <f>IF(FN18="Talent",INDEX(TalentsTable,MATCH(FK18,TalentsTableList,0),13),"")</f>
        <v>41</v>
      </c>
      <c r="GI18" s="1512" t="str">
        <f t="shared" si="8"/>
        <v/>
      </c>
      <c r="GJ18" s="1512" t="str">
        <f t="shared" ca="1" si="9"/>
        <v/>
      </c>
      <c r="GK18" s="456" t="str">
        <f t="shared" si="10"/>
        <v>// Lightsaber Defense (swift; when wielding a lightsaber) • Talent
Gain +0 to Reflex defense until start of next turn</v>
      </c>
      <c r="GL18" s="1606" t="s">
        <v>8699</v>
      </c>
      <c r="GM18" s="1616">
        <v>1</v>
      </c>
      <c r="GN18" s="1616"/>
      <c r="GO18" s="1635" t="s">
        <v>8746</v>
      </c>
      <c r="GP18" s="1639" t="s">
        <v>8757</v>
      </c>
      <c r="GQ18" s="1604"/>
      <c r="GR18" s="569"/>
      <c r="GU18" s="1639"/>
    </row>
    <row r="19" spans="8:245">
      <c r="H19" s="12" t="s">
        <v>947</v>
      </c>
      <c r="I19" s="3" t="s">
        <v>169</v>
      </c>
      <c r="J19" s="3">
        <v>500</v>
      </c>
      <c r="K19" s="3">
        <v>1</v>
      </c>
      <c r="L19" s="3" t="s">
        <v>3735</v>
      </c>
      <c r="Q19" s="1177" t="s">
        <v>948</v>
      </c>
      <c r="R19" s="565"/>
      <c r="S19" s="565"/>
      <c r="T19" s="565"/>
      <c r="U19" s="565"/>
      <c r="V19" s="565"/>
      <c r="W19" s="12" t="s">
        <v>495</v>
      </c>
      <c r="X19" s="3" t="s">
        <v>272</v>
      </c>
      <c r="Y19" s="3" t="s">
        <v>204</v>
      </c>
      <c r="Z19" s="3" t="s">
        <v>200</v>
      </c>
      <c r="AA19" s="8" t="s">
        <v>496</v>
      </c>
      <c r="AB19" s="569" t="s">
        <v>3983</v>
      </c>
      <c r="AC19" s="570" t="s">
        <v>6650</v>
      </c>
      <c r="AD19" s="581" t="str">
        <f t="shared" si="13"/>
        <v>-bacca (suffix) Legacy (Denied)</v>
      </c>
      <c r="AE19" s="616" t="s">
        <v>3985</v>
      </c>
      <c r="AF19" s="616" t="s">
        <v>3986</v>
      </c>
      <c r="AH19" s="1183" t="s">
        <v>1035</v>
      </c>
      <c r="AQ19" s="1176"/>
      <c r="AR19" s="1177"/>
      <c r="AS19" s="12" t="str">
        <f t="shared" ref="AS19:AS38" si="14">"Dreadful Rage and Power Attack ("&amp;AT19-5&amp;")"</f>
        <v>Dreadful Rage and Power Attack (-1)</v>
      </c>
      <c r="AT19" s="3">
        <v>4</v>
      </c>
      <c r="AU19" s="3">
        <f t="shared" ref="AU19:AU38" si="15">(AT19-5)*-1+5</f>
        <v>6</v>
      </c>
      <c r="AV19" s="3">
        <f t="shared" ref="AV19:AV38" si="16">AU19*2-5</f>
        <v>7</v>
      </c>
      <c r="AY19" s="3" t="s">
        <v>4083</v>
      </c>
      <c r="BA19" s="742" t="s">
        <v>3372</v>
      </c>
      <c r="BB19">
        <v>1</v>
      </c>
      <c r="BT19" s="12" t="s">
        <v>4624</v>
      </c>
      <c r="BU19" s="3">
        <v>12100</v>
      </c>
      <c r="BV19" s="3">
        <v>11</v>
      </c>
      <c r="BW19" s="3">
        <v>1</v>
      </c>
      <c r="BX19" s="3">
        <v>20</v>
      </c>
      <c r="BY19" s="3" t="s">
        <v>149</v>
      </c>
      <c r="CA19" s="3" t="s">
        <v>4359</v>
      </c>
      <c r="CB19" s="8" t="s">
        <v>4625</v>
      </c>
      <c r="CR19" s="1704"/>
      <c r="CS19" s="1704"/>
      <c r="CT19" s="1704"/>
      <c r="CU19" s="1704"/>
      <c r="CV19" s="1704"/>
      <c r="CW19" s="1704"/>
      <c r="CX19" s="1704"/>
      <c r="CY19" s="1704"/>
      <c r="CZ19" s="1704"/>
      <c r="DA19" s="570" t="s">
        <v>195</v>
      </c>
      <c r="DB19" s="570" t="s">
        <v>195</v>
      </c>
      <c r="DC19" s="570" t="s">
        <v>195</v>
      </c>
      <c r="DD19" s="570" t="s">
        <v>195</v>
      </c>
      <c r="DE19" s="570" t="s">
        <v>195</v>
      </c>
      <c r="DF19" s="1104"/>
      <c r="DG19" s="1104"/>
      <c r="DW19" s="1358" t="s">
        <v>3990</v>
      </c>
      <c r="EF19" s="1323" t="s">
        <v>7557</v>
      </c>
      <c r="EG19" s="3" t="s">
        <v>195</v>
      </c>
      <c r="EH19" s="3" t="s">
        <v>3717</v>
      </c>
      <c r="EI19" s="8" t="s">
        <v>7558</v>
      </c>
      <c r="EL19" s="1323" t="s">
        <v>7675</v>
      </c>
      <c r="EM19" s="1489">
        <v>1000</v>
      </c>
      <c r="EN19" s="19" t="s">
        <v>7642</v>
      </c>
      <c r="EP19" s="1489">
        <f>EM19</f>
        <v>1000</v>
      </c>
      <c r="EQ19" s="1473">
        <f t="shared" si="0"/>
        <v>1</v>
      </c>
      <c r="ER19" s="3">
        <f t="shared" si="1"/>
        <v>1000</v>
      </c>
      <c r="ES19" s="19" t="str">
        <f t="shared" si="11"/>
        <v xml:space="preserve">1 </v>
      </c>
      <c r="ET19" s="3">
        <f t="shared" si="3"/>
        <v>1</v>
      </c>
      <c r="EU19" s="8">
        <f t="shared" si="6"/>
        <v>1</v>
      </c>
      <c r="EV19" s="954" t="s">
        <v>2383</v>
      </c>
      <c r="EW19" s="954">
        <v>2</v>
      </c>
      <c r="FB19" s="954" t="s">
        <v>4083</v>
      </c>
      <c r="FG19" s="570" t="s">
        <v>7768</v>
      </c>
      <c r="FH19" s="1478" t="s">
        <v>57</v>
      </c>
      <c r="FI19" s="1478"/>
      <c r="FJ19" s="954" t="s">
        <v>3813</v>
      </c>
      <c r="FK19" s="1323" t="s">
        <v>2592</v>
      </c>
      <c r="FL19" s="1493" t="s">
        <v>7823</v>
      </c>
      <c r="FM19" s="1513" t="s">
        <v>7800</v>
      </c>
      <c r="FN19" s="1513" t="s">
        <v>4129</v>
      </c>
      <c r="FQ19" s="597" t="s">
        <v>7880</v>
      </c>
      <c r="GC19" s="1533" t="s">
        <v>7881</v>
      </c>
      <c r="GD19" s="597" t="str">
        <f t="shared" si="12"/>
        <v>// Resist the Dark Side• Force, Talent
+5 to all defenses vs. Force powers with the [dark side] descriptor and any Force power from a dark sider</v>
      </c>
      <c r="GG19" s="569" t="b">
        <v>1</v>
      </c>
      <c r="GH19" s="8">
        <f>IF(FN19="Talent",INDEX(TalentsTable,MATCH(FK19,TalentsTableList,0),13),"")</f>
        <v>41</v>
      </c>
      <c r="GI19" s="1512" t="str">
        <f t="shared" si="8"/>
        <v/>
      </c>
      <c r="GJ19" s="1512" t="str">
        <f t="shared" ca="1" si="9"/>
        <v/>
      </c>
      <c r="GK19" s="456" t="str">
        <f t="shared" si="10"/>
        <v>// Resist the Dark Side• Force, Talent
+5 to all defenses vs. Force powers with the [dark side] descriptor and any Force power from a dark sider</v>
      </c>
      <c r="GL19" s="1606" t="s">
        <v>8726</v>
      </c>
      <c r="GM19" s="1616">
        <v>1</v>
      </c>
      <c r="GN19" s="1616"/>
      <c r="GO19" s="1635" t="s">
        <v>8746</v>
      </c>
      <c r="GP19" s="1639" t="s">
        <v>8767</v>
      </c>
      <c r="GQ19" s="1604"/>
      <c r="GR19" s="569"/>
      <c r="GU19" s="1639"/>
    </row>
    <row r="20" spans="8:245">
      <c r="H20" s="12" t="s">
        <v>1008</v>
      </c>
      <c r="I20" s="3" t="s">
        <v>169</v>
      </c>
      <c r="J20" s="3">
        <v>100</v>
      </c>
      <c r="K20" s="3">
        <v>0</v>
      </c>
      <c r="L20" s="3" t="s">
        <v>3735</v>
      </c>
      <c r="R20" s="565"/>
      <c r="S20" s="565"/>
      <c r="T20" s="565"/>
      <c r="U20" s="565"/>
      <c r="V20" s="565"/>
      <c r="W20" s="12" t="s">
        <v>1110</v>
      </c>
      <c r="X20" s="3" t="s">
        <v>155</v>
      </c>
      <c r="Y20" s="3" t="s">
        <v>204</v>
      </c>
      <c r="Z20" s="3" t="s">
        <v>200</v>
      </c>
      <c r="AA20" s="8" t="s">
        <v>1111</v>
      </c>
      <c r="AB20" s="569" t="s">
        <v>3982</v>
      </c>
      <c r="AC20" s="570" t="s">
        <v>6650</v>
      </c>
      <c r="AD20" s="581" t="str">
        <f t="shared" si="13"/>
        <v>-bacca (suffix) Legacy (Embraced)</v>
      </c>
      <c r="AE20" s="616" t="s">
        <v>3985</v>
      </c>
      <c r="AF20" s="616" t="s">
        <v>3986</v>
      </c>
      <c r="AH20" s="1183" t="s">
        <v>1055</v>
      </c>
      <c r="AI20" s="3" t="s">
        <v>3752</v>
      </c>
      <c r="AK20" s="3">
        <v>0.5</v>
      </c>
      <c r="AL20" s="3">
        <v>-1</v>
      </c>
      <c r="AQ20" s="1176"/>
      <c r="AR20" s="1177"/>
      <c r="AS20" s="12" t="str">
        <f t="shared" si="14"/>
        <v>Dreadful Rage and Power Attack (-10)</v>
      </c>
      <c r="AT20" s="3">
        <v>-5</v>
      </c>
      <c r="AU20" s="3">
        <f t="shared" si="15"/>
        <v>15</v>
      </c>
      <c r="AV20" s="3">
        <f t="shared" si="16"/>
        <v>25</v>
      </c>
      <c r="AY20" s="3" t="s">
        <v>4083</v>
      </c>
      <c r="BA20" s="742" t="s">
        <v>4144</v>
      </c>
      <c r="BB20">
        <v>1</v>
      </c>
      <c r="CR20" s="1704"/>
      <c r="CS20" s="1704"/>
      <c r="CT20" s="1704"/>
      <c r="CU20" s="1704"/>
      <c r="CV20" s="1704"/>
      <c r="CW20" s="1704"/>
      <c r="CX20" s="1704"/>
      <c r="CY20" s="1704"/>
      <c r="CZ20" s="1704"/>
      <c r="DA20" s="570" t="s">
        <v>195</v>
      </c>
      <c r="DB20" s="570" t="s">
        <v>195</v>
      </c>
      <c r="DC20" s="570" t="s">
        <v>195</v>
      </c>
      <c r="DD20" s="570" t="s">
        <v>195</v>
      </c>
      <c r="DE20" s="570" t="s">
        <v>195</v>
      </c>
      <c r="DF20" s="1104"/>
      <c r="DG20" s="1104"/>
      <c r="DW20" s="1358" t="s">
        <v>3990</v>
      </c>
      <c r="EF20" s="1323" t="s">
        <v>7545</v>
      </c>
      <c r="EG20" s="3" t="s">
        <v>238</v>
      </c>
      <c r="EH20" s="3" t="s">
        <v>195</v>
      </c>
      <c r="EI20" s="8" t="s">
        <v>7546</v>
      </c>
      <c r="EL20" s="1323" t="s">
        <v>7676</v>
      </c>
      <c r="EM20" s="1489">
        <v>2500</v>
      </c>
      <c r="EN20" s="19" t="s">
        <v>7677</v>
      </c>
      <c r="EO20" s="19" t="s">
        <v>285</v>
      </c>
      <c r="EP20" s="1489">
        <f>EM20</f>
        <v>2500</v>
      </c>
      <c r="EQ20" s="1473">
        <f t="shared" si="0"/>
        <v>1</v>
      </c>
      <c r="ER20" s="3">
        <f t="shared" si="1"/>
        <v>2500</v>
      </c>
      <c r="ES20" s="19" t="str">
        <f t="shared" si="11"/>
        <v xml:space="preserve">1 </v>
      </c>
      <c r="ET20" s="3">
        <f t="shared" si="3"/>
        <v>1</v>
      </c>
      <c r="EU20" s="8">
        <f t="shared" si="6"/>
        <v>1</v>
      </c>
      <c r="EV20" s="954" t="s">
        <v>2418</v>
      </c>
      <c r="EW20" s="954">
        <v>-5</v>
      </c>
      <c r="EZ20" s="954">
        <v>2</v>
      </c>
      <c r="FA20" s="1527" t="s">
        <v>7875</v>
      </c>
      <c r="FB20" s="954" t="s">
        <v>4083</v>
      </c>
      <c r="FH20" s="1478" t="s">
        <v>57</v>
      </c>
      <c r="FI20" s="1478"/>
      <c r="FJ20" s="954" t="s">
        <v>3813</v>
      </c>
      <c r="FK20" s="1323" t="s">
        <v>7848</v>
      </c>
      <c r="FL20" s="1493" t="s">
        <v>7823</v>
      </c>
      <c r="FM20" s="1513" t="s">
        <v>7849</v>
      </c>
      <c r="FN20" s="1513" t="s">
        <v>7849</v>
      </c>
      <c r="FO20" s="3" t="str">
        <f>IF(Talents!M568&gt;0,"reaction","swift")</f>
        <v>swift</v>
      </c>
      <c r="FP20" s="569" t="str">
        <f>IF(Talents!M567&gt;0,"encounter, 2/day","daily")</f>
        <v>daily</v>
      </c>
      <c r="GC20" s="597" t="str">
        <f>"Heal "&amp;INT(HitPoints/4)&amp;IF(Talents!M92&gt;0,"+"&amp;MAX(10,FP)&amp;"d6","")&amp;" hit points"</f>
        <v>Heal 0 hit points</v>
      </c>
      <c r="GD20" s="597" t="str">
        <f t="shared" si="12"/>
        <v>// Second Wind (swift; daily) • Healing
Heal 0 hit points</v>
      </c>
      <c r="GG20" s="569" t="b">
        <v>1</v>
      </c>
      <c r="GH20" s="8" t="s">
        <v>7850</v>
      </c>
      <c r="GI20" s="1512" t="str">
        <f t="shared" si="8"/>
        <v/>
      </c>
      <c r="GJ20" s="1512" t="str">
        <f t="shared" ca="1" si="9"/>
        <v/>
      </c>
      <c r="GK20" s="456" t="str">
        <f t="shared" si="10"/>
        <v>// Second Wind (swift; daily) • Healing
Heal 0 hit points</v>
      </c>
      <c r="GL20" s="1606" t="s">
        <v>8700</v>
      </c>
      <c r="GM20" s="1616">
        <v>1</v>
      </c>
      <c r="GN20" s="1616"/>
      <c r="GO20" s="1635" t="s">
        <v>8746</v>
      </c>
      <c r="GP20" s="1639" t="s">
        <v>8768</v>
      </c>
      <c r="GQ20" s="1604"/>
      <c r="GR20" s="569"/>
      <c r="GU20" s="1639"/>
    </row>
    <row r="21" spans="8:245">
      <c r="H21" s="12" t="s">
        <v>1132</v>
      </c>
      <c r="I21" s="3" t="s">
        <v>169</v>
      </c>
      <c r="J21" s="3">
        <v>1000</v>
      </c>
      <c r="K21" s="3">
        <v>1</v>
      </c>
      <c r="L21" s="3" t="s">
        <v>3735</v>
      </c>
      <c r="P21" s="1176" t="s">
        <v>1133</v>
      </c>
      <c r="Q21" s="1177" t="s">
        <v>1133</v>
      </c>
      <c r="R21" s="565"/>
      <c r="S21" s="565"/>
      <c r="T21" s="565"/>
      <c r="U21" s="565"/>
      <c r="V21" s="565"/>
      <c r="W21" s="12" t="s">
        <v>2201</v>
      </c>
      <c r="X21" s="3" t="s">
        <v>2159</v>
      </c>
      <c r="Y21" s="3" t="s">
        <v>204</v>
      </c>
      <c r="Z21" s="3" t="s">
        <v>200</v>
      </c>
      <c r="AA21" s="8" t="s">
        <v>2202</v>
      </c>
      <c r="AB21" s="569" t="s">
        <v>3983</v>
      </c>
      <c r="AC21" s="1358" t="s">
        <v>6645</v>
      </c>
      <c r="AD21" s="581" t="str">
        <f t="shared" si="13"/>
        <v>Bomu (clan) Legacy (Denied)</v>
      </c>
      <c r="AE21" s="616" t="s">
        <v>3985</v>
      </c>
      <c r="AF21" s="616" t="s">
        <v>3986</v>
      </c>
      <c r="AH21" s="1183" t="s">
        <v>1078</v>
      </c>
      <c r="AS21" s="12" t="str">
        <f t="shared" si="14"/>
        <v>Dreadful Rage and Power Attack (-11)</v>
      </c>
      <c r="AT21" s="3">
        <v>-6</v>
      </c>
      <c r="AU21" s="3">
        <f t="shared" si="15"/>
        <v>16</v>
      </c>
      <c r="AV21" s="3">
        <f t="shared" si="16"/>
        <v>27</v>
      </c>
      <c r="AY21" s="3" t="s">
        <v>4083</v>
      </c>
      <c r="BA21" s="742" t="s">
        <v>4145</v>
      </c>
      <c r="BB21">
        <v>1</v>
      </c>
      <c r="CR21" s="1704"/>
      <c r="CS21" s="1704"/>
      <c r="CT21" s="1704"/>
      <c r="CU21" s="1704"/>
      <c r="CV21" s="1704"/>
      <c r="CW21" s="1704"/>
      <c r="CX21" s="1704"/>
      <c r="CY21" s="1704"/>
      <c r="CZ21" s="1704"/>
      <c r="DA21" s="570" t="s">
        <v>195</v>
      </c>
      <c r="DB21" s="570" t="s">
        <v>195</v>
      </c>
      <c r="DC21" s="570" t="s">
        <v>195</v>
      </c>
      <c r="DD21" s="570" t="s">
        <v>195</v>
      </c>
      <c r="DE21" s="570" t="s">
        <v>195</v>
      </c>
      <c r="DF21" s="1104"/>
      <c r="DG21" s="1104"/>
      <c r="DW21" s="1358" t="s">
        <v>6638</v>
      </c>
      <c r="EF21" s="1323" t="s">
        <v>7571</v>
      </c>
      <c r="EG21" s="3" t="s">
        <v>238</v>
      </c>
      <c r="EH21" s="3" t="s">
        <v>195</v>
      </c>
      <c r="EI21" s="8" t="s">
        <v>7572</v>
      </c>
      <c r="EL21" s="1323" t="s">
        <v>7678</v>
      </c>
      <c r="EM21" s="1489" t="s">
        <v>7679</v>
      </c>
      <c r="EN21" s="19" t="s">
        <v>7680</v>
      </c>
      <c r="EO21" s="19" t="s">
        <v>7649</v>
      </c>
      <c r="EP21" s="19" t="str">
        <f>IF(NOT(ISERROR(FIND("cost factor",EM21,1))),LEFT(EM21,LEN(EM21)-(LEN(EM21)-FIND("x",EM21,1))-1),LEFT(EM21,LEN(EM21)-(LEN(EM21)-FIND("kg",EM21,1))-1))</f>
        <v>10</v>
      </c>
      <c r="EQ21" s="1473">
        <f t="shared" si="0"/>
        <v>2</v>
      </c>
      <c r="ER21" s="3">
        <f t="shared" si="1"/>
        <v>20</v>
      </c>
      <c r="ES21" s="19" t="str">
        <f t="shared" si="11"/>
        <v xml:space="preserve">1 </v>
      </c>
      <c r="ET21" s="3">
        <f t="shared" si="3"/>
        <v>2</v>
      </c>
      <c r="EU21" s="8">
        <f t="shared" si="6"/>
        <v>2</v>
      </c>
      <c r="EV21" s="954" t="s">
        <v>2443</v>
      </c>
      <c r="EZ21" s="954">
        <v>1</v>
      </c>
      <c r="FB21" s="954" t="s">
        <v>4083</v>
      </c>
      <c r="FD21" s="954" t="s">
        <v>202</v>
      </c>
      <c r="FE21" s="1478" t="s">
        <v>7773</v>
      </c>
      <c r="FH21" s="1478" t="s">
        <v>202</v>
      </c>
      <c r="FI21" s="1478"/>
      <c r="FJ21" s="1478" t="s">
        <v>7152</v>
      </c>
      <c r="FK21" s="1323" t="s">
        <v>2597</v>
      </c>
      <c r="FL21" s="1493" t="s">
        <v>7823</v>
      </c>
      <c r="FM21" s="1513" t="s">
        <v>7800</v>
      </c>
      <c r="FN21" s="1513" t="s">
        <v>4129</v>
      </c>
      <c r="FO21" s="3" t="s">
        <v>7807</v>
      </c>
      <c r="FQ21" s="1509" t="s">
        <v>7890</v>
      </c>
      <c r="GC21" s="597" t="s">
        <v>7891</v>
      </c>
      <c r="GD21" s="597" t="str">
        <f t="shared" si="12"/>
        <v>// Steel Resolve (free action; when making a melee attack) • Force, Talent
Take a penalty of -1 to -5 on attack roll to add twice that value (+2 to +10) as an insight bonusto Will; lasts until beginning of next turn</v>
      </c>
      <c r="GG21" s="569" t="b">
        <v>1</v>
      </c>
      <c r="GH21" s="8" t="str">
        <f>IF(FN21="Talent",INDEX(TalentsTable,MATCH(FK21,TalentsTableList,0),13),"")</f>
        <v>TFU 24</v>
      </c>
      <c r="GI21" s="1512" t="str">
        <f t="shared" si="8"/>
        <v/>
      </c>
      <c r="GJ21" s="1512" t="str">
        <f t="shared" ca="1" si="9"/>
        <v/>
      </c>
      <c r="GK21" s="456" t="str">
        <f t="shared" si="10"/>
        <v>// Steel Resolve (free action; when making a melee attack) • Force, Talent
Take a penalty of -1 to -5 on attack roll to add twice that value (+2 to +10) as an insight bonusto Will; lasts until beginning of next turn</v>
      </c>
      <c r="GL21" s="1606" t="s">
        <v>196</v>
      </c>
      <c r="GM21" s="1616">
        <v>1</v>
      </c>
      <c r="GN21" s="1616"/>
      <c r="GO21" s="1635" t="s">
        <v>8746</v>
      </c>
      <c r="GP21" s="1639" t="s">
        <v>8769</v>
      </c>
      <c r="GQ21" s="1604"/>
      <c r="GR21" s="569"/>
      <c r="GU21" s="1639"/>
    </row>
    <row r="22" spans="8:245">
      <c r="H22" s="12" t="s">
        <v>1148</v>
      </c>
      <c r="I22" s="3" t="s">
        <v>169</v>
      </c>
      <c r="J22" s="3">
        <v>500</v>
      </c>
      <c r="K22" s="3">
        <v>0</v>
      </c>
      <c r="L22" s="3" t="s">
        <v>3735</v>
      </c>
      <c r="P22" s="1176" t="s">
        <v>1149</v>
      </c>
      <c r="Q22" s="1177" t="s">
        <v>1149</v>
      </c>
      <c r="W22" s="12" t="s">
        <v>1336</v>
      </c>
      <c r="X22" s="3" t="s">
        <v>169</v>
      </c>
      <c r="Y22" s="3" t="s">
        <v>204</v>
      </c>
      <c r="Z22" s="3" t="s">
        <v>200</v>
      </c>
      <c r="AA22" s="8" t="s">
        <v>1336</v>
      </c>
      <c r="AB22" s="569" t="s">
        <v>3982</v>
      </c>
      <c r="AC22" s="1358" t="s">
        <v>6645</v>
      </c>
      <c r="AD22" s="581" t="str">
        <f t="shared" si="13"/>
        <v>Bomu (clan) Legacy (Embraced)</v>
      </c>
      <c r="AE22" s="616" t="s">
        <v>3985</v>
      </c>
      <c r="AF22" s="616" t="s">
        <v>3986</v>
      </c>
      <c r="AH22" s="1183" t="s">
        <v>1137</v>
      </c>
      <c r="AS22" s="12" t="str">
        <f t="shared" si="14"/>
        <v>Dreadful Rage and Power Attack (-12)</v>
      </c>
      <c r="AT22" s="3">
        <v>-7</v>
      </c>
      <c r="AU22" s="3">
        <f t="shared" si="15"/>
        <v>17</v>
      </c>
      <c r="AV22" s="3">
        <f t="shared" si="16"/>
        <v>29</v>
      </c>
      <c r="AY22" s="3" t="s">
        <v>4083</v>
      </c>
      <c r="BA22" s="742" t="str">
        <f>"Greater Weapon Focus ("&amp;Feats!D100&amp;")"</f>
        <v>Greater Weapon Focus ()</v>
      </c>
      <c r="BB22">
        <v>1</v>
      </c>
      <c r="BU22" s="569"/>
      <c r="BV22" s="569"/>
      <c r="BW22" s="569"/>
      <c r="BX22" s="569"/>
      <c r="BY22" s="569"/>
      <c r="CA22" s="569"/>
      <c r="CR22" s="1704"/>
      <c r="CS22" s="1704"/>
      <c r="CT22" s="1704"/>
      <c r="CU22" s="1704"/>
      <c r="CV22" s="1704"/>
      <c r="CW22" s="1704"/>
      <c r="CX22" s="1704"/>
      <c r="CY22" s="1704"/>
      <c r="CZ22" s="1704"/>
      <c r="DA22" s="570" t="s">
        <v>195</v>
      </c>
      <c r="DB22" s="570" t="s">
        <v>195</v>
      </c>
      <c r="DC22" s="570" t="s">
        <v>195</v>
      </c>
      <c r="DD22" s="570" t="s">
        <v>195</v>
      </c>
      <c r="DE22" s="570" t="s">
        <v>195</v>
      </c>
      <c r="DF22" s="1104"/>
      <c r="DG22" s="1104"/>
      <c r="DW22" s="1358" t="s">
        <v>6638</v>
      </c>
      <c r="EF22" s="1323" t="s">
        <v>7582</v>
      </c>
      <c r="EG22" s="3" t="s">
        <v>195</v>
      </c>
      <c r="EH22" s="3" t="s">
        <v>3717</v>
      </c>
      <c r="EI22" s="8" t="s">
        <v>7583</v>
      </c>
      <c r="EL22" s="1323" t="s">
        <v>7681</v>
      </c>
      <c r="EM22" s="1489" t="s">
        <v>7663</v>
      </c>
      <c r="EN22" s="19" t="s">
        <v>7656</v>
      </c>
      <c r="EP22" s="19" t="str">
        <f>IF(NOT(ISERROR(FIND("cost factor",EM22,1))),LEFT(EM22,LEN(EM22)-(LEN(EM22)-FIND("x",EM22,1))-1),LEFT(EM22,LEN(EM22)-(LEN(EM22)-FIND("kg",EM22,1))-1))</f>
        <v xml:space="preserve">100 </v>
      </c>
      <c r="EQ22" s="1473">
        <f t="shared" si="0"/>
        <v>2</v>
      </c>
      <c r="ER22" s="3">
        <f t="shared" si="1"/>
        <v>200</v>
      </c>
      <c r="ES22" s="19" t="str">
        <f t="shared" si="11"/>
        <v xml:space="preserve">2 </v>
      </c>
      <c r="ET22" s="3">
        <f t="shared" si="3"/>
        <v>2</v>
      </c>
      <c r="EU22" s="8">
        <f t="shared" si="6"/>
        <v>4</v>
      </c>
      <c r="EV22" s="954" t="s">
        <v>2373</v>
      </c>
      <c r="EW22" s="954">
        <v>1</v>
      </c>
      <c r="EX22" s="954">
        <v>1</v>
      </c>
      <c r="FB22" s="954" t="s">
        <v>4084</v>
      </c>
      <c r="FG22" s="1478" t="s">
        <v>7774</v>
      </c>
      <c r="FH22" s="1478" t="s">
        <v>57</v>
      </c>
      <c r="FI22" s="1478"/>
      <c r="FJ22" s="1478" t="s">
        <v>7152</v>
      </c>
      <c r="FK22" s="1323" t="s">
        <v>2548</v>
      </c>
      <c r="FL22" s="1493" t="s">
        <v>7824</v>
      </c>
      <c r="FM22" s="569" t="s">
        <v>4129</v>
      </c>
      <c r="FN22" s="569" t="s">
        <v>4129</v>
      </c>
      <c r="FO22" s="955" t="s">
        <v>7092</v>
      </c>
      <c r="FQ22" s="1509" t="str">
        <f>"one enemy [Int 3+] that sees, hears and understands "&amp;CharacterName</f>
        <v xml:space="preserve">one enemy [Int 3+] that sees, hears and understands </v>
      </c>
      <c r="GC22" s="597" t="str">
        <f ca="1">"+"&amp;Persuasion&amp;" vs. Will; target moves "&amp;IF(Talents!M11&gt;0,"-2 steps","-1 step")&amp;" along the condition track
+5 bonus to enemy's Will if it is higher level"</f>
        <v>+0 vs. Will; target moves -1 step along the condition track
+5 bonus to enemy's Will if it is higher level</v>
      </c>
      <c r="GD22" s="597" t="str">
        <f t="shared" ca="1" si="12"/>
        <v>// Adept Negotiator (standard; one enemy [Int 3+] that sees, hears and understands ) • Talent
+0 vs. Will; target moves -1 step along the condition track
+5 bonus to enemy's Will if it is higher level</v>
      </c>
      <c r="GG22" s="569" t="b">
        <v>1</v>
      </c>
      <c r="GH22" s="1515" t="s">
        <v>5902</v>
      </c>
      <c r="GI22" s="1512" t="str">
        <f t="shared" si="8"/>
        <v/>
      </c>
      <c r="GJ22" s="1512" t="str">
        <f t="shared" ca="1" si="9"/>
        <v/>
      </c>
      <c r="GK22" s="456" t="str">
        <f t="shared" ca="1" si="10"/>
        <v>// Adept Negotiator (standard; one enemy [Int 3+] that sees, hears and understands ) • Talent
+0 vs. Will; target moves -1 step along the condition track
+5 bonus to enemy's Will if it is higher level</v>
      </c>
      <c r="GL22" s="1606" t="s">
        <v>731</v>
      </c>
      <c r="GM22" s="1616">
        <v>1</v>
      </c>
      <c r="GN22" s="1616"/>
      <c r="GO22" s="1635" t="s">
        <v>8746</v>
      </c>
      <c r="GP22" s="1639" t="s">
        <v>8770</v>
      </c>
      <c r="GQ22" s="1604"/>
      <c r="GR22" s="569"/>
      <c r="GU22" s="1639"/>
    </row>
    <row r="23" spans="8:245">
      <c r="H23" s="12" t="s">
        <v>1231</v>
      </c>
      <c r="I23" s="3" t="s">
        <v>1232</v>
      </c>
      <c r="J23" s="3">
        <v>100</v>
      </c>
      <c r="K23" s="3">
        <v>0</v>
      </c>
      <c r="L23" s="3" t="s">
        <v>3735</v>
      </c>
      <c r="W23" s="12" t="s">
        <v>4288</v>
      </c>
      <c r="X23" s="3" t="s">
        <v>3800</v>
      </c>
      <c r="Y23" s="3" t="s">
        <v>204</v>
      </c>
      <c r="Z23" s="3" t="s">
        <v>200</v>
      </c>
      <c r="AA23" s="8" t="s">
        <v>4288</v>
      </c>
      <c r="AB23" s="569" t="s">
        <v>3983</v>
      </c>
      <c r="AC23" s="1358" t="s">
        <v>6646</v>
      </c>
      <c r="AD23" s="581" t="str">
        <f t="shared" si="13"/>
        <v>Chattza (clan) Legacy (Denied)</v>
      </c>
      <c r="AE23" s="616" t="s">
        <v>3985</v>
      </c>
      <c r="AF23" s="616" t="s">
        <v>3986</v>
      </c>
      <c r="AH23" s="1183" t="s">
        <v>7306</v>
      </c>
      <c r="AS23" s="12" t="str">
        <f t="shared" si="14"/>
        <v>Dreadful Rage and Power Attack (-13)</v>
      </c>
      <c r="AT23" s="3">
        <v>-8</v>
      </c>
      <c r="AU23" s="3">
        <f t="shared" si="15"/>
        <v>18</v>
      </c>
      <c r="AV23" s="3">
        <f t="shared" si="16"/>
        <v>31</v>
      </c>
      <c r="AY23" s="3" t="s">
        <v>4083</v>
      </c>
      <c r="BA23" s="742" t="str">
        <f>"Greater Weapon Focus ("&amp;Feats!D101&amp;")"</f>
        <v>Greater Weapon Focus ()</v>
      </c>
      <c r="BB23">
        <v>1</v>
      </c>
      <c r="CR23" s="1704"/>
      <c r="CS23" s="1704"/>
      <c r="CT23" s="1704"/>
      <c r="CU23" s="1704"/>
      <c r="CV23" s="1704"/>
      <c r="CW23" s="1704"/>
      <c r="CX23" s="1704"/>
      <c r="CY23" s="1704"/>
      <c r="CZ23" s="1704"/>
      <c r="DA23" s="570" t="s">
        <v>195</v>
      </c>
      <c r="DB23" s="570" t="s">
        <v>195</v>
      </c>
      <c r="DC23" s="570" t="s">
        <v>195</v>
      </c>
      <c r="DD23" s="570" t="s">
        <v>195</v>
      </c>
      <c r="DE23" s="570" t="s">
        <v>195</v>
      </c>
      <c r="DF23" s="1104"/>
      <c r="DG23" s="1104"/>
      <c r="DW23" s="1358" t="s">
        <v>6649</v>
      </c>
      <c r="EF23" s="1323" t="s">
        <v>7543</v>
      </c>
      <c r="EG23" s="3" t="s">
        <v>195</v>
      </c>
      <c r="EH23" s="3" t="s">
        <v>3717</v>
      </c>
      <c r="EI23" s="8" t="s">
        <v>7544</v>
      </c>
      <c r="EL23" s="1323" t="s">
        <v>7682</v>
      </c>
      <c r="EM23" s="1489" t="s">
        <v>7683</v>
      </c>
      <c r="EN23" s="19" t="s">
        <v>7684</v>
      </c>
      <c r="EP23" s="19" t="str">
        <f>IF(NOT(ISERROR(FIND("cost factor",EM23,1))),LEFT(EM23,LEN(EM23)-(LEN(EM23)-FIND("x",EM23,1))-1),LEFT(EM23,LEN(EM23)-(LEN(EM23)-FIND("kg",EM23,1))-1))</f>
        <v xml:space="preserve">10 </v>
      </c>
      <c r="EQ23" s="1473">
        <f t="shared" si="0"/>
        <v>1</v>
      </c>
      <c r="ER23" s="3">
        <f t="shared" si="1"/>
        <v>10</v>
      </c>
      <c r="ES23" s="19" t="str">
        <f t="shared" si="11"/>
        <v xml:space="preserve">5 </v>
      </c>
      <c r="ET23" s="3">
        <f t="shared" si="3"/>
        <v>1</v>
      </c>
      <c r="EU23" s="8">
        <f t="shared" si="6"/>
        <v>5</v>
      </c>
      <c r="EV23" s="954" t="s">
        <v>7713</v>
      </c>
      <c r="EW23" s="954">
        <v>-1</v>
      </c>
      <c r="EX23" s="954">
        <v>1</v>
      </c>
      <c r="EY23" s="954">
        <v>2</v>
      </c>
      <c r="FA23" s="954" t="str">
        <f t="shared" ref="FA23:FA62" si="17">IF(BAB&gt;=EX23,"","NotMet")</f>
        <v>NotMet</v>
      </c>
      <c r="FB23" s="954" t="s">
        <v>4083</v>
      </c>
      <c r="FH23" s="1478" t="s">
        <v>57</v>
      </c>
      <c r="FI23" s="1478"/>
      <c r="FJ23" s="1478" t="s">
        <v>7152</v>
      </c>
      <c r="FK23" s="1511" t="s">
        <v>3817</v>
      </c>
      <c r="FL23" s="1493" t="s">
        <v>7824</v>
      </c>
      <c r="FM23" s="1512" t="s">
        <v>7126</v>
      </c>
      <c r="FN23" s="1512" t="s">
        <v>4022</v>
      </c>
      <c r="FO23" s="1512" t="s">
        <v>3771</v>
      </c>
      <c r="FP23" s="1513" t="s">
        <v>7818</v>
      </c>
      <c r="FQ23" s="3"/>
      <c r="GC23" s="1512" t="s">
        <v>7124</v>
      </c>
      <c r="GD23" s="597" t="str">
        <f t="shared" si="12"/>
        <v>// Advanced Vital Transfer (special; DP) • Force, Technique
Spend Desiny Point to fully heal the target of all damage and remove all of the target's debilitating conditions</v>
      </c>
      <c r="GG23" s="569"/>
      <c r="GH23" s="1515" t="s">
        <v>5936</v>
      </c>
      <c r="GI23" s="1512" t="str">
        <f t="shared" si="8"/>
        <v/>
      </c>
      <c r="GJ23" s="1512" t="str">
        <f t="shared" ca="1" si="9"/>
        <v/>
      </c>
      <c r="GK23" s="456" t="str">
        <f t="shared" si="10"/>
        <v>// Advanced Vital Transfer (special; DP) • Force, Technique
Spend Desiny Point to fully heal the target of all damage and remove all of the target's debilitating conditions</v>
      </c>
      <c r="GL23" s="1606" t="s">
        <v>8701</v>
      </c>
      <c r="GM23" s="1616">
        <v>1</v>
      </c>
      <c r="GN23" s="1616"/>
      <c r="GO23" s="1635" t="s">
        <v>8746</v>
      </c>
      <c r="GP23" s="1639" t="s">
        <v>8765</v>
      </c>
      <c r="GQ23" s="1604"/>
      <c r="GR23" s="569"/>
      <c r="GU23" s="1639"/>
    </row>
    <row r="24" spans="8:245">
      <c r="H24" s="12" t="s">
        <v>1239</v>
      </c>
      <c r="I24" s="3" t="s">
        <v>1232</v>
      </c>
      <c r="J24" s="3">
        <v>1000</v>
      </c>
      <c r="K24" s="3">
        <v>0</v>
      </c>
      <c r="L24" s="3" t="s">
        <v>3735</v>
      </c>
      <c r="P24" s="1176" t="s">
        <v>3801</v>
      </c>
      <c r="W24" s="12" t="s">
        <v>1414</v>
      </c>
      <c r="X24" s="3" t="s">
        <v>155</v>
      </c>
      <c r="Y24" s="3" t="s">
        <v>204</v>
      </c>
      <c r="Z24" s="3" t="s">
        <v>200</v>
      </c>
      <c r="AA24" s="8" t="s">
        <v>1415</v>
      </c>
      <c r="AB24" s="569" t="s">
        <v>3982</v>
      </c>
      <c r="AC24" s="1358" t="s">
        <v>6646</v>
      </c>
      <c r="AD24" s="581" t="str">
        <f t="shared" si="13"/>
        <v>Chattza (clan) Legacy (Embraced)</v>
      </c>
      <c r="AE24" s="616" t="s">
        <v>3985</v>
      </c>
      <c r="AF24" s="616" t="s">
        <v>3986</v>
      </c>
      <c r="AH24" s="1183" t="s">
        <v>1242</v>
      </c>
      <c r="AS24" s="12" t="str">
        <f t="shared" si="14"/>
        <v>Dreadful Rage and Power Attack (-14)</v>
      </c>
      <c r="AT24" s="3">
        <v>-9</v>
      </c>
      <c r="AU24" s="3">
        <f t="shared" si="15"/>
        <v>19</v>
      </c>
      <c r="AV24" s="3">
        <f t="shared" si="16"/>
        <v>33</v>
      </c>
      <c r="AY24" s="3" t="s">
        <v>4083</v>
      </c>
      <c r="BA24" s="742" t="s">
        <v>4141</v>
      </c>
      <c r="BB24">
        <v>1</v>
      </c>
      <c r="BU24" s="569"/>
      <c r="BV24" s="569"/>
      <c r="BW24" s="569"/>
      <c r="BX24" s="569"/>
      <c r="BY24" s="569"/>
      <c r="CA24" s="569"/>
      <c r="CR24" s="1704"/>
      <c r="CS24" s="1704"/>
      <c r="CT24" s="1704"/>
      <c r="CU24" s="1704"/>
      <c r="CV24" s="1704"/>
      <c r="CW24" s="1704"/>
      <c r="CX24" s="1704"/>
      <c r="CY24" s="1704"/>
      <c r="CZ24" s="1704"/>
      <c r="DA24" s="570" t="s">
        <v>195</v>
      </c>
      <c r="DB24" s="570" t="s">
        <v>195</v>
      </c>
      <c r="DC24" s="570" t="s">
        <v>195</v>
      </c>
      <c r="DD24" s="570" t="s">
        <v>195</v>
      </c>
      <c r="DE24" s="570" t="s">
        <v>195</v>
      </c>
      <c r="DF24" s="1104"/>
      <c r="DG24" s="1104"/>
      <c r="DW24" s="1358" t="s">
        <v>6649</v>
      </c>
      <c r="EF24" s="1323" t="s">
        <v>7588</v>
      </c>
      <c r="EG24" s="3" t="s">
        <v>195</v>
      </c>
      <c r="EH24" s="3" t="s">
        <v>3717</v>
      </c>
      <c r="EI24" s="8" t="s">
        <v>7589</v>
      </c>
      <c r="EL24" s="1323" t="s">
        <v>7685</v>
      </c>
      <c r="EM24" s="1489" t="s">
        <v>7659</v>
      </c>
      <c r="EN24" s="19" t="s">
        <v>7683</v>
      </c>
      <c r="EO24" s="19" t="s">
        <v>7649</v>
      </c>
      <c r="EP24" s="19" t="str">
        <f>IF(NOT(ISERROR(FIND("cost factor",EM24,1))),LEFT(EM24,LEN(EM24)-(LEN(EM24)-FIND("x",EM24,1))-1),LEFT(EM24,LEN(EM24)-(LEN(EM24)-FIND("kg",EM24,1))-1))</f>
        <v xml:space="preserve">600 </v>
      </c>
      <c r="EQ24" s="1473">
        <f t="shared" si="0"/>
        <v>2</v>
      </c>
      <c r="ER24" s="3">
        <f t="shared" si="1"/>
        <v>1200</v>
      </c>
      <c r="ES24" s="19" t="str">
        <f t="shared" si="11"/>
        <v xml:space="preserve">10 </v>
      </c>
      <c r="ET24" s="3">
        <f t="shared" si="3"/>
        <v>2</v>
      </c>
      <c r="EU24" s="8">
        <f t="shared" si="6"/>
        <v>20</v>
      </c>
      <c r="EV24" s="954" t="s">
        <v>7722</v>
      </c>
      <c r="EW24" s="954">
        <v>-10</v>
      </c>
      <c r="EX24" s="954">
        <v>10</v>
      </c>
      <c r="EY24" s="954">
        <v>20</v>
      </c>
      <c r="FA24" s="954" t="str">
        <f t="shared" si="17"/>
        <v>NotMet</v>
      </c>
      <c r="FB24" s="954" t="s">
        <v>4083</v>
      </c>
      <c r="FH24" s="1478" t="s">
        <v>57</v>
      </c>
      <c r="FI24" s="1478"/>
      <c r="FJ24" s="1478" t="s">
        <v>7152</v>
      </c>
      <c r="FK24" s="1323" t="s">
        <v>6200</v>
      </c>
      <c r="FL24" s="1493" t="s">
        <v>7824</v>
      </c>
      <c r="FM24" s="1513" t="s">
        <v>4129</v>
      </c>
      <c r="FN24" s="1513" t="s">
        <v>4129</v>
      </c>
      <c r="FO24" s="1513" t="s">
        <v>7092</v>
      </c>
      <c r="FQ24" s="1509" t="s">
        <v>7844</v>
      </c>
      <c r="GC24" s="597" t="str">
        <f ca="1">"+"&amp;UsetheForce&amp;" vs. Will; give enemy a -2 penalty to Reflex against attacks from all your allies within range until end of "&amp;CharacterName&amp;"'s next turn"&amp;IF(Talents!M13&gt;0,"; allies deal +1d6 damage against enemy","")</f>
        <v>+0 vs. Will; give enemy a -2 penalty to Reflex against attacks from all your allies within range until end of 's next turn</v>
      </c>
      <c r="GD24" s="597" t="str">
        <f t="shared" ca="1" si="12"/>
        <v>// Adversary Lore (standard; enemy that understands within 12 squares and line of sight) • Talent
+0 vs. Will; give enemy a -2 penalty to Reflex against attacks from all your allies within range until end of 's next turn</v>
      </c>
      <c r="GG24" s="569"/>
      <c r="GH24" s="1515" t="s">
        <v>5936</v>
      </c>
      <c r="GI24" s="1512" t="str">
        <f t="shared" si="8"/>
        <v/>
      </c>
      <c r="GJ24" s="1512" t="str">
        <f t="shared" ca="1" si="9"/>
        <v/>
      </c>
      <c r="GK24" s="456" t="str">
        <f t="shared" ca="1" si="10"/>
        <v>// Adversary Lore (standard; enemy that understands within 12 squares and line of sight) • Talent
+0 vs. Will; give enemy a -2 penalty to Reflex against attacks from all your allies within range until end of 's next turn</v>
      </c>
      <c r="GL24" s="1606" t="s">
        <v>8702</v>
      </c>
      <c r="GM24" s="1616">
        <v>1</v>
      </c>
      <c r="GN24" s="1616"/>
      <c r="GO24" s="1635" t="s">
        <v>8746</v>
      </c>
      <c r="GP24" s="1639" t="s">
        <v>8771</v>
      </c>
      <c r="GQ24" s="1604"/>
      <c r="GR24" s="569"/>
      <c r="GU24" s="1639"/>
    </row>
    <row r="25" spans="8:245">
      <c r="H25" s="683" t="s">
        <v>3758</v>
      </c>
      <c r="W25" s="12" t="s">
        <v>1576</v>
      </c>
      <c r="X25" s="3" t="s">
        <v>173</v>
      </c>
      <c r="Y25" s="3" t="s">
        <v>204</v>
      </c>
      <c r="Z25" s="3" t="s">
        <v>200</v>
      </c>
      <c r="AA25" s="8" t="s">
        <v>1577</v>
      </c>
      <c r="AB25" s="569" t="s">
        <v>3983</v>
      </c>
      <c r="AC25" s="1358" t="s">
        <v>6648</v>
      </c>
      <c r="AD25" s="581" t="str">
        <f t="shared" si="13"/>
        <v>Chekkoo (clan) Legacy (Denied)</v>
      </c>
      <c r="AE25" s="616" t="s">
        <v>3985</v>
      </c>
      <c r="AF25" s="616" t="s">
        <v>3986</v>
      </c>
      <c r="AH25" s="1183" t="s">
        <v>2050</v>
      </c>
      <c r="AS25" s="12" t="str">
        <f t="shared" si="14"/>
        <v>Dreadful Rage and Power Attack (-15)</v>
      </c>
      <c r="AT25" s="3">
        <v>-10</v>
      </c>
      <c r="AU25" s="3">
        <f t="shared" si="15"/>
        <v>20</v>
      </c>
      <c r="AV25" s="3">
        <f t="shared" si="16"/>
        <v>35</v>
      </c>
      <c r="AY25" s="3" t="s">
        <v>4083</v>
      </c>
      <c r="BA25" s="742" t="s">
        <v>4146</v>
      </c>
      <c r="BC25">
        <v>2</v>
      </c>
      <c r="CR25" s="1704"/>
      <c r="CS25" s="1704"/>
      <c r="CT25" s="1704"/>
      <c r="CU25" s="1704"/>
      <c r="CV25" s="1704"/>
      <c r="CW25" s="1704"/>
      <c r="CX25" s="1704"/>
      <c r="CY25" s="1704"/>
      <c r="CZ25" s="1704"/>
      <c r="DA25" s="570" t="s">
        <v>195</v>
      </c>
      <c r="DB25" s="570" t="s">
        <v>195</v>
      </c>
      <c r="DC25" s="570" t="s">
        <v>195</v>
      </c>
      <c r="DD25" s="570" t="s">
        <v>195</v>
      </c>
      <c r="DE25" s="570" t="s">
        <v>195</v>
      </c>
      <c r="DF25" s="1104"/>
      <c r="DG25" s="1104"/>
      <c r="DW25" s="1358" t="s">
        <v>3991</v>
      </c>
      <c r="EF25" s="1323" t="s">
        <v>7592</v>
      </c>
      <c r="EG25" s="3" t="s">
        <v>238</v>
      </c>
      <c r="EH25" s="3" t="s">
        <v>195</v>
      </c>
      <c r="EI25" s="8" t="s">
        <v>7593</v>
      </c>
      <c r="EL25" s="1323" t="s">
        <v>7686</v>
      </c>
      <c r="EM25" s="1489" t="s">
        <v>7687</v>
      </c>
      <c r="EN25" s="19" t="s">
        <v>7688</v>
      </c>
      <c r="EP25" s="19" t="str">
        <f>IF(NOT(ISERROR(FIND("cost factor",EM25,1))),LEFT(EM25,LEN(EM25)-(LEN(EM25)-FIND("x",EM25,1))-1),LEFT(EM25,LEN(EM25)-(LEN(EM25)-FIND("kg",EM25,1))-1))</f>
        <v xml:space="preserve">80 </v>
      </c>
      <c r="EQ25" s="1473">
        <f t="shared" si="0"/>
        <v>2</v>
      </c>
      <c r="ER25" s="3">
        <f t="shared" si="1"/>
        <v>160</v>
      </c>
      <c r="ES25" s="19" t="str">
        <f t="shared" si="11"/>
        <v xml:space="preserve">15 </v>
      </c>
      <c r="ET25" s="3">
        <f t="shared" si="3"/>
        <v>2</v>
      </c>
      <c r="EU25" s="8">
        <f t="shared" si="6"/>
        <v>30</v>
      </c>
      <c r="EV25" s="954" t="s">
        <v>7723</v>
      </c>
      <c r="EW25" s="954">
        <v>-11</v>
      </c>
      <c r="EX25" s="954">
        <v>11</v>
      </c>
      <c r="EY25" s="954">
        <v>22</v>
      </c>
      <c r="FA25" s="954" t="str">
        <f t="shared" si="17"/>
        <v>NotMet</v>
      </c>
      <c r="FB25" s="954" t="s">
        <v>4083</v>
      </c>
      <c r="FH25" s="1478" t="s">
        <v>57</v>
      </c>
      <c r="FI25" s="1478"/>
      <c r="FJ25" s="1478" t="s">
        <v>7152</v>
      </c>
      <c r="FK25" s="1323" t="s">
        <v>2549</v>
      </c>
      <c r="FL25" s="1493" t="s">
        <v>7824</v>
      </c>
      <c r="FM25" s="1513" t="s">
        <v>4129</v>
      </c>
      <c r="FN25" s="1513" t="s">
        <v>4129</v>
      </c>
      <c r="FO25" s="1513" t="s">
        <v>3771</v>
      </c>
      <c r="FQ25" s="597" t="str">
        <f>"whenever "&amp;CharacterName&amp;" damages an opponent with a lightsaber"</f>
        <v>whenever  damages an opponent with a lightsaber</v>
      </c>
      <c r="GC25" s="597" t="s">
        <v>7832</v>
      </c>
      <c r="GD25" s="597" t="str">
        <f t="shared" si="12"/>
        <v>// Aggressive Negotiator (special; whenever  damages an opponent with a lightsaber) • Talent
Take 10 on Persuasion checks until end of next turn</v>
      </c>
      <c r="GG25" s="569"/>
      <c r="GH25" s="1515" t="s">
        <v>5910</v>
      </c>
      <c r="GI25" s="1512" t="str">
        <f t="shared" si="8"/>
        <v/>
      </c>
      <c r="GJ25" s="1512" t="str">
        <f t="shared" ca="1" si="9"/>
        <v/>
      </c>
      <c r="GK25" s="456" t="str">
        <f t="shared" si="10"/>
        <v>// Aggressive Negotiator (special; whenever  damages an opponent with a lightsaber) • Talent
Take 10 on Persuasion checks until end of next turn</v>
      </c>
      <c r="GL25" s="1606" t="s">
        <v>8703</v>
      </c>
      <c r="GM25" s="1616">
        <v>2</v>
      </c>
      <c r="GN25" s="1635" t="s">
        <v>4043</v>
      </c>
      <c r="GO25" s="1635"/>
      <c r="GP25" s="1639" t="s">
        <v>8772</v>
      </c>
      <c r="GQ25" s="1632"/>
      <c r="GR25" s="1632"/>
      <c r="GU25" s="1639"/>
    </row>
    <row r="26" spans="8:245">
      <c r="H26" s="12" t="s">
        <v>3787</v>
      </c>
      <c r="I26" s="3" t="s">
        <v>3800</v>
      </c>
      <c r="K26" s="3">
        <v>0</v>
      </c>
      <c r="L26" s="3" t="s">
        <v>3736</v>
      </c>
      <c r="M26" s="3" t="s">
        <v>740</v>
      </c>
      <c r="P26" s="1178" t="s">
        <v>6116</v>
      </c>
      <c r="Q26" s="1179" t="s">
        <v>6116</v>
      </c>
      <c r="W26" s="12" t="s">
        <v>1589</v>
      </c>
      <c r="X26" s="3" t="s">
        <v>173</v>
      </c>
      <c r="Y26" s="3" t="s">
        <v>204</v>
      </c>
      <c r="Z26" s="3" t="s">
        <v>200</v>
      </c>
      <c r="AA26" s="8" t="s">
        <v>1589</v>
      </c>
      <c r="AB26" s="569" t="s">
        <v>3982</v>
      </c>
      <c r="AC26" s="1358" t="s">
        <v>6648</v>
      </c>
      <c r="AD26" s="581" t="str">
        <f t="shared" si="13"/>
        <v>Chekkoo (clan) Legacy (Embraced)</v>
      </c>
      <c r="AE26" s="616" t="s">
        <v>3985</v>
      </c>
      <c r="AF26" s="616" t="s">
        <v>3986</v>
      </c>
      <c r="AH26" s="1183" t="s">
        <v>1256</v>
      </c>
      <c r="AS26" s="12" t="str">
        <f t="shared" si="14"/>
        <v>Dreadful Rage and Power Attack (-16)</v>
      </c>
      <c r="AT26" s="3">
        <v>-11</v>
      </c>
      <c r="AU26" s="3">
        <f t="shared" si="15"/>
        <v>21</v>
      </c>
      <c r="AV26" s="3">
        <f t="shared" si="16"/>
        <v>37</v>
      </c>
      <c r="AY26" s="3" t="s">
        <v>4083</v>
      </c>
      <c r="BA26" s="742" t="s">
        <v>4147</v>
      </c>
      <c r="BC26">
        <v>2</v>
      </c>
      <c r="CR26" s="1704"/>
      <c r="CS26" s="1704"/>
      <c r="CT26" s="1704"/>
      <c r="CU26" s="1704"/>
      <c r="CV26" s="1704"/>
      <c r="CW26" s="1704"/>
      <c r="CX26" s="1704"/>
      <c r="CY26" s="1704"/>
      <c r="CZ26" s="1704"/>
      <c r="DA26" s="570" t="s">
        <v>195</v>
      </c>
      <c r="DB26" s="570" t="s">
        <v>195</v>
      </c>
      <c r="DC26" s="570" t="s">
        <v>195</v>
      </c>
      <c r="DD26" s="570" t="s">
        <v>195</v>
      </c>
      <c r="DE26" s="570" t="s">
        <v>195</v>
      </c>
      <c r="DF26" s="1104"/>
      <c r="DG26" s="1104"/>
      <c r="DW26" s="1358" t="s">
        <v>3991</v>
      </c>
      <c r="EF26" s="1323" t="s">
        <v>7541</v>
      </c>
      <c r="EG26" s="3" t="s">
        <v>195</v>
      </c>
      <c r="EH26" s="3" t="s">
        <v>3717</v>
      </c>
      <c r="EI26" s="8" t="s">
        <v>7542</v>
      </c>
      <c r="EL26" s="1323" t="s">
        <v>7689</v>
      </c>
      <c r="EM26" s="1489">
        <v>100</v>
      </c>
      <c r="EN26" s="19" t="s">
        <v>7647</v>
      </c>
      <c r="EP26" s="1489">
        <f t="shared" ref="EP26:EP35" si="18">EM26</f>
        <v>100</v>
      </c>
      <c r="EQ26" s="1473">
        <f t="shared" si="0"/>
        <v>1</v>
      </c>
      <c r="ER26" s="3">
        <f t="shared" si="1"/>
        <v>100</v>
      </c>
      <c r="ES26" s="19" t="str">
        <f t="shared" si="11"/>
        <v xml:space="preserve">2 </v>
      </c>
      <c r="ET26" s="3">
        <f t="shared" si="3"/>
        <v>1</v>
      </c>
      <c r="EU26" s="8">
        <f t="shared" si="6"/>
        <v>2</v>
      </c>
      <c r="EV26" s="954" t="s">
        <v>7724</v>
      </c>
      <c r="EW26" s="954">
        <v>-12</v>
      </c>
      <c r="EX26" s="954">
        <v>12</v>
      </c>
      <c r="EY26" s="954">
        <v>24</v>
      </c>
      <c r="FA26" s="954" t="str">
        <f t="shared" si="17"/>
        <v>NotMet</v>
      </c>
      <c r="FB26" s="954" t="s">
        <v>4083</v>
      </c>
      <c r="FH26" s="1478" t="s">
        <v>57</v>
      </c>
      <c r="FI26" s="1478"/>
      <c r="FJ26" s="1478" t="s">
        <v>7152</v>
      </c>
      <c r="FK26" s="1323" t="s">
        <v>2571</v>
      </c>
      <c r="FL26" s="1493" t="s">
        <v>7824</v>
      </c>
      <c r="FM26" s="1513" t="s">
        <v>7800</v>
      </c>
      <c r="FN26" s="1513" t="s">
        <v>4129</v>
      </c>
      <c r="FO26" s="3" t="str">
        <f>IF(Talents!M29&gt;0,"swift","full-round")</f>
        <v>full-round</v>
      </c>
      <c r="FP26" s="1513" t="s">
        <v>7828</v>
      </c>
      <c r="FQ26" s="597" t="str">
        <f>IF(Talents!M29&gt;0,"all within 12 squares","all allies within 6 squares")</f>
        <v>all allies within 6 squares</v>
      </c>
      <c r="GC26" s="597" t="str">
        <f>CharacterName&amp;" and allies gain a +"&amp;IF(Talents!M1115&gt;0,2,1)&amp;" insight bonus to attack rolls until end of encounter"&amp;IF(Talents!M29&gt;0,"
Enemies within 12 squares take -1 penalty to attack rolls","")</f>
        <v xml:space="preserve"> and allies gain a +1 insight bonus to attack rolls until end of encounter</v>
      </c>
      <c r="GD26" s="597" t="str">
        <f t="shared" si="12"/>
        <v>// Battle Meditation (full-round; FP; encounter; all allies within 6 squares) • Force, Talent
 and allies gain a +1 insight bonus to attack rolls until end of encounter</v>
      </c>
      <c r="GG26" s="569"/>
      <c r="GH26" s="1515" t="s">
        <v>5902</v>
      </c>
      <c r="GI26" s="1512" t="str">
        <f t="shared" si="8"/>
        <v/>
      </c>
      <c r="GJ26" s="1512" t="str">
        <f t="shared" ca="1" si="9"/>
        <v/>
      </c>
      <c r="GK26" s="456" t="str">
        <f t="shared" si="10"/>
        <v>// Battle Meditation (full-round; FP; encounter; all allies within 6 squares) • Force, Talent
 and allies gain a +1 insight bonus to attack rolls until end of encounter</v>
      </c>
      <c r="GL26" s="1606" t="s">
        <v>8704</v>
      </c>
      <c r="GM26" s="1616">
        <v>2</v>
      </c>
      <c r="GN26" s="1635" t="s">
        <v>4043</v>
      </c>
      <c r="GO26" s="1635"/>
      <c r="GP26" s="1639" t="s">
        <v>8773</v>
      </c>
      <c r="GQ26" s="1632"/>
      <c r="GR26" s="569"/>
      <c r="GU26" s="1639"/>
    </row>
    <row r="27" spans="8:245">
      <c r="H27" s="12" t="s">
        <v>3786</v>
      </c>
      <c r="I27" s="3" t="s">
        <v>3800</v>
      </c>
      <c r="K27" s="3">
        <v>0</v>
      </c>
      <c r="L27" s="3" t="s">
        <v>3736</v>
      </c>
      <c r="M27" s="3" t="s">
        <v>740</v>
      </c>
      <c r="P27" s="1178" t="s">
        <v>3789</v>
      </c>
      <c r="Q27" s="1179" t="s">
        <v>3789</v>
      </c>
      <c r="W27" s="12" t="s">
        <v>1785</v>
      </c>
      <c r="X27" s="3" t="s">
        <v>169</v>
      </c>
      <c r="Y27" s="3" t="s">
        <v>204</v>
      </c>
      <c r="Z27" s="3" t="s">
        <v>200</v>
      </c>
      <c r="AA27" s="8" t="s">
        <v>1785</v>
      </c>
      <c r="AB27" s="569" t="s">
        <v>3983</v>
      </c>
      <c r="AC27" s="1358" t="s">
        <v>3989</v>
      </c>
      <c r="AD27" s="581" t="str">
        <f t="shared" si="13"/>
        <v>Cracken Legacy (Denied)</v>
      </c>
      <c r="AE27" s="616" t="s">
        <v>3985</v>
      </c>
      <c r="AF27" s="616" t="s">
        <v>3986</v>
      </c>
      <c r="AH27" s="1183" t="s">
        <v>1291</v>
      </c>
      <c r="AS27" s="12" t="str">
        <f t="shared" si="14"/>
        <v>Dreadful Rage and Power Attack (-17)</v>
      </c>
      <c r="AT27" s="3">
        <v>-12</v>
      </c>
      <c r="AU27" s="3">
        <f t="shared" si="15"/>
        <v>22</v>
      </c>
      <c r="AV27" s="3">
        <f t="shared" si="16"/>
        <v>39</v>
      </c>
      <c r="AY27" s="3" t="s">
        <v>4083</v>
      </c>
      <c r="BA27" s="742" t="s">
        <v>3373</v>
      </c>
      <c r="BC27">
        <v>2</v>
      </c>
      <c r="CR27" s="1704"/>
      <c r="CS27" s="1704"/>
      <c r="CT27" s="1704"/>
      <c r="CU27" s="1704"/>
      <c r="CV27" s="1704"/>
      <c r="CW27" s="1704"/>
      <c r="CX27" s="1704"/>
      <c r="CY27" s="1704"/>
      <c r="CZ27" s="1704"/>
      <c r="DA27" s="570" t="s">
        <v>195</v>
      </c>
      <c r="DB27" s="570" t="s">
        <v>195</v>
      </c>
      <c r="DC27" s="570" t="s">
        <v>195</v>
      </c>
      <c r="DD27" s="570" t="s">
        <v>195</v>
      </c>
      <c r="DE27" s="570" t="s">
        <v>195</v>
      </c>
      <c r="DF27" s="1104"/>
      <c r="DG27" s="1104"/>
      <c r="DW27" s="1358" t="s">
        <v>3994</v>
      </c>
      <c r="EF27" s="1323" t="s">
        <v>7538</v>
      </c>
      <c r="EG27" s="3" t="s">
        <v>195</v>
      </c>
      <c r="EH27" s="3" t="s">
        <v>3717</v>
      </c>
      <c r="EI27" s="8" t="s">
        <v>7539</v>
      </c>
      <c r="EL27" s="1323" t="s">
        <v>7690</v>
      </c>
      <c r="EM27" s="1489">
        <v>200</v>
      </c>
      <c r="EN27" s="19" t="s">
        <v>7672</v>
      </c>
      <c r="EP27" s="1489">
        <f t="shared" si="18"/>
        <v>200</v>
      </c>
      <c r="EQ27" s="1473">
        <f t="shared" si="0"/>
        <v>2</v>
      </c>
      <c r="ER27" s="3">
        <f t="shared" si="1"/>
        <v>400</v>
      </c>
      <c r="ES27" s="19" t="str">
        <f t="shared" si="11"/>
        <v xml:space="preserve">20 </v>
      </c>
      <c r="ET27" s="3">
        <f t="shared" si="3"/>
        <v>2</v>
      </c>
      <c r="EU27" s="8">
        <f t="shared" si="6"/>
        <v>40</v>
      </c>
      <c r="EV27" s="954" t="s">
        <v>7725</v>
      </c>
      <c r="EW27" s="954">
        <v>-13</v>
      </c>
      <c r="EX27" s="954">
        <v>13</v>
      </c>
      <c r="EY27" s="954">
        <v>26</v>
      </c>
      <c r="FA27" s="954" t="str">
        <f t="shared" si="17"/>
        <v>NotMet</v>
      </c>
      <c r="FB27" s="954" t="s">
        <v>4083</v>
      </c>
      <c r="FH27" s="1478" t="s">
        <v>57</v>
      </c>
      <c r="FI27" s="1478"/>
      <c r="FJ27" s="1478" t="s">
        <v>7152</v>
      </c>
      <c r="FK27" s="1511" t="s">
        <v>2973</v>
      </c>
      <c r="FL27" s="1493" t="s">
        <v>7824</v>
      </c>
      <c r="FM27" s="1516" t="s">
        <v>7800</v>
      </c>
      <c r="FN27" s="1516" t="s">
        <v>4129</v>
      </c>
      <c r="FO27" s="1516" t="s">
        <v>7092</v>
      </c>
      <c r="FP27" s="1517" t="s">
        <v>65</v>
      </c>
      <c r="FQ27" s="1516"/>
      <c r="FR27" s="1502"/>
      <c r="FS27" s="1516"/>
      <c r="FT27" s="1516"/>
      <c r="FU27" s="1516"/>
      <c r="FV27" s="1502"/>
      <c r="FW27" s="1502"/>
      <c r="FX27" s="1502"/>
      <c r="FY27" s="1502"/>
      <c r="FZ27" s="1502"/>
      <c r="GA27" s="1502"/>
      <c r="GB27" s="1502"/>
      <c r="GC27" s="1510" t="s">
        <v>7821</v>
      </c>
      <c r="GD27" s="597" t="str">
        <f t="shared" si="12"/>
        <v>// Buried Presence (standard; FP) • Force, Talent
Avoid Force detection for one hour, or a Use the Force check is made</v>
      </c>
      <c r="GG27" s="569" t="b">
        <v>1</v>
      </c>
      <c r="GH27" s="1515">
        <v>103</v>
      </c>
      <c r="GI27" s="1512" t="str">
        <f t="shared" si="8"/>
        <v/>
      </c>
      <c r="GJ27" s="1512" t="str">
        <f t="shared" ca="1" si="9"/>
        <v/>
      </c>
      <c r="GK27" s="456" t="str">
        <f t="shared" si="10"/>
        <v>// Buried Presence (standard; FP) • Force, Talent
Avoid Force detection for one hour, or a Use the Force check is made</v>
      </c>
      <c r="GL27" s="1606" t="s">
        <v>8705</v>
      </c>
      <c r="GM27" s="1616">
        <v>2</v>
      </c>
      <c r="GN27" s="1635" t="s">
        <v>4130</v>
      </c>
      <c r="GO27" s="1635"/>
      <c r="GP27" s="1639" t="s">
        <v>8774</v>
      </c>
      <c r="GQ27" s="569"/>
      <c r="GR27" s="569"/>
      <c r="GS27" s="581"/>
      <c r="GT27" s="581"/>
      <c r="GU27" s="1639"/>
      <c r="GV27" s="581"/>
      <c r="GW27" s="581"/>
      <c r="GX27" s="581"/>
      <c r="GY27" s="581"/>
      <c r="GZ27" s="581"/>
      <c r="HA27" s="581"/>
      <c r="HC27" s="581"/>
      <c r="HD27" s="581"/>
      <c r="HE27" s="581"/>
      <c r="HF27" s="581"/>
      <c r="HG27" s="581"/>
      <c r="HH27" s="581"/>
      <c r="HI27" s="581"/>
      <c r="HJ27" s="581"/>
      <c r="HK27" s="581"/>
      <c r="HL27" s="581"/>
      <c r="HM27" s="581"/>
      <c r="HN27" s="581"/>
      <c r="HO27" s="581"/>
      <c r="HP27" s="581"/>
      <c r="HQ27" s="581"/>
      <c r="HR27" s="581"/>
      <c r="HS27" s="581"/>
      <c r="HT27" s="581"/>
      <c r="HU27" s="581"/>
      <c r="HV27" s="581"/>
      <c r="HW27" s="581"/>
      <c r="HX27" s="581"/>
      <c r="HY27" s="581"/>
      <c r="HZ27" s="581"/>
      <c r="IA27" s="581"/>
      <c r="IB27" s="581"/>
      <c r="IC27" s="581"/>
      <c r="ID27" s="581"/>
      <c r="IE27" s="581"/>
      <c r="IF27" s="581"/>
      <c r="IG27" s="581"/>
      <c r="IH27" s="581"/>
      <c r="II27" s="581"/>
      <c r="IJ27" s="581"/>
      <c r="IK27" s="581"/>
    </row>
    <row r="28" spans="8:245" s="581" customFormat="1">
      <c r="H28" s="12" t="s">
        <v>3788</v>
      </c>
      <c r="I28" s="3" t="s">
        <v>3800</v>
      </c>
      <c r="J28" s="3"/>
      <c r="K28" s="3">
        <v>0</v>
      </c>
      <c r="L28" s="3" t="s">
        <v>3736</v>
      </c>
      <c r="M28" s="3" t="s">
        <v>740</v>
      </c>
      <c r="N28" s="3"/>
      <c r="O28" s="3"/>
      <c r="P28" s="1176" t="s">
        <v>3790</v>
      </c>
      <c r="Q28" s="1177" t="s">
        <v>3790</v>
      </c>
      <c r="W28" s="12" t="s">
        <v>1816</v>
      </c>
      <c r="X28" s="3" t="s">
        <v>169</v>
      </c>
      <c r="Y28" s="3" t="s">
        <v>204</v>
      </c>
      <c r="Z28" s="3" t="s">
        <v>200</v>
      </c>
      <c r="AA28" s="8" t="s">
        <v>1816</v>
      </c>
      <c r="AB28" s="569" t="s">
        <v>3982</v>
      </c>
      <c r="AC28" s="1358" t="s">
        <v>3989</v>
      </c>
      <c r="AD28" s="581" t="str">
        <f t="shared" si="13"/>
        <v>Cracken Legacy (Embraced)</v>
      </c>
      <c r="AE28" s="616" t="s">
        <v>3985</v>
      </c>
      <c r="AF28" s="616" t="s">
        <v>3986</v>
      </c>
      <c r="AG28" s="616"/>
      <c r="AH28" s="1183" t="s">
        <v>1301</v>
      </c>
      <c r="AI28" s="3"/>
      <c r="AJ28" s="3"/>
      <c r="AK28" s="3"/>
      <c r="AL28" s="3"/>
      <c r="AM28" s="3"/>
      <c r="AN28" s="3"/>
      <c r="AO28" s="3"/>
      <c r="AP28" s="3"/>
      <c r="AQ28" s="3"/>
      <c r="AR28" s="8"/>
      <c r="AS28" s="12" t="str">
        <f t="shared" si="14"/>
        <v>Dreadful Rage and Power Attack (-18)</v>
      </c>
      <c r="AT28" s="3">
        <v>-13</v>
      </c>
      <c r="AU28" s="3">
        <f t="shared" si="15"/>
        <v>23</v>
      </c>
      <c r="AV28" s="3">
        <f t="shared" si="16"/>
        <v>41</v>
      </c>
      <c r="AW28" s="3"/>
      <c r="AX28" s="3"/>
      <c r="AY28" s="3" t="s">
        <v>4083</v>
      </c>
      <c r="AZ28" s="936"/>
      <c r="BA28" s="742" t="s">
        <v>4148</v>
      </c>
      <c r="BC28" s="581">
        <v>2</v>
      </c>
      <c r="BJ28" s="12"/>
      <c r="BK28" s="3"/>
      <c r="BL28" s="3"/>
      <c r="BM28" s="8"/>
      <c r="BN28" s="12"/>
      <c r="BO28" s="3"/>
      <c r="BP28" s="3"/>
      <c r="BQ28" s="3"/>
      <c r="BR28" s="3"/>
      <c r="BS28" s="8"/>
      <c r="BT28" s="12"/>
      <c r="BU28" s="3"/>
      <c r="BV28" s="3"/>
      <c r="BW28" s="3"/>
      <c r="BX28" s="3"/>
      <c r="BY28" s="3"/>
      <c r="BZ28" s="3"/>
      <c r="CA28" s="3"/>
      <c r="CB28" s="8"/>
      <c r="CC28" s="12"/>
      <c r="CD28" s="3"/>
      <c r="CE28" s="3"/>
      <c r="CF28" s="3"/>
      <c r="CG28" s="3"/>
      <c r="CH28" s="8"/>
      <c r="CP28" s="1082"/>
      <c r="CQ28" s="1081"/>
      <c r="CR28" s="1704"/>
      <c r="CS28" s="1704"/>
      <c r="CT28" s="1704"/>
      <c r="CU28" s="1704"/>
      <c r="CV28" s="1704"/>
      <c r="CW28" s="1704"/>
      <c r="CX28" s="1704"/>
      <c r="CY28" s="1704"/>
      <c r="CZ28" s="1704"/>
      <c r="DA28" s="570" t="s">
        <v>195</v>
      </c>
      <c r="DB28" s="570" t="s">
        <v>195</v>
      </c>
      <c r="DC28" s="570" t="s">
        <v>195</v>
      </c>
      <c r="DD28" s="570" t="s">
        <v>195</v>
      </c>
      <c r="DE28" s="570" t="s">
        <v>195</v>
      </c>
      <c r="DF28" s="1104"/>
      <c r="DG28" s="1104"/>
      <c r="DW28" s="1358" t="s">
        <v>3994</v>
      </c>
      <c r="ED28" s="1323"/>
      <c r="EE28" s="8"/>
      <c r="EF28" s="1323" t="s">
        <v>7594</v>
      </c>
      <c r="EG28" s="3" t="s">
        <v>195</v>
      </c>
      <c r="EH28" s="3" t="s">
        <v>195</v>
      </c>
      <c r="EI28" s="8" t="s">
        <v>7595</v>
      </c>
      <c r="EJ28" s="1323"/>
      <c r="EK28" s="8"/>
      <c r="EL28" s="1323" t="s">
        <v>7691</v>
      </c>
      <c r="EM28" s="1489">
        <v>1000</v>
      </c>
      <c r="EN28" s="19" t="s">
        <v>7692</v>
      </c>
      <c r="EO28" s="19"/>
      <c r="EP28" s="1489">
        <f t="shared" si="18"/>
        <v>1000</v>
      </c>
      <c r="EQ28" s="1473">
        <f t="shared" si="0"/>
        <v>1</v>
      </c>
      <c r="ER28" s="3">
        <f t="shared" si="1"/>
        <v>1000</v>
      </c>
      <c r="ES28" s="19" t="str">
        <f t="shared" si="11"/>
        <v xml:space="preserve">20 </v>
      </c>
      <c r="ET28" s="3">
        <f t="shared" si="3"/>
        <v>1</v>
      </c>
      <c r="EU28" s="8">
        <f t="shared" si="6"/>
        <v>20</v>
      </c>
      <c r="EV28" s="954" t="s">
        <v>7726</v>
      </c>
      <c r="EW28" s="954">
        <v>-14</v>
      </c>
      <c r="EX28" s="954">
        <v>14</v>
      </c>
      <c r="EY28" s="954">
        <v>28</v>
      </c>
      <c r="EZ28" s="954"/>
      <c r="FA28" s="954" t="str">
        <f t="shared" si="17"/>
        <v>NotMet</v>
      </c>
      <c r="FB28" s="954" t="s">
        <v>4083</v>
      </c>
      <c r="FC28" s="954"/>
      <c r="FD28" s="954"/>
      <c r="FE28" s="954"/>
      <c r="FF28" s="954"/>
      <c r="FG28" s="954"/>
      <c r="FH28" s="1478" t="s">
        <v>57</v>
      </c>
      <c r="FI28" s="1478"/>
      <c r="FJ28" s="1478" t="s">
        <v>7152</v>
      </c>
      <c r="FK28" s="1323" t="s">
        <v>4390</v>
      </c>
      <c r="FL28" s="1493" t="s">
        <v>7824</v>
      </c>
      <c r="FM28" s="1513" t="s">
        <v>7800</v>
      </c>
      <c r="FN28" s="1513" t="s">
        <v>4129</v>
      </c>
      <c r="FO28" s="569" t="s">
        <v>7189</v>
      </c>
      <c r="FP28" s="569" t="s">
        <v>65</v>
      </c>
      <c r="FQ28" s="1509" t="s">
        <v>7905</v>
      </c>
      <c r="FR28" s="3"/>
      <c r="FS28" s="3"/>
      <c r="FT28" s="3"/>
      <c r="FU28" s="3"/>
      <c r="FV28" s="3"/>
      <c r="FW28" s="3"/>
      <c r="FX28" s="3"/>
      <c r="FY28" s="3"/>
      <c r="FZ28" s="3"/>
      <c r="GA28" s="3"/>
      <c r="GB28" s="3"/>
      <c r="GC28" s="597" t="s">
        <v>7906</v>
      </c>
      <c r="GD28" s="597" t="str">
        <f t="shared" si="12"/>
        <v>// Channel Energy (reaction; FP; successfully negate damage with negate energy) • Force, Talent
Immediately activate any Force Power currently in Force suite</v>
      </c>
      <c r="GE28" s="597"/>
      <c r="GF28" s="3"/>
      <c r="GG28" s="569" t="b">
        <v>1</v>
      </c>
      <c r="GH28" s="8" t="str">
        <f>IF(FN28="Talent",INDEX(TalentsTable,MATCH(FK28,TalentsTableList,0),13),"")</f>
        <v>JATM 16</v>
      </c>
      <c r="GI28" s="1512" t="str">
        <f t="shared" si="8"/>
        <v/>
      </c>
      <c r="GJ28" s="1512" t="str">
        <f t="shared" ca="1" si="9"/>
        <v/>
      </c>
      <c r="GK28" s="456" t="str">
        <f t="shared" si="10"/>
        <v>// Channel Energy (reaction; FP; successfully negate damage with negate energy) • Force, Talent
Immediately activate any Force Power currently in Force suite</v>
      </c>
      <c r="GL28" s="1606" t="s">
        <v>8706</v>
      </c>
      <c r="GM28" s="1616">
        <v>2</v>
      </c>
      <c r="GN28" s="1635" t="s">
        <v>817</v>
      </c>
      <c r="GO28" s="1635"/>
      <c r="GP28" s="1639" t="s">
        <v>8765</v>
      </c>
      <c r="GQ28" s="1632"/>
      <c r="GR28" s="569"/>
      <c r="GU28" s="1639"/>
    </row>
    <row r="29" spans="8:245" s="581" customFormat="1">
      <c r="H29" s="12" t="s">
        <v>4322</v>
      </c>
      <c r="I29" s="3" t="s">
        <v>3800</v>
      </c>
      <c r="J29" s="3"/>
      <c r="K29" s="3">
        <v>0</v>
      </c>
      <c r="L29" s="3" t="s">
        <v>3736</v>
      </c>
      <c r="M29" s="3" t="s">
        <v>740</v>
      </c>
      <c r="N29" s="3"/>
      <c r="O29" s="3"/>
      <c r="P29" s="1178" t="s">
        <v>4333</v>
      </c>
      <c r="Q29" s="1177" t="str">
        <f>P29</f>
        <v>+5 Force bonus to Treat Injury checks or Use the Force with Vital Transfer</v>
      </c>
      <c r="W29" s="12" t="s">
        <v>6505</v>
      </c>
      <c r="X29" s="3" t="s">
        <v>6222</v>
      </c>
      <c r="Y29" s="3" t="s">
        <v>204</v>
      </c>
      <c r="Z29" s="3" t="s">
        <v>200</v>
      </c>
      <c r="AA29" s="8" t="s">
        <v>6505</v>
      </c>
      <c r="AB29" s="569" t="s">
        <v>3983</v>
      </c>
      <c r="AC29" s="1358" t="s">
        <v>3990</v>
      </c>
      <c r="AD29" s="581" t="str">
        <f t="shared" si="13"/>
        <v>Darklighter Legacy (Denied)</v>
      </c>
      <c r="AE29" s="616" t="s">
        <v>3985</v>
      </c>
      <c r="AF29" s="616" t="s">
        <v>3986</v>
      </c>
      <c r="AG29" s="616"/>
      <c r="AH29" s="1183" t="s">
        <v>1354</v>
      </c>
      <c r="AI29" s="3"/>
      <c r="AJ29" s="3"/>
      <c r="AK29" s="3"/>
      <c r="AL29" s="3"/>
      <c r="AM29" s="3"/>
      <c r="AN29" s="3"/>
      <c r="AO29" s="3"/>
      <c r="AP29" s="3"/>
      <c r="AQ29" s="3"/>
      <c r="AR29" s="8"/>
      <c r="AS29" s="12" t="str">
        <f t="shared" si="14"/>
        <v>Dreadful Rage and Power Attack (-19)</v>
      </c>
      <c r="AT29" s="3">
        <v>-14</v>
      </c>
      <c r="AU29" s="3">
        <f t="shared" si="15"/>
        <v>24</v>
      </c>
      <c r="AV29" s="3">
        <f t="shared" si="16"/>
        <v>43</v>
      </c>
      <c r="AW29" s="3"/>
      <c r="AX29" s="3"/>
      <c r="AY29" s="3" t="s">
        <v>4083</v>
      </c>
      <c r="AZ29" s="936"/>
      <c r="BA29" s="742" t="s">
        <v>4149</v>
      </c>
      <c r="BC29" s="581">
        <v>2</v>
      </c>
      <c r="BJ29" s="12"/>
      <c r="BK29" s="3"/>
      <c r="BL29" s="3"/>
      <c r="BM29" s="8"/>
      <c r="BN29" s="12"/>
      <c r="BO29" s="3"/>
      <c r="BP29" s="3"/>
      <c r="BQ29" s="3"/>
      <c r="BR29" s="3"/>
      <c r="BS29" s="8"/>
      <c r="BT29" s="12"/>
      <c r="BU29" s="3"/>
      <c r="BV29" s="3"/>
      <c r="BW29" s="3"/>
      <c r="BX29" s="3"/>
      <c r="BY29" s="3"/>
      <c r="BZ29" s="3"/>
      <c r="CA29" s="3"/>
      <c r="CB29" s="8"/>
      <c r="CC29" s="12"/>
      <c r="CD29" s="3"/>
      <c r="CE29" s="3"/>
      <c r="CF29" s="3"/>
      <c r="CG29" s="3"/>
      <c r="CH29" s="8"/>
      <c r="CP29" s="1082"/>
      <c r="CQ29" s="1081"/>
      <c r="CR29" s="1704"/>
      <c r="CS29" s="1704"/>
      <c r="CT29" s="1704"/>
      <c r="CU29" s="1704"/>
      <c r="CV29" s="1704"/>
      <c r="CW29" s="1704"/>
      <c r="CX29" s="1704"/>
      <c r="CY29" s="1704"/>
      <c r="CZ29" s="1704"/>
      <c r="DA29" s="570" t="s">
        <v>195</v>
      </c>
      <c r="DB29" s="570" t="s">
        <v>195</v>
      </c>
      <c r="DC29" s="570" t="s">
        <v>195</v>
      </c>
      <c r="DD29" s="570" t="s">
        <v>195</v>
      </c>
      <c r="DE29" s="570" t="s">
        <v>195</v>
      </c>
      <c r="DF29" s="1104"/>
      <c r="DG29" s="1104"/>
      <c r="DW29" s="1358" t="s">
        <v>3992</v>
      </c>
      <c r="ED29" s="1323"/>
      <c r="EE29" s="8"/>
      <c r="EF29" s="1323" t="s">
        <v>7534</v>
      </c>
      <c r="EG29" s="3" t="s">
        <v>195</v>
      </c>
      <c r="EH29" s="3" t="s">
        <v>3717</v>
      </c>
      <c r="EI29" s="8" t="s">
        <v>7535</v>
      </c>
      <c r="EJ29" s="1323"/>
      <c r="EK29" s="8"/>
      <c r="EL29" s="1323" t="s">
        <v>7693</v>
      </c>
      <c r="EM29" s="1489">
        <v>10</v>
      </c>
      <c r="EN29" s="19" t="s">
        <v>7640</v>
      </c>
      <c r="EO29" s="19"/>
      <c r="EP29" s="1489">
        <f t="shared" si="18"/>
        <v>10</v>
      </c>
      <c r="EQ29" s="1473">
        <f t="shared" si="0"/>
        <v>1</v>
      </c>
      <c r="ER29" s="3">
        <f t="shared" si="1"/>
        <v>10</v>
      </c>
      <c r="ES29" s="19" t="str">
        <f t="shared" si="11"/>
        <v xml:space="preserve">.5 </v>
      </c>
      <c r="ET29" s="3">
        <f t="shared" si="3"/>
        <v>1</v>
      </c>
      <c r="EU29" s="8">
        <f t="shared" si="6"/>
        <v>0.5</v>
      </c>
      <c r="EV29" s="954" t="s">
        <v>7727</v>
      </c>
      <c r="EW29" s="954">
        <v>-15</v>
      </c>
      <c r="EX29" s="954">
        <v>15</v>
      </c>
      <c r="EY29" s="954">
        <v>30</v>
      </c>
      <c r="EZ29" s="954"/>
      <c r="FA29" s="954" t="str">
        <f t="shared" si="17"/>
        <v>NotMet</v>
      </c>
      <c r="FB29" s="954" t="s">
        <v>4083</v>
      </c>
      <c r="FC29" s="954"/>
      <c r="FD29" s="954"/>
      <c r="FE29" s="954"/>
      <c r="FF29" s="954"/>
      <c r="FG29" s="954"/>
      <c r="FH29" s="1478" t="s">
        <v>57</v>
      </c>
      <c r="FI29" s="1478"/>
      <c r="FJ29" s="1478" t="s">
        <v>7152</v>
      </c>
      <c r="FK29" s="1323" t="s">
        <v>2554</v>
      </c>
      <c r="FL29" s="1493" t="s">
        <v>7824</v>
      </c>
      <c r="FM29" s="1513" t="s">
        <v>7800</v>
      </c>
      <c r="FN29" s="1513" t="s">
        <v>4129</v>
      </c>
      <c r="FO29" s="3" t="s">
        <v>7188</v>
      </c>
      <c r="FP29" s="3"/>
      <c r="FQ29" s="597" t="s">
        <v>7825</v>
      </c>
      <c r="FR29" s="3"/>
      <c r="FS29" s="3"/>
      <c r="FT29" s="3"/>
      <c r="FU29" s="3"/>
      <c r="FV29" s="3"/>
      <c r="FW29" s="3"/>
      <c r="FX29" s="3"/>
      <c r="FY29" s="3"/>
      <c r="FZ29" s="3"/>
      <c r="GA29" s="3"/>
      <c r="GB29" s="3"/>
      <c r="GC29" s="597" t="s">
        <v>7852</v>
      </c>
      <c r="GD29" s="597" t="str">
        <f t="shared" si="12"/>
        <v>// Cleanse Mind (swift; one ally within line of sight) • Force, Talent
Remove one mind-affecting effect from ally</v>
      </c>
      <c r="GE29" s="597"/>
      <c r="GF29" s="3"/>
      <c r="GG29" s="569" t="b">
        <v>1</v>
      </c>
      <c r="GH29" s="8" t="s">
        <v>7175</v>
      </c>
      <c r="GI29" s="1512" t="str">
        <f t="shared" si="8"/>
        <v/>
      </c>
      <c r="GJ29" s="1512" t="str">
        <f t="shared" ca="1" si="9"/>
        <v/>
      </c>
      <c r="GK29" s="456" t="str">
        <f t="shared" si="10"/>
        <v>// Cleanse Mind (swift; one ally within line of sight) • Force, Talent
Remove one mind-affecting effect from ally</v>
      </c>
      <c r="GL29" s="1606" t="s">
        <v>8707</v>
      </c>
      <c r="GM29" s="1616">
        <v>2</v>
      </c>
      <c r="GN29" s="1635" t="s">
        <v>912</v>
      </c>
      <c r="GO29" s="1635"/>
      <c r="GP29" s="1639" t="s">
        <v>8775</v>
      </c>
      <c r="GQ29" s="569"/>
      <c r="GR29" s="569"/>
      <c r="GU29" s="1639"/>
    </row>
    <row r="30" spans="8:245" s="581" customFormat="1">
      <c r="H30" s="12" t="s">
        <v>4323</v>
      </c>
      <c r="I30" s="3" t="s">
        <v>3800</v>
      </c>
      <c r="J30" s="3"/>
      <c r="K30" s="3">
        <v>0</v>
      </c>
      <c r="L30" s="3" t="s">
        <v>3736</v>
      </c>
      <c r="M30" s="3" t="s">
        <v>740</v>
      </c>
      <c r="N30" s="3"/>
      <c r="O30" s="3"/>
      <c r="P30" s="1176" t="s">
        <v>4334</v>
      </c>
      <c r="Q30" s="1177" t="str">
        <f>P30</f>
        <v>Deals fire damage</v>
      </c>
      <c r="W30" s="1323" t="s">
        <v>7966</v>
      </c>
      <c r="X30" s="569" t="s">
        <v>7946</v>
      </c>
      <c r="Y30" s="569" t="s">
        <v>204</v>
      </c>
      <c r="Z30" s="1719" t="s">
        <v>200</v>
      </c>
      <c r="AA30" s="8" t="s">
        <v>7966</v>
      </c>
      <c r="AB30" s="569" t="s">
        <v>3982</v>
      </c>
      <c r="AC30" s="1358" t="s">
        <v>3990</v>
      </c>
      <c r="AD30" s="581" t="str">
        <f t="shared" si="13"/>
        <v>Darklighter Legacy (Embraced)</v>
      </c>
      <c r="AE30" s="616" t="s">
        <v>3985</v>
      </c>
      <c r="AF30" s="616" t="s">
        <v>3986</v>
      </c>
      <c r="AG30" s="616"/>
      <c r="AH30" s="1183" t="s">
        <v>1360</v>
      </c>
      <c r="AI30" s="3"/>
      <c r="AJ30" s="3"/>
      <c r="AK30" s="3"/>
      <c r="AL30" s="3"/>
      <c r="AM30" s="3"/>
      <c r="AN30" s="3"/>
      <c r="AO30" s="3"/>
      <c r="AP30" s="3"/>
      <c r="AQ30" s="3"/>
      <c r="AR30" s="8"/>
      <c r="AS30" s="12" t="str">
        <f t="shared" si="14"/>
        <v>Dreadful Rage and Power Attack (-2)</v>
      </c>
      <c r="AT30" s="3">
        <v>3</v>
      </c>
      <c r="AU30" s="3">
        <f t="shared" si="15"/>
        <v>7</v>
      </c>
      <c r="AV30" s="3">
        <f t="shared" si="16"/>
        <v>9</v>
      </c>
      <c r="AW30" s="3"/>
      <c r="AX30" s="3"/>
      <c r="AY30" s="3" t="s">
        <v>4083</v>
      </c>
      <c r="AZ30" s="936"/>
      <c r="BA30" s="742" t="s">
        <v>4150</v>
      </c>
      <c r="BC30" s="581">
        <v>2</v>
      </c>
      <c r="BJ30" s="12"/>
      <c r="BK30" s="3"/>
      <c r="BL30" s="3"/>
      <c r="BM30" s="8"/>
      <c r="BN30" s="12"/>
      <c r="BO30" s="3"/>
      <c r="BP30" s="3"/>
      <c r="BQ30" s="3"/>
      <c r="BR30" s="3"/>
      <c r="BS30" s="8"/>
      <c r="BT30" s="12"/>
      <c r="BU30" s="3"/>
      <c r="BV30" s="3"/>
      <c r="BW30" s="3"/>
      <c r="BX30" s="3"/>
      <c r="BY30" s="3"/>
      <c r="BZ30" s="3"/>
      <c r="CA30" s="3"/>
      <c r="CB30" s="8"/>
      <c r="CC30" s="12"/>
      <c r="CD30" s="3"/>
      <c r="CE30" s="3"/>
      <c r="CF30" s="3"/>
      <c r="CG30" s="3"/>
      <c r="CH30" s="8"/>
      <c r="CP30" s="1082"/>
      <c r="CQ30" s="1081"/>
      <c r="CR30" s="1704"/>
      <c r="CS30" s="1704"/>
      <c r="CT30" s="1704"/>
      <c r="CU30" s="1704"/>
      <c r="CV30" s="1704"/>
      <c r="CW30" s="1704"/>
      <c r="CX30" s="1704"/>
      <c r="CY30" s="1704"/>
      <c r="CZ30" s="1704"/>
      <c r="DA30" s="570" t="s">
        <v>195</v>
      </c>
      <c r="DB30" s="570" t="s">
        <v>195</v>
      </c>
      <c r="DC30" s="570" t="s">
        <v>195</v>
      </c>
      <c r="DD30" s="570" t="s">
        <v>195</v>
      </c>
      <c r="DE30" s="570" t="s">
        <v>195</v>
      </c>
      <c r="DF30" s="1104"/>
      <c r="DG30" s="1104"/>
      <c r="DW30" s="1358" t="s">
        <v>3992</v>
      </c>
      <c r="ED30" s="1323"/>
      <c r="EE30" s="8"/>
      <c r="EF30" s="1323" t="s">
        <v>7549</v>
      </c>
      <c r="EG30" s="3" t="s">
        <v>195</v>
      </c>
      <c r="EH30" s="3" t="s">
        <v>3717</v>
      </c>
      <c r="EI30" s="8" t="s">
        <v>7550</v>
      </c>
      <c r="EJ30" s="1323"/>
      <c r="EK30" s="8"/>
      <c r="EL30" s="1323" t="s">
        <v>7694</v>
      </c>
      <c r="EM30" s="1489">
        <v>1000</v>
      </c>
      <c r="EN30" s="19" t="s">
        <v>7692</v>
      </c>
      <c r="EO30" s="19"/>
      <c r="EP30" s="1489">
        <f t="shared" si="18"/>
        <v>1000</v>
      </c>
      <c r="EQ30" s="1473">
        <f t="shared" si="0"/>
        <v>1</v>
      </c>
      <c r="ER30" s="3">
        <f t="shared" si="1"/>
        <v>1000</v>
      </c>
      <c r="ES30" s="19" t="str">
        <f t="shared" si="11"/>
        <v xml:space="preserve">20 </v>
      </c>
      <c r="ET30" s="3">
        <f t="shared" si="3"/>
        <v>1</v>
      </c>
      <c r="EU30" s="8">
        <f t="shared" si="6"/>
        <v>20</v>
      </c>
      <c r="EV30" s="954" t="s">
        <v>7728</v>
      </c>
      <c r="EW30" s="954">
        <v>-16</v>
      </c>
      <c r="EX30" s="954">
        <v>16</v>
      </c>
      <c r="EY30" s="954">
        <v>32</v>
      </c>
      <c r="EZ30" s="954"/>
      <c r="FA30" s="954" t="str">
        <f t="shared" si="17"/>
        <v>NotMet</v>
      </c>
      <c r="FB30" s="954" t="s">
        <v>4083</v>
      </c>
      <c r="FC30" s="954"/>
      <c r="FD30" s="954"/>
      <c r="FE30" s="954"/>
      <c r="FF30" s="954"/>
      <c r="FG30" s="954"/>
      <c r="FH30" s="1478" t="s">
        <v>57</v>
      </c>
      <c r="FI30" s="1478"/>
      <c r="FJ30" s="1478" t="s">
        <v>7152</v>
      </c>
      <c r="FK30" s="1323" t="s">
        <v>6356</v>
      </c>
      <c r="FL30" s="1493" t="s">
        <v>7824</v>
      </c>
      <c r="FM30" s="1513" t="s">
        <v>4129</v>
      </c>
      <c r="FN30" s="1513" t="s">
        <v>4129</v>
      </c>
      <c r="FO30" s="1513" t="s">
        <v>7188</v>
      </c>
      <c r="FP30" s="3"/>
      <c r="FQ30" s="597"/>
      <c r="FR30" s="3"/>
      <c r="FS30" s="3"/>
      <c r="FT30" s="3"/>
      <c r="FU30" s="3"/>
      <c r="FV30" s="3"/>
      <c r="FW30" s="3"/>
      <c r="FX30" s="3"/>
      <c r="FY30" s="3"/>
      <c r="FZ30" s="3"/>
      <c r="GA30" s="3"/>
      <c r="GB30" s="3"/>
      <c r="GC30" s="597" t="str">
        <f>"Designate a target; until the start of "&amp;CharacterName&amp;"'s next turn, "&amp;PosPro&amp;" movement does not provoke attacks of opportunity from that target, provided that "&amp;Pronoun&amp;" ends "&amp;PosPro&amp;" movement adjacent to that target"</f>
        <v>Designate a target; until the start of 's next turn, its movement does not provoke attacks of opportunity from that target, provided that it ends its movement adjacent to that target</v>
      </c>
      <c r="GD30" s="597" t="str">
        <f t="shared" si="12"/>
        <v>// Close Maneuvering (swift) • Talent
Designate a target; until the start of 's next turn, its movement does not provoke attacks of opportunity from that target, provided that it ends its movement adjacent to that target</v>
      </c>
      <c r="GE30" s="597"/>
      <c r="GF30" s="3"/>
      <c r="GG30" s="569" t="b">
        <v>1</v>
      </c>
      <c r="GH30" s="8" t="str">
        <f>IF(FN30="Talent",INDEX(TalentsTable,MATCH(FK30,TalentsTableList,0),13),"")</f>
        <v>RE 23</v>
      </c>
      <c r="GI30" s="1512" t="str">
        <f t="shared" si="8"/>
        <v/>
      </c>
      <c r="GJ30" s="1512" t="str">
        <f t="shared" ca="1" si="9"/>
        <v/>
      </c>
      <c r="GK30" s="456" t="str">
        <f t="shared" si="10"/>
        <v>// Close Maneuvering (swift) • Talent
Designate a target; until the start of 's next turn, its movement does not provoke attacks of opportunity from that target, provided that it ends its movement adjacent to that target</v>
      </c>
      <c r="GL30" s="1606" t="s">
        <v>8708</v>
      </c>
      <c r="GM30" s="1616">
        <v>2</v>
      </c>
      <c r="GN30" s="1635" t="s">
        <v>8748</v>
      </c>
      <c r="GO30" s="1635"/>
      <c r="GP30" s="1639" t="s">
        <v>8776</v>
      </c>
      <c r="GQ30" s="569"/>
      <c r="GR30" s="569"/>
      <c r="GU30" s="1639"/>
    </row>
    <row r="31" spans="8:245" s="581" customFormat="1">
      <c r="H31" s="12" t="s">
        <v>300</v>
      </c>
      <c r="I31" s="3" t="s">
        <v>173</v>
      </c>
      <c r="J31" s="3"/>
      <c r="K31" s="3">
        <v>0</v>
      </c>
      <c r="L31" s="3" t="s">
        <v>3736</v>
      </c>
      <c r="M31" s="3" t="s">
        <v>740</v>
      </c>
      <c r="N31" s="3"/>
      <c r="O31" s="3"/>
      <c r="P31" s="1176" t="s">
        <v>301</v>
      </c>
      <c r="Q31" s="1177" t="s">
        <v>301</v>
      </c>
      <c r="W31" s="12" t="s">
        <v>2017</v>
      </c>
      <c r="X31" s="3" t="s">
        <v>530</v>
      </c>
      <c r="Y31" s="3" t="s">
        <v>204</v>
      </c>
      <c r="Z31" s="3" t="s">
        <v>200</v>
      </c>
      <c r="AA31" s="8" t="s">
        <v>2017</v>
      </c>
      <c r="AB31" s="569" t="s">
        <v>3983</v>
      </c>
      <c r="AC31" s="1358" t="s">
        <v>6638</v>
      </c>
      <c r="AD31" s="581" t="str">
        <f t="shared" si="13"/>
        <v>Dodonna Legacy (Denied)</v>
      </c>
      <c r="AE31" s="616" t="s">
        <v>3985</v>
      </c>
      <c r="AF31" s="616" t="s">
        <v>3986</v>
      </c>
      <c r="AG31" s="616"/>
      <c r="AH31" s="1183" t="s">
        <v>1376</v>
      </c>
      <c r="AI31" s="3"/>
      <c r="AJ31" s="3"/>
      <c r="AK31" s="3"/>
      <c r="AL31" s="3"/>
      <c r="AM31" s="3"/>
      <c r="AN31" s="3"/>
      <c r="AO31" s="3"/>
      <c r="AP31" s="3"/>
      <c r="AQ31" s="3"/>
      <c r="AR31" s="8"/>
      <c r="AS31" s="12" t="str">
        <f t="shared" si="14"/>
        <v>Dreadful Rage and Power Attack (-20)</v>
      </c>
      <c r="AT31" s="3">
        <v>-15</v>
      </c>
      <c r="AU31" s="3">
        <f t="shared" si="15"/>
        <v>25</v>
      </c>
      <c r="AV31" s="3">
        <f t="shared" si="16"/>
        <v>45</v>
      </c>
      <c r="AW31" s="3"/>
      <c r="AX31" s="3"/>
      <c r="AY31" s="3" t="s">
        <v>4083</v>
      </c>
      <c r="AZ31" s="936"/>
      <c r="BA31" s="742" t="str">
        <f>"Greater Weapon Specialization ("&amp;Feats!$D$100&amp;")"</f>
        <v>Greater Weapon Specialization ()</v>
      </c>
      <c r="BC31" s="581">
        <v>2</v>
      </c>
      <c r="BJ31" s="12"/>
      <c r="BK31" s="3"/>
      <c r="BL31" s="3"/>
      <c r="BM31" s="8"/>
      <c r="BN31" s="12"/>
      <c r="BO31" s="3"/>
      <c r="BP31" s="3"/>
      <c r="BQ31" s="3"/>
      <c r="BR31" s="3"/>
      <c r="BS31" s="8"/>
      <c r="BT31" s="12"/>
      <c r="BU31" s="3"/>
      <c r="BV31" s="3"/>
      <c r="BW31" s="3"/>
      <c r="BX31" s="3"/>
      <c r="BY31" s="3"/>
      <c r="BZ31" s="3"/>
      <c r="CA31" s="3"/>
      <c r="CB31" s="8"/>
      <c r="CC31" s="12"/>
      <c r="CD31" s="3"/>
      <c r="CE31" s="3"/>
      <c r="CF31" s="3"/>
      <c r="CG31" s="3"/>
      <c r="CH31" s="8"/>
      <c r="CP31" s="1082"/>
      <c r="CQ31" s="1081"/>
      <c r="CR31" s="1704"/>
      <c r="CS31" s="1704"/>
      <c r="CT31" s="1704"/>
      <c r="CU31" s="1704"/>
      <c r="CV31" s="1704"/>
      <c r="CW31" s="1704"/>
      <c r="CX31" s="1704"/>
      <c r="CY31" s="1704"/>
      <c r="CZ31" s="1704"/>
      <c r="DA31" s="570" t="s">
        <v>195</v>
      </c>
      <c r="DB31" s="570" t="s">
        <v>195</v>
      </c>
      <c r="DC31" s="570" t="s">
        <v>195</v>
      </c>
      <c r="DD31" s="570" t="s">
        <v>195</v>
      </c>
      <c r="DE31" s="570" t="s">
        <v>195</v>
      </c>
      <c r="DF31" s="1104"/>
      <c r="DG31" s="1104"/>
      <c r="DW31" s="1358" t="s">
        <v>3993</v>
      </c>
      <c r="ED31" s="1323"/>
      <c r="EE31" s="8"/>
      <c r="EF31" s="1323" t="s">
        <v>7600</v>
      </c>
      <c r="EG31" s="3" t="s">
        <v>195</v>
      </c>
      <c r="EH31" s="3" t="s">
        <v>3717</v>
      </c>
      <c r="EI31" s="8" t="s">
        <v>7601</v>
      </c>
      <c r="EJ31" s="1323"/>
      <c r="EK31" s="8"/>
      <c r="EL31" s="1323" t="s">
        <v>7695</v>
      </c>
      <c r="EM31" s="1489">
        <v>100</v>
      </c>
      <c r="EN31" s="19" t="s">
        <v>7642</v>
      </c>
      <c r="EO31" s="19"/>
      <c r="EP31" s="1489">
        <f t="shared" si="18"/>
        <v>100</v>
      </c>
      <c r="EQ31" s="1473">
        <f t="shared" si="0"/>
        <v>1</v>
      </c>
      <c r="ER31" s="3">
        <f t="shared" si="1"/>
        <v>100</v>
      </c>
      <c r="ES31" s="19" t="str">
        <f t="shared" si="11"/>
        <v xml:space="preserve">1 </v>
      </c>
      <c r="ET31" s="3">
        <f t="shared" si="3"/>
        <v>1</v>
      </c>
      <c r="EU31" s="8">
        <f t="shared" si="6"/>
        <v>1</v>
      </c>
      <c r="EV31" s="954" t="s">
        <v>7729</v>
      </c>
      <c r="EW31" s="954">
        <v>-17</v>
      </c>
      <c r="EX31" s="954">
        <v>17</v>
      </c>
      <c r="EY31" s="954">
        <v>34</v>
      </c>
      <c r="EZ31" s="954"/>
      <c r="FA31" s="954" t="str">
        <f t="shared" si="17"/>
        <v>NotMet</v>
      </c>
      <c r="FB31" s="954" t="s">
        <v>4083</v>
      </c>
      <c r="FC31" s="954"/>
      <c r="FD31" s="954"/>
      <c r="FE31" s="954"/>
      <c r="FF31" s="954"/>
      <c r="FG31" s="954"/>
      <c r="FH31" s="1478" t="s">
        <v>57</v>
      </c>
      <c r="FI31" s="1478"/>
      <c r="FJ31" s="1478" t="s">
        <v>7152</v>
      </c>
      <c r="FK31" s="1511" t="s">
        <v>158</v>
      </c>
      <c r="FL31" s="1493" t="s">
        <v>7824</v>
      </c>
      <c r="FM31" s="1512" t="s">
        <v>58</v>
      </c>
      <c r="FN31" s="1512" t="s">
        <v>58</v>
      </c>
      <c r="FO31" s="1512" t="s">
        <v>3771</v>
      </c>
      <c r="FP31" s="3"/>
      <c r="FQ31" s="597"/>
      <c r="FR31" s="3"/>
      <c r="FS31" s="3"/>
      <c r="FT31" s="3"/>
      <c r="FU31" s="3"/>
      <c r="FV31" s="3"/>
      <c r="FW31" s="3"/>
      <c r="FX31" s="3"/>
      <c r="FY31" s="3"/>
      <c r="FZ31" s="3"/>
      <c r="GA31" s="3"/>
      <c r="GB31" s="3"/>
      <c r="GC31" s="1512" t="str">
        <f>"Gain +1 bonust to Reflex for each adjacent ally (max +"&amp;INT((Data!JD24+Data!JD41)/2)&amp;")"</f>
        <v>Gain +1 bonust to Reflex for each adjacent ally (max +0)</v>
      </c>
      <c r="GD31" s="597" t="str">
        <f t="shared" si="12"/>
        <v>// Command Cover (special) • Class
Gain +1 bonust to Reflex for each adjacent ally (max +0)</v>
      </c>
      <c r="GE31" s="597"/>
      <c r="GF31" s="3"/>
      <c r="GG31" s="569" t="b">
        <v>1</v>
      </c>
      <c r="GH31" s="1515" t="s">
        <v>5934</v>
      </c>
      <c r="GI31" s="1512" t="str">
        <f t="shared" ca="1" si="8"/>
        <v/>
      </c>
      <c r="GJ31" s="1512" t="str">
        <f t="shared" ca="1" si="9"/>
        <v/>
      </c>
      <c r="GK31" s="456" t="str">
        <f t="shared" si="10"/>
        <v>// Command Cover (special) • Class
Gain +1 bonust to Reflex for each adjacent ally (max +0)</v>
      </c>
      <c r="GL31" s="1606" t="s">
        <v>8709</v>
      </c>
      <c r="GM31" s="1616">
        <v>2</v>
      </c>
      <c r="GN31" s="1635" t="s">
        <v>4043</v>
      </c>
      <c r="GO31" s="1635"/>
      <c r="GP31" s="1639" t="s">
        <v>8777</v>
      </c>
      <c r="GQ31" s="1604"/>
      <c r="GR31" s="1632"/>
      <c r="GU31" s="1639"/>
    </row>
    <row r="32" spans="8:245" s="581" customFormat="1">
      <c r="H32" s="12" t="s">
        <v>3792</v>
      </c>
      <c r="I32" s="3" t="s">
        <v>3800</v>
      </c>
      <c r="J32" s="3"/>
      <c r="K32" s="3">
        <v>0</v>
      </c>
      <c r="L32" s="3" t="s">
        <v>3736</v>
      </c>
      <c r="M32" s="3" t="s">
        <v>740</v>
      </c>
      <c r="N32" s="3"/>
      <c r="O32" s="3"/>
      <c r="P32" s="1178" t="s">
        <v>3791</v>
      </c>
      <c r="Q32" s="1177"/>
      <c r="W32" s="1323" t="s">
        <v>8062</v>
      </c>
      <c r="X32" s="3" t="s">
        <v>7183</v>
      </c>
      <c r="Y32" s="3" t="s">
        <v>204</v>
      </c>
      <c r="Z32" s="569" t="s">
        <v>200</v>
      </c>
      <c r="AA32" s="8" t="s">
        <v>8062</v>
      </c>
      <c r="AB32" s="569" t="s">
        <v>3982</v>
      </c>
      <c r="AC32" s="1358" t="s">
        <v>6638</v>
      </c>
      <c r="AD32" s="581" t="str">
        <f t="shared" si="13"/>
        <v>Dodonna Legacy (Embraced)</v>
      </c>
      <c r="AE32" s="616" t="s">
        <v>3985</v>
      </c>
      <c r="AF32" s="616" t="s">
        <v>3986</v>
      </c>
      <c r="AG32" s="616"/>
      <c r="AH32" s="1183" t="s">
        <v>1389</v>
      </c>
      <c r="AI32" s="3"/>
      <c r="AJ32" s="3"/>
      <c r="AK32" s="3"/>
      <c r="AL32" s="3"/>
      <c r="AM32" s="3"/>
      <c r="AN32" s="3"/>
      <c r="AO32" s="3"/>
      <c r="AP32" s="3"/>
      <c r="AQ32" s="3"/>
      <c r="AR32" s="8"/>
      <c r="AS32" s="12" t="str">
        <f t="shared" si="14"/>
        <v>Dreadful Rage and Power Attack (-3)</v>
      </c>
      <c r="AT32" s="3">
        <v>2</v>
      </c>
      <c r="AU32" s="3">
        <f t="shared" si="15"/>
        <v>8</v>
      </c>
      <c r="AV32" s="3">
        <f t="shared" si="16"/>
        <v>11</v>
      </c>
      <c r="AW32" s="3"/>
      <c r="AX32" s="3"/>
      <c r="AY32" s="3" t="s">
        <v>4083</v>
      </c>
      <c r="AZ32" s="936"/>
      <c r="BA32" s="742" t="str">
        <f>"Greater Weapon Specialization ("&amp;Feats!$D$101&amp;")"</f>
        <v>Greater Weapon Specialization ()</v>
      </c>
      <c r="BC32" s="581">
        <v>2</v>
      </c>
      <c r="BJ32" s="12"/>
      <c r="BK32" s="3"/>
      <c r="BL32" s="3"/>
      <c r="BM32" s="8"/>
      <c r="BN32" s="12"/>
      <c r="BO32" s="3"/>
      <c r="BP32" s="3"/>
      <c r="BQ32" s="3"/>
      <c r="BR32" s="3"/>
      <c r="BS32" s="8"/>
      <c r="BT32" s="12"/>
      <c r="BU32" s="3"/>
      <c r="BV32" s="3"/>
      <c r="BW32" s="3"/>
      <c r="BX32" s="3"/>
      <c r="BY32" s="3"/>
      <c r="BZ32" s="3"/>
      <c r="CA32" s="3"/>
      <c r="CB32" s="8"/>
      <c r="CC32" s="12"/>
      <c r="CD32" s="3"/>
      <c r="CE32" s="3"/>
      <c r="CF32" s="3"/>
      <c r="CG32" s="3"/>
      <c r="CH32" s="8"/>
      <c r="CP32" s="1082"/>
      <c r="CQ32" s="1081"/>
      <c r="CR32" s="1704"/>
      <c r="CS32" s="1704"/>
      <c r="CT32" s="1704"/>
      <c r="CU32" s="1704"/>
      <c r="CV32" s="1704"/>
      <c r="CW32" s="1704"/>
      <c r="CX32" s="1704"/>
      <c r="CY32" s="1704"/>
      <c r="CZ32" s="1704"/>
      <c r="DA32" s="570" t="s">
        <v>195</v>
      </c>
      <c r="DB32" s="570" t="s">
        <v>195</v>
      </c>
      <c r="DC32" s="570" t="s">
        <v>195</v>
      </c>
      <c r="DD32" s="570" t="s">
        <v>195</v>
      </c>
      <c r="DE32" s="570" t="s">
        <v>195</v>
      </c>
      <c r="DF32" s="1104"/>
      <c r="DG32" s="1104"/>
      <c r="DW32" s="1358" t="s">
        <v>3993</v>
      </c>
      <c r="ED32" s="1323"/>
      <c r="EE32" s="8"/>
      <c r="EF32" s="1323" t="s">
        <v>7559</v>
      </c>
      <c r="EG32" s="3" t="s">
        <v>238</v>
      </c>
      <c r="EH32" s="3" t="s">
        <v>195</v>
      </c>
      <c r="EI32" s="8" t="s">
        <v>7560</v>
      </c>
      <c r="EJ32" s="1323"/>
      <c r="EK32" s="8"/>
      <c r="EL32" s="1323" t="s">
        <v>7696</v>
      </c>
      <c r="EM32" s="1489">
        <v>3500</v>
      </c>
      <c r="EN32" s="19" t="s">
        <v>7672</v>
      </c>
      <c r="EO32" s="19" t="s">
        <v>7649</v>
      </c>
      <c r="EP32" s="1489">
        <f t="shared" si="18"/>
        <v>3500</v>
      </c>
      <c r="EQ32" s="1473">
        <f t="shared" si="0"/>
        <v>2</v>
      </c>
      <c r="ER32" s="3">
        <f t="shared" si="1"/>
        <v>7000</v>
      </c>
      <c r="ES32" s="19" t="str">
        <f t="shared" si="11"/>
        <v xml:space="preserve">20 </v>
      </c>
      <c r="ET32" s="3">
        <f t="shared" si="3"/>
        <v>2</v>
      </c>
      <c r="EU32" s="8">
        <f t="shared" si="6"/>
        <v>40</v>
      </c>
      <c r="EV32" s="954" t="s">
        <v>7730</v>
      </c>
      <c r="EW32" s="954">
        <v>-18</v>
      </c>
      <c r="EX32" s="954">
        <v>18</v>
      </c>
      <c r="EY32" s="954">
        <v>36</v>
      </c>
      <c r="EZ32" s="954"/>
      <c r="FA32" s="954" t="str">
        <f t="shared" si="17"/>
        <v>NotMet</v>
      </c>
      <c r="FB32" s="954" t="s">
        <v>4083</v>
      </c>
      <c r="FC32" s="954"/>
      <c r="FD32" s="954"/>
      <c r="FE32" s="954"/>
      <c r="FF32" s="954"/>
      <c r="FG32" s="954"/>
      <c r="FH32" s="1478" t="s">
        <v>57</v>
      </c>
      <c r="FI32" s="1478"/>
      <c r="FJ32" s="1478" t="s">
        <v>7152</v>
      </c>
      <c r="FK32" s="1323" t="s">
        <v>2558</v>
      </c>
      <c r="FL32" s="1493" t="s">
        <v>7824</v>
      </c>
      <c r="FM32" s="1513" t="s">
        <v>7800</v>
      </c>
      <c r="FN32" s="1513" t="s">
        <v>4129</v>
      </c>
      <c r="FO32" s="1513" t="str">
        <f>IF(Talents!M17&gt;0,"swift or free*","swift")</f>
        <v>swift</v>
      </c>
      <c r="FP32" s="3"/>
      <c r="FQ32" s="1513" t="s">
        <v>7274</v>
      </c>
      <c r="FR32" s="3"/>
      <c r="FS32" s="3"/>
      <c r="FT32" s="3"/>
      <c r="FU32" s="3"/>
      <c r="FV32" s="3"/>
      <c r="FW32" s="3"/>
      <c r="FX32" s="3"/>
      <c r="FY32" s="3"/>
      <c r="FZ32" s="3"/>
      <c r="GA32" s="3"/>
      <c r="GB32" s="3"/>
      <c r="GC32" s="597" t="e">
        <f>"Once per round grant one ally +"&amp;5+ChaMod&amp;" bonus hit points; "&amp;CharacterName&amp;" takes -5 penaity on all Use the Force checks until the beginning of "&amp;CharacterName&amp;"'s next turn"&amp;IF(Talents!M17&gt;0,IF(HTML,"&lt;BR&gt;","
")&amp;"* Whenever "&amp;CharacterName&amp;" damages a target with a lightsaber attack, use Consular's Vitality as a free action until the start of next turn","")</f>
        <v>#VALUE!</v>
      </c>
      <c r="GD32" s="597" t="e">
        <f t="shared" si="12"/>
        <v>#VALUE!</v>
      </c>
      <c r="GE32" s="597"/>
      <c r="GF32" s="3"/>
      <c r="GG32" s="3" t="b">
        <v>1</v>
      </c>
      <c r="GH32" s="8" t="s">
        <v>2559</v>
      </c>
      <c r="GI32" s="1512" t="str">
        <f t="shared" si="8"/>
        <v/>
      </c>
      <c r="GJ32" s="1512" t="str">
        <f t="shared" ca="1" si="9"/>
        <v/>
      </c>
      <c r="GK32" s="456" t="e">
        <f t="shared" si="10"/>
        <v>#VALUE!</v>
      </c>
      <c r="GL32" s="1606" t="s">
        <v>8710</v>
      </c>
      <c r="GM32" s="1616">
        <v>2</v>
      </c>
      <c r="GN32" s="1635" t="s">
        <v>1601</v>
      </c>
      <c r="GO32" s="1635"/>
      <c r="GP32" s="1639" t="s">
        <v>8778</v>
      </c>
      <c r="GQ32" s="1604"/>
      <c r="GR32" s="569"/>
      <c r="GU32" s="1639"/>
    </row>
    <row r="33" spans="8:245" s="581" customFormat="1">
      <c r="H33" s="12" t="s">
        <v>3796</v>
      </c>
      <c r="I33" s="3" t="s">
        <v>3800</v>
      </c>
      <c r="J33" s="3"/>
      <c r="K33" s="3">
        <v>0</v>
      </c>
      <c r="L33" s="3" t="s">
        <v>3736</v>
      </c>
      <c r="M33" s="3" t="s">
        <v>740</v>
      </c>
      <c r="N33" s="3"/>
      <c r="O33" s="3"/>
      <c r="P33" s="1176" t="s">
        <v>3797</v>
      </c>
      <c r="Q33" s="1177" t="s">
        <v>3797</v>
      </c>
      <c r="W33" s="12"/>
      <c r="X33" s="3"/>
      <c r="Y33" s="3"/>
      <c r="Z33" s="3"/>
      <c r="AA33" s="8"/>
      <c r="AB33" s="569" t="s">
        <v>3983</v>
      </c>
      <c r="AC33" s="1358" t="s">
        <v>6649</v>
      </c>
      <c r="AD33" s="581" t="str">
        <f t="shared" si="13"/>
        <v>Doneeta (clan) Legacy (Denied)</v>
      </c>
      <c r="AE33" s="616" t="s">
        <v>3985</v>
      </c>
      <c r="AF33" s="616" t="s">
        <v>3986</v>
      </c>
      <c r="AG33" s="616"/>
      <c r="AH33" s="1183" t="s">
        <v>1412</v>
      </c>
      <c r="AI33" s="3"/>
      <c r="AJ33" s="3"/>
      <c r="AK33" s="3"/>
      <c r="AL33" s="3"/>
      <c r="AM33" s="3"/>
      <c r="AN33" s="3"/>
      <c r="AO33" s="3"/>
      <c r="AP33" s="3"/>
      <c r="AQ33" s="3"/>
      <c r="AR33" s="8"/>
      <c r="AS33" s="12" t="str">
        <f t="shared" si="14"/>
        <v>Dreadful Rage and Power Attack (-4)</v>
      </c>
      <c r="AT33" s="3">
        <v>1</v>
      </c>
      <c r="AU33" s="3">
        <f t="shared" si="15"/>
        <v>9</v>
      </c>
      <c r="AV33" s="3">
        <f t="shared" si="16"/>
        <v>13</v>
      </c>
      <c r="AW33" s="3"/>
      <c r="AX33" s="3"/>
      <c r="AY33" s="3" t="s">
        <v>4083</v>
      </c>
      <c r="AZ33" s="936"/>
      <c r="BJ33" s="12"/>
      <c r="BK33" s="3"/>
      <c r="BL33" s="3"/>
      <c r="BM33" s="8"/>
      <c r="BN33" s="12"/>
      <c r="BO33" s="3"/>
      <c r="BP33" s="3"/>
      <c r="BQ33" s="3"/>
      <c r="BR33" s="3"/>
      <c r="BS33" s="8"/>
      <c r="BT33" s="12"/>
      <c r="BU33" s="3"/>
      <c r="BV33" s="3"/>
      <c r="BW33" s="3"/>
      <c r="BX33" s="3"/>
      <c r="BY33" s="3"/>
      <c r="BZ33" s="3"/>
      <c r="CA33" s="3"/>
      <c r="CB33" s="8"/>
      <c r="CC33" s="12"/>
      <c r="CD33" s="3"/>
      <c r="CE33" s="3"/>
      <c r="CF33" s="3"/>
      <c r="CG33" s="3"/>
      <c r="CH33" s="8"/>
      <c r="CP33" s="1082"/>
      <c r="CQ33" s="1081"/>
      <c r="CR33" s="1704"/>
      <c r="CS33" s="1704"/>
      <c r="CT33" s="1704"/>
      <c r="CU33" s="1704"/>
      <c r="CV33" s="1704"/>
      <c r="CW33" s="1704"/>
      <c r="CX33" s="1704"/>
      <c r="CY33" s="1704"/>
      <c r="CZ33" s="1704"/>
      <c r="DA33" s="570" t="s">
        <v>195</v>
      </c>
      <c r="DB33" s="570" t="s">
        <v>195</v>
      </c>
      <c r="DC33" s="570" t="s">
        <v>195</v>
      </c>
      <c r="DD33" s="570" t="s">
        <v>195</v>
      </c>
      <c r="DE33" s="570" t="s">
        <v>195</v>
      </c>
      <c r="DF33" s="1104"/>
      <c r="DG33" s="1104"/>
      <c r="DW33" s="1358" t="s">
        <v>4005</v>
      </c>
      <c r="ED33" s="1323"/>
      <c r="EE33" s="8"/>
      <c r="EF33" s="1323" t="s">
        <v>3939</v>
      </c>
      <c r="EG33" s="3" t="s">
        <v>238</v>
      </c>
      <c r="EH33" s="3" t="s">
        <v>3717</v>
      </c>
      <c r="EI33" s="8" t="s">
        <v>7563</v>
      </c>
      <c r="EJ33" s="1323"/>
      <c r="EK33" s="8"/>
      <c r="EL33" s="1323" t="s">
        <v>7697</v>
      </c>
      <c r="EM33" s="1489">
        <v>5000</v>
      </c>
      <c r="EN33" s="19" t="s">
        <v>7698</v>
      </c>
      <c r="EO33" s="19"/>
      <c r="EP33" s="1489">
        <f t="shared" si="18"/>
        <v>5000</v>
      </c>
      <c r="EQ33" s="1473">
        <f t="shared" si="0"/>
        <v>1</v>
      </c>
      <c r="ER33" s="3">
        <f t="shared" si="1"/>
        <v>5000</v>
      </c>
      <c r="ES33" s="19" t="str">
        <f t="shared" si="11"/>
        <v xml:space="preserve">10 </v>
      </c>
      <c r="ET33" s="3">
        <f t="shared" si="3"/>
        <v>1</v>
      </c>
      <c r="EU33" s="8">
        <f t="shared" si="6"/>
        <v>10</v>
      </c>
      <c r="EV33" s="954" t="s">
        <v>7731</v>
      </c>
      <c r="EW33" s="954">
        <v>-19</v>
      </c>
      <c r="EX33" s="954">
        <v>19</v>
      </c>
      <c r="EY33" s="954">
        <v>38</v>
      </c>
      <c r="EZ33" s="954"/>
      <c r="FA33" s="954" t="str">
        <f t="shared" si="17"/>
        <v>NotMet</v>
      </c>
      <c r="FB33" s="954" t="s">
        <v>4083</v>
      </c>
      <c r="FC33" s="954"/>
      <c r="FD33" s="954"/>
      <c r="FE33" s="954"/>
      <c r="FF33" s="954"/>
      <c r="FG33" s="954"/>
      <c r="FH33" s="1478" t="s">
        <v>57</v>
      </c>
      <c r="FI33" s="1478"/>
      <c r="FJ33" s="1478" t="s">
        <v>7152</v>
      </c>
      <c r="FK33" s="1323" t="s">
        <v>2551</v>
      </c>
      <c r="FL33" s="1493" t="s">
        <v>7824</v>
      </c>
      <c r="FM33" s="1513" t="s">
        <v>4129</v>
      </c>
      <c r="FN33" s="1513" t="s">
        <v>4129</v>
      </c>
      <c r="FO33" s="1513" t="s">
        <v>7188</v>
      </c>
      <c r="FP33" s="1513" t="s">
        <v>7806</v>
      </c>
      <c r="FQ33" s="1513" t="s">
        <v>7825</v>
      </c>
      <c r="FR33" s="3"/>
      <c r="FS33" s="3"/>
      <c r="FT33" s="3"/>
      <c r="FU33" s="3"/>
      <c r="FV33" s="3"/>
      <c r="FW33" s="3"/>
      <c r="FX33" s="3"/>
      <c r="FY33" s="3"/>
      <c r="FZ33" s="3"/>
      <c r="GA33" s="3"/>
      <c r="GB33" s="3"/>
      <c r="GC33" s="597" t="str">
        <f>"Ally gains +"&amp;WisMod&amp;" bonus to Will against mind-affecting effects until end of the encounter"</f>
        <v>Ally gains + bonus to Will against mind-affecting effects until end of the encounter</v>
      </c>
      <c r="GD33" s="597" t="str">
        <f t="shared" si="12"/>
        <v>// Consular's Wisdom (swift; encounter; one ally within line of sight) • Talent
Ally gains + bonus to Will against mind-affecting effects until end of the encounter</v>
      </c>
      <c r="GE33" s="597"/>
      <c r="GF33" s="3"/>
      <c r="GG33" s="569" t="b">
        <v>1</v>
      </c>
      <c r="GH33" s="1515" t="s">
        <v>520</v>
      </c>
      <c r="GI33" s="1512" t="str">
        <f t="shared" si="8"/>
        <v/>
      </c>
      <c r="GJ33" s="1512" t="str">
        <f t="shared" ca="1" si="9"/>
        <v/>
      </c>
      <c r="GK33" s="456" t="str">
        <f t="shared" si="10"/>
        <v>// Consular's Wisdom (swift; encounter; one ally within line of sight) • Talent
Ally gains + bonus to Will against mind-affecting effects until end of the encounter</v>
      </c>
      <c r="GL33" s="1606" t="s">
        <v>8711</v>
      </c>
      <c r="GM33" s="1616">
        <v>2</v>
      </c>
      <c r="GN33" s="1635" t="s">
        <v>1301</v>
      </c>
      <c r="GO33" s="1635"/>
      <c r="GP33" s="1639" t="s">
        <v>8771</v>
      </c>
      <c r="GQ33" s="1604"/>
      <c r="GR33" s="569"/>
      <c r="GU33" s="1639"/>
    </row>
    <row r="34" spans="8:245" s="581" customFormat="1">
      <c r="H34" s="12" t="s">
        <v>370</v>
      </c>
      <c r="I34" s="3" t="s">
        <v>173</v>
      </c>
      <c r="J34" s="3"/>
      <c r="K34" s="3">
        <v>0</v>
      </c>
      <c r="L34" s="3" t="s">
        <v>3736</v>
      </c>
      <c r="M34" s="3" t="s">
        <v>740</v>
      </c>
      <c r="N34" s="3"/>
      <c r="O34" s="3"/>
      <c r="P34" s="1176" t="s">
        <v>371</v>
      </c>
      <c r="Q34" s="1177" t="s">
        <v>371</v>
      </c>
      <c r="W34" s="12"/>
      <c r="X34" s="3"/>
      <c r="Y34" s="3"/>
      <c r="Z34" s="3"/>
      <c r="AA34" s="8"/>
      <c r="AB34" s="569" t="s">
        <v>3982</v>
      </c>
      <c r="AC34" s="1358" t="s">
        <v>6649</v>
      </c>
      <c r="AD34" s="581" t="str">
        <f t="shared" si="13"/>
        <v>Doneeta (clan) Legacy (Embraced)</v>
      </c>
      <c r="AE34" s="616" t="s">
        <v>3985</v>
      </c>
      <c r="AF34" s="616" t="s">
        <v>3986</v>
      </c>
      <c r="AG34" s="616"/>
      <c r="AH34" s="1183" t="s">
        <v>435</v>
      </c>
      <c r="AI34" s="3"/>
      <c r="AJ34" s="3"/>
      <c r="AK34" s="3"/>
      <c r="AL34" s="3"/>
      <c r="AM34" s="3"/>
      <c r="AN34" s="3"/>
      <c r="AO34" s="3"/>
      <c r="AP34" s="3"/>
      <c r="AQ34" s="3"/>
      <c r="AR34" s="8"/>
      <c r="AS34" s="12" t="str">
        <f t="shared" si="14"/>
        <v>Dreadful Rage and Power Attack (-5)</v>
      </c>
      <c r="AT34" s="3">
        <v>0</v>
      </c>
      <c r="AU34" s="3">
        <f t="shared" si="15"/>
        <v>10</v>
      </c>
      <c r="AV34" s="3">
        <f t="shared" si="16"/>
        <v>15</v>
      </c>
      <c r="AW34" s="3"/>
      <c r="AX34" s="3"/>
      <c r="AY34" s="3" t="s">
        <v>4083</v>
      </c>
      <c r="AZ34" s="936"/>
      <c r="BJ34" s="12"/>
      <c r="BK34" s="3"/>
      <c r="BL34" s="3"/>
      <c r="BM34" s="8"/>
      <c r="BN34" s="12"/>
      <c r="BO34" s="3"/>
      <c r="BP34" s="3"/>
      <c r="BQ34" s="3"/>
      <c r="BR34" s="3"/>
      <c r="BS34" s="8"/>
      <c r="BT34" s="12"/>
      <c r="BU34" s="3"/>
      <c r="BV34" s="3"/>
      <c r="BW34" s="3"/>
      <c r="BX34" s="3"/>
      <c r="BY34" s="3"/>
      <c r="BZ34" s="3"/>
      <c r="CA34" s="3"/>
      <c r="CB34" s="8"/>
      <c r="CC34" s="12"/>
      <c r="CD34" s="3"/>
      <c r="CE34" s="3"/>
      <c r="CF34" s="3"/>
      <c r="CG34" s="3"/>
      <c r="CH34" s="8"/>
      <c r="CP34" s="1082"/>
      <c r="CQ34" s="1081"/>
      <c r="CR34" s="1704"/>
      <c r="CS34" s="1704"/>
      <c r="CT34" s="1704"/>
      <c r="CU34" s="1704"/>
      <c r="CV34" s="1704"/>
      <c r="CW34" s="1704"/>
      <c r="CX34" s="1704"/>
      <c r="CY34" s="1704"/>
      <c r="CZ34" s="1704"/>
      <c r="DA34" s="570" t="s">
        <v>195</v>
      </c>
      <c r="DB34" s="570" t="s">
        <v>195</v>
      </c>
      <c r="DC34" s="570" t="s">
        <v>195</v>
      </c>
      <c r="DD34" s="570" t="s">
        <v>195</v>
      </c>
      <c r="DE34" s="570" t="s">
        <v>195</v>
      </c>
      <c r="DF34" s="1104"/>
      <c r="DG34" s="1104"/>
      <c r="DW34" s="1358" t="s">
        <v>4005</v>
      </c>
      <c r="ED34" s="1323"/>
      <c r="EE34" s="8"/>
      <c r="EF34" s="1323" t="s">
        <v>7580</v>
      </c>
      <c r="EG34" s="3" t="s">
        <v>238</v>
      </c>
      <c r="EH34" s="3" t="s">
        <v>195</v>
      </c>
      <c r="EI34" s="8" t="s">
        <v>7581</v>
      </c>
      <c r="EJ34" s="1323"/>
      <c r="EK34" s="8"/>
      <c r="EL34" s="1323" t="s">
        <v>7699</v>
      </c>
      <c r="EM34" s="1489">
        <v>100</v>
      </c>
      <c r="EN34" s="19" t="s">
        <v>7642</v>
      </c>
      <c r="EO34" s="19"/>
      <c r="EP34" s="1489">
        <f t="shared" si="18"/>
        <v>100</v>
      </c>
      <c r="EQ34" s="1473">
        <f t="shared" si="0"/>
        <v>1</v>
      </c>
      <c r="ER34" s="3">
        <f t="shared" si="1"/>
        <v>100</v>
      </c>
      <c r="ES34" s="19" t="str">
        <f t="shared" si="11"/>
        <v xml:space="preserve">1 </v>
      </c>
      <c r="ET34" s="3">
        <f t="shared" si="3"/>
        <v>1</v>
      </c>
      <c r="EU34" s="8">
        <f t="shared" si="6"/>
        <v>1</v>
      </c>
      <c r="EV34" s="954" t="s">
        <v>7714</v>
      </c>
      <c r="EW34" s="954">
        <v>-2</v>
      </c>
      <c r="EX34" s="954">
        <v>2</v>
      </c>
      <c r="EY34" s="954">
        <v>4</v>
      </c>
      <c r="EZ34" s="954"/>
      <c r="FA34" s="954" t="str">
        <f t="shared" si="17"/>
        <v>NotMet</v>
      </c>
      <c r="FB34" s="954" t="s">
        <v>4083</v>
      </c>
      <c r="FC34" s="954"/>
      <c r="FD34" s="954"/>
      <c r="FE34" s="954"/>
      <c r="FF34" s="954"/>
      <c r="FG34" s="954"/>
      <c r="FH34" s="1478" t="s">
        <v>57</v>
      </c>
      <c r="FI34" s="1478"/>
      <c r="FJ34" s="1478" t="s">
        <v>7152</v>
      </c>
      <c r="FK34" s="1511" t="s">
        <v>5790</v>
      </c>
      <c r="FL34" s="1493" t="s">
        <v>7824</v>
      </c>
      <c r="FM34" s="1512" t="s">
        <v>7100</v>
      </c>
      <c r="FN34" s="1512" t="s">
        <v>4715</v>
      </c>
      <c r="FO34" s="1512" t="s">
        <v>7807</v>
      </c>
      <c r="FP34" s="1513" t="s">
        <v>7809</v>
      </c>
      <c r="FQ34" s="1513" t="s">
        <v>7808</v>
      </c>
      <c r="FR34" s="3"/>
      <c r="FS34" s="3"/>
      <c r="FT34" s="3"/>
      <c r="FU34" s="3"/>
      <c r="FV34" s="3"/>
      <c r="FW34" s="3"/>
      <c r="FX34" s="3"/>
      <c r="FY34" s="3"/>
      <c r="FZ34" s="3"/>
      <c r="GA34" s="3"/>
      <c r="GB34" s="3"/>
      <c r="GC34" s="1512" t="s">
        <v>7117</v>
      </c>
      <c r="GD34" s="597" t="str">
        <f t="shared" si="12"/>
        <v>// Corrupted Power (free action; FP/DP; non [light side] Force power) • Force, Secret
Spend Force Point to give power the [dark side] descriptor and opponents with lower Dark Side Score take -2 penalty to defense scores against power; spend Destiny point to increase the penalty to opponents' defense scores to - 5</v>
      </c>
      <c r="GE34" s="597"/>
      <c r="GF34" s="3"/>
      <c r="GG34" s="569"/>
      <c r="GH34" s="1515" t="s">
        <v>5938</v>
      </c>
      <c r="GI34" s="1512" t="str">
        <f t="shared" si="8"/>
        <v/>
      </c>
      <c r="GJ34" s="1512" t="str">
        <f t="shared" ca="1" si="9"/>
        <v/>
      </c>
      <c r="GK34" s="456" t="str">
        <f t="shared" si="10"/>
        <v>// Corrupted Power (free action; FP/DP; non [light side] Force power) • Force, Secret
Spend Force Point to give power the [dark side] descriptor and opponents with lower Dark Side Score take -2 penalty to defense scores against power; spend Destiny point to increase the penalty to opponents' defense scores to - 5</v>
      </c>
      <c r="GL34" s="1606" t="s">
        <v>8712</v>
      </c>
      <c r="GM34" s="1616">
        <v>2</v>
      </c>
      <c r="GN34" s="1635" t="s">
        <v>4130</v>
      </c>
      <c r="GO34" s="1635"/>
      <c r="GP34" s="1639" t="s">
        <v>8771</v>
      </c>
      <c r="GQ34" s="1604"/>
      <c r="GR34" s="569"/>
      <c r="GU34" s="1639"/>
    </row>
    <row r="35" spans="8:245" s="581" customFormat="1">
      <c r="H35" s="12" t="s">
        <v>4324</v>
      </c>
      <c r="I35" s="3" t="s">
        <v>3800</v>
      </c>
      <c r="J35" s="3"/>
      <c r="K35" s="3">
        <v>0</v>
      </c>
      <c r="L35" s="3" t="s">
        <v>3736</v>
      </c>
      <c r="M35" s="3" t="s">
        <v>740</v>
      </c>
      <c r="N35" s="3"/>
      <c r="O35" s="3"/>
      <c r="P35" s="1180" t="str">
        <f>"Regain "&amp;IF(DSP&gt;0,"Dark Side ","Light Side ")&amp;"Force Powers on a natual 19"</f>
        <v>Regain Light Side Force Powers on a natual 19</v>
      </c>
      <c r="Q35" s="1177" t="str">
        <f>P35</f>
        <v>Regain Light Side Force Powers on a natual 19</v>
      </c>
      <c r="W35" s="12"/>
      <c r="X35" s="3"/>
      <c r="Y35" s="3"/>
      <c r="Z35" s="3"/>
      <c r="AA35" s="8"/>
      <c r="AB35" s="569" t="s">
        <v>3983</v>
      </c>
      <c r="AC35" s="1358" t="s">
        <v>3991</v>
      </c>
      <c r="AD35" s="581" t="str">
        <f t="shared" si="13"/>
        <v>Draco Legacy (Denied)</v>
      </c>
      <c r="AE35" s="616" t="s">
        <v>3985</v>
      </c>
      <c r="AF35" s="616" t="s">
        <v>3986</v>
      </c>
      <c r="AG35" s="616"/>
      <c r="AH35" s="1183" t="s">
        <v>1428</v>
      </c>
      <c r="AI35" s="3"/>
      <c r="AJ35" s="3"/>
      <c r="AK35" s="3"/>
      <c r="AL35" s="3"/>
      <c r="AM35" s="3"/>
      <c r="AN35" s="3"/>
      <c r="AO35" s="3"/>
      <c r="AP35" s="3"/>
      <c r="AQ35" s="3"/>
      <c r="AR35" s="8"/>
      <c r="AS35" s="12" t="str">
        <f t="shared" si="14"/>
        <v>Dreadful Rage and Power Attack (-6)</v>
      </c>
      <c r="AT35" s="3">
        <v>-1</v>
      </c>
      <c r="AU35" s="3">
        <f t="shared" si="15"/>
        <v>11</v>
      </c>
      <c r="AV35" s="3">
        <f t="shared" si="16"/>
        <v>17</v>
      </c>
      <c r="AW35" s="3"/>
      <c r="AX35" s="3"/>
      <c r="AY35" s="3" t="s">
        <v>4083</v>
      </c>
      <c r="AZ35" s="936"/>
      <c r="BJ35" s="12"/>
      <c r="BK35" s="3"/>
      <c r="BL35" s="3"/>
      <c r="BM35" s="8"/>
      <c r="BN35" s="12"/>
      <c r="BO35" s="3"/>
      <c r="BP35" s="3"/>
      <c r="BQ35" s="3"/>
      <c r="BR35" s="3"/>
      <c r="BS35" s="8"/>
      <c r="BT35" s="12"/>
      <c r="BU35" s="3"/>
      <c r="BV35" s="3"/>
      <c r="BW35" s="3"/>
      <c r="BX35" s="3"/>
      <c r="BY35" s="3"/>
      <c r="BZ35" s="3"/>
      <c r="CA35" s="3"/>
      <c r="CB35" s="8"/>
      <c r="CC35" s="12"/>
      <c r="CD35" s="3"/>
      <c r="CE35" s="3"/>
      <c r="CF35" s="3"/>
      <c r="CG35" s="3"/>
      <c r="CH35" s="8"/>
      <c r="CP35" s="1082"/>
      <c r="CQ35" s="1081"/>
      <c r="CR35" s="1704"/>
      <c r="CS35" s="1704"/>
      <c r="CT35" s="1704"/>
      <c r="CU35" s="1704"/>
      <c r="CV35" s="1704"/>
      <c r="CW35" s="1704"/>
      <c r="CX35" s="1704"/>
      <c r="CY35" s="1704"/>
      <c r="CZ35" s="1704"/>
      <c r="DA35" s="570" t="s">
        <v>195</v>
      </c>
      <c r="DB35" s="570" t="s">
        <v>195</v>
      </c>
      <c r="DC35" s="570" t="s">
        <v>195</v>
      </c>
      <c r="DD35" s="570" t="s">
        <v>195</v>
      </c>
      <c r="DE35" s="570" t="s">
        <v>195</v>
      </c>
      <c r="DF35" s="1104"/>
      <c r="DG35" s="1104"/>
      <c r="DW35" s="1358" t="s">
        <v>4009</v>
      </c>
      <c r="ED35" s="1323"/>
      <c r="EE35" s="8"/>
      <c r="EF35" s="1323" t="s">
        <v>7573</v>
      </c>
      <c r="EG35" s="3" t="s">
        <v>195</v>
      </c>
      <c r="EH35" s="3" t="s">
        <v>195</v>
      </c>
      <c r="EI35" s="8" t="s">
        <v>195</v>
      </c>
      <c r="EJ35" s="1323"/>
      <c r="EK35" s="8"/>
      <c r="EL35" s="1323" t="s">
        <v>7700</v>
      </c>
      <c r="EM35" s="1489">
        <v>250</v>
      </c>
      <c r="EN35" s="19" t="s">
        <v>7647</v>
      </c>
      <c r="EO35" s="19" t="s">
        <v>7649</v>
      </c>
      <c r="EP35" s="1489">
        <f t="shared" si="18"/>
        <v>250</v>
      </c>
      <c r="EQ35" s="1473">
        <f t="shared" si="0"/>
        <v>1</v>
      </c>
      <c r="ER35" s="3">
        <f t="shared" si="1"/>
        <v>250</v>
      </c>
      <c r="ES35" s="19" t="str">
        <f t="shared" si="11"/>
        <v xml:space="preserve">2 </v>
      </c>
      <c r="ET35" s="3">
        <f t="shared" si="3"/>
        <v>1</v>
      </c>
      <c r="EU35" s="8">
        <f t="shared" si="6"/>
        <v>2</v>
      </c>
      <c r="EV35" s="954" t="s">
        <v>7732</v>
      </c>
      <c r="EW35" s="954">
        <v>-20</v>
      </c>
      <c r="EX35" s="954">
        <v>20</v>
      </c>
      <c r="EY35" s="954">
        <v>40</v>
      </c>
      <c r="EZ35" s="954"/>
      <c r="FA35" s="954" t="str">
        <f t="shared" si="17"/>
        <v>NotMet</v>
      </c>
      <c r="FB35" s="954" t="s">
        <v>4083</v>
      </c>
      <c r="FC35" s="954"/>
      <c r="FD35" s="954"/>
      <c r="FE35" s="954"/>
      <c r="FF35" s="954"/>
      <c r="FG35" s="954"/>
      <c r="FH35" s="1478" t="s">
        <v>57</v>
      </c>
      <c r="FI35" s="1478"/>
      <c r="FJ35" s="1478" t="s">
        <v>7152</v>
      </c>
      <c r="FK35" s="1323" t="s">
        <v>6812</v>
      </c>
      <c r="FL35" s="1493" t="s">
        <v>7824</v>
      </c>
      <c r="FM35" s="1513" t="s">
        <v>4129</v>
      </c>
      <c r="FN35" s="1513" t="s">
        <v>4129</v>
      </c>
      <c r="FO35" s="1513" t="s">
        <v>7189</v>
      </c>
      <c r="FP35" s="1513" t="s">
        <v>65</v>
      </c>
      <c r="FQ35" s="597"/>
      <c r="FR35" s="3"/>
      <c r="FS35" s="3"/>
      <c r="FT35" s="3"/>
      <c r="FU35" s="3"/>
      <c r="FV35" s="3"/>
      <c r="FW35" s="3"/>
      <c r="FX35" s="3"/>
      <c r="FY35" s="3"/>
      <c r="FZ35" s="3"/>
      <c r="GA35" s="3"/>
      <c r="GB35" s="3"/>
      <c r="GC35" s="597" t="s">
        <v>7873</v>
      </c>
      <c r="GD35" s="597" t="str">
        <f t="shared" si="12"/>
        <v>// Cover Escape (reaction; FP) • Talent
Negate a melee attack against an adjacent ally with the Block or Deflect talents; that ally can move up to 2 squares as a free action that does not provoke an attack of opportunity</v>
      </c>
      <c r="GE35" s="597"/>
      <c r="GF35" s="3"/>
      <c r="GG35" s="569" t="b">
        <v>1</v>
      </c>
      <c r="GH35" s="8" t="str">
        <f>IF(FN35="Talent",INDEX(TalentsTable,MATCH(FK35,TalentsTableList,0),13),"")</f>
        <v>GAW 18</v>
      </c>
      <c r="GI35" s="1512" t="str">
        <f t="shared" si="8"/>
        <v/>
      </c>
      <c r="GJ35" s="1512" t="str">
        <f t="shared" ca="1" si="9"/>
        <v/>
      </c>
      <c r="GK35" s="456" t="str">
        <f t="shared" si="10"/>
        <v>// Cover Escape (reaction; FP) • Talent
Negate a melee attack against an adjacent ally with the Block or Deflect talents; that ally can move up to 2 squares as a free action that does not provoke an attack of opportunity</v>
      </c>
      <c r="GL35" s="1606" t="s">
        <v>8713</v>
      </c>
      <c r="GM35" s="1616">
        <v>2</v>
      </c>
      <c r="GN35" s="1635" t="s">
        <v>1410</v>
      </c>
      <c r="GO35" s="1635"/>
      <c r="GP35" s="1639" t="s">
        <v>8779</v>
      </c>
      <c r="GQ35" s="1604"/>
      <c r="GR35" s="569"/>
      <c r="GU35" s="1639"/>
    </row>
    <row r="36" spans="8:245" s="581" customFormat="1">
      <c r="H36" s="12" t="s">
        <v>3798</v>
      </c>
      <c r="I36" s="3" t="s">
        <v>3800</v>
      </c>
      <c r="J36" s="3"/>
      <c r="K36" s="3">
        <v>0</v>
      </c>
      <c r="L36" s="3" t="s">
        <v>3736</v>
      </c>
      <c r="M36" s="3" t="s">
        <v>740</v>
      </c>
      <c r="N36" s="3"/>
      <c r="O36" s="3"/>
      <c r="P36" s="1176" t="s">
        <v>3799</v>
      </c>
      <c r="Q36" s="1177" t="s">
        <v>3799</v>
      </c>
      <c r="W36" s="12"/>
      <c r="X36" s="3"/>
      <c r="Y36" s="3"/>
      <c r="Z36" s="3"/>
      <c r="AA36" s="8"/>
      <c r="AB36" s="569" t="s">
        <v>3982</v>
      </c>
      <c r="AC36" s="1358" t="s">
        <v>3991</v>
      </c>
      <c r="AD36" s="581" t="str">
        <f t="shared" si="13"/>
        <v>Draco Legacy (Embraced)</v>
      </c>
      <c r="AE36" s="616" t="s">
        <v>3985</v>
      </c>
      <c r="AF36" s="616" t="s">
        <v>3986</v>
      </c>
      <c r="AG36" s="616"/>
      <c r="AH36" s="1183" t="s">
        <v>1440</v>
      </c>
      <c r="AI36" s="3"/>
      <c r="AJ36" s="3"/>
      <c r="AK36" s="3"/>
      <c r="AL36" s="3"/>
      <c r="AM36" s="3"/>
      <c r="AN36" s="3"/>
      <c r="AO36" s="3"/>
      <c r="AP36" s="3"/>
      <c r="AQ36" s="3"/>
      <c r="AR36" s="8"/>
      <c r="AS36" s="12" t="str">
        <f t="shared" si="14"/>
        <v>Dreadful Rage and Power Attack (-7)</v>
      </c>
      <c r="AT36" s="3">
        <v>-2</v>
      </c>
      <c r="AU36" s="3">
        <f t="shared" si="15"/>
        <v>12</v>
      </c>
      <c r="AV36" s="3">
        <f t="shared" si="16"/>
        <v>19</v>
      </c>
      <c r="AW36" s="3"/>
      <c r="AX36" s="3"/>
      <c r="AY36" s="3" t="s">
        <v>4083</v>
      </c>
      <c r="AZ36" s="936"/>
      <c r="BJ36" s="12"/>
      <c r="BK36" s="3"/>
      <c r="BL36" s="3"/>
      <c r="BM36" s="8"/>
      <c r="BN36" s="12"/>
      <c r="BO36" s="3"/>
      <c r="BP36" s="3"/>
      <c r="BQ36" s="3"/>
      <c r="BR36" s="3"/>
      <c r="BS36" s="8"/>
      <c r="BT36" s="12"/>
      <c r="BU36" s="3"/>
      <c r="BV36" s="3"/>
      <c r="BW36" s="3"/>
      <c r="BX36" s="3"/>
      <c r="BY36" s="3"/>
      <c r="BZ36" s="3"/>
      <c r="CA36" s="3"/>
      <c r="CB36" s="8"/>
      <c r="CC36" s="12"/>
      <c r="CD36" s="3"/>
      <c r="CE36" s="3"/>
      <c r="CF36" s="3"/>
      <c r="CG36" s="3"/>
      <c r="CH36" s="8"/>
      <c r="CP36" s="1082"/>
      <c r="CQ36" s="1081"/>
      <c r="CR36" s="1704"/>
      <c r="CS36" s="1704"/>
      <c r="CT36" s="1704"/>
      <c r="CU36" s="1704"/>
      <c r="CV36" s="1704"/>
      <c r="CW36" s="1704"/>
      <c r="CX36" s="1704"/>
      <c r="CY36" s="1704"/>
      <c r="CZ36" s="1704"/>
      <c r="DA36" s="570" t="s">
        <v>195</v>
      </c>
      <c r="DB36" s="570" t="s">
        <v>195</v>
      </c>
      <c r="DC36" s="570" t="s">
        <v>195</v>
      </c>
      <c r="DD36" s="570" t="s">
        <v>195</v>
      </c>
      <c r="DE36" s="570" t="s">
        <v>195</v>
      </c>
      <c r="DF36" s="1104"/>
      <c r="DG36" s="1104"/>
      <c r="DW36" s="1358" t="s">
        <v>4009</v>
      </c>
      <c r="ED36" s="1323"/>
      <c r="EE36" s="8"/>
      <c r="EF36" s="1323" t="s">
        <v>7553</v>
      </c>
      <c r="EG36" s="3" t="s">
        <v>195</v>
      </c>
      <c r="EH36" s="3" t="s">
        <v>3717</v>
      </c>
      <c r="EI36" s="8" t="s">
        <v>7554</v>
      </c>
      <c r="EJ36" s="1323"/>
      <c r="EK36" s="8"/>
      <c r="EL36" s="1323" t="s">
        <v>7701</v>
      </c>
      <c r="EM36" s="1489" t="s">
        <v>7702</v>
      </c>
      <c r="EN36" s="19" t="s">
        <v>7703</v>
      </c>
      <c r="EO36" s="19"/>
      <c r="EP36" s="19" t="e">
        <f>IF(NOT(ISERROR(FIND("cost factor",EM36,1))),LEFT(EM36,LEN(EM36)-(LEN(EM36)-FIND("x",EM36,1))-1),LEFT(EM36,LEN(EM36)-(LEN(EM36)-FIND("kg",EM36,1))-1))</f>
        <v>#VALUE!</v>
      </c>
      <c r="EQ36" s="1473">
        <f t="shared" si="0"/>
        <v>1</v>
      </c>
      <c r="ER36" s="3" t="e">
        <f t="shared" si="1"/>
        <v>#VALUE!</v>
      </c>
      <c r="ES36" s="19" t="str">
        <f t="shared" si="11"/>
        <v xml:space="preserve">1 </v>
      </c>
      <c r="ET36" s="3">
        <f t="shared" si="3"/>
        <v>1</v>
      </c>
      <c r="EU36" s="8">
        <f t="shared" si="6"/>
        <v>1</v>
      </c>
      <c r="EV36" s="954" t="s">
        <v>7715</v>
      </c>
      <c r="EW36" s="954">
        <v>-3</v>
      </c>
      <c r="EX36" s="954">
        <v>3</v>
      </c>
      <c r="EY36" s="954">
        <v>6</v>
      </c>
      <c r="EZ36" s="954"/>
      <c r="FA36" s="954" t="str">
        <f t="shared" si="17"/>
        <v>NotMet</v>
      </c>
      <c r="FB36" s="954" t="s">
        <v>4083</v>
      </c>
      <c r="FC36" s="954"/>
      <c r="FD36" s="954"/>
      <c r="FE36" s="954"/>
      <c r="FF36" s="954"/>
      <c r="FG36" s="954"/>
      <c r="FH36" s="1478" t="s">
        <v>57</v>
      </c>
      <c r="FI36" s="1478"/>
      <c r="FJ36" s="1478" t="s">
        <v>7152</v>
      </c>
      <c r="FK36" s="1511" t="s">
        <v>4262</v>
      </c>
      <c r="FL36" s="1493" t="s">
        <v>7824</v>
      </c>
      <c r="FM36" s="1512" t="s">
        <v>7126</v>
      </c>
      <c r="FN36" s="1512" t="s">
        <v>4022</v>
      </c>
      <c r="FO36" s="1512"/>
      <c r="FP36" s="3"/>
      <c r="FQ36" s="3"/>
      <c r="FR36" s="3"/>
      <c r="FS36" s="3"/>
      <c r="FT36" s="3"/>
      <c r="FU36" s="3"/>
      <c r="FV36" s="3"/>
      <c r="FW36" s="3"/>
      <c r="FX36" s="3"/>
      <c r="FY36" s="3"/>
      <c r="FZ36" s="3"/>
      <c r="GA36" s="3"/>
      <c r="GB36" s="3"/>
      <c r="GC36" s="1512"/>
      <c r="GD36" s="597" t="str">
        <f t="shared" si="12"/>
        <v xml:space="preserve">// Cure Disease• Force, Technique
</v>
      </c>
      <c r="GE36" s="597"/>
      <c r="GF36" s="3"/>
      <c r="GG36" s="569"/>
      <c r="GH36" s="1515" t="s">
        <v>5938</v>
      </c>
      <c r="GI36" s="1512" t="str">
        <f t="shared" si="8"/>
        <v/>
      </c>
      <c r="GJ36" s="1512" t="str">
        <f t="shared" ca="1" si="9"/>
        <v/>
      </c>
      <c r="GK36" s="456" t="str">
        <f t="shared" si="10"/>
        <v xml:space="preserve">// Cure Disease• Force, Technique
</v>
      </c>
      <c r="GL36" s="1606" t="s">
        <v>8714</v>
      </c>
      <c r="GM36" s="1616">
        <v>2</v>
      </c>
      <c r="GN36" s="1635" t="s">
        <v>2090</v>
      </c>
      <c r="GO36" s="1635"/>
      <c r="GP36" s="1639" t="s">
        <v>8780</v>
      </c>
      <c r="GQ36" s="1604"/>
      <c r="GR36" s="569"/>
      <c r="GS36"/>
      <c r="GT36"/>
      <c r="GU36" s="1639"/>
      <c r="GV36"/>
      <c r="GW36"/>
      <c r="GX36"/>
      <c r="GY36"/>
      <c r="GZ36"/>
      <c r="HA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row>
    <row r="37" spans="8:245">
      <c r="H37" s="12" t="s">
        <v>4319</v>
      </c>
      <c r="I37" s="3" t="s">
        <v>3800</v>
      </c>
      <c r="K37" s="3">
        <v>0</v>
      </c>
      <c r="L37" s="3" t="s">
        <v>3736</v>
      </c>
      <c r="M37" s="3" t="s">
        <v>740</v>
      </c>
      <c r="P37" s="1176" t="s">
        <v>4330</v>
      </c>
      <c r="Q37" s="1177" t="str">
        <f>P37</f>
        <v>Glows as fusion lantern</v>
      </c>
      <c r="AB37" s="569" t="s">
        <v>3983</v>
      </c>
      <c r="AC37" s="1358" t="s">
        <v>3994</v>
      </c>
      <c r="AD37" s="581" t="str">
        <f t="shared" si="13"/>
        <v>Farlander Legacy (Denied)</v>
      </c>
      <c r="AE37" s="616" t="s">
        <v>3985</v>
      </c>
      <c r="AF37" s="616" t="s">
        <v>3986</v>
      </c>
      <c r="AH37" s="1183" t="s">
        <v>1480</v>
      </c>
      <c r="AS37" s="12" t="str">
        <f t="shared" si="14"/>
        <v>Dreadful Rage and Power Attack (-8)</v>
      </c>
      <c r="AT37" s="3">
        <v>-3</v>
      </c>
      <c r="AU37" s="3">
        <f t="shared" si="15"/>
        <v>13</v>
      </c>
      <c r="AV37" s="3">
        <f t="shared" si="16"/>
        <v>21</v>
      </c>
      <c r="AY37" s="3" t="s">
        <v>4083</v>
      </c>
      <c r="CR37" s="1704"/>
      <c r="CS37" s="1704"/>
      <c r="CT37" s="1704"/>
      <c r="CU37" s="1704"/>
      <c r="CV37" s="1704"/>
      <c r="CW37" s="1704"/>
      <c r="CX37" s="1704"/>
      <c r="CY37" s="1704"/>
      <c r="CZ37" s="1704"/>
      <c r="DA37" s="570" t="s">
        <v>195</v>
      </c>
      <c r="DB37" s="570" t="s">
        <v>195</v>
      </c>
      <c r="DC37" s="570" t="s">
        <v>195</v>
      </c>
      <c r="DD37" s="570" t="s">
        <v>195</v>
      </c>
      <c r="DE37" s="570" t="s">
        <v>195</v>
      </c>
      <c r="DF37" s="1104"/>
      <c r="DG37" s="1104"/>
      <c r="DW37" s="1358" t="s">
        <v>4006</v>
      </c>
      <c r="EF37" s="1323" t="s">
        <v>7598</v>
      </c>
      <c r="EG37" s="3" t="s">
        <v>195</v>
      </c>
      <c r="EH37" s="3" t="s">
        <v>3717</v>
      </c>
      <c r="EI37" s="8" t="s">
        <v>7599</v>
      </c>
      <c r="EL37" s="1323" t="s">
        <v>7704</v>
      </c>
      <c r="EM37" s="1489">
        <v>400</v>
      </c>
      <c r="EN37" s="19" t="s">
        <v>7642</v>
      </c>
      <c r="EP37" s="1489">
        <f>EM37</f>
        <v>400</v>
      </c>
      <c r="EQ37" s="1473">
        <f t="shared" si="0"/>
        <v>1</v>
      </c>
      <c r="ER37" s="3">
        <f t="shared" si="1"/>
        <v>400</v>
      </c>
      <c r="ES37" s="19" t="str">
        <f t="shared" si="11"/>
        <v xml:space="preserve">1 </v>
      </c>
      <c r="ET37" s="3">
        <f t="shared" si="3"/>
        <v>1</v>
      </c>
      <c r="EU37" s="8">
        <f t="shared" si="6"/>
        <v>1</v>
      </c>
      <c r="EV37" s="954" t="s">
        <v>7716</v>
      </c>
      <c r="EW37" s="954">
        <v>-4</v>
      </c>
      <c r="EX37" s="954">
        <v>4</v>
      </c>
      <c r="EY37" s="954">
        <v>8</v>
      </c>
      <c r="FA37" s="954" t="str">
        <f t="shared" si="17"/>
        <v>NotMet</v>
      </c>
      <c r="FB37" s="954" t="s">
        <v>4083</v>
      </c>
      <c r="FH37" s="1478" t="s">
        <v>57</v>
      </c>
      <c r="FI37" s="1478"/>
      <c r="FJ37" s="1478" t="s">
        <v>7152</v>
      </c>
      <c r="FK37" s="1323" t="s">
        <v>2588</v>
      </c>
      <c r="FL37" s="1493" t="s">
        <v>7824</v>
      </c>
      <c r="FM37" s="1513" t="s">
        <v>7889</v>
      </c>
      <c r="FN37" s="1513" t="s">
        <v>4129</v>
      </c>
      <c r="FO37" s="1513" t="s">
        <v>7188</v>
      </c>
      <c r="GC37" s="597" t="str">
        <f ca="1">"+"&amp;UsetheForce&amp;" vs. Will to cause creature to forget interaction afterwards; targets of higher level gain +5 bonus to Will"</f>
        <v>+0 vs. Will to cause creature to forget interaction afterwards; targets of higher level gain +5 bonus to Will</v>
      </c>
      <c r="GD37" s="597" t="str">
        <f t="shared" ca="1" si="12"/>
        <v>// Dampen Presence (swift) • Force, Mind-Affecting, Talent
+0 vs. Will to cause creature to forget interaction afterwards; targets of higher level gain +5 bonus to Will</v>
      </c>
      <c r="GG37" s="569" t="b">
        <v>1</v>
      </c>
      <c r="GH37" s="8" t="str">
        <f>IF(FN37="Talent",INDEX(TalentsTable,MATCH(FK37,TalentsTableList,0),13),"")</f>
        <v>TFU 24</v>
      </c>
      <c r="GI37" s="1512" t="str">
        <f t="shared" si="8"/>
        <v/>
      </c>
      <c r="GJ37" s="1512" t="str">
        <f t="shared" ca="1" si="9"/>
        <v/>
      </c>
      <c r="GK37" s="456" t="str">
        <f t="shared" ca="1" si="10"/>
        <v>// Dampen Presence (swift) • Force, Mind-Affecting, Talent
+0 vs. Will to cause creature to forget interaction afterwards; targets of higher level gain +5 bonus to Will</v>
      </c>
      <c r="GL37" s="1606" t="s">
        <v>8715</v>
      </c>
      <c r="GM37" s="1616">
        <v>2</v>
      </c>
      <c r="GN37" s="1635" t="s">
        <v>1565</v>
      </c>
      <c r="GO37" s="1635"/>
      <c r="GP37" s="1639" t="s">
        <v>8781</v>
      </c>
      <c r="GQ37" s="569"/>
      <c r="GR37" s="569"/>
      <c r="GU37" s="1639"/>
    </row>
    <row r="38" spans="8:245">
      <c r="H38" s="12" t="s">
        <v>575</v>
      </c>
      <c r="I38" s="3" t="s">
        <v>173</v>
      </c>
      <c r="K38" s="3">
        <v>0</v>
      </c>
      <c r="L38" s="3" t="s">
        <v>3736</v>
      </c>
      <c r="M38" s="3" t="s">
        <v>740</v>
      </c>
      <c r="P38" s="1176" t="s">
        <v>576</v>
      </c>
      <c r="Q38" s="1177" t="s">
        <v>576</v>
      </c>
      <c r="AB38" s="569" t="s">
        <v>3982</v>
      </c>
      <c r="AC38" s="1358" t="s">
        <v>3994</v>
      </c>
      <c r="AD38" s="581" t="str">
        <f t="shared" si="13"/>
        <v>Farlander Legacy (Embraced)</v>
      </c>
      <c r="AE38" s="616" t="s">
        <v>3985</v>
      </c>
      <c r="AF38" s="616" t="s">
        <v>3986</v>
      </c>
      <c r="AH38" s="1183" t="s">
        <v>1492</v>
      </c>
      <c r="AS38" s="12" t="str">
        <f t="shared" si="14"/>
        <v>Dreadful Rage and Power Attack (-9)</v>
      </c>
      <c r="AT38" s="3">
        <v>-4</v>
      </c>
      <c r="AU38" s="3">
        <f t="shared" si="15"/>
        <v>14</v>
      </c>
      <c r="AV38" s="3">
        <f t="shared" si="16"/>
        <v>23</v>
      </c>
      <c r="AY38" s="3" t="s">
        <v>4083</v>
      </c>
      <c r="CR38" s="1704"/>
      <c r="CS38" s="1704"/>
      <c r="CT38" s="1704"/>
      <c r="CU38" s="1704"/>
      <c r="CV38" s="1704"/>
      <c r="CW38" s="1704"/>
      <c r="CX38" s="1704"/>
      <c r="CY38" s="1704"/>
      <c r="CZ38" s="1704"/>
      <c r="DA38" s="570" t="s">
        <v>195</v>
      </c>
      <c r="DB38" s="570" t="s">
        <v>195</v>
      </c>
      <c r="DC38" s="570" t="s">
        <v>195</v>
      </c>
      <c r="DD38" s="570" t="s">
        <v>195</v>
      </c>
      <c r="DE38" s="570" t="s">
        <v>195</v>
      </c>
      <c r="DF38" s="1104"/>
      <c r="DG38" s="1104"/>
      <c r="DW38" s="1358" t="s">
        <v>4006</v>
      </c>
      <c r="EF38" s="1323" t="s">
        <v>7536</v>
      </c>
      <c r="EG38" s="3" t="s">
        <v>195</v>
      </c>
      <c r="EH38" s="3" t="s">
        <v>3717</v>
      </c>
      <c r="EI38" s="8" t="s">
        <v>7537</v>
      </c>
      <c r="EL38" s="1323" t="s">
        <v>7705</v>
      </c>
      <c r="EM38" s="1489">
        <v>1500</v>
      </c>
      <c r="EN38" s="19" t="s">
        <v>7684</v>
      </c>
      <c r="EO38" s="19" t="s">
        <v>7649</v>
      </c>
      <c r="EP38" s="1489">
        <f>EM38</f>
        <v>1500</v>
      </c>
      <c r="EQ38" s="1473">
        <f t="shared" si="0"/>
        <v>1</v>
      </c>
      <c r="ER38" s="3">
        <f t="shared" si="1"/>
        <v>1500</v>
      </c>
      <c r="ES38" s="19" t="str">
        <f t="shared" si="11"/>
        <v xml:space="preserve">5 </v>
      </c>
      <c r="ET38" s="3">
        <f t="shared" si="3"/>
        <v>1</v>
      </c>
      <c r="EU38" s="8">
        <f t="shared" si="6"/>
        <v>5</v>
      </c>
      <c r="EV38" s="954" t="s">
        <v>7717</v>
      </c>
      <c r="EW38" s="954">
        <v>-5</v>
      </c>
      <c r="EX38" s="954">
        <v>5</v>
      </c>
      <c r="EY38" s="954">
        <v>10</v>
      </c>
      <c r="FA38" s="954" t="str">
        <f t="shared" si="17"/>
        <v>NotMet</v>
      </c>
      <c r="FB38" s="954" t="s">
        <v>4083</v>
      </c>
      <c r="FH38" s="1478" t="s">
        <v>57</v>
      </c>
      <c r="FI38" s="1478"/>
      <c r="FJ38" s="1478" t="s">
        <v>7152</v>
      </c>
      <c r="FK38" s="1323" t="s">
        <v>2594</v>
      </c>
      <c r="FL38" s="1493" t="s">
        <v>7824</v>
      </c>
      <c r="FM38" s="1513" t="s">
        <v>7800</v>
      </c>
      <c r="FN38" s="1513" t="s">
        <v>4129</v>
      </c>
      <c r="FO38" s="3" t="s">
        <v>7189</v>
      </c>
      <c r="FP38" s="3" t="s">
        <v>7828</v>
      </c>
      <c r="FQ38" s="1509" t="s">
        <v>7887</v>
      </c>
      <c r="GC38" s="1509" t="s">
        <v>7888</v>
      </c>
      <c r="GD38" s="597" t="str">
        <f t="shared" si="12"/>
        <v>// Dark Retaliation (reaction; FP; encounter; targeted by a dark-side Force power) • Force, Talent
Upon being targeted by a dark side power, activate a Force power</v>
      </c>
      <c r="GG38" s="569" t="b">
        <v>1</v>
      </c>
      <c r="GH38" s="8" t="str">
        <f>IF(FN38="Talent",INDEX(TalentsTable,MATCH(FK38,TalentsTableList,0),13),"")</f>
        <v>KotOR 25</v>
      </c>
      <c r="GI38" s="1512" t="str">
        <f t="shared" si="8"/>
        <v/>
      </c>
      <c r="GJ38" s="1512" t="str">
        <f t="shared" ca="1" si="9"/>
        <v/>
      </c>
      <c r="GK38" s="456" t="str">
        <f t="shared" si="10"/>
        <v>// Dark Retaliation (reaction; FP; encounter; targeted by a dark-side Force power) • Force, Talent
Upon being targeted by a dark side power, activate a Force power</v>
      </c>
      <c r="GL38" s="1606" t="s">
        <v>8725</v>
      </c>
      <c r="GM38" s="1616">
        <v>2</v>
      </c>
      <c r="GN38" s="1635" t="s">
        <v>8749</v>
      </c>
      <c r="GO38" s="1635"/>
      <c r="GP38" s="1639" t="s">
        <v>8782</v>
      </c>
      <c r="GQ38" s="569"/>
      <c r="GR38" s="569"/>
      <c r="GU38" s="1639"/>
    </row>
    <row r="39" spans="8:245">
      <c r="H39" s="12" t="s">
        <v>624</v>
      </c>
      <c r="I39" s="3" t="s">
        <v>173</v>
      </c>
      <c r="K39" s="3">
        <v>0</v>
      </c>
      <c r="L39" s="3" t="s">
        <v>3736</v>
      </c>
      <c r="M39" s="3" t="s">
        <v>740</v>
      </c>
      <c r="P39" s="1176" t="s">
        <v>625</v>
      </c>
      <c r="Q39" s="1177" t="s">
        <v>625</v>
      </c>
      <c r="AB39" s="569" t="s">
        <v>3983</v>
      </c>
      <c r="AC39" s="1358" t="s">
        <v>3992</v>
      </c>
      <c r="AD39" s="581" t="str">
        <f t="shared" si="13"/>
        <v>Fel Legacy (Denied)</v>
      </c>
      <c r="AE39" s="616" t="s">
        <v>3985</v>
      </c>
      <c r="AF39" s="616" t="s">
        <v>3986</v>
      </c>
      <c r="AH39" s="1184" t="s">
        <v>4362</v>
      </c>
      <c r="AS39" s="12" t="s">
        <v>2383</v>
      </c>
      <c r="AT39" s="3">
        <v>2</v>
      </c>
      <c r="AY39" s="569" t="s">
        <v>4083</v>
      </c>
      <c r="CR39" s="1704"/>
      <c r="CS39" s="1704"/>
      <c r="CT39" s="1704"/>
      <c r="CU39" s="1704"/>
      <c r="CV39" s="1704"/>
      <c r="CW39" s="1704"/>
      <c r="CX39" s="1704"/>
      <c r="CY39" s="1704"/>
      <c r="CZ39" s="1704"/>
      <c r="DA39" s="570" t="s">
        <v>195</v>
      </c>
      <c r="DB39" s="570" t="s">
        <v>195</v>
      </c>
      <c r="DC39" s="570" t="s">
        <v>195</v>
      </c>
      <c r="DD39" s="570" t="s">
        <v>195</v>
      </c>
      <c r="DE39" s="570" t="s">
        <v>195</v>
      </c>
      <c r="DF39" s="1104"/>
      <c r="DG39" s="1104"/>
      <c r="DW39" s="1358" t="s">
        <v>6642</v>
      </c>
      <c r="EF39" s="1323" t="s">
        <v>7574</v>
      </c>
      <c r="EG39" s="3" t="s">
        <v>238</v>
      </c>
      <c r="EH39" s="3" t="s">
        <v>195</v>
      </c>
      <c r="EI39" s="8" t="s">
        <v>7575</v>
      </c>
      <c r="EV39" s="954" t="s">
        <v>7718</v>
      </c>
      <c r="EW39" s="954">
        <v>-6</v>
      </c>
      <c r="EX39" s="954">
        <v>6</v>
      </c>
      <c r="EY39" s="954">
        <v>12</v>
      </c>
      <c r="FA39" s="954" t="str">
        <f t="shared" si="17"/>
        <v>NotMet</v>
      </c>
      <c r="FB39" s="954" t="s">
        <v>4083</v>
      </c>
      <c r="FH39" s="1478" t="s">
        <v>57</v>
      </c>
      <c r="FI39" s="1478"/>
      <c r="FJ39" s="1478" t="s">
        <v>7152</v>
      </c>
      <c r="FK39" s="1511" t="s">
        <v>5791</v>
      </c>
      <c r="FL39" s="1493" t="s">
        <v>7824</v>
      </c>
      <c r="FM39" s="1512" t="s">
        <v>7100</v>
      </c>
      <c r="FN39" s="1512" t="s">
        <v>4715</v>
      </c>
      <c r="FO39" s="1512" t="s">
        <v>7807</v>
      </c>
      <c r="FP39" s="1513" t="s">
        <v>7809</v>
      </c>
      <c r="FQ39" s="1513" t="s">
        <v>7810</v>
      </c>
      <c r="GC39" s="1512" t="s">
        <v>7111</v>
      </c>
      <c r="GD39" s="597" t="str">
        <f t="shared" si="12"/>
        <v>// Debilitating Power (free action; FP/DP; successfully damage target with Force power) • Force, Secret
Spend Force Point to move the target -1 extra step along the condition track if Use the Force equals or exceeds Damage Threshold; spend Destiny Point to move -3 extra steps</v>
      </c>
      <c r="GG39" s="569"/>
      <c r="GH39" s="1515" t="s">
        <v>5910</v>
      </c>
      <c r="GI39" s="1512" t="str">
        <f t="shared" si="8"/>
        <v/>
      </c>
      <c r="GJ39" s="1512" t="str">
        <f t="shared" ca="1" si="9"/>
        <v/>
      </c>
      <c r="GK39" s="456" t="str">
        <f t="shared" si="10"/>
        <v>// Debilitating Power (free action; FP/DP; successfully damage target with Force power) • Force, Secret
Spend Force Point to move the target -1 extra step along the condition track if Use the Force equals or exceeds Damage Threshold; spend Destiny Point to move -3 extra steps</v>
      </c>
      <c r="GL39" s="1606" t="s">
        <v>8727</v>
      </c>
      <c r="GM39" s="1616">
        <v>2</v>
      </c>
      <c r="GN39" s="1635" t="s">
        <v>8750</v>
      </c>
      <c r="GO39" s="1635"/>
      <c r="GP39" s="1639" t="s">
        <v>8783</v>
      </c>
      <c r="GQ39" s="569"/>
      <c r="GR39" s="569"/>
      <c r="GU39" s="1639"/>
    </row>
    <row r="40" spans="8:245">
      <c r="H40" s="12" t="s">
        <v>4325</v>
      </c>
      <c r="I40" s="3" t="s">
        <v>3800</v>
      </c>
      <c r="K40" s="3">
        <v>0</v>
      </c>
      <c r="L40" s="3" t="s">
        <v>3736</v>
      </c>
      <c r="M40" s="3" t="s">
        <v>740</v>
      </c>
      <c r="P40" s="1178" t="s">
        <v>4335</v>
      </c>
      <c r="Q40" s="1177" t="str">
        <f>P40</f>
        <v>+2 to attack against enemies with a lightsaber</v>
      </c>
      <c r="AB40" s="569" t="s">
        <v>3982</v>
      </c>
      <c r="AC40" s="1358" t="s">
        <v>3992</v>
      </c>
      <c r="AD40" s="581" t="str">
        <f t="shared" si="13"/>
        <v>Fel Legacy (Embraced)</v>
      </c>
      <c r="AE40" s="616" t="s">
        <v>3985</v>
      </c>
      <c r="AF40" s="616" t="s">
        <v>3986</v>
      </c>
      <c r="AH40" s="1184" t="s">
        <v>4043</v>
      </c>
      <c r="AS40" s="12" t="s">
        <v>2418</v>
      </c>
      <c r="AT40" s="3">
        <f>IF(Dexterity&lt;13,-10,-5)</f>
        <v>-5</v>
      </c>
      <c r="AW40" s="3">
        <v>2</v>
      </c>
      <c r="AY40" s="3" t="s">
        <v>4083</v>
      </c>
      <c r="CR40" s="1704"/>
      <c r="CS40" s="1704"/>
      <c r="CT40" s="1704"/>
      <c r="CU40" s="1704"/>
      <c r="CV40" s="1704"/>
      <c r="CW40" s="1704"/>
      <c r="CX40" s="1704"/>
      <c r="CY40" s="1704"/>
      <c r="CZ40" s="1704"/>
      <c r="DA40" s="570" t="s">
        <v>195</v>
      </c>
      <c r="DB40" s="570" t="s">
        <v>195</v>
      </c>
      <c r="DC40" s="570" t="s">
        <v>195</v>
      </c>
      <c r="DD40" s="570" t="s">
        <v>195</v>
      </c>
      <c r="DE40" s="570" t="s">
        <v>195</v>
      </c>
      <c r="DF40" s="1104"/>
      <c r="DG40" s="1104"/>
      <c r="DW40" s="1358" t="s">
        <v>6642</v>
      </c>
      <c r="EF40" s="1323" t="s">
        <v>7561</v>
      </c>
      <c r="EG40" s="3" t="s">
        <v>238</v>
      </c>
      <c r="EH40" s="3" t="s">
        <v>3717</v>
      </c>
      <c r="EI40" s="8" t="s">
        <v>7562</v>
      </c>
      <c r="EV40" s="954" t="s">
        <v>7719</v>
      </c>
      <c r="EW40" s="954">
        <v>-7</v>
      </c>
      <c r="EX40" s="954">
        <v>7</v>
      </c>
      <c r="EY40" s="954">
        <v>14</v>
      </c>
      <c r="FA40" s="954" t="str">
        <f t="shared" si="17"/>
        <v>NotMet</v>
      </c>
      <c r="FB40" s="954" t="s">
        <v>4083</v>
      </c>
      <c r="FH40" s="1478" t="s">
        <v>57</v>
      </c>
      <c r="FI40" s="1478"/>
      <c r="FJ40" s="1478" t="s">
        <v>7152</v>
      </c>
      <c r="FK40" s="1323" t="s">
        <v>3387</v>
      </c>
      <c r="FL40" s="1493" t="s">
        <v>7824</v>
      </c>
      <c r="FM40" s="1513" t="s">
        <v>7800</v>
      </c>
      <c r="FN40" s="1513" t="s">
        <v>4129</v>
      </c>
      <c r="FO40" s="1513" t="s">
        <v>7188</v>
      </c>
      <c r="FQ40" s="597" t="s">
        <v>7829</v>
      </c>
      <c r="GC40" s="597" t="str">
        <f>CharacterName&amp;" and allies within range gain +2 insight bonus to Reflex; "&amp;CharacterName&amp;" gains a +1 bonus to Block and Deflect for each adjacent lightsaber-wielding ally"</f>
        <v xml:space="preserve"> and allies within range gain +2 insight bonus to Reflex;  gains a +1 bonus to Block and Deflect for each adjacent lightsaber-wielding ally</v>
      </c>
      <c r="GD40" s="597" t="str">
        <f t="shared" si="12"/>
        <v>// Defensive Circle (swift; all allies within range of Battle Meditation) • Force, Talent
 and allies within range gain +2 insight bonus to Reflex;  gains a +1 bonus to Block and Deflect for each adjacent lightsaber-wielding ally</v>
      </c>
      <c r="GG40" s="569"/>
      <c r="GH40" s="1515" t="s">
        <v>5902</v>
      </c>
      <c r="GI40" s="1512" t="str">
        <f t="shared" si="8"/>
        <v/>
      </c>
      <c r="GJ40" s="1512" t="str">
        <f t="shared" ca="1" si="9"/>
        <v/>
      </c>
      <c r="GK40" s="456" t="str">
        <f t="shared" si="10"/>
        <v>// Defensive Circle (swift; all allies within range of Battle Meditation) • Force, Talent
 and allies within range gain +2 insight bonus to Reflex;  gains a +1 bonus to Block and Deflect for each adjacent lightsaber-wielding ally</v>
      </c>
      <c r="GL40" s="1606" t="s">
        <v>8716</v>
      </c>
      <c r="GM40" s="1616">
        <v>2</v>
      </c>
      <c r="GN40" s="1635" t="s">
        <v>1492</v>
      </c>
      <c r="GO40" s="1635"/>
      <c r="GP40" s="1639" t="s">
        <v>8784</v>
      </c>
      <c r="GQ40" s="569"/>
      <c r="GR40" s="569"/>
      <c r="GU40" s="1639"/>
    </row>
    <row r="41" spans="8:245">
      <c r="H41" s="12" t="s">
        <v>4320</v>
      </c>
      <c r="I41" s="3" t="s">
        <v>3800</v>
      </c>
      <c r="K41" s="3">
        <v>0</v>
      </c>
      <c r="L41" s="3" t="s">
        <v>3736</v>
      </c>
      <c r="M41" s="3" t="s">
        <v>740</v>
      </c>
      <c r="P41" s="1178" t="s">
        <v>4331</v>
      </c>
      <c r="Q41" s="1177" t="str">
        <f>P41</f>
        <v>+2 to attack against armored opponents</v>
      </c>
      <c r="AB41" s="569" t="s">
        <v>3983</v>
      </c>
      <c r="AC41" s="1358" t="s">
        <v>3993</v>
      </c>
      <c r="AD41" s="581" t="str">
        <f t="shared" si="13"/>
        <v>Fett Legacy (Denied)</v>
      </c>
      <c r="AE41" s="616" t="s">
        <v>3985</v>
      </c>
      <c r="AF41" s="616" t="s">
        <v>3986</v>
      </c>
      <c r="AH41" s="1183" t="s">
        <v>1867</v>
      </c>
      <c r="AS41" s="12" t="s">
        <v>5988</v>
      </c>
      <c r="AT41" s="569">
        <v>-5</v>
      </c>
      <c r="AW41" s="569">
        <v>3</v>
      </c>
      <c r="AY41" s="569" t="s">
        <v>4083</v>
      </c>
      <c r="CR41" s="1704"/>
      <c r="CS41" s="1704"/>
      <c r="CT41" s="1704"/>
      <c r="CU41" s="1704"/>
      <c r="CV41" s="1704"/>
      <c r="CW41" s="1704"/>
      <c r="CX41" s="1704"/>
      <c r="CY41" s="1704"/>
      <c r="CZ41" s="1704"/>
      <c r="DA41" s="570" t="s">
        <v>195</v>
      </c>
      <c r="DB41" s="570" t="s">
        <v>195</v>
      </c>
      <c r="DC41" s="570" t="s">
        <v>195</v>
      </c>
      <c r="DD41" s="570" t="s">
        <v>195</v>
      </c>
      <c r="DE41" s="570" t="s">
        <v>195</v>
      </c>
      <c r="DF41" s="1104"/>
      <c r="DG41" s="1104"/>
      <c r="DW41" s="1358" t="s">
        <v>3995</v>
      </c>
      <c r="EF41" s="1323" t="s">
        <v>7551</v>
      </c>
      <c r="EG41" s="3" t="s">
        <v>238</v>
      </c>
      <c r="EH41" s="3" t="s">
        <v>195</v>
      </c>
      <c r="EI41" s="8" t="s">
        <v>7552</v>
      </c>
      <c r="EV41" s="954" t="s">
        <v>7720</v>
      </c>
      <c r="EW41" s="954">
        <v>-8</v>
      </c>
      <c r="EX41" s="954">
        <v>8</v>
      </c>
      <c r="EY41" s="954">
        <v>16</v>
      </c>
      <c r="FA41" s="954" t="str">
        <f t="shared" si="17"/>
        <v>NotMet</v>
      </c>
      <c r="FB41" s="954" t="s">
        <v>4083</v>
      </c>
      <c r="FH41" s="1478" t="s">
        <v>57</v>
      </c>
      <c r="FI41" s="1478"/>
      <c r="FJ41" s="1478" t="s">
        <v>7152</v>
      </c>
      <c r="FK41" s="1511" t="s">
        <v>236</v>
      </c>
      <c r="FL41" s="1493" t="s">
        <v>7824</v>
      </c>
      <c r="FM41" s="1512" t="s">
        <v>58</v>
      </c>
      <c r="FN41" s="1512" t="s">
        <v>58</v>
      </c>
      <c r="FO41" s="1512" t="s">
        <v>7189</v>
      </c>
      <c r="FP41" s="1513" t="s">
        <v>7806</v>
      </c>
      <c r="GC41" s="1512" t="s">
        <v>7097</v>
      </c>
      <c r="GD41" s="597" t="str">
        <f t="shared" si="12"/>
        <v>// Delay Damage (reaction; encounter) • Class
Choose to delay effect of attack, ability, or effect used against you; damage or effect does not take hold until the end of next turn</v>
      </c>
      <c r="GG41" s="569" t="b">
        <v>1</v>
      </c>
      <c r="GH41" s="1515">
        <v>103</v>
      </c>
      <c r="GI41" s="1512" t="str">
        <f t="shared" ca="1" si="8"/>
        <v/>
      </c>
      <c r="GJ41" s="1512" t="str">
        <f t="shared" ca="1" si="9"/>
        <v/>
      </c>
      <c r="GK41" s="456" t="str">
        <f t="shared" si="10"/>
        <v>// Delay Damage (reaction; encounter) • Class
Choose to delay effect of attack, ability, or effect used against you; damage or effect does not take hold until the end of next turn</v>
      </c>
      <c r="GL41" s="1606" t="s">
        <v>8728</v>
      </c>
      <c r="GM41" s="1616">
        <v>2</v>
      </c>
      <c r="GN41" s="1635" t="s">
        <v>1538</v>
      </c>
      <c r="GO41" s="1635"/>
      <c r="GP41" s="1639" t="s">
        <v>8756</v>
      </c>
      <c r="GQ41" s="569"/>
      <c r="GR41" s="569"/>
      <c r="GU41" s="1639"/>
    </row>
    <row r="42" spans="8:245">
      <c r="H42" s="12" t="s">
        <v>3785</v>
      </c>
      <c r="I42" s="3" t="s">
        <v>3800</v>
      </c>
      <c r="K42" s="3">
        <v>0</v>
      </c>
      <c r="L42" s="3" t="s">
        <v>3736</v>
      </c>
      <c r="M42" s="3" t="s">
        <v>740</v>
      </c>
      <c r="P42" s="1178" t="s">
        <v>3702</v>
      </c>
      <c r="Q42" s="1179" t="s">
        <v>3702</v>
      </c>
      <c r="AB42" s="569" t="s">
        <v>3982</v>
      </c>
      <c r="AC42" s="1358" t="s">
        <v>3993</v>
      </c>
      <c r="AD42" s="581" t="str">
        <f t="shared" si="13"/>
        <v>Fett Legacy (Embraced)</v>
      </c>
      <c r="AE42" s="616" t="s">
        <v>3985</v>
      </c>
      <c r="AF42" s="616" t="s">
        <v>3986</v>
      </c>
      <c r="AH42" s="1183" t="s">
        <v>1516</v>
      </c>
      <c r="AS42" s="12" t="s">
        <v>3289</v>
      </c>
      <c r="AW42" s="3">
        <v>1</v>
      </c>
      <c r="AY42" s="3" t="s">
        <v>4083</v>
      </c>
      <c r="CR42" s="1704"/>
      <c r="CS42" s="1704"/>
      <c r="CT42" s="1704"/>
      <c r="CU42" s="1704"/>
      <c r="CV42" s="1704"/>
      <c r="CW42" s="1704"/>
      <c r="CX42" s="1704"/>
      <c r="CY42" s="1704"/>
      <c r="CZ42" s="1704"/>
      <c r="DA42" s="570" t="s">
        <v>195</v>
      </c>
      <c r="DB42" s="570" t="s">
        <v>195</v>
      </c>
      <c r="DC42" s="570" t="s">
        <v>195</v>
      </c>
      <c r="DD42" s="570" t="s">
        <v>195</v>
      </c>
      <c r="DE42" s="570" t="s">
        <v>195</v>
      </c>
      <c r="DF42" s="1104"/>
      <c r="DG42" s="1104"/>
      <c r="DW42" s="1358" t="s">
        <v>3995</v>
      </c>
      <c r="EV42" s="954" t="s">
        <v>7721</v>
      </c>
      <c r="EW42" s="954">
        <v>-9</v>
      </c>
      <c r="EX42" s="954">
        <v>9</v>
      </c>
      <c r="EY42" s="954">
        <v>18</v>
      </c>
      <c r="FA42" s="954" t="str">
        <f t="shared" si="17"/>
        <v>NotMet</v>
      </c>
      <c r="FB42" s="954" t="s">
        <v>4083</v>
      </c>
      <c r="FH42" s="1478" t="s">
        <v>57</v>
      </c>
      <c r="FI42" s="1478"/>
      <c r="FJ42" s="1478" t="s">
        <v>7152</v>
      </c>
      <c r="FK42" s="1511" t="s">
        <v>3820</v>
      </c>
      <c r="FL42" s="1493" t="s">
        <v>7824</v>
      </c>
      <c r="FM42" s="1512" t="s">
        <v>7126</v>
      </c>
      <c r="FN42" s="1512" t="s">
        <v>4022</v>
      </c>
      <c r="FO42" s="1512"/>
      <c r="FQ42" s="3"/>
      <c r="GC42" s="1512"/>
      <c r="GD42" s="597" t="str">
        <f t="shared" ref="GD42:GD73" si="19">IF(HTML,IF(FL42="Attack",TRG,IF(FL42="Defense",TRO,TRLSG))&amp;WFS&amp;"u"&amp;WFF&amp;BS,"//")&amp;" "&amp;FK42&amp;IF(HTML,BF,"")&amp;IF(FO42&lt;&gt;""," ("&amp;FO42&amp;IF(FP42&lt;&gt;"","; "&amp;FP42,"")&amp;IF(FQ42&lt;&gt;"","; "&amp;FQ42,"")&amp;") "&amp;IF(HTML,WFS&amp;"v"&amp;WFF&amp;BS,"•"),IF(HTML,WFS&amp;"v"&amp;WFF&amp;BS,"•"))&amp;" "&amp;FM42&amp;IF(HTML,BF&amp;TRF&amp;TRW,"")&amp;"
"&amp;GC42&amp;TRFF</f>
        <v xml:space="preserve">// Detoxify Poison• Force, Technique
</v>
      </c>
      <c r="GG42" s="569"/>
      <c r="GH42" s="1515" t="s">
        <v>5909</v>
      </c>
      <c r="GI42" s="1512" t="str">
        <f t="shared" si="8"/>
        <v/>
      </c>
      <c r="GJ42" s="1512" t="str">
        <f t="shared" ca="1" si="9"/>
        <v/>
      </c>
      <c r="GK42" s="456" t="str">
        <f t="shared" si="10"/>
        <v xml:space="preserve">// Detoxify Poison• Force, Technique
</v>
      </c>
      <c r="GL42" s="1606" t="s">
        <v>8717</v>
      </c>
      <c r="GM42" s="1616">
        <v>2</v>
      </c>
      <c r="GN42" s="1635" t="s">
        <v>1973</v>
      </c>
      <c r="GO42" s="1635"/>
      <c r="GP42" s="1639" t="s">
        <v>8785</v>
      </c>
      <c r="GQ42" s="569"/>
      <c r="GR42" s="569"/>
      <c r="GU42" s="1639"/>
    </row>
    <row r="43" spans="8:245">
      <c r="H43" s="12" t="s">
        <v>727</v>
      </c>
      <c r="I43" s="3" t="s">
        <v>173</v>
      </c>
      <c r="K43" s="3">
        <v>0</v>
      </c>
      <c r="L43" s="3" t="s">
        <v>3736</v>
      </c>
      <c r="M43" s="3" t="s">
        <v>740</v>
      </c>
      <c r="P43" s="1176" t="s">
        <v>728</v>
      </c>
      <c r="Q43" s="1177" t="s">
        <v>728</v>
      </c>
      <c r="AB43" s="569" t="s">
        <v>3983</v>
      </c>
      <c r="AC43" s="1358" t="s">
        <v>4005</v>
      </c>
      <c r="AD43" s="581" t="str">
        <f t="shared" ref="AD43:AD74" si="20">AC43&amp;" Legacy ("&amp;AB43&amp;")"</f>
        <v>Fey'lya Legacy (Denied)</v>
      </c>
      <c r="AE43" s="616" t="s">
        <v>3985</v>
      </c>
      <c r="AF43" s="616" t="s">
        <v>3986</v>
      </c>
      <c r="AH43" s="1183" t="s">
        <v>1538</v>
      </c>
      <c r="AS43" s="12" t="s">
        <v>5692</v>
      </c>
      <c r="AW43" s="3">
        <v>2</v>
      </c>
      <c r="AY43" s="569" t="s">
        <v>4083</v>
      </c>
      <c r="AZ43" s="936" t="s">
        <v>202</v>
      </c>
      <c r="CR43" s="1704"/>
      <c r="CS43" s="1704"/>
      <c r="CT43" s="1704"/>
      <c r="CU43" s="1704"/>
      <c r="CV43" s="1704"/>
      <c r="CW43" s="1704"/>
      <c r="CX43" s="1704"/>
      <c r="CY43" s="1704"/>
      <c r="CZ43" s="1704"/>
      <c r="DA43" s="570" t="s">
        <v>195</v>
      </c>
      <c r="DB43" s="570" t="s">
        <v>195</v>
      </c>
      <c r="DC43" s="570" t="s">
        <v>195</v>
      </c>
      <c r="DD43" s="570" t="s">
        <v>195</v>
      </c>
      <c r="DE43" s="570" t="s">
        <v>195</v>
      </c>
      <c r="DF43" s="1104"/>
      <c r="DG43" s="1104"/>
      <c r="DW43" s="1358" t="s">
        <v>3996</v>
      </c>
      <c r="EV43" s="954" t="s">
        <v>7733</v>
      </c>
      <c r="EW43" s="954">
        <v>-1</v>
      </c>
      <c r="EX43" s="954">
        <v>1</v>
      </c>
      <c r="EY43" s="954">
        <v>2</v>
      </c>
      <c r="FA43" s="954" t="str">
        <f t="shared" si="17"/>
        <v>NotMet</v>
      </c>
      <c r="FB43" s="954" t="s">
        <v>4084</v>
      </c>
      <c r="FD43" s="1478" t="s">
        <v>202</v>
      </c>
      <c r="FE43" s="1478" t="s">
        <v>7772</v>
      </c>
      <c r="FH43" s="1478" t="s">
        <v>202</v>
      </c>
      <c r="FI43" s="1478"/>
      <c r="FJ43" s="1478" t="s">
        <v>3813</v>
      </c>
      <c r="FK43" s="1511" t="s">
        <v>5792</v>
      </c>
      <c r="FL43" s="1493" t="s">
        <v>7824</v>
      </c>
      <c r="FM43" s="1512" t="s">
        <v>7100</v>
      </c>
      <c r="FN43" s="1512" t="s">
        <v>4715</v>
      </c>
      <c r="FO43" s="1512" t="s">
        <v>7807</v>
      </c>
      <c r="FP43" s="1513" t="s">
        <v>7809</v>
      </c>
      <c r="GC43" s="1512" t="s">
        <v>7105</v>
      </c>
      <c r="GD43" s="597" t="str">
        <f t="shared" si="19"/>
        <v>// Devastating Power (free action; FP/DP) • Force, Secret
Spend a Force Point to increase power's damage dice by 50%; spend Destiny Point to double damage dice</v>
      </c>
      <c r="GG43" s="569"/>
      <c r="GH43" s="1515" t="s">
        <v>5938</v>
      </c>
      <c r="GI43" s="1512" t="str">
        <f t="shared" si="8"/>
        <v/>
      </c>
      <c r="GJ43" s="1512" t="str">
        <f t="shared" ca="1" si="9"/>
        <v/>
      </c>
      <c r="GK43" s="456" t="str">
        <f t="shared" si="10"/>
        <v>// Devastating Power (free action; FP/DP) • Force, Secret
Spend a Force Point to increase power's damage dice by 50%; spend Destiny Point to double damage dice</v>
      </c>
      <c r="GL43" s="1606" t="s">
        <v>8718</v>
      </c>
      <c r="GM43" s="1616">
        <v>2</v>
      </c>
      <c r="GN43" s="1635" t="s">
        <v>2056</v>
      </c>
      <c r="GO43" s="1635"/>
      <c r="GP43" s="1639" t="s">
        <v>8786</v>
      </c>
      <c r="GQ43" s="569"/>
      <c r="GR43" s="569"/>
      <c r="GU43" s="1639"/>
    </row>
    <row r="44" spans="8:245">
      <c r="H44" s="12" t="s">
        <v>4326</v>
      </c>
      <c r="I44" s="3" t="s">
        <v>3800</v>
      </c>
      <c r="K44" s="3">
        <v>0</v>
      </c>
      <c r="L44" s="3" t="s">
        <v>3736</v>
      </c>
      <c r="M44" s="3" t="s">
        <v>740</v>
      </c>
      <c r="P44" s="1176" t="s">
        <v>4336</v>
      </c>
      <c r="Q44" s="1177" t="str">
        <f>P44</f>
        <v>Increase the Die type by one step when modifying rolls with Force Point</v>
      </c>
      <c r="AB44" s="569" t="s">
        <v>3982</v>
      </c>
      <c r="AC44" s="1358" t="s">
        <v>4005</v>
      </c>
      <c r="AD44" s="581" t="str">
        <f t="shared" si="20"/>
        <v>Fey'lya Legacy (Embraced)</v>
      </c>
      <c r="AE44" s="616" t="s">
        <v>3985</v>
      </c>
      <c r="AF44" s="616" t="s">
        <v>3986</v>
      </c>
      <c r="AH44" s="1183" t="s">
        <v>1547</v>
      </c>
      <c r="AS44" s="12" t="s">
        <v>5987</v>
      </c>
      <c r="AT44" s="3">
        <v>-2</v>
      </c>
      <c r="AW44" s="569">
        <v>2</v>
      </c>
      <c r="AY44" s="569" t="s">
        <v>4083</v>
      </c>
      <c r="CR44" s="1704"/>
      <c r="CS44" s="1704"/>
      <c r="CT44" s="1704"/>
      <c r="CU44" s="1704"/>
      <c r="CV44" s="1704"/>
      <c r="CW44" s="1704"/>
      <c r="CX44" s="1704"/>
      <c r="CY44" s="1704"/>
      <c r="CZ44" s="1704"/>
      <c r="DA44" s="570" t="s">
        <v>195</v>
      </c>
      <c r="DB44" s="570" t="s">
        <v>195</v>
      </c>
      <c r="DC44" s="570" t="s">
        <v>195</v>
      </c>
      <c r="DD44" s="570" t="s">
        <v>195</v>
      </c>
      <c r="DE44" s="570" t="s">
        <v>195</v>
      </c>
      <c r="DF44" s="1104"/>
      <c r="DG44" s="1104"/>
      <c r="DW44" s="1358" t="s">
        <v>3996</v>
      </c>
      <c r="EV44" s="954" t="s">
        <v>7742</v>
      </c>
      <c r="EW44" s="954">
        <v>-10</v>
      </c>
      <c r="EX44" s="954">
        <v>10</v>
      </c>
      <c r="EY44" s="954">
        <v>20</v>
      </c>
      <c r="FA44" s="954" t="str">
        <f t="shared" si="17"/>
        <v>NotMet</v>
      </c>
      <c r="FB44" s="954" t="s">
        <v>4084</v>
      </c>
      <c r="FD44" s="954" t="s">
        <v>202</v>
      </c>
      <c r="FE44" s="1478" t="s">
        <v>7772</v>
      </c>
      <c r="FH44" s="1478" t="s">
        <v>202</v>
      </c>
      <c r="FI44" s="1478"/>
      <c r="FJ44" s="1478" t="s">
        <v>3813</v>
      </c>
      <c r="FK44" s="1511" t="s">
        <v>5793</v>
      </c>
      <c r="FL44" s="1493" t="s">
        <v>7824</v>
      </c>
      <c r="FM44" s="1512" t="s">
        <v>7100</v>
      </c>
      <c r="FN44" s="1512" t="s">
        <v>4715</v>
      </c>
      <c r="FO44" s="1512" t="s">
        <v>7807</v>
      </c>
      <c r="FP44" s="1513" t="s">
        <v>7809</v>
      </c>
      <c r="GC44" s="1512" t="s">
        <v>7107</v>
      </c>
      <c r="GD44" s="597" t="str">
        <f t="shared" si="19"/>
        <v>// Distant Power (free action; FP/DP) • Force, Secret
Spend a Force Point to multiply range of Force power by 10; spend Destiny Point to increase the range to anywhere in same star system</v>
      </c>
      <c r="GG44" s="569"/>
      <c r="GH44" s="1515" t="s">
        <v>5935</v>
      </c>
      <c r="GI44" s="1512" t="str">
        <f t="shared" si="8"/>
        <v/>
      </c>
      <c r="GJ44" s="1512" t="str">
        <f t="shared" ca="1" si="9"/>
        <v/>
      </c>
      <c r="GK44" s="456" t="str">
        <f t="shared" si="10"/>
        <v>// Distant Power (free action; FP/DP) • Force, Secret
Spend a Force Point to multiply range of Force power by 10; spend Destiny Point to increase the range to anywhere in same star system</v>
      </c>
      <c r="GL44" s="1606" t="s">
        <v>8719</v>
      </c>
      <c r="GM44" s="1616">
        <v>2</v>
      </c>
      <c r="GN44" s="1635" t="s">
        <v>8751</v>
      </c>
      <c r="GO44" s="1635"/>
      <c r="GP44" s="1639" t="s">
        <v>8787</v>
      </c>
      <c r="GQ44" s="569"/>
      <c r="GR44" s="569"/>
      <c r="GU44" s="1639"/>
    </row>
    <row r="45" spans="8:245">
      <c r="H45" s="12" t="s">
        <v>4321</v>
      </c>
      <c r="I45" s="3" t="s">
        <v>3800</v>
      </c>
      <c r="K45" s="3">
        <v>0</v>
      </c>
      <c r="L45" s="3" t="s">
        <v>3736</v>
      </c>
      <c r="M45" s="3" t="s">
        <v>740</v>
      </c>
      <c r="P45" s="1178" t="s">
        <v>4332</v>
      </c>
      <c r="Q45" s="1177" t="str">
        <f>P45</f>
        <v>+2 Force bonus to Will Defense</v>
      </c>
      <c r="AB45" s="569" t="s">
        <v>3983</v>
      </c>
      <c r="AC45" s="1358" t="s">
        <v>4009</v>
      </c>
      <c r="AD45" s="581" t="str">
        <f t="shared" si="20"/>
        <v>Fortuna Legacy (Denied)</v>
      </c>
      <c r="AE45" s="616" t="s">
        <v>3985</v>
      </c>
      <c r="AF45" s="616" t="s">
        <v>3986</v>
      </c>
      <c r="AH45" s="1183" t="s">
        <v>1565</v>
      </c>
      <c r="AS45" s="12" t="s">
        <v>2443</v>
      </c>
      <c r="AW45" s="3">
        <v>1</v>
      </c>
      <c r="AY45" s="3" t="s">
        <v>4083</v>
      </c>
      <c r="AZ45" s="936" t="s">
        <v>202</v>
      </c>
      <c r="CR45" s="1704"/>
      <c r="CS45" s="1704"/>
      <c r="CT45" s="1704"/>
      <c r="CU45" s="1704"/>
      <c r="CV45" s="1704"/>
      <c r="CW45" s="1704"/>
      <c r="CX45" s="1704"/>
      <c r="CY45" s="1704"/>
      <c r="CZ45" s="1704"/>
      <c r="DA45" s="570" t="s">
        <v>195</v>
      </c>
      <c r="DB45" s="570" t="s">
        <v>195</v>
      </c>
      <c r="DC45" s="570" t="s">
        <v>195</v>
      </c>
      <c r="DD45" s="570" t="s">
        <v>195</v>
      </c>
      <c r="DE45" s="570" t="s">
        <v>195</v>
      </c>
      <c r="DF45" s="1104"/>
      <c r="DG45" s="1104"/>
      <c r="DW45" s="1358" t="s">
        <v>6640</v>
      </c>
      <c r="EV45" s="954" t="s">
        <v>7743</v>
      </c>
      <c r="EW45" s="954">
        <v>-11</v>
      </c>
      <c r="EX45" s="954">
        <v>11</v>
      </c>
      <c r="EY45" s="954">
        <v>22</v>
      </c>
      <c r="FA45" s="954" t="str">
        <f t="shared" si="17"/>
        <v>NotMet</v>
      </c>
      <c r="FB45" s="954" t="s">
        <v>4084</v>
      </c>
      <c r="FD45" s="954" t="s">
        <v>202</v>
      </c>
      <c r="FE45" s="1478" t="s">
        <v>7772</v>
      </c>
      <c r="FH45" s="1478" t="s">
        <v>202</v>
      </c>
      <c r="FI45" s="1478"/>
      <c r="FJ45" s="1478" t="s">
        <v>3813</v>
      </c>
      <c r="FK45" s="1511" t="s">
        <v>3822</v>
      </c>
      <c r="FL45" s="1493" t="s">
        <v>7824</v>
      </c>
      <c r="FM45" s="1512" t="s">
        <v>7126</v>
      </c>
      <c r="FN45" s="1512" t="s">
        <v>4022</v>
      </c>
      <c r="FO45" s="1512"/>
      <c r="FQ45" s="3"/>
      <c r="GC45" s="1512"/>
      <c r="GD45" s="597" t="str">
        <f t="shared" si="19"/>
        <v xml:space="preserve">// Dominate Mind• Force, Technique
</v>
      </c>
      <c r="GG45" s="569"/>
      <c r="GH45" s="1515" t="s">
        <v>5910</v>
      </c>
      <c r="GI45" s="1512" t="str">
        <f t="shared" si="8"/>
        <v/>
      </c>
      <c r="GJ45" s="1512" t="str">
        <f t="shared" ca="1" si="9"/>
        <v/>
      </c>
      <c r="GK45" s="456" t="str">
        <f t="shared" si="10"/>
        <v xml:space="preserve">// Dominate Mind• Force, Technique
</v>
      </c>
      <c r="GL45" s="1606" t="s">
        <v>8720</v>
      </c>
      <c r="GM45" s="1616">
        <v>2</v>
      </c>
      <c r="GN45" s="1635" t="s">
        <v>2035</v>
      </c>
      <c r="GO45" s="1635"/>
      <c r="GP45" s="1639" t="s">
        <v>8788</v>
      </c>
      <c r="GQ45" s="569"/>
      <c r="GR45" s="569"/>
      <c r="GU45" s="1639"/>
    </row>
    <row r="46" spans="8:245">
      <c r="H46" s="12" t="s">
        <v>4327</v>
      </c>
      <c r="I46" s="3" t="s">
        <v>3800</v>
      </c>
      <c r="K46" s="3">
        <v>0</v>
      </c>
      <c r="L46" s="3" t="s">
        <v>3736</v>
      </c>
      <c r="M46" s="3" t="s">
        <v>740</v>
      </c>
      <c r="P46" s="1178" t="s">
        <v>4337</v>
      </c>
      <c r="Q46" s="1177" t="str">
        <f>P46</f>
        <v>+3 damage</v>
      </c>
      <c r="AB46" s="569" t="s">
        <v>3982</v>
      </c>
      <c r="AC46" s="1358" t="s">
        <v>4009</v>
      </c>
      <c r="AD46" s="581" t="str">
        <f t="shared" si="20"/>
        <v>Fortuna Legacy (Embraced)</v>
      </c>
      <c r="AE46" s="616" t="s">
        <v>3985</v>
      </c>
      <c r="AF46" s="616" t="s">
        <v>3986</v>
      </c>
      <c r="AH46" s="1183" t="s">
        <v>1572</v>
      </c>
      <c r="AS46" s="12" t="str">
        <f t="shared" ref="AS46:AS65" si="21">"Mighty Swing and Power Attack ("&amp;AT46&amp;")"</f>
        <v>Mighty Swing and Power Attack (-1)</v>
      </c>
      <c r="AT46" s="3">
        <f>-1</f>
        <v>-1</v>
      </c>
      <c r="AU46" s="3">
        <f t="shared" ref="AU46:AU65" si="22">(AT46)*-1</f>
        <v>1</v>
      </c>
      <c r="AV46" s="3">
        <f t="shared" ref="AV46:AV65" si="23">AU46*2</f>
        <v>2</v>
      </c>
      <c r="AW46" s="3">
        <v>1</v>
      </c>
      <c r="AY46" s="3" t="s">
        <v>4083</v>
      </c>
      <c r="AZ46" s="936" t="s">
        <v>202</v>
      </c>
      <c r="CR46" s="1704"/>
      <c r="CS46" s="1704"/>
      <c r="CT46" s="1704"/>
      <c r="CU46" s="1704"/>
      <c r="CV46" s="1704"/>
      <c r="CW46" s="1704"/>
      <c r="CX46" s="1704"/>
      <c r="CY46" s="1704"/>
      <c r="CZ46" s="1704"/>
      <c r="DA46" s="570" t="s">
        <v>195</v>
      </c>
      <c r="DB46" s="570" t="s">
        <v>195</v>
      </c>
      <c r="DC46" s="570" t="s">
        <v>195</v>
      </c>
      <c r="DD46" s="570" t="s">
        <v>195</v>
      </c>
      <c r="DE46" s="570" t="s">
        <v>195</v>
      </c>
      <c r="DF46" s="1104"/>
      <c r="DG46" s="1104"/>
      <c r="DW46" s="1358" t="s">
        <v>6640</v>
      </c>
      <c r="EV46" s="954" t="s">
        <v>7744</v>
      </c>
      <c r="EW46" s="954">
        <v>-12</v>
      </c>
      <c r="EX46" s="954">
        <v>12</v>
      </c>
      <c r="EY46" s="954">
        <v>24</v>
      </c>
      <c r="FA46" s="954" t="str">
        <f t="shared" si="17"/>
        <v>NotMet</v>
      </c>
      <c r="FB46" s="954" t="s">
        <v>4084</v>
      </c>
      <c r="FD46" s="954" t="s">
        <v>202</v>
      </c>
      <c r="FE46" s="1478" t="s">
        <v>7772</v>
      </c>
      <c r="FH46" s="1478" t="s">
        <v>202</v>
      </c>
      <c r="FI46" s="1478"/>
      <c r="FJ46" s="1478" t="s">
        <v>3813</v>
      </c>
      <c r="FK46" s="1511" t="s">
        <v>5794</v>
      </c>
      <c r="FL46" s="1493" t="s">
        <v>7824</v>
      </c>
      <c r="FM46" s="1512" t="s">
        <v>7100</v>
      </c>
      <c r="FN46" s="1512" t="s">
        <v>4715</v>
      </c>
      <c r="FO46" s="1512" t="s">
        <v>7807</v>
      </c>
      <c r="FP46" s="1513" t="s">
        <v>7809</v>
      </c>
      <c r="FQ46" s="1513" t="s">
        <v>7811</v>
      </c>
      <c r="GC46" s="1512" t="s">
        <v>7113</v>
      </c>
      <c r="GD46" s="597" t="str">
        <f t="shared" si="19"/>
        <v>// Enlarged Power (free action; FP/DP; area effect Force power) • Force, Secret
Spend a  Force Point to  double distance of effect; spend Destiny Point to multiply the distance the effect extends by 5</v>
      </c>
      <c r="GG46" s="569"/>
      <c r="GH46" s="1515" t="s">
        <v>5935</v>
      </c>
      <c r="GI46" s="1512" t="str">
        <f t="shared" si="8"/>
        <v/>
      </c>
      <c r="GJ46" s="1512" t="str">
        <f t="shared" ca="1" si="9"/>
        <v/>
      </c>
      <c r="GK46" s="456" t="str">
        <f t="shared" si="10"/>
        <v>// Enlarged Power (free action; FP/DP; area effect Force power) • Force, Secret
Spend a  Force Point to  double distance of effect; spend Destiny Point to multiply the distance the effect extends by 5</v>
      </c>
      <c r="GL46" s="1606" t="s">
        <v>8721</v>
      </c>
      <c r="GM46" s="1616">
        <v>2</v>
      </c>
      <c r="GN46" s="1635" t="s">
        <v>8752</v>
      </c>
      <c r="GO46" s="1635"/>
      <c r="GP46" s="1639" t="s">
        <v>8789</v>
      </c>
      <c r="GQ46" s="569"/>
      <c r="GR46" s="569"/>
      <c r="GU46" s="1639"/>
    </row>
    <row r="47" spans="8:245">
      <c r="H47" s="12" t="s">
        <v>4328</v>
      </c>
      <c r="I47" s="3" t="s">
        <v>3800</v>
      </c>
      <c r="K47" s="3">
        <v>0</v>
      </c>
      <c r="L47" s="3" t="s">
        <v>3736</v>
      </c>
      <c r="M47" s="3" t="s">
        <v>740</v>
      </c>
      <c r="P47" s="1178" t="s">
        <v>4338</v>
      </c>
      <c r="Q47" s="1177" t="str">
        <f>P47</f>
        <v>Sense Vong and Biotech without penalties</v>
      </c>
      <c r="AB47" s="569" t="s">
        <v>3983</v>
      </c>
      <c r="AC47" s="1358" t="s">
        <v>4006</v>
      </c>
      <c r="AD47" s="581" t="str">
        <f t="shared" si="20"/>
        <v>Gahan Legacy (Denied)</v>
      </c>
      <c r="AE47" s="616" t="s">
        <v>3985</v>
      </c>
      <c r="AF47" s="616" t="s">
        <v>3986</v>
      </c>
      <c r="AH47" s="1183" t="s">
        <v>1573</v>
      </c>
      <c r="AS47" s="12" t="str">
        <f t="shared" si="21"/>
        <v>Mighty Swing and Power Attack (-2)</v>
      </c>
      <c r="AT47" s="3">
        <f t="shared" ref="AT47:AT65" si="24">AT46-1</f>
        <v>-2</v>
      </c>
      <c r="AU47" s="3">
        <f t="shared" si="22"/>
        <v>2</v>
      </c>
      <c r="AV47" s="3">
        <f t="shared" si="23"/>
        <v>4</v>
      </c>
      <c r="AW47" s="3">
        <v>1</v>
      </c>
      <c r="AY47" s="3" t="s">
        <v>4083</v>
      </c>
      <c r="AZ47" s="936" t="s">
        <v>202</v>
      </c>
      <c r="CR47" s="1704"/>
      <c r="CS47" s="1704"/>
      <c r="CT47" s="1704"/>
      <c r="CU47" s="1704"/>
      <c r="CV47" s="1704"/>
      <c r="CW47" s="1704"/>
      <c r="CX47" s="1704"/>
      <c r="CY47" s="1704"/>
      <c r="CZ47" s="1704"/>
      <c r="DA47" s="570" t="s">
        <v>195</v>
      </c>
      <c r="DB47" s="570" t="s">
        <v>195</v>
      </c>
      <c r="DC47" s="570" t="s">
        <v>195</v>
      </c>
      <c r="DD47" s="570" t="s">
        <v>195</v>
      </c>
      <c r="DE47" s="570" t="s">
        <v>195</v>
      </c>
      <c r="DF47" s="1104"/>
      <c r="DG47" s="1104"/>
      <c r="DW47" s="1358" t="s">
        <v>6643</v>
      </c>
      <c r="EV47" s="1478" t="s">
        <v>7745</v>
      </c>
      <c r="EW47" s="954">
        <v>-13</v>
      </c>
      <c r="EX47" s="954">
        <v>13</v>
      </c>
      <c r="EY47" s="954">
        <v>26</v>
      </c>
      <c r="FA47" s="954" t="str">
        <f t="shared" si="17"/>
        <v>NotMet</v>
      </c>
      <c r="FB47" s="954" t="s">
        <v>4084</v>
      </c>
      <c r="FD47" s="954" t="s">
        <v>202</v>
      </c>
      <c r="FE47" s="1478" t="s">
        <v>7772</v>
      </c>
      <c r="FH47" s="1478" t="s">
        <v>202</v>
      </c>
      <c r="FI47" s="1478"/>
      <c r="FJ47" s="1478" t="s">
        <v>3813</v>
      </c>
      <c r="FK47" s="1323" t="s">
        <v>2561</v>
      </c>
      <c r="FL47" s="1493" t="s">
        <v>7824</v>
      </c>
      <c r="FM47" s="1513" t="s">
        <v>7800</v>
      </c>
      <c r="FN47" s="1513" t="s">
        <v>4129</v>
      </c>
      <c r="FO47" s="1513" t="s">
        <v>7188</v>
      </c>
      <c r="FP47" s="1513" t="s">
        <v>65</v>
      </c>
      <c r="FQ47" s="1513" t="s">
        <v>7855</v>
      </c>
      <c r="GC47" s="597" t="str">
        <f>"Once per turn "&amp;CharacterName&amp;" can grant an ally the the Aid Another as a reaction to help "&amp;Pronoun&amp;" with a skill check"</f>
        <v>Once per turn  can grant an ally the the Aid Another as a reaction to help it with a skill check</v>
      </c>
      <c r="GD47" s="597" t="str">
        <f t="shared" si="19"/>
        <v>// Entreat Aid (swift; FP; one ally) • Force, Talent
Once per turn  can grant an ally the the Aid Another as a reaction to help it with a skill check</v>
      </c>
      <c r="GG47" s="569" t="b">
        <v>1</v>
      </c>
      <c r="GH47" s="8" t="str">
        <f>IF(FN47="Talent",INDEX(TalentsTable,MATCH(FK47,TalentsTableList,0),13),"")</f>
        <v>LE 26</v>
      </c>
      <c r="GI47" s="1512" t="str">
        <f t="shared" si="8"/>
        <v/>
      </c>
      <c r="GJ47" s="1512" t="str">
        <f t="shared" ca="1" si="9"/>
        <v/>
      </c>
      <c r="GK47" s="456" t="str">
        <f t="shared" si="10"/>
        <v>// Entreat Aid (swift; FP; one ally) • Force, Talent
Once per turn  can grant an ally the the Aid Another as a reaction to help it with a skill check</v>
      </c>
      <c r="GL47" s="1606" t="s">
        <v>8722</v>
      </c>
      <c r="GM47" s="1616">
        <v>2</v>
      </c>
      <c r="GN47" s="1635" t="s">
        <v>1573</v>
      </c>
      <c r="GO47" s="1635"/>
      <c r="GP47" s="1639" t="s">
        <v>8790</v>
      </c>
      <c r="GQ47" s="569"/>
      <c r="GR47" s="569"/>
      <c r="GU47" s="1639"/>
    </row>
    <row r="48" spans="8:245">
      <c r="H48" s="12" t="s">
        <v>748</v>
      </c>
      <c r="I48" s="3" t="s">
        <v>173</v>
      </c>
      <c r="K48" s="3">
        <v>0</v>
      </c>
      <c r="L48" s="3" t="s">
        <v>3736</v>
      </c>
      <c r="M48" s="3" t="s">
        <v>740</v>
      </c>
      <c r="P48" s="1176" t="s">
        <v>625</v>
      </c>
      <c r="Q48" s="1177" t="s">
        <v>625</v>
      </c>
      <c r="AB48" s="569" t="s">
        <v>3982</v>
      </c>
      <c r="AC48" s="1358" t="s">
        <v>4006</v>
      </c>
      <c r="AD48" s="581" t="str">
        <f t="shared" si="20"/>
        <v>Gahan Legacy (Embraced)</v>
      </c>
      <c r="AE48" s="616" t="s">
        <v>3985</v>
      </c>
      <c r="AF48" s="616" t="s">
        <v>3986</v>
      </c>
      <c r="AH48" s="1183" t="s">
        <v>1587</v>
      </c>
      <c r="AS48" s="12" t="str">
        <f t="shared" si="21"/>
        <v>Mighty Swing and Power Attack (-3)</v>
      </c>
      <c r="AT48" s="3">
        <f t="shared" si="24"/>
        <v>-3</v>
      </c>
      <c r="AU48" s="3">
        <f t="shared" si="22"/>
        <v>3</v>
      </c>
      <c r="AV48" s="3">
        <f t="shared" si="23"/>
        <v>6</v>
      </c>
      <c r="AW48" s="3">
        <v>1</v>
      </c>
      <c r="AY48" s="3" t="s">
        <v>4083</v>
      </c>
      <c r="AZ48" s="936" t="s">
        <v>202</v>
      </c>
      <c r="CR48" s="1704"/>
      <c r="CS48" s="1704"/>
      <c r="CT48" s="1704"/>
      <c r="CU48" s="1704"/>
      <c r="CV48" s="1704"/>
      <c r="CW48" s="1704"/>
      <c r="CX48" s="1704"/>
      <c r="CY48" s="1704"/>
      <c r="CZ48" s="1704"/>
      <c r="DA48" s="570" t="s">
        <v>195</v>
      </c>
      <c r="DB48" s="570" t="s">
        <v>195</v>
      </c>
      <c r="DC48" s="570" t="s">
        <v>195</v>
      </c>
      <c r="DD48" s="570" t="s">
        <v>195</v>
      </c>
      <c r="DE48" s="570" t="s">
        <v>195</v>
      </c>
      <c r="DF48" s="1104"/>
      <c r="DG48" s="1104"/>
      <c r="DW48" s="1358" t="s">
        <v>6643</v>
      </c>
      <c r="EV48" s="954" t="s">
        <v>7746</v>
      </c>
      <c r="EW48" s="954">
        <v>-14</v>
      </c>
      <c r="EX48" s="954">
        <v>14</v>
      </c>
      <c r="EY48" s="954">
        <v>28</v>
      </c>
      <c r="FA48" s="954" t="str">
        <f t="shared" si="17"/>
        <v>NotMet</v>
      </c>
      <c r="FB48" s="954" t="s">
        <v>4084</v>
      </c>
      <c r="FD48" s="954" t="s">
        <v>202</v>
      </c>
      <c r="FE48" s="1478" t="s">
        <v>7772</v>
      </c>
      <c r="FH48" s="1478" t="s">
        <v>202</v>
      </c>
      <c r="FI48" s="1478"/>
      <c r="FJ48" s="1478" t="s">
        <v>3813</v>
      </c>
      <c r="FK48" s="1511" t="s">
        <v>5795</v>
      </c>
      <c r="FL48" s="1493" t="s">
        <v>7824</v>
      </c>
      <c r="FM48" s="1512" t="s">
        <v>7100</v>
      </c>
      <c r="FN48" s="1512" t="s">
        <v>4715</v>
      </c>
      <c r="FO48" s="1512" t="s">
        <v>7807</v>
      </c>
      <c r="FP48" s="1513" t="s">
        <v>7809</v>
      </c>
      <c r="GC48" s="1512" t="str">
        <f>"Spend Force Point to sustain a Force power that allows concentration as swift action for "&amp;ChaMod&amp;" rounds"</f>
        <v>Spend Force Point to sustain a Force power that allows concentration as swift action for  rounds</v>
      </c>
      <c r="GD48" s="597" t="str">
        <f t="shared" si="19"/>
        <v>// Extend Power (free action; FP/DP) • Force, Secret
Spend Force Point to sustain a Force power that allows concentration as swift action for  rounds</v>
      </c>
      <c r="GG48" s="569"/>
      <c r="GH48" s="1515" t="s">
        <v>5938</v>
      </c>
      <c r="GI48" s="1512" t="str">
        <f t="shared" si="8"/>
        <v/>
      </c>
      <c r="GJ48" s="1512" t="str">
        <f t="shared" ca="1" si="9"/>
        <v/>
      </c>
      <c r="GK48" s="456" t="str">
        <f t="shared" si="10"/>
        <v>// Extend Power (free action; FP/DP) • Force, Secret
Spend Force Point to sustain a Force power that allows concentration as swift action for  rounds</v>
      </c>
      <c r="GL48" s="1606" t="s">
        <v>8723</v>
      </c>
      <c r="GM48" s="1616">
        <v>2</v>
      </c>
      <c r="GN48" s="1635" t="s">
        <v>2050</v>
      </c>
      <c r="GO48" s="1635"/>
      <c r="GP48" s="1639" t="s">
        <v>8791</v>
      </c>
      <c r="GQ48" s="569"/>
      <c r="GR48" s="569"/>
      <c r="GS48" s="581"/>
      <c r="GT48" s="581"/>
      <c r="GU48" s="1639"/>
      <c r="GV48" s="581"/>
      <c r="GW48" s="581"/>
      <c r="GX48" s="581"/>
      <c r="GY48" s="581"/>
      <c r="GZ48" s="581"/>
      <c r="HA48" s="581"/>
      <c r="HC48" s="581"/>
      <c r="HD48" s="581"/>
      <c r="HE48" s="581"/>
      <c r="HF48" s="581"/>
      <c r="HG48" s="581"/>
      <c r="HH48" s="581"/>
      <c r="HI48" s="581"/>
      <c r="HJ48" s="581"/>
      <c r="HK48" s="581"/>
      <c r="HL48" s="581"/>
      <c r="HM48" s="581"/>
      <c r="HN48" s="581"/>
      <c r="HO48" s="581"/>
      <c r="HP48" s="581"/>
      <c r="HQ48" s="581"/>
      <c r="HR48" s="581"/>
      <c r="HS48" s="581"/>
      <c r="HT48" s="581"/>
      <c r="HU48" s="581"/>
      <c r="HV48" s="581"/>
      <c r="HW48" s="581"/>
      <c r="HX48" s="581"/>
      <c r="HY48" s="581"/>
      <c r="HZ48" s="581"/>
      <c r="IA48" s="581"/>
      <c r="IB48" s="581"/>
      <c r="IC48" s="581"/>
      <c r="ID48" s="581"/>
      <c r="IE48" s="581"/>
      <c r="IF48" s="581"/>
      <c r="IG48" s="581"/>
      <c r="IH48" s="581"/>
      <c r="II48" s="581"/>
      <c r="IJ48" s="581"/>
      <c r="IK48" s="581"/>
    </row>
    <row r="49" spans="8:245" s="581" customFormat="1">
      <c r="H49" s="12" t="s">
        <v>4329</v>
      </c>
      <c r="I49" s="3" t="s">
        <v>3800</v>
      </c>
      <c r="J49" s="3"/>
      <c r="K49" s="3">
        <v>0</v>
      </c>
      <c r="L49" s="3" t="s">
        <v>3736</v>
      </c>
      <c r="M49" s="3" t="s">
        <v>740</v>
      </c>
      <c r="N49" s="3"/>
      <c r="O49" s="3"/>
      <c r="P49" s="1178" t="s">
        <v>4339</v>
      </c>
      <c r="Q49" s="1177" t="str">
        <f>P49</f>
        <v>+2 bonus to Use the Force checks where you are the target</v>
      </c>
      <c r="W49" s="12"/>
      <c r="X49" s="3"/>
      <c r="Y49" s="3"/>
      <c r="Z49" s="3"/>
      <c r="AA49" s="8"/>
      <c r="AB49" s="569" t="s">
        <v>3983</v>
      </c>
      <c r="AC49" s="1358" t="s">
        <v>6642</v>
      </c>
      <c r="AD49" s="581" t="str">
        <f t="shared" si="20"/>
        <v>Gakfedd (clan) Legacy (Denied)</v>
      </c>
      <c r="AE49" s="616" t="s">
        <v>3985</v>
      </c>
      <c r="AF49" s="616" t="s">
        <v>3986</v>
      </c>
      <c r="AG49" s="616"/>
      <c r="AH49" s="1183" t="s">
        <v>1595</v>
      </c>
      <c r="AI49" s="3"/>
      <c r="AJ49" s="3"/>
      <c r="AK49" s="3"/>
      <c r="AL49" s="3"/>
      <c r="AM49" s="3"/>
      <c r="AN49" s="3"/>
      <c r="AO49" s="3"/>
      <c r="AP49" s="3"/>
      <c r="AQ49" s="3"/>
      <c r="AR49" s="8"/>
      <c r="AS49" s="12" t="str">
        <f t="shared" si="21"/>
        <v>Mighty Swing and Power Attack (-4)</v>
      </c>
      <c r="AT49" s="3">
        <f t="shared" si="24"/>
        <v>-4</v>
      </c>
      <c r="AU49" s="3">
        <f t="shared" si="22"/>
        <v>4</v>
      </c>
      <c r="AV49" s="3">
        <f t="shared" si="23"/>
        <v>8</v>
      </c>
      <c r="AW49" s="3">
        <v>1</v>
      </c>
      <c r="AX49" s="3"/>
      <c r="AY49" s="3" t="s">
        <v>4083</v>
      </c>
      <c r="AZ49" s="936" t="s">
        <v>202</v>
      </c>
      <c r="BJ49" s="12"/>
      <c r="BK49" s="3"/>
      <c r="BL49" s="3"/>
      <c r="BM49" s="8"/>
      <c r="BN49" s="12"/>
      <c r="BO49" s="3"/>
      <c r="BP49" s="3"/>
      <c r="BQ49" s="3"/>
      <c r="BR49" s="3"/>
      <c r="BS49" s="8"/>
      <c r="BT49" s="12"/>
      <c r="BU49" s="3"/>
      <c r="BV49" s="3"/>
      <c r="BW49" s="3"/>
      <c r="BX49" s="3"/>
      <c r="BY49" s="3"/>
      <c r="BZ49" s="3"/>
      <c r="CA49" s="3"/>
      <c r="CB49" s="8"/>
      <c r="CC49" s="12"/>
      <c r="CD49" s="3"/>
      <c r="CE49" s="3"/>
      <c r="CF49" s="3"/>
      <c r="CG49" s="3"/>
      <c r="CH49" s="8"/>
      <c r="CP49" s="1082"/>
      <c r="CQ49" s="1081"/>
      <c r="CR49" s="1704"/>
      <c r="CS49" s="1704"/>
      <c r="CT49" s="1704"/>
      <c r="CU49" s="1704"/>
      <c r="CV49" s="1704"/>
      <c r="CW49" s="1704"/>
      <c r="CX49" s="1704"/>
      <c r="CY49" s="1704"/>
      <c r="CZ49" s="1704"/>
      <c r="DA49" s="570" t="s">
        <v>195</v>
      </c>
      <c r="DB49" s="570" t="s">
        <v>195</v>
      </c>
      <c r="DC49" s="570" t="s">
        <v>195</v>
      </c>
      <c r="DD49" s="570" t="s">
        <v>195</v>
      </c>
      <c r="DE49" s="570" t="s">
        <v>195</v>
      </c>
      <c r="DF49" s="1104"/>
      <c r="DG49" s="1104"/>
      <c r="DW49" s="1358" t="s">
        <v>3997</v>
      </c>
      <c r="ED49" s="1323"/>
      <c r="EE49" s="8"/>
      <c r="EF49" s="1323"/>
      <c r="EG49" s="3"/>
      <c r="EH49" s="3"/>
      <c r="EI49" s="8"/>
      <c r="EJ49" s="1323"/>
      <c r="EK49" s="8"/>
      <c r="EL49" s="1323"/>
      <c r="EM49" s="19"/>
      <c r="EN49" s="19"/>
      <c r="EO49" s="19"/>
      <c r="EP49" s="19"/>
      <c r="EQ49" s="19"/>
      <c r="ER49" s="19"/>
      <c r="ES49" s="19"/>
      <c r="ET49" s="19"/>
      <c r="EU49" s="8"/>
      <c r="EV49" s="954" t="s">
        <v>7747</v>
      </c>
      <c r="EW49" s="954">
        <v>-15</v>
      </c>
      <c r="EX49" s="954">
        <v>15</v>
      </c>
      <c r="EY49" s="954">
        <v>30</v>
      </c>
      <c r="EZ49" s="954"/>
      <c r="FA49" s="954" t="str">
        <f t="shared" si="17"/>
        <v>NotMet</v>
      </c>
      <c r="FB49" s="954" t="s">
        <v>4084</v>
      </c>
      <c r="FC49" s="954"/>
      <c r="FD49" s="954" t="s">
        <v>202</v>
      </c>
      <c r="FE49" s="1478" t="s">
        <v>7772</v>
      </c>
      <c r="FF49" s="954"/>
      <c r="FG49" s="954"/>
      <c r="FH49" s="1478" t="s">
        <v>202</v>
      </c>
      <c r="FI49" s="1478"/>
      <c r="FJ49" s="1478" t="s">
        <v>3813</v>
      </c>
      <c r="FK49" s="1511" t="s">
        <v>4263</v>
      </c>
      <c r="FL49" s="1493" t="s">
        <v>7824</v>
      </c>
      <c r="FM49" s="1512" t="s">
        <v>7126</v>
      </c>
      <c r="FN49" s="1512" t="s">
        <v>4022</v>
      </c>
      <c r="FO49" s="1512"/>
      <c r="FP49" s="3"/>
      <c r="FQ49" s="3"/>
      <c r="FR49" s="3"/>
      <c r="FS49" s="3"/>
      <c r="FT49" s="3"/>
      <c r="FU49" s="3"/>
      <c r="FV49" s="3"/>
      <c r="FW49" s="3"/>
      <c r="FX49" s="3"/>
      <c r="FY49" s="3"/>
      <c r="FZ49" s="3"/>
      <c r="GA49" s="3"/>
      <c r="GB49" s="3"/>
      <c r="GC49" s="1512"/>
      <c r="GD49" s="597" t="str">
        <f t="shared" si="19"/>
        <v xml:space="preserve">// Extended Blind• Force, Technique
</v>
      </c>
      <c r="GE49" s="597"/>
      <c r="GF49" s="3"/>
      <c r="GG49" s="569"/>
      <c r="GH49" s="1515">
        <v>102</v>
      </c>
      <c r="GI49" s="1512" t="str">
        <f t="shared" si="8"/>
        <v/>
      </c>
      <c r="GJ49" s="1512" t="str">
        <f t="shared" ca="1" si="9"/>
        <v/>
      </c>
      <c r="GK49" s="456" t="str">
        <f t="shared" si="10"/>
        <v xml:space="preserve">// Extended Blind• Force, Technique
</v>
      </c>
      <c r="GL49" s="456"/>
      <c r="GM49" s="1618"/>
      <c r="GN49" s="1618"/>
      <c r="GO49" s="1573"/>
      <c r="GP49"/>
      <c r="GQ49"/>
      <c r="GR49"/>
      <c r="GS49"/>
      <c r="GT49"/>
      <c r="GU49"/>
      <c r="GV49"/>
      <c r="GW49"/>
      <c r="GX49"/>
      <c r="GY49"/>
      <c r="GZ49"/>
      <c r="HA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row>
    <row r="50" spans="8:245">
      <c r="H50" s="12" t="s">
        <v>834</v>
      </c>
      <c r="I50" s="3" t="s">
        <v>173</v>
      </c>
      <c r="K50" s="3">
        <v>0</v>
      </c>
      <c r="L50" s="3" t="s">
        <v>3736</v>
      </c>
      <c r="M50" s="3" t="s">
        <v>740</v>
      </c>
      <c r="P50" s="1176" t="s">
        <v>371</v>
      </c>
      <c r="Q50" s="1177" t="s">
        <v>371</v>
      </c>
      <c r="AB50" s="569" t="s">
        <v>3982</v>
      </c>
      <c r="AC50" s="1358" t="s">
        <v>6642</v>
      </c>
      <c r="AD50" s="581" t="str">
        <f t="shared" si="20"/>
        <v>Gakfedd (clan) Legacy (Embraced)</v>
      </c>
      <c r="AE50" s="616" t="s">
        <v>3985</v>
      </c>
      <c r="AF50" s="616" t="s">
        <v>3986</v>
      </c>
      <c r="AH50" s="1183" t="s">
        <v>1601</v>
      </c>
      <c r="AS50" s="12" t="str">
        <f t="shared" si="21"/>
        <v>Mighty Swing and Power Attack (-5)</v>
      </c>
      <c r="AT50" s="3">
        <f t="shared" si="24"/>
        <v>-5</v>
      </c>
      <c r="AU50" s="3">
        <f t="shared" si="22"/>
        <v>5</v>
      </c>
      <c r="AV50" s="3">
        <f t="shared" si="23"/>
        <v>10</v>
      </c>
      <c r="AW50" s="3">
        <v>1</v>
      </c>
      <c r="AY50" s="3" t="s">
        <v>4083</v>
      </c>
      <c r="AZ50" s="936" t="s">
        <v>202</v>
      </c>
      <c r="CR50" s="1704"/>
      <c r="CS50" s="1704"/>
      <c r="CT50" s="1704"/>
      <c r="CU50" s="1704"/>
      <c r="CV50" s="1704"/>
      <c r="CW50" s="1704"/>
      <c r="CX50" s="1704"/>
      <c r="CY50" s="1704"/>
      <c r="CZ50" s="1704"/>
      <c r="DA50" s="570" t="s">
        <v>195</v>
      </c>
      <c r="DB50" s="570" t="s">
        <v>195</v>
      </c>
      <c r="DC50" s="570" t="s">
        <v>195</v>
      </c>
      <c r="DD50" s="570" t="s">
        <v>195</v>
      </c>
      <c r="DE50" s="570" t="s">
        <v>195</v>
      </c>
      <c r="DF50" s="1104"/>
      <c r="DG50" s="1104"/>
      <c r="DW50" s="1358" t="s">
        <v>3997</v>
      </c>
      <c r="EV50" s="954" t="s">
        <v>7748</v>
      </c>
      <c r="EW50" s="954">
        <v>-16</v>
      </c>
      <c r="EX50" s="954">
        <v>16</v>
      </c>
      <c r="EY50" s="954">
        <v>32</v>
      </c>
      <c r="FA50" s="954" t="str">
        <f t="shared" si="17"/>
        <v>NotMet</v>
      </c>
      <c r="FB50" s="954" t="s">
        <v>4084</v>
      </c>
      <c r="FD50" s="954" t="s">
        <v>202</v>
      </c>
      <c r="FE50" s="1478" t="s">
        <v>7772</v>
      </c>
      <c r="FH50" s="1478" t="s">
        <v>202</v>
      </c>
      <c r="FI50" s="1478"/>
      <c r="FJ50" s="1478" t="s">
        <v>3813</v>
      </c>
      <c r="FK50" s="1511" t="s">
        <v>4264</v>
      </c>
      <c r="FL50" s="1493" t="s">
        <v>7824</v>
      </c>
      <c r="FM50" s="1512" t="s">
        <v>7126</v>
      </c>
      <c r="FN50" s="1512" t="s">
        <v>4022</v>
      </c>
      <c r="FO50" s="1512"/>
      <c r="FQ50" s="3"/>
      <c r="GC50" s="1512"/>
      <c r="GD50" s="597" t="str">
        <f t="shared" si="19"/>
        <v xml:space="preserve">// Extended Force Disarm• Force, Technique
</v>
      </c>
      <c r="GG50" s="569"/>
      <c r="GH50" s="1515" t="s">
        <v>5909</v>
      </c>
      <c r="GI50" s="1512" t="str">
        <f t="shared" si="8"/>
        <v/>
      </c>
      <c r="GJ50" s="1512" t="str">
        <f t="shared" ca="1" si="9"/>
        <v/>
      </c>
      <c r="GK50" s="456" t="str">
        <f t="shared" si="10"/>
        <v xml:space="preserve">// Extended Force Disarm• Force, Technique
</v>
      </c>
    </row>
    <row r="51" spans="8:245">
      <c r="H51" s="12" t="s">
        <v>855</v>
      </c>
      <c r="I51" s="3" t="s">
        <v>173</v>
      </c>
      <c r="K51" s="3">
        <v>0</v>
      </c>
      <c r="L51" s="3" t="s">
        <v>3736</v>
      </c>
      <c r="M51" s="3" t="s">
        <v>740</v>
      </c>
      <c r="P51" s="1176" t="s">
        <v>218</v>
      </c>
      <c r="Q51" s="1177" t="s">
        <v>218</v>
      </c>
      <c r="AB51" s="569" t="s">
        <v>3983</v>
      </c>
      <c r="AC51" s="1358" t="s">
        <v>3995</v>
      </c>
      <c r="AD51" s="581" t="str">
        <f t="shared" si="20"/>
        <v>Halcyon Legacy (Denied)</v>
      </c>
      <c r="AE51" s="616" t="s">
        <v>3985</v>
      </c>
      <c r="AF51" s="616" t="s">
        <v>3986</v>
      </c>
      <c r="AH51" s="1183" t="s">
        <v>1613</v>
      </c>
      <c r="AS51" s="12" t="str">
        <f t="shared" si="21"/>
        <v>Mighty Swing and Power Attack (-6)</v>
      </c>
      <c r="AT51" s="3">
        <f t="shared" si="24"/>
        <v>-6</v>
      </c>
      <c r="AU51" s="3">
        <f t="shared" si="22"/>
        <v>6</v>
      </c>
      <c r="AV51" s="3">
        <f t="shared" si="23"/>
        <v>12</v>
      </c>
      <c r="AW51" s="3">
        <v>1</v>
      </c>
      <c r="AY51" s="3" t="s">
        <v>4083</v>
      </c>
      <c r="AZ51" s="936" t="s">
        <v>202</v>
      </c>
      <c r="CR51" s="1704"/>
      <c r="CS51" s="1704"/>
      <c r="CT51" s="1704"/>
      <c r="CU51" s="1704"/>
      <c r="CV51" s="1704"/>
      <c r="CW51" s="1704"/>
      <c r="CX51" s="1704"/>
      <c r="CY51" s="1704"/>
      <c r="CZ51" s="1704"/>
      <c r="DA51" s="570" t="s">
        <v>195</v>
      </c>
      <c r="DB51" s="570" t="s">
        <v>195</v>
      </c>
      <c r="DC51" s="570" t="s">
        <v>195</v>
      </c>
      <c r="DD51" s="570" t="s">
        <v>195</v>
      </c>
      <c r="DE51" s="570" t="s">
        <v>195</v>
      </c>
      <c r="DF51" s="1104"/>
      <c r="DG51" s="1104"/>
      <c r="DW51" s="1358" t="s">
        <v>4007</v>
      </c>
      <c r="EV51" s="954" t="s">
        <v>7749</v>
      </c>
      <c r="EW51" s="954">
        <v>-17</v>
      </c>
      <c r="EX51" s="954">
        <v>17</v>
      </c>
      <c r="EY51" s="954">
        <v>34</v>
      </c>
      <c r="FA51" s="954" t="str">
        <f t="shared" si="17"/>
        <v>NotMet</v>
      </c>
      <c r="FB51" s="954" t="s">
        <v>4084</v>
      </c>
      <c r="FD51" s="954" t="s">
        <v>202</v>
      </c>
      <c r="FE51" s="1478" t="s">
        <v>7772</v>
      </c>
      <c r="FH51" s="1478" t="s">
        <v>202</v>
      </c>
      <c r="FI51" s="1478"/>
      <c r="FJ51" s="1478" t="s">
        <v>3813</v>
      </c>
      <c r="FK51" s="1511" t="s">
        <v>4265</v>
      </c>
      <c r="FL51" s="1493" t="s">
        <v>7824</v>
      </c>
      <c r="FM51" s="1512" t="s">
        <v>7126</v>
      </c>
      <c r="FN51" s="1512" t="s">
        <v>4022</v>
      </c>
      <c r="FO51" s="1512"/>
      <c r="GC51" s="1512"/>
      <c r="GD51" s="597" t="str">
        <f t="shared" si="19"/>
        <v xml:space="preserve">// Extended Force Grip• Force, Technique
</v>
      </c>
      <c r="GG51" s="569"/>
      <c r="GH51" s="1515" t="s">
        <v>5909</v>
      </c>
      <c r="GI51" s="1512" t="str">
        <f t="shared" si="8"/>
        <v/>
      </c>
      <c r="GJ51" s="1512" t="str">
        <f t="shared" ca="1" si="9"/>
        <v/>
      </c>
      <c r="GK51" s="456" t="str">
        <f t="shared" si="10"/>
        <v xml:space="preserve">// Extended Force Grip• Force, Technique
</v>
      </c>
    </row>
    <row r="52" spans="8:245">
      <c r="H52" s="12" t="s">
        <v>890</v>
      </c>
      <c r="I52" s="3" t="s">
        <v>173</v>
      </c>
      <c r="K52" s="3">
        <v>0</v>
      </c>
      <c r="L52" s="3" t="s">
        <v>3736</v>
      </c>
      <c r="M52" s="3" t="s">
        <v>740</v>
      </c>
      <c r="P52" s="1176" t="s">
        <v>891</v>
      </c>
      <c r="Q52" s="1177" t="s">
        <v>891</v>
      </c>
      <c r="AB52" s="569" t="s">
        <v>3982</v>
      </c>
      <c r="AC52" s="1358" t="s">
        <v>3995</v>
      </c>
      <c r="AD52" s="581" t="str">
        <f t="shared" si="20"/>
        <v>Halcyon Legacy (Embraced)</v>
      </c>
      <c r="AE52" s="616" t="s">
        <v>3985</v>
      </c>
      <c r="AF52" s="616" t="s">
        <v>3986</v>
      </c>
      <c r="AH52" s="1183" t="s">
        <v>1624</v>
      </c>
      <c r="AS52" s="12" t="str">
        <f t="shared" si="21"/>
        <v>Mighty Swing and Power Attack (-7)</v>
      </c>
      <c r="AT52" s="3">
        <f t="shared" si="24"/>
        <v>-7</v>
      </c>
      <c r="AU52" s="3">
        <f t="shared" si="22"/>
        <v>7</v>
      </c>
      <c r="AV52" s="3">
        <f t="shared" si="23"/>
        <v>14</v>
      </c>
      <c r="AW52" s="3">
        <v>1</v>
      </c>
      <c r="AY52" s="3" t="s">
        <v>4083</v>
      </c>
      <c r="AZ52" s="936" t="s">
        <v>202</v>
      </c>
      <c r="CR52" s="1704"/>
      <c r="CS52" s="1704"/>
      <c r="CT52" s="1704"/>
      <c r="CU52" s="1704"/>
      <c r="CV52" s="1704"/>
      <c r="CW52" s="1704"/>
      <c r="CX52" s="1704"/>
      <c r="CY52" s="1704"/>
      <c r="CZ52" s="1704"/>
      <c r="DA52" s="570" t="s">
        <v>195</v>
      </c>
      <c r="DB52" s="570" t="s">
        <v>195</v>
      </c>
      <c r="DC52" s="570" t="s">
        <v>195</v>
      </c>
      <c r="DD52" s="570" t="s">
        <v>195</v>
      </c>
      <c r="DE52" s="570" t="s">
        <v>195</v>
      </c>
      <c r="DF52" s="1104"/>
      <c r="DG52" s="1104"/>
      <c r="DW52" s="1358" t="s">
        <v>4007</v>
      </c>
      <c r="EV52" s="954" t="s">
        <v>7750</v>
      </c>
      <c r="EW52" s="954">
        <v>-18</v>
      </c>
      <c r="EX52" s="954">
        <v>18</v>
      </c>
      <c r="EY52" s="954">
        <v>36</v>
      </c>
      <c r="FA52" s="954" t="str">
        <f t="shared" si="17"/>
        <v>NotMet</v>
      </c>
      <c r="FB52" s="954" t="s">
        <v>4084</v>
      </c>
      <c r="FD52" s="954" t="s">
        <v>202</v>
      </c>
      <c r="FE52" s="1478" t="s">
        <v>7772</v>
      </c>
      <c r="FH52" s="1478" t="s">
        <v>202</v>
      </c>
      <c r="FI52" s="1478"/>
      <c r="FJ52" s="1478" t="s">
        <v>3813</v>
      </c>
      <c r="FK52" s="1511" t="s">
        <v>4266</v>
      </c>
      <c r="FL52" s="1493" t="s">
        <v>7824</v>
      </c>
      <c r="FM52" s="1512" t="s">
        <v>7126</v>
      </c>
      <c r="FN52" s="1512" t="s">
        <v>4022</v>
      </c>
      <c r="FO52" s="1512"/>
      <c r="GC52" s="1512"/>
      <c r="GD52" s="597" t="str">
        <f t="shared" si="19"/>
        <v xml:space="preserve">// Extended Force Thrust• Force, Technique
</v>
      </c>
      <c r="GG52" s="569"/>
      <c r="GH52" s="1515" t="s">
        <v>5933</v>
      </c>
      <c r="GI52" s="1512" t="str">
        <f t="shared" si="8"/>
        <v/>
      </c>
      <c r="GJ52" s="1512" t="str">
        <f t="shared" ca="1" si="9"/>
        <v/>
      </c>
      <c r="GK52" s="456" t="str">
        <f t="shared" si="10"/>
        <v xml:space="preserve">// Extended Force Thrust• Force, Technique
</v>
      </c>
    </row>
    <row r="53" spans="8:245">
      <c r="H53" s="12" t="s">
        <v>1030</v>
      </c>
      <c r="I53" s="3" t="s">
        <v>173</v>
      </c>
      <c r="K53" s="3">
        <v>0</v>
      </c>
      <c r="L53" s="3" t="s">
        <v>3736</v>
      </c>
      <c r="M53" s="3" t="s">
        <v>740</v>
      </c>
      <c r="P53" s="1176" t="s">
        <v>576</v>
      </c>
      <c r="Q53" s="1177" t="s">
        <v>576</v>
      </c>
      <c r="AB53" s="569" t="s">
        <v>3983</v>
      </c>
      <c r="AC53" s="1358" t="s">
        <v>3996</v>
      </c>
      <c r="AD53" s="581" t="str">
        <f t="shared" si="20"/>
        <v>Horn Legacy (Denied)</v>
      </c>
      <c r="AE53" s="616" t="s">
        <v>3985</v>
      </c>
      <c r="AF53" s="616" t="s">
        <v>3986</v>
      </c>
      <c r="AH53" s="1183" t="s">
        <v>2057</v>
      </c>
      <c r="AS53" s="12" t="str">
        <f t="shared" si="21"/>
        <v>Mighty Swing and Power Attack (-8)</v>
      </c>
      <c r="AT53" s="3">
        <f t="shared" si="24"/>
        <v>-8</v>
      </c>
      <c r="AU53" s="3">
        <f t="shared" si="22"/>
        <v>8</v>
      </c>
      <c r="AV53" s="3">
        <f t="shared" si="23"/>
        <v>16</v>
      </c>
      <c r="AW53" s="3">
        <v>1</v>
      </c>
      <c r="AY53" s="3" t="s">
        <v>4083</v>
      </c>
      <c r="AZ53" s="936" t="s">
        <v>202</v>
      </c>
      <c r="CR53" s="1704"/>
      <c r="CS53" s="1704"/>
      <c r="CT53" s="1704"/>
      <c r="CU53" s="1704"/>
      <c r="CV53" s="1704"/>
      <c r="CW53" s="1704"/>
      <c r="CX53" s="1704"/>
      <c r="CY53" s="1704"/>
      <c r="CZ53" s="1704"/>
      <c r="DA53" s="570" t="s">
        <v>195</v>
      </c>
      <c r="DB53" s="570" t="s">
        <v>195</v>
      </c>
      <c r="DC53" s="570" t="s">
        <v>195</v>
      </c>
      <c r="DD53" s="570" t="s">
        <v>195</v>
      </c>
      <c r="DE53" s="570" t="s">
        <v>195</v>
      </c>
      <c r="DF53" s="1104"/>
      <c r="DG53" s="1104"/>
      <c r="DW53" s="1358" t="s">
        <v>4008</v>
      </c>
      <c r="EV53" s="954" t="s">
        <v>7751</v>
      </c>
      <c r="EW53" s="954">
        <v>-19</v>
      </c>
      <c r="EX53" s="954">
        <v>19</v>
      </c>
      <c r="EY53" s="954">
        <v>38</v>
      </c>
      <c r="FA53" s="954" t="str">
        <f t="shared" si="17"/>
        <v>NotMet</v>
      </c>
      <c r="FB53" s="954" t="s">
        <v>4084</v>
      </c>
      <c r="FD53" s="954" t="s">
        <v>202</v>
      </c>
      <c r="FE53" s="1478" t="s">
        <v>7772</v>
      </c>
      <c r="FH53" s="1478" t="s">
        <v>202</v>
      </c>
      <c r="FI53" s="1478"/>
      <c r="FJ53" s="1478" t="s">
        <v>3813</v>
      </c>
      <c r="FK53" s="1511" t="s">
        <v>4267</v>
      </c>
      <c r="FL53" s="1493" t="s">
        <v>7824</v>
      </c>
      <c r="FM53" s="1512" t="s">
        <v>7126</v>
      </c>
      <c r="FN53" s="1512" t="s">
        <v>4022</v>
      </c>
      <c r="FO53" s="1512"/>
      <c r="GC53" s="1512"/>
      <c r="GD53" s="597" t="str">
        <f t="shared" si="19"/>
        <v xml:space="preserve">// Extended Move Object• Force, Technique
</v>
      </c>
      <c r="GG53" s="569"/>
      <c r="GH53" s="1515" t="s">
        <v>5936</v>
      </c>
      <c r="GI53" s="1512" t="str">
        <f t="shared" si="8"/>
        <v/>
      </c>
      <c r="GJ53" s="1512" t="str">
        <f t="shared" ca="1" si="9"/>
        <v/>
      </c>
      <c r="GK53" s="456" t="str">
        <f t="shared" si="10"/>
        <v xml:space="preserve">// Extended Move Object• Force, Technique
</v>
      </c>
    </row>
    <row r="54" spans="8:245">
      <c r="H54" s="12" t="s">
        <v>1053</v>
      </c>
      <c r="I54" s="3" t="s">
        <v>173</v>
      </c>
      <c r="K54" s="3">
        <v>0</v>
      </c>
      <c r="L54" s="3" t="s">
        <v>3736</v>
      </c>
      <c r="M54" s="3" t="s">
        <v>740</v>
      </c>
      <c r="P54" s="1176" t="s">
        <v>371</v>
      </c>
      <c r="Q54" s="1177" t="s">
        <v>371</v>
      </c>
      <c r="AB54" s="569" t="s">
        <v>3982</v>
      </c>
      <c r="AC54" s="1358" t="s">
        <v>3996</v>
      </c>
      <c r="AD54" s="581" t="str">
        <f t="shared" si="20"/>
        <v>Horn Legacy (Embraced)</v>
      </c>
      <c r="AE54" s="616" t="s">
        <v>3985</v>
      </c>
      <c r="AF54" s="616" t="s">
        <v>3986</v>
      </c>
      <c r="AH54" s="1183" t="s">
        <v>7314</v>
      </c>
      <c r="AS54" s="12" t="str">
        <f t="shared" si="21"/>
        <v>Mighty Swing and Power Attack (-9)</v>
      </c>
      <c r="AT54" s="3">
        <f t="shared" si="24"/>
        <v>-9</v>
      </c>
      <c r="AU54" s="3">
        <f t="shared" si="22"/>
        <v>9</v>
      </c>
      <c r="AV54" s="3">
        <f t="shared" si="23"/>
        <v>18</v>
      </c>
      <c r="AW54" s="3">
        <v>1</v>
      </c>
      <c r="AY54" s="3" t="s">
        <v>4083</v>
      </c>
      <c r="AZ54" s="936" t="s">
        <v>202</v>
      </c>
      <c r="CR54" s="1704"/>
      <c r="CS54" s="1704"/>
      <c r="CT54" s="1704"/>
      <c r="CU54" s="1704"/>
      <c r="CV54" s="1704"/>
      <c r="CW54" s="1704"/>
      <c r="CX54" s="1704"/>
      <c r="CY54" s="1704"/>
      <c r="CZ54" s="1704"/>
      <c r="DA54" s="570" t="s">
        <v>195</v>
      </c>
      <c r="DB54" s="570" t="s">
        <v>195</v>
      </c>
      <c r="DC54" s="570" t="s">
        <v>195</v>
      </c>
      <c r="DD54" s="570" t="s">
        <v>195</v>
      </c>
      <c r="DE54" s="570" t="s">
        <v>195</v>
      </c>
      <c r="DF54" s="1104"/>
      <c r="DG54" s="1104"/>
      <c r="DW54" s="1358" t="s">
        <v>4008</v>
      </c>
      <c r="EV54" s="954" t="s">
        <v>7734</v>
      </c>
      <c r="EW54" s="954">
        <v>-2</v>
      </c>
      <c r="EX54" s="954">
        <v>2</v>
      </c>
      <c r="EY54" s="954">
        <v>4</v>
      </c>
      <c r="FA54" s="954" t="str">
        <f t="shared" si="17"/>
        <v>NotMet</v>
      </c>
      <c r="FB54" s="954" t="s">
        <v>4084</v>
      </c>
      <c r="FD54" s="954" t="s">
        <v>202</v>
      </c>
      <c r="FE54" s="1478" t="s">
        <v>7772</v>
      </c>
      <c r="FH54" s="1478" t="s">
        <v>202</v>
      </c>
      <c r="FI54" s="1478"/>
      <c r="FJ54" s="1478" t="s">
        <v>3813</v>
      </c>
      <c r="FK54" s="1511" t="s">
        <v>281</v>
      </c>
      <c r="FL54" s="1493" t="s">
        <v>7824</v>
      </c>
      <c r="FM54" s="1512" t="s">
        <v>58</v>
      </c>
      <c r="FN54" s="1512" t="s">
        <v>58</v>
      </c>
      <c r="FO54" s="1512" t="s">
        <v>7796</v>
      </c>
      <c r="FP54" s="1513" t="s">
        <v>7797</v>
      </c>
      <c r="GC54" s="1512" t="str">
        <f>"+"&amp;INT(Data!JD21/2)&amp;" to Reflex and attack rolls against studied opponent until the end of the encounter"</f>
        <v>+0 to Reflex and attack rolls against studied opponent until the end of the encounter</v>
      </c>
      <c r="GD54" s="597" t="str">
        <f t="shared" si="19"/>
        <v>// Familiar Foe (full-round; at-will) • Class
+0 to Reflex and attack rolls against studied opponent until the end of the encounter</v>
      </c>
      <c r="GG54" s="569" t="b">
        <v>1</v>
      </c>
      <c r="GH54" s="1515" t="s">
        <v>5933</v>
      </c>
      <c r="GI54" s="1512" t="str">
        <f t="shared" ca="1" si="8"/>
        <v/>
      </c>
      <c r="GJ54" s="1512" t="str">
        <f t="shared" ca="1" si="9"/>
        <v/>
      </c>
      <c r="GK54" s="456" t="str">
        <f t="shared" si="10"/>
        <v>// Familiar Foe (full-round; at-will) • Class
+0 to Reflex and attack rolls against studied opponent until the end of the encounter</v>
      </c>
    </row>
    <row r="55" spans="8:245">
      <c r="H55" s="12" t="s">
        <v>1098</v>
      </c>
      <c r="I55" s="3" t="s">
        <v>173</v>
      </c>
      <c r="K55" s="3">
        <v>0</v>
      </c>
      <c r="L55" s="3" t="s">
        <v>3736</v>
      </c>
      <c r="M55" s="3" t="s">
        <v>740</v>
      </c>
      <c r="P55" s="1176" t="s">
        <v>371</v>
      </c>
      <c r="Q55" s="1177" t="s">
        <v>371</v>
      </c>
      <c r="AB55" s="569" t="s">
        <v>3983</v>
      </c>
      <c r="AC55" s="1358" t="s">
        <v>6640</v>
      </c>
      <c r="AD55" s="581" t="str">
        <f t="shared" si="20"/>
        <v>Ilya (clan) Legacy (Denied)</v>
      </c>
      <c r="AE55" s="616" t="s">
        <v>3985</v>
      </c>
      <c r="AF55" s="616" t="s">
        <v>3986</v>
      </c>
      <c r="AH55" s="1184" t="s">
        <v>4363</v>
      </c>
      <c r="AS55" s="12" t="str">
        <f t="shared" si="21"/>
        <v>Mighty Swing and Power Attack (-10)</v>
      </c>
      <c r="AT55" s="3">
        <f t="shared" si="24"/>
        <v>-10</v>
      </c>
      <c r="AU55" s="3">
        <f t="shared" si="22"/>
        <v>10</v>
      </c>
      <c r="AV55" s="3">
        <f t="shared" si="23"/>
        <v>20</v>
      </c>
      <c r="AW55" s="3">
        <v>1</v>
      </c>
      <c r="AY55" s="3" t="s">
        <v>4083</v>
      </c>
      <c r="AZ55" s="936" t="s">
        <v>202</v>
      </c>
      <c r="CR55" s="1704"/>
      <c r="CS55" s="1704"/>
      <c r="CT55" s="1704"/>
      <c r="CU55" s="1704"/>
      <c r="CV55" s="1704"/>
      <c r="CW55" s="1704"/>
      <c r="CX55" s="1704"/>
      <c r="CY55" s="1704"/>
      <c r="CZ55" s="1704"/>
      <c r="DA55" s="570" t="s">
        <v>195</v>
      </c>
      <c r="DB55" s="570" t="s">
        <v>195</v>
      </c>
      <c r="DC55" s="570" t="s">
        <v>195</v>
      </c>
      <c r="DD55" s="570" t="s">
        <v>195</v>
      </c>
      <c r="DE55" s="570" t="s">
        <v>195</v>
      </c>
      <c r="DF55" s="1104"/>
      <c r="DG55" s="1104"/>
      <c r="DW55" s="1358" t="s">
        <v>3998</v>
      </c>
      <c r="EV55" s="954" t="s">
        <v>7775</v>
      </c>
      <c r="EW55" s="954">
        <v>-20</v>
      </c>
      <c r="EX55" s="954">
        <v>20</v>
      </c>
      <c r="EY55" s="954">
        <v>40</v>
      </c>
      <c r="FA55" s="954" t="str">
        <f t="shared" si="17"/>
        <v>NotMet</v>
      </c>
      <c r="FB55" s="954" t="s">
        <v>4084</v>
      </c>
      <c r="FD55" s="954" t="s">
        <v>202</v>
      </c>
      <c r="FE55" s="1478" t="s">
        <v>7772</v>
      </c>
      <c r="FH55" s="1478" t="s">
        <v>202</v>
      </c>
      <c r="FI55" s="1478"/>
      <c r="FJ55" s="1478" t="s">
        <v>3813</v>
      </c>
      <c r="FK55" s="1323" t="s">
        <v>2613</v>
      </c>
      <c r="FL55" s="1493" t="s">
        <v>7824</v>
      </c>
      <c r="FM55" s="1513" t="s">
        <v>7800</v>
      </c>
      <c r="FN55" s="1513" t="s">
        <v>4129</v>
      </c>
      <c r="FO55" s="569" t="s">
        <v>7189</v>
      </c>
      <c r="FQ55" s="597" t="str">
        <f>"natural 1 rolled on an attack or Use the Force check"</f>
        <v>natural 1 rolled on an attack or Use the Force check</v>
      </c>
      <c r="GC55" s="597" t="s">
        <v>7896</v>
      </c>
      <c r="GD55" s="597" t="str">
        <f t="shared" si="19"/>
        <v>// Force Flow (reaction; natural 1 rolled on an attack or Use the Force check) • Force, Talent
Gain a temporary Force Point</v>
      </c>
      <c r="GG55" s="569" t="b">
        <v>1</v>
      </c>
      <c r="GH55" s="8" t="str">
        <f>IF(FN55="Talent",INDEX(TalentsTable,MATCH(FK55,TalentsTableList,0),13),"")</f>
        <v>KotOR 52</v>
      </c>
      <c r="GI55" s="1512" t="str">
        <f t="shared" si="8"/>
        <v/>
      </c>
      <c r="GJ55" s="1512" t="str">
        <f t="shared" ca="1" si="9"/>
        <v/>
      </c>
      <c r="GK55" s="456" t="str">
        <f t="shared" si="10"/>
        <v>// Force Flow (reaction; natural 1 rolled on an attack or Use the Force check) • Force, Talent
Gain a temporary Force Point</v>
      </c>
    </row>
    <row r="56" spans="8:245">
      <c r="H56" s="12" t="s">
        <v>1173</v>
      </c>
      <c r="I56" s="3" t="s">
        <v>173</v>
      </c>
      <c r="K56" s="3">
        <v>0</v>
      </c>
      <c r="L56" s="3" t="s">
        <v>3736</v>
      </c>
      <c r="M56" s="3" t="s">
        <v>740</v>
      </c>
      <c r="P56" s="1176" t="s">
        <v>1174</v>
      </c>
      <c r="Q56" s="1177" t="s">
        <v>1174</v>
      </c>
      <c r="AB56" s="569" t="s">
        <v>3982</v>
      </c>
      <c r="AC56" s="1358" t="s">
        <v>6640</v>
      </c>
      <c r="AD56" s="581" t="str">
        <f t="shared" si="20"/>
        <v>Ilya (clan) Legacy (Embraced)</v>
      </c>
      <c r="AE56" s="616" t="s">
        <v>3985</v>
      </c>
      <c r="AF56" s="616" t="s">
        <v>3986</v>
      </c>
      <c r="AH56" s="1183" t="s">
        <v>1925</v>
      </c>
      <c r="AS56" s="12" t="str">
        <f t="shared" si="21"/>
        <v>Mighty Swing and Power Attack (-11)</v>
      </c>
      <c r="AT56" s="3">
        <f t="shared" si="24"/>
        <v>-11</v>
      </c>
      <c r="AU56" s="3">
        <f t="shared" si="22"/>
        <v>11</v>
      </c>
      <c r="AV56" s="3">
        <f t="shared" si="23"/>
        <v>22</v>
      </c>
      <c r="AW56" s="3">
        <v>1</v>
      </c>
      <c r="AY56" s="3" t="s">
        <v>4083</v>
      </c>
      <c r="AZ56" s="936" t="s">
        <v>202</v>
      </c>
      <c r="CR56" s="1704"/>
      <c r="CS56" s="1704"/>
      <c r="CT56" s="1704"/>
      <c r="CU56" s="1704"/>
      <c r="CV56" s="1704"/>
      <c r="CW56" s="1704"/>
      <c r="CX56" s="1704"/>
      <c r="CY56" s="1704"/>
      <c r="CZ56" s="1704"/>
      <c r="DA56" s="570" t="s">
        <v>195</v>
      </c>
      <c r="DB56" s="570" t="s">
        <v>195</v>
      </c>
      <c r="DC56" s="570" t="s">
        <v>195</v>
      </c>
      <c r="DD56" s="570" t="s">
        <v>195</v>
      </c>
      <c r="DE56" s="570" t="s">
        <v>195</v>
      </c>
      <c r="DF56" s="1104"/>
      <c r="DG56" s="1104"/>
      <c r="DW56" s="1358" t="s">
        <v>3998</v>
      </c>
      <c r="EV56" s="954" t="s">
        <v>7735</v>
      </c>
      <c r="EW56" s="954">
        <v>-3</v>
      </c>
      <c r="EX56" s="954">
        <v>3</v>
      </c>
      <c r="EY56" s="954">
        <v>6</v>
      </c>
      <c r="FA56" s="954" t="str">
        <f t="shared" si="17"/>
        <v>NotMet</v>
      </c>
      <c r="FB56" s="954" t="s">
        <v>4084</v>
      </c>
      <c r="FD56" s="954" t="s">
        <v>202</v>
      </c>
      <c r="FE56" s="1478" t="s">
        <v>7772</v>
      </c>
      <c r="FH56" s="1478" t="s">
        <v>202</v>
      </c>
      <c r="FI56" s="1478"/>
      <c r="FJ56" s="1478" t="s">
        <v>3813</v>
      </c>
      <c r="FK56" s="1323" t="s">
        <v>2631</v>
      </c>
      <c r="FL56" s="1493" t="s">
        <v>7824</v>
      </c>
      <c r="FM56" s="1513" t="s">
        <v>7800</v>
      </c>
      <c r="FN56" s="1513" t="s">
        <v>4129</v>
      </c>
      <c r="FO56" s="569" t="s">
        <v>7796</v>
      </c>
      <c r="GC56" s="597" t="str">
        <f ca="1">"+"&amp;UsetheForce&amp;" vs. DC 15; regain one spent Force power of choice"</f>
        <v>+0 vs. DC 15; regain one spent Force power of choice</v>
      </c>
      <c r="GD56" s="597" t="str">
        <f t="shared" ca="1" si="19"/>
        <v>// Force Focus (full-round) • Force, Talent
+0 vs. DC 15; regain one spent Force power of choice</v>
      </c>
      <c r="GG56" s="569" t="b">
        <v>1</v>
      </c>
      <c r="GH56" s="8">
        <f>IF(FN56="Talent",INDEX(TalentsTable,MATCH(FK56,TalentsTableList,0),13),"")</f>
        <v>101</v>
      </c>
      <c r="GI56" s="1512" t="str">
        <f t="shared" si="8"/>
        <v/>
      </c>
      <c r="GJ56" s="1512" t="str">
        <f t="shared" ca="1" si="9"/>
        <v/>
      </c>
      <c r="GK56" s="456" t="str">
        <f t="shared" ca="1" si="10"/>
        <v>// Force Focus (full-round) • Force, Talent
+0 vs. DC 15; regain one spent Force power of choice</v>
      </c>
    </row>
    <row r="57" spans="8:245">
      <c r="H57" s="12" t="s">
        <v>3793</v>
      </c>
      <c r="I57" s="3" t="s">
        <v>3800</v>
      </c>
      <c r="K57" s="3">
        <v>0</v>
      </c>
      <c r="L57" s="3" t="s">
        <v>3736</v>
      </c>
      <c r="M57" s="3" t="s">
        <v>740</v>
      </c>
      <c r="P57" s="1178" t="s">
        <v>3789</v>
      </c>
      <c r="Q57" s="1179" t="s">
        <v>3789</v>
      </c>
      <c r="AB57" s="569" t="s">
        <v>3983</v>
      </c>
      <c r="AC57" s="1358" t="s">
        <v>6643</v>
      </c>
      <c r="AD57" s="581" t="str">
        <f t="shared" si="20"/>
        <v>Klagg (clan) Legacy (Denied)</v>
      </c>
      <c r="AE57" s="616" t="s">
        <v>3985</v>
      </c>
      <c r="AF57" s="616" t="s">
        <v>3986</v>
      </c>
      <c r="AH57" s="1183" t="s">
        <v>8876</v>
      </c>
      <c r="AS57" s="12" t="str">
        <f t="shared" si="21"/>
        <v>Mighty Swing and Power Attack (-12)</v>
      </c>
      <c r="AT57" s="3">
        <f t="shared" si="24"/>
        <v>-12</v>
      </c>
      <c r="AU57" s="3">
        <f t="shared" si="22"/>
        <v>12</v>
      </c>
      <c r="AV57" s="3">
        <f t="shared" si="23"/>
        <v>24</v>
      </c>
      <c r="AW57" s="3">
        <v>1</v>
      </c>
      <c r="AY57" s="3" t="s">
        <v>4083</v>
      </c>
      <c r="AZ57" s="936" t="s">
        <v>202</v>
      </c>
      <c r="CR57" s="1704"/>
      <c r="CS57" s="1704"/>
      <c r="CT57" s="1704"/>
      <c r="CU57" s="1704"/>
      <c r="CV57" s="1704"/>
      <c r="CW57" s="1704"/>
      <c r="CX57" s="1704"/>
      <c r="CY57" s="1704"/>
      <c r="CZ57" s="1704"/>
      <c r="DA57" s="570" t="s">
        <v>195</v>
      </c>
      <c r="DB57" s="570" t="s">
        <v>195</v>
      </c>
      <c r="DC57" s="570" t="s">
        <v>195</v>
      </c>
      <c r="DD57" s="570" t="s">
        <v>195</v>
      </c>
      <c r="DE57" s="570" t="s">
        <v>195</v>
      </c>
      <c r="DF57" s="1104"/>
      <c r="DG57" s="1104"/>
      <c r="DW57" s="1358" t="s">
        <v>6644</v>
      </c>
      <c r="EV57" s="954" t="s">
        <v>7736</v>
      </c>
      <c r="EW57" s="954">
        <v>-4</v>
      </c>
      <c r="EX57" s="954">
        <v>4</v>
      </c>
      <c r="EY57" s="954">
        <v>8</v>
      </c>
      <c r="FA57" s="954" t="str">
        <f t="shared" si="17"/>
        <v>NotMet</v>
      </c>
      <c r="FB57" s="954" t="s">
        <v>4084</v>
      </c>
      <c r="FD57" s="954" t="s">
        <v>202</v>
      </c>
      <c r="FE57" s="1478" t="s">
        <v>7772</v>
      </c>
      <c r="FH57" s="1478" t="s">
        <v>202</v>
      </c>
      <c r="FI57" s="1478"/>
      <c r="FJ57" s="1478" t="s">
        <v>3813</v>
      </c>
      <c r="FK57" s="1323" t="s">
        <v>4392</v>
      </c>
      <c r="FL57" s="1493" t="s">
        <v>7824</v>
      </c>
      <c r="FM57" s="1513" t="s">
        <v>7800</v>
      </c>
      <c r="FN57" s="1513" t="s">
        <v>4129</v>
      </c>
      <c r="FO57" s="569" t="s">
        <v>7807</v>
      </c>
      <c r="FP57" s="569" t="s">
        <v>7806</v>
      </c>
      <c r="GC57" s="3" t="s">
        <v>7908</v>
      </c>
      <c r="GD57" s="597" t="str">
        <f t="shared" si="19"/>
        <v>// Force Harmony (free action; encounter) • Force, Talent
Activate one Force talent that requires a Force Point to use without spending a Force Point</v>
      </c>
      <c r="GG57" s="569" t="b">
        <v>1</v>
      </c>
      <c r="GH57" s="8" t="str">
        <f>IF(FN57="Talent",INDEX(TalentsTable,MATCH(FK57,TalentsTableList,0),13),"")</f>
        <v>JATM 16</v>
      </c>
      <c r="GI57" s="1512" t="str">
        <f t="shared" si="8"/>
        <v/>
      </c>
      <c r="GJ57" s="1512" t="str">
        <f t="shared" ca="1" si="9"/>
        <v/>
      </c>
      <c r="GK57" s="456" t="str">
        <f t="shared" si="10"/>
        <v>// Force Harmony (free action; encounter) • Force, Talent
Activate one Force talent that requires a Force Point to use without spending a Force Point</v>
      </c>
    </row>
    <row r="58" spans="8:245">
      <c r="H58" s="12" t="s">
        <v>3794</v>
      </c>
      <c r="I58" s="3" t="s">
        <v>3800</v>
      </c>
      <c r="K58" s="3">
        <v>0</v>
      </c>
      <c r="L58" s="3" t="s">
        <v>3736</v>
      </c>
      <c r="M58" s="3" t="s">
        <v>740</v>
      </c>
      <c r="P58" s="1176" t="s">
        <v>3795</v>
      </c>
      <c r="Q58" s="1177" t="s">
        <v>3795</v>
      </c>
      <c r="AB58" s="569" t="s">
        <v>3982</v>
      </c>
      <c r="AC58" s="1358" t="s">
        <v>6643</v>
      </c>
      <c r="AD58" s="581" t="str">
        <f t="shared" si="20"/>
        <v>Klagg (clan) Legacy (Embraced)</v>
      </c>
      <c r="AE58" s="616" t="s">
        <v>3985</v>
      </c>
      <c r="AF58" s="616" t="s">
        <v>3986</v>
      </c>
      <c r="AH58" s="1183" t="s">
        <v>1748</v>
      </c>
      <c r="AS58" s="12" t="str">
        <f t="shared" si="21"/>
        <v>Mighty Swing and Power Attack (-13)</v>
      </c>
      <c r="AT58" s="3">
        <f t="shared" si="24"/>
        <v>-13</v>
      </c>
      <c r="AU58" s="3">
        <f t="shared" si="22"/>
        <v>13</v>
      </c>
      <c r="AV58" s="3">
        <f t="shared" si="23"/>
        <v>26</v>
      </c>
      <c r="AW58" s="3">
        <v>1</v>
      </c>
      <c r="AY58" s="3" t="s">
        <v>4083</v>
      </c>
      <c r="AZ58" s="936" t="s">
        <v>202</v>
      </c>
      <c r="CR58" s="1704"/>
      <c r="CS58" s="1704"/>
      <c r="CT58" s="1704"/>
      <c r="CU58" s="1704"/>
      <c r="CV58" s="1704"/>
      <c r="CW58" s="1704"/>
      <c r="CX58" s="1704"/>
      <c r="CY58" s="1704"/>
      <c r="CZ58" s="1704"/>
      <c r="DA58" s="570" t="s">
        <v>195</v>
      </c>
      <c r="DB58" s="570" t="s">
        <v>195</v>
      </c>
      <c r="DC58" s="570" t="s">
        <v>195</v>
      </c>
      <c r="DD58" s="570" t="s">
        <v>195</v>
      </c>
      <c r="DE58" s="570" t="s">
        <v>195</v>
      </c>
      <c r="DF58" s="1104"/>
      <c r="DG58" s="1104"/>
      <c r="DW58" s="1358" t="s">
        <v>6644</v>
      </c>
      <c r="EV58" s="954" t="s">
        <v>7737</v>
      </c>
      <c r="EW58" s="954">
        <v>-5</v>
      </c>
      <c r="EX58" s="954">
        <v>5</v>
      </c>
      <c r="EY58" s="954">
        <v>10</v>
      </c>
      <c r="FA58" s="954" t="str">
        <f t="shared" si="17"/>
        <v>NotMet</v>
      </c>
      <c r="FB58" s="954" t="s">
        <v>4084</v>
      </c>
      <c r="FD58" s="954" t="s">
        <v>202</v>
      </c>
      <c r="FE58" s="1478" t="s">
        <v>7772</v>
      </c>
      <c r="FH58" s="1478" t="s">
        <v>202</v>
      </c>
      <c r="FI58" s="1478"/>
      <c r="FJ58" s="1478" t="s">
        <v>3813</v>
      </c>
      <c r="FK58" s="1323" t="s">
        <v>2584</v>
      </c>
      <c r="FL58" s="1493" t="s">
        <v>7824</v>
      </c>
      <c r="FM58" s="1513" t="s">
        <v>7800</v>
      </c>
      <c r="FN58" s="1513" t="s">
        <v>4129</v>
      </c>
      <c r="FO58" s="1513" t="s">
        <v>7092</v>
      </c>
      <c r="FP58" s="1513" t="s">
        <v>65</v>
      </c>
      <c r="GC58" s="597" t="str">
        <f ca="1">"+"&amp;UsetheForce&amp;" vs. Will of any creature that comes into line of sight to grant "&amp;Talents!AD7&amp;" allies total concealment for up to 1 min from those opponents"&amp;IF(Talents!M45&gt;0,"; if a concealed ally attacks, they become visible","; if an concealed ally attacks, the effect ends")&amp;IF(Talents!M46&gt;0,IF(HTML,"&lt;BR&gt;","
")&amp;"Affected allies may reroll Perception checks, keeping the better result and deal +2 damage against foes unaware of them","")</f>
        <v>+0 vs. Will of any creature that comes into line of sight to grant 0 allies total concealment for up to 1 min from those opponents; if an concealed ally attacks, the effect ends</v>
      </c>
      <c r="GD58" s="597" t="str">
        <f t="shared" ca="1" si="19"/>
        <v>// Force Haze (standard; FP) • Force, Talent
+0 vs. Will of any creature that comes into line of sight to grant 0 allies total concealment for up to 1 min from those opponents; if an concealed ally attacks, the effect ends</v>
      </c>
      <c r="GG58" s="569" t="b">
        <v>1</v>
      </c>
      <c r="GH58" s="8">
        <f>IF(FN58="Talent",INDEX(TalentsTable,MATCH(FK58,TalentsTableList,0),13),"")</f>
        <v>40</v>
      </c>
      <c r="GI58" s="1512" t="str">
        <f t="shared" si="8"/>
        <v/>
      </c>
      <c r="GJ58" s="1512" t="str">
        <f t="shared" ca="1" si="9"/>
        <v/>
      </c>
      <c r="GK58" s="456" t="str">
        <f t="shared" ca="1" si="10"/>
        <v>// Force Haze (standard; FP) • Force, Talent
+0 vs. Will of any creature that comes into line of sight to grant 0 allies total concealment for up to 1 min from those opponents; if an concealed ally attacks, the effect ends</v>
      </c>
    </row>
    <row r="59" spans="8:245">
      <c r="H59" s="12" t="s">
        <v>1267</v>
      </c>
      <c r="I59" s="3" t="s">
        <v>173</v>
      </c>
      <c r="K59" s="3">
        <v>0</v>
      </c>
      <c r="L59" s="3" t="s">
        <v>3736</v>
      </c>
      <c r="M59" s="3" t="s">
        <v>740</v>
      </c>
      <c r="P59" s="1176" t="s">
        <v>576</v>
      </c>
      <c r="Q59" s="1177" t="s">
        <v>576</v>
      </c>
      <c r="AB59" s="569" t="s">
        <v>3983</v>
      </c>
      <c r="AC59" s="1358" t="s">
        <v>3997</v>
      </c>
      <c r="AD59" s="581" t="str">
        <f t="shared" si="20"/>
        <v>Madine Legacy (Denied)</v>
      </c>
      <c r="AE59" s="616" t="s">
        <v>3985</v>
      </c>
      <c r="AF59" s="616" t="s">
        <v>3986</v>
      </c>
      <c r="AH59" s="1183" t="s">
        <v>1754</v>
      </c>
      <c r="AS59" s="12" t="str">
        <f t="shared" si="21"/>
        <v>Mighty Swing and Power Attack (-14)</v>
      </c>
      <c r="AT59" s="3">
        <f t="shared" si="24"/>
        <v>-14</v>
      </c>
      <c r="AU59" s="3">
        <f t="shared" si="22"/>
        <v>14</v>
      </c>
      <c r="AV59" s="3">
        <f t="shared" si="23"/>
        <v>28</v>
      </c>
      <c r="AW59" s="3">
        <v>1</v>
      </c>
      <c r="AY59" s="3" t="s">
        <v>4083</v>
      </c>
      <c r="AZ59" s="936" t="s">
        <v>202</v>
      </c>
      <c r="CR59" s="1704"/>
      <c r="CS59" s="1704"/>
      <c r="CT59" s="1704"/>
      <c r="CU59" s="1704"/>
      <c r="CV59" s="1704"/>
      <c r="CW59" s="1704"/>
      <c r="CX59" s="1704"/>
      <c r="CY59" s="1704"/>
      <c r="CZ59" s="1704"/>
      <c r="DA59" s="570" t="s">
        <v>195</v>
      </c>
      <c r="DB59" s="570" t="s">
        <v>195</v>
      </c>
      <c r="DC59" s="570" t="s">
        <v>195</v>
      </c>
      <c r="DD59" s="570" t="s">
        <v>195</v>
      </c>
      <c r="DE59" s="570" t="s">
        <v>195</v>
      </c>
      <c r="DF59" s="1104"/>
      <c r="DG59" s="1104"/>
      <c r="DW59" s="1358" t="s">
        <v>4010</v>
      </c>
      <c r="EV59" s="954" t="s">
        <v>7738</v>
      </c>
      <c r="EW59" s="954">
        <v>-6</v>
      </c>
      <c r="EX59" s="954">
        <v>6</v>
      </c>
      <c r="EY59" s="954">
        <v>12</v>
      </c>
      <c r="FA59" s="954" t="str">
        <f t="shared" si="17"/>
        <v>NotMet</v>
      </c>
      <c r="FB59" s="954" t="s">
        <v>4084</v>
      </c>
      <c r="FD59" s="954" t="s">
        <v>202</v>
      </c>
      <c r="FE59" s="1478" t="s">
        <v>7772</v>
      </c>
      <c r="FH59" s="1478" t="s">
        <v>202</v>
      </c>
      <c r="FI59" s="1478"/>
      <c r="FJ59" s="1478" t="s">
        <v>3813</v>
      </c>
      <c r="FK59" s="1511" t="s">
        <v>3825</v>
      </c>
      <c r="FL59" s="1493" t="s">
        <v>7824</v>
      </c>
      <c r="FM59" s="1512" t="s">
        <v>7126</v>
      </c>
      <c r="FN59" s="1512" t="s">
        <v>4022</v>
      </c>
      <c r="FO59" s="1512" t="s">
        <v>3771</v>
      </c>
      <c r="FP59" s="1513" t="s">
        <v>7806</v>
      </c>
      <c r="GC59" s="1512" t="s">
        <v>7127</v>
      </c>
      <c r="GD59" s="597" t="str">
        <f t="shared" si="19"/>
        <v>// Force Point Recovery (special; encounter) • Force, Technique
Automatically recover 1 Force Point per encounter</v>
      </c>
      <c r="GG59" s="569" t="b">
        <v>1</v>
      </c>
      <c r="GH59" s="1515" t="s">
        <v>5935</v>
      </c>
      <c r="GI59" s="1512" t="str">
        <f t="shared" si="8"/>
        <v/>
      </c>
      <c r="GJ59" s="1512" t="str">
        <f t="shared" ca="1" si="9"/>
        <v/>
      </c>
      <c r="GK59" s="456" t="str">
        <f t="shared" si="10"/>
        <v>// Force Point Recovery (special; encounter) • Force, Technique
Automatically recover 1 Force Point per encounter</v>
      </c>
    </row>
    <row r="60" spans="8:245">
      <c r="H60" s="683" t="s">
        <v>4318</v>
      </c>
      <c r="I60" s="794"/>
      <c r="AB60" s="569" t="s">
        <v>3982</v>
      </c>
      <c r="AC60" s="1358" t="s">
        <v>3997</v>
      </c>
      <c r="AD60" s="581" t="str">
        <f t="shared" si="20"/>
        <v>Madine Legacy (Embraced)</v>
      </c>
      <c r="AE60" s="616" t="s">
        <v>3985</v>
      </c>
      <c r="AF60" s="616" t="s">
        <v>3986</v>
      </c>
      <c r="AH60" s="1183" t="s">
        <v>1781</v>
      </c>
      <c r="AS60" s="12" t="str">
        <f t="shared" si="21"/>
        <v>Mighty Swing and Power Attack (-15)</v>
      </c>
      <c r="AT60" s="3">
        <f t="shared" si="24"/>
        <v>-15</v>
      </c>
      <c r="AU60" s="3">
        <f t="shared" si="22"/>
        <v>15</v>
      </c>
      <c r="AV60" s="3">
        <f t="shared" si="23"/>
        <v>30</v>
      </c>
      <c r="AW60" s="3">
        <v>1</v>
      </c>
      <c r="AY60" s="3" t="s">
        <v>4083</v>
      </c>
      <c r="AZ60" s="936" t="s">
        <v>202</v>
      </c>
      <c r="CR60" s="1704"/>
      <c r="CS60" s="1704"/>
      <c r="CT60" s="1704"/>
      <c r="CU60" s="1704"/>
      <c r="CV60" s="1704"/>
      <c r="CW60" s="1704"/>
      <c r="CX60" s="1704"/>
      <c r="CY60" s="1704"/>
      <c r="CZ60" s="1704"/>
      <c r="DA60" s="570" t="s">
        <v>195</v>
      </c>
      <c r="DB60" s="570" t="s">
        <v>195</v>
      </c>
      <c r="DC60" s="570" t="s">
        <v>195</v>
      </c>
      <c r="DD60" s="570" t="s">
        <v>195</v>
      </c>
      <c r="DE60" s="570" t="s">
        <v>195</v>
      </c>
      <c r="DF60" s="1104"/>
      <c r="DG60" s="1104"/>
      <c r="DW60" s="1358" t="s">
        <v>4010</v>
      </c>
      <c r="EV60" s="954" t="s">
        <v>7739</v>
      </c>
      <c r="EW60" s="954">
        <v>-7</v>
      </c>
      <c r="EX60" s="954">
        <v>7</v>
      </c>
      <c r="EY60" s="954">
        <v>14</v>
      </c>
      <c r="FA60" s="954" t="str">
        <f t="shared" si="17"/>
        <v>NotMet</v>
      </c>
      <c r="FB60" s="954" t="s">
        <v>4084</v>
      </c>
      <c r="FD60" s="954" t="s">
        <v>202</v>
      </c>
      <c r="FE60" s="1478" t="s">
        <v>7772</v>
      </c>
      <c r="FH60" s="1478" t="s">
        <v>202</v>
      </c>
      <c r="FI60" s="1478"/>
      <c r="FJ60" s="1478" t="s">
        <v>3813</v>
      </c>
      <c r="FK60" s="1511" t="s">
        <v>3827</v>
      </c>
      <c r="FL60" s="1493" t="s">
        <v>7824</v>
      </c>
      <c r="FM60" s="1512" t="s">
        <v>7126</v>
      </c>
      <c r="FN60" s="1512" t="s">
        <v>4022</v>
      </c>
      <c r="FO60" s="1512" t="s">
        <v>3771</v>
      </c>
      <c r="GC60" s="1512" t="s">
        <v>7129</v>
      </c>
      <c r="GD60" s="597" t="str">
        <f t="shared" si="19"/>
        <v>// Force Power Mastery (special) • Force, Technique
Take 10 on Use the Force checks to activate chosen Force power even when distracted or threatened</v>
      </c>
      <c r="GG60" s="569"/>
      <c r="GH60" s="1515" t="s">
        <v>5909</v>
      </c>
      <c r="GI60" s="1512" t="str">
        <f t="shared" si="8"/>
        <v/>
      </c>
      <c r="GJ60" s="1512" t="str">
        <f t="shared" ca="1" si="9"/>
        <v/>
      </c>
      <c r="GK60" s="456" t="str">
        <f t="shared" si="10"/>
        <v>// Force Power Mastery (special) • Force, Technique
Take 10 on Use the Force checks to activate chosen Force power even when distracted or threatened</v>
      </c>
    </row>
    <row r="61" spans="8:245">
      <c r="H61" s="12" t="s">
        <v>4308</v>
      </c>
      <c r="I61" s="3" t="s">
        <v>3800</v>
      </c>
      <c r="K61" s="3">
        <v>0</v>
      </c>
      <c r="L61" s="3" t="s">
        <v>3736</v>
      </c>
      <c r="M61" s="3" t="s">
        <v>740</v>
      </c>
      <c r="P61" s="1176" t="s">
        <v>4340</v>
      </c>
      <c r="Q61" s="1177" t="str">
        <f t="shared" ref="Q61:Q70" si="25">P61</f>
        <v>Summons linked starship to nearby landing area</v>
      </c>
      <c r="AB61" s="569" t="s">
        <v>3983</v>
      </c>
      <c r="AC61" s="1358" t="s">
        <v>4007</v>
      </c>
      <c r="AD61" s="581" t="str">
        <f t="shared" si="20"/>
        <v>Nep Legacy (Denied)</v>
      </c>
      <c r="AE61" s="616" t="s">
        <v>3985</v>
      </c>
      <c r="AF61" s="616" t="s">
        <v>3986</v>
      </c>
      <c r="AH61" s="1183" t="s">
        <v>1792</v>
      </c>
      <c r="AS61" s="12" t="str">
        <f t="shared" si="21"/>
        <v>Mighty Swing and Power Attack (-16)</v>
      </c>
      <c r="AT61" s="3">
        <f t="shared" si="24"/>
        <v>-16</v>
      </c>
      <c r="AU61" s="3">
        <f t="shared" si="22"/>
        <v>16</v>
      </c>
      <c r="AV61" s="3">
        <f t="shared" si="23"/>
        <v>32</v>
      </c>
      <c r="AW61" s="3">
        <v>1</v>
      </c>
      <c r="AY61" s="3" t="s">
        <v>4083</v>
      </c>
      <c r="AZ61" s="936" t="s">
        <v>202</v>
      </c>
      <c r="CR61" s="1704"/>
      <c r="CS61" s="1704"/>
      <c r="CT61" s="1704"/>
      <c r="CU61" s="1704"/>
      <c r="CV61" s="1704"/>
      <c r="CW61" s="1704"/>
      <c r="CX61" s="1704"/>
      <c r="CY61" s="1704"/>
      <c r="CZ61" s="1704"/>
      <c r="DA61" s="570" t="s">
        <v>195</v>
      </c>
      <c r="DB61" s="570" t="s">
        <v>195</v>
      </c>
      <c r="DC61" s="570" t="s">
        <v>195</v>
      </c>
      <c r="DD61" s="570" t="s">
        <v>195</v>
      </c>
      <c r="DE61" s="570" t="s">
        <v>195</v>
      </c>
      <c r="DF61" s="1104"/>
      <c r="DG61" s="1104"/>
      <c r="DW61" s="1358" t="s">
        <v>3999</v>
      </c>
      <c r="EV61" s="954" t="s">
        <v>7740</v>
      </c>
      <c r="EW61" s="954">
        <v>-8</v>
      </c>
      <c r="EX61" s="954">
        <v>8</v>
      </c>
      <c r="EY61" s="954">
        <v>16</v>
      </c>
      <c r="FA61" s="954" t="str">
        <f t="shared" si="17"/>
        <v>NotMet</v>
      </c>
      <c r="FB61" s="954" t="s">
        <v>4084</v>
      </c>
      <c r="FD61" s="954" t="s">
        <v>202</v>
      </c>
      <c r="FE61" s="1478" t="s">
        <v>7772</v>
      </c>
      <c r="FH61" s="1478" t="s">
        <v>202</v>
      </c>
      <c r="FI61" s="1478"/>
      <c r="FJ61" s="1478" t="s">
        <v>3813</v>
      </c>
      <c r="FK61" s="1323" t="s">
        <v>3388</v>
      </c>
      <c r="FL61" s="1493" t="s">
        <v>7824</v>
      </c>
      <c r="FM61" s="1513" t="s">
        <v>7800</v>
      </c>
      <c r="FN61" s="1513" t="s">
        <v>4129</v>
      </c>
      <c r="FO61" s="1513" t="s">
        <v>7189</v>
      </c>
      <c r="FP61" s="1513" t="s">
        <v>65</v>
      </c>
      <c r="FQ61" s="1513" t="s">
        <v>7830</v>
      </c>
      <c r="GC61" s="597" t="s">
        <v>7831</v>
      </c>
      <c r="GD61" s="597" t="str">
        <f t="shared" si="19"/>
        <v>// Force Revive (reaction; FP; ally affected by Battle Mediation is reduced to 0 hit points) • Force, Talent
Ally can take its Second Wind as a reaction immediately (though the target still falls unconscious before the Second Wind is triggered)</v>
      </c>
      <c r="GG61" s="569" t="b">
        <v>1</v>
      </c>
      <c r="GH61" s="1515" t="s">
        <v>5911</v>
      </c>
      <c r="GI61" s="1512" t="str">
        <f t="shared" si="8"/>
        <v/>
      </c>
      <c r="GJ61" s="1512" t="str">
        <f t="shared" ca="1" si="9"/>
        <v/>
      </c>
      <c r="GK61" s="456" t="str">
        <f t="shared" si="10"/>
        <v>// Force Revive (reaction; FP; ally affected by Battle Mediation is reduced to 0 hit points) • Force, Talent
Ally can take its Second Wind as a reaction immediately (though the target still falls unconscious before the Second Wind is triggered)</v>
      </c>
    </row>
    <row r="62" spans="8:245">
      <c r="H62" s="12" t="s">
        <v>4309</v>
      </c>
      <c r="I62" s="3" t="s">
        <v>3800</v>
      </c>
      <c r="K62" s="3">
        <v>0</v>
      </c>
      <c r="L62" s="3" t="s">
        <v>3736</v>
      </c>
      <c r="M62" s="3" t="s">
        <v>740</v>
      </c>
      <c r="P62" s="1176" t="s">
        <v>4341</v>
      </c>
      <c r="Q62" s="1177" t="str">
        <f t="shared" si="25"/>
        <v>Swift action to lock the blade</v>
      </c>
      <c r="AB62" s="569" t="s">
        <v>3982</v>
      </c>
      <c r="AC62" s="1358" t="s">
        <v>4007</v>
      </c>
      <c r="AD62" s="581" t="str">
        <f t="shared" si="20"/>
        <v>Nep Legacy (Embraced)</v>
      </c>
      <c r="AE62" s="616" t="s">
        <v>3985</v>
      </c>
      <c r="AF62" s="616" t="s">
        <v>3986</v>
      </c>
      <c r="AH62" s="1183" t="s">
        <v>1801</v>
      </c>
      <c r="AS62" s="12" t="str">
        <f t="shared" si="21"/>
        <v>Mighty Swing and Power Attack (-17)</v>
      </c>
      <c r="AT62" s="3">
        <f t="shared" si="24"/>
        <v>-17</v>
      </c>
      <c r="AU62" s="3">
        <f t="shared" si="22"/>
        <v>17</v>
      </c>
      <c r="AV62" s="3">
        <f t="shared" si="23"/>
        <v>34</v>
      </c>
      <c r="AW62" s="3">
        <v>1</v>
      </c>
      <c r="AY62" s="3" t="s">
        <v>4083</v>
      </c>
      <c r="AZ62" s="936" t="s">
        <v>202</v>
      </c>
      <c r="CR62" s="1704"/>
      <c r="CS62" s="1704"/>
      <c r="CT62" s="1704"/>
      <c r="CU62" s="1704"/>
      <c r="CV62" s="1704"/>
      <c r="CW62" s="1704"/>
      <c r="CX62" s="1704"/>
      <c r="CY62" s="1704"/>
      <c r="CZ62" s="1704"/>
      <c r="DA62" s="570" t="s">
        <v>195</v>
      </c>
      <c r="DB62" s="570" t="s">
        <v>195</v>
      </c>
      <c r="DC62" s="570" t="s">
        <v>195</v>
      </c>
      <c r="DD62" s="570" t="s">
        <v>195</v>
      </c>
      <c r="DE62" s="570" t="s">
        <v>195</v>
      </c>
      <c r="DF62" s="1104"/>
      <c r="DG62" s="1104"/>
      <c r="DW62" s="1358" t="s">
        <v>3999</v>
      </c>
      <c r="EV62" s="954" t="s">
        <v>7741</v>
      </c>
      <c r="EW62" s="954">
        <v>-9</v>
      </c>
      <c r="EX62" s="954">
        <v>9</v>
      </c>
      <c r="EY62" s="954">
        <v>18</v>
      </c>
      <c r="FA62" s="954" t="str">
        <f t="shared" si="17"/>
        <v>NotMet</v>
      </c>
      <c r="FB62" s="954" t="s">
        <v>4084</v>
      </c>
      <c r="FD62" s="954" t="s">
        <v>202</v>
      </c>
      <c r="FE62" s="1478" t="s">
        <v>7772</v>
      </c>
      <c r="FH62" s="1478" t="s">
        <v>202</v>
      </c>
      <c r="FI62" s="1478"/>
      <c r="FJ62" s="1478" t="s">
        <v>3813</v>
      </c>
      <c r="FK62" s="1323" t="s">
        <v>2632</v>
      </c>
      <c r="FL62" s="1493" t="s">
        <v>7824</v>
      </c>
      <c r="FM62" s="1513" t="s">
        <v>7800</v>
      </c>
      <c r="FN62" s="1513" t="s">
        <v>4129</v>
      </c>
      <c r="FO62" s="569" t="s">
        <v>7189</v>
      </c>
      <c r="FQ62" s="597" t="s">
        <v>7910</v>
      </c>
      <c r="GC62" s="3" t="s">
        <v>7909</v>
      </c>
      <c r="GD62" s="597" t="str">
        <f t="shared" si="19"/>
        <v>// Force Suppression (reaction; fail to rebuke a Force power) • Force, Talent
Lessen the effect of the Force power one step</v>
      </c>
      <c r="GG62" s="569" t="b">
        <v>1</v>
      </c>
      <c r="GH62" s="8" t="str">
        <f>IF(FN62="Talent",INDEX(TalentsTable,MATCH(FK62,TalentsTableList,0),13),"")</f>
        <v>KotOR 53</v>
      </c>
      <c r="GI62" s="1512" t="str">
        <f t="shared" si="8"/>
        <v/>
      </c>
      <c r="GJ62" s="1512" t="str">
        <f t="shared" ca="1" si="9"/>
        <v/>
      </c>
      <c r="GK62" s="456" t="str">
        <f t="shared" si="10"/>
        <v>// Force Suppression (reaction; fail to rebuke a Force power) • Force, Talent
Lessen the effect of the Force power one step</v>
      </c>
    </row>
    <row r="63" spans="8:245">
      <c r="H63" s="12" t="s">
        <v>4310</v>
      </c>
      <c r="I63" s="3" t="s">
        <v>3800</v>
      </c>
      <c r="K63" s="3">
        <v>0</v>
      </c>
      <c r="L63" s="3" t="s">
        <v>3736</v>
      </c>
      <c r="M63" s="3" t="s">
        <v>740</v>
      </c>
      <c r="P63" s="1176" t="s">
        <v>4342</v>
      </c>
      <c r="Q63" s="1177" t="str">
        <f t="shared" si="25"/>
        <v>Storage for one Fine item</v>
      </c>
      <c r="AB63" s="569" t="s">
        <v>3983</v>
      </c>
      <c r="AC63" s="1358" t="s">
        <v>4008</v>
      </c>
      <c r="AD63" s="581" t="str">
        <f t="shared" si="20"/>
        <v>Nunb Legacy (Denied)</v>
      </c>
      <c r="AE63" s="616" t="s">
        <v>3985</v>
      </c>
      <c r="AF63" s="616" t="s">
        <v>3986</v>
      </c>
      <c r="AH63" s="1183" t="s">
        <v>1814</v>
      </c>
      <c r="AS63" s="12" t="str">
        <f t="shared" si="21"/>
        <v>Mighty Swing and Power Attack (-18)</v>
      </c>
      <c r="AT63" s="3">
        <f t="shared" si="24"/>
        <v>-18</v>
      </c>
      <c r="AU63" s="3">
        <f t="shared" si="22"/>
        <v>18</v>
      </c>
      <c r="AV63" s="3">
        <f t="shared" si="23"/>
        <v>36</v>
      </c>
      <c r="AW63" s="3">
        <v>1</v>
      </c>
      <c r="AY63" s="3" t="s">
        <v>4083</v>
      </c>
      <c r="AZ63" s="936" t="s">
        <v>202</v>
      </c>
      <c r="CR63" s="1704"/>
      <c r="CS63" s="1704"/>
      <c r="CT63" s="1704"/>
      <c r="CU63" s="1704"/>
      <c r="CV63" s="1704"/>
      <c r="CW63" s="1704"/>
      <c r="CX63" s="1704"/>
      <c r="CY63" s="1704"/>
      <c r="CZ63" s="1704"/>
      <c r="DA63" s="570" t="s">
        <v>195</v>
      </c>
      <c r="DB63" s="570" t="s">
        <v>195</v>
      </c>
      <c r="DC63" s="570" t="s">
        <v>195</v>
      </c>
      <c r="DD63" s="570" t="s">
        <v>195</v>
      </c>
      <c r="DE63" s="570" t="s">
        <v>195</v>
      </c>
      <c r="DF63" s="1104"/>
      <c r="DG63" s="1104"/>
      <c r="DW63" s="1358" t="s">
        <v>4000</v>
      </c>
      <c r="EV63" s="954" t="s">
        <v>6250</v>
      </c>
      <c r="FB63" s="954" t="s">
        <v>4084</v>
      </c>
      <c r="FF63" s="954" t="b">
        <v>1</v>
      </c>
      <c r="FG63" s="570" t="s">
        <v>7776</v>
      </c>
      <c r="FH63" s="1478" t="s">
        <v>57</v>
      </c>
      <c r="FI63" s="1478"/>
      <c r="FJ63" s="954" t="s">
        <v>7178</v>
      </c>
      <c r="FK63" s="1323" t="s">
        <v>6205</v>
      </c>
      <c r="FL63" s="1493" t="s">
        <v>7824</v>
      </c>
      <c r="FM63" s="1513" t="s">
        <v>7800</v>
      </c>
      <c r="FN63" s="1513" t="s">
        <v>4129</v>
      </c>
      <c r="FO63" s="1513" t="s">
        <v>7189</v>
      </c>
      <c r="GC63" s="597" t="str">
        <f ca="1">"+"&amp;UsetheForce&amp;" vs. attack of grenade; deflect grenade so that it explodes harmlessly; take a -5 penalty to Use the Force checks until the start of next turn"</f>
        <v>+0 vs. attack of grenade; deflect grenade so that it explodes harmlessly; take a -5 penalty to Use the Force checks until the start of next turn</v>
      </c>
      <c r="GD63" s="597" t="str">
        <f t="shared" ca="1" si="19"/>
        <v>// Grenade Defense (reaction) • Force, Talent
+0 vs. attack of grenade; deflect grenade so that it explodes harmlessly; take a -5 penalty to Use the Force checks until the start of next turn</v>
      </c>
      <c r="GG63" s="569" t="b">
        <v>1</v>
      </c>
      <c r="GH63" s="8" t="str">
        <f>IF(FN63="Talent",INDEX(TalentsTable,MATCH(FK63,TalentsTableList,0),13),"")</f>
        <v>JATM 14</v>
      </c>
      <c r="GI63" s="1512" t="str">
        <f t="shared" si="8"/>
        <v/>
      </c>
      <c r="GJ63" s="1512" t="str">
        <f t="shared" ca="1" si="9"/>
        <v/>
      </c>
      <c r="GK63" s="456" t="str">
        <f t="shared" ca="1" si="10"/>
        <v>// Grenade Defense (reaction) • Force, Talent
+0 vs. attack of grenade; deflect grenade so that it explodes harmlessly; take a -5 penalty to Use the Force checks until the start of next turn</v>
      </c>
    </row>
    <row r="64" spans="8:245">
      <c r="H64" s="12" t="s">
        <v>4311</v>
      </c>
      <c r="I64" s="3" t="s">
        <v>3800</v>
      </c>
      <c r="K64" s="3">
        <v>0</v>
      </c>
      <c r="L64" s="3" t="s">
        <v>3736</v>
      </c>
      <c r="M64" s="3" t="s">
        <v>740</v>
      </c>
      <c r="P64" s="1176" t="s">
        <v>4343</v>
      </c>
      <c r="Q64" s="1177" t="str">
        <f t="shared" si="25"/>
        <v>Favorable circumstances on Persuasion checks to targets familiar with tradition</v>
      </c>
      <c r="AB64" s="569" t="s">
        <v>3982</v>
      </c>
      <c r="AC64" s="1358" t="s">
        <v>4008</v>
      </c>
      <c r="AD64" s="581" t="str">
        <f t="shared" si="20"/>
        <v>Nunb Legacy (Embraced)</v>
      </c>
      <c r="AE64" s="616" t="s">
        <v>3985</v>
      </c>
      <c r="AF64" s="616" t="s">
        <v>3986</v>
      </c>
      <c r="AH64" s="1183" t="s">
        <v>1824</v>
      </c>
      <c r="AS64" s="12" t="str">
        <f t="shared" si="21"/>
        <v>Mighty Swing and Power Attack (-19)</v>
      </c>
      <c r="AT64" s="3">
        <f t="shared" si="24"/>
        <v>-19</v>
      </c>
      <c r="AU64" s="3">
        <f t="shared" si="22"/>
        <v>19</v>
      </c>
      <c r="AV64" s="3">
        <f t="shared" si="23"/>
        <v>38</v>
      </c>
      <c r="AW64" s="3">
        <v>1</v>
      </c>
      <c r="AY64" s="3" t="s">
        <v>4083</v>
      </c>
      <c r="AZ64" s="936" t="s">
        <v>202</v>
      </c>
      <c r="CR64" s="1704"/>
      <c r="CS64" s="1704"/>
      <c r="CT64" s="1704"/>
      <c r="CU64" s="1704"/>
      <c r="CV64" s="1704"/>
      <c r="CW64" s="1704"/>
      <c r="CX64" s="1704"/>
      <c r="CY64" s="1704"/>
      <c r="CZ64" s="1704"/>
      <c r="DA64" s="570" t="s">
        <v>195</v>
      </c>
      <c r="DB64" s="570" t="s">
        <v>195</v>
      </c>
      <c r="DC64" s="570" t="s">
        <v>195</v>
      </c>
      <c r="DD64" s="570" t="s">
        <v>195</v>
      </c>
      <c r="DE64" s="570" t="s">
        <v>195</v>
      </c>
      <c r="DF64" s="1104"/>
      <c r="DG64" s="1104"/>
      <c r="DW64" s="1358" t="s">
        <v>4000</v>
      </c>
      <c r="EV64" s="954" t="str">
        <f ca="1">IF(Feats!M79&gt;0,"Dreadful Rage","Rage")</f>
        <v>Rage</v>
      </c>
      <c r="EW64" s="954">
        <f ca="1">IF(EV64="Dreadful Rage",5,2)</f>
        <v>2</v>
      </c>
      <c r="EX64" s="954">
        <f ca="1">IF(EV64="Dreadful Rage",5,2)</f>
        <v>2</v>
      </c>
      <c r="FB64" s="954" t="s">
        <v>4083</v>
      </c>
      <c r="FG64" s="954" t="s">
        <v>7765</v>
      </c>
      <c r="FH64" s="954" t="s">
        <v>57</v>
      </c>
      <c r="FJ64" s="954" t="s">
        <v>7152</v>
      </c>
      <c r="FK64" s="1323" t="s">
        <v>6354</v>
      </c>
      <c r="FL64" s="1493" t="s">
        <v>7824</v>
      </c>
      <c r="FM64" s="1513" t="s">
        <v>4129</v>
      </c>
      <c r="FN64" s="1513" t="s">
        <v>4129</v>
      </c>
      <c r="FO64" s="1513" t="s">
        <v>7188</v>
      </c>
      <c r="FQ64" s="597" t="str">
        <f>CharacterName&amp;" deals damage against enemy with "&amp;Pronoun&amp;" lightsaber"</f>
        <v xml:space="preserve"> deals damage against enemy with it lightsaber</v>
      </c>
      <c r="GC64" s="597" t="str">
        <f>"Allies adjacent to the target at the time "&amp;CharacterName&amp;" made the attack gain a +2 circumstance bonus to melee attack rolls against that target until the start of "&amp;CharacterName&amp;"'s next turn"</f>
        <v>Allies adjacent to the target at the time  made the attack gain a +2 circumstance bonus to melee attack rolls against that target until the start of 's next turn</v>
      </c>
      <c r="GD64" s="597" t="str">
        <f t="shared" si="19"/>
        <v>// Guiding Strikes (swift;  deals damage against enemy with it lightsaber) • Talent
Allies adjacent to the target at the time  made the attack gain a +2 circumstance bonus to melee attack rolls against that target until the start of 's next turn</v>
      </c>
      <c r="GG64" s="569" t="b">
        <v>1</v>
      </c>
      <c r="GH64" s="8" t="str">
        <f>IF(FN64="Talent",INDEX(TalentsTable,MATCH(FK64,TalentsTableList,0),13),"")</f>
        <v>RE 23</v>
      </c>
      <c r="GI64" s="1512" t="str">
        <f t="shared" si="8"/>
        <v/>
      </c>
      <c r="GJ64" s="1512" t="str">
        <f t="shared" ca="1" si="9"/>
        <v/>
      </c>
      <c r="GK64" s="456" t="str">
        <f t="shared" si="10"/>
        <v>// Guiding Strikes (swift;  deals damage against enemy with it lightsaber) • Talent
Allies adjacent to the target at the time  made the attack gain a +2 circumstance bonus to melee attack rolls against that target until the start of 's next turn</v>
      </c>
    </row>
    <row r="65" spans="8:193">
      <c r="H65" s="12" t="s">
        <v>4312</v>
      </c>
      <c r="I65" s="3" t="s">
        <v>3800</v>
      </c>
      <c r="K65" s="3">
        <v>0</v>
      </c>
      <c r="L65" s="3" t="s">
        <v>3736</v>
      </c>
      <c r="M65" s="3" t="s">
        <v>740</v>
      </c>
      <c r="P65" s="1176" t="s">
        <v>4344</v>
      </c>
      <c r="Q65" s="1177" t="str">
        <f t="shared" si="25"/>
        <v>Enemy cannot catch weapon on disarm attempt</v>
      </c>
      <c r="AB65" s="569" t="s">
        <v>3983</v>
      </c>
      <c r="AC65" s="1358" t="s">
        <v>3998</v>
      </c>
      <c r="AD65" s="581" t="str">
        <f t="shared" si="20"/>
        <v>Organa Legacy (Denied)</v>
      </c>
      <c r="AE65" s="616" t="s">
        <v>3985</v>
      </c>
      <c r="AF65" s="616" t="s">
        <v>3986</v>
      </c>
      <c r="AH65" s="1183" t="s">
        <v>1874</v>
      </c>
      <c r="AS65" s="12" t="str">
        <f t="shared" si="21"/>
        <v>Mighty Swing and Power Attack (-20)</v>
      </c>
      <c r="AT65" s="3">
        <f t="shared" si="24"/>
        <v>-20</v>
      </c>
      <c r="AU65" s="3">
        <f t="shared" si="22"/>
        <v>20</v>
      </c>
      <c r="AV65" s="3">
        <f t="shared" si="23"/>
        <v>40</v>
      </c>
      <c r="AW65" s="3">
        <v>1</v>
      </c>
      <c r="AY65" s="3" t="s">
        <v>4083</v>
      </c>
      <c r="AZ65" s="936" t="s">
        <v>202</v>
      </c>
      <c r="CR65" s="1704"/>
      <c r="CS65" s="1704"/>
      <c r="CT65" s="1704"/>
      <c r="CU65" s="1704"/>
      <c r="CV65" s="1704"/>
      <c r="CW65" s="1704"/>
      <c r="CX65" s="1704"/>
      <c r="CY65" s="1704"/>
      <c r="CZ65" s="1704"/>
      <c r="DA65" s="570" t="s">
        <v>195</v>
      </c>
      <c r="DB65" s="570" t="s">
        <v>195</v>
      </c>
      <c r="DC65" s="570" t="s">
        <v>195</v>
      </c>
      <c r="DD65" s="570" t="s">
        <v>195</v>
      </c>
      <c r="DE65" s="570" t="s">
        <v>195</v>
      </c>
      <c r="DF65" s="1104"/>
      <c r="DG65" s="1104"/>
      <c r="DW65" s="1358" t="s">
        <v>4001</v>
      </c>
      <c r="EV65" s="954" t="s">
        <v>2468</v>
      </c>
      <c r="EW65" s="954">
        <v>-2</v>
      </c>
      <c r="EZ65" s="954">
        <v>1</v>
      </c>
      <c r="FB65" s="954" t="s">
        <v>4084</v>
      </c>
      <c r="FH65" s="1478" t="s">
        <v>57</v>
      </c>
      <c r="FI65" s="1478"/>
      <c r="FJ65" s="1478" t="s">
        <v>7152</v>
      </c>
      <c r="FK65" s="1511" t="s">
        <v>5796</v>
      </c>
      <c r="FL65" s="1493" t="s">
        <v>7824</v>
      </c>
      <c r="FM65" s="1512" t="s">
        <v>7100</v>
      </c>
      <c r="FN65" s="1512" t="s">
        <v>4715</v>
      </c>
      <c r="FO65" s="1512" t="s">
        <v>7807</v>
      </c>
      <c r="FP65" s="1513" t="s">
        <v>7809</v>
      </c>
      <c r="FQ65" s="597" t="str">
        <f>"when "&amp;CharacterName&amp;" activates Force power"</f>
        <v>when  activates Force power</v>
      </c>
      <c r="GC65" s="1512" t="s">
        <v>7120</v>
      </c>
      <c r="GD65" s="597" t="str">
        <f t="shared" si="19"/>
        <v>// Holocron Loremaster (free action; FP/DP; when  activates Force power) • Force, Secret
Spend a Force Point to add one use of any Force power known by any ally within 12 squares to Force suite until end of next turn; spend a Destiny Point to have power lost at end of encounter; create holocron gatekeeper</v>
      </c>
      <c r="GG65" s="569"/>
      <c r="GH65" s="1515" t="s">
        <v>5910</v>
      </c>
      <c r="GI65" s="1512" t="str">
        <f t="shared" si="8"/>
        <v/>
      </c>
      <c r="GJ65" s="1512" t="str">
        <f t="shared" ca="1" si="9"/>
        <v/>
      </c>
      <c r="GK65" s="456" t="str">
        <f t="shared" si="10"/>
        <v>// Holocron Loremaster (free action; FP/DP; when  activates Force power) • Force, Secret
Spend a Force Point to add one use of any Force power known by any ally within 12 squares to Force suite until end of next turn; spend a Destiny Point to have power lost at end of encounter; create holocron gatekeeper</v>
      </c>
    </row>
    <row r="66" spans="8:193">
      <c r="H66" s="12" t="s">
        <v>4313</v>
      </c>
      <c r="I66" s="3" t="s">
        <v>3800</v>
      </c>
      <c r="K66" s="3">
        <v>0</v>
      </c>
      <c r="L66" s="3" t="s">
        <v>3736</v>
      </c>
      <c r="M66" s="3" t="s">
        <v>740</v>
      </c>
      <c r="P66" s="1176" t="s">
        <v>4345</v>
      </c>
      <c r="Q66" s="1177" t="str">
        <f t="shared" si="25"/>
        <v>Can only be switched on by a Force Sensitive character</v>
      </c>
      <c r="AB66" s="569" t="s">
        <v>3982</v>
      </c>
      <c r="AC66" s="1358" t="s">
        <v>3998</v>
      </c>
      <c r="AD66" s="581" t="str">
        <f t="shared" si="20"/>
        <v>Organa Legacy (Embraced)</v>
      </c>
      <c r="AE66" s="616" t="s">
        <v>3985</v>
      </c>
      <c r="AF66" s="616" t="s">
        <v>3986</v>
      </c>
      <c r="AH66" s="1183" t="s">
        <v>8748</v>
      </c>
      <c r="AS66" s="12" t="s">
        <v>2373</v>
      </c>
      <c r="AT66" s="3">
        <v>1</v>
      </c>
      <c r="AU66" s="3">
        <v>1</v>
      </c>
      <c r="AY66" s="3" t="s">
        <v>4084</v>
      </c>
      <c r="CR66" s="1704"/>
      <c r="CS66" s="1704"/>
      <c r="CT66" s="1704"/>
      <c r="CU66" s="1704"/>
      <c r="CV66" s="1704"/>
      <c r="CW66" s="1704"/>
      <c r="CX66" s="1704"/>
      <c r="CY66" s="1704"/>
      <c r="CZ66" s="1704"/>
      <c r="DA66" s="570" t="s">
        <v>195</v>
      </c>
      <c r="DB66" s="570" t="s">
        <v>195</v>
      </c>
      <c r="DC66" s="570" t="s">
        <v>195</v>
      </c>
      <c r="DD66" s="570" t="s">
        <v>195</v>
      </c>
      <c r="DE66" s="570" t="s">
        <v>195</v>
      </c>
      <c r="DF66" s="1104"/>
      <c r="DG66" s="1104"/>
      <c r="DW66" s="1358" t="s">
        <v>4001</v>
      </c>
      <c r="EV66" s="954" t="s">
        <v>2419</v>
      </c>
      <c r="EW66" s="954">
        <v>-2</v>
      </c>
      <c r="EZ66" s="954">
        <v>1</v>
      </c>
      <c r="FB66" s="954" t="s">
        <v>4083</v>
      </c>
      <c r="FH66" s="1478" t="s">
        <v>57</v>
      </c>
      <c r="FI66" s="1478"/>
      <c r="FJ66" s="1478" t="s">
        <v>7152</v>
      </c>
      <c r="FK66" s="1323" t="s">
        <v>2615</v>
      </c>
      <c r="FL66" s="1493" t="s">
        <v>7824</v>
      </c>
      <c r="FM66" s="1513" t="s">
        <v>7800</v>
      </c>
      <c r="FN66" s="1513" t="s">
        <v>4129</v>
      </c>
      <c r="FO66" s="569" t="s">
        <v>7092</v>
      </c>
      <c r="FP66" s="3" t="s">
        <v>65</v>
      </c>
      <c r="GC66" s="597" t="str">
        <f ca="1">"+"&amp;UsetheForce&amp;" vs. Will; create illusions that appear real to those whose Will Defense is exceeded"&amp;IF(Talents!J77&gt;0,"; "&amp;CharacterName&amp;" can see and hear as if "&amp;Pronoun&amp;" was standing in the space of "&amp;PosPro&amp;" humanoid illusion","")</f>
        <v>+0 vs. Will; create illusions that appear real to those whose Will Defense is exceeded;  can see and hear as if it was standing in the space of its humanoid illusion</v>
      </c>
      <c r="GD66" s="597" t="str">
        <f t="shared" ca="1" si="19"/>
        <v>// Illusion (standard; FP) • Force, Talent
+0 vs. Will; create illusions that appear real to those whose Will Defense is exceeded;  can see and hear as if it was standing in the space of its humanoid illusion</v>
      </c>
      <c r="GG66" s="569" t="b">
        <v>1</v>
      </c>
      <c r="GH66" s="8" t="str">
        <f>IF(FN66="Talent",INDEX(TalentsTable,MATCH(FK66,TalentsTableList,0),13),"")</f>
        <v>KotOR 52</v>
      </c>
      <c r="GI66" s="1512" t="str">
        <f t="shared" ref="GI66:GI129" si="26">IF(OnlyCombatDescs,IF(GG66=TRUE,IF(NOT(ISERROR(FIND(FK66,INDEX(SpecialsTable,MATCH(FN66,SpecialsList,0),2),1))),GD66,""),""),IF(NOT(ISERROR(FIND(FK66,INDEX(SpecialsTable,MATCH(FN66,SpecialsList,0),2),1))),GD66,""))</f>
        <v/>
      </c>
      <c r="GJ66" s="1512" t="str">
        <f t="shared" ref="GJ66:GJ129" ca="1" si="27">IF(GI66&lt;&gt;"",GI66&amp;IF(GJ67&lt;&gt;"","
"&amp;IF(AND(HTML,Tables=FALSE),"&lt;BR&gt;","")&amp;GJ67,""),GJ67)</f>
        <v/>
      </c>
      <c r="GK66" s="456" t="str">
        <f t="shared" ref="GK66:GK129" ca="1" si="28">IF(GD66&lt;&gt;"",GD66,"")</f>
        <v>// Illusion (standard; FP) • Force, Talent
+0 vs. Will; create illusions that appear real to those whose Will Defense is exceeded;  can see and hear as if it was standing in the space of its humanoid illusion</v>
      </c>
    </row>
    <row r="67" spans="8:193">
      <c r="H67" s="12" t="s">
        <v>4314</v>
      </c>
      <c r="I67" s="3" t="s">
        <v>3800</v>
      </c>
      <c r="K67" s="3">
        <v>0</v>
      </c>
      <c r="L67" s="3" t="s">
        <v>3736</v>
      </c>
      <c r="M67" s="3" t="s">
        <v>740</v>
      </c>
      <c r="P67" s="1176" t="s">
        <v>4346</v>
      </c>
      <c r="Q67" s="1177" t="str">
        <f t="shared" si="25"/>
        <v>As Swift action, turn two lightsabers into double weapon</v>
      </c>
      <c r="AB67" s="569" t="s">
        <v>3983</v>
      </c>
      <c r="AC67" s="1358" t="s">
        <v>6644</v>
      </c>
      <c r="AD67" s="581" t="str">
        <f t="shared" si="20"/>
        <v>Rogak (clan) Legacy (Denied)</v>
      </c>
      <c r="AE67" s="616" t="s">
        <v>3985</v>
      </c>
      <c r="AF67" s="616" t="s">
        <v>3986</v>
      </c>
      <c r="AH67" s="1183" t="s">
        <v>1815</v>
      </c>
      <c r="AS67" s="12" t="str">
        <f t="shared" ref="AS67:AS86" si="29">"Power Attack ("&amp;AT67&amp;")"</f>
        <v>Power Attack (-1)</v>
      </c>
      <c r="AT67" s="3">
        <v>-1</v>
      </c>
      <c r="AU67" s="3">
        <f t="shared" ref="AU67:AU86" si="30">AT67*-1</f>
        <v>1</v>
      </c>
      <c r="AV67" s="3">
        <f t="shared" ref="AV67:AV106" si="31">AU67*2</f>
        <v>2</v>
      </c>
      <c r="AY67" s="3" t="s">
        <v>4083</v>
      </c>
      <c r="CR67" s="1704"/>
      <c r="CS67" s="1704"/>
      <c r="CT67" s="1704"/>
      <c r="CU67" s="1704"/>
      <c r="CV67" s="1704"/>
      <c r="CW67" s="1704"/>
      <c r="CX67" s="1704"/>
      <c r="CY67" s="1704"/>
      <c r="CZ67" s="1704"/>
      <c r="DA67" s="570" t="s">
        <v>195</v>
      </c>
      <c r="DB67" s="570" t="s">
        <v>195</v>
      </c>
      <c r="DC67" s="570" t="s">
        <v>195</v>
      </c>
      <c r="DD67" s="570" t="s">
        <v>195</v>
      </c>
      <c r="DE67" s="570" t="s">
        <v>195</v>
      </c>
      <c r="DF67" s="1104"/>
      <c r="DG67" s="1104"/>
      <c r="DW67" s="1358" t="s">
        <v>6647</v>
      </c>
      <c r="EV67" s="954" t="s">
        <v>2488</v>
      </c>
      <c r="EW67" s="954">
        <v>2</v>
      </c>
      <c r="FB67" s="954" t="s">
        <v>4084</v>
      </c>
      <c r="FG67" s="570" t="s">
        <v>7768</v>
      </c>
      <c r="FH67" s="1478" t="s">
        <v>57</v>
      </c>
      <c r="FI67" s="1478"/>
      <c r="FJ67" s="1478" t="s">
        <v>3813</v>
      </c>
      <c r="FK67" s="1323" t="s">
        <v>6357</v>
      </c>
      <c r="FL67" s="1493" t="s">
        <v>7824</v>
      </c>
      <c r="FM67" s="1513" t="s">
        <v>4129</v>
      </c>
      <c r="FN67" s="1513" t="s">
        <v>4129</v>
      </c>
      <c r="FO67" s="1513" t="s">
        <v>7188</v>
      </c>
      <c r="GC67" s="597" t="str">
        <f>"Until the start of next turn, anyone attempting to move "&amp;CharacterName&amp;" involuntarily takes a -5 penalty to attack rolls or skill checks made to use the effect"</f>
        <v>Until the start of next turn, anyone attempting to move  involuntarily takes a -5 penalty to attack rolls or skill checks made to use the effect</v>
      </c>
      <c r="GD67" s="597" t="str">
        <f t="shared" si="19"/>
        <v>// Immovable (swift) • Talent
Until the start of next turn, anyone attempting to move  involuntarily takes a -5 penalty to attack rolls or skill checks made to use the effect</v>
      </c>
      <c r="GG67" s="569" t="b">
        <v>1</v>
      </c>
      <c r="GH67" s="8" t="str">
        <f>IF(FN67="Talent",INDEX(TalentsTable,MATCH(FK67,TalentsTableList,0),13),"")</f>
        <v>RE 23</v>
      </c>
      <c r="GI67" s="1512" t="str">
        <f t="shared" si="26"/>
        <v/>
      </c>
      <c r="GJ67" s="1512" t="str">
        <f t="shared" ca="1" si="27"/>
        <v/>
      </c>
      <c r="GK67" s="456" t="str">
        <f t="shared" si="28"/>
        <v>// Immovable (swift) • Talent
Until the start of next turn, anyone attempting to move  involuntarily takes a -5 penalty to attack rolls or skill checks made to use the effect</v>
      </c>
    </row>
    <row r="68" spans="8:193">
      <c r="H68" s="12" t="s">
        <v>4315</v>
      </c>
      <c r="I68" s="3" t="s">
        <v>3800</v>
      </c>
      <c r="K68" s="3">
        <v>0</v>
      </c>
      <c r="L68" s="3" t="s">
        <v>3736</v>
      </c>
      <c r="M68" s="3" t="s">
        <v>740</v>
      </c>
      <c r="P68" s="1176" t="s">
        <v>4347</v>
      </c>
      <c r="Q68" s="1177" t="str">
        <f t="shared" si="25"/>
        <v>Deactivates when dropped or disarmed</v>
      </c>
      <c r="AB68" s="569" t="s">
        <v>3982</v>
      </c>
      <c r="AC68" s="1358" t="s">
        <v>6644</v>
      </c>
      <c r="AD68" s="581" t="str">
        <f t="shared" si="20"/>
        <v>Rogak (clan) Legacy (Embraced)</v>
      </c>
      <c r="AE68" s="616" t="s">
        <v>3985</v>
      </c>
      <c r="AF68" s="616" t="s">
        <v>3986</v>
      </c>
      <c r="AH68" s="1183" t="s">
        <v>1912</v>
      </c>
      <c r="AS68" s="12" t="str">
        <f t="shared" si="29"/>
        <v>Power Attack (-2)</v>
      </c>
      <c r="AT68" s="3">
        <f t="shared" ref="AT68:AT87" si="32">AT67-1</f>
        <v>-2</v>
      </c>
      <c r="AU68" s="3">
        <f t="shared" si="30"/>
        <v>2</v>
      </c>
      <c r="AV68" s="3">
        <f t="shared" si="31"/>
        <v>4</v>
      </c>
      <c r="AY68" s="3" t="s">
        <v>4083</v>
      </c>
      <c r="CR68" s="1704"/>
      <c r="CS68" s="1704"/>
      <c r="CT68" s="1704"/>
      <c r="CU68" s="1704"/>
      <c r="CV68" s="1704"/>
      <c r="CW68" s="1704"/>
      <c r="CX68" s="1704"/>
      <c r="CY68" s="1704"/>
      <c r="CZ68" s="1704"/>
      <c r="DA68" s="570" t="s">
        <v>195</v>
      </c>
      <c r="DB68" s="570" t="s">
        <v>195</v>
      </c>
      <c r="DC68" s="570" t="s">
        <v>195</v>
      </c>
      <c r="DD68" s="570" t="s">
        <v>195</v>
      </c>
      <c r="DE68" s="570" t="s">
        <v>195</v>
      </c>
      <c r="DF68" s="1104"/>
      <c r="DG68" s="1104"/>
      <c r="DW68" s="1358" t="s">
        <v>6647</v>
      </c>
      <c r="EV68" s="954" t="s">
        <v>2534</v>
      </c>
      <c r="EW68" s="954">
        <v>2</v>
      </c>
      <c r="EX68" s="954">
        <v>1</v>
      </c>
      <c r="EZ68" s="954">
        <v>1</v>
      </c>
      <c r="FB68" s="954" t="s">
        <v>4084</v>
      </c>
      <c r="FG68" s="1478" t="s">
        <v>7777</v>
      </c>
      <c r="FH68" s="1478" t="s">
        <v>57</v>
      </c>
      <c r="FI68" s="1478"/>
      <c r="FJ68" s="1478" t="s">
        <v>2146</v>
      </c>
      <c r="FK68" s="1511" t="s">
        <v>3830</v>
      </c>
      <c r="FL68" s="1493" t="s">
        <v>7824</v>
      </c>
      <c r="FM68" s="1512" t="s">
        <v>7126</v>
      </c>
      <c r="FN68" s="1512" t="s">
        <v>4022</v>
      </c>
      <c r="FO68" s="1512"/>
      <c r="GC68" s="1512"/>
      <c r="GD68" s="597" t="str">
        <f t="shared" si="19"/>
        <v xml:space="preserve">// Improved Ballistakinesis• Force, Technique
</v>
      </c>
      <c r="GG68" s="569"/>
      <c r="GH68" s="1515" t="s">
        <v>5933</v>
      </c>
      <c r="GI68" s="1512" t="str">
        <f t="shared" si="26"/>
        <v/>
      </c>
      <c r="GJ68" s="1512" t="str">
        <f t="shared" ca="1" si="27"/>
        <v/>
      </c>
      <c r="GK68" s="456" t="str">
        <f t="shared" si="28"/>
        <v xml:space="preserve">// Improved Ballistakinesis• Force, Technique
</v>
      </c>
    </row>
    <row r="69" spans="8:193">
      <c r="H69" s="12" t="s">
        <v>4316</v>
      </c>
      <c r="I69" s="3" t="s">
        <v>3800</v>
      </c>
      <c r="K69" s="3">
        <v>0</v>
      </c>
      <c r="L69" s="3" t="s">
        <v>3736</v>
      </c>
      <c r="M69" s="3" t="s">
        <v>740</v>
      </c>
      <c r="P69" s="1176" t="s">
        <v>4348</v>
      </c>
      <c r="Q69" s="1177" t="str">
        <f t="shared" si="25"/>
        <v>Deals 1d6 per round against wrong user</v>
      </c>
      <c r="AB69" s="569" t="s">
        <v>3983</v>
      </c>
      <c r="AC69" s="1358" t="s">
        <v>4010</v>
      </c>
      <c r="AD69" s="581" t="str">
        <f t="shared" si="20"/>
        <v>Secura Legacy (Denied)</v>
      </c>
      <c r="AE69" s="616" t="s">
        <v>3985</v>
      </c>
      <c r="AF69" s="616" t="s">
        <v>3986</v>
      </c>
      <c r="AH69" s="1183" t="s">
        <v>1930</v>
      </c>
      <c r="AS69" s="12" t="str">
        <f t="shared" si="29"/>
        <v>Power Attack (-3)</v>
      </c>
      <c r="AT69" s="3">
        <f t="shared" si="32"/>
        <v>-3</v>
      </c>
      <c r="AU69" s="3">
        <f t="shared" si="30"/>
        <v>3</v>
      </c>
      <c r="AV69" s="3">
        <f t="shared" si="31"/>
        <v>6</v>
      </c>
      <c r="AY69" s="3" t="s">
        <v>4083</v>
      </c>
      <c r="CR69" s="1704"/>
      <c r="CS69" s="1704"/>
      <c r="CT69" s="1704"/>
      <c r="CU69" s="1704"/>
      <c r="CV69" s="1704"/>
      <c r="CW69" s="1704"/>
      <c r="CX69" s="1704"/>
      <c r="CY69" s="1704"/>
      <c r="CZ69" s="1704"/>
      <c r="DA69" s="570" t="s">
        <v>195</v>
      </c>
      <c r="DB69" s="570" t="s">
        <v>195</v>
      </c>
      <c r="DC69" s="570" t="s">
        <v>195</v>
      </c>
      <c r="DD69" s="570" t="s">
        <v>195</v>
      </c>
      <c r="DE69" s="570" t="s">
        <v>195</v>
      </c>
      <c r="DF69" s="1104"/>
      <c r="DG69" s="1104"/>
      <c r="DW69" s="1358" t="s">
        <v>4002</v>
      </c>
      <c r="EV69" s="954" t="s">
        <v>2265</v>
      </c>
      <c r="EW69" s="954">
        <v>2</v>
      </c>
      <c r="EZ69" s="955"/>
      <c r="FD69" s="954" t="s">
        <v>202</v>
      </c>
      <c r="FG69" s="954" t="s">
        <v>7756</v>
      </c>
      <c r="FH69" s="954" t="s">
        <v>57</v>
      </c>
      <c r="FI69" s="954" t="s">
        <v>57</v>
      </c>
      <c r="FJ69" s="954" t="s">
        <v>7152</v>
      </c>
      <c r="FK69" s="1511" t="s">
        <v>3833</v>
      </c>
      <c r="FL69" s="1493" t="s">
        <v>7824</v>
      </c>
      <c r="FM69" s="1512" t="s">
        <v>7126</v>
      </c>
      <c r="FN69" s="1512" t="s">
        <v>4022</v>
      </c>
      <c r="FO69" s="1512"/>
      <c r="GC69" s="1512"/>
      <c r="GD69" s="597" t="str">
        <f t="shared" si="19"/>
        <v xml:space="preserve">// Improved Battle Strike• Force, Technique
</v>
      </c>
      <c r="GG69" s="569"/>
      <c r="GH69" s="1515" t="s">
        <v>5911</v>
      </c>
      <c r="GI69" s="1512" t="str">
        <f t="shared" si="26"/>
        <v/>
      </c>
      <c r="GJ69" s="1512" t="str">
        <f t="shared" ca="1" si="27"/>
        <v/>
      </c>
      <c r="GK69" s="456" t="str">
        <f t="shared" si="28"/>
        <v xml:space="preserve">// Improved Battle Strike• Force, Technique
</v>
      </c>
    </row>
    <row r="70" spans="8:193">
      <c r="H70" s="12" t="s">
        <v>4317</v>
      </c>
      <c r="I70" s="3" t="s">
        <v>3800</v>
      </c>
      <c r="K70" s="3">
        <v>0</v>
      </c>
      <c r="L70" s="3" t="s">
        <v>3736</v>
      </c>
      <c r="M70" s="3" t="s">
        <v>740</v>
      </c>
      <c r="P70" s="1176" t="s">
        <v>4349</v>
      </c>
      <c r="Q70" s="1177" t="str">
        <f t="shared" si="25"/>
        <v>Functions underwater</v>
      </c>
      <c r="AB70" s="569" t="s">
        <v>3982</v>
      </c>
      <c r="AC70" s="1358" t="s">
        <v>4010</v>
      </c>
      <c r="AD70" s="581" t="str">
        <f t="shared" si="20"/>
        <v>Secura Legacy (Embraced)</v>
      </c>
      <c r="AE70" s="616" t="s">
        <v>3985</v>
      </c>
      <c r="AF70" s="616" t="s">
        <v>3986</v>
      </c>
      <c r="AH70" s="1183" t="s">
        <v>1945</v>
      </c>
      <c r="AS70" s="12" t="str">
        <f t="shared" si="29"/>
        <v>Power Attack (-4)</v>
      </c>
      <c r="AT70" s="3">
        <f t="shared" si="32"/>
        <v>-4</v>
      </c>
      <c r="AU70" s="3">
        <f t="shared" si="30"/>
        <v>4</v>
      </c>
      <c r="AV70" s="3">
        <f t="shared" si="31"/>
        <v>8</v>
      </c>
      <c r="AY70" s="3" t="s">
        <v>4083</v>
      </c>
      <c r="CR70" s="1704"/>
      <c r="CS70" s="1704"/>
      <c r="CT70" s="1704"/>
      <c r="CU70" s="1704"/>
      <c r="CV70" s="1704"/>
      <c r="CW70" s="1704"/>
      <c r="CX70" s="1704"/>
      <c r="CY70" s="1704"/>
      <c r="CZ70" s="1704"/>
      <c r="DA70" s="570" t="s">
        <v>195</v>
      </c>
      <c r="DB70" s="570" t="s">
        <v>195</v>
      </c>
      <c r="DC70" s="570" t="s">
        <v>195</v>
      </c>
      <c r="DD70" s="570" t="s">
        <v>195</v>
      </c>
      <c r="DE70" s="570" t="s">
        <v>195</v>
      </c>
      <c r="DF70" s="1104"/>
      <c r="DG70" s="1104"/>
      <c r="DW70" s="1358" t="s">
        <v>4002</v>
      </c>
      <c r="EV70" s="954" t="s">
        <v>2267</v>
      </c>
      <c r="EX70" s="954">
        <f>INT(HeroicLevel/2)</f>
        <v>0</v>
      </c>
      <c r="FE70" s="954" t="s">
        <v>7153</v>
      </c>
      <c r="FG70" s="954" t="s">
        <v>7753</v>
      </c>
      <c r="FH70" s="954" t="s">
        <v>57</v>
      </c>
      <c r="FI70" s="954" t="s">
        <v>57</v>
      </c>
      <c r="FJ70" s="954" t="s">
        <v>7175</v>
      </c>
      <c r="FK70" s="1511" t="s">
        <v>3835</v>
      </c>
      <c r="FL70" s="1493" t="s">
        <v>7824</v>
      </c>
      <c r="FM70" s="1512" t="s">
        <v>7126</v>
      </c>
      <c r="FN70" s="1512" t="s">
        <v>4022</v>
      </c>
      <c r="FO70" s="1512" t="s">
        <v>7131</v>
      </c>
      <c r="GC70" s="1512" t="s">
        <v>7136</v>
      </c>
      <c r="GD70" s="597" t="str">
        <f t="shared" si="19"/>
        <v>// Improved Cloak (move) • Force, Technique
Maintain cloak power as move action instead of a standard action</v>
      </c>
      <c r="GG70" s="569" t="b">
        <v>1</v>
      </c>
      <c r="GH70" s="1515" t="s">
        <v>450</v>
      </c>
      <c r="GI70" s="1512" t="str">
        <f t="shared" si="26"/>
        <v/>
      </c>
      <c r="GJ70" s="1512" t="str">
        <f t="shared" ca="1" si="27"/>
        <v/>
      </c>
      <c r="GK70" s="456" t="str">
        <f t="shared" si="28"/>
        <v>// Improved Cloak (move) • Force, Technique
Maintain cloak power as move action instead of a standard action</v>
      </c>
    </row>
    <row r="71" spans="8:193">
      <c r="H71" s="683" t="s">
        <v>3759</v>
      </c>
      <c r="AB71" s="569" t="s">
        <v>3983</v>
      </c>
      <c r="AC71" s="1358" t="s">
        <v>3999</v>
      </c>
      <c r="AD71" s="581" t="str">
        <f t="shared" si="20"/>
        <v>Skywalker Legacy (Denied)</v>
      </c>
      <c r="AE71" s="616" t="s">
        <v>3985</v>
      </c>
      <c r="AF71" s="616" t="s">
        <v>3986</v>
      </c>
      <c r="AH71" s="1183" t="s">
        <v>1973</v>
      </c>
      <c r="AS71" s="12" t="str">
        <f t="shared" si="29"/>
        <v>Power Attack (-5)</v>
      </c>
      <c r="AT71" s="3">
        <f t="shared" si="32"/>
        <v>-5</v>
      </c>
      <c r="AU71" s="3">
        <f t="shared" si="30"/>
        <v>5</v>
      </c>
      <c r="AV71" s="3">
        <f t="shared" si="31"/>
        <v>10</v>
      </c>
      <c r="AY71" s="3" t="s">
        <v>4083</v>
      </c>
      <c r="CR71" s="1704"/>
      <c r="CS71" s="1704"/>
      <c r="CT71" s="1704"/>
      <c r="CU71" s="1704"/>
      <c r="CV71" s="1704"/>
      <c r="CW71" s="1704"/>
      <c r="CX71" s="1704"/>
      <c r="CY71" s="1704"/>
      <c r="CZ71" s="1704"/>
      <c r="DA71" s="570" t="s">
        <v>195</v>
      </c>
      <c r="DB71" s="570" t="s">
        <v>195</v>
      </c>
      <c r="DC71" s="570" t="s">
        <v>195</v>
      </c>
      <c r="DD71" s="570" t="s">
        <v>195</v>
      </c>
      <c r="DE71" s="570" t="s">
        <v>195</v>
      </c>
      <c r="DF71" s="1104"/>
      <c r="DG71" s="1104"/>
      <c r="DW71" s="1358" t="s">
        <v>6641</v>
      </c>
      <c r="EV71" s="1500" t="s">
        <v>6240</v>
      </c>
      <c r="EW71" s="1490"/>
      <c r="EX71" s="1490"/>
      <c r="EY71" s="1490"/>
      <c r="EZ71" s="1490"/>
      <c r="FA71" s="1490"/>
      <c r="FB71" s="1490"/>
      <c r="FC71" s="1490"/>
      <c r="FD71" s="1490"/>
      <c r="FE71" s="1490"/>
      <c r="FF71" s="1490"/>
      <c r="FG71" s="1491" t="s">
        <v>7758</v>
      </c>
      <c r="FH71" s="1490" t="s">
        <v>57</v>
      </c>
      <c r="FI71" s="1502" t="s">
        <v>57</v>
      </c>
      <c r="FJ71" s="1490" t="s">
        <v>7759</v>
      </c>
      <c r="FK71" s="1511" t="s">
        <v>4268</v>
      </c>
      <c r="FL71" s="1493" t="s">
        <v>7824</v>
      </c>
      <c r="FM71" s="1512" t="s">
        <v>7126</v>
      </c>
      <c r="FN71" s="1512" t="s">
        <v>4022</v>
      </c>
      <c r="FO71" s="1512"/>
      <c r="GC71" s="1512"/>
      <c r="GD71" s="597" t="str">
        <f t="shared" si="19"/>
        <v xml:space="preserve">// Improved Convection• Force, Technique
</v>
      </c>
      <c r="GG71" s="569"/>
      <c r="GH71" s="1515">
        <v>103</v>
      </c>
      <c r="GI71" s="1512" t="str">
        <f t="shared" si="26"/>
        <v/>
      </c>
      <c r="GJ71" s="1512" t="str">
        <f t="shared" ca="1" si="27"/>
        <v/>
      </c>
      <c r="GK71" s="456" t="str">
        <f t="shared" si="28"/>
        <v xml:space="preserve">// Improved Convection• Force, Technique
</v>
      </c>
    </row>
    <row r="72" spans="8:193">
      <c r="H72" s="12" t="s">
        <v>339</v>
      </c>
      <c r="I72" s="3" t="s">
        <v>169</v>
      </c>
      <c r="J72" s="3">
        <v>750</v>
      </c>
      <c r="K72" s="3">
        <v>1</v>
      </c>
      <c r="P72" s="1176" t="s">
        <v>6138</v>
      </c>
      <c r="Q72" s="1177" t="s">
        <v>6138</v>
      </c>
      <c r="AB72" s="569" t="s">
        <v>3982</v>
      </c>
      <c r="AC72" s="1358" t="s">
        <v>3999</v>
      </c>
      <c r="AD72" s="581" t="str">
        <f t="shared" si="20"/>
        <v>Skywalker Legacy (Embraced)</v>
      </c>
      <c r="AE72" s="616" t="s">
        <v>3985</v>
      </c>
      <c r="AF72" s="616" t="s">
        <v>3986</v>
      </c>
      <c r="AH72" s="1183" t="s">
        <v>2056</v>
      </c>
      <c r="AS72" s="12" t="str">
        <f t="shared" si="29"/>
        <v>Power Attack (-6)</v>
      </c>
      <c r="AT72" s="3">
        <f t="shared" si="32"/>
        <v>-6</v>
      </c>
      <c r="AU72" s="3">
        <f t="shared" si="30"/>
        <v>6</v>
      </c>
      <c r="AV72" s="3">
        <f t="shared" si="31"/>
        <v>12</v>
      </c>
      <c r="AY72" s="3" t="s">
        <v>4083</v>
      </c>
      <c r="CR72" s="1704"/>
      <c r="CS72" s="1704"/>
      <c r="CT72" s="1704"/>
      <c r="CU72" s="1704"/>
      <c r="CV72" s="1704"/>
      <c r="CW72" s="1704"/>
      <c r="CX72" s="1704"/>
      <c r="CY72" s="1704"/>
      <c r="CZ72" s="1704"/>
      <c r="DA72" s="570" t="s">
        <v>195</v>
      </c>
      <c r="DB72" s="570" t="s">
        <v>195</v>
      </c>
      <c r="DC72" s="570" t="s">
        <v>195</v>
      </c>
      <c r="DD72" s="570" t="s">
        <v>195</v>
      </c>
      <c r="DE72" s="570" t="s">
        <v>195</v>
      </c>
      <c r="DF72" s="1104"/>
      <c r="DG72" s="1104"/>
      <c r="DW72" s="1358" t="s">
        <v>6641</v>
      </c>
      <c r="EV72" s="1490" t="s">
        <v>2293</v>
      </c>
      <c r="EW72" s="1490"/>
      <c r="EX72" s="1490"/>
      <c r="EY72" s="1490"/>
      <c r="EZ72" s="1490"/>
      <c r="FA72" s="1490"/>
      <c r="FB72" s="1490"/>
      <c r="FC72" s="1490"/>
      <c r="FD72" s="1490"/>
      <c r="FE72" s="1490" t="s">
        <v>7153</v>
      </c>
      <c r="FF72" s="1490"/>
      <c r="FG72" s="1491" t="str">
        <f ca="1">"push target "&amp;IF(Feats!M230&gt;0,MAX(2,StrMod),1)&amp;" square "&amp;IF(Feats!M111&gt;0,"knock prone ","")&amp;"after successful melee attack"</f>
        <v>push target 1 square after successful melee attack</v>
      </c>
      <c r="FH72" s="1490" t="s">
        <v>57</v>
      </c>
      <c r="FI72" s="1502" t="s">
        <v>57</v>
      </c>
      <c r="FJ72" s="1490" t="s">
        <v>7152</v>
      </c>
      <c r="FK72" s="1511" t="s">
        <v>4269</v>
      </c>
      <c r="FL72" s="1493" t="s">
        <v>7824</v>
      </c>
      <c r="FM72" s="1512" t="s">
        <v>7126</v>
      </c>
      <c r="FN72" s="1512" t="s">
        <v>4022</v>
      </c>
      <c r="FO72" s="1512"/>
      <c r="GC72" s="1512"/>
      <c r="GD72" s="597" t="str">
        <f t="shared" si="19"/>
        <v xml:space="preserve">// Improved Crucitorn• Force, Technique
</v>
      </c>
      <c r="GG72" s="569"/>
      <c r="GH72" s="1515" t="s">
        <v>5936</v>
      </c>
      <c r="GI72" s="1512" t="str">
        <f t="shared" si="26"/>
        <v/>
      </c>
      <c r="GJ72" s="1512" t="str">
        <f t="shared" ca="1" si="27"/>
        <v/>
      </c>
      <c r="GK72" s="456" t="str">
        <f t="shared" si="28"/>
        <v xml:space="preserve">// Improved Crucitorn• Force, Technique
</v>
      </c>
    </row>
    <row r="73" spans="8:193">
      <c r="H73" s="12" t="s">
        <v>4014</v>
      </c>
      <c r="I73" s="3" t="s">
        <v>169</v>
      </c>
      <c r="J73" s="3">
        <v>1000</v>
      </c>
      <c r="K73" s="3">
        <v>1</v>
      </c>
      <c r="AB73" s="569" t="s">
        <v>3983</v>
      </c>
      <c r="AC73" s="1358" t="s">
        <v>4000</v>
      </c>
      <c r="AD73" s="581" t="str">
        <f t="shared" si="20"/>
        <v>Solo Legacy (Denied)</v>
      </c>
      <c r="AE73" s="616" t="s">
        <v>3985</v>
      </c>
      <c r="AF73" s="616" t="s">
        <v>3986</v>
      </c>
      <c r="AH73" s="1183" t="s">
        <v>1992</v>
      </c>
      <c r="AS73" s="12" t="str">
        <f t="shared" si="29"/>
        <v>Power Attack (-7)</v>
      </c>
      <c r="AT73" s="3">
        <f t="shared" si="32"/>
        <v>-7</v>
      </c>
      <c r="AU73" s="3">
        <f t="shared" si="30"/>
        <v>7</v>
      </c>
      <c r="AV73" s="3">
        <f t="shared" si="31"/>
        <v>14</v>
      </c>
      <c r="AY73" s="3" t="s">
        <v>4083</v>
      </c>
      <c r="CR73" s="1704"/>
      <c r="CS73" s="1704"/>
      <c r="CT73" s="1704"/>
      <c r="CU73" s="1704"/>
      <c r="CV73" s="1704"/>
      <c r="CW73" s="1704"/>
      <c r="CX73" s="1704"/>
      <c r="CY73" s="1704"/>
      <c r="CZ73" s="1704"/>
      <c r="DA73" s="570" t="s">
        <v>195</v>
      </c>
      <c r="DB73" s="570" t="s">
        <v>195</v>
      </c>
      <c r="DC73" s="570" t="s">
        <v>195</v>
      </c>
      <c r="DD73" s="570" t="s">
        <v>195</v>
      </c>
      <c r="DE73" s="570" t="s">
        <v>195</v>
      </c>
      <c r="DF73" s="1104"/>
      <c r="DG73" s="1104"/>
      <c r="DW73" s="1358" t="s">
        <v>4011</v>
      </c>
      <c r="EV73" s="1502" t="s">
        <v>3289</v>
      </c>
      <c r="EW73" s="1502"/>
      <c r="EX73" s="1502"/>
      <c r="EY73" s="1502"/>
      <c r="EZ73" s="1502"/>
      <c r="FA73" s="1502"/>
      <c r="FB73" s="1502" t="s">
        <v>4083</v>
      </c>
      <c r="FC73" s="1502"/>
      <c r="FD73" s="1502"/>
      <c r="FE73" s="1502"/>
      <c r="FF73" s="1502" t="b">
        <v>1</v>
      </c>
      <c r="FG73" s="794" t="s">
        <v>7771</v>
      </c>
      <c r="FH73" s="1502" t="s">
        <v>57</v>
      </c>
      <c r="FI73" s="3" t="s">
        <v>57</v>
      </c>
      <c r="FJ73" s="1502" t="s">
        <v>7175</v>
      </c>
      <c r="FK73" s="1511" t="s">
        <v>4270</v>
      </c>
      <c r="FL73" s="1493" t="s">
        <v>7824</v>
      </c>
      <c r="FM73" s="1512" t="s">
        <v>7126</v>
      </c>
      <c r="FN73" s="1512" t="s">
        <v>4022</v>
      </c>
      <c r="FO73" s="1512"/>
      <c r="GC73" s="1512"/>
      <c r="GD73" s="597" t="str">
        <f t="shared" si="19"/>
        <v xml:space="preserve">// Improved Cryokinesis• Force, Technique
</v>
      </c>
      <c r="GG73" s="569"/>
      <c r="GH73" s="1515" t="s">
        <v>5933</v>
      </c>
      <c r="GI73" s="1512" t="str">
        <f t="shared" si="26"/>
        <v/>
      </c>
      <c r="GJ73" s="1512" t="str">
        <f t="shared" ca="1" si="27"/>
        <v/>
      </c>
      <c r="GK73" s="456" t="str">
        <f t="shared" si="28"/>
        <v xml:space="preserve">// Improved Cryokinesis• Force, Technique
</v>
      </c>
    </row>
    <row r="74" spans="8:193">
      <c r="H74" s="12" t="s">
        <v>477</v>
      </c>
      <c r="I74" s="3" t="s">
        <v>169</v>
      </c>
      <c r="J74" s="3">
        <v>1000</v>
      </c>
      <c r="K74" s="3">
        <v>1</v>
      </c>
      <c r="P74" s="1176" t="s">
        <v>4015</v>
      </c>
      <c r="Q74" s="1177" t="s">
        <v>4015</v>
      </c>
      <c r="AB74" s="569" t="s">
        <v>3982</v>
      </c>
      <c r="AC74" s="1358" t="s">
        <v>4000</v>
      </c>
      <c r="AD74" s="581" t="str">
        <f t="shared" si="20"/>
        <v>Solo Legacy (Embraced)</v>
      </c>
      <c r="AE74" s="616" t="s">
        <v>3985</v>
      </c>
      <c r="AF74" s="616" t="s">
        <v>3986</v>
      </c>
      <c r="AH74" s="1183" t="s">
        <v>1724</v>
      </c>
      <c r="AS74" s="12" t="str">
        <f t="shared" si="29"/>
        <v>Power Attack (-8)</v>
      </c>
      <c r="AT74" s="3">
        <f t="shared" si="32"/>
        <v>-8</v>
      </c>
      <c r="AU74" s="3">
        <f t="shared" si="30"/>
        <v>8</v>
      </c>
      <c r="AV74" s="3">
        <f t="shared" si="31"/>
        <v>16</v>
      </c>
      <c r="AY74" s="3" t="s">
        <v>4083</v>
      </c>
      <c r="CR74" s="1704"/>
      <c r="CS74" s="1704"/>
      <c r="CT74" s="1704"/>
      <c r="CU74" s="1704"/>
      <c r="CV74" s="1704"/>
      <c r="CW74" s="1704"/>
      <c r="CX74" s="1704"/>
      <c r="CY74" s="1704"/>
      <c r="CZ74" s="1704"/>
      <c r="DA74" s="570" t="s">
        <v>195</v>
      </c>
      <c r="DB74" s="570" t="s">
        <v>195</v>
      </c>
      <c r="DC74" s="570" t="s">
        <v>195</v>
      </c>
      <c r="DD74" s="570" t="s">
        <v>195</v>
      </c>
      <c r="DE74" s="570" t="s">
        <v>195</v>
      </c>
      <c r="DF74" s="1104"/>
      <c r="DG74" s="1104"/>
      <c r="DW74" s="1358" t="s">
        <v>4011</v>
      </c>
      <c r="EV74" s="569" t="s">
        <v>2573</v>
      </c>
      <c r="EW74" s="1502"/>
      <c r="EX74" s="1502"/>
      <c r="EY74" s="1502"/>
      <c r="EZ74" s="955"/>
      <c r="FA74" s="3" t="s">
        <v>1520</v>
      </c>
      <c r="FB74" s="3" t="s">
        <v>4083</v>
      </c>
      <c r="FC74" s="1502"/>
      <c r="FD74" s="1502"/>
      <c r="FE74" s="1502"/>
      <c r="FF74" s="1502"/>
      <c r="FG74" s="794" t="s">
        <v>7874</v>
      </c>
      <c r="FH74" s="1502" t="s">
        <v>57</v>
      </c>
      <c r="FI74" s="3" t="s">
        <v>57</v>
      </c>
      <c r="FJ74" s="955" t="s">
        <v>2146</v>
      </c>
      <c r="FK74" s="1511" t="s">
        <v>3838</v>
      </c>
      <c r="FL74" s="1493" t="s">
        <v>7824</v>
      </c>
      <c r="FM74" s="1512" t="s">
        <v>7126</v>
      </c>
      <c r="FN74" s="1512" t="s">
        <v>4022</v>
      </c>
      <c r="FO74" s="1512"/>
      <c r="GC74" s="1512"/>
      <c r="GD74" s="597" t="str">
        <f t="shared" ref="GD74:GD105" si="33">IF(HTML,IF(FL74="Attack",TRG,IF(FL74="Defense",TRO,TRLSG))&amp;WFS&amp;"u"&amp;WFF&amp;BS,"//")&amp;" "&amp;FK74&amp;IF(HTML,BF,"")&amp;IF(FO74&lt;&gt;""," ("&amp;FO74&amp;IF(FP74&lt;&gt;"","; "&amp;FP74,"")&amp;IF(FQ74&lt;&gt;"","; "&amp;FQ74,"")&amp;") "&amp;IF(HTML,WFS&amp;"v"&amp;WFF&amp;BS,"•"),IF(HTML,WFS&amp;"v"&amp;WFF&amp;BS,"•"))&amp;" "&amp;FM74&amp;IF(HTML,BF&amp;TRF&amp;TRW,"")&amp;"
"&amp;GC74&amp;TRFF</f>
        <v xml:space="preserve">// Improved Dark Rage• Force, Technique
</v>
      </c>
      <c r="GG74" s="569"/>
      <c r="GH74" s="1515" t="s">
        <v>5938</v>
      </c>
      <c r="GI74" s="1512" t="str">
        <f t="shared" si="26"/>
        <v/>
      </c>
      <c r="GJ74" s="1512" t="str">
        <f t="shared" ca="1" si="27"/>
        <v/>
      </c>
      <c r="GK74" s="456" t="str">
        <f t="shared" si="28"/>
        <v xml:space="preserve">// Improved Dark Rage• Force, Technique
</v>
      </c>
    </row>
    <row r="75" spans="8:193">
      <c r="H75" s="12" t="s">
        <v>545</v>
      </c>
      <c r="I75" s="3" t="s">
        <v>169</v>
      </c>
      <c r="J75" s="3">
        <v>400</v>
      </c>
      <c r="K75" s="3">
        <v>1</v>
      </c>
      <c r="P75" s="1176" t="s">
        <v>4016</v>
      </c>
      <c r="AB75" s="569" t="s">
        <v>3983</v>
      </c>
      <c r="AC75" s="1358" t="s">
        <v>4001</v>
      </c>
      <c r="AD75" s="581" t="str">
        <f t="shared" ref="AD75:AD90" si="34">AC75&amp;" Legacy ("&amp;AB75&amp;")"</f>
        <v>Solusar Legacy (Denied)</v>
      </c>
      <c r="AE75" s="616" t="s">
        <v>3985</v>
      </c>
      <c r="AF75" s="616" t="s">
        <v>3986</v>
      </c>
      <c r="AH75" s="1183" t="s">
        <v>2012</v>
      </c>
      <c r="AS75" s="12" t="str">
        <f t="shared" si="29"/>
        <v>Power Attack (-9)</v>
      </c>
      <c r="AT75" s="3">
        <f t="shared" si="32"/>
        <v>-9</v>
      </c>
      <c r="AU75" s="3">
        <f t="shared" si="30"/>
        <v>9</v>
      </c>
      <c r="AV75" s="3">
        <f t="shared" si="31"/>
        <v>18</v>
      </c>
      <c r="AY75" s="3" t="s">
        <v>4083</v>
      </c>
      <c r="CR75" s="1704"/>
      <c r="CS75" s="1704"/>
      <c r="CT75" s="1704"/>
      <c r="CU75" s="1704"/>
      <c r="CV75" s="1704"/>
      <c r="CW75" s="1704"/>
      <c r="CX75" s="1704"/>
      <c r="CY75" s="1704"/>
      <c r="CZ75" s="1704"/>
      <c r="DA75" s="570" t="s">
        <v>195</v>
      </c>
      <c r="DB75" s="570" t="s">
        <v>195</v>
      </c>
      <c r="DC75" s="570" t="s">
        <v>195</v>
      </c>
      <c r="DD75" s="570" t="s">
        <v>195</v>
      </c>
      <c r="DE75" s="570" t="s">
        <v>195</v>
      </c>
      <c r="DF75" s="1104"/>
      <c r="DG75" s="1104"/>
      <c r="DW75" s="1358" t="s">
        <v>4003</v>
      </c>
      <c r="EV75" s="569" t="s">
        <v>2576</v>
      </c>
      <c r="EW75" s="1502"/>
      <c r="EX75" s="1502"/>
      <c r="EY75" s="1502"/>
      <c r="EZ75" s="1502"/>
      <c r="FA75" s="3" t="s">
        <v>1520</v>
      </c>
      <c r="FB75" s="3" t="s">
        <v>4083</v>
      </c>
      <c r="FC75" s="1502"/>
      <c r="FD75" s="1502"/>
      <c r="FE75" s="1502"/>
      <c r="FF75" s="1502"/>
      <c r="FG75" s="3" t="s">
        <v>7876</v>
      </c>
      <c r="FH75" s="1502" t="s">
        <v>57</v>
      </c>
      <c r="FI75" s="3" t="s">
        <v>57</v>
      </c>
      <c r="FJ75" s="955" t="s">
        <v>7177</v>
      </c>
      <c r="FK75" s="1511" t="s">
        <v>3841</v>
      </c>
      <c r="FL75" s="1493" t="s">
        <v>7824</v>
      </c>
      <c r="FM75" s="1512" t="s">
        <v>7126</v>
      </c>
      <c r="FN75" s="1512" t="s">
        <v>4022</v>
      </c>
      <c r="FO75" s="1512"/>
      <c r="FQ75" s="3"/>
      <c r="GC75" s="1512"/>
      <c r="GD75" s="597" t="str">
        <f t="shared" si="33"/>
        <v xml:space="preserve">// Improved Dark Transfer• Force, Technique
</v>
      </c>
      <c r="GG75" s="569"/>
      <c r="GH75" s="1515" t="s">
        <v>5911</v>
      </c>
      <c r="GI75" s="1512" t="str">
        <f t="shared" si="26"/>
        <v/>
      </c>
      <c r="GJ75" s="1512" t="str">
        <f t="shared" ca="1" si="27"/>
        <v/>
      </c>
      <c r="GK75" s="456" t="str">
        <f t="shared" si="28"/>
        <v xml:space="preserve">// Improved Dark Transfer• Force, Technique
</v>
      </c>
    </row>
    <row r="76" spans="8:193">
      <c r="H76" s="12" t="s">
        <v>597</v>
      </c>
      <c r="I76" s="3" t="s">
        <v>169</v>
      </c>
      <c r="J76" s="3">
        <v>200</v>
      </c>
      <c r="K76" s="3">
        <v>1</v>
      </c>
      <c r="P76" s="1176" t="s">
        <v>4017</v>
      </c>
      <c r="AB76" s="569" t="s">
        <v>3982</v>
      </c>
      <c r="AC76" s="1358" t="s">
        <v>4001</v>
      </c>
      <c r="AD76" s="581" t="str">
        <f t="shared" si="34"/>
        <v>Solusar Legacy (Embraced)</v>
      </c>
      <c r="AE76" s="616" t="s">
        <v>3985</v>
      </c>
      <c r="AF76" s="616" t="s">
        <v>3986</v>
      </c>
      <c r="AH76" s="1183" t="s">
        <v>2073</v>
      </c>
      <c r="AS76" s="12" t="str">
        <f t="shared" si="29"/>
        <v>Power Attack (-10)</v>
      </c>
      <c r="AT76" s="3">
        <f t="shared" si="32"/>
        <v>-10</v>
      </c>
      <c r="AU76" s="3">
        <f t="shared" si="30"/>
        <v>10</v>
      </c>
      <c r="AV76" s="3">
        <f t="shared" si="31"/>
        <v>20</v>
      </c>
      <c r="AY76" s="3" t="s">
        <v>4083</v>
      </c>
      <c r="CR76" s="1704"/>
      <c r="CS76" s="1704"/>
      <c r="CT76" s="1704"/>
      <c r="CU76" s="1704"/>
      <c r="CV76" s="1704"/>
      <c r="CW76" s="1704"/>
      <c r="CX76" s="1704"/>
      <c r="CY76" s="1704"/>
      <c r="CZ76" s="1704"/>
      <c r="DA76" s="570" t="s">
        <v>195</v>
      </c>
      <c r="DB76" s="570" t="s">
        <v>195</v>
      </c>
      <c r="DC76" s="570" t="s">
        <v>195</v>
      </c>
      <c r="DD76" s="570" t="s">
        <v>195</v>
      </c>
      <c r="DE76" s="570" t="s">
        <v>195</v>
      </c>
      <c r="DF76" s="1104"/>
      <c r="DG76" s="1104"/>
      <c r="DW76" s="1358" t="s">
        <v>4003</v>
      </c>
      <c r="EV76" s="1500" t="s">
        <v>2577</v>
      </c>
      <c r="EW76" s="1490"/>
      <c r="EX76" s="1490"/>
      <c r="EY76" s="1490"/>
      <c r="EZ76" s="1490"/>
      <c r="FA76" s="1491" t="s">
        <v>1520</v>
      </c>
      <c r="FB76" s="1490" t="s">
        <v>4083</v>
      </c>
      <c r="FC76" s="1490"/>
      <c r="FD76" s="1490"/>
      <c r="FE76" s="1490"/>
      <c r="FF76" s="1490"/>
      <c r="FG76" s="1491" t="str">
        <f>"Target takes a -2 penaity on attack rolls against any target other than "&amp;CharacterName&amp;" until the beginning of "&amp;PosPro&amp;" next turn"</f>
        <v>Target takes a -2 penaity on attack rolls against any target other than  until the beginning of its next turn</v>
      </c>
      <c r="FH76" s="1502" t="s">
        <v>57</v>
      </c>
      <c r="FI76" s="3" t="s">
        <v>57</v>
      </c>
      <c r="FJ76" s="1490" t="s">
        <v>7152</v>
      </c>
      <c r="FK76" s="1511" t="s">
        <v>3844</v>
      </c>
      <c r="FL76" s="1493" t="s">
        <v>7824</v>
      </c>
      <c r="FM76" s="1512" t="s">
        <v>7126</v>
      </c>
      <c r="FN76" s="1512" t="s">
        <v>4022</v>
      </c>
      <c r="FO76" s="1512"/>
      <c r="GC76" s="1512"/>
      <c r="GD76" s="597" t="str">
        <f t="shared" si="33"/>
        <v xml:space="preserve">// Improved Detonate• Force, Technique
</v>
      </c>
      <c r="GG76" s="569"/>
      <c r="GH76" s="1515" t="s">
        <v>5933</v>
      </c>
      <c r="GI76" s="1512" t="str">
        <f t="shared" si="26"/>
        <v/>
      </c>
      <c r="GJ76" s="1512" t="str">
        <f t="shared" ca="1" si="27"/>
        <v/>
      </c>
      <c r="GK76" s="456" t="str">
        <f t="shared" si="28"/>
        <v xml:space="preserve">// Improved Detonate• Force, Technique
</v>
      </c>
    </row>
    <row r="77" spans="8:193">
      <c r="H77" s="12" t="s">
        <v>768</v>
      </c>
      <c r="I77" s="3" t="s">
        <v>169</v>
      </c>
      <c r="J77" s="3">
        <v>500</v>
      </c>
      <c r="K77" s="3">
        <v>1</v>
      </c>
      <c r="P77" s="1176" t="s">
        <v>768</v>
      </c>
      <c r="AB77" s="569" t="s">
        <v>3983</v>
      </c>
      <c r="AC77" s="1358" t="s">
        <v>6647</v>
      </c>
      <c r="AD77" s="581" t="str">
        <f t="shared" si="34"/>
        <v>Tetsu (clan) Legacy (Denied)</v>
      </c>
      <c r="AE77" s="616" t="s">
        <v>3985</v>
      </c>
      <c r="AF77" s="616" t="s">
        <v>3986</v>
      </c>
      <c r="AH77" s="1183" t="s">
        <v>2081</v>
      </c>
      <c r="AS77" s="12" t="str">
        <f t="shared" si="29"/>
        <v>Power Attack (-11)</v>
      </c>
      <c r="AT77" s="3">
        <f t="shared" si="32"/>
        <v>-11</v>
      </c>
      <c r="AU77" s="3">
        <f t="shared" si="30"/>
        <v>11</v>
      </c>
      <c r="AV77" s="3">
        <f t="shared" si="31"/>
        <v>22</v>
      </c>
      <c r="AY77" s="3" t="s">
        <v>4083</v>
      </c>
      <c r="CR77" s="1704"/>
      <c r="CS77" s="1704"/>
      <c r="CT77" s="1704"/>
      <c r="CU77" s="1704"/>
      <c r="CV77" s="1704"/>
      <c r="CW77" s="1704"/>
      <c r="CX77" s="1704"/>
      <c r="CY77" s="1704"/>
      <c r="CZ77" s="1704"/>
      <c r="DA77" s="570" t="s">
        <v>195</v>
      </c>
      <c r="DB77" s="570" t="s">
        <v>195</v>
      </c>
      <c r="DC77" s="570" t="s">
        <v>195</v>
      </c>
      <c r="DD77" s="570" t="s">
        <v>195</v>
      </c>
      <c r="DE77" s="570" t="s">
        <v>195</v>
      </c>
      <c r="DF77" s="1104"/>
      <c r="DG77" s="1104"/>
      <c r="DW77" s="1358" t="s">
        <v>4004</v>
      </c>
      <c r="EV77" s="1490" t="s">
        <v>2579</v>
      </c>
      <c r="EW77" s="1490"/>
      <c r="EX77" s="1490"/>
      <c r="EY77" s="1490"/>
      <c r="EZ77" s="1490"/>
      <c r="FA77" s="1491" t="s">
        <v>1520</v>
      </c>
      <c r="FB77" s="1490" t="s">
        <v>4083</v>
      </c>
      <c r="FC77" s="1490"/>
      <c r="FD77" s="1490"/>
      <c r="FE77" s="1490"/>
      <c r="FF77" s="1490"/>
      <c r="FG77" s="1491" t="s">
        <v>7877</v>
      </c>
      <c r="FH77" s="1502" t="s">
        <v>57</v>
      </c>
      <c r="FI77" s="3" t="s">
        <v>57</v>
      </c>
      <c r="FJ77" s="1490" t="s">
        <v>230</v>
      </c>
      <c r="FK77" s="1511" t="s">
        <v>3846</v>
      </c>
      <c r="FL77" s="1493" t="s">
        <v>7824</v>
      </c>
      <c r="FM77" s="1512" t="s">
        <v>7126</v>
      </c>
      <c r="FN77" s="1512" t="s">
        <v>4022</v>
      </c>
      <c r="FO77" s="1512"/>
      <c r="GC77" s="1512"/>
      <c r="GD77" s="597" t="str">
        <f t="shared" si="33"/>
        <v xml:space="preserve">// Improved Energy Resistance• Force, Technique
</v>
      </c>
      <c r="GG77" s="569"/>
      <c r="GH77" s="1515" t="s">
        <v>5911</v>
      </c>
      <c r="GI77" s="1512" t="str">
        <f t="shared" si="26"/>
        <v/>
      </c>
      <c r="GJ77" s="1512" t="str">
        <f t="shared" ca="1" si="27"/>
        <v/>
      </c>
      <c r="GK77" s="456" t="str">
        <f t="shared" si="28"/>
        <v xml:space="preserve">// Improved Energy Resistance• Force, Technique
</v>
      </c>
    </row>
    <row r="78" spans="8:193">
      <c r="H78" s="12" t="s">
        <v>871</v>
      </c>
      <c r="I78" s="3" t="s">
        <v>169</v>
      </c>
      <c r="J78" s="3">
        <v>500</v>
      </c>
      <c r="K78" s="3">
        <v>1</v>
      </c>
      <c r="N78" s="3" t="s">
        <v>497</v>
      </c>
      <c r="P78" s="1176" t="s">
        <v>872</v>
      </c>
      <c r="Q78" s="1177" t="s">
        <v>872</v>
      </c>
      <c r="AB78" s="569" t="s">
        <v>3982</v>
      </c>
      <c r="AC78" s="1358" t="s">
        <v>6647</v>
      </c>
      <c r="AD78" s="581" t="str">
        <f t="shared" si="34"/>
        <v>Tetsu (clan) Legacy (Embraced)</v>
      </c>
      <c r="AE78" s="616" t="s">
        <v>3985</v>
      </c>
      <c r="AF78" s="616" t="s">
        <v>3986</v>
      </c>
      <c r="AH78" s="1183" t="s">
        <v>1649</v>
      </c>
      <c r="AS78" s="12" t="str">
        <f t="shared" si="29"/>
        <v>Power Attack (-12)</v>
      </c>
      <c r="AT78" s="3">
        <f t="shared" si="32"/>
        <v>-12</v>
      </c>
      <c r="AU78" s="3">
        <f t="shared" si="30"/>
        <v>12</v>
      </c>
      <c r="AV78" s="3">
        <f t="shared" si="31"/>
        <v>24</v>
      </c>
      <c r="AY78" s="3" t="s">
        <v>4083</v>
      </c>
      <c r="CR78" s="1704"/>
      <c r="CS78" s="1704"/>
      <c r="CT78" s="1704"/>
      <c r="CU78" s="1704"/>
      <c r="CV78" s="1704"/>
      <c r="CW78" s="1704"/>
      <c r="CX78" s="1704"/>
      <c r="CY78" s="1704"/>
      <c r="CZ78" s="1704"/>
      <c r="DA78" s="570" t="s">
        <v>195</v>
      </c>
      <c r="DB78" s="570" t="s">
        <v>195</v>
      </c>
      <c r="DC78" s="570" t="s">
        <v>195</v>
      </c>
      <c r="DD78" s="570" t="s">
        <v>195</v>
      </c>
      <c r="DE78" s="570" t="s">
        <v>195</v>
      </c>
      <c r="DF78" s="1104"/>
      <c r="DG78" s="1104"/>
      <c r="DW78" s="1358" t="s">
        <v>4004</v>
      </c>
      <c r="EV78" s="569" t="s">
        <v>2591</v>
      </c>
      <c r="EW78" s="1502"/>
      <c r="EX78" s="1502"/>
      <c r="EY78" s="1502"/>
      <c r="EZ78" s="1502"/>
      <c r="FA78" s="1502"/>
      <c r="FB78" s="569" t="s">
        <v>4083</v>
      </c>
      <c r="FC78" s="1502"/>
      <c r="FD78" s="1502"/>
      <c r="FE78" s="1502"/>
      <c r="FF78" s="1502"/>
      <c r="FG78" s="794" t="str">
        <f>"Deal +"&amp;ChaMod&amp;" damage against enemies with a dark side score"</f>
        <v>Deal + damage against enemies with a dark side score</v>
      </c>
      <c r="FH78" s="1502" t="s">
        <v>57</v>
      </c>
      <c r="FI78" s="3" t="s">
        <v>57</v>
      </c>
      <c r="FJ78" s="955" t="s">
        <v>7152</v>
      </c>
      <c r="FK78" s="1511" t="s">
        <v>3849</v>
      </c>
      <c r="FL78" s="1493" t="s">
        <v>7824</v>
      </c>
      <c r="FM78" s="1512" t="s">
        <v>7126</v>
      </c>
      <c r="FN78" s="1512" t="s">
        <v>4022</v>
      </c>
      <c r="FO78" s="1512"/>
      <c r="GC78" s="1512"/>
      <c r="GD78" s="597" t="str">
        <f t="shared" si="33"/>
        <v xml:space="preserve">// Improved Enlighten• Force, Technique
</v>
      </c>
      <c r="GG78" s="569"/>
      <c r="GH78" s="1515" t="s">
        <v>5909</v>
      </c>
      <c r="GI78" s="1512" t="str">
        <f t="shared" si="26"/>
        <v/>
      </c>
      <c r="GJ78" s="1512" t="str">
        <f t="shared" ca="1" si="27"/>
        <v/>
      </c>
      <c r="GK78" s="456" t="str">
        <f t="shared" si="28"/>
        <v xml:space="preserve">// Improved Enlighten• Force, Technique
</v>
      </c>
    </row>
    <row r="79" spans="8:193">
      <c r="H79" s="12" t="s">
        <v>970</v>
      </c>
      <c r="I79" s="3" t="s">
        <v>169</v>
      </c>
      <c r="J79" s="3">
        <v>200</v>
      </c>
      <c r="K79" s="3">
        <v>1</v>
      </c>
      <c r="P79" s="1176" t="s">
        <v>4018</v>
      </c>
      <c r="AB79" s="569" t="s">
        <v>3983</v>
      </c>
      <c r="AC79" s="1358" t="s">
        <v>4002</v>
      </c>
      <c r="AD79" s="581" t="str">
        <f t="shared" si="34"/>
        <v>Tion Legacy (Denied)</v>
      </c>
      <c r="AE79" s="616" t="s">
        <v>3985</v>
      </c>
      <c r="AF79" s="616" t="s">
        <v>3986</v>
      </c>
      <c r="AH79" s="1183" t="s">
        <v>2025</v>
      </c>
      <c r="AS79" s="12" t="str">
        <f t="shared" si="29"/>
        <v>Power Attack (-13)</v>
      </c>
      <c r="AT79" s="3">
        <f t="shared" si="32"/>
        <v>-13</v>
      </c>
      <c r="AU79" s="3">
        <f t="shared" si="30"/>
        <v>13</v>
      </c>
      <c r="AV79" s="3">
        <f t="shared" si="31"/>
        <v>26</v>
      </c>
      <c r="AY79" s="3" t="s">
        <v>4083</v>
      </c>
      <c r="CR79" s="1704"/>
      <c r="CS79" s="1704"/>
      <c r="CT79" s="1704"/>
      <c r="CU79" s="1704"/>
      <c r="CV79" s="1704"/>
      <c r="CW79" s="1704"/>
      <c r="CX79" s="1704"/>
      <c r="CY79" s="1704"/>
      <c r="CZ79" s="1704"/>
      <c r="DA79" s="570" t="s">
        <v>195</v>
      </c>
      <c r="DB79" s="570" t="s">
        <v>195</v>
      </c>
      <c r="DC79" s="570" t="s">
        <v>195</v>
      </c>
      <c r="DD79" s="570" t="s">
        <v>195</v>
      </c>
      <c r="DE79" s="570" t="s">
        <v>195</v>
      </c>
      <c r="DF79" s="1104"/>
      <c r="DG79" s="1104"/>
      <c r="EV79" s="569" t="s">
        <v>6209</v>
      </c>
      <c r="FA79" s="955" t="s">
        <v>1520</v>
      </c>
      <c r="FB79" s="569" t="s">
        <v>4083</v>
      </c>
      <c r="FG79" s="570" t="s">
        <v>7884</v>
      </c>
      <c r="FH79" s="1502" t="s">
        <v>57</v>
      </c>
      <c r="FI79" s="3" t="s">
        <v>57</v>
      </c>
      <c r="FJ79" s="955" t="s">
        <v>3814</v>
      </c>
      <c r="FK79" s="1511" t="s">
        <v>4271</v>
      </c>
      <c r="FL79" s="1493" t="s">
        <v>7824</v>
      </c>
      <c r="FM79" s="1512" t="s">
        <v>7126</v>
      </c>
      <c r="FN79" s="1512" t="s">
        <v>4022</v>
      </c>
      <c r="FO79" s="1512"/>
      <c r="GC79" s="1512"/>
      <c r="GD79" s="597" t="str">
        <f t="shared" si="33"/>
        <v xml:space="preserve">// Improved Fold Space• Force, Technique
</v>
      </c>
      <c r="GG79" s="569"/>
      <c r="GH79" s="1515">
        <v>103</v>
      </c>
      <c r="GI79" s="1512" t="str">
        <f t="shared" si="26"/>
        <v/>
      </c>
      <c r="GJ79" s="1512" t="str">
        <f t="shared" ca="1" si="27"/>
        <v/>
      </c>
      <c r="GK79" s="456" t="str">
        <f t="shared" si="28"/>
        <v xml:space="preserve">// Improved Fold Space• Force, Technique
</v>
      </c>
    </row>
    <row r="80" spans="8:193">
      <c r="H80" s="12" t="s">
        <v>985</v>
      </c>
      <c r="I80" s="3" t="s">
        <v>169</v>
      </c>
      <c r="J80" s="3">
        <v>100</v>
      </c>
      <c r="K80" s="3">
        <v>0</v>
      </c>
      <c r="P80" s="1176" t="s">
        <v>4019</v>
      </c>
      <c r="AB80" s="569" t="s">
        <v>3982</v>
      </c>
      <c r="AC80" s="1358" t="s">
        <v>4002</v>
      </c>
      <c r="AD80" s="581" t="str">
        <f t="shared" si="34"/>
        <v>Tion Legacy (Embraced)</v>
      </c>
      <c r="AE80" s="616" t="s">
        <v>3985</v>
      </c>
      <c r="AF80" s="616" t="s">
        <v>3986</v>
      </c>
      <c r="AH80" s="1183" t="s">
        <v>2030</v>
      </c>
      <c r="AS80" s="12" t="str">
        <f t="shared" si="29"/>
        <v>Power Attack (-14)</v>
      </c>
      <c r="AT80" s="3">
        <f t="shared" si="32"/>
        <v>-14</v>
      </c>
      <c r="AU80" s="3">
        <f t="shared" si="30"/>
        <v>14</v>
      </c>
      <c r="AV80" s="3">
        <f t="shared" si="31"/>
        <v>28</v>
      </c>
      <c r="AY80" s="3" t="s">
        <v>4083</v>
      </c>
      <c r="CR80" s="1704"/>
      <c r="CS80" s="1704"/>
      <c r="CT80" s="1704"/>
      <c r="CU80" s="1704"/>
      <c r="CV80" s="1704"/>
      <c r="CW80" s="1704"/>
      <c r="CX80" s="1704"/>
      <c r="CY80" s="1704"/>
      <c r="CZ80" s="1704"/>
      <c r="DA80" s="570" t="s">
        <v>195</v>
      </c>
      <c r="DB80" s="570" t="s">
        <v>195</v>
      </c>
      <c r="DC80" s="570" t="s">
        <v>195</v>
      </c>
      <c r="DD80" s="570" t="s">
        <v>195</v>
      </c>
      <c r="DE80" s="570" t="s">
        <v>195</v>
      </c>
      <c r="DF80" s="1104"/>
      <c r="DG80" s="1104"/>
      <c r="EV80" s="569" t="s">
        <v>6815</v>
      </c>
      <c r="FA80" s="955" t="s">
        <v>1520</v>
      </c>
      <c r="FB80" s="569" t="s">
        <v>4083</v>
      </c>
      <c r="FG80" s="570" t="str">
        <f>"+1 die of damage if only "&amp;CharacterName&amp;" dealt damage to target since last turn"</f>
        <v>+1 die of damage if only  dealt damage to target since last turn</v>
      </c>
      <c r="FH80" s="1502" t="s">
        <v>57</v>
      </c>
      <c r="FI80" s="3" t="s">
        <v>57</v>
      </c>
      <c r="FJ80" s="569" t="s">
        <v>7885</v>
      </c>
      <c r="FK80" s="1511" t="s">
        <v>3852</v>
      </c>
      <c r="FL80" s="1493" t="s">
        <v>7824</v>
      </c>
      <c r="FM80" s="1512" t="s">
        <v>7126</v>
      </c>
      <c r="FN80" s="1512" t="s">
        <v>4022</v>
      </c>
      <c r="FO80" s="1512"/>
      <c r="GC80" s="1512"/>
      <c r="GD80" s="597" t="str">
        <f t="shared" si="33"/>
        <v xml:space="preserve">// Improved Force Disarm• Force, Technique
</v>
      </c>
      <c r="GG80" s="569"/>
      <c r="GH80" s="1515">
        <v>103</v>
      </c>
      <c r="GI80" s="1512" t="str">
        <f t="shared" si="26"/>
        <v/>
      </c>
      <c r="GJ80" s="1512" t="str">
        <f t="shared" ca="1" si="27"/>
        <v/>
      </c>
      <c r="GK80" s="456" t="str">
        <f t="shared" si="28"/>
        <v xml:space="preserve">// Improved Force Disarm• Force, Technique
</v>
      </c>
    </row>
    <row r="81" spans="8:193">
      <c r="H81" s="12" t="s">
        <v>1075</v>
      </c>
      <c r="I81" s="3" t="s">
        <v>169</v>
      </c>
      <c r="J81" s="3">
        <v>600</v>
      </c>
      <c r="K81" s="3">
        <v>1</v>
      </c>
      <c r="P81" s="1176" t="s">
        <v>4021</v>
      </c>
      <c r="AB81" s="569" t="s">
        <v>3983</v>
      </c>
      <c r="AC81" s="1358" t="s">
        <v>6641</v>
      </c>
      <c r="AD81" s="581" t="str">
        <f t="shared" si="34"/>
        <v>Try'lis Legacy (Denied)</v>
      </c>
      <c r="AE81" s="616" t="s">
        <v>3985</v>
      </c>
      <c r="AF81" s="616" t="s">
        <v>3986</v>
      </c>
      <c r="AH81" s="1183" t="s">
        <v>8875</v>
      </c>
      <c r="AS81" s="12" t="str">
        <f t="shared" si="29"/>
        <v>Power Attack (-15)</v>
      </c>
      <c r="AT81" s="3">
        <f t="shared" si="32"/>
        <v>-15</v>
      </c>
      <c r="AU81" s="3">
        <f t="shared" si="30"/>
        <v>15</v>
      </c>
      <c r="AV81" s="3">
        <f t="shared" si="31"/>
        <v>30</v>
      </c>
      <c r="AY81" s="3" t="s">
        <v>4083</v>
      </c>
      <c r="CR81" s="1704"/>
      <c r="CS81" s="1704"/>
      <c r="CT81" s="1704"/>
      <c r="CU81" s="1704"/>
      <c r="CV81" s="1704"/>
      <c r="CW81" s="1704"/>
      <c r="CX81" s="1704"/>
      <c r="CY81" s="1704"/>
      <c r="CZ81" s="1704"/>
      <c r="DA81" s="570" t="s">
        <v>195</v>
      </c>
      <c r="DB81" s="570" t="s">
        <v>195</v>
      </c>
      <c r="DC81" s="570" t="s">
        <v>195</v>
      </c>
      <c r="DD81" s="570" t="s">
        <v>195</v>
      </c>
      <c r="DE81" s="570" t="s">
        <v>195</v>
      </c>
      <c r="DF81" s="1104"/>
      <c r="DG81" s="1104"/>
      <c r="EV81" s="569" t="s">
        <v>2593</v>
      </c>
      <c r="FA81" s="955" t="s">
        <v>1520</v>
      </c>
      <c r="FB81" s="569" t="s">
        <v>4083</v>
      </c>
      <c r="FG81" s="954" t="str">
        <f>"+"&amp;Talents!M57&amp;"d6 if target is flat-footed"</f>
        <v>+0d6 if target is flat-footed</v>
      </c>
      <c r="FH81" s="1502" t="s">
        <v>57</v>
      </c>
      <c r="FI81" s="3" t="s">
        <v>57</v>
      </c>
      <c r="FJ81" s="569" t="s">
        <v>3813</v>
      </c>
      <c r="FK81" s="1511" t="s">
        <v>3855</v>
      </c>
      <c r="FL81" s="1493" t="s">
        <v>7824</v>
      </c>
      <c r="FM81" s="1512" t="s">
        <v>7126</v>
      </c>
      <c r="FN81" s="1512" t="s">
        <v>4022</v>
      </c>
      <c r="FO81" s="1512"/>
      <c r="GC81" s="1512"/>
      <c r="GD81" s="597" t="str">
        <f t="shared" si="33"/>
        <v xml:space="preserve">// Improved Force Grip• Force, Technique
</v>
      </c>
      <c r="GG81" s="569"/>
      <c r="GH81" s="1515" t="s">
        <v>5933</v>
      </c>
      <c r="GI81" s="1512" t="str">
        <f t="shared" si="26"/>
        <v/>
      </c>
      <c r="GJ81" s="1512" t="str">
        <f t="shared" ca="1" si="27"/>
        <v/>
      </c>
      <c r="GK81" s="456" t="str">
        <f t="shared" si="28"/>
        <v xml:space="preserve">// Improved Force Grip• Force, Technique
</v>
      </c>
    </row>
    <row r="82" spans="8:193">
      <c r="H82" s="12" t="s">
        <v>1115</v>
      </c>
      <c r="I82" s="3" t="s">
        <v>169</v>
      </c>
      <c r="J82" s="3">
        <v>2500</v>
      </c>
      <c r="K82" s="3">
        <v>1</v>
      </c>
      <c r="P82" s="1176" t="s">
        <v>1116</v>
      </c>
      <c r="Q82" s="1177" t="s">
        <v>1116</v>
      </c>
      <c r="AB82" s="569" t="s">
        <v>3982</v>
      </c>
      <c r="AC82" s="1358" t="s">
        <v>6641</v>
      </c>
      <c r="AD82" s="581" t="str">
        <f t="shared" si="34"/>
        <v>Try'lis Legacy (Embraced)</v>
      </c>
      <c r="AE82" s="616" t="s">
        <v>3985</v>
      </c>
      <c r="AF82" s="616" t="s">
        <v>3986</v>
      </c>
      <c r="AH82" s="1183" t="s">
        <v>2076</v>
      </c>
      <c r="AS82" s="12" t="str">
        <f t="shared" si="29"/>
        <v>Power Attack (-16)</v>
      </c>
      <c r="AT82" s="3">
        <f t="shared" si="32"/>
        <v>-16</v>
      </c>
      <c r="AU82" s="3">
        <f t="shared" si="30"/>
        <v>16</v>
      </c>
      <c r="AV82" s="3">
        <f t="shared" si="31"/>
        <v>32</v>
      </c>
      <c r="AY82" s="3" t="s">
        <v>4083</v>
      </c>
      <c r="CR82" s="1704"/>
      <c r="CS82" s="1704"/>
      <c r="CT82" s="1704"/>
      <c r="CU82" s="1704"/>
      <c r="CV82" s="1704"/>
      <c r="CW82" s="1704"/>
      <c r="CX82" s="1704"/>
      <c r="CY82" s="1704"/>
      <c r="CZ82" s="1704"/>
      <c r="DA82" s="570" t="s">
        <v>195</v>
      </c>
      <c r="DB82" s="570" t="s">
        <v>195</v>
      </c>
      <c r="DC82" s="570" t="s">
        <v>195</v>
      </c>
      <c r="DD82" s="570" t="s">
        <v>195</v>
      </c>
      <c r="DE82" s="570" t="s">
        <v>195</v>
      </c>
      <c r="DF82" s="1104"/>
      <c r="DG82" s="1104"/>
      <c r="EV82" s="569"/>
      <c r="FK82" s="1511" t="s">
        <v>4272</v>
      </c>
      <c r="FL82" s="1493" t="s">
        <v>7824</v>
      </c>
      <c r="FM82" s="1512" t="s">
        <v>7126</v>
      </c>
      <c r="FN82" s="1512" t="s">
        <v>4022</v>
      </c>
      <c r="FO82" s="1512"/>
      <c r="GC82" s="1512"/>
      <c r="GD82" s="597" t="str">
        <f t="shared" si="33"/>
        <v xml:space="preserve">// Improved Force Light• Force, Technique
</v>
      </c>
      <c r="GG82" s="569"/>
      <c r="GH82" s="1515" t="s">
        <v>5936</v>
      </c>
      <c r="GI82" s="1512" t="str">
        <f t="shared" si="26"/>
        <v/>
      </c>
      <c r="GJ82" s="1512" t="str">
        <f t="shared" ca="1" si="27"/>
        <v/>
      </c>
      <c r="GK82" s="456" t="str">
        <f t="shared" si="28"/>
        <v xml:space="preserve">// Improved Force Light• Force, Technique
</v>
      </c>
    </row>
    <row r="83" spans="8:193">
      <c r="H83" s="12" t="s">
        <v>1192</v>
      </c>
      <c r="I83" s="3" t="s">
        <v>169</v>
      </c>
      <c r="J83" s="3">
        <v>300</v>
      </c>
      <c r="K83" s="3">
        <v>1</v>
      </c>
      <c r="P83" s="1176" t="s">
        <v>1193</v>
      </c>
      <c r="Q83" s="1177" t="s">
        <v>1193</v>
      </c>
      <c r="AB83" s="569" t="s">
        <v>3983</v>
      </c>
      <c r="AC83" s="1358" t="s">
        <v>4011</v>
      </c>
      <c r="AD83" s="581" t="str">
        <f t="shared" si="34"/>
        <v>Vao Legacy (Denied)</v>
      </c>
      <c r="AE83" s="616" t="s">
        <v>3985</v>
      </c>
      <c r="AF83" s="616" t="s">
        <v>3986</v>
      </c>
      <c r="AH83" s="1183" t="s">
        <v>2035</v>
      </c>
      <c r="AS83" s="12" t="str">
        <f t="shared" si="29"/>
        <v>Power Attack (-17)</v>
      </c>
      <c r="AT83" s="3">
        <f t="shared" si="32"/>
        <v>-17</v>
      </c>
      <c r="AU83" s="3">
        <f t="shared" si="30"/>
        <v>17</v>
      </c>
      <c r="AV83" s="3">
        <f t="shared" si="31"/>
        <v>34</v>
      </c>
      <c r="AY83" s="3" t="s">
        <v>4083</v>
      </c>
      <c r="CR83" s="1704"/>
      <c r="CS83" s="1704"/>
      <c r="CT83" s="1704"/>
      <c r="CU83" s="1704"/>
      <c r="CV83" s="1704"/>
      <c r="CW83" s="1704"/>
      <c r="CX83" s="1704"/>
      <c r="CY83" s="1704"/>
      <c r="CZ83" s="1704"/>
      <c r="DA83" s="570" t="s">
        <v>195</v>
      </c>
      <c r="DB83" s="570" t="s">
        <v>195</v>
      </c>
      <c r="DC83" s="570" t="s">
        <v>195</v>
      </c>
      <c r="DD83" s="570" t="s">
        <v>195</v>
      </c>
      <c r="DE83" s="570" t="s">
        <v>195</v>
      </c>
      <c r="DF83" s="1104"/>
      <c r="DG83" s="1104"/>
      <c r="FK83" s="1511" t="s">
        <v>3858</v>
      </c>
      <c r="FL83" s="1493" t="s">
        <v>7824</v>
      </c>
      <c r="FM83" s="1512" t="s">
        <v>7126</v>
      </c>
      <c r="FN83" s="1512" t="s">
        <v>4022</v>
      </c>
      <c r="FO83" s="1512"/>
      <c r="GC83" s="1512"/>
      <c r="GD83" s="597" t="str">
        <f t="shared" si="33"/>
        <v xml:space="preserve">// Improved Force Lightning• Force, Technique
</v>
      </c>
      <c r="GG83" s="569"/>
      <c r="GH83" s="1515" t="s">
        <v>5933</v>
      </c>
      <c r="GI83" s="1512" t="str">
        <f t="shared" si="26"/>
        <v/>
      </c>
      <c r="GJ83" s="1512" t="str">
        <f t="shared" ca="1" si="27"/>
        <v/>
      </c>
      <c r="GK83" s="456" t="str">
        <f t="shared" si="28"/>
        <v xml:space="preserve">// Improved Force Lightning• Force, Technique
</v>
      </c>
    </row>
    <row r="84" spans="8:193">
      <c r="H84" s="12" t="s">
        <v>1213</v>
      </c>
      <c r="I84" s="3" t="s">
        <v>169</v>
      </c>
      <c r="J84" s="3">
        <v>100</v>
      </c>
      <c r="K84" s="3">
        <v>0</v>
      </c>
      <c r="P84" s="1176" t="s">
        <v>4020</v>
      </c>
      <c r="AB84" s="569" t="s">
        <v>3982</v>
      </c>
      <c r="AC84" s="1358" t="s">
        <v>4011</v>
      </c>
      <c r="AD84" s="581" t="str">
        <f t="shared" si="34"/>
        <v>Vao Legacy (Embraced)</v>
      </c>
      <c r="AE84" s="616" t="s">
        <v>3985</v>
      </c>
      <c r="AF84" s="616" t="s">
        <v>3986</v>
      </c>
      <c r="AH84" s="1183" t="s">
        <v>8752</v>
      </c>
      <c r="AS84" s="12" t="str">
        <f t="shared" si="29"/>
        <v>Power Attack (-18)</v>
      </c>
      <c r="AT84" s="3">
        <f t="shared" si="32"/>
        <v>-18</v>
      </c>
      <c r="AU84" s="3">
        <f t="shared" si="30"/>
        <v>18</v>
      </c>
      <c r="AV84" s="3">
        <f t="shared" si="31"/>
        <v>36</v>
      </c>
      <c r="AY84" s="3" t="s">
        <v>4083</v>
      </c>
      <c r="CR84" s="1704"/>
      <c r="CS84" s="1704"/>
      <c r="CT84" s="1704"/>
      <c r="CU84" s="1704"/>
      <c r="CV84" s="1704"/>
      <c r="CW84" s="1704"/>
      <c r="CX84" s="1704"/>
      <c r="CY84" s="1704"/>
      <c r="CZ84" s="1704"/>
      <c r="DA84" s="570" t="s">
        <v>195</v>
      </c>
      <c r="DB84" s="570" t="s">
        <v>195</v>
      </c>
      <c r="DC84" s="570" t="s">
        <v>195</v>
      </c>
      <c r="DD84" s="570" t="s">
        <v>195</v>
      </c>
      <c r="DE84" s="570" t="s">
        <v>195</v>
      </c>
      <c r="DF84" s="1104"/>
      <c r="DG84" s="1104"/>
      <c r="FK84" s="1511" t="s">
        <v>5937</v>
      </c>
      <c r="FL84" s="1493" t="s">
        <v>7824</v>
      </c>
      <c r="FM84" s="1512" t="s">
        <v>7126</v>
      </c>
      <c r="FN84" s="1512" t="s">
        <v>4022</v>
      </c>
      <c r="FO84" s="1512"/>
      <c r="GC84" s="1512"/>
      <c r="GD84" s="597" t="str">
        <f t="shared" si="33"/>
        <v xml:space="preserve">// Improved Force Shield• Force, Technique
</v>
      </c>
      <c r="GG84" s="569"/>
      <c r="GH84" s="1515">
        <v>103</v>
      </c>
      <c r="GI84" s="1512" t="str">
        <f t="shared" si="26"/>
        <v/>
      </c>
      <c r="GJ84" s="1512" t="str">
        <f t="shared" ca="1" si="27"/>
        <v/>
      </c>
      <c r="GK84" s="456" t="str">
        <f t="shared" si="28"/>
        <v xml:space="preserve">// Improved Force Shield• Force, Technique
</v>
      </c>
    </row>
    <row r="85" spans="8:193">
      <c r="H85" s="683"/>
      <c r="I85" s="794"/>
      <c r="AB85" s="569" t="s">
        <v>3983</v>
      </c>
      <c r="AC85" s="1358" t="s">
        <v>4003</v>
      </c>
      <c r="AD85" s="581" t="str">
        <f t="shared" si="34"/>
        <v>Whitesun Legacy (Denied)</v>
      </c>
      <c r="AE85" s="616" t="s">
        <v>3985</v>
      </c>
      <c r="AF85" s="616" t="s">
        <v>3986</v>
      </c>
      <c r="AH85" s="1183" t="s">
        <v>2037</v>
      </c>
      <c r="AS85" s="12" t="str">
        <f t="shared" si="29"/>
        <v>Power Attack (-19)</v>
      </c>
      <c r="AT85" s="3">
        <f t="shared" si="32"/>
        <v>-19</v>
      </c>
      <c r="AU85" s="3">
        <f t="shared" si="30"/>
        <v>19</v>
      </c>
      <c r="AV85" s="3">
        <f t="shared" si="31"/>
        <v>38</v>
      </c>
      <c r="AY85" s="3" t="s">
        <v>4083</v>
      </c>
      <c r="CR85" s="1704"/>
      <c r="CS85" s="1704"/>
      <c r="CT85" s="1704"/>
      <c r="CU85" s="1704"/>
      <c r="CV85" s="1704"/>
      <c r="CW85" s="1704"/>
      <c r="CX85" s="1704"/>
      <c r="CY85" s="1704"/>
      <c r="CZ85" s="1704"/>
      <c r="DA85" s="570" t="s">
        <v>195</v>
      </c>
      <c r="DB85" s="570" t="s">
        <v>195</v>
      </c>
      <c r="DC85" s="570" t="s">
        <v>195</v>
      </c>
      <c r="DD85" s="570" t="s">
        <v>195</v>
      </c>
      <c r="DE85" s="570" t="s">
        <v>195</v>
      </c>
      <c r="DF85" s="1104"/>
      <c r="DG85" s="1104"/>
      <c r="FK85" s="1511" t="s">
        <v>3862</v>
      </c>
      <c r="FL85" s="1493" t="s">
        <v>7824</v>
      </c>
      <c r="FM85" s="1512" t="s">
        <v>7126</v>
      </c>
      <c r="FN85" s="1512" t="s">
        <v>4022</v>
      </c>
      <c r="FO85" s="1512"/>
      <c r="GC85" s="1512"/>
      <c r="GD85" s="597" t="str">
        <f t="shared" si="33"/>
        <v xml:space="preserve">// Improved Force Slam• Force, Technique
</v>
      </c>
      <c r="GG85" s="569"/>
      <c r="GH85" s="1515" t="s">
        <v>5938</v>
      </c>
      <c r="GI85" s="1512" t="str">
        <f t="shared" si="26"/>
        <v/>
      </c>
      <c r="GJ85" s="1512" t="str">
        <f t="shared" ca="1" si="27"/>
        <v/>
      </c>
      <c r="GK85" s="456" t="str">
        <f t="shared" si="28"/>
        <v xml:space="preserve">// Improved Force Slam• Force, Technique
</v>
      </c>
    </row>
    <row r="86" spans="8:193">
      <c r="AB86" s="569" t="s">
        <v>3982</v>
      </c>
      <c r="AC86" s="1358" t="s">
        <v>4003</v>
      </c>
      <c r="AD86" s="581" t="str">
        <f t="shared" si="34"/>
        <v>Whitesun Legacy (Embraced)</v>
      </c>
      <c r="AE86" s="616" t="s">
        <v>3985</v>
      </c>
      <c r="AF86" s="616" t="s">
        <v>3986</v>
      </c>
      <c r="AH86" s="1184" t="s">
        <v>7320</v>
      </c>
      <c r="AS86" s="12" t="str">
        <f t="shared" si="29"/>
        <v>Power Attack (-20)</v>
      </c>
      <c r="AT86" s="3">
        <f t="shared" si="32"/>
        <v>-20</v>
      </c>
      <c r="AU86" s="3">
        <f t="shared" si="30"/>
        <v>20</v>
      </c>
      <c r="AV86" s="3">
        <f t="shared" si="31"/>
        <v>40</v>
      </c>
      <c r="AY86" s="3" t="s">
        <v>4083</v>
      </c>
      <c r="CR86" s="1704"/>
      <c r="CS86" s="1704"/>
      <c r="CT86" s="1704"/>
      <c r="CU86" s="1704"/>
      <c r="CV86" s="1704"/>
      <c r="CW86" s="1704"/>
      <c r="CX86" s="1704"/>
      <c r="CY86" s="1704"/>
      <c r="CZ86" s="1704"/>
      <c r="DA86" s="570" t="s">
        <v>195</v>
      </c>
      <c r="DB86" s="570" t="s">
        <v>195</v>
      </c>
      <c r="DC86" s="570" t="s">
        <v>195</v>
      </c>
      <c r="DD86" s="570" t="s">
        <v>195</v>
      </c>
      <c r="DE86" s="570" t="s">
        <v>195</v>
      </c>
      <c r="DF86" s="1104"/>
      <c r="DG86" s="1104"/>
      <c r="FK86" s="1511" t="s">
        <v>3865</v>
      </c>
      <c r="FL86" s="1493" t="s">
        <v>7824</v>
      </c>
      <c r="FM86" s="1512" t="s">
        <v>7126</v>
      </c>
      <c r="FN86" s="1512" t="s">
        <v>4022</v>
      </c>
      <c r="FO86" s="1512"/>
      <c r="GC86" s="1512"/>
      <c r="GD86" s="597" t="str">
        <f t="shared" si="33"/>
        <v xml:space="preserve">// Improved Force Storm• Force, Technique
</v>
      </c>
      <c r="GG86" s="569"/>
      <c r="GH86" s="1515" t="s">
        <v>5909</v>
      </c>
      <c r="GI86" s="1512" t="str">
        <f t="shared" si="26"/>
        <v/>
      </c>
      <c r="GJ86" s="1512" t="str">
        <f t="shared" ca="1" si="27"/>
        <v/>
      </c>
      <c r="GK86" s="456" t="str">
        <f t="shared" si="28"/>
        <v xml:space="preserve">// Improved Force Storm• Force, Technique
</v>
      </c>
    </row>
    <row r="87" spans="8:193">
      <c r="AB87" s="569" t="s">
        <v>3983</v>
      </c>
      <c r="AC87" s="1358" t="s">
        <v>4004</v>
      </c>
      <c r="AD87" s="581" t="str">
        <f t="shared" si="34"/>
        <v>Yage Legacy (Denied)</v>
      </c>
      <c r="AE87" s="616" t="s">
        <v>3985</v>
      </c>
      <c r="AF87" s="616" t="s">
        <v>3986</v>
      </c>
      <c r="AH87" s="1183" t="s">
        <v>2043</v>
      </c>
      <c r="AS87" s="12" t="str">
        <f t="shared" ref="AS87:AS106" si="35">"Power Blast (-"&amp;AU87&amp;")"</f>
        <v>Power Blast (-21)</v>
      </c>
      <c r="AT87" s="3">
        <f t="shared" si="32"/>
        <v>-21</v>
      </c>
      <c r="AU87" s="3">
        <f>AU86+1</f>
        <v>21</v>
      </c>
      <c r="AV87" s="3">
        <f t="shared" si="31"/>
        <v>42</v>
      </c>
      <c r="AY87" s="3" t="s">
        <v>4084</v>
      </c>
      <c r="AZ87" s="936" t="s">
        <v>202</v>
      </c>
      <c r="CR87" s="1704"/>
      <c r="CS87" s="1704"/>
      <c r="CT87" s="1704"/>
      <c r="CU87" s="1704"/>
      <c r="CV87" s="1704"/>
      <c r="CW87" s="1704"/>
      <c r="CX87" s="1704"/>
      <c r="CY87" s="1704"/>
      <c r="CZ87" s="1704"/>
      <c r="DA87" s="570" t="s">
        <v>195</v>
      </c>
      <c r="DB87" s="570" t="s">
        <v>195</v>
      </c>
      <c r="DC87" s="570" t="s">
        <v>195</v>
      </c>
      <c r="DD87" s="570" t="s">
        <v>195</v>
      </c>
      <c r="DE87" s="570" t="s">
        <v>195</v>
      </c>
      <c r="DF87" s="1104"/>
      <c r="DG87" s="1104"/>
      <c r="FK87" s="1511" t="s">
        <v>4273</v>
      </c>
      <c r="FL87" s="1493" t="s">
        <v>7824</v>
      </c>
      <c r="FM87" s="1512" t="s">
        <v>7126</v>
      </c>
      <c r="FN87" s="1512" t="s">
        <v>4022</v>
      </c>
      <c r="FO87" s="1512"/>
      <c r="GC87" s="1512"/>
      <c r="GD87" s="597" t="str">
        <f t="shared" si="33"/>
        <v xml:space="preserve">// Improved Force Storm (JATM)• Force, Technique
</v>
      </c>
      <c r="GG87" s="569"/>
      <c r="GH87" s="1515" t="s">
        <v>5909</v>
      </c>
      <c r="GI87" s="1512" t="str">
        <f t="shared" si="26"/>
        <v/>
      </c>
      <c r="GJ87" s="1512" t="str">
        <f t="shared" ca="1" si="27"/>
        <v/>
      </c>
      <c r="GK87" s="456" t="str">
        <f t="shared" si="28"/>
        <v xml:space="preserve">// Improved Force Storm (JATM)• Force, Technique
</v>
      </c>
    </row>
    <row r="88" spans="8:193">
      <c r="AB88" s="569" t="s">
        <v>3982</v>
      </c>
      <c r="AC88" s="1358" t="s">
        <v>4004</v>
      </c>
      <c r="AD88" s="581" t="str">
        <f t="shared" si="34"/>
        <v>Yage Legacy (Embraced)</v>
      </c>
      <c r="AE88" s="616" t="s">
        <v>3985</v>
      </c>
      <c r="AF88" s="616" t="s">
        <v>3986</v>
      </c>
      <c r="AH88" s="1183" t="s">
        <v>2045</v>
      </c>
      <c r="AS88" s="12" t="str">
        <f t="shared" si="35"/>
        <v>Power Blast (-1)</v>
      </c>
      <c r="AT88" s="3">
        <f>IF(Strength&lt;13,-5,0)-1</f>
        <v>-1</v>
      </c>
      <c r="AU88" s="3">
        <v>1</v>
      </c>
      <c r="AV88" s="3">
        <f t="shared" si="31"/>
        <v>2</v>
      </c>
      <c r="AY88" s="3" t="s">
        <v>4084</v>
      </c>
      <c r="CR88" s="1704"/>
      <c r="CS88" s="1704"/>
      <c r="CT88" s="1704"/>
      <c r="CU88" s="1704"/>
      <c r="CV88" s="1704"/>
      <c r="CW88" s="1704"/>
      <c r="CX88" s="1704"/>
      <c r="CY88" s="1704"/>
      <c r="CZ88" s="1704"/>
      <c r="DA88" s="570" t="s">
        <v>195</v>
      </c>
      <c r="DB88" s="570" t="s">
        <v>195</v>
      </c>
      <c r="DC88" s="570" t="s">
        <v>195</v>
      </c>
      <c r="DD88" s="570" t="s">
        <v>195</v>
      </c>
      <c r="DE88" s="570" t="s">
        <v>195</v>
      </c>
      <c r="DF88" s="1104"/>
      <c r="DG88" s="1104"/>
      <c r="FK88" s="1511" t="s">
        <v>3868</v>
      </c>
      <c r="FL88" s="1493" t="s">
        <v>7824</v>
      </c>
      <c r="FM88" s="1512" t="s">
        <v>7126</v>
      </c>
      <c r="FN88" s="1512" t="s">
        <v>4022</v>
      </c>
      <c r="FO88" s="1512"/>
      <c r="GC88" s="1512"/>
      <c r="GD88" s="597" t="str">
        <f t="shared" si="33"/>
        <v xml:space="preserve">// Improved Force Stun• Force, Technique
</v>
      </c>
      <c r="GG88" s="569"/>
      <c r="GH88" s="1515" t="s">
        <v>5909</v>
      </c>
      <c r="GI88" s="1512" t="str">
        <f t="shared" si="26"/>
        <v/>
      </c>
      <c r="GJ88" s="1512" t="str">
        <f t="shared" ca="1" si="27"/>
        <v/>
      </c>
      <c r="GK88" s="456" t="str">
        <f t="shared" si="28"/>
        <v xml:space="preserve">// Improved Force Stun• Force, Technique
</v>
      </c>
    </row>
    <row r="89" spans="8:193">
      <c r="AB89" s="569" t="s">
        <v>3983</v>
      </c>
      <c r="AC89" s="1423" t="s">
        <v>7352</v>
      </c>
      <c r="AD89" s="1423" t="str">
        <f t="shared" si="34"/>
        <v>Qel Droma Legacy (Denied)</v>
      </c>
      <c r="AE89" s="616" t="s">
        <v>3985</v>
      </c>
      <c r="AF89" s="616" t="s">
        <v>3986</v>
      </c>
      <c r="AH89" s="1183" t="s">
        <v>2048</v>
      </c>
      <c r="AS89" s="12" t="str">
        <f t="shared" si="35"/>
        <v>Power Blast (-2)</v>
      </c>
      <c r="AT89" s="3">
        <f t="shared" ref="AT89:AT106" si="36">AT88-1</f>
        <v>-2</v>
      </c>
      <c r="AU89" s="3">
        <f t="shared" ref="AU89:AU106" si="37">AU88+1</f>
        <v>2</v>
      </c>
      <c r="AV89" s="3">
        <f t="shared" si="31"/>
        <v>4</v>
      </c>
      <c r="AY89" s="3" t="s">
        <v>4084</v>
      </c>
      <c r="AZ89" s="936" t="s">
        <v>202</v>
      </c>
      <c r="CR89" s="1704"/>
      <c r="CS89" s="1704"/>
      <c r="CT89" s="1704"/>
      <c r="CU89" s="1704"/>
      <c r="CV89" s="1704"/>
      <c r="CW89" s="1704"/>
      <c r="CX89" s="1704"/>
      <c r="CY89" s="1704"/>
      <c r="CZ89" s="1704"/>
      <c r="DA89" s="570" t="s">
        <v>195</v>
      </c>
      <c r="DB89" s="570" t="s">
        <v>195</v>
      </c>
      <c r="DC89" s="570" t="s">
        <v>195</v>
      </c>
      <c r="DD89" s="570" t="s">
        <v>195</v>
      </c>
      <c r="DE89" s="570" t="s">
        <v>195</v>
      </c>
      <c r="DF89" s="1104"/>
      <c r="DG89" s="1104"/>
      <c r="FK89" s="1511" t="s">
        <v>3871</v>
      </c>
      <c r="FL89" s="1493" t="s">
        <v>7824</v>
      </c>
      <c r="FM89" s="1512" t="s">
        <v>7126</v>
      </c>
      <c r="FN89" s="1512" t="s">
        <v>4022</v>
      </c>
      <c r="FO89" s="1512"/>
      <c r="GC89" s="1512"/>
      <c r="GD89" s="597" t="str">
        <f t="shared" si="33"/>
        <v xml:space="preserve">// Improved Force Thrust• Force, Technique
</v>
      </c>
      <c r="GG89" s="569" t="b">
        <v>1</v>
      </c>
      <c r="GH89" s="1515" t="s">
        <v>5934</v>
      </c>
      <c r="GI89" s="1512" t="str">
        <f t="shared" si="26"/>
        <v/>
      </c>
      <c r="GJ89" s="1512" t="str">
        <f t="shared" ca="1" si="27"/>
        <v/>
      </c>
      <c r="GK89" s="456" t="str">
        <f t="shared" si="28"/>
        <v xml:space="preserve">// Improved Force Thrust• Force, Technique
</v>
      </c>
    </row>
    <row r="90" spans="8:193">
      <c r="AB90" s="569" t="s">
        <v>3982</v>
      </c>
      <c r="AC90" s="1423" t="s">
        <v>7352</v>
      </c>
      <c r="AD90" s="1423" t="str">
        <f t="shared" si="34"/>
        <v>Qel Droma Legacy (Embraced)</v>
      </c>
      <c r="AE90" s="616" t="s">
        <v>3985</v>
      </c>
      <c r="AF90" s="616" t="s">
        <v>3986</v>
      </c>
      <c r="AH90" s="1184" t="s">
        <v>7302</v>
      </c>
      <c r="AS90" s="12" t="str">
        <f t="shared" si="35"/>
        <v>Power Blast (-3)</v>
      </c>
      <c r="AT90" s="3">
        <f t="shared" si="36"/>
        <v>-3</v>
      </c>
      <c r="AU90" s="3">
        <f t="shared" si="37"/>
        <v>3</v>
      </c>
      <c r="AV90" s="3">
        <f t="shared" si="31"/>
        <v>6</v>
      </c>
      <c r="AY90" s="3" t="s">
        <v>4084</v>
      </c>
      <c r="AZ90" s="936" t="s">
        <v>202</v>
      </c>
      <c r="CR90" s="1704"/>
      <c r="CS90" s="1704"/>
      <c r="CT90" s="1704"/>
      <c r="CU90" s="1704"/>
      <c r="CV90" s="1704"/>
      <c r="CW90" s="1704"/>
      <c r="CX90" s="1704"/>
      <c r="CY90" s="1704"/>
      <c r="CZ90" s="1704"/>
      <c r="DA90" s="570" t="s">
        <v>195</v>
      </c>
      <c r="DB90" s="570" t="s">
        <v>195</v>
      </c>
      <c r="DC90" s="570" t="s">
        <v>195</v>
      </c>
      <c r="DD90" s="570" t="s">
        <v>195</v>
      </c>
      <c r="DE90" s="570" t="s">
        <v>195</v>
      </c>
      <c r="DF90" s="1104"/>
      <c r="DG90" s="1104"/>
      <c r="FK90" s="1511" t="s">
        <v>3874</v>
      </c>
      <c r="FL90" s="1493" t="s">
        <v>7824</v>
      </c>
      <c r="FM90" s="1512" t="s">
        <v>7126</v>
      </c>
      <c r="FN90" s="1512" t="s">
        <v>4022</v>
      </c>
      <c r="FO90" s="1512" t="s">
        <v>3771</v>
      </c>
      <c r="GC90" s="1512" t="str">
        <f>"Each hour of Force trance regain "&amp;CharacterLevel*2&amp;" hit points"</f>
        <v>Each hour of Force trance regain 0 hit points</v>
      </c>
      <c r="GD90" s="597" t="str">
        <f t="shared" si="33"/>
        <v>// Improved Force Trance (special) • Force, Technique
Each hour of Force trance regain 0 hit points</v>
      </c>
      <c r="GG90" s="569"/>
      <c r="GH90" s="1515" t="s">
        <v>5908</v>
      </c>
      <c r="GI90" s="1512" t="str">
        <f t="shared" si="26"/>
        <v/>
      </c>
      <c r="GJ90" s="1512" t="str">
        <f t="shared" ca="1" si="27"/>
        <v/>
      </c>
      <c r="GK90" s="456" t="str">
        <f t="shared" si="28"/>
        <v>// Improved Force Trance (special) • Force, Technique
Each hour of Force trance regain 0 hit points</v>
      </c>
    </row>
    <row r="91" spans="8:193">
      <c r="AB91" s="569"/>
      <c r="AC91" s="1358"/>
      <c r="AD91" s="1358"/>
      <c r="AH91" s="1183" t="s">
        <v>2054</v>
      </c>
      <c r="AS91" s="12" t="str">
        <f t="shared" si="35"/>
        <v>Power Blast (-4)</v>
      </c>
      <c r="AT91" s="3">
        <f t="shared" si="36"/>
        <v>-4</v>
      </c>
      <c r="AU91" s="3">
        <f t="shared" si="37"/>
        <v>4</v>
      </c>
      <c r="AV91" s="3">
        <f t="shared" si="31"/>
        <v>8</v>
      </c>
      <c r="AY91" s="3" t="s">
        <v>4084</v>
      </c>
      <c r="AZ91" s="936" t="s">
        <v>202</v>
      </c>
      <c r="CR91" s="1704"/>
      <c r="CS91" s="1704"/>
      <c r="CT91" s="1704"/>
      <c r="CU91" s="1704"/>
      <c r="CV91" s="1704"/>
      <c r="CW91" s="1704"/>
      <c r="CX91" s="1704"/>
      <c r="CY91" s="1704"/>
      <c r="CZ91" s="1704"/>
      <c r="DA91" s="570" t="s">
        <v>195</v>
      </c>
      <c r="DB91" s="570" t="s">
        <v>195</v>
      </c>
      <c r="DC91" s="570" t="s">
        <v>195</v>
      </c>
      <c r="DD91" s="570" t="s">
        <v>195</v>
      </c>
      <c r="DE91" s="570" t="s">
        <v>195</v>
      </c>
      <c r="DF91" s="1104"/>
      <c r="DG91" s="1104"/>
      <c r="FK91" s="1511" t="s">
        <v>3877</v>
      </c>
      <c r="FL91" s="1493" t="s">
        <v>7824</v>
      </c>
      <c r="FM91" s="1512" t="s">
        <v>7126</v>
      </c>
      <c r="FN91" s="1512" t="s">
        <v>4022</v>
      </c>
      <c r="FO91" s="1512"/>
      <c r="GC91" s="1512"/>
      <c r="GD91" s="597" t="str">
        <f t="shared" si="33"/>
        <v xml:space="preserve">// Improved Ionize• Force, Technique
</v>
      </c>
      <c r="GG91" s="569" t="b">
        <v>1</v>
      </c>
      <c r="GH91" s="1515" t="s">
        <v>5938</v>
      </c>
      <c r="GI91" s="1512" t="str">
        <f t="shared" si="26"/>
        <v/>
      </c>
      <c r="GJ91" s="1512" t="str">
        <f t="shared" ca="1" si="27"/>
        <v/>
      </c>
      <c r="GK91" s="456" t="str">
        <f t="shared" si="28"/>
        <v xml:space="preserve">// Improved Ionize• Force, Technique
</v>
      </c>
    </row>
    <row r="92" spans="8:193">
      <c r="AB92" s="569"/>
      <c r="AC92" s="3"/>
      <c r="AH92" s="1183" t="s">
        <v>2060</v>
      </c>
      <c r="AS92" s="12" t="str">
        <f t="shared" si="35"/>
        <v>Power Blast (-5)</v>
      </c>
      <c r="AT92" s="3">
        <f t="shared" si="36"/>
        <v>-5</v>
      </c>
      <c r="AU92" s="3">
        <f t="shared" si="37"/>
        <v>5</v>
      </c>
      <c r="AV92" s="3">
        <f t="shared" si="31"/>
        <v>10</v>
      </c>
      <c r="AY92" s="3" t="s">
        <v>4084</v>
      </c>
      <c r="AZ92" s="936" t="s">
        <v>202</v>
      </c>
      <c r="CR92" s="1704"/>
      <c r="CS92" s="1704"/>
      <c r="CT92" s="1704"/>
      <c r="CU92" s="1704"/>
      <c r="CV92" s="1704"/>
      <c r="CW92" s="1704"/>
      <c r="CX92" s="1704"/>
      <c r="CY92" s="1704"/>
      <c r="CZ92" s="1704"/>
      <c r="DA92" s="570" t="s">
        <v>195</v>
      </c>
      <c r="DB92" s="570" t="s">
        <v>195</v>
      </c>
      <c r="DC92" s="570" t="s">
        <v>195</v>
      </c>
      <c r="DD92" s="570" t="s">
        <v>195</v>
      </c>
      <c r="DE92" s="570" t="s">
        <v>195</v>
      </c>
      <c r="DF92" s="1104"/>
      <c r="DG92" s="1104"/>
      <c r="FK92" s="1511" t="s">
        <v>3880</v>
      </c>
      <c r="FL92" s="1493" t="s">
        <v>7824</v>
      </c>
      <c r="FM92" s="1512" t="s">
        <v>7126</v>
      </c>
      <c r="FN92" s="1512" t="s">
        <v>4022</v>
      </c>
      <c r="FO92" s="1512"/>
      <c r="GC92" s="1512"/>
      <c r="GD92" s="597" t="str">
        <f t="shared" si="33"/>
        <v xml:space="preserve">// Improved Kinetic Combat• Force, Technique
</v>
      </c>
      <c r="GG92" s="569" t="b">
        <v>1</v>
      </c>
      <c r="GH92" s="1515">
        <v>103</v>
      </c>
      <c r="GI92" s="1512" t="str">
        <f t="shared" si="26"/>
        <v/>
      </c>
      <c r="GJ92" s="1512" t="str">
        <f t="shared" ca="1" si="27"/>
        <v/>
      </c>
      <c r="GK92" s="456" t="str">
        <f t="shared" si="28"/>
        <v xml:space="preserve">// Improved Kinetic Combat• Force, Technique
</v>
      </c>
    </row>
    <row r="93" spans="8:193">
      <c r="AB93" s="569"/>
      <c r="AC93" s="1358"/>
      <c r="AD93" s="1358"/>
      <c r="AH93" s="1183" t="s">
        <v>2059</v>
      </c>
      <c r="AS93" s="12" t="str">
        <f t="shared" si="35"/>
        <v>Power Blast (-6)</v>
      </c>
      <c r="AT93" s="3">
        <f t="shared" si="36"/>
        <v>-6</v>
      </c>
      <c r="AU93" s="3">
        <f t="shared" si="37"/>
        <v>6</v>
      </c>
      <c r="AV93" s="3">
        <f t="shared" si="31"/>
        <v>12</v>
      </c>
      <c r="AY93" s="3" t="s">
        <v>4084</v>
      </c>
      <c r="AZ93" s="936" t="s">
        <v>202</v>
      </c>
      <c r="CR93" s="1704"/>
      <c r="CS93" s="1704"/>
      <c r="CT93" s="1704"/>
      <c r="CU93" s="1704"/>
      <c r="CV93" s="1704"/>
      <c r="CW93" s="1704"/>
      <c r="CX93" s="1704"/>
      <c r="CY93" s="1704"/>
      <c r="CZ93" s="1704"/>
      <c r="DA93" s="570" t="s">
        <v>195</v>
      </c>
      <c r="DB93" s="570" t="s">
        <v>195</v>
      </c>
      <c r="DC93" s="570" t="s">
        <v>195</v>
      </c>
      <c r="DD93" s="570" t="s">
        <v>195</v>
      </c>
      <c r="DE93" s="570" t="s">
        <v>195</v>
      </c>
      <c r="DF93" s="1104"/>
      <c r="DG93" s="1104"/>
      <c r="FK93" s="1511" t="s">
        <v>3883</v>
      </c>
      <c r="FL93" s="1493" t="s">
        <v>7824</v>
      </c>
      <c r="FM93" s="1512" t="s">
        <v>7126</v>
      </c>
      <c r="FN93" s="1512" t="s">
        <v>4022</v>
      </c>
      <c r="FO93" s="1512" t="s">
        <v>7189</v>
      </c>
      <c r="FP93" s="1513" t="s">
        <v>65</v>
      </c>
      <c r="FQ93" s="1513" t="s">
        <v>7814</v>
      </c>
      <c r="GC93" s="1512" t="s">
        <v>7137</v>
      </c>
      <c r="GD93" s="597" t="str">
        <f t="shared" si="33"/>
        <v>// Improved Levitate (reaction; FP; activate Levitate power) • Force, Technique
If moved into a pit or off another elevated surface involuntarily spend a Force Point to activate this Levitate as a reaction to end forced movement in the last square before the edge of the precipice</v>
      </c>
      <c r="GG93" s="569"/>
      <c r="GH93" s="1515" t="s">
        <v>5902</v>
      </c>
      <c r="GI93" s="1512" t="str">
        <f t="shared" si="26"/>
        <v/>
      </c>
      <c r="GJ93" s="1512" t="str">
        <f t="shared" ca="1" si="27"/>
        <v/>
      </c>
      <c r="GK93" s="456" t="str">
        <f t="shared" si="28"/>
        <v>// Improved Levitate (reaction; FP; activate Levitate power) • Force, Technique
If moved into a pit or off another elevated surface involuntarily spend a Force Point to activate this Levitate as a reaction to end forced movement in the last square before the edge of the precipice</v>
      </c>
    </row>
    <row r="94" spans="8:193">
      <c r="AB94" s="569"/>
      <c r="AC94" s="1358"/>
      <c r="AH94" s="1183" t="s">
        <v>2065</v>
      </c>
      <c r="AS94" s="12" t="str">
        <f t="shared" si="35"/>
        <v>Power Blast (-7)</v>
      </c>
      <c r="AT94" s="3">
        <f t="shared" si="36"/>
        <v>-7</v>
      </c>
      <c r="AU94" s="3">
        <f t="shared" si="37"/>
        <v>7</v>
      </c>
      <c r="AV94" s="3">
        <f t="shared" si="31"/>
        <v>14</v>
      </c>
      <c r="AY94" s="3" t="s">
        <v>4084</v>
      </c>
      <c r="AZ94" s="936" t="s">
        <v>202</v>
      </c>
      <c r="CR94" s="1704"/>
      <c r="CS94" s="1704"/>
      <c r="CT94" s="1704"/>
      <c r="CU94" s="1704"/>
      <c r="CV94" s="1704"/>
      <c r="CW94" s="1704"/>
      <c r="CX94" s="1704"/>
      <c r="CY94" s="1704"/>
      <c r="CZ94" s="1704"/>
      <c r="DA94" s="570" t="s">
        <v>195</v>
      </c>
      <c r="DB94" s="570" t="s">
        <v>195</v>
      </c>
      <c r="DC94" s="570" t="s">
        <v>195</v>
      </c>
      <c r="DD94" s="570" t="s">
        <v>195</v>
      </c>
      <c r="DE94" s="570" t="s">
        <v>195</v>
      </c>
      <c r="DF94" s="1104"/>
      <c r="DG94" s="1104"/>
      <c r="FK94" s="1511" t="s">
        <v>3886</v>
      </c>
      <c r="FL94" s="1493" t="s">
        <v>7824</v>
      </c>
      <c r="FM94" s="1512" t="s">
        <v>7126</v>
      </c>
      <c r="FN94" s="1512" t="s">
        <v>4022</v>
      </c>
      <c r="FO94" s="1512"/>
      <c r="GC94" s="1512"/>
      <c r="GD94" s="597" t="str">
        <f t="shared" si="33"/>
        <v xml:space="preserve">// Improved Lightning Burst• Force, Technique
</v>
      </c>
      <c r="GG94" s="569" t="b">
        <v>1</v>
      </c>
      <c r="GH94" s="1515" t="s">
        <v>5911</v>
      </c>
      <c r="GI94" s="1512" t="str">
        <f t="shared" si="26"/>
        <v/>
      </c>
      <c r="GJ94" s="1512" t="str">
        <f t="shared" ca="1" si="27"/>
        <v/>
      </c>
      <c r="GK94" s="456" t="str">
        <f t="shared" si="28"/>
        <v xml:space="preserve">// Improved Lightning Burst• Force, Technique
</v>
      </c>
    </row>
    <row r="95" spans="8:193">
      <c r="AH95" s="1183" t="s">
        <v>1909</v>
      </c>
      <c r="AS95" s="12" t="str">
        <f t="shared" si="35"/>
        <v>Power Blast (-8)</v>
      </c>
      <c r="AT95" s="3">
        <f t="shared" si="36"/>
        <v>-8</v>
      </c>
      <c r="AU95" s="3">
        <f t="shared" si="37"/>
        <v>8</v>
      </c>
      <c r="AV95" s="3">
        <f t="shared" si="31"/>
        <v>16</v>
      </c>
      <c r="AY95" s="3" t="s">
        <v>4084</v>
      </c>
      <c r="AZ95" s="936" t="s">
        <v>202</v>
      </c>
      <c r="CR95" s="1704"/>
      <c r="CS95" s="1704"/>
      <c r="CT95" s="1704"/>
      <c r="CU95" s="1704"/>
      <c r="CV95" s="1704"/>
      <c r="CW95" s="1704"/>
      <c r="CX95" s="1704"/>
      <c r="CY95" s="1704"/>
      <c r="CZ95" s="1704"/>
      <c r="DA95" s="570" t="s">
        <v>195</v>
      </c>
      <c r="DB95" s="570" t="s">
        <v>195</v>
      </c>
      <c r="DC95" s="570" t="s">
        <v>195</v>
      </c>
      <c r="DD95" s="570" t="s">
        <v>195</v>
      </c>
      <c r="DE95" s="570" t="s">
        <v>195</v>
      </c>
      <c r="DF95" s="1104"/>
      <c r="DG95" s="1104"/>
      <c r="FK95" s="1511" t="s">
        <v>3889</v>
      </c>
      <c r="FL95" s="1493" t="s">
        <v>7824</v>
      </c>
      <c r="FM95" s="1512" t="s">
        <v>7126</v>
      </c>
      <c r="FN95" s="1512" t="s">
        <v>4022</v>
      </c>
      <c r="FO95" s="1512" t="s">
        <v>7188</v>
      </c>
      <c r="FQ95" s="1513" t="s">
        <v>7817</v>
      </c>
      <c r="GC95" s="1512" t="s">
        <v>7139</v>
      </c>
      <c r="GD95" s="597" t="str">
        <f t="shared" si="33"/>
        <v>// Improved Malacia (swift; Malacia power) • Force, Technique
Maintain damage threshold penalty of the malacia power as swift action</v>
      </c>
      <c r="GG95" s="569" t="b">
        <v>1</v>
      </c>
      <c r="GH95" s="1515">
        <v>102</v>
      </c>
      <c r="GI95" s="1512" t="str">
        <f t="shared" si="26"/>
        <v/>
      </c>
      <c r="GJ95" s="1512" t="str">
        <f t="shared" ca="1" si="27"/>
        <v/>
      </c>
      <c r="GK95" s="456" t="str">
        <f t="shared" si="28"/>
        <v>// Improved Malacia (swift; Malacia power) • Force, Technique
Maintain damage threshold penalty of the malacia power as swift action</v>
      </c>
    </row>
    <row r="96" spans="8:193">
      <c r="H96" s="683"/>
      <c r="AH96" s="1183" t="s">
        <v>304</v>
      </c>
      <c r="AS96" s="12" t="str">
        <f t="shared" si="35"/>
        <v>Power Blast (-9)</v>
      </c>
      <c r="AT96" s="3">
        <f t="shared" si="36"/>
        <v>-9</v>
      </c>
      <c r="AU96" s="3">
        <f t="shared" si="37"/>
        <v>9</v>
      </c>
      <c r="AV96" s="3">
        <f t="shared" si="31"/>
        <v>18</v>
      </c>
      <c r="AY96" s="3" t="s">
        <v>4084</v>
      </c>
      <c r="AZ96" s="936" t="s">
        <v>202</v>
      </c>
      <c r="CR96" s="1704"/>
      <c r="CS96" s="1704"/>
      <c r="CT96" s="1704"/>
      <c r="CU96" s="1704"/>
      <c r="CV96" s="1704"/>
      <c r="CW96" s="1704"/>
      <c r="CX96" s="1704"/>
      <c r="CY96" s="1704"/>
      <c r="CZ96" s="1704"/>
      <c r="DA96" s="570" t="s">
        <v>195</v>
      </c>
      <c r="DB96" s="570" t="s">
        <v>195</v>
      </c>
      <c r="DC96" s="570" t="s">
        <v>195</v>
      </c>
      <c r="DD96" s="570" t="s">
        <v>195</v>
      </c>
      <c r="DE96" s="570" t="s">
        <v>195</v>
      </c>
      <c r="DF96" s="1104"/>
      <c r="DG96" s="1104"/>
      <c r="FK96" s="1511" t="s">
        <v>3892</v>
      </c>
      <c r="FL96" s="1493" t="s">
        <v>7824</v>
      </c>
      <c r="FM96" s="1512" t="s">
        <v>7126</v>
      </c>
      <c r="FN96" s="1512" t="s">
        <v>4022</v>
      </c>
      <c r="FO96" s="1512"/>
      <c r="GC96" s="1512"/>
      <c r="GD96" s="597" t="str">
        <f t="shared" si="33"/>
        <v xml:space="preserve">// Improved Mind Trick• Force, Technique
</v>
      </c>
      <c r="GG96" s="569" t="b">
        <v>1</v>
      </c>
      <c r="GH96" s="1515">
        <v>103</v>
      </c>
      <c r="GI96" s="1512" t="str">
        <f t="shared" si="26"/>
        <v/>
      </c>
      <c r="GJ96" s="1512" t="str">
        <f t="shared" ca="1" si="27"/>
        <v/>
      </c>
      <c r="GK96" s="456" t="str">
        <f t="shared" si="28"/>
        <v xml:space="preserve">// Improved Mind Trick• Force, Technique
</v>
      </c>
    </row>
    <row r="97" spans="34:193">
      <c r="AH97" s="1183" t="s">
        <v>2077</v>
      </c>
      <c r="AS97" s="12" t="str">
        <f t="shared" si="35"/>
        <v>Power Blast (-10)</v>
      </c>
      <c r="AT97" s="3">
        <f t="shared" si="36"/>
        <v>-10</v>
      </c>
      <c r="AU97" s="3">
        <f t="shared" si="37"/>
        <v>10</v>
      </c>
      <c r="AV97" s="3">
        <f t="shared" si="31"/>
        <v>20</v>
      </c>
      <c r="AY97" s="3" t="s">
        <v>4084</v>
      </c>
      <c r="AZ97" s="936" t="s">
        <v>202</v>
      </c>
      <c r="CR97" s="1704"/>
      <c r="CS97" s="1704"/>
      <c r="CT97" s="1704"/>
      <c r="CU97" s="1704"/>
      <c r="CV97" s="1704"/>
      <c r="CW97" s="1704"/>
      <c r="CX97" s="1704"/>
      <c r="CY97" s="1704"/>
      <c r="CZ97" s="1704"/>
      <c r="DA97" s="570" t="s">
        <v>195</v>
      </c>
      <c r="DB97" s="570" t="s">
        <v>195</v>
      </c>
      <c r="DC97" s="570" t="s">
        <v>195</v>
      </c>
      <c r="DD97" s="570" t="s">
        <v>195</v>
      </c>
      <c r="DE97" s="570" t="s">
        <v>195</v>
      </c>
      <c r="DF97" s="1104"/>
      <c r="DG97" s="1104"/>
      <c r="FK97" s="1511" t="s">
        <v>3895</v>
      </c>
      <c r="FL97" s="1493" t="s">
        <v>7824</v>
      </c>
      <c r="FM97" s="1512" t="s">
        <v>7126</v>
      </c>
      <c r="FN97" s="1512" t="s">
        <v>4022</v>
      </c>
      <c r="FO97" s="1512" t="s">
        <v>7131</v>
      </c>
      <c r="FP97" s="1513" t="s">
        <v>7797</v>
      </c>
      <c r="FQ97" s="1513" t="s">
        <v>7815</v>
      </c>
      <c r="GC97" s="1512" t="str">
        <f ca="1">"Ranged 6; +"&amp;UsetheForce&amp;" vs. target’s Reflex; 1d6 bludgeoning damage"</f>
        <v>Ranged 6; +0 vs. target’s Reflex; 1d6 bludgeoning damage</v>
      </c>
      <c r="GD97" s="597" t="str">
        <f t="shared" ca="1" si="33"/>
        <v>// Improved Move Light Object (move; at-will; DC 15 Use the Force) • Force, Technique
Ranged 6; +0 vs. target’s Reflex; 1d6 bludgeoning damage</v>
      </c>
      <c r="GG97" s="569" t="b">
        <v>1</v>
      </c>
      <c r="GH97" s="1515">
        <v>102</v>
      </c>
      <c r="GI97" s="1512" t="str">
        <f t="shared" si="26"/>
        <v/>
      </c>
      <c r="GJ97" s="1512" t="str">
        <f t="shared" ca="1" si="27"/>
        <v/>
      </c>
      <c r="GK97" s="456" t="str">
        <f t="shared" ca="1" si="28"/>
        <v>// Improved Move Light Object (move; at-will; DC 15 Use the Force) • Force, Technique
Ranged 6; +0 vs. target’s Reflex; 1d6 bludgeoning damage</v>
      </c>
    </row>
    <row r="98" spans="34:193">
      <c r="AH98" s="1183" t="s">
        <v>2083</v>
      </c>
      <c r="AS98" s="12" t="str">
        <f t="shared" si="35"/>
        <v>Power Blast (-11)</v>
      </c>
      <c r="AT98" s="3">
        <f t="shared" si="36"/>
        <v>-11</v>
      </c>
      <c r="AU98" s="3">
        <f t="shared" si="37"/>
        <v>11</v>
      </c>
      <c r="AV98" s="3">
        <f t="shared" si="31"/>
        <v>22</v>
      </c>
      <c r="AY98" s="3" t="s">
        <v>4084</v>
      </c>
      <c r="AZ98" s="936" t="s">
        <v>202</v>
      </c>
      <c r="CR98" s="1704"/>
      <c r="CS98" s="1704"/>
      <c r="CT98" s="1704"/>
      <c r="CU98" s="1704"/>
      <c r="CV98" s="1704"/>
      <c r="CW98" s="1704"/>
      <c r="CX98" s="1704"/>
      <c r="CY98" s="1704"/>
      <c r="CZ98" s="1704"/>
      <c r="DA98" s="570" t="s">
        <v>195</v>
      </c>
      <c r="DB98" s="570" t="s">
        <v>195</v>
      </c>
      <c r="DC98" s="570" t="s">
        <v>195</v>
      </c>
      <c r="DD98" s="570" t="s">
        <v>195</v>
      </c>
      <c r="DE98" s="570" t="s">
        <v>195</v>
      </c>
      <c r="DF98" s="1104"/>
      <c r="DG98" s="1104"/>
      <c r="FK98" s="1511" t="s">
        <v>3898</v>
      </c>
      <c r="FL98" s="1493" t="s">
        <v>7824</v>
      </c>
      <c r="FM98" s="1512" t="s">
        <v>7126</v>
      </c>
      <c r="FN98" s="1512" t="s">
        <v>4022</v>
      </c>
      <c r="FO98" s="1512"/>
      <c r="GC98" s="1512"/>
      <c r="GD98" s="597" t="str">
        <f t="shared" si="33"/>
        <v xml:space="preserve">// Improved Obscure• Force, Technique
</v>
      </c>
      <c r="GG98" s="569" t="b">
        <v>1</v>
      </c>
      <c r="GH98" s="1515" t="s">
        <v>5911</v>
      </c>
      <c r="GI98" s="1512" t="str">
        <f>IF(OnlyCombatDescs,IF(GG98=TRUE,IF(NOT(ISERROR(FIND(FK98,INDEX(SpecialsTable,MATCH(FN98,SpecialsList,0),2),1))),GD98,""),""),IF(NOT(ISERROR(FIND(FK98,INDEX(SpecialsTable,MATCH(FN98,SpecialsList,0),2),1))),GD98,""))</f>
        <v/>
      </c>
      <c r="GJ98" s="1512" t="str">
        <f t="shared" ca="1" si="27"/>
        <v/>
      </c>
      <c r="GK98" s="456" t="str">
        <f t="shared" si="28"/>
        <v xml:space="preserve">// Improved Obscure• Force, Technique
</v>
      </c>
    </row>
    <row r="99" spans="34:193">
      <c r="AH99" s="1183" t="s">
        <v>2085</v>
      </c>
      <c r="AS99" s="12" t="str">
        <f t="shared" si="35"/>
        <v>Power Blast (-12)</v>
      </c>
      <c r="AT99" s="3">
        <f t="shared" si="36"/>
        <v>-12</v>
      </c>
      <c r="AU99" s="3">
        <f t="shared" si="37"/>
        <v>12</v>
      </c>
      <c r="AV99" s="3">
        <f t="shared" si="31"/>
        <v>24</v>
      </c>
      <c r="AY99" s="3" t="s">
        <v>4084</v>
      </c>
      <c r="AZ99" s="936" t="s">
        <v>202</v>
      </c>
      <c r="CR99" s="1704"/>
      <c r="CS99" s="1704"/>
      <c r="CT99" s="1704"/>
      <c r="CU99" s="1704"/>
      <c r="CV99" s="1704"/>
      <c r="CW99" s="1704"/>
      <c r="CX99" s="1704"/>
      <c r="CY99" s="1704"/>
      <c r="CZ99" s="1704"/>
      <c r="DA99" s="570" t="s">
        <v>195</v>
      </c>
      <c r="DB99" s="570" t="s">
        <v>195</v>
      </c>
      <c r="DC99" s="570" t="s">
        <v>195</v>
      </c>
      <c r="DD99" s="570" t="s">
        <v>195</v>
      </c>
      <c r="DE99" s="570" t="s">
        <v>195</v>
      </c>
      <c r="DF99" s="1104"/>
      <c r="DG99" s="1104"/>
      <c r="FK99" s="1511" t="s">
        <v>3901</v>
      </c>
      <c r="FL99" s="1493" t="s">
        <v>7824</v>
      </c>
      <c r="FM99" s="1512" t="s">
        <v>7126</v>
      </c>
      <c r="FN99" s="1512" t="s">
        <v>4022</v>
      </c>
      <c r="FO99" s="1512"/>
      <c r="GC99" s="1512"/>
      <c r="GD99" s="597" t="str">
        <f t="shared" si="33"/>
        <v xml:space="preserve">// Improved Phase• Force, Technique
</v>
      </c>
      <c r="GG99" s="569" t="b">
        <v>1</v>
      </c>
      <c r="GH99" s="1515" t="s">
        <v>711</v>
      </c>
      <c r="GI99" s="1512" t="str">
        <f t="shared" si="26"/>
        <v/>
      </c>
      <c r="GJ99" s="1512" t="str">
        <f t="shared" ca="1" si="27"/>
        <v/>
      </c>
      <c r="GK99" s="456" t="str">
        <f t="shared" si="28"/>
        <v xml:space="preserve">// Improved Phase• Force, Technique
</v>
      </c>
    </row>
    <row r="100" spans="34:193">
      <c r="AH100" s="1184" t="s">
        <v>7325</v>
      </c>
      <c r="AS100" s="12" t="str">
        <f t="shared" si="35"/>
        <v>Power Blast (-13)</v>
      </c>
      <c r="AT100" s="3">
        <f t="shared" si="36"/>
        <v>-13</v>
      </c>
      <c r="AU100" s="3">
        <f t="shared" si="37"/>
        <v>13</v>
      </c>
      <c r="AV100" s="3">
        <f t="shared" si="31"/>
        <v>26</v>
      </c>
      <c r="AY100" s="3" t="s">
        <v>4084</v>
      </c>
      <c r="AZ100" s="936" t="s">
        <v>202</v>
      </c>
      <c r="CR100" s="1704"/>
      <c r="CS100" s="1704"/>
      <c r="CT100" s="1704"/>
      <c r="CU100" s="1704"/>
      <c r="CV100" s="1704"/>
      <c r="CW100" s="1704"/>
      <c r="CX100" s="1704"/>
      <c r="CY100" s="1704"/>
      <c r="CZ100" s="1704"/>
      <c r="DA100" s="570" t="s">
        <v>195</v>
      </c>
      <c r="DB100" s="570" t="s">
        <v>195</v>
      </c>
      <c r="DC100" s="570" t="s">
        <v>195</v>
      </c>
      <c r="DD100" s="570" t="s">
        <v>195</v>
      </c>
      <c r="DE100" s="570" t="s">
        <v>195</v>
      </c>
      <c r="DF100" s="1104"/>
      <c r="DG100" s="1104"/>
      <c r="FK100" s="1511" t="s">
        <v>4274</v>
      </c>
      <c r="FL100" s="1493" t="s">
        <v>7824</v>
      </c>
      <c r="FM100" s="1512" t="s">
        <v>7126</v>
      </c>
      <c r="FN100" s="1512" t="s">
        <v>4022</v>
      </c>
      <c r="FO100" s="1512"/>
      <c r="GC100" s="1512"/>
      <c r="GD100" s="597" t="str">
        <f t="shared" si="33"/>
        <v xml:space="preserve">// Improved Plant Surge• Force, Technique
</v>
      </c>
      <c r="GG100" s="569" t="b">
        <v>1</v>
      </c>
      <c r="GH100" s="1515">
        <v>103</v>
      </c>
      <c r="GI100" s="1512" t="str">
        <f t="shared" si="26"/>
        <v/>
      </c>
      <c r="GJ100" s="1512" t="str">
        <f t="shared" ca="1" si="27"/>
        <v/>
      </c>
      <c r="GK100" s="456" t="str">
        <f t="shared" si="28"/>
        <v xml:space="preserve">// Improved Plant Surge• Force, Technique
</v>
      </c>
    </row>
    <row r="101" spans="34:193">
      <c r="AH101" s="1183" t="s">
        <v>2088</v>
      </c>
      <c r="AS101" s="12" t="str">
        <f t="shared" si="35"/>
        <v>Power Blast (-14)</v>
      </c>
      <c r="AT101" s="3">
        <f t="shared" si="36"/>
        <v>-14</v>
      </c>
      <c r="AU101" s="3">
        <f t="shared" si="37"/>
        <v>14</v>
      </c>
      <c r="AV101" s="3">
        <f t="shared" si="31"/>
        <v>28</v>
      </c>
      <c r="AY101" s="3" t="s">
        <v>4084</v>
      </c>
      <c r="AZ101" s="936" t="s">
        <v>202</v>
      </c>
      <c r="CR101" s="1704"/>
      <c r="CS101" s="1704"/>
      <c r="CT101" s="1704"/>
      <c r="CU101" s="1704"/>
      <c r="CV101" s="1704"/>
      <c r="CW101" s="1704"/>
      <c r="CX101" s="1704"/>
      <c r="CY101" s="1704"/>
      <c r="CZ101" s="1704"/>
      <c r="DA101" s="570" t="s">
        <v>195</v>
      </c>
      <c r="DB101" s="570" t="s">
        <v>195</v>
      </c>
      <c r="DC101" s="570" t="s">
        <v>195</v>
      </c>
      <c r="DD101" s="570" t="s">
        <v>195</v>
      </c>
      <c r="DE101" s="570" t="s">
        <v>195</v>
      </c>
      <c r="DF101" s="1104"/>
      <c r="DG101" s="1104"/>
      <c r="FK101" s="1511" t="s">
        <v>3903</v>
      </c>
      <c r="FL101" s="1493" t="s">
        <v>7824</v>
      </c>
      <c r="FM101" s="1512" t="s">
        <v>7126</v>
      </c>
      <c r="FN101" s="1512" t="s">
        <v>4022</v>
      </c>
      <c r="FO101" s="1512"/>
      <c r="GC101" s="1512"/>
      <c r="GD101" s="597" t="str">
        <f t="shared" si="33"/>
        <v xml:space="preserve">// Improved Rebuke• Force, Technique
</v>
      </c>
      <c r="GG101" s="569" t="b">
        <v>1</v>
      </c>
      <c r="GH101" s="1515" t="s">
        <v>640</v>
      </c>
      <c r="GI101" s="1512" t="str">
        <f t="shared" si="26"/>
        <v/>
      </c>
      <c r="GJ101" s="1512" t="str">
        <f t="shared" ca="1" si="27"/>
        <v/>
      </c>
      <c r="GK101" s="456" t="str">
        <f t="shared" si="28"/>
        <v xml:space="preserve">// Improved Rebuke• Force, Technique
</v>
      </c>
    </row>
    <row r="102" spans="34:193">
      <c r="AH102" s="1184" t="s">
        <v>7330</v>
      </c>
      <c r="AS102" s="12" t="str">
        <f t="shared" si="35"/>
        <v>Power Blast (-15)</v>
      </c>
      <c r="AT102" s="3">
        <f t="shared" si="36"/>
        <v>-15</v>
      </c>
      <c r="AU102" s="3">
        <f t="shared" si="37"/>
        <v>15</v>
      </c>
      <c r="AV102" s="3">
        <f t="shared" si="31"/>
        <v>30</v>
      </c>
      <c r="AY102" s="3" t="s">
        <v>4084</v>
      </c>
      <c r="AZ102" s="936" t="s">
        <v>202</v>
      </c>
      <c r="CR102" s="1704"/>
      <c r="CS102" s="1704"/>
      <c r="CT102" s="1704"/>
      <c r="CU102" s="1704"/>
      <c r="CV102" s="1704"/>
      <c r="CW102" s="1704"/>
      <c r="CX102" s="1704"/>
      <c r="CY102" s="1704"/>
      <c r="CZ102" s="1704"/>
      <c r="DA102" s="570" t="s">
        <v>195</v>
      </c>
      <c r="DB102" s="570" t="s">
        <v>195</v>
      </c>
      <c r="DC102" s="570" t="s">
        <v>195</v>
      </c>
      <c r="DD102" s="570" t="s">
        <v>195</v>
      </c>
      <c r="DE102" s="570" t="s">
        <v>195</v>
      </c>
      <c r="DF102" s="1104"/>
      <c r="DG102" s="1104"/>
      <c r="FK102" s="1511" t="s">
        <v>3906</v>
      </c>
      <c r="FL102" s="1493" t="s">
        <v>7824</v>
      </c>
      <c r="FM102" s="1512" t="s">
        <v>7126</v>
      </c>
      <c r="FN102" s="1512" t="s">
        <v>4022</v>
      </c>
      <c r="FO102" s="1512"/>
      <c r="GC102" s="1512"/>
      <c r="GD102" s="597" t="str">
        <f t="shared" si="33"/>
        <v xml:space="preserve">// Improved Rend• Force, Technique
</v>
      </c>
      <c r="GG102" s="569" t="b">
        <v>1</v>
      </c>
      <c r="GH102" s="1515" t="s">
        <v>733</v>
      </c>
      <c r="GI102" s="1512" t="str">
        <f t="shared" si="26"/>
        <v/>
      </c>
      <c r="GJ102" s="1512" t="str">
        <f t="shared" ca="1" si="27"/>
        <v/>
      </c>
      <c r="GK102" s="456" t="str">
        <f t="shared" si="28"/>
        <v xml:space="preserve">// Improved Rend• Force, Technique
</v>
      </c>
    </row>
    <row r="103" spans="34:193">
      <c r="AH103" s="1183" t="s">
        <v>2090</v>
      </c>
      <c r="AS103" s="12" t="str">
        <f t="shared" si="35"/>
        <v>Power Blast (-16)</v>
      </c>
      <c r="AT103" s="3">
        <f t="shared" si="36"/>
        <v>-16</v>
      </c>
      <c r="AU103" s="3">
        <f t="shared" si="37"/>
        <v>16</v>
      </c>
      <c r="AV103" s="3">
        <f t="shared" si="31"/>
        <v>32</v>
      </c>
      <c r="AY103" s="3" t="s">
        <v>4084</v>
      </c>
      <c r="AZ103" s="936" t="s">
        <v>202</v>
      </c>
      <c r="CR103" s="1704"/>
      <c r="CS103" s="1704"/>
      <c r="CT103" s="1704"/>
      <c r="CU103" s="1704"/>
      <c r="CV103" s="1704"/>
      <c r="CW103" s="1704"/>
      <c r="CX103" s="1704"/>
      <c r="CY103" s="1704"/>
      <c r="CZ103" s="1704"/>
      <c r="DA103" s="570" t="s">
        <v>195</v>
      </c>
      <c r="DB103" s="570" t="s">
        <v>195</v>
      </c>
      <c r="DC103" s="570" t="s">
        <v>195</v>
      </c>
      <c r="DD103" s="570" t="s">
        <v>195</v>
      </c>
      <c r="DE103" s="570" t="s">
        <v>195</v>
      </c>
      <c r="DF103" s="1104"/>
      <c r="DG103" s="1104"/>
      <c r="FK103" s="1511" t="s">
        <v>3908</v>
      </c>
      <c r="FL103" s="1493" t="s">
        <v>7824</v>
      </c>
      <c r="FM103" s="1512" t="s">
        <v>7126</v>
      </c>
      <c r="FN103" s="1512" t="s">
        <v>4022</v>
      </c>
      <c r="FO103" s="1512"/>
      <c r="GC103" s="1512"/>
      <c r="GD103" s="597" t="str">
        <f t="shared" si="33"/>
        <v xml:space="preserve">// Improved Repulse• Force, Technique
</v>
      </c>
      <c r="GG103" s="569" t="b">
        <v>1</v>
      </c>
      <c r="GH103" s="1515" t="s">
        <v>5934</v>
      </c>
      <c r="GI103" s="1512" t="str">
        <f t="shared" si="26"/>
        <v/>
      </c>
      <c r="GJ103" s="1512" t="str">
        <f t="shared" ca="1" si="27"/>
        <v/>
      </c>
      <c r="GK103" s="456" t="str">
        <f t="shared" si="28"/>
        <v xml:space="preserve">// Improved Repulse• Force, Technique
</v>
      </c>
    </row>
    <row r="104" spans="34:193">
      <c r="AS104" s="12" t="str">
        <f t="shared" si="35"/>
        <v>Power Blast (-17)</v>
      </c>
      <c r="AT104" s="3">
        <f t="shared" si="36"/>
        <v>-17</v>
      </c>
      <c r="AU104" s="3">
        <f t="shared" si="37"/>
        <v>17</v>
      </c>
      <c r="AV104" s="3">
        <f t="shared" si="31"/>
        <v>34</v>
      </c>
      <c r="AY104" s="3" t="s">
        <v>4084</v>
      </c>
      <c r="AZ104" s="936" t="s">
        <v>202</v>
      </c>
      <c r="CR104" s="1704"/>
      <c r="CS104" s="1704"/>
      <c r="CT104" s="1704"/>
      <c r="CU104" s="1704"/>
      <c r="CV104" s="1704"/>
      <c r="CW104" s="1704"/>
      <c r="CX104" s="1704"/>
      <c r="CY104" s="1704"/>
      <c r="CZ104" s="1704"/>
      <c r="DA104" s="570" t="s">
        <v>195</v>
      </c>
      <c r="DB104" s="570" t="s">
        <v>195</v>
      </c>
      <c r="DC104" s="570" t="s">
        <v>195</v>
      </c>
      <c r="DD104" s="570" t="s">
        <v>195</v>
      </c>
      <c r="DE104" s="570" t="s">
        <v>195</v>
      </c>
      <c r="DF104" s="1104"/>
      <c r="DG104" s="1104"/>
      <c r="FK104" s="1511" t="s">
        <v>3911</v>
      </c>
      <c r="FL104" s="1493" t="s">
        <v>7824</v>
      </c>
      <c r="FM104" s="1512" t="s">
        <v>7126</v>
      </c>
      <c r="FN104" s="1512" t="s">
        <v>4022</v>
      </c>
      <c r="FO104" s="1512"/>
      <c r="GC104" s="1512"/>
      <c r="GD104" s="597" t="str">
        <f t="shared" si="33"/>
        <v xml:space="preserve">// Improved Resist Force• Force, Technique
</v>
      </c>
      <c r="GG104" s="569" t="b">
        <v>1</v>
      </c>
      <c r="GH104" s="1515" t="s">
        <v>410</v>
      </c>
      <c r="GI104" s="1512" t="str">
        <f t="shared" si="26"/>
        <v/>
      </c>
      <c r="GJ104" s="1512" t="str">
        <f t="shared" ca="1" si="27"/>
        <v/>
      </c>
      <c r="GK104" s="456" t="str">
        <f t="shared" si="28"/>
        <v xml:space="preserve">// Improved Resist Force• Force, Technique
</v>
      </c>
    </row>
    <row r="105" spans="34:193">
      <c r="AS105" s="12" t="str">
        <f t="shared" si="35"/>
        <v>Power Blast (-18)</v>
      </c>
      <c r="AT105" s="3">
        <f t="shared" si="36"/>
        <v>-18</v>
      </c>
      <c r="AU105" s="3">
        <f t="shared" si="37"/>
        <v>18</v>
      </c>
      <c r="AV105" s="3">
        <f t="shared" si="31"/>
        <v>36</v>
      </c>
      <c r="AY105" s="3" t="s">
        <v>4084</v>
      </c>
      <c r="AZ105" s="936" t="s">
        <v>202</v>
      </c>
      <c r="CR105" s="1704"/>
      <c r="CS105" s="1704"/>
      <c r="CT105" s="1704"/>
      <c r="CU105" s="1704"/>
      <c r="CV105" s="1704"/>
      <c r="CW105" s="1704"/>
      <c r="CX105" s="1704"/>
      <c r="CY105" s="1704"/>
      <c r="CZ105" s="1704"/>
      <c r="DA105" s="570" t="s">
        <v>195</v>
      </c>
      <c r="DB105" s="570" t="s">
        <v>195</v>
      </c>
      <c r="DC105" s="570" t="s">
        <v>195</v>
      </c>
      <c r="DD105" s="570" t="s">
        <v>195</v>
      </c>
      <c r="DE105" s="570" t="s">
        <v>195</v>
      </c>
      <c r="DF105" s="1104"/>
      <c r="DG105" s="1104"/>
      <c r="FK105" s="1511" t="s">
        <v>3914</v>
      </c>
      <c r="FL105" s="1493" t="s">
        <v>7824</v>
      </c>
      <c r="FM105" s="1512" t="s">
        <v>7126</v>
      </c>
      <c r="FN105" s="1512" t="s">
        <v>4022</v>
      </c>
      <c r="FO105" s="1512" t="s">
        <v>7188</v>
      </c>
      <c r="FP105" s="1513" t="s">
        <v>7797</v>
      </c>
      <c r="FQ105" s="597" t="s">
        <v>7815</v>
      </c>
      <c r="GC105" s="1512" t="str">
        <f ca="1">"+"&amp;UsetheForce&amp;" vs. opposed Use the Force if trying to conceal presence; actively sense other Force-users out to a range of 100 kilometers"</f>
        <v>+0 vs. opposed Use the Force if trying to conceal presence; actively sense other Force-users out to a range of 100 kilometers</v>
      </c>
      <c r="GD105" s="597" t="str">
        <f t="shared" ca="1" si="33"/>
        <v>// Improved Sense Force (swift; at-will; DC 15 Use the Force) • Force, Technique
+0 vs. opposed Use the Force if trying to conceal presence; actively sense other Force-users out to a range of 100 kilometers</v>
      </c>
      <c r="GG105" s="569" t="b">
        <v>1</v>
      </c>
      <c r="GH105" s="1515" t="s">
        <v>7094</v>
      </c>
      <c r="GI105" s="1512" t="str">
        <f t="shared" si="26"/>
        <v/>
      </c>
      <c r="GJ105" s="1512" t="str">
        <f t="shared" ca="1" si="27"/>
        <v/>
      </c>
      <c r="GK105" s="456" t="str">
        <f t="shared" ca="1" si="28"/>
        <v>// Improved Sense Force (swift; at-will; DC 15 Use the Force) • Force, Technique
+0 vs. opposed Use the Force if trying to conceal presence; actively sense other Force-users out to a range of 100 kilometers</v>
      </c>
    </row>
    <row r="106" spans="34:193">
      <c r="AS106" s="12" t="str">
        <f t="shared" si="35"/>
        <v>Power Blast (-19)</v>
      </c>
      <c r="AT106" s="3">
        <f t="shared" si="36"/>
        <v>-19</v>
      </c>
      <c r="AU106" s="3">
        <f t="shared" si="37"/>
        <v>19</v>
      </c>
      <c r="AV106" s="3">
        <f t="shared" si="31"/>
        <v>38</v>
      </c>
      <c r="AY106" s="3" t="s">
        <v>4084</v>
      </c>
      <c r="AZ106" s="936" t="s">
        <v>202</v>
      </c>
      <c r="CR106" s="1704"/>
      <c r="CS106" s="1704"/>
      <c r="CT106" s="1704"/>
      <c r="CU106" s="1704"/>
      <c r="CV106" s="1704"/>
      <c r="CW106" s="1704"/>
      <c r="CX106" s="1704"/>
      <c r="CY106" s="1704"/>
      <c r="CZ106" s="1704"/>
      <c r="DA106" s="570" t="s">
        <v>195</v>
      </c>
      <c r="DB106" s="570" t="s">
        <v>195</v>
      </c>
      <c r="DC106" s="570" t="s">
        <v>195</v>
      </c>
      <c r="DD106" s="570" t="s">
        <v>195</v>
      </c>
      <c r="DE106" s="570" t="s">
        <v>195</v>
      </c>
      <c r="DF106" s="1104"/>
      <c r="DG106" s="1104"/>
      <c r="FK106" s="1511" t="s">
        <v>3917</v>
      </c>
      <c r="FL106" s="1493" t="s">
        <v>7824</v>
      </c>
      <c r="FM106" s="1512" t="s">
        <v>7126</v>
      </c>
      <c r="FN106" s="1512" t="s">
        <v>4022</v>
      </c>
      <c r="FO106" s="1512" t="s">
        <v>7807</v>
      </c>
      <c r="FP106" s="1513" t="s">
        <v>7797</v>
      </c>
      <c r="FQ106" s="597" t="s">
        <v>7816</v>
      </c>
      <c r="GC106" s="1512" t="str">
        <f ca="1">"+"&amp;UsetheForce&amp;" vs. DC 15; ignore the effects of cover and concealment when making Perception checks to detect or observe targets until start of next turn; DC 20 vs. targets with total cover"</f>
        <v>+0 vs. DC 15; ignore the effects of cover and concealment when making Perception checks to detect or observe targets until start of next turn; DC 20 vs. targets with total cover</v>
      </c>
      <c r="GD106" s="597" t="str">
        <f t="shared" ref="GD106:GD137" ca="1" si="38">IF(HTML,IF(FL106="Attack",TRG,IF(FL106="Defense",TRO,TRLSG))&amp;WFS&amp;"u"&amp;WFF&amp;BS,"//")&amp;" "&amp;FK106&amp;IF(HTML,BF,"")&amp;IF(FO106&lt;&gt;""," ("&amp;FO106&amp;IF(FP106&lt;&gt;"","; "&amp;FP106,"")&amp;IF(FQ106&lt;&gt;"","; "&amp;FQ106,"")&amp;") "&amp;IF(HTML,WFS&amp;"v"&amp;WFF&amp;BS,"•"),IF(HTML,WFS&amp;"v"&amp;WFF&amp;BS,"•"))&amp;" "&amp;FM106&amp;IF(HTML,BF&amp;TRF&amp;TRW,"")&amp;"
"&amp;GC106&amp;TRFF</f>
        <v>// Improved Sense Surroundings (free action; at-will; DC 15/20 Use the Force) • Force, Technique
+0 vs. DC 15; ignore the effects of cover and concealment when making Perception checks to detect or observe targets until start of next turn; DC 20 vs. targets with total cover</v>
      </c>
      <c r="GE106" s="1510"/>
      <c r="GF106" s="1502"/>
      <c r="GG106" s="1502"/>
      <c r="GH106" s="1518" t="s">
        <v>2974</v>
      </c>
      <c r="GI106" s="1512" t="str">
        <f t="shared" si="26"/>
        <v/>
      </c>
      <c r="GJ106" s="1512" t="str">
        <f t="shared" ca="1" si="27"/>
        <v/>
      </c>
      <c r="GK106" s="456" t="str">
        <f t="shared" ca="1" si="28"/>
        <v>// Improved Sense Surroundings (free action; at-will; DC 15/20 Use the Force) • Force, Technique
+0 vs. DC 15; ignore the effects of cover and concealment when making Perception checks to detect or observe targets until start of next turn; DC 20 vs. targets with total cover</v>
      </c>
    </row>
    <row r="107" spans="34:193">
      <c r="AS107" s="12" t="s">
        <v>2459</v>
      </c>
      <c r="AT107" s="3">
        <v>4</v>
      </c>
      <c r="AU107" s="3">
        <f>INT(HeroicLevel/2)</f>
        <v>0</v>
      </c>
      <c r="AY107" s="569" t="s">
        <v>4083</v>
      </c>
      <c r="AZ107" s="936" t="s">
        <v>202</v>
      </c>
      <c r="CR107" s="1704"/>
      <c r="CS107" s="1704"/>
      <c r="CT107" s="1704"/>
      <c r="CU107" s="1704"/>
      <c r="CV107" s="1704"/>
      <c r="CW107" s="1704"/>
      <c r="CX107" s="1704"/>
      <c r="CY107" s="1704"/>
      <c r="CZ107" s="1704"/>
      <c r="DA107" s="570" t="s">
        <v>195</v>
      </c>
      <c r="DB107" s="570" t="s">
        <v>195</v>
      </c>
      <c r="DC107" s="570" t="s">
        <v>195</v>
      </c>
      <c r="DD107" s="570" t="s">
        <v>195</v>
      </c>
      <c r="DE107" s="570" t="s">
        <v>195</v>
      </c>
      <c r="DF107" s="1104"/>
      <c r="DG107" s="1104"/>
      <c r="FK107" s="1511" t="s">
        <v>3920</v>
      </c>
      <c r="FL107" s="1493" t="s">
        <v>7824</v>
      </c>
      <c r="FM107" s="1512" t="s">
        <v>7126</v>
      </c>
      <c r="FN107" s="1512" t="s">
        <v>4022</v>
      </c>
      <c r="FO107" s="1512"/>
      <c r="GC107" s="1512"/>
      <c r="GD107" s="597" t="str">
        <f t="shared" si="38"/>
        <v xml:space="preserve">// Improved Shatterpoint• Force, Technique
</v>
      </c>
      <c r="GG107" s="569" t="b">
        <v>0</v>
      </c>
      <c r="GH107" s="1515" t="s">
        <v>7826</v>
      </c>
      <c r="GI107" s="1512" t="str">
        <f t="shared" si="26"/>
        <v/>
      </c>
      <c r="GJ107" s="1512" t="str">
        <f t="shared" ca="1" si="27"/>
        <v/>
      </c>
      <c r="GK107" s="456" t="str">
        <f t="shared" si="28"/>
        <v xml:space="preserve">// Improved Shatterpoint• Force, Technique
</v>
      </c>
    </row>
    <row r="108" spans="34:193">
      <c r="AS108" s="12" t="s">
        <v>1056</v>
      </c>
      <c r="AT108" s="3">
        <v>2</v>
      </c>
      <c r="AU108" s="3">
        <v>2</v>
      </c>
      <c r="AY108" s="3" t="s">
        <v>4083</v>
      </c>
      <c r="CR108" s="1704"/>
      <c r="CS108" s="1704"/>
      <c r="CT108" s="1704"/>
      <c r="CU108" s="1704"/>
      <c r="CV108" s="1704"/>
      <c r="CW108" s="1704"/>
      <c r="CX108" s="1704"/>
      <c r="CY108" s="1704"/>
      <c r="CZ108" s="1704"/>
      <c r="DA108" s="570" t="s">
        <v>195</v>
      </c>
      <c r="DB108" s="570" t="s">
        <v>195</v>
      </c>
      <c r="DC108" s="570" t="s">
        <v>195</v>
      </c>
      <c r="DD108" s="570" t="s">
        <v>195</v>
      </c>
      <c r="DE108" s="570" t="s">
        <v>195</v>
      </c>
      <c r="DF108" s="1104"/>
      <c r="DG108" s="1104"/>
      <c r="FK108" s="1511" t="s">
        <v>3923</v>
      </c>
      <c r="FL108" s="1493" t="s">
        <v>7824</v>
      </c>
      <c r="FM108" s="1512" t="s">
        <v>7126</v>
      </c>
      <c r="FN108" s="1512" t="s">
        <v>4022</v>
      </c>
      <c r="FO108" s="1512"/>
      <c r="GC108" s="1512"/>
      <c r="GD108" s="597" t="str">
        <f t="shared" si="38"/>
        <v xml:space="preserve">// Improved Stagger• Force, Technique
</v>
      </c>
      <c r="GG108" s="569" t="b">
        <v>1</v>
      </c>
      <c r="GH108" s="1515" t="s">
        <v>7827</v>
      </c>
      <c r="GI108" s="1512" t="str">
        <f t="shared" si="26"/>
        <v/>
      </c>
      <c r="GJ108" s="1512" t="str">
        <f t="shared" ca="1" si="27"/>
        <v/>
      </c>
      <c r="GK108" s="456" t="str">
        <f t="shared" si="28"/>
        <v xml:space="preserve">// Improved Stagger• Force, Technique
</v>
      </c>
    </row>
    <row r="109" spans="34:193">
      <c r="AS109" s="12" t="str">
        <f t="shared" ref="AS109:AS128" si="39">"Rage and Power Attack ("&amp;AT109-2&amp;")"</f>
        <v>Rage and Power Attack (-1)</v>
      </c>
      <c r="AT109" s="3">
        <f>-1+2</f>
        <v>1</v>
      </c>
      <c r="AU109" s="3">
        <f t="shared" ref="AU109:AU128" si="40">(AT109-2)*-1+2</f>
        <v>3</v>
      </c>
      <c r="AV109" s="3">
        <f t="shared" ref="AV109:AV128" si="41">AU109*2-2</f>
        <v>4</v>
      </c>
      <c r="AY109" s="3" t="s">
        <v>4083</v>
      </c>
      <c r="CR109" s="1704"/>
      <c r="CS109" s="1704"/>
      <c r="CT109" s="1704"/>
      <c r="CU109" s="1704"/>
      <c r="CV109" s="1704"/>
      <c r="CW109" s="1704"/>
      <c r="CX109" s="1704"/>
      <c r="CY109" s="1704"/>
      <c r="CZ109" s="1704"/>
      <c r="DA109" s="570" t="s">
        <v>195</v>
      </c>
      <c r="DB109" s="570" t="s">
        <v>195</v>
      </c>
      <c r="DC109" s="570" t="s">
        <v>195</v>
      </c>
      <c r="DD109" s="570" t="s">
        <v>195</v>
      </c>
      <c r="DE109" s="570" t="s">
        <v>195</v>
      </c>
      <c r="DF109" s="1104"/>
      <c r="DG109" s="1104"/>
      <c r="FK109" s="1511" t="s">
        <v>3926</v>
      </c>
      <c r="FL109" s="1493" t="s">
        <v>7824</v>
      </c>
      <c r="FM109" s="1512" t="s">
        <v>7126</v>
      </c>
      <c r="FN109" s="1512" t="s">
        <v>4022</v>
      </c>
      <c r="FO109" s="1512"/>
      <c r="GC109" s="1512"/>
      <c r="GD109" s="597" t="str">
        <f t="shared" si="38"/>
        <v xml:space="preserve">// Improved Technometry• Force, Technique
</v>
      </c>
      <c r="GG109" s="569" t="b">
        <v>1</v>
      </c>
      <c r="GH109" s="1515" t="s">
        <v>3813</v>
      </c>
      <c r="GI109" s="1512" t="str">
        <f t="shared" si="26"/>
        <v/>
      </c>
      <c r="GJ109" s="1512" t="str">
        <f t="shared" ca="1" si="27"/>
        <v/>
      </c>
      <c r="GK109" s="456" t="str">
        <f t="shared" si="28"/>
        <v xml:space="preserve">// Improved Technometry• Force, Technique
</v>
      </c>
    </row>
    <row r="110" spans="34:193">
      <c r="AS110" s="12" t="str">
        <f t="shared" si="39"/>
        <v>Rage and Power Attack (-2)</v>
      </c>
      <c r="AT110" s="3">
        <f t="shared" ref="AT110:AT128" si="42">AT109-1</f>
        <v>0</v>
      </c>
      <c r="AU110" s="3">
        <f t="shared" si="40"/>
        <v>4</v>
      </c>
      <c r="AV110" s="3">
        <f t="shared" si="41"/>
        <v>6</v>
      </c>
      <c r="AY110" s="3" t="s">
        <v>4083</v>
      </c>
      <c r="CR110" s="1704"/>
      <c r="CS110" s="1704"/>
      <c r="CT110" s="1704"/>
      <c r="CU110" s="1704"/>
      <c r="CV110" s="1704"/>
      <c r="CW110" s="1704"/>
      <c r="CX110" s="1704"/>
      <c r="CY110" s="1704"/>
      <c r="CZ110" s="1704"/>
      <c r="DA110" s="570" t="s">
        <v>195</v>
      </c>
      <c r="DB110" s="570" t="s">
        <v>195</v>
      </c>
      <c r="DC110" s="570" t="s">
        <v>195</v>
      </c>
      <c r="DD110" s="570" t="s">
        <v>195</v>
      </c>
      <c r="DE110" s="570" t="s">
        <v>195</v>
      </c>
      <c r="DF110" s="1104"/>
      <c r="DG110" s="1104"/>
      <c r="FK110" s="1511" t="s">
        <v>1653</v>
      </c>
      <c r="FL110" s="1493" t="s">
        <v>7824</v>
      </c>
      <c r="FM110" s="1512" t="s">
        <v>7126</v>
      </c>
      <c r="FN110" s="1512" t="s">
        <v>4022</v>
      </c>
      <c r="FO110" s="1512" t="s">
        <v>7092</v>
      </c>
      <c r="FP110" s="1513" t="s">
        <v>7797</v>
      </c>
      <c r="GC110" s="1512" t="s">
        <v>7132</v>
      </c>
      <c r="GD110" s="597" t="str">
        <f t="shared" si="38"/>
        <v>// Improved Telepathy (standard; at-will) • Force, Technique
Reroll Use the Force check for telepathy and keep the better result</v>
      </c>
      <c r="GG110" s="569"/>
      <c r="GH110" s="1515" t="s">
        <v>5938</v>
      </c>
      <c r="GI110" s="1512" t="str">
        <f t="shared" si="26"/>
        <v/>
      </c>
      <c r="GJ110" s="1512" t="str">
        <f t="shared" ca="1" si="27"/>
        <v/>
      </c>
      <c r="GK110" s="456" t="str">
        <f t="shared" si="28"/>
        <v>// Improved Telepathy (standard; at-will) • Force, Technique
Reroll Use the Force check for telepathy and keep the better result</v>
      </c>
    </row>
    <row r="111" spans="34:193">
      <c r="AS111" s="12" t="str">
        <f t="shared" si="39"/>
        <v>Rage and Power Attack (-3)</v>
      </c>
      <c r="AT111" s="3">
        <f t="shared" si="42"/>
        <v>-1</v>
      </c>
      <c r="AU111" s="3">
        <f t="shared" si="40"/>
        <v>5</v>
      </c>
      <c r="AV111" s="3">
        <f t="shared" si="41"/>
        <v>8</v>
      </c>
      <c r="AY111" s="3" t="s">
        <v>4083</v>
      </c>
      <c r="CR111" s="1704"/>
      <c r="CS111" s="1704"/>
      <c r="CT111" s="1704"/>
      <c r="CU111" s="1704"/>
      <c r="CV111" s="1704"/>
      <c r="CW111" s="1704"/>
      <c r="CX111" s="1704"/>
      <c r="CY111" s="1704"/>
      <c r="CZ111" s="1704"/>
      <c r="DA111" s="570" t="s">
        <v>195</v>
      </c>
      <c r="DB111" s="570" t="s">
        <v>195</v>
      </c>
      <c r="DC111" s="570" t="s">
        <v>195</v>
      </c>
      <c r="DD111" s="570" t="s">
        <v>195</v>
      </c>
      <c r="DE111" s="570" t="s">
        <v>195</v>
      </c>
      <c r="DF111" s="1104"/>
      <c r="DG111" s="1104"/>
      <c r="FK111" s="1511" t="s">
        <v>4275</v>
      </c>
      <c r="FL111" s="1493" t="s">
        <v>7824</v>
      </c>
      <c r="FM111" s="1512" t="s">
        <v>7126</v>
      </c>
      <c r="FN111" s="1512" t="s">
        <v>4022</v>
      </c>
      <c r="FO111" s="1512"/>
      <c r="GC111" s="1512"/>
      <c r="GD111" s="597" t="str">
        <f t="shared" si="38"/>
        <v xml:space="preserve">// Improved Thought Bomb• Force, Technique
</v>
      </c>
      <c r="GG111" s="569" t="b">
        <v>1</v>
      </c>
      <c r="GH111" s="1515" t="s">
        <v>3813</v>
      </c>
      <c r="GI111" s="1512" t="str">
        <f t="shared" si="26"/>
        <v/>
      </c>
      <c r="GJ111" s="1512" t="str">
        <f t="shared" ca="1" si="27"/>
        <v/>
      </c>
      <c r="GK111" s="456" t="str">
        <f t="shared" si="28"/>
        <v xml:space="preserve">// Improved Thought Bomb• Force, Technique
</v>
      </c>
    </row>
    <row r="112" spans="34:193">
      <c r="AS112" s="12" t="str">
        <f t="shared" si="39"/>
        <v>Rage and Power Attack (-4)</v>
      </c>
      <c r="AT112" s="3">
        <f t="shared" si="42"/>
        <v>-2</v>
      </c>
      <c r="AU112" s="3">
        <f t="shared" si="40"/>
        <v>6</v>
      </c>
      <c r="AV112" s="3">
        <f t="shared" si="41"/>
        <v>10</v>
      </c>
      <c r="AY112" s="3" t="s">
        <v>4083</v>
      </c>
      <c r="CR112" s="1704"/>
      <c r="CS112" s="1704"/>
      <c r="CT112" s="1704"/>
      <c r="CU112" s="1704"/>
      <c r="CV112" s="1704"/>
      <c r="CW112" s="1704"/>
      <c r="CX112" s="1704"/>
      <c r="CY112" s="1704"/>
      <c r="CZ112" s="1704"/>
      <c r="DA112" s="570" t="s">
        <v>195</v>
      </c>
      <c r="DB112" s="570" t="s">
        <v>195</v>
      </c>
      <c r="DC112" s="570" t="s">
        <v>195</v>
      </c>
      <c r="DD112" s="570" t="s">
        <v>195</v>
      </c>
      <c r="DE112" s="570" t="s">
        <v>195</v>
      </c>
      <c r="DF112" s="1104"/>
      <c r="DG112" s="1104"/>
      <c r="FK112" s="1511" t="s">
        <v>3931</v>
      </c>
      <c r="FL112" s="1493" t="s">
        <v>7824</v>
      </c>
      <c r="FM112" s="1512" t="s">
        <v>7126</v>
      </c>
      <c r="FN112" s="1512" t="s">
        <v>4022</v>
      </c>
      <c r="FO112" s="1512"/>
      <c r="GC112" s="1512"/>
      <c r="GD112" s="597" t="str">
        <f t="shared" si="38"/>
        <v xml:space="preserve">// Improved Valor• Force, Technique
</v>
      </c>
      <c r="GG112" s="569" t="b">
        <v>1</v>
      </c>
      <c r="GH112" s="1515" t="s">
        <v>3813</v>
      </c>
      <c r="GI112" s="1512" t="str">
        <f t="shared" si="26"/>
        <v/>
      </c>
      <c r="GJ112" s="1512" t="str">
        <f t="shared" ca="1" si="27"/>
        <v/>
      </c>
      <c r="GK112" s="456" t="str">
        <f t="shared" si="28"/>
        <v xml:space="preserve">// Improved Valor• Force, Technique
</v>
      </c>
    </row>
    <row r="113" spans="45:193">
      <c r="AS113" s="12" t="str">
        <f t="shared" si="39"/>
        <v>Rage and Power Attack (-5)</v>
      </c>
      <c r="AT113" s="3">
        <f t="shared" si="42"/>
        <v>-3</v>
      </c>
      <c r="AU113" s="3">
        <f t="shared" si="40"/>
        <v>7</v>
      </c>
      <c r="AV113" s="3">
        <f t="shared" si="41"/>
        <v>12</v>
      </c>
      <c r="AY113" s="3" t="s">
        <v>4083</v>
      </c>
      <c r="CR113" s="1704"/>
      <c r="CS113" s="1704"/>
      <c r="CT113" s="1704"/>
      <c r="CU113" s="1704"/>
      <c r="CV113" s="1704"/>
      <c r="CW113" s="1704"/>
      <c r="CX113" s="1704"/>
      <c r="CY113" s="1704"/>
      <c r="CZ113" s="1704"/>
      <c r="DA113" s="570" t="s">
        <v>195</v>
      </c>
      <c r="DB113" s="570" t="s">
        <v>195</v>
      </c>
      <c r="DC113" s="570" t="s">
        <v>195</v>
      </c>
      <c r="DD113" s="570" t="s">
        <v>195</v>
      </c>
      <c r="DE113" s="570" t="s">
        <v>195</v>
      </c>
      <c r="DF113" s="1104"/>
      <c r="DG113" s="1104"/>
      <c r="FK113" s="1511" t="s">
        <v>3934</v>
      </c>
      <c r="FL113" s="1493" t="s">
        <v>7824</v>
      </c>
      <c r="FM113" s="1512" t="s">
        <v>7126</v>
      </c>
      <c r="FN113" s="1512" t="s">
        <v>4022</v>
      </c>
      <c r="FO113" s="1512"/>
      <c r="GC113" s="1512" t="s">
        <v>7125</v>
      </c>
      <c r="GD113" s="597" t="str">
        <f t="shared" si="38"/>
        <v>// Improved Vital Transfer• Force, Technique
Use Vital Transfer with range of 6 squares</v>
      </c>
      <c r="GG113" s="569"/>
      <c r="GH113" s="1515" t="s">
        <v>5910</v>
      </c>
      <c r="GI113" s="1512" t="str">
        <f t="shared" si="26"/>
        <v/>
      </c>
      <c r="GJ113" s="1512" t="str">
        <f t="shared" ca="1" si="27"/>
        <v/>
      </c>
      <c r="GK113" s="456" t="str">
        <f t="shared" si="28"/>
        <v>// Improved Vital Transfer• Force, Technique
Use Vital Transfer with range of 6 squares</v>
      </c>
    </row>
    <row r="114" spans="45:193">
      <c r="AS114" s="12" t="str">
        <f t="shared" si="39"/>
        <v>Rage and Power Attack (-6)</v>
      </c>
      <c r="AT114" s="3">
        <f t="shared" si="42"/>
        <v>-4</v>
      </c>
      <c r="AU114" s="3">
        <f t="shared" si="40"/>
        <v>8</v>
      </c>
      <c r="AV114" s="3">
        <f t="shared" si="41"/>
        <v>14</v>
      </c>
      <c r="AY114" s="3" t="s">
        <v>4083</v>
      </c>
      <c r="CR114" s="1704"/>
      <c r="CS114" s="1704"/>
      <c r="CT114" s="1704"/>
      <c r="CU114" s="1704"/>
      <c r="CV114" s="1704"/>
      <c r="CW114" s="1704"/>
      <c r="CX114" s="1704"/>
      <c r="CY114" s="1704"/>
      <c r="CZ114" s="1704"/>
      <c r="DA114" s="570" t="s">
        <v>195</v>
      </c>
      <c r="DB114" s="570" t="s">
        <v>195</v>
      </c>
      <c r="DC114" s="570" t="s">
        <v>195</v>
      </c>
      <c r="DD114" s="570" t="s">
        <v>195</v>
      </c>
      <c r="DE114" s="570" t="s">
        <v>195</v>
      </c>
      <c r="DF114" s="1104"/>
      <c r="DG114" s="1104"/>
      <c r="FK114" s="1323" t="s">
        <v>2633</v>
      </c>
      <c r="FL114" s="1493" t="s">
        <v>7824</v>
      </c>
      <c r="FM114" s="1513" t="s">
        <v>7800</v>
      </c>
      <c r="FN114" s="1513" t="s">
        <v>4129</v>
      </c>
      <c r="FO114" s="569" t="s">
        <v>7092</v>
      </c>
      <c r="FP114" s="569" t="s">
        <v>65</v>
      </c>
      <c r="GC114" s="597" t="s">
        <v>7911</v>
      </c>
      <c r="GD114" s="597" t="str">
        <f t="shared" si="38"/>
        <v>// Indomitable Will (standard; FP) • Force, Talent
Immune to all mind-affecting effects for 1 minute</v>
      </c>
      <c r="GG114" s="569" t="b">
        <v>1</v>
      </c>
      <c r="GH114" s="8" t="str">
        <f>IF(FN114="Talent",INDEX(TalentsTable,MATCH(FK114,TalentsTableList,0),13),"")</f>
        <v>TFU 88</v>
      </c>
      <c r="GI114" s="1512" t="str">
        <f t="shared" si="26"/>
        <v/>
      </c>
      <c r="GJ114" s="1512" t="str">
        <f t="shared" ca="1" si="27"/>
        <v/>
      </c>
      <c r="GK114" s="456" t="str">
        <f t="shared" si="28"/>
        <v>// Indomitable Will (standard; FP) • Force, Talent
Immune to all mind-affecting effects for 1 minute</v>
      </c>
    </row>
    <row r="115" spans="45:193">
      <c r="AS115" s="12" t="str">
        <f t="shared" si="39"/>
        <v>Rage and Power Attack (-7)</v>
      </c>
      <c r="AT115" s="3">
        <f t="shared" si="42"/>
        <v>-5</v>
      </c>
      <c r="AU115" s="3">
        <f t="shared" si="40"/>
        <v>9</v>
      </c>
      <c r="AV115" s="3">
        <f t="shared" si="41"/>
        <v>16</v>
      </c>
      <c r="AY115" s="3" t="s">
        <v>4083</v>
      </c>
      <c r="CR115" s="1704"/>
      <c r="CS115" s="1704"/>
      <c r="CT115" s="1704"/>
      <c r="CU115" s="1704"/>
      <c r="CV115" s="1704"/>
      <c r="CW115" s="1704"/>
      <c r="CX115" s="1704"/>
      <c r="CY115" s="1704"/>
      <c r="CZ115" s="1704"/>
      <c r="DA115" s="570" t="s">
        <v>195</v>
      </c>
      <c r="DB115" s="570" t="s">
        <v>195</v>
      </c>
      <c r="DC115" s="570" t="s">
        <v>195</v>
      </c>
      <c r="DD115" s="570" t="s">
        <v>195</v>
      </c>
      <c r="DE115" s="570" t="s">
        <v>195</v>
      </c>
      <c r="DF115" s="1104"/>
      <c r="DG115" s="1104"/>
      <c r="FK115" s="1323" t="s">
        <v>4386</v>
      </c>
      <c r="FL115" s="1493" t="s">
        <v>7824</v>
      </c>
      <c r="FM115" s="1513" t="s">
        <v>7800</v>
      </c>
      <c r="FN115" s="1513" t="s">
        <v>4129</v>
      </c>
      <c r="FO115" s="569" t="s">
        <v>7188</v>
      </c>
      <c r="FP115" s="3" t="s">
        <v>7806</v>
      </c>
      <c r="GC115" s="597" t="s">
        <v>7897</v>
      </c>
      <c r="GD115" s="597" t="str">
        <f t="shared" si="38"/>
        <v>// Influence Savant (swift; encounter) • Force, Talent
Return one mind-affecting Force power to Force suite</v>
      </c>
      <c r="GG115" s="569" t="b">
        <v>1</v>
      </c>
      <c r="GH115" s="8" t="str">
        <f>IF(FN115="Talent",INDEX(TalentsTable,MATCH(FK115,TalentsTableList,0),13),"")</f>
        <v>JATM 15</v>
      </c>
      <c r="GI115" s="1512" t="str">
        <f t="shared" si="26"/>
        <v/>
      </c>
      <c r="GJ115" s="1512" t="str">
        <f t="shared" ca="1" si="27"/>
        <v/>
      </c>
      <c r="GK115" s="456" t="str">
        <f t="shared" si="28"/>
        <v>// Influence Savant (swift; encounter) • Force, Talent
Return one mind-affecting Force power to Force suite</v>
      </c>
    </row>
    <row r="116" spans="45:193">
      <c r="AS116" s="12" t="str">
        <f t="shared" si="39"/>
        <v>Rage and Power Attack (-8)</v>
      </c>
      <c r="AT116" s="3">
        <f t="shared" si="42"/>
        <v>-6</v>
      </c>
      <c r="AU116" s="3">
        <f t="shared" si="40"/>
        <v>10</v>
      </c>
      <c r="AV116" s="3">
        <f t="shared" si="41"/>
        <v>18</v>
      </c>
      <c r="AY116" s="3" t="s">
        <v>4083</v>
      </c>
      <c r="CR116" s="1704"/>
      <c r="CS116" s="1704"/>
      <c r="CT116" s="1704"/>
      <c r="CU116" s="1704"/>
      <c r="CV116" s="1704"/>
      <c r="CW116" s="1704"/>
      <c r="CX116" s="1704"/>
      <c r="CY116" s="1704"/>
      <c r="CZ116" s="1704"/>
      <c r="DA116" s="570" t="s">
        <v>195</v>
      </c>
      <c r="DB116" s="570" t="s">
        <v>195</v>
      </c>
      <c r="DC116" s="570" t="s">
        <v>195</v>
      </c>
      <c r="DD116" s="570" t="s">
        <v>195</v>
      </c>
      <c r="DE116" s="570" t="s">
        <v>195</v>
      </c>
      <c r="DF116" s="1104"/>
      <c r="DG116" s="1104"/>
      <c r="FK116" s="1511" t="s">
        <v>3937</v>
      </c>
      <c r="FL116" s="1493" t="s">
        <v>7824</v>
      </c>
      <c r="FM116" s="1512" t="s">
        <v>7126</v>
      </c>
      <c r="FN116" s="1512" t="s">
        <v>4022</v>
      </c>
      <c r="FO116" s="1512"/>
      <c r="GC116" s="1512"/>
      <c r="GD116" s="597" t="str">
        <f t="shared" si="38"/>
        <v xml:space="preserve">// Language Absorption• Force, Technique
</v>
      </c>
      <c r="GG116" s="569" t="b">
        <v>1</v>
      </c>
      <c r="GH116" s="1515" t="s">
        <v>6202</v>
      </c>
      <c r="GI116" s="1512" t="str">
        <f t="shared" si="26"/>
        <v/>
      </c>
      <c r="GJ116" s="1512" t="str">
        <f t="shared" ca="1" si="27"/>
        <v/>
      </c>
      <c r="GK116" s="456" t="str">
        <f t="shared" si="28"/>
        <v xml:space="preserve">// Language Absorption• Force, Technique
</v>
      </c>
    </row>
    <row r="117" spans="45:193">
      <c r="AS117" s="12" t="str">
        <f t="shared" si="39"/>
        <v>Rage and Power Attack (-9)</v>
      </c>
      <c r="AT117" s="3">
        <f t="shared" si="42"/>
        <v>-7</v>
      </c>
      <c r="AU117" s="3">
        <f t="shared" si="40"/>
        <v>11</v>
      </c>
      <c r="AV117" s="3">
        <f t="shared" si="41"/>
        <v>20</v>
      </c>
      <c r="AY117" s="3" t="s">
        <v>4083</v>
      </c>
      <c r="CR117" s="1704"/>
      <c r="CS117" s="1704"/>
      <c r="CT117" s="1704"/>
      <c r="CU117" s="1704"/>
      <c r="CV117" s="1704"/>
      <c r="CW117" s="1704"/>
      <c r="CX117" s="1704"/>
      <c r="CY117" s="1704"/>
      <c r="CZ117" s="1704"/>
      <c r="DA117" s="570" t="s">
        <v>195</v>
      </c>
      <c r="DB117" s="570" t="s">
        <v>195</v>
      </c>
      <c r="DC117" s="570" t="s">
        <v>195</v>
      </c>
      <c r="DD117" s="570" t="s">
        <v>195</v>
      </c>
      <c r="DE117" s="570" t="s">
        <v>195</v>
      </c>
      <c r="DF117" s="1104"/>
      <c r="DG117" s="1104"/>
      <c r="FK117" s="1323" t="s">
        <v>4388</v>
      </c>
      <c r="FL117" s="1493" t="s">
        <v>7824</v>
      </c>
      <c r="FM117" s="1513" t="s">
        <v>7800</v>
      </c>
      <c r="FN117" s="1513" t="s">
        <v>4129</v>
      </c>
      <c r="FO117" s="569" t="s">
        <v>7092</v>
      </c>
      <c r="FP117" s="569" t="s">
        <v>7806</v>
      </c>
      <c r="FQ117" s="597" t="s">
        <v>7274</v>
      </c>
      <c r="GC117" s="597" t="s">
        <v>7897</v>
      </c>
      <c r="GD117" s="597" t="str">
        <f>IF(HTML,IF(FL117="Attack",TRG,IF(FL117="Defense",TRO,TRLSG))&amp;WFS&amp;"u"&amp;WFF&amp;BS,"//")&amp;" "&amp;FK117&amp;IF(HTML,BF,"")&amp;IF(FO117&lt;&gt;""," ("&amp;FO117&amp;IF(FP117&lt;&gt;"","; "&amp;FP117,"")&amp;IF(FQ117&lt;&gt;"","; "&amp;FQ117,"")&amp;") "&amp;IF(HTML,WFS&amp;"v"&amp;WFF&amp;BS,"•"),IF(HTML,WFS&amp;"v"&amp;WFF&amp;BS,"•"))&amp;" "&amp;FM117&amp;IF(HTML,BF&amp;TRF&amp;TRW,"")&amp;"
"&amp;GC117&amp;TRFF</f>
        <v>// Link (standard; encounter; one ally within 12 squares and line of sight) • Force, Talent
Return one mind-affecting Force power to Force suite</v>
      </c>
      <c r="GG117" s="569" t="b">
        <v>1</v>
      </c>
      <c r="GH117" s="8" t="str">
        <f>IF(FN117="Talent",INDEX(TalentsTable,MATCH(FK117,TalentsTableList,0),13),"")</f>
        <v>JATM 15</v>
      </c>
      <c r="GI117" s="1512" t="str">
        <f t="shared" si="26"/>
        <v/>
      </c>
      <c r="GJ117" s="1512" t="str">
        <f t="shared" ca="1" si="27"/>
        <v/>
      </c>
      <c r="GK117" s="456" t="str">
        <f t="shared" si="28"/>
        <v>// Link (standard; encounter; one ally within 12 squares and line of sight) • Force, Talent
Return one mind-affecting Force power to Force suite</v>
      </c>
    </row>
    <row r="118" spans="45:193">
      <c r="AS118" s="12" t="str">
        <f t="shared" si="39"/>
        <v>Rage and Power Attack (-10)</v>
      </c>
      <c r="AT118" s="3">
        <f t="shared" si="42"/>
        <v>-8</v>
      </c>
      <c r="AU118" s="3">
        <f t="shared" si="40"/>
        <v>12</v>
      </c>
      <c r="AV118" s="3">
        <f t="shared" si="41"/>
        <v>22</v>
      </c>
      <c r="AY118" s="3" t="s">
        <v>4083</v>
      </c>
      <c r="CR118" s="1704"/>
      <c r="CS118" s="1704"/>
      <c r="CT118" s="1704"/>
      <c r="CU118" s="1704"/>
      <c r="CV118" s="1704"/>
      <c r="CW118" s="1704"/>
      <c r="CX118" s="1704"/>
      <c r="CY118" s="1704"/>
      <c r="CZ118" s="1704"/>
      <c r="DA118" s="570" t="s">
        <v>195</v>
      </c>
      <c r="DB118" s="570" t="s">
        <v>195</v>
      </c>
      <c r="DC118" s="570" t="s">
        <v>195</v>
      </c>
      <c r="DD118" s="570" t="s">
        <v>195</v>
      </c>
      <c r="DE118" s="570" t="s">
        <v>195</v>
      </c>
      <c r="DF118" s="1104"/>
      <c r="DG118" s="1104"/>
      <c r="FK118" s="1511" t="s">
        <v>5797</v>
      </c>
      <c r="FL118" s="1493" t="s">
        <v>7824</v>
      </c>
      <c r="FM118" s="1512" t="s">
        <v>7100</v>
      </c>
      <c r="FN118" s="1512" t="s">
        <v>4715</v>
      </c>
      <c r="FO118" s="1512" t="s">
        <v>7807</v>
      </c>
      <c r="FP118" s="1513" t="s">
        <v>65</v>
      </c>
      <c r="GC118" s="1512" t="s">
        <v>7101</v>
      </c>
      <c r="GD118" s="597" t="str">
        <f>IF(HTML,IF(FL118="Attack",TRG,IF(FL118="Defense",TRO,TRLSG))&amp;WFS&amp;"u"&amp;WFF&amp;BS,"//")&amp;" "&amp;FK118&amp;IF(HTML,BF,"")&amp;IF(FO118&lt;&gt;""," ("&amp;FO118&amp;IF(FP118&lt;&gt;"","; "&amp;FP118,"")&amp;IF(FQ118&lt;&gt;"","; "&amp;FQ118,"")&amp;") "&amp;IF(HTML,WFS&amp;"v"&amp;WFF&amp;BS,"•"),IF(HTML,WFS&amp;"v"&amp;WFF&amp;BS,"•"))&amp;" "&amp;FM118&amp;IF(HTML,BF&amp;TRF&amp;TRW,"")&amp;"
"&amp;GC118&amp;TRFF</f>
        <v>// Linked Power (free action; FP) • Force, Secret
Spend a Force Point to link a Force power to the power you use in the current round so that it goes off in the following round as free action</v>
      </c>
      <c r="GG118" s="569"/>
      <c r="GH118" s="1515" t="s">
        <v>5910</v>
      </c>
      <c r="GI118" s="1512" t="str">
        <f t="shared" si="26"/>
        <v/>
      </c>
      <c r="GJ118" s="1512" t="str">
        <f t="shared" ca="1" si="27"/>
        <v/>
      </c>
      <c r="GK118" s="456" t="str">
        <f t="shared" si="28"/>
        <v>// Linked Power (free action; FP) • Force, Secret
Spend a Force Point to link a Force power to the power you use in the current round so that it goes off in the following round as free action</v>
      </c>
    </row>
    <row r="119" spans="45:193">
      <c r="AS119" s="12" t="str">
        <f t="shared" si="39"/>
        <v>Rage and Power Attack (-11)</v>
      </c>
      <c r="AT119" s="3">
        <f t="shared" si="42"/>
        <v>-9</v>
      </c>
      <c r="AU119" s="3">
        <f t="shared" si="40"/>
        <v>13</v>
      </c>
      <c r="AV119" s="3">
        <f t="shared" si="41"/>
        <v>24</v>
      </c>
      <c r="AY119" s="3" t="s">
        <v>4083</v>
      </c>
      <c r="CR119" s="1704"/>
      <c r="CS119" s="1704"/>
      <c r="CT119" s="1704"/>
      <c r="CU119" s="1704"/>
      <c r="CV119" s="1704"/>
      <c r="CW119" s="1704"/>
      <c r="CX119" s="1704"/>
      <c r="CY119" s="1704"/>
      <c r="CZ119" s="1704"/>
      <c r="DA119" s="570" t="s">
        <v>195</v>
      </c>
      <c r="DB119" s="570" t="s">
        <v>195</v>
      </c>
      <c r="DC119" s="570" t="s">
        <v>195</v>
      </c>
      <c r="DD119" s="570" t="s">
        <v>195</v>
      </c>
      <c r="DE119" s="570" t="s">
        <v>195</v>
      </c>
      <c r="DF119" s="1104"/>
      <c r="DG119" s="1104"/>
      <c r="FK119" s="1511" t="s">
        <v>5798</v>
      </c>
      <c r="FL119" s="1493" t="s">
        <v>7824</v>
      </c>
      <c r="FM119" s="1512" t="s">
        <v>7100</v>
      </c>
      <c r="FN119" s="1512" t="s">
        <v>4715</v>
      </c>
      <c r="FO119" s="1512" t="s">
        <v>7807</v>
      </c>
      <c r="FP119" s="1513" t="s">
        <v>7809</v>
      </c>
      <c r="FQ119" s="597" t="str">
        <f>"when "&amp;CharacterName&amp;" activates Force power"</f>
        <v>when  activates Force power</v>
      </c>
      <c r="GC119" s="1512" t="s">
        <v>7121</v>
      </c>
      <c r="GD119" s="597" t="str">
        <f t="shared" si="38"/>
        <v>// Mentor (free action; FP/DP; when  activates Force power) • Force, Secret
Spend a Force Point to add one use of any Force power known to any ally within 12 squares until end of next turn; spend a Destiny Point to have power lost at end of encounter</v>
      </c>
      <c r="GG119" s="569"/>
      <c r="GH119" s="1515" t="s">
        <v>5933</v>
      </c>
      <c r="GI119" s="1512" t="str">
        <f t="shared" si="26"/>
        <v/>
      </c>
      <c r="GJ119" s="1512" t="str">
        <f t="shared" ca="1" si="27"/>
        <v/>
      </c>
      <c r="GK119" s="456" t="str">
        <f t="shared" si="28"/>
        <v>// Mentor (free action; FP/DP; when  activates Force power) • Force, Secret
Spend a Force Point to add one use of any Force power known to any ally within 12 squares until end of next turn; spend a Destiny Point to have power lost at end of encounter</v>
      </c>
    </row>
    <row r="120" spans="45:193">
      <c r="AS120" s="12" t="str">
        <f t="shared" si="39"/>
        <v>Rage and Power Attack (-12)</v>
      </c>
      <c r="AT120" s="3">
        <f t="shared" si="42"/>
        <v>-10</v>
      </c>
      <c r="AU120" s="3">
        <f t="shared" si="40"/>
        <v>14</v>
      </c>
      <c r="AV120" s="3">
        <f t="shared" si="41"/>
        <v>26</v>
      </c>
      <c r="AY120" s="3" t="s">
        <v>4083</v>
      </c>
      <c r="CR120" s="1704"/>
      <c r="CS120" s="1704"/>
      <c r="CT120" s="1704"/>
      <c r="CU120" s="1704"/>
      <c r="CV120" s="1704"/>
      <c r="CW120" s="1704"/>
      <c r="CX120" s="1704"/>
      <c r="CY120" s="1704"/>
      <c r="CZ120" s="1704"/>
      <c r="DA120" s="570" t="s">
        <v>195</v>
      </c>
      <c r="DB120" s="570" t="s">
        <v>195</v>
      </c>
      <c r="DC120" s="570" t="s">
        <v>195</v>
      </c>
      <c r="DD120" s="570" t="s">
        <v>195</v>
      </c>
      <c r="DE120" s="570" t="s">
        <v>195</v>
      </c>
      <c r="DF120" s="1104"/>
      <c r="DG120" s="1104"/>
      <c r="FK120" s="1323" t="s">
        <v>2580</v>
      </c>
      <c r="FL120" s="1493" t="s">
        <v>7824</v>
      </c>
      <c r="FM120" s="1513" t="s">
        <v>4129</v>
      </c>
      <c r="FN120" s="1513" t="s">
        <v>4129</v>
      </c>
      <c r="FO120" s="1513" t="s">
        <v>7188</v>
      </c>
      <c r="FQ120" s="1513" t="s">
        <v>7878</v>
      </c>
      <c r="GC120" s="597" t="str">
        <f>"If enemy moves, move with enemy up to "&amp;Speed&amp;" squares, whilst still benefiting from attacks of opportunity"</f>
        <v>If enemy moves, move with enemy up to  squares, whilst still benefiting from attacks of opportunity</v>
      </c>
      <c r="GD120" s="597" t="str">
        <f t="shared" si="38"/>
        <v>// Mobile Combatant (swift; after ending movement adjacent to an enemy) • Talent
If enemy moves, move with enemy up to  squares, whilst still benefiting from attacks of opportunity</v>
      </c>
      <c r="GG120" s="569" t="b">
        <v>1</v>
      </c>
      <c r="GH120" s="8" t="str">
        <f>IF(FN120="Talent",INDEX(TalentsTable,MATCH(FK120,TalentsTableList,0),13),"")</f>
        <v>TFU 24</v>
      </c>
      <c r="GI120" s="1512" t="str">
        <f t="shared" si="26"/>
        <v/>
      </c>
      <c r="GJ120" s="1512" t="str">
        <f t="shared" ca="1" si="27"/>
        <v/>
      </c>
      <c r="GK120" s="456" t="str">
        <f t="shared" si="28"/>
        <v>// Mobile Combatant (swift; after ending movement adjacent to an enemy) • Talent
If enemy moves, move with enemy up to  squares, whilst still benefiting from attacks of opportunity</v>
      </c>
    </row>
    <row r="121" spans="45:193">
      <c r="AS121" s="12" t="str">
        <f t="shared" si="39"/>
        <v>Rage and Power Attack (-13)</v>
      </c>
      <c r="AT121" s="3">
        <f t="shared" si="42"/>
        <v>-11</v>
      </c>
      <c r="AU121" s="3">
        <f t="shared" si="40"/>
        <v>15</v>
      </c>
      <c r="AV121" s="3">
        <f t="shared" si="41"/>
        <v>28</v>
      </c>
      <c r="AY121" s="3" t="s">
        <v>4083</v>
      </c>
      <c r="CR121" s="1704"/>
      <c r="CS121" s="1704"/>
      <c r="CT121" s="1704"/>
      <c r="CU121" s="1704"/>
      <c r="CV121" s="1704"/>
      <c r="CW121" s="1704"/>
      <c r="CX121" s="1704"/>
      <c r="CY121" s="1704"/>
      <c r="CZ121" s="1704"/>
      <c r="DA121" s="570" t="s">
        <v>195</v>
      </c>
      <c r="DB121" s="570" t="s">
        <v>195</v>
      </c>
      <c r="DC121" s="570" t="s">
        <v>195</v>
      </c>
      <c r="DD121" s="570" t="s">
        <v>195</v>
      </c>
      <c r="DE121" s="570" t="s">
        <v>195</v>
      </c>
      <c r="DF121" s="1104"/>
      <c r="DG121" s="1104"/>
      <c r="FK121" s="1323" t="s">
        <v>2617</v>
      </c>
      <c r="FL121" s="1493" t="s">
        <v>7824</v>
      </c>
      <c r="FM121" s="1513" t="s">
        <v>7800</v>
      </c>
      <c r="FN121" s="1513" t="s">
        <v>4129</v>
      </c>
      <c r="FO121" s="569" t="s">
        <v>7807</v>
      </c>
      <c r="FP121" s="569" t="s">
        <v>65</v>
      </c>
      <c r="FQ121" s="597" t="s">
        <v>3910</v>
      </c>
      <c r="GC121" s="597" t="s">
        <v>7902</v>
      </c>
      <c r="GD121" s="597" t="str">
        <f t="shared" si="38"/>
        <v>// Move Massive Object (free action; FP; move object) • Force, Talent
When using Move Object, objects of Large size or greater deal area damage</v>
      </c>
      <c r="GG121" s="569" t="b">
        <v>1</v>
      </c>
      <c r="GH121" s="8" t="str">
        <f>IF(FN121="Talent",INDEX(TalentsTable,MATCH(FK121,TalentsTableList,0),13),"")</f>
        <v>LE 55</v>
      </c>
      <c r="GI121" s="1512" t="str">
        <f t="shared" si="26"/>
        <v/>
      </c>
      <c r="GJ121" s="1512" t="str">
        <f t="shared" ca="1" si="27"/>
        <v/>
      </c>
      <c r="GK121" s="456" t="str">
        <f t="shared" si="28"/>
        <v>// Move Massive Object (free action; FP; move object) • Force, Talent
When using Move Object, objects of Large size or greater deal area damage</v>
      </c>
    </row>
    <row r="122" spans="45:193">
      <c r="AS122" s="12" t="str">
        <f t="shared" si="39"/>
        <v>Rage and Power Attack (-14)</v>
      </c>
      <c r="AT122" s="3">
        <f t="shared" si="42"/>
        <v>-12</v>
      </c>
      <c r="AU122" s="3">
        <f t="shared" si="40"/>
        <v>16</v>
      </c>
      <c r="AV122" s="3">
        <f t="shared" si="41"/>
        <v>30</v>
      </c>
      <c r="AY122" s="3" t="s">
        <v>4083</v>
      </c>
      <c r="CR122" s="1704"/>
      <c r="CS122" s="1704"/>
      <c r="CT122" s="1704"/>
      <c r="CU122" s="1704"/>
      <c r="CV122" s="1704"/>
      <c r="CW122" s="1704"/>
      <c r="CX122" s="1704"/>
      <c r="CY122" s="1704"/>
      <c r="CZ122" s="1704"/>
      <c r="DA122" s="570" t="s">
        <v>195</v>
      </c>
      <c r="DB122" s="570" t="s">
        <v>195</v>
      </c>
      <c r="DC122" s="570" t="s">
        <v>195</v>
      </c>
      <c r="DD122" s="570" t="s">
        <v>195</v>
      </c>
      <c r="DE122" s="570" t="s">
        <v>195</v>
      </c>
      <c r="DF122" s="1104"/>
      <c r="DG122" s="1104"/>
      <c r="FK122" s="1511" t="s">
        <v>5799</v>
      </c>
      <c r="FL122" s="1493" t="s">
        <v>7824</v>
      </c>
      <c r="FM122" s="1512" t="s">
        <v>7100</v>
      </c>
      <c r="FN122" s="1512" t="s">
        <v>4715</v>
      </c>
      <c r="FO122" s="1512" t="s">
        <v>7807</v>
      </c>
      <c r="FP122" s="1513" t="s">
        <v>65</v>
      </c>
      <c r="GC122" s="1512" t="str">
        <f>"Spend a Force Point to affect one additional target; spend Destiny Point to affect "&amp;INT(CharacterLevel/4)&amp;" target"&amp;IF(INT(CharacterLevel/4)&gt;1,"s","")</f>
        <v>Spend a Force Point to affect one additional target; spend Destiny Point to affect 0 target</v>
      </c>
      <c r="GD122" s="597" t="str">
        <f t="shared" si="38"/>
        <v>// Multitarget Power (free action; FP) • Force, Secret
Spend a Force Point to affect one additional target; spend Destiny Point to affect 0 target</v>
      </c>
      <c r="GG122" s="569"/>
      <c r="GH122" s="1515" t="s">
        <v>5902</v>
      </c>
      <c r="GI122" s="1512" t="str">
        <f t="shared" si="26"/>
        <v/>
      </c>
      <c r="GJ122" s="1512" t="str">
        <f t="shared" ca="1" si="27"/>
        <v/>
      </c>
      <c r="GK122" s="456" t="str">
        <f t="shared" si="28"/>
        <v>// Multitarget Power (free action; FP) • Force, Secret
Spend a Force Point to affect one additional target; spend Destiny Point to affect 0 target</v>
      </c>
    </row>
    <row r="123" spans="45:193">
      <c r="AS123" s="12" t="str">
        <f t="shared" si="39"/>
        <v>Rage and Power Attack (-15)</v>
      </c>
      <c r="AT123" s="3">
        <f t="shared" si="42"/>
        <v>-13</v>
      </c>
      <c r="AU123" s="3">
        <f t="shared" si="40"/>
        <v>17</v>
      </c>
      <c r="AV123" s="3">
        <f t="shared" si="41"/>
        <v>32</v>
      </c>
      <c r="AY123" s="3" t="s">
        <v>4083</v>
      </c>
      <c r="CR123" s="1704"/>
      <c r="CS123" s="1704"/>
      <c r="CT123" s="1704"/>
      <c r="CU123" s="1704"/>
      <c r="CV123" s="1704"/>
      <c r="CW123" s="1704"/>
      <c r="CX123" s="1704"/>
      <c r="CY123" s="1704"/>
      <c r="CZ123" s="1704"/>
      <c r="DA123" s="570" t="s">
        <v>195</v>
      </c>
      <c r="DB123" s="570" t="s">
        <v>195</v>
      </c>
      <c r="DC123" s="570" t="s">
        <v>195</v>
      </c>
      <c r="DD123" s="570" t="s">
        <v>195</v>
      </c>
      <c r="DE123" s="570" t="s">
        <v>195</v>
      </c>
      <c r="DF123" s="1104"/>
      <c r="DG123" s="1104"/>
      <c r="FK123" s="1511" t="s">
        <v>5800</v>
      </c>
      <c r="FL123" s="1493" t="s">
        <v>7824</v>
      </c>
      <c r="FM123" s="1512" t="s">
        <v>7100</v>
      </c>
      <c r="FN123" s="1512" t="s">
        <v>4715</v>
      </c>
      <c r="FO123" s="1512" t="s">
        <v>7807</v>
      </c>
      <c r="FP123" s="1513" t="s">
        <v>7809</v>
      </c>
      <c r="FQ123" s="1513" t="s">
        <v>7812</v>
      </c>
      <c r="GC123" s="1512" t="s">
        <v>7116</v>
      </c>
      <c r="GD123" s="597" t="str">
        <f t="shared" si="38"/>
        <v>// Pure Power (free action; FP/DP; non [dark side] Force power) • Force, Secret
Spend Force Point to give power the [light side] descriptor and opponents with Dark Side Score take -2 penalty to defense scores against power; spend Destiny point to increase the penalty to opponents' defense scores to - 5</v>
      </c>
      <c r="GG123" s="569"/>
      <c r="GH123" s="1515" t="s">
        <v>5910</v>
      </c>
      <c r="GI123" s="1512" t="str">
        <f t="shared" si="26"/>
        <v/>
      </c>
      <c r="GJ123" s="1512" t="str">
        <f t="shared" ca="1" si="27"/>
        <v/>
      </c>
      <c r="GK123" s="456" t="str">
        <f t="shared" si="28"/>
        <v>// Pure Power (free action; FP/DP; non [dark side] Force power) • Force, Secret
Spend Force Point to give power the [light side] descriptor and opponents with Dark Side Score take -2 penalty to defense scores against power; spend Destiny point to increase the penalty to opponents' defense scores to - 5</v>
      </c>
    </row>
    <row r="124" spans="45:193">
      <c r="AS124" s="12" t="str">
        <f t="shared" si="39"/>
        <v>Rage and Power Attack (-16)</v>
      </c>
      <c r="AT124" s="3">
        <f t="shared" si="42"/>
        <v>-14</v>
      </c>
      <c r="AU124" s="3">
        <f t="shared" si="40"/>
        <v>18</v>
      </c>
      <c r="AV124" s="3">
        <f t="shared" si="41"/>
        <v>34</v>
      </c>
      <c r="AY124" s="3" t="s">
        <v>4083</v>
      </c>
      <c r="CR124" s="1704"/>
      <c r="CS124" s="1704"/>
      <c r="CT124" s="1704"/>
      <c r="CU124" s="1704"/>
      <c r="CV124" s="1704"/>
      <c r="CW124" s="1704"/>
      <c r="CX124" s="1704"/>
      <c r="CY124" s="1704"/>
      <c r="CZ124" s="1704"/>
      <c r="DA124" s="570" t="s">
        <v>195</v>
      </c>
      <c r="DB124" s="570" t="s">
        <v>195</v>
      </c>
      <c r="DC124" s="570" t="s">
        <v>195</v>
      </c>
      <c r="DD124" s="570" t="s">
        <v>195</v>
      </c>
      <c r="DE124" s="570" t="s">
        <v>195</v>
      </c>
      <c r="DF124" s="1104"/>
      <c r="DG124" s="1104"/>
      <c r="FK124" s="1511" t="s">
        <v>5801</v>
      </c>
      <c r="FL124" s="1493" t="s">
        <v>7824</v>
      </c>
      <c r="FM124" s="1512" t="s">
        <v>7100</v>
      </c>
      <c r="FN124" s="1512" t="s">
        <v>4715</v>
      </c>
      <c r="FO124" s="1512" t="s">
        <v>7807</v>
      </c>
      <c r="FP124" s="1513" t="s">
        <v>7809</v>
      </c>
      <c r="GC124" s="1512" t="s">
        <v>7108</v>
      </c>
      <c r="GD124" s="597" t="str">
        <f t="shared" si="38"/>
        <v>// Quicken Power (free action; FP/DP) • Force, Secret
Spend Force Point to activate Force power as swift; spend Destiny Point to activate as reaction</v>
      </c>
      <c r="GG124" s="569"/>
      <c r="GH124" s="1515" t="s">
        <v>5908</v>
      </c>
      <c r="GI124" s="1512" t="str">
        <f t="shared" si="26"/>
        <v/>
      </c>
      <c r="GJ124" s="1512" t="str">
        <f t="shared" ca="1" si="27"/>
        <v/>
      </c>
      <c r="GK124" s="456" t="str">
        <f t="shared" si="28"/>
        <v>// Quicken Power (free action; FP/DP) • Force, Secret
Spend Force Point to activate Force power as swift; spend Destiny Point to activate as reaction</v>
      </c>
    </row>
    <row r="125" spans="45:193">
      <c r="AS125" s="12" t="str">
        <f t="shared" si="39"/>
        <v>Rage and Power Attack (-17)</v>
      </c>
      <c r="AT125" s="3">
        <f t="shared" si="42"/>
        <v>-15</v>
      </c>
      <c r="AU125" s="3">
        <f t="shared" si="40"/>
        <v>19</v>
      </c>
      <c r="AV125" s="3">
        <f t="shared" si="41"/>
        <v>36</v>
      </c>
      <c r="AY125" s="3" t="s">
        <v>4083</v>
      </c>
      <c r="CR125" s="1704"/>
      <c r="CS125" s="1704"/>
      <c r="CT125" s="1704"/>
      <c r="CU125" s="1704"/>
      <c r="CV125" s="1704"/>
      <c r="CW125" s="1704"/>
      <c r="CX125" s="1704"/>
      <c r="CY125" s="1704"/>
      <c r="CZ125" s="1704"/>
      <c r="DA125" s="570" t="s">
        <v>195</v>
      </c>
      <c r="DB125" s="570" t="s">
        <v>195</v>
      </c>
      <c r="DC125" s="570" t="s">
        <v>195</v>
      </c>
      <c r="DD125" s="570" t="s">
        <v>195</v>
      </c>
      <c r="DE125" s="570" t="s">
        <v>195</v>
      </c>
      <c r="DF125" s="1104"/>
      <c r="DG125" s="1104"/>
      <c r="FK125" s="1323" t="s">
        <v>6361</v>
      </c>
      <c r="FL125" s="1493" t="s">
        <v>7824</v>
      </c>
      <c r="FM125" s="1513" t="s">
        <v>7800</v>
      </c>
      <c r="FN125" s="1513" t="s">
        <v>4129</v>
      </c>
      <c r="FQ125" s="597" t="s">
        <v>7882</v>
      </c>
      <c r="GC125" s="1509" t="s">
        <v>7886</v>
      </c>
      <c r="GD125" s="597" t="str">
        <f t="shared" si="38"/>
        <v>// Reap Retribution• Force, Talent
Until the end of the encounter, deal +2 damage against the creature that used the Force power</v>
      </c>
      <c r="GG125" s="569" t="b">
        <v>1</v>
      </c>
      <c r="GH125" s="8" t="str">
        <f>IF(FN125="Talent",INDEX(TalentsTable,MATCH(FK125,TalentsTableList,0),13),"")</f>
        <v>RE 23</v>
      </c>
      <c r="GI125" s="1512" t="str">
        <f t="shared" si="26"/>
        <v/>
      </c>
      <c r="GJ125" s="1512" t="str">
        <f t="shared" ca="1" si="27"/>
        <v/>
      </c>
      <c r="GK125" s="456" t="str">
        <f t="shared" si="28"/>
        <v>// Reap Retribution• Force, Talent
Until the end of the encounter, deal +2 damage against the creature that used the Force power</v>
      </c>
    </row>
    <row r="126" spans="45:193">
      <c r="AS126" s="12" t="str">
        <f t="shared" si="39"/>
        <v>Rage and Power Attack (-18)</v>
      </c>
      <c r="AT126" s="3">
        <f t="shared" si="42"/>
        <v>-16</v>
      </c>
      <c r="AU126" s="3">
        <f t="shared" si="40"/>
        <v>20</v>
      </c>
      <c r="AV126" s="3">
        <f t="shared" si="41"/>
        <v>38</v>
      </c>
      <c r="AY126" s="3" t="s">
        <v>4083</v>
      </c>
      <c r="CR126" s="1704"/>
      <c r="CS126" s="1704"/>
      <c r="CT126" s="1704"/>
      <c r="CU126" s="1704"/>
      <c r="CV126" s="1704"/>
      <c r="CW126" s="1704"/>
      <c r="CX126" s="1704"/>
      <c r="CY126" s="1704"/>
      <c r="CZ126" s="1704"/>
      <c r="DA126" s="570" t="s">
        <v>195</v>
      </c>
      <c r="DB126" s="570" t="s">
        <v>195</v>
      </c>
      <c r="DC126" s="570" t="s">
        <v>195</v>
      </c>
      <c r="DD126" s="570" t="s">
        <v>195</v>
      </c>
      <c r="DE126" s="570" t="s">
        <v>195</v>
      </c>
      <c r="DF126" s="1104"/>
      <c r="DG126" s="1104"/>
      <c r="FK126" s="1323" t="s">
        <v>2472</v>
      </c>
      <c r="FL126" s="1493" t="s">
        <v>7824</v>
      </c>
      <c r="FM126" s="1513" t="s">
        <v>7800</v>
      </c>
      <c r="FN126" s="1513" t="s">
        <v>4129</v>
      </c>
      <c r="FP126" s="1513"/>
      <c r="FQ126" s="597" t="str">
        <f>CharacterName&amp;" returns a Force power to "&amp;Pronoun&amp;" Force suite"</f>
        <v xml:space="preserve"> returns a Force power to it Force suite</v>
      </c>
      <c r="GC126" s="597" t="s">
        <v>7867</v>
      </c>
      <c r="GD126" s="597" t="str">
        <f t="shared" si="38"/>
        <v>// Recall• Force, Talent
Regain two Force powers instead of one</v>
      </c>
      <c r="GG126" s="569" t="b">
        <v>1</v>
      </c>
      <c r="GH126" s="8" t="str">
        <f>IF(FN126="Talent",INDEX(TalentsTable,MATCH(FK126,TalentsTableList,0),13),"")</f>
        <v>RE 23</v>
      </c>
      <c r="GI126" s="1512" t="str">
        <f t="shared" si="26"/>
        <v/>
      </c>
      <c r="GJ126" s="1512" t="str">
        <f t="shared" ca="1" si="27"/>
        <v/>
      </c>
      <c r="GK126" s="456" t="str">
        <f t="shared" si="28"/>
        <v>// Recall• Force, Talent
Regain two Force powers instead of one</v>
      </c>
    </row>
    <row r="127" spans="45:193">
      <c r="AS127" s="12" t="str">
        <f t="shared" si="39"/>
        <v>Rage and Power Attack (-19)</v>
      </c>
      <c r="AT127" s="3">
        <f t="shared" si="42"/>
        <v>-17</v>
      </c>
      <c r="AU127" s="3">
        <f t="shared" si="40"/>
        <v>21</v>
      </c>
      <c r="AV127" s="3">
        <f t="shared" si="41"/>
        <v>40</v>
      </c>
      <c r="AY127" s="3" t="s">
        <v>4083</v>
      </c>
      <c r="CR127" s="1704"/>
      <c r="CS127" s="1704"/>
      <c r="CT127" s="1704"/>
      <c r="CU127" s="1704"/>
      <c r="CV127" s="1704"/>
      <c r="CW127" s="1704"/>
      <c r="CX127" s="1704"/>
      <c r="CY127" s="1704"/>
      <c r="CZ127" s="1704"/>
      <c r="DA127" s="570" t="s">
        <v>195</v>
      </c>
      <c r="DB127" s="570" t="s">
        <v>195</v>
      </c>
      <c r="DC127" s="570" t="s">
        <v>195</v>
      </c>
      <c r="DD127" s="570" t="s">
        <v>195</v>
      </c>
      <c r="DE127" s="570" t="s">
        <v>195</v>
      </c>
      <c r="DF127" s="1104"/>
      <c r="DG127" s="1104"/>
      <c r="FK127" s="1511" t="s">
        <v>5802</v>
      </c>
      <c r="FL127" s="1493" t="s">
        <v>7824</v>
      </c>
      <c r="FM127" s="1512" t="s">
        <v>7100</v>
      </c>
      <c r="FN127" s="1512" t="s">
        <v>4715</v>
      </c>
      <c r="FO127" s="1512" t="s">
        <v>7807</v>
      </c>
      <c r="FP127" s="1513" t="s">
        <v>7809</v>
      </c>
      <c r="FQ127" s="3" t="s">
        <v>7813</v>
      </c>
      <c r="GC127" s="1512" t="s">
        <v>7118</v>
      </c>
      <c r="GD127" s="597" t="str">
        <f t="shared" si="38"/>
        <v>// Remote Power (free action; FP/DP; Force power with cone, line, or radius effect) • Force, Secret
Spend a Force Point to have power originate from a square within 6 squares; spend Destiny Point to have power originate from any square with in line of sight</v>
      </c>
      <c r="GG127" s="569"/>
      <c r="GH127" s="1515" t="s">
        <v>5938</v>
      </c>
      <c r="GI127" s="1512" t="str">
        <f t="shared" si="26"/>
        <v/>
      </c>
      <c r="GJ127" s="1512" t="str">
        <f t="shared" ca="1" si="27"/>
        <v/>
      </c>
      <c r="GK127" s="456" t="str">
        <f t="shared" si="28"/>
        <v>// Remote Power (free action; FP/DP; Force power with cone, line, or radius effect) • Force, Secret
Spend a Force Point to have power originate from a square within 6 squares; spend Destiny Point to have power originate from any square with in line of sight</v>
      </c>
    </row>
    <row r="128" spans="45:193">
      <c r="AS128" s="12" t="str">
        <f t="shared" si="39"/>
        <v>Rage and Power Attack (-20)</v>
      </c>
      <c r="AT128" s="3">
        <f t="shared" si="42"/>
        <v>-18</v>
      </c>
      <c r="AU128" s="3">
        <f t="shared" si="40"/>
        <v>22</v>
      </c>
      <c r="AV128" s="3">
        <f t="shared" si="41"/>
        <v>42</v>
      </c>
      <c r="AY128" s="3" t="s">
        <v>4083</v>
      </c>
      <c r="CR128" s="1704"/>
      <c r="CS128" s="1704"/>
      <c r="CT128" s="1704"/>
      <c r="CU128" s="1704"/>
      <c r="CV128" s="1704"/>
      <c r="CW128" s="1704"/>
      <c r="CX128" s="1704"/>
      <c r="CY128" s="1704"/>
      <c r="CZ128" s="1704"/>
      <c r="DA128" s="570" t="s">
        <v>195</v>
      </c>
      <c r="DB128" s="570" t="s">
        <v>195</v>
      </c>
      <c r="DC128" s="570" t="s">
        <v>195</v>
      </c>
      <c r="DD128" s="570" t="s">
        <v>195</v>
      </c>
      <c r="DE128" s="570" t="s">
        <v>195</v>
      </c>
      <c r="DF128" s="1104"/>
      <c r="DG128" s="1104"/>
      <c r="FK128" s="1323" t="s">
        <v>2563</v>
      </c>
      <c r="FL128" s="1493" t="s">
        <v>7824</v>
      </c>
      <c r="FM128" s="1513" t="s">
        <v>7800</v>
      </c>
      <c r="FN128" s="1513" t="s">
        <v>4129</v>
      </c>
      <c r="FO128" s="1513" t="s">
        <v>7188</v>
      </c>
      <c r="FP128" s="1513" t="s">
        <v>7806</v>
      </c>
      <c r="GC128" s="597" t="s">
        <v>7864</v>
      </c>
      <c r="GD128" s="597" t="str">
        <f t="shared" si="38"/>
        <v>// Renew Vision (swift; encounter) • Force, Talent
Regain all expended uses of farseeing</v>
      </c>
      <c r="GG128" s="569" t="b">
        <v>1</v>
      </c>
      <c r="GH128" s="8" t="str">
        <f>IF(FN128="Talent",INDEX(TalentsTable,MATCH(FK128,TalentsTableList,0),13),"")</f>
        <v>KotOR 25</v>
      </c>
      <c r="GI128" s="1512" t="str">
        <f t="shared" si="26"/>
        <v/>
      </c>
      <c r="GJ128" s="1512" t="str">
        <f t="shared" ca="1" si="27"/>
        <v/>
      </c>
      <c r="GK128" s="456" t="str">
        <f t="shared" si="28"/>
        <v>// Renew Vision (swift; encounter) • Force, Talent
Regain all expended uses of farseeing</v>
      </c>
    </row>
    <row r="129" spans="45:193">
      <c r="AS129" s="12" t="s">
        <v>2468</v>
      </c>
      <c r="AT129" s="3">
        <f>IF(Talents!$M$1034&gt;0,0,IF(Strength&lt;13,-5,-2))</f>
        <v>-2</v>
      </c>
      <c r="AW129" s="3">
        <v>1</v>
      </c>
      <c r="AY129" s="3" t="s">
        <v>4084</v>
      </c>
      <c r="CR129" s="1704"/>
      <c r="CS129" s="1704"/>
      <c r="CT129" s="1704"/>
      <c r="CU129" s="1704"/>
      <c r="CV129" s="1704"/>
      <c r="CW129" s="1704"/>
      <c r="CX129" s="1704"/>
      <c r="CY129" s="1704"/>
      <c r="CZ129" s="1704"/>
      <c r="DA129" s="570" t="s">
        <v>195</v>
      </c>
      <c r="DB129" s="570" t="s">
        <v>195</v>
      </c>
      <c r="DC129" s="570" t="s">
        <v>195</v>
      </c>
      <c r="DD129" s="570" t="s">
        <v>195</v>
      </c>
      <c r="DE129" s="570" t="s">
        <v>195</v>
      </c>
      <c r="DF129" s="1104"/>
      <c r="DG129" s="1104"/>
      <c r="FK129" s="1323" t="s">
        <v>2581</v>
      </c>
      <c r="FL129" s="1493" t="s">
        <v>7824</v>
      </c>
      <c r="FM129" s="1513" t="s">
        <v>4129</v>
      </c>
      <c r="FN129" s="1513" t="s">
        <v>4129</v>
      </c>
      <c r="FO129" s="1513" t="s">
        <v>7796</v>
      </c>
      <c r="GC129" s="597" t="s">
        <v>7879</v>
      </c>
      <c r="GD129" s="597" t="str">
        <f t="shared" si="38"/>
        <v>// Resilience (full-round) • Talent
Move +2 steps along the condition track</v>
      </c>
      <c r="GG129" s="569" t="b">
        <v>1</v>
      </c>
      <c r="GH129" s="8">
        <f>IF(FN129="Talent",INDEX(TalentsTable,MATCH(FK129,TalentsTableList,0),13),"")</f>
        <v>40</v>
      </c>
      <c r="GI129" s="1512" t="str">
        <f t="shared" si="26"/>
        <v/>
      </c>
      <c r="GJ129" s="1512" t="str">
        <f t="shared" ca="1" si="27"/>
        <v/>
      </c>
      <c r="GK129" s="456" t="str">
        <f t="shared" si="28"/>
        <v>// Resilience (full-round) • Talent
Move +2 steps along the condition track</v>
      </c>
    </row>
    <row r="130" spans="45:193">
      <c r="AS130" s="12" t="s">
        <v>5822</v>
      </c>
      <c r="AT130" s="3">
        <f>IF(Talents!$M$1034&gt;0,0,IF(Strength&lt;13,-5,-2))+1</f>
        <v>-1</v>
      </c>
      <c r="AU130" s="3">
        <v>1</v>
      </c>
      <c r="AW130" s="569">
        <v>1</v>
      </c>
      <c r="AY130" s="569" t="s">
        <v>4084</v>
      </c>
      <c r="CR130" s="1704"/>
      <c r="CS130" s="1704"/>
      <c r="CT130" s="1704"/>
      <c r="CU130" s="1704"/>
      <c r="CV130" s="1704"/>
      <c r="CW130" s="1704"/>
      <c r="CX130" s="1704"/>
      <c r="CY130" s="1704"/>
      <c r="CZ130" s="1704"/>
      <c r="DA130" s="570" t="s">
        <v>195</v>
      </c>
      <c r="DB130" s="570" t="s">
        <v>195</v>
      </c>
      <c r="DC130" s="570" t="s">
        <v>195</v>
      </c>
      <c r="DD130" s="570" t="s">
        <v>195</v>
      </c>
      <c r="DE130" s="570" t="s">
        <v>195</v>
      </c>
      <c r="DF130" s="1104"/>
      <c r="DG130" s="1104"/>
      <c r="FK130" s="1323" t="s">
        <v>2595</v>
      </c>
      <c r="FL130" s="1493" t="s">
        <v>7824</v>
      </c>
      <c r="FM130" s="1513" t="s">
        <v>4129</v>
      </c>
      <c r="FN130" s="1513" t="s">
        <v>4129</v>
      </c>
      <c r="FO130" s="3" t="s">
        <v>7188</v>
      </c>
      <c r="FP130" s="3" t="s">
        <v>7806</v>
      </c>
      <c r="GC130" s="1509" t="str">
        <f>"Designate an adjacent opponent with a Dark Side score to deny them their Dexterity bonus to Reflex until "&amp;CharacterName&amp;"'s next turn"</f>
        <v>Designate an adjacent opponent with a Dark Side score to deny them their Dexterity bonus to Reflex until 's next turn</v>
      </c>
      <c r="GD130" s="597" t="str">
        <f t="shared" si="38"/>
        <v>// Sentinel's Gambit (swift; encounter) • Talent
Designate an adjacent opponent with a Dark Side score to deny them their Dexterity bonus to Reflex until 's next turn</v>
      </c>
      <c r="GG130" s="569" t="b">
        <v>1</v>
      </c>
      <c r="GH130" s="8" t="str">
        <f>IF(FN130="Talent",INDEX(TalentsTable,MATCH(FK130,TalentsTableList,0),13),"")</f>
        <v>KotOR 25</v>
      </c>
      <c r="GI130" s="1512" t="str">
        <f t="shared" ref="GI130:GI193" si="43">IF(OnlyCombatDescs,IF(GG130=TRUE,IF(NOT(ISERROR(FIND(FK130,INDEX(SpecialsTable,MATCH(FN130,SpecialsList,0),2),1))),GD130,""),""),IF(NOT(ISERROR(FIND(FK130,INDEX(SpecialsTable,MATCH(FN130,SpecialsList,0),2),1))),GD130,""))</f>
        <v/>
      </c>
      <c r="GJ130" s="1512" t="str">
        <f t="shared" ref="GJ130:GJ193" ca="1" si="44">IF(GI130&lt;&gt;"",GI130&amp;IF(GJ131&lt;&gt;"","
"&amp;IF(AND(HTML,Tables=FALSE),"&lt;BR&gt;","")&amp;GJ131,""),GJ131)</f>
        <v/>
      </c>
      <c r="GK130" s="456" t="str">
        <f t="shared" ref="GK130:GK193" si="45">IF(GD130&lt;&gt;"",GD130,"")</f>
        <v>// Sentinel's Gambit (swift; encounter) • Talent
Designate an adjacent opponent with a Dark Side score to deny them their Dexterity bonus to Reflex until 's next turn</v>
      </c>
    </row>
    <row r="131" spans="45:193">
      <c r="AS131" s="12" t="s">
        <v>5821</v>
      </c>
      <c r="AT131" s="3">
        <f>IF(Talents!$M$1034&gt;0,0,IF(Strength&lt;13,-5,-2))+1</f>
        <v>-1</v>
      </c>
      <c r="AU131" s="3">
        <v>1</v>
      </c>
      <c r="AW131" s="569">
        <v>2</v>
      </c>
      <c r="AY131" s="569" t="s">
        <v>4084</v>
      </c>
      <c r="CR131" s="1704"/>
      <c r="CS131" s="1704"/>
      <c r="CT131" s="1704"/>
      <c r="CU131" s="1704"/>
      <c r="CV131" s="1704"/>
      <c r="CW131" s="1704"/>
      <c r="CX131" s="1704"/>
      <c r="CY131" s="1704"/>
      <c r="CZ131" s="1704"/>
      <c r="DA131" s="570" t="s">
        <v>195</v>
      </c>
      <c r="DB131" s="570" t="s">
        <v>195</v>
      </c>
      <c r="DC131" s="570" t="s">
        <v>195</v>
      </c>
      <c r="DD131" s="570" t="s">
        <v>195</v>
      </c>
      <c r="DE131" s="570" t="s">
        <v>195</v>
      </c>
      <c r="DF131" s="1104"/>
      <c r="DG131" s="1104"/>
      <c r="FK131" s="1511" t="s">
        <v>415</v>
      </c>
      <c r="FL131" s="1493" t="s">
        <v>7824</v>
      </c>
      <c r="FM131" s="1512" t="s">
        <v>58</v>
      </c>
      <c r="FN131" s="1512" t="s">
        <v>58</v>
      </c>
      <c r="FO131" s="1512" t="s">
        <v>7796</v>
      </c>
      <c r="FP131" s="1513" t="s">
        <v>7797</v>
      </c>
      <c r="GC131" s="1512" t="s">
        <v>7093</v>
      </c>
      <c r="GD131" s="597" t="str">
        <f t="shared" si="38"/>
        <v>// Serenity (full-round; at-will) • Class
Enter medative state, lose Dex bonus to Reflex; emerge as swift and treat next attack roll or Use the Force check in following round as natural 20</v>
      </c>
      <c r="GG131" s="569" t="b">
        <v>1</v>
      </c>
      <c r="GH131" s="1515" t="s">
        <v>5911</v>
      </c>
      <c r="GI131" s="1512" t="str">
        <f t="shared" ca="1" si="43"/>
        <v/>
      </c>
      <c r="GJ131" s="1512" t="str">
        <f t="shared" ca="1" si="44"/>
        <v/>
      </c>
      <c r="GK131" s="456" t="str">
        <f t="shared" si="45"/>
        <v>// Serenity (full-round; at-will) • Class
Enter medative state, lose Dex bonus to Reflex; emerge as swift and treat next attack roll or Use the Force check in following round as natural 20</v>
      </c>
    </row>
    <row r="132" spans="45:193">
      <c r="AS132" s="12" t="s">
        <v>2419</v>
      </c>
      <c r="AT132" s="3">
        <f>IF(Dexterity&lt;13,-5,-2)</f>
        <v>-2</v>
      </c>
      <c r="AW132" s="3">
        <v>1</v>
      </c>
      <c r="AY132" s="3" t="s">
        <v>4083</v>
      </c>
      <c r="CR132" s="1704"/>
      <c r="CS132" s="1704"/>
      <c r="CT132" s="1704"/>
      <c r="CU132" s="1704"/>
      <c r="CV132" s="1704"/>
      <c r="CW132" s="1704"/>
      <c r="CX132" s="1704"/>
      <c r="CY132" s="1704"/>
      <c r="CZ132" s="1704"/>
      <c r="DA132" s="570" t="s">
        <v>195</v>
      </c>
      <c r="DB132" s="570" t="s">
        <v>195</v>
      </c>
      <c r="DC132" s="570" t="s">
        <v>195</v>
      </c>
      <c r="DD132" s="570" t="s">
        <v>195</v>
      </c>
      <c r="DE132" s="570" t="s">
        <v>195</v>
      </c>
      <c r="DF132" s="1104"/>
      <c r="DG132" s="1104"/>
      <c r="FK132" s="1511" t="s">
        <v>5803</v>
      </c>
      <c r="FL132" s="1493" t="s">
        <v>7824</v>
      </c>
      <c r="FM132" s="1512" t="s">
        <v>7100</v>
      </c>
      <c r="FN132" s="1512" t="s">
        <v>4715</v>
      </c>
      <c r="FO132" s="1512" t="s">
        <v>7807</v>
      </c>
      <c r="FP132" s="1513" t="s">
        <v>7809</v>
      </c>
      <c r="FQ132" s="3"/>
      <c r="GC132" s="1512" t="s">
        <v>7109</v>
      </c>
      <c r="GD132" s="597" t="str">
        <f t="shared" si="38"/>
        <v>// Shaped Power (free action; FP/DP) • Force, Secret
Spend Force Point to change cone to affect a line 1 square wide and (5 × cone's length) squares long; spend a Destiny Point to instead affect one or more targets of choice within a number of squares equal to cone's length</v>
      </c>
      <c r="GG132" s="569"/>
      <c r="GH132" s="1515" t="s">
        <v>5936</v>
      </c>
      <c r="GI132" s="1512" t="str">
        <f t="shared" si="43"/>
        <v/>
      </c>
      <c r="GJ132" s="1512" t="str">
        <f t="shared" ca="1" si="44"/>
        <v/>
      </c>
      <c r="GK132" s="456" t="str">
        <f t="shared" si="45"/>
        <v>// Shaped Power (free action; FP/DP) • Force, Secret
Spend Force Point to change cone to affect a line 1 square wide and (5 × cone's length) squares long; spend a Destiny Point to instead affect one or more targets of choice within a number of squares equal to cone's length</v>
      </c>
    </row>
    <row r="133" spans="45:193">
      <c r="AS133" s="12" t="s">
        <v>2488</v>
      </c>
      <c r="AT133" s="3">
        <v>2</v>
      </c>
      <c r="AY133" s="3" t="s">
        <v>4084</v>
      </c>
      <c r="CR133" s="1704"/>
      <c r="CS133" s="1704"/>
      <c r="CT133" s="1704"/>
      <c r="CU133" s="1704"/>
      <c r="CV133" s="1704"/>
      <c r="CW133" s="1704"/>
      <c r="CX133" s="1704"/>
      <c r="CY133" s="1704"/>
      <c r="CZ133" s="1704"/>
      <c r="DA133" s="570" t="s">
        <v>195</v>
      </c>
      <c r="DB133" s="570" t="s">
        <v>195</v>
      </c>
      <c r="DC133" s="570" t="s">
        <v>195</v>
      </c>
      <c r="DD133" s="570" t="s">
        <v>195</v>
      </c>
      <c r="DE133" s="570" t="s">
        <v>195</v>
      </c>
      <c r="DF133" s="1104"/>
      <c r="DG133" s="1104"/>
      <c r="FK133" s="1511" t="s">
        <v>454</v>
      </c>
      <c r="FL133" s="1493" t="s">
        <v>7824</v>
      </c>
      <c r="FM133" s="1512" t="s">
        <v>58</v>
      </c>
      <c r="FN133" s="1512" t="s">
        <v>58</v>
      </c>
      <c r="FO133" s="1512" t="s">
        <v>7092</v>
      </c>
      <c r="FP133" s="1513" t="s">
        <v>7805</v>
      </c>
      <c r="GC133" s="1512" t="str">
        <f>"Grant "&amp;INT(Data!JD41/2)&amp;IF(INT(Data!JD41/2)&gt;=2," allies"," ally")&amp;" within 10 squares benefit of chosen Talent until end of encounter"</f>
        <v>Grant 0 ally within 10 squares benefit of chosen Talent until end of encounter</v>
      </c>
      <c r="GD133" s="597" t="str">
        <f t="shared" si="38"/>
        <v>// Share Talent (standard; daily) • Class
Grant 0 ally within 10 squares benefit of chosen Talent until end of encounter</v>
      </c>
      <c r="GG133" s="569"/>
      <c r="GH133" s="1515" t="s">
        <v>5902</v>
      </c>
      <c r="GI133" s="1512" t="str">
        <f t="shared" ca="1" si="43"/>
        <v/>
      </c>
      <c r="GJ133" s="1512" t="str">
        <f t="shared" ca="1" si="44"/>
        <v/>
      </c>
      <c r="GK133" s="456" t="str">
        <f t="shared" si="45"/>
        <v>// Share Talent (standard; daily) • Class
Grant 0 ally within 10 squares benefit of chosen Talent until end of encounter</v>
      </c>
    </row>
    <row r="134" spans="45:193">
      <c r="AS134" s="12" t="s">
        <v>2534</v>
      </c>
      <c r="AT134" s="569">
        <v>2</v>
      </c>
      <c r="AU134" s="3">
        <v>1</v>
      </c>
      <c r="AW134" s="569">
        <v>1</v>
      </c>
      <c r="AY134" s="569" t="s">
        <v>4084</v>
      </c>
      <c r="CR134" s="1704"/>
      <c r="CS134" s="1704"/>
      <c r="CT134" s="1704"/>
      <c r="CU134" s="1704"/>
      <c r="CV134" s="1704"/>
      <c r="CW134" s="1704"/>
      <c r="CX134" s="1704"/>
      <c r="CY134" s="1704"/>
      <c r="CZ134" s="1704"/>
      <c r="DA134" s="570" t="s">
        <v>195</v>
      </c>
      <c r="DB134" s="570" t="s">
        <v>195</v>
      </c>
      <c r="DC134" s="570" t="s">
        <v>195</v>
      </c>
      <c r="DD134" s="570" t="s">
        <v>195</v>
      </c>
      <c r="DE134" s="570" t="s">
        <v>195</v>
      </c>
      <c r="DF134" s="1104"/>
      <c r="DG134" s="1104"/>
      <c r="FK134" s="1323" t="s">
        <v>2565</v>
      </c>
      <c r="FL134" s="1493" t="s">
        <v>7824</v>
      </c>
      <c r="FM134" s="1513" t="s">
        <v>4129</v>
      </c>
      <c r="FN134" s="1513" t="s">
        <v>4129</v>
      </c>
      <c r="FO134" s="1513" t="s">
        <v>7796</v>
      </c>
      <c r="GC134" s="1509" t="s">
        <v>7868</v>
      </c>
      <c r="GD134" s="597" t="str">
        <f t="shared" si="38"/>
        <v>// Skilled Advisor (full-round) • Talent
Spend a full-round action to grant an ally +5 to a skill check; spend a Force Point to increase bonus to +10</v>
      </c>
      <c r="GG134" s="569" t="b">
        <v>1</v>
      </c>
      <c r="GH134" s="8">
        <f>IF(FN134="Talent",INDEX(TalentsTable,MATCH(FK134,TalentsTableList,0),13),"")</f>
        <v>40</v>
      </c>
      <c r="GI134" s="1512" t="str">
        <f t="shared" si="43"/>
        <v/>
      </c>
      <c r="GJ134" s="1512" t="str">
        <f t="shared" ca="1" si="44"/>
        <v/>
      </c>
      <c r="GK134" s="456" t="str">
        <f t="shared" si="45"/>
        <v>// Skilled Advisor (full-round) • Talent
Spend a full-round action to grant an ally +5 to a skill check; spend a Force Point to increase bonus to +10</v>
      </c>
    </row>
    <row r="135" spans="45:193">
      <c r="CR135" s="1704"/>
      <c r="CS135" s="1704"/>
      <c r="CT135" s="1704"/>
      <c r="CU135" s="1704"/>
      <c r="CV135" s="1704"/>
      <c r="CW135" s="1704"/>
      <c r="CX135" s="1704"/>
      <c r="CY135" s="1704"/>
      <c r="CZ135" s="1704"/>
      <c r="DA135" s="570" t="s">
        <v>195</v>
      </c>
      <c r="DB135" s="570" t="s">
        <v>195</v>
      </c>
      <c r="DC135" s="570" t="s">
        <v>195</v>
      </c>
      <c r="DD135" s="570" t="s">
        <v>195</v>
      </c>
      <c r="DE135" s="570" t="s">
        <v>195</v>
      </c>
      <c r="DF135" s="1104"/>
      <c r="DG135" s="1104"/>
      <c r="FK135" s="1323" t="s">
        <v>2616</v>
      </c>
      <c r="FL135" s="1493" t="s">
        <v>7824</v>
      </c>
      <c r="FM135" s="1513" t="s">
        <v>7800</v>
      </c>
      <c r="FN135" s="1513" t="s">
        <v>4129</v>
      </c>
      <c r="FO135" s="569" t="s">
        <v>7807</v>
      </c>
      <c r="FQ135" s="597" t="s">
        <v>7901</v>
      </c>
      <c r="GC135" s="597" t="s">
        <v>4766</v>
      </c>
      <c r="GD135" s="597" t="str">
        <f t="shared" si="38"/>
        <v>// Telekinetic Power (free action; natural 20 on a Use the Force check) • Force, Talent
Free extra use of of telekinetic Force power on a natural 20</v>
      </c>
      <c r="GG135" s="569" t="b">
        <v>1</v>
      </c>
      <c r="GH135" s="8">
        <f>IF(FN135="Talent",INDEX(TalentsTable,MATCH(FK135,TalentsTableList,0),13),"")</f>
        <v>100</v>
      </c>
      <c r="GI135" s="1512" t="str">
        <f t="shared" si="43"/>
        <v/>
      </c>
      <c r="GJ135" s="1512" t="str">
        <f t="shared" ca="1" si="44"/>
        <v/>
      </c>
      <c r="GK135" s="456" t="str">
        <f t="shared" si="45"/>
        <v>// Telekinetic Power (free action; natural 20 on a Use the Force check) • Force, Talent
Free extra use of of telekinetic Force power on a natural 20</v>
      </c>
    </row>
    <row r="136" spans="45:193">
      <c r="AS136" s="1029"/>
      <c r="AT136" s="1167"/>
      <c r="AU136" s="1167"/>
      <c r="AV136" s="1167"/>
      <c r="AW136" s="1167"/>
      <c r="AX136" s="1167"/>
      <c r="AY136" s="1167"/>
      <c r="AZ136" s="1170"/>
      <c r="CR136" s="1704"/>
      <c r="CS136" s="1704"/>
      <c r="CT136" s="1704"/>
      <c r="CU136" s="1704"/>
      <c r="CV136" s="1704"/>
      <c r="CW136" s="1704"/>
      <c r="CX136" s="1704"/>
      <c r="CY136" s="1704"/>
      <c r="CZ136" s="1704"/>
      <c r="DA136" s="570" t="s">
        <v>195</v>
      </c>
      <c r="DB136" s="570" t="s">
        <v>195</v>
      </c>
      <c r="DC136" s="570" t="s">
        <v>195</v>
      </c>
      <c r="DD136" s="570" t="s">
        <v>195</v>
      </c>
      <c r="DE136" s="570" t="s">
        <v>195</v>
      </c>
      <c r="DF136" s="1104"/>
      <c r="DG136" s="1104"/>
      <c r="FK136" s="1323" t="s">
        <v>2619</v>
      </c>
      <c r="FL136" s="1493" t="s">
        <v>7824</v>
      </c>
      <c r="FM136" s="1513" t="s">
        <v>7800</v>
      </c>
      <c r="FN136" s="1513" t="s">
        <v>4129</v>
      </c>
      <c r="FO136" s="569" t="s">
        <v>7188</v>
      </c>
      <c r="FP136" s="569" t="s">
        <v>7806</v>
      </c>
      <c r="FQ136" s="597" t="s">
        <v>7899</v>
      </c>
      <c r="GC136" s="3" t="s">
        <v>7900</v>
      </c>
      <c r="GD136" s="597" t="str">
        <f t="shared" si="38"/>
        <v>// Telekinetic Savant (swift; encounter; telekinetic force power) • Force, Talent
Return a telekinetic Force power to your suite</v>
      </c>
      <c r="GG136" s="569" t="b">
        <v>1</v>
      </c>
      <c r="GH136" s="8">
        <f>IF(FN136="Talent",INDEX(TalentsTable,MATCH(FK136,TalentsTableList,0),13),"")</f>
        <v>100</v>
      </c>
      <c r="GI136" s="1512" t="str">
        <f t="shared" si="43"/>
        <v/>
      </c>
      <c r="GJ136" s="1512" t="str">
        <f t="shared" ca="1" si="44"/>
        <v/>
      </c>
      <c r="GK136" s="456" t="str">
        <f t="shared" si="45"/>
        <v>// Telekinetic Savant (swift; encounter; telekinetic force power) • Force, Talent
Return a telekinetic Force power to your suite</v>
      </c>
    </row>
    <row r="137" spans="45:193">
      <c r="CR137" s="1704"/>
      <c r="CS137" s="1704"/>
      <c r="CT137" s="1704"/>
      <c r="CU137" s="1704"/>
      <c r="CV137" s="1704"/>
      <c r="CW137" s="1704"/>
      <c r="CX137" s="1704"/>
      <c r="CY137" s="1704"/>
      <c r="CZ137" s="1704"/>
      <c r="DA137" s="570" t="s">
        <v>195</v>
      </c>
      <c r="DB137" s="570" t="s">
        <v>195</v>
      </c>
      <c r="DC137" s="570" t="s">
        <v>195</v>
      </c>
      <c r="DD137" s="570" t="s">
        <v>195</v>
      </c>
      <c r="DE137" s="570" t="s">
        <v>195</v>
      </c>
      <c r="DF137" s="1104"/>
      <c r="DG137" s="1104"/>
      <c r="FK137" s="1323" t="s">
        <v>2624</v>
      </c>
      <c r="FL137" s="1493" t="s">
        <v>7824</v>
      </c>
      <c r="FM137" s="1513" t="s">
        <v>7800</v>
      </c>
      <c r="FN137" s="1513" t="s">
        <v>4129</v>
      </c>
      <c r="FQ137" s="1509" t="s">
        <v>7901</v>
      </c>
      <c r="GC137" s="597" t="s">
        <v>7904</v>
      </c>
      <c r="GD137" s="597" t="str">
        <f t="shared" si="38"/>
        <v>// Telepathic Influence• Force, Talent
Grant an ally within 12 squares a temporary Force Point instead of regaining all spent Force powers</v>
      </c>
      <c r="GG137" s="569" t="b">
        <v>1</v>
      </c>
      <c r="GH137" s="8" t="str">
        <f>IF(FN137="Talent",INDEX(TalentsTable,MATCH(FK137,TalentsTableList,0),13),"")</f>
        <v>KotOR 53</v>
      </c>
      <c r="GI137" s="1512" t="str">
        <f t="shared" si="43"/>
        <v/>
      </c>
      <c r="GJ137" s="1512" t="str">
        <f t="shared" ca="1" si="44"/>
        <v/>
      </c>
      <c r="GK137" s="456" t="str">
        <f t="shared" si="45"/>
        <v>// Telepathic Influence• Force, Talent
Grant an ally within 12 squares a temporary Force Point instead of regaining all spent Force powers</v>
      </c>
    </row>
    <row r="138" spans="45:193">
      <c r="CR138" s="1704"/>
      <c r="CS138" s="1704"/>
      <c r="CT138" s="1704"/>
      <c r="CU138" s="1704"/>
      <c r="CV138" s="1704"/>
      <c r="CW138" s="1704"/>
      <c r="CX138" s="1704"/>
      <c r="CY138" s="1704"/>
      <c r="CZ138" s="1704"/>
      <c r="DA138" s="570" t="s">
        <v>195</v>
      </c>
      <c r="DB138" s="570" t="s">
        <v>195</v>
      </c>
      <c r="DC138" s="570" t="s">
        <v>195</v>
      </c>
      <c r="DD138" s="570" t="s">
        <v>195</v>
      </c>
      <c r="DE138" s="570" t="s">
        <v>195</v>
      </c>
      <c r="DF138" s="1104"/>
      <c r="DG138" s="1104"/>
      <c r="FK138" s="1538" t="s">
        <v>2622</v>
      </c>
      <c r="FL138" s="1493" t="s">
        <v>7824</v>
      </c>
      <c r="FM138" s="1513" t="s">
        <v>7800</v>
      </c>
      <c r="FN138" s="1513" t="s">
        <v>4129</v>
      </c>
      <c r="FO138" s="569" t="s">
        <v>7188</v>
      </c>
      <c r="FP138" s="569" t="s">
        <v>7903</v>
      </c>
      <c r="GC138" s="597" t="s">
        <v>4770</v>
      </c>
      <c r="GD138" s="597" t="str">
        <f t="shared" ref="GD138:GD145" si="46">IF(HTML,IF(FL138="Attack",TRG,IF(FL138="Defense",TRO,TRLSG))&amp;WFS&amp;"u"&amp;WFF&amp;BS,"//")&amp;" "&amp;FK138&amp;IF(HTML,BF,"")&amp;IF(FO138&lt;&gt;""," ("&amp;FO138&amp;IF(FP138&lt;&gt;"","; "&amp;FP138,"")&amp;IF(FQ138&lt;&gt;"","; "&amp;FQ138,"")&amp;") "&amp;IF(HTML,WFS&amp;"v"&amp;WFF&amp;BS,"•"),IF(HTML,WFS&amp;"v"&amp;WFF&amp;BS,"•"))&amp;" "&amp;FM138&amp;IF(HTML,BF&amp;TRF&amp;TRW,"")&amp;"
"&amp;GC138&amp;TRFF</f>
        <v>// Telepathic Link (swift; [encounter]) • Force, Talent
Form a telepathic link with another Force Sensitive ally which allows instant communication within one kilometer, and once per encounter use of a Force power from their Force suite</v>
      </c>
      <c r="GG138" s="569" t="b">
        <v>1</v>
      </c>
      <c r="GH138" s="8" t="str">
        <f>IF(FN138="Talent",INDEX(TalentsTable,MATCH(FK138,TalentsTableList,0),13),"")</f>
        <v>KotOR 53</v>
      </c>
      <c r="GI138" s="1512" t="str">
        <f t="shared" si="43"/>
        <v/>
      </c>
      <c r="GJ138" s="1512" t="str">
        <f t="shared" ca="1" si="44"/>
        <v/>
      </c>
      <c r="GK138" s="456" t="str">
        <f t="shared" si="45"/>
        <v>// Telepathic Link (swift; [encounter]) • Force, Talent
Form a telepathic link with another Force Sensitive ally which allows instant communication within one kilometer, and once per encounter use of a Force power from their Force suite</v>
      </c>
    </row>
    <row r="139" spans="45:193">
      <c r="CR139" s="1704"/>
      <c r="CS139" s="1704"/>
      <c r="CT139" s="1704"/>
      <c r="CU139" s="1704"/>
      <c r="CV139" s="1704"/>
      <c r="CW139" s="1704"/>
      <c r="CX139" s="1704"/>
      <c r="CY139" s="1704"/>
      <c r="CZ139" s="1704"/>
      <c r="DA139" s="570" t="s">
        <v>195</v>
      </c>
      <c r="DB139" s="570" t="s">
        <v>195</v>
      </c>
      <c r="DC139" s="570" t="s">
        <v>195</v>
      </c>
      <c r="DD139" s="570" t="s">
        <v>195</v>
      </c>
      <c r="DE139" s="570" t="s">
        <v>195</v>
      </c>
      <c r="DF139" s="1104"/>
      <c r="DG139" s="1104"/>
      <c r="FK139" s="1511" t="s">
        <v>491</v>
      </c>
      <c r="FL139" s="1493" t="s">
        <v>7824</v>
      </c>
      <c r="FM139" s="1512" t="s">
        <v>58</v>
      </c>
      <c r="FN139" s="1512" t="s">
        <v>58</v>
      </c>
      <c r="FO139" s="1512" t="s">
        <v>7092</v>
      </c>
      <c r="FP139" s="1513" t="s">
        <v>7797</v>
      </c>
      <c r="GC139" s="1512" t="str">
        <f ca="1">"+"&amp;Persuasion&amp;" vs. Will; if target spends Force point on next turn take 1 DSP or move -1 step down condition track; 2 DSP or -2 steps down the condition track if they spend Destiny point"</f>
        <v>+0 vs. Will; if target spends Force point on next turn take 1 DSP or move -1 step down condition track; 2 DSP or -2 steps down the condition track if they spend Destiny point</v>
      </c>
      <c r="GD139" s="597" t="str">
        <f t="shared" ca="1" si="46"/>
        <v>// Temptation (standard; at-will) • Class
+0 vs. Will; if target spends Force point on next turn take 1 DSP or move -1 step down condition track; 2 DSP or -2 steps down the condition track if they spend Destiny point</v>
      </c>
      <c r="GG139" s="569" t="b">
        <v>1</v>
      </c>
      <c r="GH139" s="1515" t="s">
        <v>5911</v>
      </c>
      <c r="GI139" s="1512" t="str">
        <f t="shared" ca="1" si="43"/>
        <v/>
      </c>
      <c r="GJ139" s="1512" t="str">
        <f t="shared" ca="1" si="44"/>
        <v/>
      </c>
      <c r="GK139" s="456" t="str">
        <f t="shared" ca="1" si="45"/>
        <v>// Temptation (standard; at-will) • Class
+0 vs. Will; if target spends Force point on next turn take 1 DSP or move -1 step down condition track; 2 DSP or -2 steps down the condition track if they spend Destiny point</v>
      </c>
    </row>
    <row r="140" spans="45:193">
      <c r="CR140" s="1704"/>
      <c r="CS140" s="1704"/>
      <c r="CT140" s="1704"/>
      <c r="CU140" s="1704"/>
      <c r="CV140" s="1704"/>
      <c r="CW140" s="1704"/>
      <c r="CX140" s="1704"/>
      <c r="CY140" s="1704"/>
      <c r="CZ140" s="1704"/>
      <c r="DA140" s="570" t="s">
        <v>195</v>
      </c>
      <c r="DB140" s="570" t="s">
        <v>195</v>
      </c>
      <c r="DC140" s="570" t="s">
        <v>195</v>
      </c>
      <c r="DD140" s="570" t="s">
        <v>195</v>
      </c>
      <c r="DE140" s="570" t="s">
        <v>195</v>
      </c>
      <c r="DF140" s="1104"/>
      <c r="DG140" s="1104"/>
      <c r="FK140" s="1323" t="s">
        <v>2635</v>
      </c>
      <c r="FL140" s="1493" t="s">
        <v>7824</v>
      </c>
      <c r="FM140" s="1513" t="s">
        <v>7800</v>
      </c>
      <c r="FN140" s="1513" t="s">
        <v>4129</v>
      </c>
      <c r="FO140" s="569" t="s">
        <v>7189</v>
      </c>
      <c r="FQ140" s="597" t="s">
        <v>7912</v>
      </c>
      <c r="GC140" s="1509" t="s">
        <v>7913</v>
      </c>
      <c r="GD140" s="597" t="str">
        <f t="shared" si="46"/>
        <v>// The Will to Resist (reaction; defending against a Force power vs. Will) • Force, Talent
Roll a Use the Force check and use the result instead, but the next round take -5 penalty to Use the Force checks</v>
      </c>
      <c r="GG140" s="569" t="b">
        <v>1</v>
      </c>
      <c r="GH140" s="8" t="str">
        <f>IF(FN140="Talent",INDEX(TalentsTable,MATCH(FK140,TalentsTableList,0),13),"")</f>
        <v>CW 53</v>
      </c>
      <c r="GI140" s="1512" t="str">
        <f t="shared" si="43"/>
        <v/>
      </c>
      <c r="GJ140" s="1512" t="str">
        <f t="shared" ca="1" si="44"/>
        <v/>
      </c>
      <c r="GK140" s="456" t="str">
        <f t="shared" si="45"/>
        <v>// The Will to Resist (reaction; defending against a Force power vs. Will) • Force, Talent
Roll a Use the Force check and use the result instead, but the next round take -5 penalty to Use the Force checks</v>
      </c>
    </row>
    <row r="141" spans="45:193">
      <c r="CR141" s="1704"/>
      <c r="CS141" s="1704"/>
      <c r="CT141" s="1704"/>
      <c r="CU141" s="1704"/>
      <c r="CV141" s="1704"/>
      <c r="CW141" s="1704"/>
      <c r="CX141" s="1704"/>
      <c r="CY141" s="1704"/>
      <c r="CZ141" s="1704"/>
      <c r="DA141" s="570" t="s">
        <v>195</v>
      </c>
      <c r="DB141" s="570" t="s">
        <v>195</v>
      </c>
      <c r="DC141" s="570" t="s">
        <v>195</v>
      </c>
      <c r="DD141" s="570" t="s">
        <v>195</v>
      </c>
      <c r="DE141" s="570" t="s">
        <v>195</v>
      </c>
      <c r="DF141" s="1104"/>
      <c r="DG141" s="1104"/>
      <c r="FK141" s="1511" t="s">
        <v>5804</v>
      </c>
      <c r="FL141" s="1493" t="s">
        <v>7824</v>
      </c>
      <c r="FM141" s="1512" t="s">
        <v>7100</v>
      </c>
      <c r="FN141" s="1512" t="s">
        <v>4715</v>
      </c>
      <c r="FO141" s="1512" t="s">
        <v>3771</v>
      </c>
      <c r="FQ141" s="3"/>
      <c r="GC141" s="1512" t="s">
        <v>7103</v>
      </c>
      <c r="GD141" s="597" t="str">
        <f t="shared" si="46"/>
        <v>// Unconditional Power (special) • Force, Secret
Ignore all condition track penalties to Use the Force check to activate self-target powers</v>
      </c>
      <c r="GG141" s="569"/>
      <c r="GH141" s="1515" t="s">
        <v>5902</v>
      </c>
      <c r="GI141" s="1512" t="str">
        <f t="shared" si="43"/>
        <v/>
      </c>
      <c r="GJ141" s="1512" t="str">
        <f t="shared" ca="1" si="44"/>
        <v/>
      </c>
      <c r="GK141" s="456" t="str">
        <f t="shared" si="45"/>
        <v>// Unconditional Power (special) • Force, Secret
Ignore all condition track penalties to Use the Force check to activate self-target powers</v>
      </c>
    </row>
    <row r="142" spans="45:193">
      <c r="CR142" s="1704"/>
      <c r="CS142" s="1704"/>
      <c r="CT142" s="1704"/>
      <c r="CU142" s="1704"/>
      <c r="CV142" s="1704"/>
      <c r="CW142" s="1704"/>
      <c r="CX142" s="1704"/>
      <c r="CY142" s="1704"/>
      <c r="CZ142" s="1704"/>
      <c r="DA142" s="570" t="s">
        <v>195</v>
      </c>
      <c r="DB142" s="570" t="s">
        <v>195</v>
      </c>
      <c r="DC142" s="570" t="s">
        <v>195</v>
      </c>
      <c r="DD142" s="570" t="s">
        <v>195</v>
      </c>
      <c r="DE142" s="570" t="s">
        <v>195</v>
      </c>
      <c r="DF142" s="1104"/>
      <c r="DG142" s="1104"/>
      <c r="FK142" s="1511" t="s">
        <v>557</v>
      </c>
      <c r="FL142" s="1493" t="s">
        <v>7824</v>
      </c>
      <c r="FM142" s="1512" t="s">
        <v>58</v>
      </c>
      <c r="FN142" s="1512" t="s">
        <v>58</v>
      </c>
      <c r="FO142" s="1512" t="s">
        <v>3771</v>
      </c>
      <c r="GC142" s="1512" t="str">
        <f>"+"&amp;INT(Data!JD19/2)&amp;" Dodge bonus to Reflex of vehicle piloted"</f>
        <v>+0 Dodge bonus to Reflex of vehicle piloted</v>
      </c>
      <c r="GD142" s="597" t="str">
        <f t="shared" si="46"/>
        <v>// Vehicle Dodge (special) • Class
+0 Dodge bonus to Reflex of vehicle piloted</v>
      </c>
      <c r="GF142" s="569" t="s">
        <v>31</v>
      </c>
      <c r="GG142" s="569" t="b">
        <v>1</v>
      </c>
      <c r="GH142" s="8">
        <v>38</v>
      </c>
      <c r="GI142" s="1512" t="str">
        <f t="shared" ca="1" si="43"/>
        <v/>
      </c>
      <c r="GJ142" s="1512" t="str">
        <f t="shared" ca="1" si="44"/>
        <v/>
      </c>
      <c r="GK142" s="456" t="str">
        <f t="shared" si="45"/>
        <v>// Vehicle Dodge (special) • Class
+0 Dodge bonus to Reflex of vehicle piloted</v>
      </c>
    </row>
    <row r="143" spans="45:193">
      <c r="CR143" s="1704"/>
      <c r="CS143" s="1704"/>
      <c r="CT143" s="1704"/>
      <c r="CU143" s="1704"/>
      <c r="CV143" s="1704"/>
      <c r="CW143" s="1704"/>
      <c r="CX143" s="1704"/>
      <c r="CY143" s="1704"/>
      <c r="CZ143" s="1704"/>
      <c r="DA143" s="570" t="s">
        <v>195</v>
      </c>
      <c r="DB143" s="570" t="s">
        <v>195</v>
      </c>
      <c r="DC143" s="570" t="s">
        <v>195</v>
      </c>
      <c r="DD143" s="570" t="s">
        <v>195</v>
      </c>
      <c r="DE143" s="570" t="s">
        <v>195</v>
      </c>
      <c r="DF143" s="1104"/>
      <c r="DG143" s="1104"/>
      <c r="FK143" s="1323" t="s">
        <v>2567</v>
      </c>
      <c r="FL143" s="1493" t="s">
        <v>7824</v>
      </c>
      <c r="FM143" s="1513" t="s">
        <v>7800</v>
      </c>
      <c r="FN143" s="1513" t="s">
        <v>4129</v>
      </c>
      <c r="FO143" s="1513" t="s">
        <v>7189</v>
      </c>
      <c r="FP143" s="1513" t="s">
        <v>3854</v>
      </c>
      <c r="FQ143" s="1513" t="str">
        <f>CharacterName&amp;" or ally within 12 squares misses an attack"</f>
        <v xml:space="preserve"> or ally within 12 squares misses an attack</v>
      </c>
      <c r="GC143" s="1509" t="str">
        <f ca="1">"Expend farseeing, +"&amp;UsetheForce&amp;" vs. Will of target missed to reroll the attack; suffer a cumulative -5 penalty to Use the Force until "&amp;CharacterName&amp;"'s next turn for each use"</f>
        <v>Expend farseeing, +0 vs. Will of target missed to reroll the attack; suffer a cumulative -5 penalty to Use the Force until 's next turn for each use</v>
      </c>
      <c r="GD143" s="597" t="str">
        <f t="shared" ca="1" si="46"/>
        <v>// Visionary Attack (reaction; farseeing;  or ally within 12 squares misses an attack) • Force, Talent
Expend farseeing, +0 vs. Will of target missed to reroll the attack; suffer a cumulative -5 penalty to Use the Force until 's next turn for each use</v>
      </c>
      <c r="GG143" s="569" t="b">
        <v>1</v>
      </c>
      <c r="GH143" s="8" t="str">
        <f t="shared" ref="GH143:GH164" si="47">IF(FN143="Talent",INDEX(TalentsTable,MATCH(FK143,TalentsTableList,0),13),"")</f>
        <v>KotOR 24</v>
      </c>
      <c r="GI143" s="1512" t="str">
        <f t="shared" si="43"/>
        <v/>
      </c>
      <c r="GJ143" s="1512" t="str">
        <f t="shared" si="44"/>
        <v/>
      </c>
      <c r="GK143" s="456" t="str">
        <f t="shared" ca="1" si="45"/>
        <v>// Visionary Attack (reaction; farseeing;  or ally within 12 squares misses an attack) • Force, Talent
Expend farseeing, +0 vs. Will of target missed to reroll the attack; suffer a cumulative -5 penalty to Use the Force until 's next turn for each use</v>
      </c>
    </row>
    <row r="144" spans="45:193">
      <c r="CR144" s="1704"/>
      <c r="CS144" s="1704"/>
      <c r="CT144" s="1704"/>
      <c r="CU144" s="1704"/>
      <c r="CV144" s="1704"/>
      <c r="CW144" s="1704"/>
      <c r="CX144" s="1704"/>
      <c r="CY144" s="1704"/>
      <c r="CZ144" s="1704"/>
      <c r="DA144" s="570" t="s">
        <v>195</v>
      </c>
      <c r="DB144" s="570" t="s">
        <v>195</v>
      </c>
      <c r="DC144" s="570" t="s">
        <v>195</v>
      </c>
      <c r="DD144" s="570" t="s">
        <v>195</v>
      </c>
      <c r="DE144" s="570" t="s">
        <v>195</v>
      </c>
      <c r="DF144" s="1104"/>
      <c r="DG144" s="1104"/>
      <c r="FK144" s="1323" t="s">
        <v>2568</v>
      </c>
      <c r="FL144" s="1493" t="s">
        <v>7824</v>
      </c>
      <c r="FM144" s="1513" t="s">
        <v>7800</v>
      </c>
      <c r="FN144" s="1513" t="s">
        <v>4129</v>
      </c>
      <c r="FO144" s="1513" t="s">
        <v>7189</v>
      </c>
      <c r="FP144" s="1513" t="s">
        <v>3854</v>
      </c>
      <c r="FQ144" s="1513" t="str">
        <f>CharacterName&amp;" or ally within 12 squares is target of an attack"</f>
        <v xml:space="preserve"> or ally within 12 squares is target of an attack</v>
      </c>
      <c r="GC144" s="1509" t="str">
        <f ca="1">"Expend farseeing, +"&amp;UsetheForce&amp;" vs. Will of target attacking to add a +5 Force bonus to Reflex; suffer a cumulative -5 penalty to Use the Force until "&amp;CharacterName&amp;"'s next turn for each use"</f>
        <v>Expend farseeing, +0 vs. Will of target attacking to add a +5 Force bonus to Reflex; suffer a cumulative -5 penalty to Use the Force until 's next turn for each use</v>
      </c>
      <c r="GD144" s="597" t="str">
        <f t="shared" ca="1" si="46"/>
        <v>// Visionary Defense (reaction; farseeing;  or ally within 12 squares is target of an attack) • Force, Talent
Expend farseeing, +0 vs. Will of target attacking to add a +5 Force bonus to Reflex; suffer a cumulative -5 penalty to Use the Force until 's next turn for each use</v>
      </c>
      <c r="GG144" s="569" t="b">
        <v>1</v>
      </c>
      <c r="GH144" s="8" t="str">
        <f t="shared" si="47"/>
        <v>KotOR 25</v>
      </c>
      <c r="GI144" s="1512" t="str">
        <f t="shared" si="43"/>
        <v/>
      </c>
      <c r="GJ144" s="1512" t="str">
        <f t="shared" si="44"/>
        <v/>
      </c>
      <c r="GK144" s="456" t="str">
        <f t="shared" ca="1" si="45"/>
        <v>// Visionary Defense (reaction; farseeing;  or ally within 12 squares is target of an attack) • Force, Talent
Expend farseeing, +0 vs. Will of target attacking to add a +5 Force bonus to Reflex; suffer a cumulative -5 penalty to Use the Force until 's next turn for each use</v>
      </c>
    </row>
    <row r="145" spans="96:193">
      <c r="CR145" s="1704"/>
      <c r="CS145" s="1704"/>
      <c r="CT145" s="1704"/>
      <c r="CU145" s="1704"/>
      <c r="CV145" s="1704"/>
      <c r="CW145" s="1704"/>
      <c r="CX145" s="1704"/>
      <c r="CY145" s="1704"/>
      <c r="CZ145" s="1704"/>
      <c r="DA145" s="570" t="s">
        <v>195</v>
      </c>
      <c r="DB145" s="570" t="s">
        <v>195</v>
      </c>
      <c r="DC145" s="570" t="s">
        <v>195</v>
      </c>
      <c r="DD145" s="570" t="s">
        <v>195</v>
      </c>
      <c r="DE145" s="570" t="s">
        <v>195</v>
      </c>
      <c r="DF145" s="1104"/>
      <c r="DG145" s="1104"/>
      <c r="FK145" s="1323" t="s">
        <v>2566</v>
      </c>
      <c r="FL145" s="1493" t="s">
        <v>7824</v>
      </c>
      <c r="FM145" s="1513" t="s">
        <v>7800</v>
      </c>
      <c r="FN145" s="1513" t="s">
        <v>4129</v>
      </c>
      <c r="FO145" s="1513" t="s">
        <v>7189</v>
      </c>
      <c r="FP145" s="1513" t="s">
        <v>3854</v>
      </c>
      <c r="FQ145" s="597" t="s">
        <v>7869</v>
      </c>
      <c r="GC145" s="1509" t="str">
        <f ca="1">"+"&amp;UsetheForce&amp;" vs. DC 15, expend farseeing to transfer Force Point to ally"</f>
        <v>+0 vs. DC 15, expend farseeing to transfer Force Point to ally</v>
      </c>
      <c r="GD145" s="597" t="str">
        <f t="shared" ca="1" si="46"/>
        <v>// WatchCircle Initiate (reaction; farseeing; ally within line of sight) • Force, Talent
+0 vs. DC 15, expend farseeing to transfer Force Point to ally</v>
      </c>
      <c r="GG145" s="569" t="b">
        <v>1</v>
      </c>
      <c r="GH145" s="8" t="str">
        <f t="shared" si="47"/>
        <v>KotOR 25</v>
      </c>
      <c r="GI145" s="1512" t="str">
        <f t="shared" si="43"/>
        <v/>
      </c>
      <c r="GJ145" s="1512" t="str">
        <f t="shared" si="44"/>
        <v/>
      </c>
      <c r="GK145" s="456" t="str">
        <f t="shared" ca="1" si="45"/>
        <v>// WatchCircle Initiate (reaction; farseeing; ally within line of sight) • Force, Talent
+0 vs. DC 15, expend farseeing to transfer Force Point to ally</v>
      </c>
    </row>
    <row r="146" spans="96:193">
      <c r="CR146" s="1704"/>
      <c r="CS146" s="1704"/>
      <c r="CT146" s="1704"/>
      <c r="CU146" s="1704"/>
      <c r="CV146" s="1704"/>
      <c r="CW146" s="1704"/>
      <c r="CX146" s="1704"/>
      <c r="CY146" s="1704"/>
      <c r="CZ146" s="1704"/>
      <c r="DA146" s="570" t="s">
        <v>195</v>
      </c>
      <c r="DB146" s="570" t="s">
        <v>195</v>
      </c>
      <c r="DC146" s="570" t="s">
        <v>195</v>
      </c>
      <c r="DD146" s="570" t="s">
        <v>195</v>
      </c>
      <c r="DE146" s="570" t="s">
        <v>195</v>
      </c>
      <c r="DF146" s="1104"/>
      <c r="DG146" s="1104"/>
      <c r="FK146" s="1323" t="s">
        <v>2637</v>
      </c>
      <c r="FL146" s="1493" t="s">
        <v>7824</v>
      </c>
      <c r="FM146" s="1513" t="s">
        <v>7918</v>
      </c>
      <c r="FN146" s="1513" t="s">
        <v>4129</v>
      </c>
      <c r="FO146" s="1513" t="s">
        <v>7188</v>
      </c>
      <c r="GC146" s="597" t="s">
        <v>7919</v>
      </c>
      <c r="GD146" s="597" t="str">
        <f t="shared" ref="GD146:GD164" si="48">IF(HTML,IF(FL146="Attack",TRG,IF(FL146="Defense",TRO,TRLSG))&amp;WFS&amp;"u"&amp;WFF&amp;BS,"//")&amp;" "&amp;FK146&amp;IF(HTML,BF,"")&amp;IF(FO146&lt;&gt;""," ("&amp;FO146&amp;IF(FP146&lt;&gt;"","; "&amp;FP146,"")&amp;IF(FQ146&lt;&gt;"","; "&amp;FQ146,"")&amp;") "&amp;IF(HTML,WFS&amp;"v"&amp;WFF&amp;BS,"•"),IF(HTML,WFS&amp;"v"&amp;WFF&amp;BS,"•"))&amp;" "&amp;FM146&amp;IF(HTML,BF&amp;TRF&amp;TRW,"")&amp;"
"&amp;GC146&amp;TRFF</f>
        <v>// Consumed by Darkness (swift) • Dark Side, Force, Talent
Take -5 penalty to Will to gain +2 to attacks until next turn</v>
      </c>
      <c r="GG146" s="569" t="b">
        <v>1</v>
      </c>
      <c r="GH146" s="8" t="str">
        <f t="shared" si="47"/>
        <v>CW 53</v>
      </c>
      <c r="GI146" s="1512" t="str">
        <f t="shared" si="43"/>
        <v/>
      </c>
      <c r="GJ146" s="1512" t="str">
        <f t="shared" si="44"/>
        <v/>
      </c>
      <c r="GK146" s="456" t="str">
        <f t="shared" si="45"/>
        <v>// Consumed by Darkness (swift) • Dark Side, Force, Talent
Take -5 penalty to Will to gain +2 to attacks until next turn</v>
      </c>
    </row>
    <row r="147" spans="96:193">
      <c r="CR147" s="1704"/>
      <c r="CS147" s="1704"/>
      <c r="CT147" s="1704"/>
      <c r="CU147" s="1704"/>
      <c r="CV147" s="1704"/>
      <c r="CW147" s="1704"/>
      <c r="CX147" s="1704"/>
      <c r="CY147" s="1704"/>
      <c r="CZ147" s="1704"/>
      <c r="DA147" s="570" t="s">
        <v>195</v>
      </c>
      <c r="DB147" s="570" t="s">
        <v>195</v>
      </c>
      <c r="DC147" s="570" t="s">
        <v>195</v>
      </c>
      <c r="DD147" s="570" t="s">
        <v>195</v>
      </c>
      <c r="DE147" s="570" t="s">
        <v>195</v>
      </c>
      <c r="DF147" s="1104"/>
      <c r="DG147" s="1104"/>
      <c r="FK147" s="1323" t="s">
        <v>3371</v>
      </c>
      <c r="FL147" s="1493" t="s">
        <v>7823</v>
      </c>
      <c r="FM147" s="1513" t="s">
        <v>7800</v>
      </c>
      <c r="FN147" s="1513" t="s">
        <v>4129</v>
      </c>
      <c r="FO147" s="1513" t="s">
        <v>7189</v>
      </c>
      <c r="FP147" s="1513" t="s">
        <v>65</v>
      </c>
      <c r="GC147" s="597" t="s">
        <v>7914</v>
      </c>
      <c r="GD147" s="597" t="str">
        <f t="shared" si="48"/>
        <v>// Force Fortification (reaction; FP) • Force, Talent
Turn a critical hit into a normal hit</v>
      </c>
      <c r="GG147" s="569" t="b">
        <v>1</v>
      </c>
      <c r="GH147" s="8">
        <f t="shared" si="47"/>
        <v>218</v>
      </c>
      <c r="GI147" s="1512" t="str">
        <f t="shared" si="43"/>
        <v/>
      </c>
      <c r="GJ147" s="1512" t="str">
        <f t="shared" si="44"/>
        <v/>
      </c>
      <c r="GK147" s="456" t="str">
        <f t="shared" si="45"/>
        <v>// Force Fortification (reaction; FP) • Force, Talent
Turn a critical hit into a normal hit</v>
      </c>
    </row>
    <row r="148" spans="96:193">
      <c r="CR148" s="1704"/>
      <c r="CS148" s="1704"/>
      <c r="CT148" s="1704"/>
      <c r="CU148" s="1704"/>
      <c r="CV148" s="1704"/>
      <c r="CW148" s="1704"/>
      <c r="CX148" s="1704"/>
      <c r="CY148" s="1704"/>
      <c r="CZ148" s="1704"/>
      <c r="DA148" s="570" t="s">
        <v>195</v>
      </c>
      <c r="DB148" s="570" t="s">
        <v>195</v>
      </c>
      <c r="DC148" s="570" t="s">
        <v>195</v>
      </c>
      <c r="DD148" s="570" t="s">
        <v>195</v>
      </c>
      <c r="DE148" s="570" t="s">
        <v>195</v>
      </c>
      <c r="DF148" s="1104"/>
      <c r="DG148" s="1104"/>
      <c r="FK148" s="1323" t="s">
        <v>4424</v>
      </c>
      <c r="FL148" s="1493" t="s">
        <v>7824</v>
      </c>
      <c r="FM148" s="1513" t="s">
        <v>7800</v>
      </c>
      <c r="FN148" s="1513" t="s">
        <v>4129</v>
      </c>
      <c r="FO148" s="1513" t="s">
        <v>7807</v>
      </c>
      <c r="FP148" s="1513" t="s">
        <v>7806</v>
      </c>
      <c r="FQ148" s="597" t="s">
        <v>7915</v>
      </c>
      <c r="GC148" s="597" t="s">
        <v>7916</v>
      </c>
      <c r="GD148" s="597" t="str">
        <f t="shared" si="48"/>
        <v>// Lightsaber Form Savant (free action; encounter; using a Lightsaber Form power) • Force, Talent
Return one Force power with the Lightsaber Form descriptor to suite</v>
      </c>
      <c r="GG148" s="569" t="b">
        <v>1</v>
      </c>
      <c r="GH148" s="8" t="str">
        <f t="shared" si="47"/>
        <v>JATM 19</v>
      </c>
      <c r="GI148" s="1512" t="str">
        <f t="shared" si="43"/>
        <v/>
      </c>
      <c r="GJ148" s="1512" t="str">
        <f t="shared" si="44"/>
        <v/>
      </c>
      <c r="GK148" s="456" t="str">
        <f t="shared" si="45"/>
        <v>// Lightsaber Form Savant (free action; encounter; using a Lightsaber Form power) • Force, Talent
Return one Force power with the Lightsaber Form descriptor to suite</v>
      </c>
    </row>
    <row r="149" spans="96:193">
      <c r="CR149" s="1704"/>
      <c r="CS149" s="1704"/>
      <c r="CT149" s="1704"/>
      <c r="CU149" s="1704"/>
      <c r="CV149" s="1704"/>
      <c r="CW149" s="1704"/>
      <c r="CX149" s="1704"/>
      <c r="CY149" s="1704"/>
      <c r="CZ149" s="1704"/>
      <c r="DA149" s="570" t="s">
        <v>195</v>
      </c>
      <c r="DB149" s="570" t="s">
        <v>195</v>
      </c>
      <c r="DC149" s="570" t="s">
        <v>195</v>
      </c>
      <c r="DD149" s="570" t="s">
        <v>195</v>
      </c>
      <c r="DE149" s="570" t="s">
        <v>195</v>
      </c>
      <c r="DF149" s="1104"/>
      <c r="DG149" s="1104"/>
      <c r="FK149" s="1323" t="s">
        <v>3379</v>
      </c>
      <c r="FL149" s="1493" t="s">
        <v>7824</v>
      </c>
      <c r="FM149" s="1513" t="s">
        <v>4129</v>
      </c>
      <c r="FN149" s="1513" t="s">
        <v>4129</v>
      </c>
      <c r="FQ149" s="597" t="str">
        <f>"when "&amp;CharacterName&amp;" would otherwise kill a target"</f>
        <v>when  would otherwise kill a target</v>
      </c>
      <c r="GC149" s="597" t="s">
        <v>7917</v>
      </c>
      <c r="GD149" s="597" t="str">
        <f t="shared" si="48"/>
        <v>// Severing Strike• Talent
Dismember a limb; the triggering attack deals half damage and the target moves -1 step down the condition track</v>
      </c>
      <c r="GG149" s="569" t="b">
        <v>1</v>
      </c>
      <c r="GH149" s="8">
        <f t="shared" si="47"/>
        <v>218</v>
      </c>
      <c r="GI149" s="1512" t="str">
        <f t="shared" si="43"/>
        <v/>
      </c>
      <c r="GJ149" s="1512" t="str">
        <f t="shared" si="44"/>
        <v/>
      </c>
      <c r="GK149" s="456" t="str">
        <f t="shared" si="45"/>
        <v>// Severing Strike• Talent
Dismember a limb; the triggering attack deals half damage and the target moves -1 step down the condition track</v>
      </c>
    </row>
    <row r="150" spans="96:193">
      <c r="CR150" s="1704"/>
      <c r="CS150" s="1704"/>
      <c r="CT150" s="1704"/>
      <c r="CU150" s="1704"/>
      <c r="CV150" s="1704"/>
      <c r="CW150" s="1704"/>
      <c r="CX150" s="1704"/>
      <c r="CY150" s="1704"/>
      <c r="CZ150" s="1704"/>
      <c r="DA150" s="570" t="s">
        <v>195</v>
      </c>
      <c r="DB150" s="570" t="s">
        <v>195</v>
      </c>
      <c r="DC150" s="570" t="s">
        <v>195</v>
      </c>
      <c r="DD150" s="570" t="s">
        <v>195</v>
      </c>
      <c r="DE150" s="570" t="s">
        <v>195</v>
      </c>
      <c r="DF150" s="1104"/>
      <c r="DG150" s="1104"/>
      <c r="FK150" s="1323" t="s">
        <v>4393</v>
      </c>
      <c r="FL150" s="1493" t="s">
        <v>7824</v>
      </c>
      <c r="FM150" s="1513" t="s">
        <v>7918</v>
      </c>
      <c r="FN150" s="1513" t="s">
        <v>4129</v>
      </c>
      <c r="FO150" s="1513" t="s">
        <v>7188</v>
      </c>
      <c r="FP150" s="1513" t="s">
        <v>7806</v>
      </c>
      <c r="GC150" s="597" t="s">
        <v>7920</v>
      </c>
      <c r="GD150" s="597" t="str">
        <f t="shared" si="48"/>
        <v>// Dark Side Savant (swift; encounter) • Dark Side, Force, Talent
Return one Force power with the [dark side] descriptor to Force suite without spending a Force Point</v>
      </c>
      <c r="GG150" s="569" t="b">
        <v>1</v>
      </c>
      <c r="GH150" s="8" t="str">
        <f t="shared" si="47"/>
        <v>JATM 16</v>
      </c>
      <c r="GI150" s="1512" t="str">
        <f t="shared" si="43"/>
        <v/>
      </c>
      <c r="GJ150" s="1512" t="str">
        <f t="shared" si="44"/>
        <v/>
      </c>
      <c r="GK150" s="456" t="str">
        <f t="shared" si="45"/>
        <v>// Dark Side Savant (swift; encounter) • Dark Side, Force, Talent
Return one Force power with the [dark side] descriptor to Force suite without spending a Force Point</v>
      </c>
    </row>
    <row r="151" spans="96:193">
      <c r="CR151" s="1704"/>
      <c r="CS151" s="1704"/>
      <c r="CT151" s="1704"/>
      <c r="CU151" s="1704"/>
      <c r="CV151" s="1704"/>
      <c r="CW151" s="1704"/>
      <c r="CX151" s="1704"/>
      <c r="CY151" s="1704"/>
      <c r="CZ151" s="1704"/>
      <c r="DA151" s="570" t="s">
        <v>195</v>
      </c>
      <c r="DB151" s="570" t="s">
        <v>195</v>
      </c>
      <c r="DC151" s="570" t="s">
        <v>195</v>
      </c>
      <c r="DD151" s="570" t="s">
        <v>195</v>
      </c>
      <c r="DE151" s="570" t="s">
        <v>195</v>
      </c>
      <c r="DF151" s="1104"/>
      <c r="DG151" s="1104"/>
      <c r="FK151" s="1323" t="s">
        <v>2638</v>
      </c>
      <c r="FL151" s="1493" t="s">
        <v>7824</v>
      </c>
      <c r="FM151" s="1513" t="s">
        <v>7918</v>
      </c>
      <c r="FN151" s="1513" t="s">
        <v>4129</v>
      </c>
      <c r="FO151" s="1513" t="s">
        <v>7092</v>
      </c>
      <c r="FP151" s="1513" t="s">
        <v>7921</v>
      </c>
      <c r="GC151" s="597" t="str">
        <f ca="1">"+"&amp;UsetheForce&amp;" vs. Will; Gain Skill Training in a touched target's skill (or Skill  Focus if already possessed) for one day; target moves -1 persistant step down the condition track"&amp;IF(HTML,"&lt;BR&gt;","
")&amp;"Alternatively, +"&amp;Perception&amp;" vs. Will to learn specific piece of information from target's mind"</f>
        <v>+0 vs. Will; Gain Skill Training in a touched target's skill (or Skill  Focus if already possessed) for one day; target moves -1 persistant step down the condition track
Alternatively, +0 vs. Will to learn specific piece of information from target's mind</v>
      </c>
      <c r="GD151" s="597" t="str">
        <f t="shared" ca="1" si="48"/>
        <v>// Drain Knowledge (standard; FP; DSP) • Dark Side, Force, Talent
+0 vs. Will; Gain Skill Training in a touched target's skill (or Skill  Focus if already possessed) for one day; target moves -1 persistant step down the condition track
Alternatively, +0 vs. Will to learn specific piece of information from target's mind</v>
      </c>
      <c r="GG151" s="569" t="b">
        <v>1</v>
      </c>
      <c r="GH151" s="8" t="str">
        <f t="shared" si="47"/>
        <v>TotG 30</v>
      </c>
      <c r="GI151" s="1512" t="str">
        <f t="shared" si="43"/>
        <v/>
      </c>
      <c r="GJ151" s="1512" t="str">
        <f t="shared" si="44"/>
        <v/>
      </c>
      <c r="GK151" s="456" t="str">
        <f t="shared" ca="1" si="45"/>
        <v>// Drain Knowledge (standard; FP; DSP) • Dark Side, Force, Talent
+0 vs. Will; Gain Skill Training in a touched target's skill (or Skill  Focus if already possessed) for one day; target moves -1 persistant step down the condition track
Alternatively, +0 vs. Will to learn specific piece of information from target's mind</v>
      </c>
    </row>
    <row r="152" spans="96:193">
      <c r="CR152" s="1704"/>
      <c r="CS152" s="1704"/>
      <c r="CT152" s="1704"/>
      <c r="CU152" s="1704"/>
      <c r="CV152" s="1704"/>
      <c r="CW152" s="1704"/>
      <c r="CX152" s="1704"/>
      <c r="CY152" s="1704"/>
      <c r="CZ152" s="1704"/>
      <c r="DA152" s="570" t="s">
        <v>195</v>
      </c>
      <c r="DB152" s="570" t="s">
        <v>195</v>
      </c>
      <c r="DC152" s="570" t="s">
        <v>195</v>
      </c>
      <c r="DD152" s="570" t="s">
        <v>195</v>
      </c>
      <c r="DE152" s="570" t="s">
        <v>195</v>
      </c>
      <c r="DF152" s="1104"/>
      <c r="DG152" s="1104"/>
      <c r="FK152" s="1323" t="s">
        <v>2640</v>
      </c>
      <c r="FL152" s="1493" t="s">
        <v>7824</v>
      </c>
      <c r="FM152" s="1513" t="s">
        <v>7918</v>
      </c>
      <c r="FN152" s="1513" t="s">
        <v>4129</v>
      </c>
      <c r="FO152" s="1513" t="s">
        <v>7807</v>
      </c>
      <c r="FP152" s="1513" t="s">
        <v>7922</v>
      </c>
      <c r="FQ152" s="1513" t="s">
        <v>7923</v>
      </c>
      <c r="GC152" s="597" t="s">
        <v>4784</v>
      </c>
      <c r="GD152" s="597" t="str">
        <f t="shared" si="48"/>
        <v>// Power of the Dark Side (free action; DSP; when spending a Force Point on an attack roll) • Dark Side, Force, Talent
Choose the best of two rolls on the bonus die for spending a Force Point to modify an attack roll, increasing Dark Side Score by 1</v>
      </c>
      <c r="GG152" s="569" t="b">
        <v>1</v>
      </c>
      <c r="GH152" s="8">
        <f t="shared" si="47"/>
        <v>101</v>
      </c>
      <c r="GI152" s="1512" t="str">
        <f t="shared" si="43"/>
        <v/>
      </c>
      <c r="GJ152" s="1512" t="str">
        <f t="shared" si="44"/>
        <v/>
      </c>
      <c r="GK152" s="456" t="str">
        <f t="shared" si="45"/>
        <v>// Power of the Dark Side (free action; DSP; when spending a Force Point on an attack roll) • Dark Side, Force, Talent
Choose the best of two rolls on the bonus die for spending a Force Point to modify an attack roll, increasing Dark Side Score by 1</v>
      </c>
    </row>
    <row r="153" spans="96:193">
      <c r="CR153" s="1704"/>
      <c r="CS153" s="1704"/>
      <c r="CT153" s="1704"/>
      <c r="CU153" s="1704"/>
      <c r="CV153" s="1704"/>
      <c r="CW153" s="1704"/>
      <c r="CX153" s="1704"/>
      <c r="CY153" s="1704"/>
      <c r="CZ153" s="1704"/>
      <c r="DA153" s="570" t="s">
        <v>195</v>
      </c>
      <c r="DB153" s="570" t="s">
        <v>195</v>
      </c>
      <c r="DC153" s="570" t="s">
        <v>195</v>
      </c>
      <c r="DD153" s="570" t="s">
        <v>195</v>
      </c>
      <c r="DE153" s="570" t="s">
        <v>195</v>
      </c>
      <c r="DF153" s="1104"/>
      <c r="DG153" s="1104"/>
      <c r="FK153" s="1323" t="s">
        <v>2641</v>
      </c>
      <c r="FL153" s="1493" t="s">
        <v>7824</v>
      </c>
      <c r="FM153" s="1513" t="s">
        <v>7918</v>
      </c>
      <c r="FN153" s="1513" t="s">
        <v>4129</v>
      </c>
      <c r="FO153" s="1513" t="s">
        <v>7092</v>
      </c>
      <c r="FP153" s="1513" t="s">
        <v>7806</v>
      </c>
      <c r="FQ153" s="597" t="str">
        <f>CharacterName&amp;" and allies within 6 squares"</f>
        <v xml:space="preserve"> and allies within 6 squares</v>
      </c>
      <c r="GC153" s="597" t="s">
        <v>7924</v>
      </c>
      <c r="GD153" s="597" t="str">
        <f t="shared" si="48"/>
        <v>// Dark Presence (standard; encounter;  and allies within 6 squares) • Dark Side, Force, Talent
Gain +1 bonus to all defenses until the end of the encounter</v>
      </c>
      <c r="GG153" s="569" t="b">
        <v>1</v>
      </c>
      <c r="GH153" s="8">
        <f t="shared" si="47"/>
        <v>101</v>
      </c>
      <c r="GI153" s="1512" t="str">
        <f t="shared" si="43"/>
        <v/>
      </c>
      <c r="GJ153" s="1512" t="str">
        <f t="shared" si="44"/>
        <v/>
      </c>
      <c r="GK153" s="456" t="str">
        <f t="shared" si="45"/>
        <v>// Dark Presence (standard; encounter;  and allies within 6 squares) • Dark Side, Force, Talent
Gain +1 bonus to all defenses until the end of the encounter</v>
      </c>
    </row>
    <row r="154" spans="96:193">
      <c r="CR154" s="1704"/>
      <c r="CS154" s="1704"/>
      <c r="CT154" s="1704"/>
      <c r="CU154" s="1704"/>
      <c r="CV154" s="1704"/>
      <c r="CW154" s="1704"/>
      <c r="CX154" s="1704"/>
      <c r="CY154" s="1704"/>
      <c r="CZ154" s="1704"/>
      <c r="DA154" s="570" t="s">
        <v>195</v>
      </c>
      <c r="DB154" s="570" t="s">
        <v>195</v>
      </c>
      <c r="DC154" s="570" t="s">
        <v>195</v>
      </c>
      <c r="DD154" s="570" t="s">
        <v>195</v>
      </c>
      <c r="DE154" s="570" t="s">
        <v>195</v>
      </c>
      <c r="DF154" s="1104"/>
      <c r="DG154" s="1104"/>
      <c r="FK154" s="1323" t="s">
        <v>2642</v>
      </c>
      <c r="FL154" s="1493" t="s">
        <v>7824</v>
      </c>
      <c r="FM154" s="1513" t="s">
        <v>7918</v>
      </c>
      <c r="FN154" s="1513" t="s">
        <v>4129</v>
      </c>
      <c r="FQ154" s="597" t="s">
        <v>7925</v>
      </c>
      <c r="GC154" s="597" t="s">
        <v>7926</v>
      </c>
      <c r="GD154" s="597" t="str">
        <f t="shared" si="48"/>
        <v>// Revenge• Dark Side, Force, Talent
Gain +2 bonus to attack rolls and damage rolls for the remainder of the encounter</v>
      </c>
      <c r="GG154" s="569" t="b">
        <v>1</v>
      </c>
      <c r="GH154" s="8">
        <f t="shared" si="47"/>
        <v>101</v>
      </c>
      <c r="GI154" s="1512" t="str">
        <f t="shared" si="43"/>
        <v/>
      </c>
      <c r="GJ154" s="1512" t="str">
        <f t="shared" si="44"/>
        <v/>
      </c>
      <c r="GK154" s="456" t="str">
        <f t="shared" si="45"/>
        <v>// Revenge• Dark Side, Force, Talent
Gain +2 bonus to attack rolls and damage rolls for the remainder of the encounter</v>
      </c>
    </row>
    <row r="155" spans="96:193">
      <c r="CR155" s="1704"/>
      <c r="CS155" s="1704"/>
      <c r="CT155" s="1704"/>
      <c r="CU155" s="1704"/>
      <c r="CV155" s="1704"/>
      <c r="CW155" s="1704"/>
      <c r="CX155" s="1704"/>
      <c r="CY155" s="1704"/>
      <c r="CZ155" s="1704"/>
      <c r="DA155" s="570" t="s">
        <v>195</v>
      </c>
      <c r="DB155" s="570" t="s">
        <v>195</v>
      </c>
      <c r="DC155" s="570" t="s">
        <v>195</v>
      </c>
      <c r="DD155" s="570" t="s">
        <v>195</v>
      </c>
      <c r="DE155" s="570" t="s">
        <v>195</v>
      </c>
      <c r="DF155" s="1104"/>
      <c r="DG155" s="1104"/>
      <c r="FK155" s="1323" t="s">
        <v>2643</v>
      </c>
      <c r="FL155" s="1493" t="s">
        <v>7824</v>
      </c>
      <c r="FM155" s="1513" t="s">
        <v>7918</v>
      </c>
      <c r="FN155" s="1513" t="s">
        <v>4129</v>
      </c>
      <c r="FO155" s="1513" t="s">
        <v>7807</v>
      </c>
      <c r="FP155" s="1513" t="s">
        <v>7922</v>
      </c>
      <c r="GC155" s="597" t="s">
        <v>7927</v>
      </c>
      <c r="GD155" s="597" t="str">
        <f t="shared" si="48"/>
        <v>// Dark Preservation (free action; DSP) • Dark Side, Force, Talent
Negate moving down the condition track by increasing Dark Side score</v>
      </c>
      <c r="GG155" s="569" t="b">
        <v>1</v>
      </c>
      <c r="GH155" s="8" t="str">
        <f t="shared" si="47"/>
        <v>LE 55</v>
      </c>
      <c r="GI155" s="1512" t="str">
        <f t="shared" si="43"/>
        <v/>
      </c>
      <c r="GJ155" s="1512" t="str">
        <f t="shared" si="44"/>
        <v/>
      </c>
      <c r="GK155" s="456" t="str">
        <f t="shared" si="45"/>
        <v>// Dark Preservation (free action; DSP) • Dark Side, Force, Talent
Negate moving down the condition track by increasing Dark Side score</v>
      </c>
    </row>
    <row r="156" spans="96:193">
      <c r="CR156" s="1704"/>
      <c r="CS156" s="1704"/>
      <c r="CT156" s="1704"/>
      <c r="CU156" s="1704"/>
      <c r="CV156" s="1704"/>
      <c r="CW156" s="1704"/>
      <c r="CX156" s="1704"/>
      <c r="CY156" s="1704"/>
      <c r="CZ156" s="1704"/>
      <c r="DA156" s="570" t="s">
        <v>195</v>
      </c>
      <c r="DB156" s="570" t="s">
        <v>195</v>
      </c>
      <c r="DC156" s="570" t="s">
        <v>195</v>
      </c>
      <c r="DD156" s="570" t="s">
        <v>195</v>
      </c>
      <c r="DE156" s="570" t="s">
        <v>195</v>
      </c>
      <c r="DF156" s="1104"/>
      <c r="DG156" s="1104"/>
      <c r="FK156" s="1323" t="s">
        <v>2644</v>
      </c>
      <c r="FL156" s="1493" t="s">
        <v>7824</v>
      </c>
      <c r="FM156" s="1513" t="s">
        <v>7918</v>
      </c>
      <c r="FN156" s="1513" t="s">
        <v>4129</v>
      </c>
      <c r="FO156" s="1513" t="s">
        <v>7188</v>
      </c>
      <c r="FP156" s="1513" t="s">
        <v>7805</v>
      </c>
      <c r="GC156" s="597" t="s">
        <v>7928</v>
      </c>
      <c r="GD156" s="597" t="str">
        <f t="shared" si="48"/>
        <v>// Swift Power (swift; daily) • Dark Side, Force, Talent
Use a Force power of standard or move action duration as a swift action</v>
      </c>
      <c r="GG156" s="569" t="b">
        <v>1</v>
      </c>
      <c r="GH156" s="8">
        <f t="shared" si="47"/>
        <v>101</v>
      </c>
      <c r="GI156" s="1512" t="str">
        <f t="shared" si="43"/>
        <v/>
      </c>
      <c r="GJ156" s="1512" t="str">
        <f t="shared" si="44"/>
        <v/>
      </c>
      <c r="GK156" s="456" t="str">
        <f t="shared" si="45"/>
        <v>// Swift Power (swift; daily) • Dark Side, Force, Talent
Use a Force power of standard or move action duration as a swift action</v>
      </c>
    </row>
    <row r="157" spans="96:193">
      <c r="CR157" s="1704"/>
      <c r="CS157" s="1704"/>
      <c r="CT157" s="1704"/>
      <c r="CU157" s="1704"/>
      <c r="CV157" s="1704"/>
      <c r="CW157" s="1704"/>
      <c r="CX157" s="1704"/>
      <c r="CY157" s="1704"/>
      <c r="CZ157" s="1704"/>
      <c r="DA157" s="570" t="s">
        <v>195</v>
      </c>
      <c r="DB157" s="570" t="s">
        <v>195</v>
      </c>
      <c r="DC157" s="570" t="s">
        <v>195</v>
      </c>
      <c r="DD157" s="570" t="s">
        <v>195</v>
      </c>
      <c r="DE157" s="570" t="s">
        <v>195</v>
      </c>
      <c r="DF157" s="1104"/>
      <c r="DG157" s="1104"/>
      <c r="FK157" s="1323" t="s">
        <v>2645</v>
      </c>
      <c r="FL157" s="1493" t="s">
        <v>7824</v>
      </c>
      <c r="FM157" s="1513" t="s">
        <v>7918</v>
      </c>
      <c r="FN157" s="1513" t="s">
        <v>4129</v>
      </c>
      <c r="FQ157" s="597" t="s">
        <v>7930</v>
      </c>
      <c r="GC157" s="597" t="s">
        <v>7929</v>
      </c>
      <c r="GD157" s="597" t="str">
        <f t="shared" si="48"/>
        <v>// Wrath of the Dark Side• Dark Side, Force, Talent
Upon rolling a natural 20 to activate a damaging Force Power, deal half the damage again at the beginning of the target's next turn instead of replenishing Force suite</v>
      </c>
      <c r="GG157" s="569" t="b">
        <v>1</v>
      </c>
      <c r="GH157" s="8" t="str">
        <f t="shared" si="47"/>
        <v>TFU 88</v>
      </c>
      <c r="GI157" s="1512" t="str">
        <f t="shared" si="43"/>
        <v/>
      </c>
      <c r="GJ157" s="1512" t="str">
        <f t="shared" si="44"/>
        <v/>
      </c>
      <c r="GK157" s="456" t="str">
        <f t="shared" si="45"/>
        <v>// Wrath of the Dark Side• Dark Side, Force, Talent
Upon rolling a natural 20 to activate a damaging Force Power, deal half the damage again at the beginning of the target's next turn instead of replenishing Force suite</v>
      </c>
    </row>
    <row r="158" spans="96:193">
      <c r="CR158" s="1704"/>
      <c r="CS158" s="1704"/>
      <c r="CT158" s="1704"/>
      <c r="CU158" s="1704"/>
      <c r="CV158" s="1704"/>
      <c r="CW158" s="1704"/>
      <c r="CX158" s="1704"/>
      <c r="CY158" s="1704"/>
      <c r="CZ158" s="1704"/>
      <c r="DA158" s="570" t="s">
        <v>195</v>
      </c>
      <c r="DB158" s="570" t="s">
        <v>195</v>
      </c>
      <c r="DC158" s="570" t="s">
        <v>195</v>
      </c>
      <c r="DD158" s="570" t="s">
        <v>195</v>
      </c>
      <c r="DE158" s="570" t="s">
        <v>195</v>
      </c>
      <c r="DF158" s="1104"/>
      <c r="DG158" s="1104"/>
      <c r="FK158" s="1323" t="s">
        <v>4394</v>
      </c>
      <c r="FL158" s="1493" t="s">
        <v>7824</v>
      </c>
      <c r="FM158" s="1513" t="s">
        <v>7918</v>
      </c>
      <c r="FN158" s="1513" t="s">
        <v>4129</v>
      </c>
      <c r="GC158" s="597" t="s">
        <v>5837</v>
      </c>
      <c r="GD158" s="597" t="str">
        <f t="shared" si="48"/>
        <v>// Transfer Essence• Dark Side, Force, Talent
When you die become a dark side spirit and can possess others or enter an object</v>
      </c>
      <c r="GG158" s="569" t="b">
        <v>1</v>
      </c>
      <c r="GH158" s="8" t="str">
        <f t="shared" si="47"/>
        <v>JATM 16</v>
      </c>
      <c r="GI158" s="1512" t="str">
        <f t="shared" si="43"/>
        <v/>
      </c>
      <c r="GJ158" s="1512" t="str">
        <f t="shared" si="44"/>
        <v/>
      </c>
      <c r="GK158" s="456" t="str">
        <f t="shared" si="45"/>
        <v>// Transfer Essence• Dark Side, Force, Talent
When you die become a dark side spirit and can possess others or enter an object</v>
      </c>
    </row>
    <row r="159" spans="96:193">
      <c r="CR159" s="1704"/>
      <c r="CS159" s="1704"/>
      <c r="CT159" s="1704"/>
      <c r="CU159" s="1704"/>
      <c r="CV159" s="1704"/>
      <c r="CW159" s="1704"/>
      <c r="CX159" s="1704"/>
      <c r="CY159" s="1704"/>
      <c r="CZ159" s="1704"/>
      <c r="DA159" s="570" t="s">
        <v>195</v>
      </c>
      <c r="DB159" s="570" t="s">
        <v>195</v>
      </c>
      <c r="DC159" s="570" t="s">
        <v>195</v>
      </c>
      <c r="DD159" s="570" t="s">
        <v>195</v>
      </c>
      <c r="DE159" s="570" t="s">
        <v>195</v>
      </c>
      <c r="DF159" s="1104"/>
      <c r="DG159" s="1104"/>
      <c r="FK159" s="1323" t="s">
        <v>7931</v>
      </c>
      <c r="FL159" s="1493" t="s">
        <v>7823</v>
      </c>
      <c r="FM159" s="1513" t="s">
        <v>134</v>
      </c>
      <c r="FN159" s="1513" t="s">
        <v>134</v>
      </c>
      <c r="FO159" s="3" t="s">
        <v>7188</v>
      </c>
      <c r="FP159" s="3" t="s">
        <v>7806</v>
      </c>
      <c r="GC159" s="1509" t="str">
        <f>"Gain SR 5 until the end of the encounter"&amp;IF(ArmorWorn&lt;&gt;"","; Reflex "&amp;RefDefense+IF(RefMaxDex&gt;4,4-RefMaxDex,0),"")&amp;"; 5 charges"</f>
        <v>Gain SR 5 until the end of the encounter; 5 charges</v>
      </c>
      <c r="GD159" s="597" t="str">
        <f t="shared" si="48"/>
        <v>// Light Energy Shields (SR 5) (swift; encounter) • Equipment
Gain SR 5 until the end of the encounter; 5 charges</v>
      </c>
      <c r="GG159" s="569" t="b">
        <v>1</v>
      </c>
      <c r="GH159" s="8" t="str">
        <f t="shared" si="47"/>
        <v/>
      </c>
      <c r="GI159" s="1512" t="str">
        <f t="shared" si="43"/>
        <v/>
      </c>
      <c r="GJ159" s="1512" t="str">
        <f t="shared" si="44"/>
        <v/>
      </c>
      <c r="GK159" s="456" t="str">
        <f t="shared" si="45"/>
        <v>// Light Energy Shields (SR 5) (swift; encounter) • Equipment
Gain SR 5 until the end of the encounter; 5 charges</v>
      </c>
    </row>
    <row r="160" spans="96:193">
      <c r="CR160" s="1704"/>
      <c r="CS160" s="1704"/>
      <c r="CT160" s="1704"/>
      <c r="CU160" s="1704"/>
      <c r="CV160" s="1704"/>
      <c r="CW160" s="1704"/>
      <c r="CX160" s="1704"/>
      <c r="CY160" s="1704"/>
      <c r="CZ160" s="1704"/>
      <c r="DA160" s="570" t="s">
        <v>195</v>
      </c>
      <c r="DB160" s="570" t="s">
        <v>195</v>
      </c>
      <c r="DC160" s="570" t="s">
        <v>195</v>
      </c>
      <c r="DD160" s="570" t="s">
        <v>195</v>
      </c>
      <c r="DE160" s="570" t="s">
        <v>195</v>
      </c>
      <c r="DF160" s="1104"/>
      <c r="DG160" s="1104"/>
      <c r="FK160" s="1323" t="s">
        <v>7932</v>
      </c>
      <c r="FL160" s="1493" t="s">
        <v>7823</v>
      </c>
      <c r="FM160" s="1513" t="s">
        <v>134</v>
      </c>
      <c r="FN160" s="1513" t="s">
        <v>134</v>
      </c>
      <c r="FO160" s="3" t="s">
        <v>7188</v>
      </c>
      <c r="FP160" s="3" t="s">
        <v>7806</v>
      </c>
      <c r="GC160" s="1509" t="str">
        <f>"Gain SR 10 until the end of the encounter"&amp;IF(ArmorWorn&lt;&gt;"","; Reflex "&amp;RefDefense+IF(RefMaxDex&gt;4,4-RefMaxDex,0),"")&amp;"; 5 charges"</f>
        <v>Gain SR 10 until the end of the encounter; 5 charges</v>
      </c>
      <c r="GD160" s="597" t="str">
        <f t="shared" si="48"/>
        <v>// Light Energy Shields (SR 10) (swift; encounter) • Equipment
Gain SR 10 until the end of the encounter; 5 charges</v>
      </c>
      <c r="GG160" s="569" t="b">
        <v>1</v>
      </c>
      <c r="GH160" s="8" t="str">
        <f t="shared" si="47"/>
        <v/>
      </c>
      <c r="GI160" s="1512" t="str">
        <f t="shared" si="43"/>
        <v/>
      </c>
      <c r="GJ160" s="1512" t="str">
        <f t="shared" si="44"/>
        <v/>
      </c>
      <c r="GK160" s="456" t="str">
        <f t="shared" si="45"/>
        <v>// Light Energy Shields (SR 10) (swift; encounter) • Equipment
Gain SR 10 until the end of the encounter; 5 charges</v>
      </c>
    </row>
    <row r="161" spans="96:193">
      <c r="CR161" s="1704"/>
      <c r="CS161" s="1704"/>
      <c r="CT161" s="1704"/>
      <c r="CU161" s="1704"/>
      <c r="CV161" s="1704"/>
      <c r="CW161" s="1704"/>
      <c r="CX161" s="1704"/>
      <c r="CY161" s="1704"/>
      <c r="CZ161" s="1704"/>
      <c r="DA161" s="570" t="s">
        <v>195</v>
      </c>
      <c r="DB161" s="570" t="s">
        <v>195</v>
      </c>
      <c r="DC161" s="570" t="s">
        <v>195</v>
      </c>
      <c r="DD161" s="570" t="s">
        <v>195</v>
      </c>
      <c r="DE161" s="570" t="s">
        <v>195</v>
      </c>
      <c r="DF161" s="1104"/>
      <c r="DG161" s="1104"/>
      <c r="FK161" s="1323" t="s">
        <v>7933</v>
      </c>
      <c r="FL161" s="1493" t="s">
        <v>7823</v>
      </c>
      <c r="FM161" s="1513" t="s">
        <v>134</v>
      </c>
      <c r="FN161" s="1513" t="s">
        <v>134</v>
      </c>
      <c r="FO161" s="3" t="s">
        <v>7188</v>
      </c>
      <c r="FP161" s="3" t="s">
        <v>7806</v>
      </c>
      <c r="GC161" s="1509" t="str">
        <f>"Gain SR 15 until the end of the encounter"&amp;IF(ArmorWorn&lt;&gt;"","; Reflex "&amp;RefDefense+IF(RefMaxDex&gt;4,4-RefMaxDex,0),"")&amp;"; 5 charges"</f>
        <v>Gain SR 15 until the end of the encounter; 5 charges</v>
      </c>
      <c r="GD161" s="597" t="str">
        <f t="shared" si="48"/>
        <v>// Medium Energy Shields (SR 15) (swift; encounter) • Equipment
Gain SR 15 until the end of the encounter; 5 charges</v>
      </c>
      <c r="GG161" s="569" t="b">
        <v>1</v>
      </c>
      <c r="GH161" s="8" t="str">
        <f t="shared" si="47"/>
        <v/>
      </c>
      <c r="GI161" s="1512" t="str">
        <f t="shared" si="43"/>
        <v/>
      </c>
      <c r="GJ161" s="1512" t="str">
        <f t="shared" si="44"/>
        <v/>
      </c>
      <c r="GK161" s="456" t="str">
        <f t="shared" si="45"/>
        <v>// Medium Energy Shields (SR 15) (swift; encounter) • Equipment
Gain SR 15 until the end of the encounter; 5 charges</v>
      </c>
    </row>
    <row r="162" spans="96:193">
      <c r="CR162" s="1704"/>
      <c r="CS162" s="1704"/>
      <c r="CT162" s="1704"/>
      <c r="CU162" s="1704"/>
      <c r="CV162" s="1704"/>
      <c r="CW162" s="1704"/>
      <c r="CX162" s="1704"/>
      <c r="CY162" s="1704"/>
      <c r="CZ162" s="1704"/>
      <c r="DA162" s="570" t="s">
        <v>195</v>
      </c>
      <c r="DB162" s="570" t="s">
        <v>195</v>
      </c>
      <c r="DC162" s="570" t="s">
        <v>195</v>
      </c>
      <c r="DD162" s="570" t="s">
        <v>195</v>
      </c>
      <c r="DE162" s="570" t="s">
        <v>195</v>
      </c>
      <c r="DF162" s="1104"/>
      <c r="DG162" s="1104"/>
      <c r="FK162" s="1323" t="s">
        <v>7934</v>
      </c>
      <c r="FL162" s="1493" t="s">
        <v>7823</v>
      </c>
      <c r="FM162" s="1513" t="s">
        <v>134</v>
      </c>
      <c r="FN162" s="1513" t="s">
        <v>134</v>
      </c>
      <c r="FO162" s="3" t="s">
        <v>7188</v>
      </c>
      <c r="FP162" s="3" t="s">
        <v>7806</v>
      </c>
      <c r="GC162" s="1509" t="str">
        <f>"Gain SR 20 until the end of the encounter"&amp;IF(ArmorWorn&lt;&gt;"","; Reflex "&amp;RefDefense+IF(RefMaxDex&gt;4,4-RefMaxDex,0),"")&amp;"; 5 charges"</f>
        <v>Gain SR 20 until the end of the encounter; 5 charges</v>
      </c>
      <c r="GD162" s="597" t="str">
        <f t="shared" si="48"/>
        <v>// Medium Energy Shields (SR 20) (swift; encounter) • Equipment
Gain SR 20 until the end of the encounter; 5 charges</v>
      </c>
      <c r="GG162" s="569" t="b">
        <v>1</v>
      </c>
      <c r="GH162" s="8" t="str">
        <f t="shared" si="47"/>
        <v/>
      </c>
      <c r="GI162" s="1512" t="str">
        <f t="shared" si="43"/>
        <v/>
      </c>
      <c r="GJ162" s="1512" t="str">
        <f t="shared" si="44"/>
        <v/>
      </c>
      <c r="GK162" s="456" t="str">
        <f t="shared" si="45"/>
        <v>// Medium Energy Shields (SR 20) (swift; encounter) • Equipment
Gain SR 20 until the end of the encounter; 5 charges</v>
      </c>
    </row>
    <row r="163" spans="96:193">
      <c r="CR163" s="1704"/>
      <c r="CS163" s="1704"/>
      <c r="CT163" s="1704"/>
      <c r="CU163" s="1704"/>
      <c r="CV163" s="1704"/>
      <c r="CW163" s="1704"/>
      <c r="CX163" s="1704"/>
      <c r="CY163" s="1704"/>
      <c r="CZ163" s="1704"/>
      <c r="DA163" s="570" t="s">
        <v>195</v>
      </c>
      <c r="DB163" s="570" t="s">
        <v>195</v>
      </c>
      <c r="DC163" s="570" t="s">
        <v>195</v>
      </c>
      <c r="DD163" s="570" t="s">
        <v>195</v>
      </c>
      <c r="DE163" s="570" t="s">
        <v>195</v>
      </c>
      <c r="DF163" s="1104"/>
      <c r="DG163" s="1104"/>
      <c r="GC163" s="1509" t="str">
        <f>"Gain SR 25 until the end of the encounter"&amp;IF(ArmorWorn&lt;&gt;"","; Reflex "&amp;RefDefense+IF(RefMaxDex&gt;2,2-RefMaxDex,0),"")&amp;"; 5 charges"</f>
        <v>Gain SR 25 until the end of the encounter; 5 charges</v>
      </c>
      <c r="GD163" s="597" t="str">
        <f t="shared" si="48"/>
        <v>// • 
Gain SR 25 until the end of the encounter; 5 charges</v>
      </c>
      <c r="GG163" s="569" t="b">
        <v>1</v>
      </c>
      <c r="GH163" s="8" t="str">
        <f t="shared" si="47"/>
        <v/>
      </c>
      <c r="GI163" s="1512" t="str">
        <f t="shared" si="43"/>
        <v/>
      </c>
      <c r="GJ163" s="1512" t="str">
        <f t="shared" si="44"/>
        <v/>
      </c>
      <c r="GK163" s="456" t="str">
        <f t="shared" si="45"/>
        <v>// • 
Gain SR 25 until the end of the encounter; 5 charges</v>
      </c>
    </row>
    <row r="164" spans="96:193">
      <c r="CR164" s="1704"/>
      <c r="CS164" s="1704"/>
      <c r="CT164" s="1704"/>
      <c r="CU164" s="1704"/>
      <c r="CV164" s="1704"/>
      <c r="CW164" s="1704"/>
      <c r="CX164" s="1704"/>
      <c r="CY164" s="1704"/>
      <c r="CZ164" s="1704"/>
      <c r="DA164" s="570" t="s">
        <v>195</v>
      </c>
      <c r="DB164" s="570" t="s">
        <v>195</v>
      </c>
      <c r="DC164" s="570" t="s">
        <v>195</v>
      </c>
      <c r="DD164" s="570" t="s">
        <v>195</v>
      </c>
      <c r="DE164" s="570" t="s">
        <v>195</v>
      </c>
      <c r="DF164" s="1104"/>
      <c r="DG164" s="1104"/>
      <c r="GC164" s="1509" t="str">
        <f>"Gain SR 30 until the end of the encounter"&amp;IF(ArmorWorn&lt;&gt;"","; Reflex "&amp;RefDefense+IF(RefMaxDex&gt;2,2-RefMaxDex,0),"")&amp;"; 5 charges"</f>
        <v>Gain SR 30 until the end of the encounter; 5 charges</v>
      </c>
      <c r="GD164" s="597" t="str">
        <f t="shared" si="48"/>
        <v>// • 
Gain SR 30 until the end of the encounter; 5 charges</v>
      </c>
      <c r="GG164" s="569" t="b">
        <v>1</v>
      </c>
      <c r="GH164" s="8" t="str">
        <f t="shared" si="47"/>
        <v/>
      </c>
      <c r="GI164" s="1512" t="str">
        <f t="shared" si="43"/>
        <v/>
      </c>
      <c r="GJ164" s="1512" t="str">
        <f t="shared" si="44"/>
        <v/>
      </c>
      <c r="GK164" s="456" t="str">
        <f t="shared" si="45"/>
        <v>// • 
Gain SR 30 until the end of the encounter; 5 charges</v>
      </c>
    </row>
    <row r="165" spans="96:193">
      <c r="CR165" s="1704"/>
      <c r="CS165" s="1704"/>
      <c r="CT165" s="1704"/>
      <c r="CU165" s="1704"/>
      <c r="CV165" s="1704"/>
      <c r="CW165" s="1704"/>
      <c r="CX165" s="1704"/>
      <c r="CY165" s="1704"/>
      <c r="CZ165" s="1704"/>
      <c r="DA165" s="570" t="s">
        <v>195</v>
      </c>
      <c r="DB165" s="570" t="s">
        <v>195</v>
      </c>
      <c r="DC165" s="570" t="s">
        <v>195</v>
      </c>
      <c r="DD165" s="570" t="s">
        <v>195</v>
      </c>
      <c r="DE165" s="570" t="s">
        <v>195</v>
      </c>
      <c r="DF165" s="1104"/>
      <c r="DG165" s="1104"/>
      <c r="GI165" s="1512" t="str">
        <f t="shared" si="43"/>
        <v/>
      </c>
      <c r="GJ165" s="1512" t="str">
        <f t="shared" si="44"/>
        <v/>
      </c>
      <c r="GK165" s="456" t="str">
        <f t="shared" si="45"/>
        <v/>
      </c>
    </row>
    <row r="166" spans="96:193">
      <c r="CR166" s="1704"/>
      <c r="CS166" s="1704"/>
      <c r="CT166" s="1704"/>
      <c r="CU166" s="1704"/>
      <c r="CV166" s="1704"/>
      <c r="CW166" s="1704"/>
      <c r="CX166" s="1704"/>
      <c r="CY166" s="1704"/>
      <c r="CZ166" s="1704"/>
      <c r="DA166" s="570" t="s">
        <v>195</v>
      </c>
      <c r="DB166" s="570" t="s">
        <v>195</v>
      </c>
      <c r="DC166" s="570" t="s">
        <v>195</v>
      </c>
      <c r="DD166" s="570" t="s">
        <v>195</v>
      </c>
      <c r="DE166" s="570" t="s">
        <v>195</v>
      </c>
      <c r="DF166" s="1104"/>
      <c r="DG166" s="1104"/>
      <c r="GI166" s="1512" t="str">
        <f t="shared" si="43"/>
        <v/>
      </c>
      <c r="GJ166" s="1512" t="str">
        <f t="shared" si="44"/>
        <v/>
      </c>
      <c r="GK166" s="456" t="str">
        <f t="shared" si="45"/>
        <v/>
      </c>
    </row>
    <row r="167" spans="96:193">
      <c r="CR167" s="1704"/>
      <c r="CS167" s="1704"/>
      <c r="CT167" s="1704"/>
      <c r="CU167" s="1704"/>
      <c r="CV167" s="1704"/>
      <c r="CW167" s="1704"/>
      <c r="CX167" s="1704"/>
      <c r="CY167" s="1704"/>
      <c r="CZ167" s="1704"/>
      <c r="DA167" s="570" t="s">
        <v>195</v>
      </c>
      <c r="DB167" s="570" t="s">
        <v>195</v>
      </c>
      <c r="DC167" s="570" t="s">
        <v>195</v>
      </c>
      <c r="DD167" s="570" t="s">
        <v>195</v>
      </c>
      <c r="DE167" s="570" t="s">
        <v>195</v>
      </c>
      <c r="DF167" s="1104"/>
      <c r="DG167" s="1104"/>
      <c r="GI167" s="1512" t="str">
        <f t="shared" si="43"/>
        <v/>
      </c>
      <c r="GJ167" s="1512" t="str">
        <f t="shared" si="44"/>
        <v/>
      </c>
      <c r="GK167" s="456" t="str">
        <f t="shared" si="45"/>
        <v/>
      </c>
    </row>
    <row r="168" spans="96:193">
      <c r="CR168" s="1704"/>
      <c r="CS168" s="1704"/>
      <c r="CT168" s="1704"/>
      <c r="CU168" s="1704"/>
      <c r="CV168" s="1704"/>
      <c r="CW168" s="1704"/>
      <c r="CX168" s="1704"/>
      <c r="CY168" s="1704"/>
      <c r="CZ168" s="1704"/>
      <c r="DA168" s="570" t="s">
        <v>195</v>
      </c>
      <c r="DB168" s="570" t="s">
        <v>195</v>
      </c>
      <c r="DC168" s="570" t="s">
        <v>195</v>
      </c>
      <c r="DD168" s="570" t="s">
        <v>195</v>
      </c>
      <c r="DE168" s="570" t="s">
        <v>195</v>
      </c>
      <c r="DF168" s="1104"/>
      <c r="DG168" s="1104"/>
      <c r="GI168" s="1512" t="str">
        <f t="shared" si="43"/>
        <v/>
      </c>
      <c r="GJ168" s="1512" t="str">
        <f t="shared" si="44"/>
        <v/>
      </c>
      <c r="GK168" s="456" t="str">
        <f t="shared" si="45"/>
        <v/>
      </c>
    </row>
    <row r="169" spans="96:193">
      <c r="CR169" s="1704"/>
      <c r="CS169" s="1704"/>
      <c r="CT169" s="1704"/>
      <c r="CU169" s="1704"/>
      <c r="CV169" s="1704"/>
      <c r="CW169" s="1704"/>
      <c r="CX169" s="1704"/>
      <c r="CY169" s="1704"/>
      <c r="CZ169" s="1704"/>
      <c r="DA169" s="570" t="s">
        <v>195</v>
      </c>
      <c r="DB169" s="570" t="s">
        <v>195</v>
      </c>
      <c r="DC169" s="570" t="s">
        <v>195</v>
      </c>
      <c r="DD169" s="570" t="s">
        <v>195</v>
      </c>
      <c r="DE169" s="570" t="s">
        <v>195</v>
      </c>
      <c r="DF169" s="1104"/>
      <c r="DG169" s="1104"/>
      <c r="GI169" s="1512" t="str">
        <f t="shared" si="43"/>
        <v/>
      </c>
      <c r="GJ169" s="1512" t="str">
        <f t="shared" si="44"/>
        <v/>
      </c>
      <c r="GK169" s="456" t="str">
        <f t="shared" si="45"/>
        <v/>
      </c>
    </row>
    <row r="170" spans="96:193">
      <c r="CR170" s="1704"/>
      <c r="CS170" s="1704"/>
      <c r="CT170" s="1704"/>
      <c r="CU170" s="1704"/>
      <c r="CV170" s="1704"/>
      <c r="CW170" s="1704"/>
      <c r="CX170" s="1704"/>
      <c r="CY170" s="1704"/>
      <c r="CZ170" s="1704"/>
      <c r="DA170" s="570" t="s">
        <v>195</v>
      </c>
      <c r="DB170" s="570" t="s">
        <v>195</v>
      </c>
      <c r="DC170" s="570" t="s">
        <v>195</v>
      </c>
      <c r="DD170" s="570" t="s">
        <v>195</v>
      </c>
      <c r="DE170" s="570" t="s">
        <v>195</v>
      </c>
      <c r="DF170" s="1104"/>
      <c r="DG170" s="1104"/>
      <c r="GI170" s="1512" t="str">
        <f t="shared" si="43"/>
        <v/>
      </c>
      <c r="GJ170" s="1512" t="str">
        <f t="shared" si="44"/>
        <v/>
      </c>
      <c r="GK170" s="456" t="str">
        <f t="shared" si="45"/>
        <v/>
      </c>
    </row>
    <row r="171" spans="96:193">
      <c r="CR171" s="1704"/>
      <c r="CS171" s="1704"/>
      <c r="CT171" s="1704"/>
      <c r="CU171" s="1704"/>
      <c r="CV171" s="1704"/>
      <c r="CW171" s="1704"/>
      <c r="CX171" s="1704"/>
      <c r="CY171" s="1704"/>
      <c r="CZ171" s="1704"/>
      <c r="DA171" s="570" t="s">
        <v>195</v>
      </c>
      <c r="DB171" s="570" t="s">
        <v>195</v>
      </c>
      <c r="DC171" s="570" t="s">
        <v>195</v>
      </c>
      <c r="DD171" s="570" t="s">
        <v>195</v>
      </c>
      <c r="DE171" s="570" t="s">
        <v>195</v>
      </c>
      <c r="DF171" s="1104"/>
      <c r="DG171" s="1104"/>
      <c r="GI171" s="1512" t="str">
        <f t="shared" si="43"/>
        <v/>
      </c>
      <c r="GJ171" s="1512" t="str">
        <f t="shared" si="44"/>
        <v/>
      </c>
      <c r="GK171" s="456" t="str">
        <f t="shared" si="45"/>
        <v/>
      </c>
    </row>
    <row r="172" spans="96:193">
      <c r="CR172" s="1704"/>
      <c r="CS172" s="1704"/>
      <c r="CT172" s="1704"/>
      <c r="CU172" s="1704"/>
      <c r="CV172" s="1704"/>
      <c r="CW172" s="1704"/>
      <c r="CX172" s="1704"/>
      <c r="CY172" s="1704"/>
      <c r="CZ172" s="1704"/>
      <c r="DA172" s="570" t="s">
        <v>195</v>
      </c>
      <c r="DB172" s="570" t="s">
        <v>195</v>
      </c>
      <c r="DC172" s="570" t="s">
        <v>195</v>
      </c>
      <c r="DD172" s="570" t="s">
        <v>195</v>
      </c>
      <c r="DE172" s="570" t="s">
        <v>195</v>
      </c>
      <c r="DF172" s="1104"/>
      <c r="DG172" s="1104"/>
      <c r="GI172" s="1512" t="str">
        <f t="shared" si="43"/>
        <v/>
      </c>
      <c r="GJ172" s="1512" t="str">
        <f t="shared" si="44"/>
        <v/>
      </c>
      <c r="GK172" s="456" t="str">
        <f t="shared" si="45"/>
        <v/>
      </c>
    </row>
    <row r="173" spans="96:193">
      <c r="CR173" s="1704"/>
      <c r="CS173" s="1704"/>
      <c r="CT173" s="1704"/>
      <c r="CU173" s="1704"/>
      <c r="CV173" s="1704"/>
      <c r="CW173" s="1704"/>
      <c r="CX173" s="1704"/>
      <c r="CY173" s="1704"/>
      <c r="CZ173" s="1704"/>
      <c r="DA173" s="570" t="s">
        <v>195</v>
      </c>
      <c r="DB173" s="570" t="s">
        <v>195</v>
      </c>
      <c r="DC173" s="570" t="s">
        <v>195</v>
      </c>
      <c r="DD173" s="570" t="s">
        <v>195</v>
      </c>
      <c r="DE173" s="570" t="s">
        <v>195</v>
      </c>
      <c r="DF173" s="1104"/>
      <c r="DG173" s="1104"/>
      <c r="GI173" s="1512" t="str">
        <f t="shared" si="43"/>
        <v/>
      </c>
      <c r="GJ173" s="1512" t="str">
        <f t="shared" si="44"/>
        <v/>
      </c>
      <c r="GK173" s="456" t="str">
        <f t="shared" si="45"/>
        <v/>
      </c>
    </row>
    <row r="174" spans="96:193">
      <c r="CR174" s="1704"/>
      <c r="CS174" s="1704"/>
      <c r="CT174" s="1704"/>
      <c r="CU174" s="1704"/>
      <c r="CV174" s="1704"/>
      <c r="CW174" s="1704"/>
      <c r="CX174" s="1704"/>
      <c r="CY174" s="1704"/>
      <c r="CZ174" s="1704"/>
      <c r="DA174" s="570" t="s">
        <v>195</v>
      </c>
      <c r="DB174" s="570" t="s">
        <v>195</v>
      </c>
      <c r="DC174" s="570" t="s">
        <v>195</v>
      </c>
      <c r="DD174" s="570" t="s">
        <v>195</v>
      </c>
      <c r="DE174" s="570" t="s">
        <v>195</v>
      </c>
      <c r="DF174" s="1104"/>
      <c r="DG174" s="1104"/>
      <c r="GI174" s="1512" t="str">
        <f t="shared" si="43"/>
        <v/>
      </c>
      <c r="GJ174" s="1512" t="str">
        <f t="shared" si="44"/>
        <v/>
      </c>
      <c r="GK174" s="456" t="str">
        <f t="shared" si="45"/>
        <v/>
      </c>
    </row>
    <row r="175" spans="96:193">
      <c r="CR175" s="1704"/>
      <c r="CS175" s="1704"/>
      <c r="CT175" s="1704"/>
      <c r="CU175" s="1704"/>
      <c r="CV175" s="1704"/>
      <c r="CW175" s="1704"/>
      <c r="CX175" s="1704"/>
      <c r="CY175" s="1704"/>
      <c r="CZ175" s="1704"/>
      <c r="DA175" s="570" t="s">
        <v>195</v>
      </c>
      <c r="DB175" s="570" t="s">
        <v>195</v>
      </c>
      <c r="DC175" s="570" t="s">
        <v>195</v>
      </c>
      <c r="DD175" s="570" t="s">
        <v>195</v>
      </c>
      <c r="DE175" s="570" t="s">
        <v>195</v>
      </c>
      <c r="DF175" s="1104"/>
      <c r="DG175" s="1104"/>
      <c r="GI175" s="1512" t="str">
        <f t="shared" si="43"/>
        <v/>
      </c>
      <c r="GJ175" s="1512" t="str">
        <f t="shared" si="44"/>
        <v/>
      </c>
      <c r="GK175" s="456" t="str">
        <f t="shared" si="45"/>
        <v/>
      </c>
    </row>
    <row r="176" spans="96:193">
      <c r="CR176" s="1704"/>
      <c r="CS176" s="1704"/>
      <c r="CT176" s="1704"/>
      <c r="CU176" s="1704"/>
      <c r="CV176" s="1704"/>
      <c r="CW176" s="1704"/>
      <c r="CX176" s="1704"/>
      <c r="CY176" s="1704"/>
      <c r="CZ176" s="1704"/>
      <c r="DA176" s="570" t="s">
        <v>195</v>
      </c>
      <c r="DB176" s="570" t="s">
        <v>195</v>
      </c>
      <c r="DC176" s="570" t="s">
        <v>195</v>
      </c>
      <c r="DD176" s="570" t="s">
        <v>195</v>
      </c>
      <c r="DE176" s="570" t="s">
        <v>195</v>
      </c>
      <c r="DF176" s="1104"/>
      <c r="DG176" s="1104"/>
      <c r="GI176" s="1512" t="str">
        <f t="shared" si="43"/>
        <v/>
      </c>
      <c r="GJ176" s="1512" t="str">
        <f t="shared" si="44"/>
        <v/>
      </c>
      <c r="GK176" s="456" t="str">
        <f t="shared" si="45"/>
        <v/>
      </c>
    </row>
    <row r="177" spans="96:193">
      <c r="CR177" s="1704"/>
      <c r="CS177" s="1704"/>
      <c r="CT177" s="1704"/>
      <c r="CU177" s="1704"/>
      <c r="CV177" s="1704"/>
      <c r="CW177" s="1704"/>
      <c r="CX177" s="1704"/>
      <c r="CY177" s="1704"/>
      <c r="CZ177" s="1704"/>
      <c r="DA177" s="570" t="s">
        <v>195</v>
      </c>
      <c r="DB177" s="570" t="s">
        <v>195</v>
      </c>
      <c r="DC177" s="570" t="s">
        <v>195</v>
      </c>
      <c r="DD177" s="570" t="s">
        <v>195</v>
      </c>
      <c r="DE177" s="570" t="s">
        <v>195</v>
      </c>
      <c r="DF177" s="1104"/>
      <c r="DG177" s="1104"/>
      <c r="GI177" s="1512" t="str">
        <f t="shared" si="43"/>
        <v/>
      </c>
      <c r="GJ177" s="1512" t="str">
        <f t="shared" si="44"/>
        <v/>
      </c>
      <c r="GK177" s="456" t="str">
        <f t="shared" si="45"/>
        <v/>
      </c>
    </row>
    <row r="178" spans="96:193">
      <c r="CR178" s="1704"/>
      <c r="CS178" s="1704"/>
      <c r="CT178" s="1704"/>
      <c r="CU178" s="1704"/>
      <c r="CV178" s="1704"/>
      <c r="CW178" s="1704"/>
      <c r="CX178" s="1704"/>
      <c r="CY178" s="1704"/>
      <c r="CZ178" s="1704"/>
      <c r="DA178" s="570" t="s">
        <v>195</v>
      </c>
      <c r="DB178" s="570" t="s">
        <v>195</v>
      </c>
      <c r="DC178" s="570" t="s">
        <v>195</v>
      </c>
      <c r="DD178" s="570" t="s">
        <v>195</v>
      </c>
      <c r="DE178" s="570" t="s">
        <v>195</v>
      </c>
      <c r="DF178" s="1104"/>
      <c r="DG178" s="1104"/>
      <c r="GI178" s="1512" t="str">
        <f t="shared" si="43"/>
        <v/>
      </c>
      <c r="GJ178" s="1512" t="str">
        <f t="shared" si="44"/>
        <v/>
      </c>
      <c r="GK178" s="456" t="str">
        <f t="shared" si="45"/>
        <v/>
      </c>
    </row>
    <row r="179" spans="96:193">
      <c r="CR179" s="1704"/>
      <c r="CS179" s="1704"/>
      <c r="CT179" s="1704"/>
      <c r="CU179" s="1704"/>
      <c r="CV179" s="1704"/>
      <c r="CW179" s="1704"/>
      <c r="CX179" s="1704"/>
      <c r="CY179" s="1704"/>
      <c r="CZ179" s="1704"/>
      <c r="DA179" s="570" t="s">
        <v>195</v>
      </c>
      <c r="DB179" s="570" t="s">
        <v>195</v>
      </c>
      <c r="DC179" s="570" t="s">
        <v>195</v>
      </c>
      <c r="DD179" s="570" t="s">
        <v>195</v>
      </c>
      <c r="DE179" s="570" t="s">
        <v>195</v>
      </c>
      <c r="DF179" s="1104"/>
      <c r="DG179" s="1104"/>
      <c r="GI179" s="1512" t="str">
        <f t="shared" si="43"/>
        <v/>
      </c>
      <c r="GJ179" s="1512" t="str">
        <f t="shared" si="44"/>
        <v/>
      </c>
      <c r="GK179" s="456" t="str">
        <f t="shared" si="45"/>
        <v/>
      </c>
    </row>
    <row r="180" spans="96:193">
      <c r="CR180" s="1704"/>
      <c r="CS180" s="1704"/>
      <c r="CT180" s="1704"/>
      <c r="CU180" s="1704"/>
      <c r="CV180" s="1704"/>
      <c r="CW180" s="1704"/>
      <c r="CX180" s="1704"/>
      <c r="CY180" s="1704"/>
      <c r="CZ180" s="1704"/>
      <c r="DA180" s="570" t="s">
        <v>195</v>
      </c>
      <c r="DB180" s="570" t="s">
        <v>195</v>
      </c>
      <c r="DC180" s="570" t="s">
        <v>195</v>
      </c>
      <c r="DD180" s="570" t="s">
        <v>195</v>
      </c>
      <c r="DE180" s="570" t="s">
        <v>195</v>
      </c>
      <c r="DF180" s="1104"/>
      <c r="DG180" s="1104"/>
      <c r="GI180" s="1512" t="str">
        <f t="shared" si="43"/>
        <v/>
      </c>
      <c r="GJ180" s="1512" t="str">
        <f t="shared" si="44"/>
        <v/>
      </c>
      <c r="GK180" s="456" t="str">
        <f t="shared" si="45"/>
        <v/>
      </c>
    </row>
    <row r="181" spans="96:193">
      <c r="CR181" s="1704"/>
      <c r="CS181" s="1704"/>
      <c r="CT181" s="1704"/>
      <c r="CU181" s="1704"/>
      <c r="CV181" s="1704"/>
      <c r="CW181" s="1704"/>
      <c r="CX181" s="1704"/>
      <c r="CY181" s="1704"/>
      <c r="CZ181" s="1704"/>
      <c r="DA181" s="570" t="s">
        <v>195</v>
      </c>
      <c r="DB181" s="570" t="s">
        <v>195</v>
      </c>
      <c r="DC181" s="570" t="s">
        <v>195</v>
      </c>
      <c r="DD181" s="570" t="s">
        <v>195</v>
      </c>
      <c r="DE181" s="570" t="s">
        <v>195</v>
      </c>
      <c r="DF181" s="1104"/>
      <c r="DG181" s="1104"/>
      <c r="GI181" s="1512" t="str">
        <f t="shared" si="43"/>
        <v/>
      </c>
      <c r="GJ181" s="1512" t="str">
        <f t="shared" si="44"/>
        <v/>
      </c>
      <c r="GK181" s="456" t="str">
        <f t="shared" si="45"/>
        <v/>
      </c>
    </row>
    <row r="182" spans="96:193">
      <c r="CR182" s="1704"/>
      <c r="CS182" s="1704"/>
      <c r="CT182" s="1704"/>
      <c r="CU182" s="1704"/>
      <c r="CV182" s="1704"/>
      <c r="CW182" s="1704"/>
      <c r="CX182" s="1704"/>
      <c r="CY182" s="1704"/>
      <c r="CZ182" s="1704"/>
      <c r="DA182" s="570" t="s">
        <v>195</v>
      </c>
      <c r="DB182" s="570" t="s">
        <v>195</v>
      </c>
      <c r="DC182" s="570" t="s">
        <v>195</v>
      </c>
      <c r="DD182" s="570" t="s">
        <v>195</v>
      </c>
      <c r="DE182" s="570" t="s">
        <v>195</v>
      </c>
      <c r="DF182" s="1104"/>
      <c r="DG182" s="1104"/>
      <c r="GI182" s="1512" t="str">
        <f t="shared" si="43"/>
        <v/>
      </c>
      <c r="GJ182" s="1512" t="str">
        <f t="shared" si="44"/>
        <v/>
      </c>
      <c r="GK182" s="456" t="str">
        <f t="shared" si="45"/>
        <v/>
      </c>
    </row>
    <row r="183" spans="96:193">
      <c r="CR183" s="1704"/>
      <c r="CS183" s="1704"/>
      <c r="CT183" s="1704"/>
      <c r="CU183" s="1704"/>
      <c r="CV183" s="1704"/>
      <c r="CW183" s="1704"/>
      <c r="CX183" s="1704"/>
      <c r="CY183" s="1704"/>
      <c r="CZ183" s="1704"/>
      <c r="DA183" s="570" t="s">
        <v>195</v>
      </c>
      <c r="DB183" s="570" t="s">
        <v>195</v>
      </c>
      <c r="DC183" s="570" t="s">
        <v>195</v>
      </c>
      <c r="DD183" s="570" t="s">
        <v>195</v>
      </c>
      <c r="DE183" s="570" t="s">
        <v>195</v>
      </c>
      <c r="DF183" s="1104"/>
      <c r="DG183" s="1104"/>
      <c r="GI183" s="1512" t="str">
        <f t="shared" si="43"/>
        <v/>
      </c>
      <c r="GJ183" s="1512" t="str">
        <f t="shared" si="44"/>
        <v/>
      </c>
      <c r="GK183" s="456" t="str">
        <f t="shared" si="45"/>
        <v/>
      </c>
    </row>
    <row r="184" spans="96:193">
      <c r="CR184" s="1704"/>
      <c r="CS184" s="1704"/>
      <c r="CT184" s="1704"/>
      <c r="CU184" s="1704"/>
      <c r="CV184" s="1704"/>
      <c r="CW184" s="1704"/>
      <c r="CX184" s="1704"/>
      <c r="CY184" s="1704"/>
      <c r="CZ184" s="1704"/>
      <c r="DA184" s="570" t="s">
        <v>195</v>
      </c>
      <c r="DB184" s="570" t="s">
        <v>195</v>
      </c>
      <c r="DC184" s="570" t="s">
        <v>195</v>
      </c>
      <c r="DD184" s="570" t="s">
        <v>195</v>
      </c>
      <c r="DE184" s="570" t="s">
        <v>195</v>
      </c>
      <c r="DF184" s="1104"/>
      <c r="DG184" s="1104"/>
      <c r="GI184" s="1512" t="str">
        <f t="shared" si="43"/>
        <v/>
      </c>
      <c r="GJ184" s="1512" t="str">
        <f t="shared" si="44"/>
        <v/>
      </c>
      <c r="GK184" s="456" t="str">
        <f t="shared" si="45"/>
        <v/>
      </c>
    </row>
    <row r="185" spans="96:193">
      <c r="CR185" s="1704"/>
      <c r="CS185" s="1704"/>
      <c r="CT185" s="1704"/>
      <c r="CU185" s="1704"/>
      <c r="CV185" s="1704"/>
      <c r="CW185" s="1704"/>
      <c r="CX185" s="1704"/>
      <c r="CY185" s="1704"/>
      <c r="CZ185" s="1704"/>
      <c r="DA185" s="570" t="s">
        <v>195</v>
      </c>
      <c r="DB185" s="570" t="s">
        <v>195</v>
      </c>
      <c r="DC185" s="570" t="s">
        <v>195</v>
      </c>
      <c r="DD185" s="570" t="s">
        <v>195</v>
      </c>
      <c r="DE185" s="570" t="s">
        <v>195</v>
      </c>
      <c r="DF185" s="1104"/>
      <c r="DG185" s="1104"/>
      <c r="GI185" s="1512" t="str">
        <f t="shared" si="43"/>
        <v/>
      </c>
      <c r="GJ185" s="1512" t="str">
        <f t="shared" si="44"/>
        <v/>
      </c>
      <c r="GK185" s="456" t="str">
        <f t="shared" si="45"/>
        <v/>
      </c>
    </row>
    <row r="186" spans="96:193">
      <c r="CR186" s="1704"/>
      <c r="CS186" s="1704"/>
      <c r="CT186" s="1704"/>
      <c r="CU186" s="1704"/>
      <c r="CV186" s="1704"/>
      <c r="CW186" s="1704"/>
      <c r="CX186" s="1704"/>
      <c r="CY186" s="1704"/>
      <c r="CZ186" s="1704"/>
      <c r="DA186" s="570" t="s">
        <v>195</v>
      </c>
      <c r="DB186" s="570" t="s">
        <v>195</v>
      </c>
      <c r="DC186" s="570" t="s">
        <v>195</v>
      </c>
      <c r="DD186" s="570" t="s">
        <v>195</v>
      </c>
      <c r="DE186" s="570" t="s">
        <v>195</v>
      </c>
      <c r="DF186" s="1104"/>
      <c r="DG186" s="1104"/>
      <c r="GI186" s="1512" t="str">
        <f t="shared" si="43"/>
        <v/>
      </c>
      <c r="GJ186" s="1512" t="str">
        <f t="shared" si="44"/>
        <v/>
      </c>
      <c r="GK186" s="456" t="str">
        <f t="shared" si="45"/>
        <v/>
      </c>
    </row>
    <row r="187" spans="96:193">
      <c r="CR187" s="1704"/>
      <c r="CS187" s="1704"/>
      <c r="CT187" s="1704"/>
      <c r="CU187" s="1704"/>
      <c r="CV187" s="1704"/>
      <c r="CW187" s="1704"/>
      <c r="CX187" s="1704"/>
      <c r="CY187" s="1704"/>
      <c r="CZ187" s="1704"/>
      <c r="DA187" s="570" t="s">
        <v>195</v>
      </c>
      <c r="DB187" s="570" t="s">
        <v>195</v>
      </c>
      <c r="DC187" s="570" t="s">
        <v>195</v>
      </c>
      <c r="DD187" s="570" t="s">
        <v>195</v>
      </c>
      <c r="DE187" s="570" t="s">
        <v>195</v>
      </c>
      <c r="DF187" s="1104"/>
      <c r="DG187" s="1104"/>
      <c r="GI187" s="1512" t="str">
        <f t="shared" si="43"/>
        <v/>
      </c>
      <c r="GJ187" s="1512" t="str">
        <f t="shared" si="44"/>
        <v/>
      </c>
      <c r="GK187" s="456" t="str">
        <f t="shared" si="45"/>
        <v/>
      </c>
    </row>
    <row r="188" spans="96:193">
      <c r="CR188" s="1704"/>
      <c r="CS188" s="1704"/>
      <c r="CT188" s="1704"/>
      <c r="CU188" s="1704"/>
      <c r="CV188" s="1704"/>
      <c r="CW188" s="1704"/>
      <c r="CX188" s="1704"/>
      <c r="CY188" s="1704"/>
      <c r="CZ188" s="1704"/>
      <c r="DA188" s="570" t="s">
        <v>195</v>
      </c>
      <c r="DB188" s="570" t="s">
        <v>195</v>
      </c>
      <c r="DC188" s="570" t="s">
        <v>195</v>
      </c>
      <c r="DD188" s="570" t="s">
        <v>195</v>
      </c>
      <c r="DE188" s="570" t="s">
        <v>195</v>
      </c>
      <c r="DF188" s="1104"/>
      <c r="DG188" s="1104"/>
      <c r="GI188" s="1512" t="str">
        <f t="shared" si="43"/>
        <v/>
      </c>
      <c r="GJ188" s="1512" t="str">
        <f t="shared" si="44"/>
        <v/>
      </c>
      <c r="GK188" s="456" t="str">
        <f t="shared" si="45"/>
        <v/>
      </c>
    </row>
    <row r="189" spans="96:193">
      <c r="CR189" s="1704"/>
      <c r="CS189" s="1704"/>
      <c r="CT189" s="1704"/>
      <c r="CU189" s="1704"/>
      <c r="CV189" s="1704"/>
      <c r="CW189" s="1704"/>
      <c r="CX189" s="1704"/>
      <c r="CY189" s="1704"/>
      <c r="CZ189" s="1704"/>
      <c r="DA189" s="570" t="s">
        <v>195</v>
      </c>
      <c r="DB189" s="570" t="s">
        <v>195</v>
      </c>
      <c r="DC189" s="570" t="s">
        <v>195</v>
      </c>
      <c r="DD189" s="570" t="s">
        <v>195</v>
      </c>
      <c r="DE189" s="570" t="s">
        <v>195</v>
      </c>
      <c r="DF189" s="1104"/>
      <c r="DG189" s="1104"/>
      <c r="GI189" s="1512" t="str">
        <f t="shared" si="43"/>
        <v/>
      </c>
      <c r="GJ189" s="1512" t="str">
        <f t="shared" si="44"/>
        <v/>
      </c>
      <c r="GK189" s="456" t="str">
        <f t="shared" si="45"/>
        <v/>
      </c>
    </row>
    <row r="190" spans="96:193">
      <c r="CR190" s="1704"/>
      <c r="CS190" s="1704"/>
      <c r="CT190" s="1704"/>
      <c r="CU190" s="1704"/>
      <c r="CV190" s="1704"/>
      <c r="CW190" s="1704"/>
      <c r="CX190" s="1704"/>
      <c r="CY190" s="1704"/>
      <c r="CZ190" s="1704"/>
      <c r="DA190" s="570" t="s">
        <v>195</v>
      </c>
      <c r="DB190" s="570" t="s">
        <v>195</v>
      </c>
      <c r="DC190" s="570" t="s">
        <v>195</v>
      </c>
      <c r="DD190" s="570" t="s">
        <v>195</v>
      </c>
      <c r="DE190" s="570" t="s">
        <v>195</v>
      </c>
      <c r="DF190" s="1104"/>
      <c r="DG190" s="1104"/>
      <c r="GI190" s="1512" t="str">
        <f t="shared" si="43"/>
        <v/>
      </c>
      <c r="GJ190" s="1512" t="str">
        <f t="shared" si="44"/>
        <v/>
      </c>
      <c r="GK190" s="456" t="str">
        <f t="shared" si="45"/>
        <v/>
      </c>
    </row>
    <row r="191" spans="96:193">
      <c r="CR191" s="1704"/>
      <c r="CS191" s="1704"/>
      <c r="CT191" s="1704"/>
      <c r="CU191" s="1704"/>
      <c r="CV191" s="1704"/>
      <c r="CW191" s="1704"/>
      <c r="CX191" s="1704"/>
      <c r="CY191" s="1704"/>
      <c r="CZ191" s="1704"/>
      <c r="DA191" s="570" t="s">
        <v>195</v>
      </c>
      <c r="DB191" s="570" t="s">
        <v>195</v>
      </c>
      <c r="DC191" s="570" t="s">
        <v>195</v>
      </c>
      <c r="DD191" s="570" t="s">
        <v>195</v>
      </c>
      <c r="DE191" s="570" t="s">
        <v>195</v>
      </c>
      <c r="DF191" s="1104"/>
      <c r="DG191" s="1104"/>
      <c r="GI191" s="1512" t="str">
        <f t="shared" si="43"/>
        <v/>
      </c>
      <c r="GJ191" s="1512" t="str">
        <f t="shared" si="44"/>
        <v/>
      </c>
      <c r="GK191" s="456" t="str">
        <f t="shared" si="45"/>
        <v/>
      </c>
    </row>
    <row r="192" spans="96:193">
      <c r="CR192" s="1704"/>
      <c r="CS192" s="1074"/>
      <c r="CT192" s="1074"/>
      <c r="CU192" s="1074"/>
      <c r="CV192" s="1074"/>
      <c r="CW192" s="1669"/>
      <c r="DA192" s="570" t="s">
        <v>195</v>
      </c>
      <c r="DB192" s="570" t="s">
        <v>195</v>
      </c>
      <c r="DC192" s="570" t="s">
        <v>195</v>
      </c>
      <c r="DD192" s="570" t="s">
        <v>195</v>
      </c>
      <c r="DE192" s="570" t="s">
        <v>195</v>
      </c>
      <c r="DF192" s="570"/>
      <c r="DG192" s="570"/>
      <c r="GI192" s="1512" t="str">
        <f t="shared" si="43"/>
        <v/>
      </c>
      <c r="GJ192" s="1512" t="str">
        <f t="shared" si="44"/>
        <v/>
      </c>
      <c r="GK192" s="456" t="str">
        <f t="shared" si="45"/>
        <v/>
      </c>
    </row>
    <row r="193" spans="96:193">
      <c r="CR193" s="1704"/>
      <c r="CS193" s="1074"/>
      <c r="CT193" s="1074"/>
      <c r="CU193" s="1074"/>
      <c r="CV193" s="1074"/>
      <c r="CW193" s="1669"/>
      <c r="GI193" s="1512" t="str">
        <f t="shared" si="43"/>
        <v/>
      </c>
      <c r="GJ193" s="1512" t="str">
        <f t="shared" si="44"/>
        <v/>
      </c>
      <c r="GK193" s="456" t="str">
        <f t="shared" si="45"/>
        <v/>
      </c>
    </row>
    <row r="194" spans="96:193">
      <c r="CR194" s="1074"/>
      <c r="CS194" s="1074"/>
      <c r="CT194" s="1074"/>
      <c r="CU194" s="1074"/>
      <c r="CV194" s="1074"/>
      <c r="CW194" s="1669"/>
      <c r="GI194" s="1512" t="str">
        <f t="shared" ref="GI194:GI223" si="49">IF(OnlyCombatDescs,IF(GG194=TRUE,IF(NOT(ISERROR(FIND(FK194,INDEX(SpecialsTable,MATCH(FN194,SpecialsList,0),2),1))),GD194,""),""),IF(NOT(ISERROR(FIND(FK194,INDEX(SpecialsTable,MATCH(FN194,SpecialsList,0),2),1))),GD194,""))</f>
        <v/>
      </c>
      <c r="GJ194" s="1512" t="str">
        <f t="shared" ref="GJ194:GJ257" si="50">IF(GI194&lt;&gt;"",GI194&amp;IF(GJ195&lt;&gt;"","
"&amp;IF(AND(HTML,Tables=FALSE),"&lt;BR&gt;","")&amp;GJ195,""),GJ195)</f>
        <v/>
      </c>
      <c r="GK194" s="456" t="str">
        <f t="shared" ref="GK194:GK222" si="51">IF(GD194&lt;&gt;"",GD194,"")</f>
        <v/>
      </c>
    </row>
    <row r="195" spans="96:193">
      <c r="CR195" s="1074"/>
      <c r="CS195" s="1074"/>
      <c r="CT195" s="1074"/>
      <c r="CU195" s="1074"/>
      <c r="CV195" s="1074"/>
      <c r="CW195" s="1669"/>
      <c r="GI195" s="1512" t="str">
        <f t="shared" si="49"/>
        <v/>
      </c>
      <c r="GJ195" s="1512" t="str">
        <f t="shared" si="50"/>
        <v/>
      </c>
      <c r="GK195" s="456" t="str">
        <f t="shared" si="51"/>
        <v/>
      </c>
    </row>
    <row r="196" spans="96:193">
      <c r="CR196" s="1074"/>
      <c r="CS196" s="1074"/>
      <c r="CT196" s="1074"/>
      <c r="CU196" s="1074"/>
      <c r="CV196" s="1074"/>
      <c r="CW196" s="1669"/>
      <c r="GI196" s="1512" t="str">
        <f t="shared" si="49"/>
        <v/>
      </c>
      <c r="GJ196" s="1512" t="str">
        <f t="shared" si="50"/>
        <v/>
      </c>
      <c r="GK196" s="456" t="str">
        <f t="shared" si="51"/>
        <v/>
      </c>
    </row>
    <row r="197" spans="96:193">
      <c r="CR197" s="1074"/>
      <c r="CS197" s="1074"/>
      <c r="CT197" s="1074"/>
      <c r="CU197" s="1074"/>
      <c r="CV197" s="1074"/>
      <c r="GI197" s="1512" t="str">
        <f t="shared" si="49"/>
        <v/>
      </c>
      <c r="GJ197" s="1512" t="str">
        <f t="shared" si="50"/>
        <v/>
      </c>
      <c r="GK197" s="456" t="str">
        <f t="shared" si="51"/>
        <v/>
      </c>
    </row>
    <row r="198" spans="96:193">
      <c r="CR198" s="1074"/>
      <c r="CS198" s="1074"/>
      <c r="CT198" s="1074"/>
      <c r="CU198" s="1074"/>
      <c r="CV198" s="1074"/>
      <c r="GI198" s="1512" t="str">
        <f t="shared" si="49"/>
        <v/>
      </c>
      <c r="GJ198" s="1512" t="str">
        <f t="shared" si="50"/>
        <v/>
      </c>
      <c r="GK198" s="456" t="str">
        <f t="shared" si="51"/>
        <v/>
      </c>
    </row>
    <row r="199" spans="96:193">
      <c r="CR199" s="1074"/>
      <c r="CS199" s="1074"/>
      <c r="CT199" s="1074"/>
      <c r="CU199" s="1074"/>
      <c r="CV199" s="1074"/>
      <c r="GI199" s="1512" t="str">
        <f t="shared" si="49"/>
        <v/>
      </c>
      <c r="GJ199" s="1512" t="str">
        <f t="shared" si="50"/>
        <v/>
      </c>
      <c r="GK199" s="456" t="str">
        <f t="shared" si="51"/>
        <v/>
      </c>
    </row>
    <row r="200" spans="96:193">
      <c r="CR200" s="1074"/>
      <c r="CS200" s="1074"/>
      <c r="CT200" s="1074"/>
      <c r="CU200" s="1074"/>
      <c r="CV200" s="1074"/>
      <c r="GI200" s="1512" t="str">
        <f t="shared" si="49"/>
        <v/>
      </c>
      <c r="GJ200" s="1512" t="str">
        <f t="shared" si="50"/>
        <v/>
      </c>
      <c r="GK200" s="456" t="str">
        <f t="shared" si="51"/>
        <v/>
      </c>
    </row>
    <row r="201" spans="96:193">
      <c r="CR201" s="1074"/>
      <c r="CS201" s="1074"/>
      <c r="CT201" s="1074"/>
      <c r="CU201" s="1074"/>
      <c r="CV201" s="1074"/>
      <c r="GI201" s="1512" t="str">
        <f t="shared" si="49"/>
        <v/>
      </c>
      <c r="GJ201" s="1512" t="str">
        <f t="shared" si="50"/>
        <v/>
      </c>
      <c r="GK201" s="456" t="str">
        <f t="shared" si="51"/>
        <v/>
      </c>
    </row>
    <row r="202" spans="96:193">
      <c r="CR202" s="1074"/>
      <c r="CS202" s="1074"/>
      <c r="CT202" s="1074"/>
      <c r="CU202" s="1074"/>
      <c r="CV202" s="1074"/>
      <c r="GI202" s="1512" t="str">
        <f t="shared" si="49"/>
        <v/>
      </c>
      <c r="GJ202" s="1512" t="str">
        <f t="shared" si="50"/>
        <v/>
      </c>
      <c r="GK202" s="456" t="str">
        <f t="shared" si="51"/>
        <v/>
      </c>
    </row>
    <row r="203" spans="96:193">
      <c r="CR203" s="1074"/>
      <c r="CT203" s="1074"/>
      <c r="CU203" s="1074"/>
      <c r="CV203" s="1074"/>
      <c r="GI203" s="1512" t="str">
        <f t="shared" si="49"/>
        <v/>
      </c>
      <c r="GJ203" s="1512" t="str">
        <f t="shared" si="50"/>
        <v/>
      </c>
      <c r="GK203" s="456" t="str">
        <f t="shared" si="51"/>
        <v/>
      </c>
    </row>
    <row r="204" spans="96:193">
      <c r="CR204" s="1074"/>
      <c r="CT204" s="1074"/>
      <c r="CU204" s="1074"/>
      <c r="CV204" s="1074"/>
      <c r="GI204" s="1512" t="str">
        <f t="shared" si="49"/>
        <v/>
      </c>
      <c r="GJ204" s="1512" t="str">
        <f t="shared" si="50"/>
        <v/>
      </c>
      <c r="GK204" s="456" t="str">
        <f t="shared" si="51"/>
        <v/>
      </c>
    </row>
    <row r="205" spans="96:193">
      <c r="CR205" s="1074"/>
      <c r="CT205" s="1074"/>
      <c r="CU205" s="1074"/>
      <c r="CV205" s="1074"/>
      <c r="GI205" s="1512" t="str">
        <f t="shared" si="49"/>
        <v/>
      </c>
      <c r="GJ205" s="1512" t="str">
        <f t="shared" si="50"/>
        <v/>
      </c>
      <c r="GK205" s="456" t="str">
        <f t="shared" si="51"/>
        <v/>
      </c>
    </row>
    <row r="206" spans="96:193">
      <c r="CR206" s="1074"/>
      <c r="CT206" s="1074"/>
      <c r="CU206" s="1074"/>
      <c r="CV206" s="1074"/>
      <c r="GI206" s="1512" t="str">
        <f t="shared" si="49"/>
        <v/>
      </c>
      <c r="GJ206" s="1512" t="str">
        <f t="shared" si="50"/>
        <v/>
      </c>
      <c r="GK206" s="456" t="str">
        <f t="shared" si="51"/>
        <v/>
      </c>
    </row>
    <row r="207" spans="96:193">
      <c r="CR207" s="1074"/>
      <c r="CT207" s="1074"/>
      <c r="CU207" s="1074"/>
      <c r="CV207" s="1074"/>
      <c r="GI207" s="1512" t="str">
        <f t="shared" si="49"/>
        <v/>
      </c>
      <c r="GJ207" s="1512" t="str">
        <f t="shared" si="50"/>
        <v/>
      </c>
      <c r="GK207" s="456" t="str">
        <f t="shared" si="51"/>
        <v/>
      </c>
    </row>
    <row r="208" spans="96:193">
      <c r="CR208" s="1074"/>
      <c r="CT208" s="1074"/>
      <c r="CU208" s="1074"/>
      <c r="CV208" s="1074"/>
      <c r="GI208" s="1512" t="str">
        <f t="shared" si="49"/>
        <v/>
      </c>
      <c r="GJ208" s="1512" t="str">
        <f t="shared" si="50"/>
        <v/>
      </c>
      <c r="GK208" s="456" t="str">
        <f t="shared" si="51"/>
        <v/>
      </c>
    </row>
    <row r="209" spans="96:193">
      <c r="CR209" s="1074"/>
      <c r="CT209" s="1074"/>
      <c r="CU209" s="1074"/>
      <c r="CV209" s="1074"/>
      <c r="GI209" s="1512" t="str">
        <f t="shared" si="49"/>
        <v/>
      </c>
      <c r="GJ209" s="1512" t="str">
        <f t="shared" si="50"/>
        <v/>
      </c>
      <c r="GK209" s="456" t="str">
        <f t="shared" si="51"/>
        <v/>
      </c>
    </row>
    <row r="210" spans="96:193">
      <c r="CR210" s="1074"/>
      <c r="CT210" s="1074"/>
      <c r="CU210" s="1074"/>
      <c r="CV210" s="570"/>
      <c r="GI210" s="1512" t="str">
        <f t="shared" si="49"/>
        <v/>
      </c>
      <c r="GJ210" s="1512" t="str">
        <f t="shared" si="50"/>
        <v/>
      </c>
      <c r="GK210" s="456" t="str">
        <f t="shared" si="51"/>
        <v/>
      </c>
    </row>
    <row r="211" spans="96:193">
      <c r="CR211" s="1074"/>
      <c r="CT211" s="1074"/>
      <c r="CU211" s="1074"/>
      <c r="GI211" s="1512" t="str">
        <f t="shared" si="49"/>
        <v/>
      </c>
      <c r="GJ211" s="1512" t="str">
        <f t="shared" si="50"/>
        <v/>
      </c>
      <c r="GK211" s="456" t="str">
        <f t="shared" si="51"/>
        <v/>
      </c>
    </row>
    <row r="212" spans="96:193">
      <c r="CR212" s="1074"/>
      <c r="CT212" s="1074"/>
      <c r="CU212" s="1074"/>
      <c r="GI212" s="1512" t="str">
        <f t="shared" si="49"/>
        <v/>
      </c>
      <c r="GJ212" s="1512" t="str">
        <f t="shared" si="50"/>
        <v/>
      </c>
      <c r="GK212" s="456" t="str">
        <f t="shared" si="51"/>
        <v/>
      </c>
    </row>
    <row r="213" spans="96:193">
      <c r="CR213" s="1074"/>
      <c r="CT213" s="1074"/>
      <c r="CU213" s="1074"/>
      <c r="GI213" s="1512" t="str">
        <f t="shared" si="49"/>
        <v/>
      </c>
      <c r="GJ213" s="1512" t="str">
        <f t="shared" si="50"/>
        <v/>
      </c>
      <c r="GK213" s="456" t="str">
        <f t="shared" si="51"/>
        <v/>
      </c>
    </row>
    <row r="214" spans="96:193">
      <c r="CR214" s="1074"/>
      <c r="CT214" s="1074"/>
      <c r="CU214" s="1074"/>
      <c r="GI214" s="1512" t="str">
        <f t="shared" si="49"/>
        <v/>
      </c>
      <c r="GJ214" s="1512" t="str">
        <f t="shared" si="50"/>
        <v/>
      </c>
      <c r="GK214" s="456" t="str">
        <f t="shared" si="51"/>
        <v/>
      </c>
    </row>
    <row r="215" spans="96:193">
      <c r="CR215" s="1074"/>
      <c r="CT215" s="1074"/>
      <c r="CU215" s="1074"/>
      <c r="GI215" s="1512" t="str">
        <f t="shared" si="49"/>
        <v/>
      </c>
      <c r="GJ215" s="1512" t="str">
        <f t="shared" si="50"/>
        <v/>
      </c>
      <c r="GK215" s="456" t="str">
        <f t="shared" si="51"/>
        <v/>
      </c>
    </row>
    <row r="216" spans="96:193">
      <c r="CR216" s="1074"/>
      <c r="CT216" s="1074"/>
      <c r="CU216" s="1074"/>
      <c r="GI216" s="1512" t="str">
        <f t="shared" si="49"/>
        <v/>
      </c>
      <c r="GJ216" s="1512" t="str">
        <f t="shared" si="50"/>
        <v/>
      </c>
      <c r="GK216" s="456" t="str">
        <f t="shared" si="51"/>
        <v/>
      </c>
    </row>
    <row r="217" spans="96:193">
      <c r="CR217" s="1074"/>
      <c r="CT217" s="1074"/>
      <c r="CU217" s="1074"/>
      <c r="GI217" s="1512" t="str">
        <f t="shared" si="49"/>
        <v/>
      </c>
      <c r="GJ217" s="1512" t="str">
        <f t="shared" si="50"/>
        <v/>
      </c>
      <c r="GK217" s="456" t="str">
        <f t="shared" si="51"/>
        <v/>
      </c>
    </row>
    <row r="218" spans="96:193">
      <c r="CR218" s="1074"/>
      <c r="CT218" s="1074"/>
      <c r="CU218" s="1074"/>
      <c r="GI218" s="1512" t="str">
        <f t="shared" si="49"/>
        <v/>
      </c>
      <c r="GJ218" s="1512" t="str">
        <f t="shared" si="50"/>
        <v/>
      </c>
      <c r="GK218" s="456" t="str">
        <f t="shared" si="51"/>
        <v/>
      </c>
    </row>
    <row r="219" spans="96:193">
      <c r="CR219" s="1074"/>
      <c r="CT219" s="1074"/>
      <c r="GI219" s="1512" t="str">
        <f t="shared" si="49"/>
        <v/>
      </c>
      <c r="GJ219" s="1512" t="str">
        <f t="shared" si="50"/>
        <v/>
      </c>
      <c r="GK219" s="456" t="str">
        <f t="shared" si="51"/>
        <v/>
      </c>
    </row>
    <row r="220" spans="96:193">
      <c r="CR220" s="1074"/>
      <c r="CT220" s="1074"/>
      <c r="GI220" s="1512" t="str">
        <f t="shared" si="49"/>
        <v/>
      </c>
      <c r="GJ220" s="1512" t="str">
        <f t="shared" si="50"/>
        <v/>
      </c>
      <c r="GK220" s="456" t="str">
        <f t="shared" si="51"/>
        <v/>
      </c>
    </row>
    <row r="221" spans="96:193">
      <c r="CR221" s="1074"/>
      <c r="CT221" s="1074"/>
      <c r="GI221" s="1512" t="str">
        <f t="shared" si="49"/>
        <v/>
      </c>
      <c r="GJ221" s="1512" t="str">
        <f t="shared" si="50"/>
        <v/>
      </c>
      <c r="GK221" s="456" t="str">
        <f t="shared" si="51"/>
        <v/>
      </c>
    </row>
    <row r="222" spans="96:193">
      <c r="CR222" s="1074"/>
      <c r="CT222" s="1074"/>
      <c r="GI222" s="1512" t="str">
        <f t="shared" si="49"/>
        <v/>
      </c>
      <c r="GJ222" s="1512" t="str">
        <f t="shared" si="50"/>
        <v/>
      </c>
      <c r="GK222" s="456" t="str">
        <f t="shared" si="51"/>
        <v/>
      </c>
    </row>
    <row r="223" spans="96:193">
      <c r="CR223" s="1074"/>
      <c r="CT223" s="1074"/>
      <c r="GI223" s="1512" t="str">
        <f t="shared" si="49"/>
        <v/>
      </c>
      <c r="GJ223" s="1512" t="str">
        <f t="shared" si="50"/>
        <v/>
      </c>
      <c r="GK223" s="456" t="str">
        <f>IF(GD223&lt;&gt;"",GD223,"")</f>
        <v/>
      </c>
    </row>
    <row r="224" spans="96:193">
      <c r="CR224" s="1074"/>
      <c r="CT224" s="1074" t="str">
        <f>IF(CS224&lt;&gt;"",INDEX(SizeTable,MATCH(CS224,SizeAbrList,0),3),"")</f>
        <v/>
      </c>
      <c r="GJ224" s="1512" t="str">
        <f t="shared" si="50"/>
        <v/>
      </c>
      <c r="GK224" s="1520" t="s">
        <v>195</v>
      </c>
    </row>
    <row r="225" spans="96:192">
      <c r="CR225" s="1074"/>
      <c r="CT225" s="1074" t="str">
        <f>IF(CS225&lt;&gt;"",INDEX(SizeTable,MATCH(CS225,SizeAbrList,0),3),"")</f>
        <v/>
      </c>
      <c r="GJ225" s="1512" t="str">
        <f t="shared" si="50"/>
        <v/>
      </c>
    </row>
    <row r="226" spans="96:192">
      <c r="CR226" s="1074" t="str">
        <f>IF(Data!GC271&lt;&gt;"",Data!GC271,"")</f>
        <v/>
      </c>
      <c r="CT226" s="1074" t="str">
        <f>IF(CS226&lt;&gt;"",INDEX(SizeTable,MATCH(CS226,SizeAbrList,0),3),"")</f>
        <v/>
      </c>
      <c r="GJ226" s="1512" t="str">
        <f t="shared" si="50"/>
        <v/>
      </c>
    </row>
    <row r="227" spans="96:192">
      <c r="GJ227" s="1512" t="str">
        <f t="shared" si="50"/>
        <v/>
      </c>
    </row>
    <row r="228" spans="96:192">
      <c r="GJ228" s="1512" t="str">
        <f t="shared" si="50"/>
        <v/>
      </c>
    </row>
    <row r="229" spans="96:192">
      <c r="GJ229" s="1512" t="str">
        <f t="shared" si="50"/>
        <v/>
      </c>
    </row>
    <row r="230" spans="96:192">
      <c r="GJ230" s="1512" t="str">
        <f t="shared" si="50"/>
        <v/>
      </c>
    </row>
    <row r="231" spans="96:192">
      <c r="GJ231" s="1512" t="str">
        <f t="shared" si="50"/>
        <v/>
      </c>
    </row>
    <row r="232" spans="96:192">
      <c r="GJ232" s="1512" t="str">
        <f t="shared" si="50"/>
        <v/>
      </c>
    </row>
    <row r="233" spans="96:192">
      <c r="GJ233" s="1512" t="str">
        <f t="shared" si="50"/>
        <v/>
      </c>
    </row>
    <row r="234" spans="96:192">
      <c r="GJ234" s="1512" t="str">
        <f t="shared" si="50"/>
        <v/>
      </c>
    </row>
    <row r="235" spans="96:192">
      <c r="GJ235" s="1512" t="str">
        <f t="shared" si="50"/>
        <v/>
      </c>
    </row>
    <row r="236" spans="96:192">
      <c r="GJ236" s="1512" t="str">
        <f t="shared" si="50"/>
        <v/>
      </c>
    </row>
    <row r="237" spans="96:192">
      <c r="GJ237" s="1512" t="str">
        <f t="shared" si="50"/>
        <v/>
      </c>
    </row>
    <row r="238" spans="96:192">
      <c r="GJ238" s="1512" t="str">
        <f t="shared" si="50"/>
        <v/>
      </c>
    </row>
    <row r="239" spans="96:192">
      <c r="GJ239" s="1512" t="str">
        <f t="shared" si="50"/>
        <v/>
      </c>
    </row>
    <row r="240" spans="96:192">
      <c r="GJ240" s="1512" t="str">
        <f t="shared" si="50"/>
        <v/>
      </c>
    </row>
    <row r="241" spans="192:192">
      <c r="GJ241" s="1512" t="str">
        <f t="shared" si="50"/>
        <v/>
      </c>
    </row>
    <row r="242" spans="192:192">
      <c r="GJ242" s="1512" t="str">
        <f t="shared" si="50"/>
        <v/>
      </c>
    </row>
    <row r="243" spans="192:192">
      <c r="GJ243" s="1512" t="str">
        <f t="shared" si="50"/>
        <v/>
      </c>
    </row>
    <row r="244" spans="192:192">
      <c r="GJ244" s="1512" t="str">
        <f t="shared" si="50"/>
        <v/>
      </c>
    </row>
    <row r="245" spans="192:192">
      <c r="GJ245" s="1512" t="str">
        <f t="shared" si="50"/>
        <v/>
      </c>
    </row>
    <row r="246" spans="192:192">
      <c r="GJ246" s="1512" t="str">
        <f t="shared" si="50"/>
        <v/>
      </c>
    </row>
    <row r="247" spans="192:192">
      <c r="GJ247" s="1512" t="str">
        <f t="shared" si="50"/>
        <v/>
      </c>
    </row>
    <row r="248" spans="192:192">
      <c r="GJ248" s="1512" t="str">
        <f t="shared" si="50"/>
        <v/>
      </c>
    </row>
    <row r="249" spans="192:192">
      <c r="GJ249" s="1512" t="str">
        <f t="shared" si="50"/>
        <v/>
      </c>
    </row>
    <row r="250" spans="192:192">
      <c r="GJ250" s="1512" t="str">
        <f t="shared" si="50"/>
        <v/>
      </c>
    </row>
    <row r="251" spans="192:192">
      <c r="GJ251" s="1512" t="str">
        <f t="shared" si="50"/>
        <v/>
      </c>
    </row>
    <row r="252" spans="192:192">
      <c r="GJ252" s="1512" t="str">
        <f t="shared" si="50"/>
        <v/>
      </c>
    </row>
    <row r="253" spans="192:192">
      <c r="GJ253" s="1512" t="str">
        <f t="shared" si="50"/>
        <v/>
      </c>
    </row>
    <row r="254" spans="192:192">
      <c r="GJ254" s="1512" t="str">
        <f t="shared" si="50"/>
        <v/>
      </c>
    </row>
    <row r="255" spans="192:192">
      <c r="GJ255" s="1512" t="str">
        <f t="shared" si="50"/>
        <v/>
      </c>
    </row>
    <row r="256" spans="192:192">
      <c r="GJ256" s="1512" t="str">
        <f t="shared" si="50"/>
        <v/>
      </c>
    </row>
    <row r="257" spans="192:192">
      <c r="GJ257" s="1512" t="str">
        <f t="shared" si="50"/>
        <v/>
      </c>
    </row>
    <row r="258" spans="192:192">
      <c r="GJ258" s="1512" t="str">
        <f t="shared" ref="GJ258:GJ284" si="52">IF(GI258&lt;&gt;"",GI258&amp;IF(GJ259&lt;&gt;"","
"&amp;IF(AND(HTML,Tables=FALSE),"&lt;BR&gt;","")&amp;GJ259,""),GJ259)</f>
        <v/>
      </c>
    </row>
    <row r="259" spans="192:192">
      <c r="GJ259" s="1512" t="str">
        <f t="shared" si="52"/>
        <v/>
      </c>
    </row>
    <row r="260" spans="192:192">
      <c r="GJ260" s="1512" t="str">
        <f t="shared" si="52"/>
        <v/>
      </c>
    </row>
    <row r="261" spans="192:192">
      <c r="GJ261" s="1512" t="str">
        <f t="shared" si="52"/>
        <v/>
      </c>
    </row>
    <row r="262" spans="192:192">
      <c r="GJ262" s="1512" t="str">
        <f t="shared" si="52"/>
        <v/>
      </c>
    </row>
    <row r="263" spans="192:192">
      <c r="GJ263" s="1512" t="str">
        <f t="shared" si="52"/>
        <v/>
      </c>
    </row>
    <row r="264" spans="192:192">
      <c r="GJ264" s="1512" t="str">
        <f t="shared" si="52"/>
        <v/>
      </c>
    </row>
    <row r="265" spans="192:192">
      <c r="GJ265" s="1512" t="str">
        <f t="shared" si="52"/>
        <v/>
      </c>
    </row>
    <row r="266" spans="192:192">
      <c r="GJ266" s="1512" t="str">
        <f t="shared" si="52"/>
        <v/>
      </c>
    </row>
    <row r="267" spans="192:192">
      <c r="GJ267" s="1512" t="str">
        <f t="shared" si="52"/>
        <v/>
      </c>
    </row>
    <row r="268" spans="192:192">
      <c r="GJ268" s="1512" t="str">
        <f t="shared" si="52"/>
        <v/>
      </c>
    </row>
    <row r="269" spans="192:192">
      <c r="GJ269" s="1512" t="str">
        <f t="shared" si="52"/>
        <v/>
      </c>
    </row>
    <row r="270" spans="192:192">
      <c r="GJ270" s="1512" t="str">
        <f t="shared" si="52"/>
        <v/>
      </c>
    </row>
    <row r="271" spans="192:192">
      <c r="GJ271" s="1512" t="str">
        <f t="shared" si="52"/>
        <v/>
      </c>
    </row>
    <row r="272" spans="192:192">
      <c r="GJ272" s="1512" t="str">
        <f t="shared" si="52"/>
        <v/>
      </c>
    </row>
    <row r="273" spans="192:192">
      <c r="GJ273" s="1512" t="str">
        <f t="shared" si="52"/>
        <v/>
      </c>
    </row>
    <row r="274" spans="192:192">
      <c r="GJ274" s="1512" t="str">
        <f t="shared" si="52"/>
        <v/>
      </c>
    </row>
    <row r="275" spans="192:192">
      <c r="GJ275" s="1512" t="str">
        <f t="shared" si="52"/>
        <v/>
      </c>
    </row>
    <row r="276" spans="192:192">
      <c r="GJ276" s="1512" t="str">
        <f t="shared" si="52"/>
        <v/>
      </c>
    </row>
    <row r="277" spans="192:192">
      <c r="GJ277" s="1512" t="str">
        <f t="shared" si="52"/>
        <v/>
      </c>
    </row>
    <row r="278" spans="192:192">
      <c r="GJ278" s="1512" t="str">
        <f t="shared" si="52"/>
        <v/>
      </c>
    </row>
    <row r="279" spans="192:192">
      <c r="GJ279" s="1512" t="str">
        <f t="shared" si="52"/>
        <v/>
      </c>
    </row>
    <row r="280" spans="192:192">
      <c r="GJ280" s="1512" t="str">
        <f t="shared" si="52"/>
        <v/>
      </c>
    </row>
    <row r="281" spans="192:192">
      <c r="GJ281" s="1512" t="str">
        <f t="shared" si="52"/>
        <v/>
      </c>
    </row>
    <row r="282" spans="192:192">
      <c r="GJ282" s="1512" t="str">
        <f t="shared" si="52"/>
        <v/>
      </c>
    </row>
    <row r="283" spans="192:192">
      <c r="GJ283" s="1512" t="str">
        <f t="shared" si="52"/>
        <v/>
      </c>
    </row>
    <row r="284" spans="192:192">
      <c r="GJ284" s="1512" t="str">
        <f t="shared" si="52"/>
        <v/>
      </c>
    </row>
    <row r="285" spans="192:192">
      <c r="GJ285" s="570" t="s">
        <v>195</v>
      </c>
    </row>
  </sheetData>
  <sortState xmlns:xlrd2="http://schemas.microsoft.com/office/spreadsheetml/2017/richdata2" ref="FK3:GH146">
    <sortCondition ref="FL3:FL146"/>
    <sortCondition ref="FK3:FK146"/>
  </sortState>
  <conditionalFormatting sqref="FK1:GH1048576">
    <cfRule type="expression" dxfId="136" priority="1">
      <formula>AND($GC1="",$FK1&lt;&gt;"")</formula>
    </cfRule>
  </conditionalFormatting>
  <dataValidations count="1">
    <dataValidation type="list" allowBlank="1" showInputMessage="1" showErrorMessage="1" sqref="AZ75:AZ134 AZ2:AZ64" xr:uid="{00000000-0002-0000-0A00-000000000000}">
      <formula1>"Yes"</formula1>
    </dataValidation>
  </dataValidations>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1:AJ1318"/>
  <sheetViews>
    <sheetView showGridLines="0" zoomScale="80" zoomScaleNormal="80" workbookViewId="0">
      <pane ySplit="6" topLeftCell="A7" activePane="bottomLeft" state="frozen"/>
      <selection activeCell="D1" sqref="D1"/>
      <selection pane="bottomLeft" activeCell="L7" sqref="L7"/>
    </sheetView>
  </sheetViews>
  <sheetFormatPr defaultColWidth="13.81640625" defaultRowHeight="14.5"/>
  <cols>
    <col min="1" max="1" width="3.453125" style="52" customWidth="1"/>
    <col min="2" max="2" width="2.81640625" style="52" customWidth="1"/>
    <col min="3" max="3" width="4.54296875" style="81" customWidth="1"/>
    <col min="4" max="4" width="24.7265625" style="915" customWidth="1"/>
    <col min="5" max="5" width="3.81640625" style="52" customWidth="1"/>
    <col min="6" max="6" width="4.26953125" style="52" customWidth="1"/>
    <col min="7" max="8" width="9.1796875" style="52" customWidth="1"/>
    <col min="9" max="9" width="13.54296875" style="52" customWidth="1"/>
    <col min="10" max="10" width="103.54296875" style="1682" customWidth="1"/>
    <col min="11" max="11" width="9.1796875" style="54" customWidth="1"/>
    <col min="12" max="12" width="11.453125" style="54" customWidth="1"/>
    <col min="13" max="14" width="9.1796875" style="54" customWidth="1"/>
    <col min="15" max="15" width="2.81640625" style="52" customWidth="1"/>
    <col min="16" max="16" width="27.453125" style="52" customWidth="1"/>
    <col min="17" max="17" width="13.81640625" style="52" customWidth="1"/>
    <col min="18" max="18" width="29.1796875" style="1574" customWidth="1"/>
    <col min="19" max="19" width="34.1796875" style="52" customWidth="1"/>
    <col min="20" max="20" width="12.1796875" style="52" customWidth="1"/>
    <col min="21" max="21" width="16.81640625" style="52" customWidth="1"/>
    <col min="22" max="22" width="34.1796875" style="52" customWidth="1"/>
    <col min="23" max="23" width="21.453125" style="1576" customWidth="1"/>
    <col min="24" max="25" width="13.81640625" style="52" customWidth="1"/>
    <col min="26" max="26" width="13.81640625" style="54" customWidth="1"/>
    <col min="27" max="29" width="13.81640625" style="52" customWidth="1"/>
    <col min="30" max="30" width="13.81640625" style="916" customWidth="1"/>
    <col min="31" max="36" width="13.81640625" style="52" customWidth="1"/>
    <col min="37" max="37" width="0.7265625" style="52" customWidth="1"/>
    <col min="38" max="16384" width="13.81640625" style="52"/>
  </cols>
  <sheetData>
    <row r="1" spans="2:36" ht="15" thickBot="1"/>
    <row r="2" spans="2:36" ht="15" customHeight="1">
      <c r="B2" s="55"/>
      <c r="C2" s="82"/>
      <c r="D2" s="917"/>
      <c r="E2" s="56"/>
      <c r="F2" s="56"/>
      <c r="G2" s="56"/>
      <c r="H2" s="56"/>
      <c r="I2" s="56"/>
      <c r="J2" s="1683"/>
      <c r="K2" s="58"/>
      <c r="L2" s="58"/>
      <c r="M2" s="58"/>
      <c r="N2" s="58"/>
      <c r="O2" s="59"/>
      <c r="P2" s="660"/>
      <c r="AD2" s="918"/>
      <c r="AE2" s="919"/>
      <c r="AF2" s="919"/>
      <c r="AG2" s="919"/>
      <c r="AH2" s="919"/>
    </row>
    <row r="3" spans="2:36" ht="21">
      <c r="B3" s="60"/>
      <c r="C3" s="70" t="s">
        <v>81</v>
      </c>
      <c r="D3" s="920"/>
      <c r="E3" s="61"/>
      <c r="F3" s="61"/>
      <c r="G3" s="61"/>
      <c r="H3" s="61"/>
      <c r="I3" s="61"/>
      <c r="J3" s="1684"/>
      <c r="K3" s="63"/>
      <c r="L3" s="63"/>
      <c r="M3" s="63"/>
      <c r="N3" s="63"/>
      <c r="O3" s="64"/>
      <c r="P3" s="660"/>
      <c r="AD3" s="918"/>
      <c r="AE3" s="919"/>
      <c r="AF3" s="919"/>
      <c r="AG3" s="919"/>
      <c r="AH3" s="919"/>
    </row>
    <row r="4" spans="2:36">
      <c r="B4" s="60"/>
      <c r="C4" s="83"/>
      <c r="D4" s="920"/>
      <c r="E4" s="715" t="s">
        <v>3631</v>
      </c>
      <c r="F4" s="61">
        <f>COUNTIF(O7:O1317,"")-COUNTIF(L7:L1317,"")</f>
        <v>0</v>
      </c>
      <c r="G4" s="61"/>
      <c r="H4" s="61"/>
      <c r="I4" s="61"/>
      <c r="J4" s="1684"/>
      <c r="K4" s="63"/>
      <c r="L4" s="63"/>
      <c r="M4" s="63"/>
      <c r="N4" s="63"/>
      <c r="O4" s="64"/>
      <c r="P4" s="660"/>
      <c r="R4" s="1574" t="s">
        <v>8301</v>
      </c>
      <c r="W4" s="1576" t="s">
        <v>8301</v>
      </c>
      <c r="AD4" s="918"/>
      <c r="AE4" s="919"/>
      <c r="AF4" s="919"/>
      <c r="AG4" s="919"/>
      <c r="AH4" s="919"/>
    </row>
    <row r="5" spans="2:36">
      <c r="B5" s="60"/>
      <c r="C5" s="83"/>
      <c r="D5" s="920"/>
      <c r="E5" s="715" t="s">
        <v>2545</v>
      </c>
      <c r="F5" s="61">
        <f>TotalTalents-SUM(M7:M1317)</f>
        <v>0</v>
      </c>
      <c r="G5" s="61"/>
      <c r="H5" s="61"/>
      <c r="I5" s="61"/>
      <c r="J5" s="1684"/>
      <c r="K5" s="63"/>
      <c r="L5" s="63"/>
      <c r="M5" s="63"/>
      <c r="N5" s="63"/>
      <c r="O5" s="64"/>
      <c r="P5" s="660"/>
      <c r="W5" s="1577"/>
      <c r="X5" s="915" t="s">
        <v>4060</v>
      </c>
      <c r="Y5" s="915" t="s">
        <v>4059</v>
      </c>
      <c r="Z5" s="921"/>
      <c r="AA5" s="915" t="s">
        <v>5688</v>
      </c>
      <c r="AD5" s="918"/>
      <c r="AE5" s="919"/>
      <c r="AF5" s="919"/>
      <c r="AG5" s="919"/>
      <c r="AH5" s="919"/>
    </row>
    <row r="6" spans="2:36">
      <c r="B6" s="60"/>
      <c r="C6" s="84"/>
      <c r="D6" s="71"/>
      <c r="E6" s="71"/>
      <c r="F6" s="71"/>
      <c r="G6" s="71"/>
      <c r="H6" s="71"/>
      <c r="I6" s="71"/>
      <c r="J6" s="1685" t="s">
        <v>56</v>
      </c>
      <c r="K6" s="73" t="s">
        <v>2546</v>
      </c>
      <c r="L6" s="73" t="s">
        <v>2538</v>
      </c>
      <c r="M6" s="73" t="s">
        <v>2257</v>
      </c>
      <c r="N6" s="73" t="s">
        <v>2258</v>
      </c>
      <c r="O6" s="64"/>
      <c r="P6" s="660"/>
      <c r="S6" s="52" t="str">
        <f>S7&amp;IF(ShowTalentTrees,SoldierSpecialTalentsTree,SoldierSpecialTalents)</f>
        <v/>
      </c>
      <c r="T6" s="52" t="str">
        <f>T7&amp;SoldierSpecialTalentsPageRef</f>
        <v/>
      </c>
      <c r="V6" s="52" t="str">
        <f>V7&amp;SoldierSpecialTalents</f>
        <v/>
      </c>
      <c r="W6" s="1577" t="s">
        <v>5690</v>
      </c>
      <c r="X6" s="52" t="str">
        <f>X7</f>
        <v/>
      </c>
      <c r="Y6" s="52" t="str">
        <f>Y7</f>
        <v/>
      </c>
      <c r="Z6" s="921" t="s">
        <v>5689</v>
      </c>
      <c r="AA6" s="52">
        <f>AA7</f>
        <v>0</v>
      </c>
      <c r="AC6" s="915" t="s">
        <v>58</v>
      </c>
      <c r="AD6" s="921" t="s">
        <v>81</v>
      </c>
      <c r="AF6" s="52" t="str">
        <f>AF7</f>
        <v/>
      </c>
      <c r="AJ6" s="915" t="s">
        <v>6148</v>
      </c>
    </row>
    <row r="7" spans="2:36" ht="65">
      <c r="B7" s="1532" t="str">
        <f>IF(E7&lt;&gt;"",E7,IF(F7&lt;&gt;"",F7,IF(G7&lt;&gt;"",G7,IF(H7&lt;&gt;"",H7))))</f>
        <v>Adept Negotiator</v>
      </c>
      <c r="C7" s="1794" t="s">
        <v>191</v>
      </c>
      <c r="D7" s="922" t="s">
        <v>2547</v>
      </c>
      <c r="E7" s="923" t="s">
        <v>2548</v>
      </c>
      <c r="F7" s="923"/>
      <c r="G7" s="923"/>
      <c r="H7" s="923"/>
      <c r="I7" s="923"/>
      <c r="J7" s="1686" t="s">
        <v>8887</v>
      </c>
      <c r="K7" s="924" t="str">
        <f>IF(Q7="Yes","Yes","No")</f>
        <v>No</v>
      </c>
      <c r="L7" s="76"/>
      <c r="M7" s="63">
        <f t="shared" ref="M7:M92" si="0">IF(L7&lt;&gt;"",1,0)</f>
        <v>0</v>
      </c>
      <c r="N7" s="924">
        <v>39</v>
      </c>
      <c r="O7" s="64"/>
      <c r="P7" s="660" t="str">
        <f>IF(ShowTalentTrees,IF(D7&lt;&gt;"",D7,P6),"")</f>
        <v/>
      </c>
      <c r="Q7" s="52" t="str">
        <f>IF(OR(AD45&gt;0,AD7&gt;0),"Yes","No")</f>
        <v>No</v>
      </c>
      <c r="R7" s="1574" t="str">
        <f t="shared" ref="R7:R56" si="1">IF(L7&lt;&gt;"",E7&amp;F7&amp;G7&amp;IF(P7&lt;&gt;""," ("&amp;P7&amp;")",""),"")&amp;IF(M7&gt;1," ("&amp;M7&amp;")","")</f>
        <v/>
      </c>
      <c r="S7" s="52" t="str">
        <f>IF(R7&lt;&gt;"",R7&amp;";"&amp;S8,S8)</f>
        <v/>
      </c>
      <c r="T7" s="52" t="str">
        <f>IF(R7&lt;&gt;"",N7&amp;";"&amp;T8,T8)</f>
        <v/>
      </c>
      <c r="U7" s="52" t="str">
        <f t="shared" ref="U7:U70" si="2">IF(L7&lt;&gt;"",IF(ISNUMBER(L7),"",E7&amp;F7&amp;G7),"")</f>
        <v/>
      </c>
      <c r="V7" s="52" t="str">
        <f>IF(U7&lt;&gt;"",U7&amp;";"&amp;V8,V8)</f>
        <v/>
      </c>
      <c r="W7" s="1578"/>
      <c r="X7" s="52" t="str">
        <f t="shared" ref="X7:X70" si="3">IF(U7&lt;&gt;"",IF(W7="Special Actions",U7&amp;IF(X8&lt;&gt;"",", ",""),"")&amp;X8,X8)</f>
        <v/>
      </c>
      <c r="Y7" s="52" t="str">
        <f t="shared" ref="Y7:Y92" si="4">IF(U7&lt;&gt;"",IF(W7="Att Options",U7&amp;IF(Y8&lt;&gt;"",", ",""),"")&amp;Y8,Y8)</f>
        <v/>
      </c>
      <c r="AA7" s="52">
        <f>IF(U7&lt;&gt;"",IF(Z7="Defenses",U7&amp;IF(AA8&lt;&gt;"",", ",""),"")&amp;AA8,AA8)</f>
        <v>0</v>
      </c>
      <c r="AC7" s="660" t="s">
        <v>191</v>
      </c>
      <c r="AD7" s="925">
        <f t="shared" ref="AD7:AD44" si="5">INDEX(ClassTable,MATCH(AC7,ClassList,0),26)-COUNTIF(L$7:L$1317,AC7)</f>
        <v>0</v>
      </c>
      <c r="AF7" s="52" t="str">
        <f>IF(AD7&gt;0,AC7&amp;";"&amp;AF8,AF8)</f>
        <v/>
      </c>
      <c r="AG7" s="52" t="str">
        <f>IF(Race="","",IF(NOT(ISERROR(AI7)),MID(ClassTalentsTakenList,AI6+1,AI7-AI6-1),""))</f>
        <v/>
      </c>
      <c r="AH7" s="52">
        <v>1</v>
      </c>
      <c r="AI7" s="52" t="e">
        <f>FIND(";",ClassTalentsTakenList,1)</f>
        <v>#VALUE!</v>
      </c>
    </row>
    <row r="8" spans="2:36" ht="26">
      <c r="B8" s="1532" t="str">
        <f t="shared" ref="B8:B72" si="6">IF(E8&lt;&gt;"",E8,IF(F8&lt;&gt;"",F8,IF(G8&lt;&gt;"",G8,IF(H8&lt;&gt;"",H8))))</f>
        <v>Aggressive Negotiator</v>
      </c>
      <c r="C8" s="1795"/>
      <c r="D8" s="920"/>
      <c r="E8" s="61"/>
      <c r="F8" s="61" t="s">
        <v>2549</v>
      </c>
      <c r="G8" s="61"/>
      <c r="H8" s="61"/>
      <c r="I8" s="61"/>
      <c r="J8" s="1687" t="s">
        <v>8886</v>
      </c>
      <c r="K8" s="63" t="str">
        <f>IF(AND(Q7="Yes",L7&lt;&gt;""),"Yes","No")</f>
        <v>No</v>
      </c>
      <c r="L8" s="76"/>
      <c r="M8" s="63">
        <f t="shared" si="0"/>
        <v>0</v>
      </c>
      <c r="N8" s="63" t="s">
        <v>2550</v>
      </c>
      <c r="O8" s="64"/>
      <c r="P8" s="660" t="str">
        <f t="shared" ref="P8:P70" si="7">IF(ShowTalentTrees,IF(D8&lt;&gt;"",D8,P7),"")</f>
        <v/>
      </c>
      <c r="Q8" s="52" t="str">
        <f>Q7</f>
        <v>No</v>
      </c>
      <c r="R8" s="1574" t="str">
        <f t="shared" si="1"/>
        <v/>
      </c>
      <c r="S8" s="52" t="str">
        <f t="shared" ref="S8:S71" si="8">IF(R8&lt;&gt;"",R8&amp;";"&amp;S9,S9)</f>
        <v/>
      </c>
      <c r="T8" s="52" t="str">
        <f t="shared" ref="T8:T71" si="9">IF(R8&lt;&gt;"",N8&amp;";"&amp;T9,T9)</f>
        <v/>
      </c>
      <c r="U8" s="52" t="str">
        <f t="shared" si="2"/>
        <v/>
      </c>
      <c r="V8" s="52" t="str">
        <f t="shared" ref="V8:V71" si="10">IF(U8&lt;&gt;"",U8&amp;";"&amp;V9,V9)</f>
        <v/>
      </c>
      <c r="W8" s="1578"/>
      <c r="X8" s="52" t="str">
        <f t="shared" si="3"/>
        <v/>
      </c>
      <c r="Y8" s="52" t="str">
        <f t="shared" si="4"/>
        <v/>
      </c>
      <c r="AA8" s="52">
        <f t="shared" ref="AA8:AA87" si="11">IF(U8&lt;&gt;"",IF(Z8="Defenses",U8&amp;IF(AA9&lt;&gt;"",", ",""),"")&amp;AA9,AA9)</f>
        <v>0</v>
      </c>
      <c r="AC8" s="660" t="s">
        <v>234</v>
      </c>
      <c r="AD8" s="925">
        <f t="shared" si="5"/>
        <v>0</v>
      </c>
      <c r="AF8" s="52" t="str">
        <f>IF(AD8&gt;0,AC8&amp;";"&amp;AF9,AF9)</f>
        <v/>
      </c>
      <c r="AG8" s="52" t="str">
        <f>IF(Race="","",IF(NOT(ISERROR(AI8)),MID(ClassTalentsTakenList,AI7+1,AI8-AI7-1),""))</f>
        <v/>
      </c>
      <c r="AH8" s="52">
        <f>AH7+1</f>
        <v>2</v>
      </c>
      <c r="AI8" s="52" t="e">
        <f>FIND(";",ClassTalentsTakenList,AI7+1)</f>
        <v>#VALUE!</v>
      </c>
    </row>
    <row r="9" spans="2:36">
      <c r="B9" s="1532" t="str">
        <f t="shared" si="6"/>
        <v>Consular's Wisdom</v>
      </c>
      <c r="C9" s="1795"/>
      <c r="D9" s="920"/>
      <c r="E9" s="61"/>
      <c r="F9" s="61" t="s">
        <v>2551</v>
      </c>
      <c r="G9" s="61"/>
      <c r="H9" s="61"/>
      <c r="I9" s="61"/>
      <c r="J9" s="1687" t="s">
        <v>4719</v>
      </c>
      <c r="K9" s="63" t="str">
        <f>IF(AND(Q8="Yes",L7&lt;&gt;""),"Yes","No")</f>
        <v>No</v>
      </c>
      <c r="L9" s="76"/>
      <c r="M9" s="63">
        <f t="shared" si="0"/>
        <v>0</v>
      </c>
      <c r="N9" s="63" t="s">
        <v>2550</v>
      </c>
      <c r="O9" s="64"/>
      <c r="P9" s="660" t="str">
        <f t="shared" si="7"/>
        <v/>
      </c>
      <c r="Q9" s="52" t="str">
        <f t="shared" ref="Q9:Q72" si="12">Q8</f>
        <v>No</v>
      </c>
      <c r="R9" s="1574" t="str">
        <f t="shared" si="1"/>
        <v/>
      </c>
      <c r="S9" s="52" t="str">
        <f t="shared" si="8"/>
        <v/>
      </c>
      <c r="T9" s="52" t="str">
        <f t="shared" si="9"/>
        <v/>
      </c>
      <c r="U9" s="52" t="str">
        <f t="shared" si="2"/>
        <v/>
      </c>
      <c r="V9" s="52" t="str">
        <f t="shared" si="10"/>
        <v/>
      </c>
      <c r="W9" s="1578"/>
      <c r="X9" s="52" t="str">
        <f t="shared" si="3"/>
        <v/>
      </c>
      <c r="Y9" s="52" t="str">
        <f t="shared" si="4"/>
        <v/>
      </c>
      <c r="AA9" s="52">
        <f t="shared" si="11"/>
        <v>0</v>
      </c>
      <c r="AC9" s="660" t="s">
        <v>279</v>
      </c>
      <c r="AD9" s="925">
        <f t="shared" si="5"/>
        <v>0</v>
      </c>
      <c r="AF9" s="52" t="str">
        <f>IF(AD9&gt;0,AC9&amp;";"&amp;AF10,AF10)</f>
        <v/>
      </c>
      <c r="AG9" s="52" t="str">
        <f>IF(Race="","",IF(NOT(ISERROR(AI9)),MID(ClassTalentsTakenList,AI8+1,AI9-AI8-1),""))</f>
        <v/>
      </c>
      <c r="AH9" s="52">
        <f>AH8+1</f>
        <v>3</v>
      </c>
      <c r="AI9" s="52" t="e">
        <f>FIND(";",ClassTalentsTakenList,AI8+1)</f>
        <v>#VALUE!</v>
      </c>
    </row>
    <row r="10" spans="2:36">
      <c r="B10" s="1532" t="str">
        <f t="shared" si="6"/>
        <v>Force Persuasion</v>
      </c>
      <c r="C10" s="1795"/>
      <c r="D10" s="920"/>
      <c r="E10" s="61"/>
      <c r="F10" s="61" t="s">
        <v>2552</v>
      </c>
      <c r="G10" s="61"/>
      <c r="H10" s="61"/>
      <c r="I10" s="61"/>
      <c r="J10" s="1687" t="s">
        <v>4720</v>
      </c>
      <c r="K10" s="63" t="str">
        <f>IF(AND(Q9="Yes",L7&lt;&gt;""),"Yes","No")</f>
        <v>No</v>
      </c>
      <c r="L10" s="76"/>
      <c r="M10" s="63">
        <f t="shared" si="0"/>
        <v>0</v>
      </c>
      <c r="N10" s="63">
        <v>40</v>
      </c>
      <c r="O10" s="64"/>
      <c r="P10" s="660" t="str">
        <f t="shared" si="7"/>
        <v/>
      </c>
      <c r="Q10" s="52" t="str">
        <f t="shared" si="12"/>
        <v>No</v>
      </c>
      <c r="R10" s="1574" t="str">
        <f t="shared" si="1"/>
        <v/>
      </c>
      <c r="S10" s="52" t="str">
        <f t="shared" si="8"/>
        <v/>
      </c>
      <c r="T10" s="52" t="str">
        <f t="shared" si="9"/>
        <v/>
      </c>
      <c r="U10" s="52" t="str">
        <f t="shared" si="2"/>
        <v/>
      </c>
      <c r="V10" s="52" t="str">
        <f t="shared" si="10"/>
        <v/>
      </c>
      <c r="W10" s="1578"/>
      <c r="X10" s="52" t="str">
        <f t="shared" si="3"/>
        <v/>
      </c>
      <c r="Y10" s="52" t="str">
        <f t="shared" si="4"/>
        <v/>
      </c>
      <c r="AA10" s="52">
        <f t="shared" si="11"/>
        <v>0</v>
      </c>
      <c r="AC10" s="660" t="s">
        <v>317</v>
      </c>
      <c r="AD10" s="925">
        <f t="shared" si="5"/>
        <v>0</v>
      </c>
      <c r="AF10" s="52" t="str">
        <f>IF(AD10&gt;0,AC10&amp;";"&amp;AF11,AF11)</f>
        <v/>
      </c>
      <c r="AG10" s="52" t="str">
        <f>IF(Race="","",IF(NOT(ISERROR(AI10)),MID(ClassTalentsTakenList,AI9+1,AI10-AI9-1),""))</f>
        <v/>
      </c>
      <c r="AH10" s="52">
        <f>AH9+1</f>
        <v>4</v>
      </c>
      <c r="AI10" s="52" t="e">
        <f>FIND(";",ClassTalentsTakenList,AI9+1)</f>
        <v>#VALUE!</v>
      </c>
    </row>
    <row r="11" spans="2:36">
      <c r="B11" s="1532" t="str">
        <f t="shared" si="6"/>
        <v>Master Negotiator</v>
      </c>
      <c r="C11" s="1795"/>
      <c r="D11" s="920"/>
      <c r="E11" s="61"/>
      <c r="F11" s="61" t="s">
        <v>2553</v>
      </c>
      <c r="G11" s="61"/>
      <c r="H11" s="61"/>
      <c r="I11" s="61"/>
      <c r="J11" s="1687" t="s">
        <v>4721</v>
      </c>
      <c r="K11" s="63" t="str">
        <f>IF(AND(Q10="Yes",L7&lt;&gt;""),"Yes","No")</f>
        <v>No</v>
      </c>
      <c r="L11" s="76"/>
      <c r="M11" s="63">
        <f t="shared" si="0"/>
        <v>0</v>
      </c>
      <c r="N11" s="63">
        <v>40</v>
      </c>
      <c r="O11" s="64"/>
      <c r="P11" s="660" t="str">
        <f t="shared" si="7"/>
        <v/>
      </c>
      <c r="Q11" s="52" t="str">
        <f t="shared" si="12"/>
        <v>No</v>
      </c>
      <c r="R11" s="1574" t="str">
        <f t="shared" si="1"/>
        <v/>
      </c>
      <c r="S11" s="52" t="str">
        <f t="shared" si="8"/>
        <v/>
      </c>
      <c r="T11" s="52" t="str">
        <f t="shared" si="9"/>
        <v/>
      </c>
      <c r="U11" s="52" t="str">
        <f t="shared" si="2"/>
        <v/>
      </c>
      <c r="V11" s="52" t="str">
        <f t="shared" si="10"/>
        <v/>
      </c>
      <c r="W11" s="1578"/>
      <c r="X11" s="52" t="str">
        <f t="shared" si="3"/>
        <v/>
      </c>
      <c r="Y11" s="52" t="str">
        <f t="shared" si="4"/>
        <v/>
      </c>
      <c r="AA11" s="52">
        <f>IF(U11&lt;&gt;"",IF(Z11="Defenses",U11&amp;IF(AA12&lt;&gt;"",", ",""),"")&amp;AA12,AA12)</f>
        <v>0</v>
      </c>
      <c r="AC11" s="660" t="s">
        <v>350</v>
      </c>
      <c r="AD11" s="925">
        <f t="shared" si="5"/>
        <v>0</v>
      </c>
      <c r="AF11" s="52" t="str">
        <f t="shared" ref="AF11:AF29" si="13">IF(AD11&gt;0,AC11&amp;";"&amp;AF12,AF12)</f>
        <v/>
      </c>
      <c r="AG11" s="52" t="str">
        <f>IF(Race="","",IF(NOT(ISERROR(AI11)),MID(ClassTalentsTakenList,AI10+1,AI11-AI10-1),""))</f>
        <v/>
      </c>
      <c r="AH11" s="52">
        <f>AH10+1</f>
        <v>5</v>
      </c>
      <c r="AI11" s="52" t="e">
        <f>FIND(";",ClassTalentsTakenList,AI10+1)</f>
        <v>#VALUE!</v>
      </c>
    </row>
    <row r="12" spans="2:36" ht="26">
      <c r="B12" s="1532" t="str">
        <f t="shared" si="6"/>
        <v>Adversary Lore</v>
      </c>
      <c r="C12" s="1795"/>
      <c r="D12" s="920"/>
      <c r="E12" s="61" t="s">
        <v>6200</v>
      </c>
      <c r="F12" s="61"/>
      <c r="G12" s="61"/>
      <c r="H12" s="61"/>
      <c r="I12" s="61"/>
      <c r="J12" s="1687" t="s">
        <v>6201</v>
      </c>
      <c r="K12" s="63" t="str">
        <f t="shared" ref="K12:K23" si="14">IF(Q12="Yes","Yes","No")</f>
        <v>No</v>
      </c>
      <c r="L12" s="76"/>
      <c r="M12" s="63">
        <f t="shared" si="0"/>
        <v>0</v>
      </c>
      <c r="N12" s="63" t="s">
        <v>6202</v>
      </c>
      <c r="O12" s="64"/>
      <c r="P12" s="660" t="str">
        <f t="shared" si="7"/>
        <v/>
      </c>
      <c r="Q12" s="52" t="str">
        <f t="shared" si="12"/>
        <v>No</v>
      </c>
      <c r="R12" s="1574" t="str">
        <f t="shared" si="1"/>
        <v/>
      </c>
      <c r="S12" s="52" t="str">
        <f t="shared" si="8"/>
        <v/>
      </c>
      <c r="T12" s="52" t="str">
        <f t="shared" si="9"/>
        <v/>
      </c>
      <c r="U12" s="52" t="str">
        <f t="shared" si="2"/>
        <v/>
      </c>
      <c r="V12" s="52" t="str">
        <f t="shared" si="10"/>
        <v/>
      </c>
      <c r="W12" s="1578"/>
      <c r="X12" s="52" t="str">
        <f t="shared" si="3"/>
        <v/>
      </c>
      <c r="Y12" s="52" t="str">
        <f t="shared" si="4"/>
        <v/>
      </c>
      <c r="AA12" s="52">
        <f>IF(U12&lt;&gt;"",IF(Z12="Defenses",U12&amp;IF(AA13&lt;&gt;"",", ",""),"")&amp;AA13,AA13)</f>
        <v>0</v>
      </c>
      <c r="AC12" s="660" t="s">
        <v>378</v>
      </c>
      <c r="AD12" s="925">
        <f t="shared" si="5"/>
        <v>0</v>
      </c>
      <c r="AF12" s="52" t="str">
        <f>IF(AD12&gt;0,AC12&amp;";"&amp;AF13,AF13)</f>
        <v/>
      </c>
      <c r="AH12" s="52">
        <f t="shared" ref="AH12:AH18" si="15">AH11+1</f>
        <v>6</v>
      </c>
      <c r="AI12" s="52" t="e">
        <f t="shared" ref="AI12:AI18" si="16">FIND(";",ClassTalentsTakenList,AI11+1)</f>
        <v>#VALUE!</v>
      </c>
    </row>
    <row r="13" spans="2:36" ht="26">
      <c r="B13" s="1532" t="str">
        <f t="shared" si="6"/>
        <v>Know Weakness</v>
      </c>
      <c r="C13" s="1795"/>
      <c r="D13" s="920"/>
      <c r="E13" s="61"/>
      <c r="F13" s="61" t="s">
        <v>6203</v>
      </c>
      <c r="G13" s="61"/>
      <c r="H13" s="61"/>
      <c r="I13" s="61"/>
      <c r="J13" s="1687" t="s">
        <v>6204</v>
      </c>
      <c r="K13" s="63" t="str">
        <f>IF(AND(Q13="Yes",L12&lt;&gt;""),"Yes","No")</f>
        <v>No</v>
      </c>
      <c r="L13" s="76"/>
      <c r="M13" s="63">
        <f t="shared" si="0"/>
        <v>0</v>
      </c>
      <c r="N13" s="63" t="s">
        <v>6202</v>
      </c>
      <c r="O13" s="64"/>
      <c r="P13" s="660" t="str">
        <f t="shared" si="7"/>
        <v/>
      </c>
      <c r="Q13" s="52" t="str">
        <f t="shared" si="12"/>
        <v>No</v>
      </c>
      <c r="R13" s="1574" t="str">
        <f t="shared" si="1"/>
        <v/>
      </c>
      <c r="S13" s="52" t="str">
        <f t="shared" si="8"/>
        <v/>
      </c>
      <c r="T13" s="52" t="str">
        <f t="shared" si="9"/>
        <v/>
      </c>
      <c r="U13" s="52" t="str">
        <f t="shared" si="2"/>
        <v/>
      </c>
      <c r="V13" s="52" t="str">
        <f t="shared" si="10"/>
        <v/>
      </c>
      <c r="W13" s="1578"/>
      <c r="X13" s="52" t="str">
        <f t="shared" si="3"/>
        <v/>
      </c>
      <c r="Y13" s="52" t="str">
        <f t="shared" si="4"/>
        <v/>
      </c>
      <c r="AA13" s="52">
        <f>IF(U13&lt;&gt;"",IF(Z13="Defenses",U13&amp;IF(AA14&lt;&gt;"",", ",""),"")&amp;AA14,AA14)</f>
        <v>0</v>
      </c>
      <c r="AC13" s="660" t="s">
        <v>410</v>
      </c>
      <c r="AD13" s="925">
        <f t="shared" si="5"/>
        <v>0</v>
      </c>
      <c r="AF13" s="52" t="str">
        <f t="shared" si="13"/>
        <v/>
      </c>
      <c r="AH13" s="52">
        <f t="shared" si="15"/>
        <v>7</v>
      </c>
      <c r="AI13" s="52" t="e">
        <f t="shared" si="16"/>
        <v>#VALUE!</v>
      </c>
    </row>
    <row r="14" spans="2:36">
      <c r="B14" s="1532" t="str">
        <f t="shared" si="6"/>
        <v>Cleanse Mind</v>
      </c>
      <c r="C14" s="1795"/>
      <c r="D14" s="920"/>
      <c r="E14" s="61" t="s">
        <v>2554</v>
      </c>
      <c r="F14" s="61"/>
      <c r="G14" s="61"/>
      <c r="H14" s="61"/>
      <c r="I14" s="61"/>
      <c r="J14" s="1687" t="s">
        <v>4722</v>
      </c>
      <c r="K14" s="63" t="str">
        <f t="shared" si="14"/>
        <v>No</v>
      </c>
      <c r="L14" s="76"/>
      <c r="M14" s="63">
        <f t="shared" si="0"/>
        <v>0</v>
      </c>
      <c r="N14" s="63" t="s">
        <v>2555</v>
      </c>
      <c r="O14" s="64"/>
      <c r="P14" s="660" t="str">
        <f t="shared" si="7"/>
        <v/>
      </c>
      <c r="Q14" s="52" t="str">
        <f t="shared" si="12"/>
        <v>No</v>
      </c>
      <c r="R14" s="1574" t="str">
        <f t="shared" si="1"/>
        <v/>
      </c>
      <c r="S14" s="52" t="str">
        <f t="shared" si="8"/>
        <v/>
      </c>
      <c r="T14" s="52" t="str">
        <f t="shared" si="9"/>
        <v/>
      </c>
      <c r="U14" s="52" t="str">
        <f t="shared" si="2"/>
        <v/>
      </c>
      <c r="V14" s="52" t="str">
        <f t="shared" si="10"/>
        <v/>
      </c>
      <c r="W14" s="1578"/>
      <c r="X14" s="52" t="str">
        <f t="shared" si="3"/>
        <v/>
      </c>
      <c r="Y14" s="52" t="str">
        <f t="shared" si="4"/>
        <v/>
      </c>
      <c r="AA14" s="52">
        <f>IF(U14&lt;&gt;"",IF(Z14="Defenses",U14&amp;IF(AA15&lt;&gt;"",", ",""),"")&amp;AA15,AA15)</f>
        <v>0</v>
      </c>
      <c r="AC14" s="660" t="s">
        <v>450</v>
      </c>
      <c r="AD14" s="925">
        <f t="shared" si="5"/>
        <v>0</v>
      </c>
      <c r="AF14" s="52" t="str">
        <f t="shared" si="13"/>
        <v/>
      </c>
      <c r="AG14" s="52" t="str">
        <f t="shared" ref="AG14:AG19" si="17">IF(Race="","",IF(NOT(ISERROR(AI12)),MID(ClassTalentsTakenList,AI11+1,AI12-AI11-1),""))</f>
        <v/>
      </c>
      <c r="AH14" s="52">
        <f t="shared" si="15"/>
        <v>8</v>
      </c>
      <c r="AI14" s="52" t="e">
        <f t="shared" si="16"/>
        <v>#VALUE!</v>
      </c>
    </row>
    <row r="15" spans="2:36" ht="26">
      <c r="B15" s="1532" t="str">
        <f t="shared" si="6"/>
        <v>Collective Visions</v>
      </c>
      <c r="C15" s="1795"/>
      <c r="D15" s="920"/>
      <c r="E15" s="61" t="s">
        <v>2556</v>
      </c>
      <c r="F15" s="61"/>
      <c r="G15" s="61"/>
      <c r="H15" s="61"/>
      <c r="I15" s="61"/>
      <c r="J15" s="1687" t="s">
        <v>4723</v>
      </c>
      <c r="K15" s="63" t="str">
        <f t="shared" si="14"/>
        <v>No</v>
      </c>
      <c r="L15" s="76"/>
      <c r="M15" s="63">
        <f t="shared" si="0"/>
        <v>0</v>
      </c>
      <c r="N15" s="63" t="s">
        <v>2557</v>
      </c>
      <c r="O15" s="64"/>
      <c r="P15" s="660" t="str">
        <f t="shared" si="7"/>
        <v/>
      </c>
      <c r="Q15" s="52" t="str">
        <f t="shared" si="12"/>
        <v>No</v>
      </c>
      <c r="R15" s="1574" t="str">
        <f t="shared" si="1"/>
        <v/>
      </c>
      <c r="S15" s="52" t="str">
        <f t="shared" si="8"/>
        <v/>
      </c>
      <c r="T15" s="52" t="str">
        <f t="shared" si="9"/>
        <v/>
      </c>
      <c r="U15" s="52" t="str">
        <f t="shared" si="2"/>
        <v/>
      </c>
      <c r="V15" s="52" t="str">
        <f t="shared" si="10"/>
        <v/>
      </c>
      <c r="W15" s="1578"/>
      <c r="X15" s="52" t="str">
        <f t="shared" si="3"/>
        <v/>
      </c>
      <c r="Y15" s="52" t="str">
        <f t="shared" si="4"/>
        <v/>
      </c>
      <c r="AA15" s="52">
        <f t="shared" si="11"/>
        <v>0</v>
      </c>
      <c r="AC15" s="660" t="s">
        <v>487</v>
      </c>
      <c r="AD15" s="925">
        <f t="shared" si="5"/>
        <v>0</v>
      </c>
      <c r="AF15" s="52" t="str">
        <f t="shared" si="13"/>
        <v/>
      </c>
      <c r="AG15" s="52" t="str">
        <f t="shared" si="17"/>
        <v/>
      </c>
      <c r="AH15" s="52">
        <f t="shared" si="15"/>
        <v>9</v>
      </c>
      <c r="AI15" s="52" t="e">
        <f t="shared" si="16"/>
        <v>#VALUE!</v>
      </c>
    </row>
    <row r="16" spans="2:36" ht="26">
      <c r="B16" s="1532" t="str">
        <f t="shared" si="6"/>
        <v>Consular's Vitality</v>
      </c>
      <c r="C16" s="1795"/>
      <c r="D16" s="920"/>
      <c r="E16" s="61" t="s">
        <v>2558</v>
      </c>
      <c r="F16" s="61"/>
      <c r="G16" s="61"/>
      <c r="H16" s="61"/>
      <c r="I16" s="61"/>
      <c r="J16" s="1687" t="s">
        <v>4724</v>
      </c>
      <c r="K16" s="63" t="str">
        <f t="shared" si="14"/>
        <v>No</v>
      </c>
      <c r="L16" s="76"/>
      <c r="M16" s="63">
        <f t="shared" si="0"/>
        <v>0</v>
      </c>
      <c r="N16" s="63" t="s">
        <v>2559</v>
      </c>
      <c r="O16" s="64"/>
      <c r="P16" s="660" t="str">
        <f t="shared" si="7"/>
        <v/>
      </c>
      <c r="Q16" s="52" t="str">
        <f t="shared" si="12"/>
        <v>No</v>
      </c>
      <c r="R16" s="1574" t="str">
        <f t="shared" si="1"/>
        <v/>
      </c>
      <c r="S16" s="52" t="str">
        <f t="shared" si="8"/>
        <v/>
      </c>
      <c r="T16" s="52" t="str">
        <f t="shared" si="9"/>
        <v/>
      </c>
      <c r="U16" s="52" t="str">
        <f t="shared" si="2"/>
        <v/>
      </c>
      <c r="V16" s="52" t="str">
        <f t="shared" si="10"/>
        <v/>
      </c>
      <c r="W16" s="1578"/>
      <c r="X16" s="52" t="str">
        <f t="shared" si="3"/>
        <v/>
      </c>
      <c r="Y16" s="52" t="str">
        <f t="shared" si="4"/>
        <v/>
      </c>
      <c r="AA16" s="52">
        <f t="shared" si="11"/>
        <v>0</v>
      </c>
      <c r="AC16" s="660" t="s">
        <v>520</v>
      </c>
      <c r="AD16" s="925">
        <f t="shared" si="5"/>
        <v>0</v>
      </c>
      <c r="AF16" s="52" t="str">
        <f t="shared" si="13"/>
        <v/>
      </c>
      <c r="AG16" s="52" t="str">
        <f t="shared" si="17"/>
        <v/>
      </c>
      <c r="AH16" s="52">
        <f t="shared" si="15"/>
        <v>10</v>
      </c>
      <c r="AI16" s="52" t="e">
        <f t="shared" si="16"/>
        <v>#VALUE!</v>
      </c>
    </row>
    <row r="17" spans="2:35" ht="26">
      <c r="B17" s="1532" t="str">
        <f t="shared" si="6"/>
        <v>Improved Consular's Vitality</v>
      </c>
      <c r="C17" s="1795"/>
      <c r="D17" s="920"/>
      <c r="E17" s="61"/>
      <c r="F17" s="61" t="s">
        <v>2560</v>
      </c>
      <c r="G17" s="61"/>
      <c r="H17" s="61"/>
      <c r="I17" s="61"/>
      <c r="J17" s="1687" t="s">
        <v>4725</v>
      </c>
      <c r="K17" s="63" t="str">
        <f>IF(AND(Q17="Yes",L16&lt;&gt;""),"Yes","No")</f>
        <v>No</v>
      </c>
      <c r="L17" s="76"/>
      <c r="M17" s="63">
        <f t="shared" si="0"/>
        <v>0</v>
      </c>
      <c r="N17" s="63" t="s">
        <v>2559</v>
      </c>
      <c r="O17" s="64"/>
      <c r="P17" s="660" t="str">
        <f t="shared" si="7"/>
        <v/>
      </c>
      <c r="Q17" s="52" t="str">
        <f t="shared" si="12"/>
        <v>No</v>
      </c>
      <c r="R17" s="1574" t="str">
        <f t="shared" si="1"/>
        <v/>
      </c>
      <c r="S17" s="52" t="str">
        <f t="shared" si="8"/>
        <v/>
      </c>
      <c r="T17" s="52" t="str">
        <f t="shared" si="9"/>
        <v/>
      </c>
      <c r="U17" s="52" t="str">
        <f t="shared" si="2"/>
        <v/>
      </c>
      <c r="V17" s="52" t="str">
        <f t="shared" si="10"/>
        <v/>
      </c>
      <c r="W17" s="1578"/>
      <c r="X17" s="52" t="str">
        <f t="shared" si="3"/>
        <v/>
      </c>
      <c r="Y17" s="52" t="str">
        <f t="shared" si="4"/>
        <v/>
      </c>
      <c r="AA17" s="52">
        <f t="shared" si="11"/>
        <v>0</v>
      </c>
      <c r="AC17" s="660" t="s">
        <v>552</v>
      </c>
      <c r="AD17" s="925">
        <f t="shared" si="5"/>
        <v>0</v>
      </c>
      <c r="AF17" s="52" t="str">
        <f t="shared" si="13"/>
        <v/>
      </c>
      <c r="AG17" s="52" t="str">
        <f t="shared" si="17"/>
        <v/>
      </c>
      <c r="AH17" s="52">
        <f t="shared" si="15"/>
        <v>11</v>
      </c>
      <c r="AI17" s="52" t="e">
        <f t="shared" si="16"/>
        <v>#VALUE!</v>
      </c>
    </row>
    <row r="18" spans="2:35" ht="52">
      <c r="B18" s="1532" t="str">
        <f t="shared" si="6"/>
        <v>Entreat Aid</v>
      </c>
      <c r="C18" s="1795"/>
      <c r="D18" s="920"/>
      <c r="E18" s="61" t="s">
        <v>2561</v>
      </c>
      <c r="F18" s="61"/>
      <c r="G18" s="61"/>
      <c r="H18" s="61"/>
      <c r="I18" s="61"/>
      <c r="J18" s="1687" t="s">
        <v>8889</v>
      </c>
      <c r="K18" s="63" t="str">
        <f t="shared" si="14"/>
        <v>No</v>
      </c>
      <c r="L18" s="76"/>
      <c r="M18" s="63">
        <f t="shared" si="0"/>
        <v>0</v>
      </c>
      <c r="N18" s="63" t="s">
        <v>2550</v>
      </c>
      <c r="O18" s="64"/>
      <c r="P18" s="660" t="str">
        <f t="shared" si="7"/>
        <v/>
      </c>
      <c r="Q18" s="52" t="str">
        <f t="shared" si="12"/>
        <v>No</v>
      </c>
      <c r="R18" s="1574" t="str">
        <f t="shared" si="1"/>
        <v/>
      </c>
      <c r="S18" s="52" t="str">
        <f t="shared" si="8"/>
        <v/>
      </c>
      <c r="T18" s="52" t="str">
        <f t="shared" si="9"/>
        <v/>
      </c>
      <c r="U18" s="52" t="str">
        <f t="shared" si="2"/>
        <v/>
      </c>
      <c r="V18" s="52" t="str">
        <f t="shared" si="10"/>
        <v/>
      </c>
      <c r="W18" s="1578"/>
      <c r="X18" s="52" t="str">
        <f t="shared" si="3"/>
        <v/>
      </c>
      <c r="Y18" s="52" t="str">
        <f t="shared" si="4"/>
        <v/>
      </c>
      <c r="AA18" s="52">
        <f t="shared" si="11"/>
        <v>0</v>
      </c>
      <c r="AC18" s="660" t="s">
        <v>580</v>
      </c>
      <c r="AD18" s="925">
        <f t="shared" si="5"/>
        <v>0</v>
      </c>
      <c r="AF18" s="52" t="str">
        <f t="shared" si="13"/>
        <v/>
      </c>
      <c r="AG18" s="52" t="str">
        <f t="shared" si="17"/>
        <v/>
      </c>
      <c r="AH18" s="52">
        <f t="shared" si="15"/>
        <v>12</v>
      </c>
      <c r="AI18" s="52" t="e">
        <f t="shared" si="16"/>
        <v>#VALUE!</v>
      </c>
    </row>
    <row r="19" spans="2:35" ht="65">
      <c r="B19" s="1532" t="str">
        <f t="shared" si="6"/>
        <v>Force of Will</v>
      </c>
      <c r="C19" s="1795"/>
      <c r="D19" s="920"/>
      <c r="E19" s="61" t="s">
        <v>2562</v>
      </c>
      <c r="F19" s="61"/>
      <c r="G19" s="61"/>
      <c r="H19" s="61"/>
      <c r="I19" s="61"/>
      <c r="J19" s="1687" t="s">
        <v>8888</v>
      </c>
      <c r="K19" s="63" t="str">
        <f>IF(Q19="Yes","Yes","No")</f>
        <v>No</v>
      </c>
      <c r="L19" s="76"/>
      <c r="M19" s="63">
        <f t="shared" si="0"/>
        <v>0</v>
      </c>
      <c r="N19" s="63" t="s">
        <v>2555</v>
      </c>
      <c r="O19" s="64"/>
      <c r="P19" s="660" t="str">
        <f t="shared" si="7"/>
        <v/>
      </c>
      <c r="Q19" s="52" t="str">
        <f t="shared" si="12"/>
        <v>No</v>
      </c>
      <c r="R19" s="1574" t="str">
        <f t="shared" si="1"/>
        <v/>
      </c>
      <c r="S19" s="52" t="str">
        <f t="shared" si="8"/>
        <v/>
      </c>
      <c r="T19" s="52" t="str">
        <f t="shared" si="9"/>
        <v/>
      </c>
      <c r="U19" s="52" t="str">
        <f t="shared" si="2"/>
        <v/>
      </c>
      <c r="V19" s="52" t="str">
        <f t="shared" si="10"/>
        <v/>
      </c>
      <c r="W19" s="1578"/>
      <c r="X19" s="52" t="str">
        <f t="shared" si="3"/>
        <v/>
      </c>
      <c r="Y19" s="52" t="str">
        <f t="shared" si="4"/>
        <v/>
      </c>
      <c r="AA19" s="52">
        <f>IF(U19&lt;&gt;"",IF(Z19="Defenses",U19&amp;IF(AA21&lt;&gt;"",", ",""),"")&amp;AA21,AA21)</f>
        <v>0</v>
      </c>
      <c r="AC19" s="660" t="s">
        <v>604</v>
      </c>
      <c r="AD19" s="925">
        <f t="shared" si="5"/>
        <v>0</v>
      </c>
      <c r="AF19" s="52" t="str">
        <f t="shared" si="13"/>
        <v/>
      </c>
      <c r="AG19" s="52" t="str">
        <f t="shared" si="17"/>
        <v/>
      </c>
    </row>
    <row r="20" spans="2:35" ht="39">
      <c r="B20" s="1532" t="str">
        <f t="shared" si="6"/>
        <v>Guiding Strikes</v>
      </c>
      <c r="C20" s="1795"/>
      <c r="D20" s="920"/>
      <c r="E20" s="61" t="s">
        <v>6354</v>
      </c>
      <c r="F20" s="61"/>
      <c r="G20" s="61"/>
      <c r="H20" s="61"/>
      <c r="I20" s="61"/>
      <c r="J20" s="1687" t="s">
        <v>8890</v>
      </c>
      <c r="K20" s="63" t="str">
        <f>IF(Q20="Yes","Yes","No")</f>
        <v>No</v>
      </c>
      <c r="L20" s="76"/>
      <c r="M20" s="63">
        <f t="shared" si="0"/>
        <v>0</v>
      </c>
      <c r="N20" s="63" t="s">
        <v>6482</v>
      </c>
      <c r="O20" s="64"/>
      <c r="P20" s="660" t="str">
        <f t="shared" si="7"/>
        <v/>
      </c>
      <c r="Q20" s="52" t="str">
        <f t="shared" si="12"/>
        <v>No</v>
      </c>
      <c r="R20" s="1574" t="str">
        <f t="shared" si="1"/>
        <v/>
      </c>
      <c r="S20" s="52" t="str">
        <f t="shared" si="8"/>
        <v/>
      </c>
      <c r="T20" s="52" t="str">
        <f t="shared" si="9"/>
        <v/>
      </c>
      <c r="U20" s="52" t="str">
        <f t="shared" si="2"/>
        <v/>
      </c>
      <c r="V20" s="52" t="str">
        <f t="shared" si="10"/>
        <v/>
      </c>
      <c r="W20" s="1578"/>
      <c r="X20" s="52" t="str">
        <f t="shared" si="3"/>
        <v/>
      </c>
      <c r="Y20" s="52" t="str">
        <f t="shared" si="4"/>
        <v/>
      </c>
      <c r="AA20" s="52">
        <f>IF(U20&lt;&gt;"",IF(Z20="Defenses",U20&amp;IF(AA22&lt;&gt;"",", ",""),"")&amp;AA22,AA22)</f>
        <v>0</v>
      </c>
      <c r="AC20" s="660" t="s">
        <v>640</v>
      </c>
      <c r="AD20" s="925">
        <f t="shared" si="5"/>
        <v>0</v>
      </c>
      <c r="AF20" s="52" t="str">
        <f t="shared" si="13"/>
        <v/>
      </c>
    </row>
    <row r="21" spans="2:35">
      <c r="B21" s="1532" t="str">
        <f t="shared" si="6"/>
        <v>Renew Vision</v>
      </c>
      <c r="C21" s="1795"/>
      <c r="D21" s="920"/>
      <c r="E21" s="61" t="s">
        <v>2563</v>
      </c>
      <c r="F21" s="61"/>
      <c r="G21" s="61"/>
      <c r="H21" s="61"/>
      <c r="I21" s="61"/>
      <c r="J21" s="1687" t="s">
        <v>4726</v>
      </c>
      <c r="K21" s="63" t="str">
        <f>IF(AND(Q21="Yes",'The Force'!J25&gt;0),"Yes","No")</f>
        <v>No</v>
      </c>
      <c r="L21" s="76"/>
      <c r="M21" s="63">
        <f t="shared" si="0"/>
        <v>0</v>
      </c>
      <c r="N21" s="63" t="s">
        <v>2564</v>
      </c>
      <c r="O21" s="64"/>
      <c r="P21" s="660" t="str">
        <f t="shared" si="7"/>
        <v/>
      </c>
      <c r="Q21" s="52" t="str">
        <f t="shared" si="12"/>
        <v>No</v>
      </c>
      <c r="R21" s="1574" t="str">
        <f t="shared" si="1"/>
        <v/>
      </c>
      <c r="S21" s="52" t="str">
        <f t="shared" si="8"/>
        <v/>
      </c>
      <c r="T21" s="52" t="str">
        <f t="shared" si="9"/>
        <v/>
      </c>
      <c r="U21" s="52" t="str">
        <f t="shared" si="2"/>
        <v/>
      </c>
      <c r="V21" s="52" t="str">
        <f t="shared" si="10"/>
        <v/>
      </c>
      <c r="W21" s="1578"/>
      <c r="X21" s="52" t="str">
        <f t="shared" si="3"/>
        <v/>
      </c>
      <c r="Y21" s="52" t="str">
        <f t="shared" si="4"/>
        <v/>
      </c>
      <c r="AA21" s="52">
        <f>IF(U21&lt;&gt;"",IF(Z21="Defenses",U21&amp;IF(AA23&lt;&gt;"",", ",""),"")&amp;AA23,AA23)</f>
        <v>0</v>
      </c>
      <c r="AC21" s="660" t="s">
        <v>667</v>
      </c>
      <c r="AD21" s="925">
        <f t="shared" si="5"/>
        <v>0</v>
      </c>
      <c r="AF21" s="52" t="str">
        <f t="shared" si="13"/>
        <v/>
      </c>
      <c r="AG21" s="52" t="str">
        <f>IF(Race="","",IF(NOT(ISERROR(AI18)),MID(ClassTalentsTakenList,AI17+1,AI18-AI17-1),""))</f>
        <v/>
      </c>
    </row>
    <row r="22" spans="2:35">
      <c r="B22" s="1532" t="str">
        <f t="shared" si="6"/>
        <v>Recall</v>
      </c>
      <c r="C22" s="1795"/>
      <c r="D22" s="920"/>
      <c r="E22" s="61" t="s">
        <v>2472</v>
      </c>
      <c r="F22" s="61"/>
      <c r="G22" s="61"/>
      <c r="H22" s="61"/>
      <c r="I22" s="61"/>
      <c r="J22" s="1687" t="s">
        <v>6355</v>
      </c>
      <c r="K22" s="63" t="str">
        <f>IF(Q22="Yes","Yes","No")</f>
        <v>No</v>
      </c>
      <c r="L22" s="76"/>
      <c r="M22" s="63">
        <f>IF(L22&lt;&gt;"",1,0)</f>
        <v>0</v>
      </c>
      <c r="N22" s="63" t="s">
        <v>6482</v>
      </c>
      <c r="O22" s="64"/>
      <c r="P22" s="660" t="str">
        <f t="shared" si="7"/>
        <v/>
      </c>
      <c r="Q22" s="52" t="str">
        <f t="shared" si="12"/>
        <v>No</v>
      </c>
      <c r="R22" s="1574" t="str">
        <f t="shared" si="1"/>
        <v/>
      </c>
      <c r="S22" s="52" t="str">
        <f t="shared" si="8"/>
        <v/>
      </c>
      <c r="T22" s="52" t="str">
        <f t="shared" si="9"/>
        <v/>
      </c>
      <c r="U22" s="52" t="str">
        <f t="shared" si="2"/>
        <v/>
      </c>
      <c r="V22" s="52" t="str">
        <f t="shared" si="10"/>
        <v/>
      </c>
      <c r="W22" s="1578"/>
      <c r="X22" s="52" t="str">
        <f t="shared" si="3"/>
        <v/>
      </c>
      <c r="Y22" s="52" t="str">
        <f t="shared" si="4"/>
        <v/>
      </c>
      <c r="AA22" s="52">
        <f>IF(U22&lt;&gt;"",IF(Z22="Defenses",U22&amp;IF(AA24&lt;&gt;"",", ",""),"")&amp;AA24,AA24)</f>
        <v>0</v>
      </c>
      <c r="AC22" s="660" t="s">
        <v>687</v>
      </c>
      <c r="AD22" s="925">
        <f t="shared" si="5"/>
        <v>0</v>
      </c>
      <c r="AF22" s="52" t="str">
        <f t="shared" si="13"/>
        <v/>
      </c>
    </row>
    <row r="23" spans="2:35">
      <c r="B23" s="1532" t="str">
        <f t="shared" si="6"/>
        <v>Skilled Advisor</v>
      </c>
      <c r="C23" s="1795"/>
      <c r="D23" s="920"/>
      <c r="E23" s="61" t="s">
        <v>2565</v>
      </c>
      <c r="F23" s="61"/>
      <c r="G23" s="61"/>
      <c r="H23" s="61"/>
      <c r="I23" s="61"/>
      <c r="J23" s="1687" t="s">
        <v>8885</v>
      </c>
      <c r="K23" s="63" t="str">
        <f t="shared" si="14"/>
        <v>No</v>
      </c>
      <c r="L23" s="76"/>
      <c r="M23" s="63">
        <f t="shared" si="0"/>
        <v>0</v>
      </c>
      <c r="N23" s="63">
        <v>40</v>
      </c>
      <c r="O23" s="64"/>
      <c r="P23" s="660" t="str">
        <f t="shared" si="7"/>
        <v/>
      </c>
      <c r="Q23" s="52" t="str">
        <f t="shared" si="12"/>
        <v>No</v>
      </c>
      <c r="R23" s="1574" t="str">
        <f t="shared" si="1"/>
        <v/>
      </c>
      <c r="S23" s="52" t="str">
        <f t="shared" si="8"/>
        <v/>
      </c>
      <c r="T23" s="52" t="str">
        <f t="shared" si="9"/>
        <v/>
      </c>
      <c r="U23" s="52" t="str">
        <f t="shared" si="2"/>
        <v/>
      </c>
      <c r="V23" s="52" t="str">
        <f t="shared" si="10"/>
        <v/>
      </c>
      <c r="W23" s="1578"/>
      <c r="X23" s="52" t="str">
        <f t="shared" si="3"/>
        <v/>
      </c>
      <c r="Y23" s="52" t="str">
        <f t="shared" si="4"/>
        <v/>
      </c>
      <c r="AA23" s="52">
        <f>IF(U23&lt;&gt;"",IF(Z23="Defenses",U23&amp;IF(AA25&lt;&gt;"",", ",""),"")&amp;AA25,AA25)</f>
        <v>0</v>
      </c>
      <c r="AC23" s="660" t="s">
        <v>711</v>
      </c>
      <c r="AD23" s="925">
        <f t="shared" si="5"/>
        <v>0</v>
      </c>
      <c r="AF23" s="52" t="str">
        <f t="shared" si="13"/>
        <v/>
      </c>
    </row>
    <row r="24" spans="2:35">
      <c r="B24" s="1532" t="str">
        <f t="shared" si="6"/>
        <v>WatchCircle Initiate</v>
      </c>
      <c r="C24" s="1795"/>
      <c r="D24" s="920"/>
      <c r="E24" s="61" t="s">
        <v>2566</v>
      </c>
      <c r="F24" s="61"/>
      <c r="G24" s="61"/>
      <c r="H24" s="61"/>
      <c r="I24" s="61"/>
      <c r="J24" s="1687" t="s">
        <v>4727</v>
      </c>
      <c r="K24" s="63" t="str">
        <f>IF(AND(Q24="Yes",'The Force'!J25&gt;0),"Yes","No")</f>
        <v>No</v>
      </c>
      <c r="L24" s="76"/>
      <c r="M24" s="63">
        <f t="shared" si="0"/>
        <v>0</v>
      </c>
      <c r="N24" s="63" t="s">
        <v>2564</v>
      </c>
      <c r="O24" s="64"/>
      <c r="P24" s="660" t="str">
        <f t="shared" si="7"/>
        <v/>
      </c>
      <c r="Q24" s="52" t="str">
        <f t="shared" si="12"/>
        <v>No</v>
      </c>
      <c r="R24" s="1574" t="str">
        <f t="shared" si="1"/>
        <v/>
      </c>
      <c r="S24" s="52" t="str">
        <f t="shared" si="8"/>
        <v/>
      </c>
      <c r="T24" s="52" t="str">
        <f t="shared" si="9"/>
        <v/>
      </c>
      <c r="U24" s="52" t="str">
        <f t="shared" si="2"/>
        <v/>
      </c>
      <c r="V24" s="52" t="str">
        <f t="shared" si="10"/>
        <v/>
      </c>
      <c r="W24" s="1578"/>
      <c r="X24" s="52" t="str">
        <f t="shared" si="3"/>
        <v/>
      </c>
      <c r="Y24" s="52" t="str">
        <f t="shared" si="4"/>
        <v/>
      </c>
      <c r="AA24" s="52">
        <f t="shared" si="11"/>
        <v>0</v>
      </c>
      <c r="AC24" s="926" t="s">
        <v>733</v>
      </c>
      <c r="AD24" s="925">
        <f t="shared" si="5"/>
        <v>0</v>
      </c>
      <c r="AF24" s="52" t="str">
        <f t="shared" si="13"/>
        <v/>
      </c>
    </row>
    <row r="25" spans="2:35" ht="91">
      <c r="B25" s="1532" t="str">
        <f t="shared" si="6"/>
        <v>Visionary Attack</v>
      </c>
      <c r="C25" s="1795"/>
      <c r="D25" s="920"/>
      <c r="E25" s="61"/>
      <c r="F25" s="61" t="s">
        <v>2567</v>
      </c>
      <c r="G25" s="61"/>
      <c r="H25" s="61"/>
      <c r="I25" s="61"/>
      <c r="J25" s="1687" t="s">
        <v>8891</v>
      </c>
      <c r="K25" s="63" t="str">
        <f>IF(AND(Q24="Yes",L24&lt;&gt;""),"Yes","No")</f>
        <v>No</v>
      </c>
      <c r="L25" s="76"/>
      <c r="M25" s="63">
        <f t="shared" si="0"/>
        <v>0</v>
      </c>
      <c r="N25" s="63" t="s">
        <v>2557</v>
      </c>
      <c r="O25" s="64"/>
      <c r="P25" s="660" t="str">
        <f t="shared" si="7"/>
        <v/>
      </c>
      <c r="Q25" s="52" t="str">
        <f t="shared" si="12"/>
        <v>No</v>
      </c>
      <c r="R25" s="1574" t="str">
        <f t="shared" si="1"/>
        <v/>
      </c>
      <c r="S25" s="52" t="str">
        <f t="shared" si="8"/>
        <v/>
      </c>
      <c r="T25" s="52" t="str">
        <f t="shared" si="9"/>
        <v/>
      </c>
      <c r="U25" s="52" t="str">
        <f t="shared" si="2"/>
        <v/>
      </c>
      <c r="V25" s="52" t="str">
        <f t="shared" si="10"/>
        <v/>
      </c>
      <c r="W25" s="1578"/>
      <c r="X25" s="52" t="str">
        <f t="shared" si="3"/>
        <v/>
      </c>
      <c r="Y25" s="52" t="str">
        <f t="shared" si="4"/>
        <v/>
      </c>
      <c r="AA25" s="52">
        <f t="shared" si="11"/>
        <v>0</v>
      </c>
      <c r="AC25" s="926" t="s">
        <v>708</v>
      </c>
      <c r="AD25" s="925">
        <f t="shared" si="5"/>
        <v>0</v>
      </c>
      <c r="AF25" s="52" t="str">
        <f t="shared" si="13"/>
        <v/>
      </c>
    </row>
    <row r="26" spans="2:35" ht="91">
      <c r="B26" s="1532" t="str">
        <f t="shared" si="6"/>
        <v>Visionary Defense</v>
      </c>
      <c r="C26" s="1795"/>
      <c r="D26" s="920"/>
      <c r="E26" s="61"/>
      <c r="F26" s="61" t="s">
        <v>2568</v>
      </c>
      <c r="G26" s="61"/>
      <c r="H26" s="61"/>
      <c r="I26" s="61"/>
      <c r="J26" s="1687" t="s">
        <v>8892</v>
      </c>
      <c r="K26" s="63" t="str">
        <f>IF(AND(Q25="Yes",L24&lt;&gt;""),"Yes","No")</f>
        <v>No</v>
      </c>
      <c r="L26" s="76"/>
      <c r="M26" s="63">
        <f t="shared" si="0"/>
        <v>0</v>
      </c>
      <c r="N26" s="63" t="s">
        <v>2564</v>
      </c>
      <c r="O26" s="64"/>
      <c r="P26" s="660" t="str">
        <f t="shared" si="7"/>
        <v/>
      </c>
      <c r="Q26" s="52" t="str">
        <f t="shared" si="12"/>
        <v>No</v>
      </c>
      <c r="R26" s="1574" t="str">
        <f t="shared" si="1"/>
        <v/>
      </c>
      <c r="S26" s="52" t="str">
        <f t="shared" si="8"/>
        <v/>
      </c>
      <c r="T26" s="52" t="str">
        <f t="shared" si="9"/>
        <v/>
      </c>
      <c r="U26" s="52" t="str">
        <f t="shared" si="2"/>
        <v/>
      </c>
      <c r="V26" s="52" t="str">
        <f t="shared" si="10"/>
        <v/>
      </c>
      <c r="W26" s="1578"/>
      <c r="X26" s="52" t="str">
        <f t="shared" si="3"/>
        <v/>
      </c>
      <c r="Y26" s="52" t="str">
        <f t="shared" si="4"/>
        <v/>
      </c>
      <c r="AA26" s="52">
        <f t="shared" si="11"/>
        <v>0</v>
      </c>
      <c r="AC26" s="660" t="s">
        <v>931</v>
      </c>
      <c r="AD26" s="925">
        <f t="shared" si="5"/>
        <v>0</v>
      </c>
      <c r="AF26" s="52" t="str">
        <f t="shared" si="13"/>
        <v/>
      </c>
    </row>
    <row r="27" spans="2:35">
      <c r="B27" s="1532" t="str">
        <f t="shared" si="6"/>
        <v>Acrobatic Recovery</v>
      </c>
      <c r="C27" s="1795"/>
      <c r="D27" s="920" t="s">
        <v>2569</v>
      </c>
      <c r="E27" s="61" t="s">
        <v>2570</v>
      </c>
      <c r="F27" s="61"/>
      <c r="G27" s="61"/>
      <c r="H27" s="61"/>
      <c r="I27" s="61"/>
      <c r="J27" s="1687" t="s">
        <v>4728</v>
      </c>
      <c r="K27" s="63" t="str">
        <f t="shared" ref="K27:K75" si="18">IF(Q27="Yes","Yes","No")</f>
        <v>No</v>
      </c>
      <c r="L27" s="76"/>
      <c r="M27" s="63">
        <f t="shared" si="0"/>
        <v>0</v>
      </c>
      <c r="N27" s="63">
        <v>40</v>
      </c>
      <c r="O27" s="64"/>
      <c r="P27" s="660" t="str">
        <f t="shared" si="7"/>
        <v/>
      </c>
      <c r="Q27" s="52" t="str">
        <f>IF(OR(AD45&gt;0,AD7&gt;0),"Yes","No")</f>
        <v>No</v>
      </c>
      <c r="R27" s="1574" t="str">
        <f t="shared" si="1"/>
        <v/>
      </c>
      <c r="S27" s="52" t="str">
        <f t="shared" si="8"/>
        <v/>
      </c>
      <c r="T27" s="52" t="str">
        <f t="shared" si="9"/>
        <v/>
      </c>
      <c r="U27" s="52" t="str">
        <f t="shared" si="2"/>
        <v/>
      </c>
      <c r="V27" s="52" t="str">
        <f t="shared" si="10"/>
        <v/>
      </c>
      <c r="W27" s="1578"/>
      <c r="X27" s="52" t="str">
        <f t="shared" si="3"/>
        <v/>
      </c>
      <c r="Y27" s="52" t="str">
        <f t="shared" si="4"/>
        <v/>
      </c>
      <c r="AA27" s="52">
        <f t="shared" si="11"/>
        <v>0</v>
      </c>
      <c r="AC27" s="660" t="s">
        <v>956</v>
      </c>
      <c r="AD27" s="925">
        <f t="shared" si="5"/>
        <v>0</v>
      </c>
      <c r="AF27" s="52" t="str">
        <f t="shared" si="13"/>
        <v/>
      </c>
    </row>
    <row r="28" spans="2:35">
      <c r="B28" s="1532" t="str">
        <f t="shared" si="6"/>
        <v>Battle Meditation</v>
      </c>
      <c r="C28" s="1795"/>
      <c r="D28" s="920"/>
      <c r="E28" s="61" t="s">
        <v>2571</v>
      </c>
      <c r="F28" s="61"/>
      <c r="G28" s="61"/>
      <c r="H28" s="61"/>
      <c r="I28" s="61"/>
      <c r="J28" s="1687" t="s">
        <v>4729</v>
      </c>
      <c r="K28" s="63" t="str">
        <f t="shared" si="18"/>
        <v>No</v>
      </c>
      <c r="L28" s="76"/>
      <c r="M28" s="63">
        <f t="shared" si="0"/>
        <v>0</v>
      </c>
      <c r="N28" s="63">
        <v>40</v>
      </c>
      <c r="O28" s="64"/>
      <c r="P28" s="660" t="str">
        <f t="shared" si="7"/>
        <v/>
      </c>
      <c r="Q28" s="52" t="str">
        <f t="shared" si="12"/>
        <v>No</v>
      </c>
      <c r="R28" s="1574" t="str">
        <f t="shared" si="1"/>
        <v/>
      </c>
      <c r="S28" s="52" t="str">
        <f t="shared" si="8"/>
        <v/>
      </c>
      <c r="T28" s="52" t="str">
        <f t="shared" si="9"/>
        <v/>
      </c>
      <c r="U28" s="52" t="str">
        <f t="shared" si="2"/>
        <v/>
      </c>
      <c r="V28" s="52" t="str">
        <f t="shared" si="10"/>
        <v/>
      </c>
      <c r="W28" s="1578"/>
      <c r="X28" s="52" t="str">
        <f t="shared" si="3"/>
        <v/>
      </c>
      <c r="Y28" s="52" t="str">
        <f t="shared" si="4"/>
        <v/>
      </c>
      <c r="AA28" s="52">
        <f>IF(U28&lt;&gt;"",IF(Z28="Defenses",U28&amp;IF(AA29&lt;&gt;"",", ",""),"")&amp;AA29,AA29)</f>
        <v>0</v>
      </c>
      <c r="AC28" s="660" t="s">
        <v>974</v>
      </c>
      <c r="AD28" s="925">
        <f t="shared" si="5"/>
        <v>0</v>
      </c>
      <c r="AF28" s="52" t="str">
        <f t="shared" si="13"/>
        <v/>
      </c>
    </row>
    <row r="29" spans="2:35">
      <c r="B29" s="1532" t="str">
        <f t="shared" si="6"/>
        <v>Improved Battle Meditation</v>
      </c>
      <c r="C29" s="1795"/>
      <c r="D29" s="920"/>
      <c r="E29" s="61"/>
      <c r="F29" s="61" t="s">
        <v>2572</v>
      </c>
      <c r="G29" s="61"/>
      <c r="H29" s="61"/>
      <c r="I29" s="61"/>
      <c r="J29" s="1687" t="s">
        <v>4730</v>
      </c>
      <c r="K29" s="63" t="str">
        <f>IF(AND(Q28="Yes",L28&lt;&gt;""),"Yes","No")</f>
        <v>No</v>
      </c>
      <c r="L29" s="76"/>
      <c r="M29" s="63">
        <f t="shared" si="0"/>
        <v>0</v>
      </c>
      <c r="N29" s="63" t="s">
        <v>2564</v>
      </c>
      <c r="O29" s="64"/>
      <c r="P29" s="660" t="str">
        <f t="shared" si="7"/>
        <v/>
      </c>
      <c r="Q29" s="52" t="str">
        <f t="shared" si="12"/>
        <v>No</v>
      </c>
      <c r="R29" s="1574" t="str">
        <f t="shared" si="1"/>
        <v/>
      </c>
      <c r="S29" s="52" t="str">
        <f t="shared" si="8"/>
        <v/>
      </c>
      <c r="T29" s="52" t="str">
        <f t="shared" si="9"/>
        <v/>
      </c>
      <c r="U29" s="52" t="str">
        <f t="shared" si="2"/>
        <v/>
      </c>
      <c r="V29" s="52" t="str">
        <f t="shared" si="10"/>
        <v/>
      </c>
      <c r="W29" s="1578"/>
      <c r="X29" s="52" t="str">
        <f t="shared" si="3"/>
        <v/>
      </c>
      <c r="Y29" s="52" t="str">
        <f t="shared" si="4"/>
        <v/>
      </c>
      <c r="AA29" s="52">
        <f>IF(U29&lt;&gt;"",IF(Z29="Defenses",U29&amp;IF(AA30&lt;&gt;"",", ",""),"")&amp;AA30,AA30)</f>
        <v>0</v>
      </c>
      <c r="AC29" s="660" t="s">
        <v>992</v>
      </c>
      <c r="AD29" s="925">
        <f t="shared" si="5"/>
        <v>0</v>
      </c>
      <c r="AF29" s="52" t="str">
        <f t="shared" si="13"/>
        <v/>
      </c>
    </row>
    <row r="30" spans="2:35" ht="26">
      <c r="B30" s="1532" t="str">
        <f t="shared" si="6"/>
        <v>Close Maneuvering</v>
      </c>
      <c r="C30" s="1795"/>
      <c r="D30" s="920"/>
      <c r="E30" s="61" t="s">
        <v>6356</v>
      </c>
      <c r="F30" s="61"/>
      <c r="G30" s="61"/>
      <c r="H30" s="61"/>
      <c r="I30" s="61"/>
      <c r="J30" s="1687" t="s">
        <v>7870</v>
      </c>
      <c r="K30" s="63" t="str">
        <f>IF(Q30="Yes","Yes","No")</f>
        <v>No</v>
      </c>
      <c r="L30" s="76"/>
      <c r="M30" s="63">
        <f>IF(L30&lt;&gt;"",1,0)</f>
        <v>0</v>
      </c>
      <c r="N30" s="63" t="s">
        <v>6482</v>
      </c>
      <c r="O30" s="64"/>
      <c r="P30" s="660" t="str">
        <f t="shared" si="7"/>
        <v/>
      </c>
      <c r="Q30" s="52" t="str">
        <f t="shared" si="12"/>
        <v>No</v>
      </c>
      <c r="R30" s="1574" t="str">
        <f t="shared" si="1"/>
        <v/>
      </c>
      <c r="S30" s="52" t="str">
        <f t="shared" si="8"/>
        <v/>
      </c>
      <c r="T30" s="52" t="str">
        <f t="shared" si="9"/>
        <v/>
      </c>
      <c r="U30" s="52" t="str">
        <f t="shared" si="2"/>
        <v/>
      </c>
      <c r="V30" s="52" t="str">
        <f t="shared" si="10"/>
        <v/>
      </c>
      <c r="W30" s="1578"/>
      <c r="X30" s="52" t="str">
        <f t="shared" si="3"/>
        <v/>
      </c>
      <c r="Y30" s="52" t="str">
        <f t="shared" si="4"/>
        <v/>
      </c>
      <c r="AA30" s="52">
        <f>IF(U30&lt;&gt;"",IF(Z30="Defenses",U30&amp;IF(AA31&lt;&gt;"",", ",""),"")&amp;AA31,AA31)</f>
        <v>0</v>
      </c>
      <c r="AC30" s="660" t="s">
        <v>1012</v>
      </c>
      <c r="AD30" s="925">
        <f t="shared" si="5"/>
        <v>0</v>
      </c>
      <c r="AF30" s="52" t="str">
        <f t="shared" ref="AF30:AF45" si="19">IF(AD30&gt;0,AC30&amp;";"&amp;AF31,AF31)</f>
        <v/>
      </c>
    </row>
    <row r="31" spans="2:35" ht="26">
      <c r="B31" s="1532" t="str">
        <f t="shared" si="6"/>
        <v>Cover Escape</v>
      </c>
      <c r="C31" s="1795"/>
      <c r="D31" s="920"/>
      <c r="E31" s="61" t="s">
        <v>6812</v>
      </c>
      <c r="F31" s="61"/>
      <c r="G31" s="61"/>
      <c r="H31" s="61"/>
      <c r="I31" s="61"/>
      <c r="J31" s="1687" t="s">
        <v>6813</v>
      </c>
      <c r="K31" s="63" t="str">
        <f>IF(Q31="Yes","Yes","No")</f>
        <v>No</v>
      </c>
      <c r="L31" s="76"/>
      <c r="M31" s="63">
        <f>IF(L31&lt;&gt;"",1,0)</f>
        <v>0</v>
      </c>
      <c r="N31" s="63" t="s">
        <v>6814</v>
      </c>
      <c r="O31" s="64"/>
      <c r="P31" s="660" t="str">
        <f t="shared" si="7"/>
        <v/>
      </c>
      <c r="Q31" s="52" t="str">
        <f t="shared" si="12"/>
        <v>No</v>
      </c>
      <c r="R31" s="1574" t="str">
        <f t="shared" si="1"/>
        <v/>
      </c>
      <c r="S31" s="52" t="str">
        <f t="shared" si="8"/>
        <v/>
      </c>
      <c r="T31" s="52" t="str">
        <f t="shared" si="9"/>
        <v/>
      </c>
      <c r="U31" s="52" t="str">
        <f t="shared" si="2"/>
        <v/>
      </c>
      <c r="V31" s="52" t="str">
        <f t="shared" si="10"/>
        <v/>
      </c>
      <c r="W31" s="1578"/>
      <c r="X31" s="52" t="str">
        <f t="shared" si="3"/>
        <v/>
      </c>
      <c r="Y31" s="52" t="str">
        <f t="shared" si="4"/>
        <v/>
      </c>
      <c r="AA31" s="52">
        <f>IF(U31&lt;&gt;"",IF(Z31="Defenses",U31&amp;IF(AA32&lt;&gt;"",", ",""),"")&amp;AA32,AA32)</f>
        <v>0</v>
      </c>
      <c r="AC31" s="660" t="s">
        <v>1037</v>
      </c>
      <c r="AD31" s="925">
        <f t="shared" si="5"/>
        <v>0</v>
      </c>
      <c r="AF31" s="52" t="str">
        <f t="shared" si="19"/>
        <v/>
      </c>
    </row>
    <row r="32" spans="2:35">
      <c r="B32" s="1532" t="str">
        <f t="shared" si="6"/>
        <v>Defensive Acuity</v>
      </c>
      <c r="C32" s="1795"/>
      <c r="D32" s="920"/>
      <c r="E32" s="61" t="s">
        <v>2573</v>
      </c>
      <c r="F32" s="61"/>
      <c r="G32" s="61"/>
      <c r="H32" s="61"/>
      <c r="I32" s="61"/>
      <c r="J32" s="1687" t="s">
        <v>4731</v>
      </c>
      <c r="K32" s="63" t="str">
        <f t="shared" si="18"/>
        <v>No</v>
      </c>
      <c r="L32" s="76"/>
      <c r="M32" s="63">
        <f t="shared" si="0"/>
        <v>0</v>
      </c>
      <c r="N32" s="63" t="s">
        <v>2574</v>
      </c>
      <c r="O32" s="64"/>
      <c r="P32" s="660" t="str">
        <f t="shared" si="7"/>
        <v/>
      </c>
      <c r="Q32" s="52" t="str">
        <f t="shared" si="12"/>
        <v>No</v>
      </c>
      <c r="R32" s="1574" t="str">
        <f t="shared" si="1"/>
        <v/>
      </c>
      <c r="S32" s="52" t="str">
        <f t="shared" si="8"/>
        <v/>
      </c>
      <c r="T32" s="52" t="str">
        <f t="shared" si="9"/>
        <v/>
      </c>
      <c r="U32" s="52" t="str">
        <f t="shared" si="2"/>
        <v/>
      </c>
      <c r="V32" s="52" t="str">
        <f t="shared" si="10"/>
        <v/>
      </c>
      <c r="W32" s="1578"/>
      <c r="X32" s="52" t="str">
        <f t="shared" si="3"/>
        <v/>
      </c>
      <c r="Y32" s="52" t="str">
        <f t="shared" si="4"/>
        <v/>
      </c>
      <c r="AA32" s="52">
        <f>IF(U32&lt;&gt;"",IF(Z32="Defenses",U32&amp;IF(AA33&lt;&gt;"",", ",""),"")&amp;AA33,AA33)</f>
        <v>0</v>
      </c>
      <c r="AC32" s="660" t="s">
        <v>1058</v>
      </c>
      <c r="AD32" s="925">
        <f t="shared" si="5"/>
        <v>0</v>
      </c>
      <c r="AF32" s="52" t="str">
        <f t="shared" si="19"/>
        <v/>
      </c>
    </row>
    <row r="33" spans="2:32">
      <c r="B33" s="1532" t="str">
        <f t="shared" si="6"/>
        <v>Elusive Target</v>
      </c>
      <c r="C33" s="1795"/>
      <c r="D33" s="920"/>
      <c r="E33" s="61" t="s">
        <v>2575</v>
      </c>
      <c r="F33" s="61"/>
      <c r="G33" s="61"/>
      <c r="H33" s="61"/>
      <c r="I33" s="61"/>
      <c r="J33" s="1687" t="s">
        <v>4732</v>
      </c>
      <c r="K33" s="63" t="str">
        <f t="shared" si="18"/>
        <v>No</v>
      </c>
      <c r="L33" s="76"/>
      <c r="M33" s="63">
        <f t="shared" si="0"/>
        <v>0</v>
      </c>
      <c r="N33" s="63">
        <v>40</v>
      </c>
      <c r="O33" s="64"/>
      <c r="P33" s="660" t="str">
        <f t="shared" si="7"/>
        <v/>
      </c>
      <c r="Q33" s="52" t="str">
        <f t="shared" si="12"/>
        <v>No</v>
      </c>
      <c r="R33" s="1574" t="str">
        <f t="shared" si="1"/>
        <v/>
      </c>
      <c r="S33" s="52" t="str">
        <f t="shared" si="8"/>
        <v/>
      </c>
      <c r="T33" s="52" t="str">
        <f t="shared" si="9"/>
        <v/>
      </c>
      <c r="U33" s="52" t="str">
        <f t="shared" si="2"/>
        <v/>
      </c>
      <c r="V33" s="52" t="str">
        <f t="shared" si="10"/>
        <v/>
      </c>
      <c r="W33" s="1578"/>
      <c r="X33" s="52" t="str">
        <f t="shared" si="3"/>
        <v/>
      </c>
      <c r="Y33" s="52" t="str">
        <f t="shared" si="4"/>
        <v/>
      </c>
      <c r="AA33" s="52">
        <f t="shared" si="11"/>
        <v>0</v>
      </c>
      <c r="AC33" s="660" t="s">
        <v>1082</v>
      </c>
      <c r="AD33" s="925">
        <f t="shared" si="5"/>
        <v>0</v>
      </c>
      <c r="AF33" s="52" t="str">
        <f t="shared" si="19"/>
        <v/>
      </c>
    </row>
    <row r="34" spans="2:32" ht="26">
      <c r="B34" s="1532" t="str">
        <f t="shared" si="6"/>
        <v>Exposing Strike</v>
      </c>
      <c r="C34" s="1795"/>
      <c r="D34" s="920"/>
      <c r="E34" s="61" t="s">
        <v>2576</v>
      </c>
      <c r="F34" s="61"/>
      <c r="G34" s="61"/>
      <c r="H34" s="61"/>
      <c r="I34" s="61"/>
      <c r="J34" s="1687" t="s">
        <v>4733</v>
      </c>
      <c r="K34" s="63" t="str">
        <f t="shared" si="18"/>
        <v>No</v>
      </c>
      <c r="L34" s="76"/>
      <c r="M34" s="63">
        <f t="shared" si="0"/>
        <v>0</v>
      </c>
      <c r="N34" s="63" t="s">
        <v>2559</v>
      </c>
      <c r="O34" s="64"/>
      <c r="P34" s="660" t="str">
        <f t="shared" si="7"/>
        <v/>
      </c>
      <c r="Q34" s="52" t="str">
        <f t="shared" si="12"/>
        <v>No</v>
      </c>
      <c r="R34" s="1574" t="str">
        <f t="shared" si="1"/>
        <v/>
      </c>
      <c r="S34" s="52" t="str">
        <f t="shared" si="8"/>
        <v/>
      </c>
      <c r="T34" s="52" t="str">
        <f t="shared" si="9"/>
        <v/>
      </c>
      <c r="U34" s="52" t="str">
        <f t="shared" si="2"/>
        <v/>
      </c>
      <c r="V34" s="52" t="str">
        <f t="shared" si="10"/>
        <v/>
      </c>
      <c r="W34" s="1578"/>
      <c r="X34" s="52" t="str">
        <f t="shared" si="3"/>
        <v/>
      </c>
      <c r="Y34" s="52" t="str">
        <f t="shared" si="4"/>
        <v/>
      </c>
      <c r="AA34" s="52">
        <f>IF(U34&lt;&gt;"",IF(Z34="Defenses",U34&amp;IF(AA36&lt;&gt;"",", ",""),"")&amp;AA36,AA36)</f>
        <v>0</v>
      </c>
      <c r="AC34" s="660" t="s">
        <v>1103</v>
      </c>
      <c r="AD34" s="925">
        <f t="shared" si="5"/>
        <v>0</v>
      </c>
      <c r="AF34" s="52" t="str">
        <f t="shared" si="19"/>
        <v/>
      </c>
    </row>
    <row r="35" spans="2:32" ht="26">
      <c r="B35" s="1532" t="str">
        <f t="shared" si="6"/>
        <v>Grenade Defense</v>
      </c>
      <c r="C35" s="1795"/>
      <c r="D35" s="920"/>
      <c r="E35" s="61" t="s">
        <v>6205</v>
      </c>
      <c r="F35" s="61"/>
      <c r="G35" s="61"/>
      <c r="H35" s="61"/>
      <c r="I35" s="61"/>
      <c r="J35" s="1687" t="s">
        <v>6206</v>
      </c>
      <c r="K35" s="63" t="str">
        <f t="shared" si="18"/>
        <v>No</v>
      </c>
      <c r="L35" s="76"/>
      <c r="M35" s="63">
        <f t="shared" si="0"/>
        <v>0</v>
      </c>
      <c r="N35" s="63" t="s">
        <v>6202</v>
      </c>
      <c r="O35" s="64"/>
      <c r="P35" s="660" t="str">
        <f t="shared" si="7"/>
        <v/>
      </c>
      <c r="Q35" s="52" t="str">
        <f t="shared" si="12"/>
        <v>No</v>
      </c>
      <c r="R35" s="1574" t="str">
        <f t="shared" si="1"/>
        <v/>
      </c>
      <c r="S35" s="52" t="str">
        <f t="shared" si="8"/>
        <v/>
      </c>
      <c r="T35" s="52" t="str">
        <f t="shared" si="9"/>
        <v/>
      </c>
      <c r="U35" s="52" t="str">
        <f t="shared" si="2"/>
        <v/>
      </c>
      <c r="V35" s="52" t="str">
        <f t="shared" si="10"/>
        <v/>
      </c>
      <c r="W35" s="1578"/>
      <c r="X35" s="52" t="str">
        <f t="shared" si="3"/>
        <v/>
      </c>
      <c r="Y35" s="52" t="str">
        <f t="shared" si="4"/>
        <v/>
      </c>
      <c r="AA35" s="52">
        <f t="shared" ref="AA35:AA41" si="20">IF(U35&lt;&gt;"",IF(Z35="Defenses",U35&amp;IF(AA37&lt;&gt;"",", ",""),"")&amp;AA37,AA37)</f>
        <v>0</v>
      </c>
      <c r="AC35" s="660" t="s">
        <v>1120</v>
      </c>
      <c r="AD35" s="925">
        <f t="shared" si="5"/>
        <v>0</v>
      </c>
      <c r="AF35" s="52" t="str">
        <f t="shared" si="19"/>
        <v/>
      </c>
    </row>
    <row r="36" spans="2:32" ht="26">
      <c r="B36" s="1532" t="str">
        <f t="shared" si="6"/>
        <v>Guardian Strike</v>
      </c>
      <c r="C36" s="1795"/>
      <c r="D36" s="920"/>
      <c r="E36" s="61" t="s">
        <v>2577</v>
      </c>
      <c r="F36" s="61"/>
      <c r="G36" s="61"/>
      <c r="H36" s="61"/>
      <c r="I36" s="61"/>
      <c r="J36" s="1687" t="s">
        <v>4734</v>
      </c>
      <c r="K36" s="63" t="str">
        <f t="shared" si="18"/>
        <v>No</v>
      </c>
      <c r="L36" s="76"/>
      <c r="M36" s="63">
        <f t="shared" si="0"/>
        <v>0</v>
      </c>
      <c r="N36" s="63" t="s">
        <v>2559</v>
      </c>
      <c r="O36" s="64"/>
      <c r="P36" s="660" t="str">
        <f t="shared" si="7"/>
        <v/>
      </c>
      <c r="Q36" s="52" t="str">
        <f t="shared" si="12"/>
        <v>No</v>
      </c>
      <c r="R36" s="1574" t="str">
        <f t="shared" si="1"/>
        <v/>
      </c>
      <c r="S36" s="52" t="str">
        <f t="shared" si="8"/>
        <v/>
      </c>
      <c r="T36" s="52" t="str">
        <f t="shared" si="9"/>
        <v/>
      </c>
      <c r="U36" s="52" t="str">
        <f t="shared" si="2"/>
        <v/>
      </c>
      <c r="V36" s="52" t="str">
        <f t="shared" si="10"/>
        <v/>
      </c>
      <c r="W36" s="1578"/>
      <c r="X36" s="52" t="str">
        <f t="shared" si="3"/>
        <v/>
      </c>
      <c r="Y36" s="52" t="str">
        <f t="shared" si="4"/>
        <v/>
      </c>
      <c r="AA36" s="52">
        <f t="shared" si="20"/>
        <v>0</v>
      </c>
      <c r="AC36" s="660" t="s">
        <v>1139</v>
      </c>
      <c r="AD36" s="925">
        <f t="shared" si="5"/>
        <v>0</v>
      </c>
      <c r="AF36" s="52" t="str">
        <f t="shared" si="19"/>
        <v/>
      </c>
    </row>
    <row r="37" spans="2:32">
      <c r="B37" s="1532" t="str">
        <f t="shared" si="6"/>
        <v>Force Intuition</v>
      </c>
      <c r="C37" s="1795"/>
      <c r="D37" s="920"/>
      <c r="E37" s="61" t="s">
        <v>2578</v>
      </c>
      <c r="F37" s="61"/>
      <c r="G37" s="61"/>
      <c r="H37" s="61"/>
      <c r="I37" s="61"/>
      <c r="J37" s="1687" t="s">
        <v>4735</v>
      </c>
      <c r="K37" s="63" t="str">
        <f t="shared" si="18"/>
        <v>No</v>
      </c>
      <c r="L37" s="76"/>
      <c r="M37" s="63">
        <f t="shared" si="0"/>
        <v>0</v>
      </c>
      <c r="N37" s="63">
        <v>40</v>
      </c>
      <c r="O37" s="64"/>
      <c r="P37" s="660" t="str">
        <f t="shared" si="7"/>
        <v/>
      </c>
      <c r="Q37" s="52" t="str">
        <f t="shared" si="12"/>
        <v>No</v>
      </c>
      <c r="R37" s="1574" t="str">
        <f t="shared" si="1"/>
        <v/>
      </c>
      <c r="S37" s="52" t="str">
        <f t="shared" si="8"/>
        <v/>
      </c>
      <c r="T37" s="52" t="str">
        <f t="shared" si="9"/>
        <v/>
      </c>
      <c r="U37" s="52" t="str">
        <f t="shared" si="2"/>
        <v/>
      </c>
      <c r="V37" s="52" t="str">
        <f t="shared" si="10"/>
        <v/>
      </c>
      <c r="W37" s="1578"/>
      <c r="X37" s="52" t="str">
        <f t="shared" si="3"/>
        <v/>
      </c>
      <c r="Y37" s="52" t="str">
        <f t="shared" si="4"/>
        <v/>
      </c>
      <c r="AA37" s="52">
        <f t="shared" si="20"/>
        <v>0</v>
      </c>
      <c r="AC37" s="660" t="s">
        <v>1155</v>
      </c>
      <c r="AD37" s="925">
        <f t="shared" si="5"/>
        <v>0</v>
      </c>
      <c r="AF37" s="52" t="str">
        <f t="shared" si="19"/>
        <v/>
      </c>
    </row>
    <row r="38" spans="2:32">
      <c r="B38" s="1532" t="str">
        <f t="shared" si="6"/>
        <v>Forceful Warrior</v>
      </c>
      <c r="C38" s="1795"/>
      <c r="D38" s="920"/>
      <c r="E38" s="61" t="s">
        <v>2579</v>
      </c>
      <c r="F38" s="61"/>
      <c r="G38" s="61"/>
      <c r="H38" s="61"/>
      <c r="I38" s="61"/>
      <c r="J38" s="1687" t="s">
        <v>4736</v>
      </c>
      <c r="K38" s="63" t="str">
        <f t="shared" si="18"/>
        <v>No</v>
      </c>
      <c r="L38" s="76"/>
      <c r="M38" s="63">
        <f t="shared" si="0"/>
        <v>0</v>
      </c>
      <c r="N38" s="63" t="s">
        <v>2555</v>
      </c>
      <c r="O38" s="64"/>
      <c r="P38" s="660" t="str">
        <f t="shared" si="7"/>
        <v/>
      </c>
      <c r="Q38" s="52" t="str">
        <f t="shared" si="12"/>
        <v>No</v>
      </c>
      <c r="R38" s="1574" t="str">
        <f t="shared" si="1"/>
        <v/>
      </c>
      <c r="S38" s="52" t="str">
        <f t="shared" si="8"/>
        <v/>
      </c>
      <c r="T38" s="52" t="str">
        <f t="shared" si="9"/>
        <v/>
      </c>
      <c r="U38" s="52" t="str">
        <f t="shared" si="2"/>
        <v/>
      </c>
      <c r="V38" s="52" t="str">
        <f t="shared" si="10"/>
        <v/>
      </c>
      <c r="W38" s="1578"/>
      <c r="X38" s="52" t="str">
        <f t="shared" si="3"/>
        <v/>
      </c>
      <c r="Y38" s="52" t="str">
        <f t="shared" si="4"/>
        <v/>
      </c>
      <c r="AA38" s="52">
        <f>IF(U38&lt;&gt;"",IF(Z38="Defenses",U38&amp;IF(AA41&lt;&gt;"",", ",""),"")&amp;AA41,AA41)</f>
        <v>0</v>
      </c>
      <c r="AC38" s="660" t="s">
        <v>1177</v>
      </c>
      <c r="AD38" s="925">
        <f t="shared" si="5"/>
        <v>0</v>
      </c>
      <c r="AF38" s="52" t="str">
        <f t="shared" si="19"/>
        <v/>
      </c>
    </row>
    <row r="39" spans="2:32">
      <c r="B39" s="1532" t="str">
        <f t="shared" si="6"/>
        <v>Hold the Line</v>
      </c>
      <c r="C39" s="1795"/>
      <c r="D39" s="920"/>
      <c r="E39" s="61" t="s">
        <v>6207</v>
      </c>
      <c r="F39" s="61"/>
      <c r="G39" s="61"/>
      <c r="H39" s="61"/>
      <c r="I39" s="61"/>
      <c r="J39" s="1687" t="s">
        <v>6208</v>
      </c>
      <c r="K39" s="63" t="str">
        <f t="shared" si="18"/>
        <v>No</v>
      </c>
      <c r="L39" s="76"/>
      <c r="M39" s="63">
        <f t="shared" si="0"/>
        <v>0</v>
      </c>
      <c r="N39" s="63" t="s">
        <v>6202</v>
      </c>
      <c r="O39" s="64"/>
      <c r="P39" s="660" t="str">
        <f t="shared" si="7"/>
        <v/>
      </c>
      <c r="Q39" s="52" t="str">
        <f t="shared" si="12"/>
        <v>No</v>
      </c>
      <c r="R39" s="1574" t="str">
        <f t="shared" si="1"/>
        <v/>
      </c>
      <c r="S39" s="52" t="str">
        <f t="shared" si="8"/>
        <v/>
      </c>
      <c r="T39" s="52" t="str">
        <f t="shared" si="9"/>
        <v/>
      </c>
      <c r="U39" s="52" t="str">
        <f t="shared" si="2"/>
        <v/>
      </c>
      <c r="V39" s="52" t="str">
        <f t="shared" si="10"/>
        <v/>
      </c>
      <c r="W39" s="1578"/>
      <c r="X39" s="52" t="str">
        <f t="shared" si="3"/>
        <v/>
      </c>
      <c r="Y39" s="52" t="str">
        <f t="shared" si="4"/>
        <v/>
      </c>
      <c r="AA39" s="52">
        <f>IF(U39&lt;&gt;"",IF(Z39="Defenses",U39&amp;IF(AA42&lt;&gt;"",", ",""),"")&amp;AA42,AA42)</f>
        <v>0</v>
      </c>
      <c r="AC39" s="660" t="s">
        <v>1198</v>
      </c>
      <c r="AD39" s="925">
        <f t="shared" si="5"/>
        <v>0</v>
      </c>
      <c r="AF39" s="52" t="str">
        <f t="shared" si="19"/>
        <v/>
      </c>
    </row>
    <row r="40" spans="2:32" ht="52">
      <c r="B40" s="1532" t="str">
        <f t="shared" si="6"/>
        <v>Immovable</v>
      </c>
      <c r="C40" s="1795"/>
      <c r="D40" s="920"/>
      <c r="E40" s="61" t="s">
        <v>6357</v>
      </c>
      <c r="F40" s="61"/>
      <c r="G40" s="61"/>
      <c r="H40" s="61"/>
      <c r="I40" s="61"/>
      <c r="J40" s="1687" t="s">
        <v>6358</v>
      </c>
      <c r="K40" s="63" t="str">
        <f>IF(Q40="Yes","Yes","No")</f>
        <v>No</v>
      </c>
      <c r="L40" s="76"/>
      <c r="M40" s="63">
        <f>IF(L40&lt;&gt;"",1,0)</f>
        <v>0</v>
      </c>
      <c r="N40" s="63" t="s">
        <v>6482</v>
      </c>
      <c r="O40" s="64"/>
      <c r="P40" s="660" t="str">
        <f t="shared" si="7"/>
        <v/>
      </c>
      <c r="Q40" s="52" t="str">
        <f t="shared" si="12"/>
        <v>No</v>
      </c>
      <c r="R40" s="1574" t="str">
        <f t="shared" si="1"/>
        <v/>
      </c>
      <c r="S40" s="52" t="str">
        <f t="shared" si="8"/>
        <v/>
      </c>
      <c r="T40" s="52" t="str">
        <f t="shared" si="9"/>
        <v/>
      </c>
      <c r="U40" s="52" t="str">
        <f t="shared" si="2"/>
        <v/>
      </c>
      <c r="V40" s="52" t="str">
        <f t="shared" si="10"/>
        <v/>
      </c>
      <c r="W40" s="1578"/>
      <c r="X40" s="52" t="str">
        <f t="shared" si="3"/>
        <v/>
      </c>
      <c r="Y40" s="52" t="str">
        <f t="shared" si="4"/>
        <v/>
      </c>
      <c r="AC40" s="660" t="s">
        <v>1215</v>
      </c>
      <c r="AD40" s="925">
        <f t="shared" si="5"/>
        <v>0</v>
      </c>
      <c r="AF40" s="52" t="str">
        <f t="shared" si="19"/>
        <v/>
      </c>
    </row>
    <row r="41" spans="2:32" ht="26">
      <c r="B41" s="1532" t="str">
        <f t="shared" si="6"/>
        <v>Mobile Combatant</v>
      </c>
      <c r="C41" s="1795"/>
      <c r="D41" s="920"/>
      <c r="E41" s="61" t="s">
        <v>2580</v>
      </c>
      <c r="F41" s="61"/>
      <c r="G41" s="61"/>
      <c r="H41" s="61"/>
      <c r="I41" s="61"/>
      <c r="J41" s="1687" t="s">
        <v>4737</v>
      </c>
      <c r="K41" s="63" t="str">
        <f t="shared" si="18"/>
        <v>No</v>
      </c>
      <c r="L41" s="76"/>
      <c r="M41" s="63">
        <f t="shared" si="0"/>
        <v>0</v>
      </c>
      <c r="N41" s="63" t="s">
        <v>2555</v>
      </c>
      <c r="O41" s="64"/>
      <c r="P41" s="660" t="str">
        <f t="shared" si="7"/>
        <v/>
      </c>
      <c r="Q41" s="52" t="str">
        <f t="shared" si="12"/>
        <v>No</v>
      </c>
      <c r="R41" s="1574" t="str">
        <f t="shared" si="1"/>
        <v/>
      </c>
      <c r="S41" s="52" t="str">
        <f t="shared" si="8"/>
        <v/>
      </c>
      <c r="T41" s="52" t="str">
        <f t="shared" si="9"/>
        <v/>
      </c>
      <c r="U41" s="52" t="str">
        <f t="shared" si="2"/>
        <v/>
      </c>
      <c r="V41" s="52" t="str">
        <f t="shared" si="10"/>
        <v/>
      </c>
      <c r="W41" s="1578"/>
      <c r="X41" s="52" t="str">
        <f t="shared" si="3"/>
        <v/>
      </c>
      <c r="Y41" s="52" t="str">
        <f t="shared" si="4"/>
        <v/>
      </c>
      <c r="AA41" s="52">
        <f t="shared" si="20"/>
        <v>0</v>
      </c>
      <c r="AC41" s="660" t="s">
        <v>2190</v>
      </c>
      <c r="AD41" s="925">
        <f t="shared" si="5"/>
        <v>0</v>
      </c>
      <c r="AF41" s="52" t="str">
        <f t="shared" si="19"/>
        <v/>
      </c>
    </row>
    <row r="42" spans="2:32">
      <c r="B42" s="1532" t="str">
        <f t="shared" si="6"/>
        <v>Resilience</v>
      </c>
      <c r="C42" s="1795"/>
      <c r="D42" s="920"/>
      <c r="E42" s="61" t="s">
        <v>2581</v>
      </c>
      <c r="F42" s="61"/>
      <c r="G42" s="61"/>
      <c r="H42" s="61"/>
      <c r="I42" s="61"/>
      <c r="J42" s="1687" t="s">
        <v>4738</v>
      </c>
      <c r="K42" s="63" t="str">
        <f t="shared" si="18"/>
        <v>No</v>
      </c>
      <c r="L42" s="76"/>
      <c r="M42" s="63">
        <f t="shared" si="0"/>
        <v>0</v>
      </c>
      <c r="N42" s="63">
        <v>40</v>
      </c>
      <c r="O42" s="64"/>
      <c r="P42" s="660" t="str">
        <f t="shared" si="7"/>
        <v/>
      </c>
      <c r="Q42" s="52" t="str">
        <f t="shared" si="12"/>
        <v>No</v>
      </c>
      <c r="R42" s="1574" t="str">
        <f t="shared" si="1"/>
        <v/>
      </c>
      <c r="S42" s="52" t="str">
        <f t="shared" si="8"/>
        <v/>
      </c>
      <c r="T42" s="52" t="str">
        <f t="shared" si="9"/>
        <v/>
      </c>
      <c r="U42" s="52" t="str">
        <f t="shared" si="2"/>
        <v/>
      </c>
      <c r="V42" s="52" t="str">
        <f t="shared" si="10"/>
        <v/>
      </c>
      <c r="W42" s="1578"/>
      <c r="X42" s="52" t="str">
        <f t="shared" si="3"/>
        <v/>
      </c>
      <c r="Y42" s="52" t="str">
        <f t="shared" si="4"/>
        <v/>
      </c>
      <c r="AA42" s="52">
        <f t="shared" si="11"/>
        <v>0</v>
      </c>
      <c r="AC42" s="660" t="s">
        <v>2196</v>
      </c>
      <c r="AD42" s="925">
        <f t="shared" si="5"/>
        <v>0</v>
      </c>
      <c r="AF42" s="52" t="str">
        <f t="shared" si="19"/>
        <v/>
      </c>
    </row>
    <row r="43" spans="2:32" ht="26">
      <c r="B43" s="1532" t="str">
        <f t="shared" si="6"/>
        <v>Clear Mind</v>
      </c>
      <c r="C43" s="1795"/>
      <c r="D43" s="920" t="s">
        <v>2582</v>
      </c>
      <c r="E43" s="61" t="s">
        <v>2583</v>
      </c>
      <c r="F43" s="61"/>
      <c r="G43" s="61"/>
      <c r="H43" s="61"/>
      <c r="I43" s="61"/>
      <c r="J43" s="1687" t="s">
        <v>4739</v>
      </c>
      <c r="K43" s="63" t="str">
        <f t="shared" si="18"/>
        <v>No</v>
      </c>
      <c r="L43" s="76"/>
      <c r="M43" s="63">
        <f t="shared" si="0"/>
        <v>0</v>
      </c>
      <c r="N43" s="63">
        <v>40</v>
      </c>
      <c r="O43" s="64"/>
      <c r="P43" s="660" t="str">
        <f t="shared" si="7"/>
        <v/>
      </c>
      <c r="Q43" s="52" t="str">
        <f>IF(OR(AD45&gt;0,AD7&gt;0),"Yes","No")</f>
        <v>No</v>
      </c>
      <c r="R43" s="1574" t="str">
        <f t="shared" si="1"/>
        <v/>
      </c>
      <c r="S43" s="52" t="str">
        <f t="shared" si="8"/>
        <v/>
      </c>
      <c r="T43" s="52" t="str">
        <f t="shared" si="9"/>
        <v/>
      </c>
      <c r="U43" s="52" t="str">
        <f t="shared" si="2"/>
        <v/>
      </c>
      <c r="V43" s="52" t="str">
        <f t="shared" si="10"/>
        <v/>
      </c>
      <c r="W43" s="1578"/>
      <c r="X43" s="52" t="str">
        <f t="shared" si="3"/>
        <v/>
      </c>
      <c r="Y43" s="52" t="str">
        <f t="shared" si="4"/>
        <v/>
      </c>
      <c r="AA43" s="52">
        <f t="shared" si="11"/>
        <v>0</v>
      </c>
      <c r="AC43" s="52" t="s">
        <v>6220</v>
      </c>
      <c r="AD43" s="925">
        <f t="shared" si="5"/>
        <v>0</v>
      </c>
      <c r="AF43" s="52" t="str">
        <f t="shared" si="19"/>
        <v/>
      </c>
    </row>
    <row r="44" spans="2:32" ht="26">
      <c r="B44" s="1532" t="str">
        <f t="shared" si="6"/>
        <v>Force Haze</v>
      </c>
      <c r="C44" s="1795"/>
      <c r="D44" s="920"/>
      <c r="E44" s="61"/>
      <c r="F44" s="61" t="s">
        <v>2584</v>
      </c>
      <c r="G44" s="61"/>
      <c r="H44" s="61"/>
      <c r="I44" s="61"/>
      <c r="J44" s="1687" t="s">
        <v>4740</v>
      </c>
      <c r="K44" s="63" t="str">
        <f>IF(AND(Q43="Yes",L43&lt;&gt;""),"Yes","No")</f>
        <v>No</v>
      </c>
      <c r="L44" s="76"/>
      <c r="M44" s="63">
        <f t="shared" si="0"/>
        <v>0</v>
      </c>
      <c r="N44" s="63">
        <v>40</v>
      </c>
      <c r="O44" s="64"/>
      <c r="P44" s="660" t="str">
        <f t="shared" si="7"/>
        <v/>
      </c>
      <c r="Q44" s="52" t="str">
        <f t="shared" si="12"/>
        <v>No</v>
      </c>
      <c r="R44" s="1574" t="str">
        <f t="shared" si="1"/>
        <v/>
      </c>
      <c r="S44" s="52" t="str">
        <f t="shared" si="8"/>
        <v/>
      </c>
      <c r="T44" s="52" t="str">
        <f t="shared" si="9"/>
        <v/>
      </c>
      <c r="U44" s="52" t="str">
        <f t="shared" si="2"/>
        <v/>
      </c>
      <c r="V44" s="52" t="str">
        <f t="shared" si="10"/>
        <v/>
      </c>
      <c r="W44" s="1578"/>
      <c r="X44" s="52" t="str">
        <f t="shared" si="3"/>
        <v/>
      </c>
      <c r="Y44" s="52" t="str">
        <f t="shared" si="4"/>
        <v/>
      </c>
      <c r="AA44" s="52">
        <f t="shared" si="11"/>
        <v>0</v>
      </c>
      <c r="AC44" s="52" t="s">
        <v>6221</v>
      </c>
      <c r="AD44" s="925">
        <f t="shared" si="5"/>
        <v>0</v>
      </c>
      <c r="AF44" s="52" t="str">
        <f t="shared" si="19"/>
        <v/>
      </c>
    </row>
    <row r="45" spans="2:32" ht="26">
      <c r="B45" s="1532" t="str">
        <f t="shared" si="6"/>
        <v>Persistant Haze</v>
      </c>
      <c r="C45" s="1795"/>
      <c r="D45" s="920"/>
      <c r="E45" s="61"/>
      <c r="F45" s="61"/>
      <c r="G45" s="61" t="s">
        <v>2585</v>
      </c>
      <c r="H45" s="61"/>
      <c r="I45" s="61"/>
      <c r="J45" s="1687" t="s">
        <v>4741</v>
      </c>
      <c r="K45" s="63" t="str">
        <f>IF(AND(Q44="Yes",L44&lt;&gt;""),"Yes","No")</f>
        <v>No</v>
      </c>
      <c r="L45" s="76"/>
      <c r="M45" s="63">
        <f t="shared" si="0"/>
        <v>0</v>
      </c>
      <c r="N45" s="63" t="s">
        <v>2586</v>
      </c>
      <c r="O45" s="64"/>
      <c r="P45" s="660" t="str">
        <f t="shared" si="7"/>
        <v/>
      </c>
      <c r="Q45" s="52" t="str">
        <f t="shared" si="12"/>
        <v>No</v>
      </c>
      <c r="R45" s="1574" t="str">
        <f t="shared" si="1"/>
        <v/>
      </c>
      <c r="S45" s="52" t="str">
        <f t="shared" si="8"/>
        <v/>
      </c>
      <c r="T45" s="52" t="str">
        <f t="shared" si="9"/>
        <v/>
      </c>
      <c r="U45" s="52" t="str">
        <f t="shared" si="2"/>
        <v/>
      </c>
      <c r="V45" s="52" t="str">
        <f t="shared" si="10"/>
        <v/>
      </c>
      <c r="W45" s="1578"/>
      <c r="X45" s="52" t="str">
        <f t="shared" si="3"/>
        <v/>
      </c>
      <c r="Y45" s="52" t="str">
        <f t="shared" si="4"/>
        <v/>
      </c>
      <c r="AA45" s="52">
        <f t="shared" si="11"/>
        <v>0</v>
      </c>
      <c r="AC45" s="52" t="s">
        <v>2113</v>
      </c>
      <c r="AD45" s="925">
        <f>TalentBonus-COUNTIF(L$7:L$1317,AC45)</f>
        <v>0</v>
      </c>
      <c r="AF45" s="52" t="str">
        <f t="shared" si="19"/>
        <v/>
      </c>
    </row>
    <row r="46" spans="2:32" ht="26">
      <c r="B46" s="1532" t="str">
        <f t="shared" si="6"/>
        <v>Unseen Eyes</v>
      </c>
      <c r="C46" s="1795"/>
      <c r="D46" s="920"/>
      <c r="E46" s="61"/>
      <c r="F46" s="61"/>
      <c r="G46" s="61" t="s">
        <v>2587</v>
      </c>
      <c r="H46" s="61"/>
      <c r="I46" s="61"/>
      <c r="J46" s="1687" t="s">
        <v>4742</v>
      </c>
      <c r="K46" s="63" t="str">
        <f>IF(AND(Q45="Yes",L44&lt;&gt;""),"Yes","No")</f>
        <v>No</v>
      </c>
      <c r="L46" s="76"/>
      <c r="M46" s="63">
        <f t="shared" si="0"/>
        <v>0</v>
      </c>
      <c r="N46" s="63" t="s">
        <v>2559</v>
      </c>
      <c r="O46" s="64"/>
      <c r="P46" s="660" t="str">
        <f t="shared" si="7"/>
        <v/>
      </c>
      <c r="Q46" s="52" t="str">
        <f t="shared" si="12"/>
        <v>No</v>
      </c>
      <c r="R46" s="1574" t="str">
        <f t="shared" si="1"/>
        <v/>
      </c>
      <c r="S46" s="52" t="str">
        <f t="shared" si="8"/>
        <v/>
      </c>
      <c r="T46" s="52" t="str">
        <f t="shared" si="9"/>
        <v/>
      </c>
      <c r="U46" s="52" t="str">
        <f t="shared" si="2"/>
        <v/>
      </c>
      <c r="V46" s="52" t="str">
        <f t="shared" si="10"/>
        <v/>
      </c>
      <c r="W46" s="1578"/>
      <c r="X46" s="52" t="str">
        <f t="shared" si="3"/>
        <v/>
      </c>
      <c r="Y46" s="52" t="str">
        <f t="shared" si="4"/>
        <v/>
      </c>
      <c r="AA46" s="52">
        <f t="shared" si="11"/>
        <v>0</v>
      </c>
      <c r="AC46" s="52" t="s">
        <v>6757</v>
      </c>
      <c r="AD46" s="925">
        <f>INDEX(ClassTable,MATCH(AC46,ClassList,0),26)-COUNTIF(L$7:L$1317,AC46)</f>
        <v>0</v>
      </c>
      <c r="AF46" s="52" t="str">
        <f>IF(AD46&gt;0,AC46&amp;";"&amp;AF48,AF48)</f>
        <v/>
      </c>
    </row>
    <row r="47" spans="2:32">
      <c r="B47" s="1532" t="str">
        <f t="shared" si="6"/>
        <v>Dampen Presence</v>
      </c>
      <c r="C47" s="1795"/>
      <c r="D47" s="920"/>
      <c r="E47" s="61" t="s">
        <v>2588</v>
      </c>
      <c r="F47" s="61"/>
      <c r="G47" s="61"/>
      <c r="H47" s="61"/>
      <c r="I47" s="61"/>
      <c r="J47" s="1687" t="s">
        <v>4743</v>
      </c>
      <c r="K47" s="63" t="str">
        <f t="shared" si="18"/>
        <v>No</v>
      </c>
      <c r="L47" s="76"/>
      <c r="M47" s="63">
        <f t="shared" si="0"/>
        <v>0</v>
      </c>
      <c r="N47" s="63" t="s">
        <v>2555</v>
      </c>
      <c r="O47" s="64"/>
      <c r="P47" s="660" t="str">
        <f t="shared" si="7"/>
        <v/>
      </c>
      <c r="Q47" s="52" t="str">
        <f t="shared" si="12"/>
        <v>No</v>
      </c>
      <c r="R47" s="1574" t="str">
        <f t="shared" si="1"/>
        <v/>
      </c>
      <c r="S47" s="52" t="str">
        <f t="shared" si="8"/>
        <v/>
      </c>
      <c r="T47" s="52" t="str">
        <f t="shared" si="9"/>
        <v/>
      </c>
      <c r="U47" s="52" t="str">
        <f t="shared" si="2"/>
        <v/>
      </c>
      <c r="V47" s="52" t="str">
        <f t="shared" si="10"/>
        <v/>
      </c>
      <c r="W47" s="1578"/>
      <c r="X47" s="52" t="str">
        <f t="shared" si="3"/>
        <v/>
      </c>
      <c r="Y47" s="52" t="str">
        <f t="shared" si="4"/>
        <v/>
      </c>
      <c r="AA47" s="52">
        <f t="shared" si="11"/>
        <v>0</v>
      </c>
      <c r="AD47" s="52"/>
    </row>
    <row r="48" spans="2:32" ht="26">
      <c r="B48" s="1532" t="str">
        <f t="shared" si="6"/>
        <v>Dark Side Sense</v>
      </c>
      <c r="C48" s="1795"/>
      <c r="D48" s="920"/>
      <c r="E48" s="61" t="s">
        <v>2589</v>
      </c>
      <c r="F48" s="61"/>
      <c r="G48" s="61"/>
      <c r="H48" s="61"/>
      <c r="I48" s="61"/>
      <c r="J48" s="1687" t="s">
        <v>4744</v>
      </c>
      <c r="K48" s="63" t="str">
        <f t="shared" si="18"/>
        <v>No</v>
      </c>
      <c r="L48" s="76"/>
      <c r="M48" s="63">
        <f t="shared" si="0"/>
        <v>0</v>
      </c>
      <c r="N48" s="63">
        <v>40</v>
      </c>
      <c r="O48" s="64"/>
      <c r="P48" s="660" t="str">
        <f t="shared" si="7"/>
        <v/>
      </c>
      <c r="Q48" s="52" t="str">
        <f t="shared" si="12"/>
        <v>No</v>
      </c>
      <c r="R48" s="1574" t="str">
        <f t="shared" si="1"/>
        <v/>
      </c>
      <c r="S48" s="52" t="str">
        <f t="shared" si="8"/>
        <v/>
      </c>
      <c r="T48" s="52" t="str">
        <f t="shared" si="9"/>
        <v/>
      </c>
      <c r="U48" s="52" t="str">
        <f t="shared" si="2"/>
        <v/>
      </c>
      <c r="V48" s="52" t="str">
        <f t="shared" si="10"/>
        <v/>
      </c>
      <c r="W48" s="1578"/>
      <c r="X48" s="52" t="str">
        <f t="shared" si="3"/>
        <v/>
      </c>
      <c r="Y48" s="52" t="str">
        <f t="shared" si="4"/>
        <v/>
      </c>
      <c r="AA48" s="52">
        <f t="shared" si="11"/>
        <v>0</v>
      </c>
      <c r="AD48" s="52"/>
      <c r="AF48" s="509" t="s">
        <v>195</v>
      </c>
    </row>
    <row r="49" spans="2:30">
      <c r="B49" s="1532" t="str">
        <f t="shared" si="6"/>
        <v>Dark Side Bane</v>
      </c>
      <c r="C49" s="1795"/>
      <c r="D49" s="920"/>
      <c r="E49" s="61"/>
      <c r="F49" s="61" t="s">
        <v>2590</v>
      </c>
      <c r="G49" s="61"/>
      <c r="H49" s="61"/>
      <c r="I49" s="61"/>
      <c r="J49" s="1687" t="s">
        <v>4745</v>
      </c>
      <c r="K49" s="63" t="str">
        <f>IF(AND(Q48="Yes",L48&lt;&gt;""),"Yes","No")</f>
        <v>No</v>
      </c>
      <c r="L49" s="76"/>
      <c r="M49" s="63">
        <f t="shared" si="0"/>
        <v>0</v>
      </c>
      <c r="N49" s="63" t="s">
        <v>2574</v>
      </c>
      <c r="O49" s="64"/>
      <c r="P49" s="660" t="str">
        <f t="shared" si="7"/>
        <v/>
      </c>
      <c r="Q49" s="52" t="str">
        <f t="shared" si="12"/>
        <v>No</v>
      </c>
      <c r="R49" s="1574" t="str">
        <f t="shared" si="1"/>
        <v/>
      </c>
      <c r="S49" s="52" t="str">
        <f t="shared" si="8"/>
        <v/>
      </c>
      <c r="T49" s="52" t="str">
        <f t="shared" si="9"/>
        <v/>
      </c>
      <c r="U49" s="52" t="str">
        <f t="shared" si="2"/>
        <v/>
      </c>
      <c r="V49" s="52" t="str">
        <f t="shared" si="10"/>
        <v/>
      </c>
      <c r="W49" s="1578"/>
      <c r="X49" s="52" t="str">
        <f t="shared" si="3"/>
        <v/>
      </c>
      <c r="Y49" s="52" t="str">
        <f t="shared" si="4"/>
        <v/>
      </c>
      <c r="AA49" s="52">
        <f t="shared" si="11"/>
        <v>0</v>
      </c>
      <c r="AD49" s="52"/>
    </row>
    <row r="50" spans="2:30">
      <c r="B50" s="1532" t="str">
        <f t="shared" si="6"/>
        <v>Dark Side Scourge</v>
      </c>
      <c r="C50" s="1795"/>
      <c r="D50" s="920"/>
      <c r="E50" s="61"/>
      <c r="F50" s="61" t="s">
        <v>2591</v>
      </c>
      <c r="G50" s="61"/>
      <c r="H50" s="61"/>
      <c r="I50" s="61"/>
      <c r="J50" s="1687" t="s">
        <v>4746</v>
      </c>
      <c r="K50" s="63" t="str">
        <f>IF(AND(Q49="Yes",L48&lt;&gt;""),"Yes","No")</f>
        <v>No</v>
      </c>
      <c r="L50" s="76"/>
      <c r="M50" s="63">
        <f t="shared" si="0"/>
        <v>0</v>
      </c>
      <c r="N50" s="63">
        <v>40</v>
      </c>
      <c r="O50" s="64"/>
      <c r="P50" s="660" t="str">
        <f t="shared" si="7"/>
        <v/>
      </c>
      <c r="Q50" s="52" t="str">
        <f t="shared" si="12"/>
        <v>No</v>
      </c>
      <c r="R50" s="1574" t="str">
        <f t="shared" si="1"/>
        <v/>
      </c>
      <c r="S50" s="52" t="str">
        <f t="shared" si="8"/>
        <v/>
      </c>
      <c r="T50" s="52" t="str">
        <f t="shared" si="9"/>
        <v/>
      </c>
      <c r="U50" s="52" t="str">
        <f t="shared" si="2"/>
        <v/>
      </c>
      <c r="V50" s="52" t="str">
        <f t="shared" si="10"/>
        <v/>
      </c>
      <c r="W50" s="1578"/>
      <c r="X50" s="52" t="str">
        <f t="shared" si="3"/>
        <v/>
      </c>
      <c r="Y50" s="52" t="str">
        <f t="shared" si="4"/>
        <v/>
      </c>
      <c r="AA50" s="52">
        <f t="shared" si="11"/>
        <v>0</v>
      </c>
      <c r="AD50" s="52"/>
    </row>
    <row r="51" spans="2:30">
      <c r="B51" s="1532" t="str">
        <f t="shared" si="6"/>
        <v>Resist the Dark Side</v>
      </c>
      <c r="C51" s="1795"/>
      <c r="D51" s="920"/>
      <c r="E51" s="61"/>
      <c r="F51" s="61" t="s">
        <v>2592</v>
      </c>
      <c r="G51" s="61"/>
      <c r="H51" s="61"/>
      <c r="I51" s="61"/>
      <c r="J51" s="1687" t="s">
        <v>4747</v>
      </c>
      <c r="K51" s="63" t="str">
        <f>IF(AND(Q50="Yes",L48&lt;&gt;""),"Yes","No")</f>
        <v>No</v>
      </c>
      <c r="L51" s="76"/>
      <c r="M51" s="63">
        <f t="shared" si="0"/>
        <v>0</v>
      </c>
      <c r="N51" s="63">
        <v>41</v>
      </c>
      <c r="O51" s="64"/>
      <c r="P51" s="660" t="str">
        <f t="shared" si="7"/>
        <v/>
      </c>
      <c r="Q51" s="52" t="str">
        <f t="shared" si="12"/>
        <v>No</v>
      </c>
      <c r="R51" s="1574" t="str">
        <f t="shared" si="1"/>
        <v/>
      </c>
      <c r="S51" s="52" t="str">
        <f t="shared" si="8"/>
        <v/>
      </c>
      <c r="T51" s="52" t="str">
        <f t="shared" si="9"/>
        <v/>
      </c>
      <c r="U51" s="52" t="str">
        <f t="shared" si="2"/>
        <v/>
      </c>
      <c r="V51" s="52" t="str">
        <f t="shared" si="10"/>
        <v/>
      </c>
      <c r="W51" s="1578"/>
      <c r="X51" s="52" t="str">
        <f t="shared" si="3"/>
        <v/>
      </c>
      <c r="Y51" s="52" t="str">
        <f t="shared" si="4"/>
        <v/>
      </c>
      <c r="AA51" s="52">
        <f t="shared" ref="AA51:AA57" si="21">IF(U51&lt;&gt;"",IF(Z51="Defenses",U51&amp;IF(AA52&lt;&gt;"",", ",""),"")&amp;AA52,AA52)</f>
        <v>0</v>
      </c>
      <c r="AD51" s="52"/>
    </row>
    <row r="52" spans="2:30" ht="26">
      <c r="B52" s="1532" t="str">
        <f t="shared" si="6"/>
        <v>Gradual Resistance</v>
      </c>
      <c r="C52" s="1795"/>
      <c r="D52" s="920"/>
      <c r="E52" s="61" t="s">
        <v>6359</v>
      </c>
      <c r="F52" s="61"/>
      <c r="G52" s="61"/>
      <c r="H52" s="61"/>
      <c r="I52" s="61"/>
      <c r="J52" s="1687" t="s">
        <v>6360</v>
      </c>
      <c r="K52" s="63" t="str">
        <f>IF(Q52="Yes","Yes","No")</f>
        <v>No</v>
      </c>
      <c r="L52" s="76"/>
      <c r="M52" s="63">
        <f>IF(L52&lt;&gt;"",1,0)</f>
        <v>0</v>
      </c>
      <c r="N52" s="63" t="s">
        <v>6482</v>
      </c>
      <c r="O52" s="64"/>
      <c r="P52" s="660" t="str">
        <f t="shared" si="7"/>
        <v/>
      </c>
      <c r="Q52" s="52" t="str">
        <f t="shared" si="12"/>
        <v>No</v>
      </c>
      <c r="R52" s="1574" t="str">
        <f t="shared" si="1"/>
        <v/>
      </c>
      <c r="S52" s="52" t="str">
        <f t="shared" si="8"/>
        <v/>
      </c>
      <c r="T52" s="52" t="str">
        <f t="shared" si="9"/>
        <v/>
      </c>
      <c r="U52" s="52" t="str">
        <f t="shared" si="2"/>
        <v/>
      </c>
      <c r="V52" s="52" t="str">
        <f t="shared" si="10"/>
        <v/>
      </c>
      <c r="W52" s="1578"/>
      <c r="X52" s="52" t="str">
        <f t="shared" si="3"/>
        <v/>
      </c>
      <c r="Y52" s="52" t="str">
        <f t="shared" si="4"/>
        <v/>
      </c>
      <c r="AA52" s="52">
        <f t="shared" si="21"/>
        <v>0</v>
      </c>
      <c r="AC52" s="660"/>
      <c r="AD52" s="925"/>
    </row>
    <row r="53" spans="2:30">
      <c r="B53" s="1532" t="str">
        <f t="shared" si="6"/>
        <v>Master of the Great Hunt</v>
      </c>
      <c r="C53" s="1795"/>
      <c r="D53" s="920"/>
      <c r="E53" s="61" t="s">
        <v>6209</v>
      </c>
      <c r="F53" s="61"/>
      <c r="G53" s="61"/>
      <c r="H53" s="61"/>
      <c r="I53" s="61"/>
      <c r="J53" s="1687" t="s">
        <v>6210</v>
      </c>
      <c r="K53" s="63" t="str">
        <f t="shared" si="18"/>
        <v>No</v>
      </c>
      <c r="L53" s="76"/>
      <c r="M53" s="63">
        <f t="shared" si="0"/>
        <v>0</v>
      </c>
      <c r="N53" s="63" t="s">
        <v>6202</v>
      </c>
      <c r="O53" s="64"/>
      <c r="P53" s="660" t="str">
        <f t="shared" si="7"/>
        <v/>
      </c>
      <c r="Q53" s="52" t="str">
        <f t="shared" si="12"/>
        <v>No</v>
      </c>
      <c r="R53" s="1574" t="str">
        <f t="shared" si="1"/>
        <v/>
      </c>
      <c r="S53" s="52" t="str">
        <f t="shared" si="8"/>
        <v/>
      </c>
      <c r="T53" s="52" t="str">
        <f t="shared" si="9"/>
        <v/>
      </c>
      <c r="U53" s="52" t="str">
        <f t="shared" si="2"/>
        <v/>
      </c>
      <c r="V53" s="52" t="str">
        <f t="shared" si="10"/>
        <v/>
      </c>
      <c r="W53" s="1578"/>
      <c r="X53" s="52" t="str">
        <f t="shared" si="3"/>
        <v/>
      </c>
      <c r="Y53" s="52" t="str">
        <f t="shared" si="4"/>
        <v/>
      </c>
      <c r="AA53" s="52">
        <f t="shared" si="21"/>
        <v>0</v>
      </c>
      <c r="AC53" s="660"/>
      <c r="AD53" s="925"/>
    </row>
    <row r="54" spans="2:30" ht="29">
      <c r="B54" s="1532" t="str">
        <f t="shared" si="6"/>
        <v>Prime Targets</v>
      </c>
      <c r="C54" s="1795"/>
      <c r="D54" s="920"/>
      <c r="E54" s="1393" t="s">
        <v>6815</v>
      </c>
      <c r="F54" s="1364"/>
      <c r="G54" s="1364"/>
      <c r="H54" s="1364"/>
      <c r="I54" s="1364"/>
      <c r="J54" s="1688" t="s">
        <v>6816</v>
      </c>
      <c r="K54" s="63" t="str">
        <f>IF(Q54="Yes","Yes","No")</f>
        <v>No</v>
      </c>
      <c r="L54" s="76"/>
      <c r="M54" s="63">
        <f>IF(L54&lt;&gt;"",1,0)</f>
        <v>0</v>
      </c>
      <c r="N54" s="63" t="s">
        <v>6814</v>
      </c>
      <c r="O54" s="64"/>
      <c r="P54" s="660" t="str">
        <f t="shared" si="7"/>
        <v/>
      </c>
      <c r="Q54" s="52" t="str">
        <f t="shared" si="12"/>
        <v>No</v>
      </c>
      <c r="R54" s="1574" t="str">
        <f t="shared" si="1"/>
        <v/>
      </c>
      <c r="S54" s="52" t="str">
        <f t="shared" si="8"/>
        <v/>
      </c>
      <c r="T54" s="52" t="str">
        <f t="shared" si="9"/>
        <v/>
      </c>
      <c r="U54" s="52" t="str">
        <f t="shared" si="2"/>
        <v/>
      </c>
      <c r="V54" s="52" t="str">
        <f t="shared" si="10"/>
        <v/>
      </c>
      <c r="W54" s="1578"/>
      <c r="X54" s="52" t="str">
        <f t="shared" si="3"/>
        <v/>
      </c>
      <c r="Y54" s="52" t="str">
        <f t="shared" si="4"/>
        <v/>
      </c>
      <c r="AA54" s="52">
        <f t="shared" si="21"/>
        <v>0</v>
      </c>
      <c r="AC54" s="660"/>
      <c r="AD54" s="925"/>
    </row>
    <row r="55" spans="2:30" ht="26">
      <c r="B55" s="1532" t="str">
        <f t="shared" si="6"/>
        <v>Reap Retribution</v>
      </c>
      <c r="C55" s="1795"/>
      <c r="D55" s="920"/>
      <c r="E55" s="61" t="s">
        <v>6361</v>
      </c>
      <c r="F55" s="61"/>
      <c r="G55" s="61"/>
      <c r="H55" s="61"/>
      <c r="I55" s="61"/>
      <c r="J55" s="1687" t="s">
        <v>6362</v>
      </c>
      <c r="K55" s="63" t="str">
        <f>IF(Q55="Yes","Yes","No")</f>
        <v>No</v>
      </c>
      <c r="L55" s="76"/>
      <c r="M55" s="63">
        <f>IF(L55&lt;&gt;"",1,0)</f>
        <v>0</v>
      </c>
      <c r="N55" s="63" t="s">
        <v>6482</v>
      </c>
      <c r="O55" s="64"/>
      <c r="P55" s="660" t="str">
        <f t="shared" si="7"/>
        <v/>
      </c>
      <c r="Q55" s="52" t="str">
        <f t="shared" si="12"/>
        <v>No</v>
      </c>
      <c r="R55" s="1574" t="str">
        <f t="shared" si="1"/>
        <v/>
      </c>
      <c r="S55" s="52" t="str">
        <f t="shared" si="8"/>
        <v/>
      </c>
      <c r="T55" s="52" t="str">
        <f t="shared" si="9"/>
        <v/>
      </c>
      <c r="U55" s="52" t="str">
        <f t="shared" si="2"/>
        <v/>
      </c>
      <c r="V55" s="52" t="str">
        <f t="shared" si="10"/>
        <v/>
      </c>
      <c r="W55" s="1578"/>
      <c r="X55" s="52" t="str">
        <f t="shared" si="3"/>
        <v/>
      </c>
      <c r="Y55" s="52" t="str">
        <f t="shared" si="4"/>
        <v/>
      </c>
      <c r="AA55" s="52">
        <f>IF(U55&lt;&gt;"",IF(Z55="Defenses",U55&amp;IF(AA57&lt;&gt;"",", ",""),"")&amp;AA57,AA57)</f>
        <v>0</v>
      </c>
      <c r="AC55" s="660"/>
      <c r="AD55" s="925"/>
    </row>
    <row r="56" spans="2:30">
      <c r="B56" s="1575"/>
      <c r="C56" s="1795"/>
      <c r="D56" s="920"/>
      <c r="E56" s="61" t="s">
        <v>8375</v>
      </c>
      <c r="F56" s="61"/>
      <c r="G56" s="61"/>
      <c r="H56" s="61"/>
      <c r="I56" s="61"/>
      <c r="J56" s="1687" t="s">
        <v>8376</v>
      </c>
      <c r="K56" s="63" t="str">
        <f>IF(Q56="Yes","Yes","No")</f>
        <v>No</v>
      </c>
      <c r="L56" s="76"/>
      <c r="M56" s="63">
        <f>IF(L56&lt;&gt;"",1,0)</f>
        <v>0</v>
      </c>
      <c r="N56" s="63" t="s">
        <v>8377</v>
      </c>
      <c r="O56" s="64"/>
      <c r="P56" s="660" t="str">
        <f t="shared" si="7"/>
        <v/>
      </c>
      <c r="Q56" s="52" t="str">
        <f t="shared" si="12"/>
        <v>No</v>
      </c>
      <c r="R56" s="1574" t="str">
        <f t="shared" si="1"/>
        <v/>
      </c>
      <c r="S56" s="52" t="str">
        <f t="shared" si="8"/>
        <v/>
      </c>
      <c r="T56" s="52" t="str">
        <f t="shared" si="9"/>
        <v/>
      </c>
      <c r="U56" s="52" t="str">
        <f t="shared" si="2"/>
        <v/>
      </c>
      <c r="V56" s="52" t="str">
        <f t="shared" si="10"/>
        <v/>
      </c>
      <c r="W56" s="1578"/>
      <c r="X56" s="52" t="str">
        <f t="shared" si="3"/>
        <v/>
      </c>
      <c r="Y56" s="52" t="str">
        <f t="shared" si="4"/>
        <v/>
      </c>
      <c r="AC56" s="660"/>
      <c r="AD56" s="925"/>
    </row>
    <row r="57" spans="2:30" ht="39">
      <c r="B57" s="1532" t="str">
        <f t="shared" si="6"/>
        <v>Sentinel Strike</v>
      </c>
      <c r="C57" s="1795"/>
      <c r="D57" s="920"/>
      <c r="E57" s="61" t="s">
        <v>2593</v>
      </c>
      <c r="F57" s="61"/>
      <c r="G57" s="61"/>
      <c r="H57" s="61"/>
      <c r="I57" s="61"/>
      <c r="J57" s="1687" t="s">
        <v>4748</v>
      </c>
      <c r="K57" s="63" t="str">
        <f t="shared" si="18"/>
        <v>No</v>
      </c>
      <c r="L57" s="76"/>
      <c r="M57" s="63">
        <f>IF(L57&lt;&gt;"",L57,0)</f>
        <v>0</v>
      </c>
      <c r="N57" s="63" t="s">
        <v>2564</v>
      </c>
      <c r="O57" s="64"/>
      <c r="P57" s="660" t="str">
        <f t="shared" si="7"/>
        <v/>
      </c>
      <c r="Q57" s="52" t="str">
        <f>Q55</f>
        <v>No</v>
      </c>
      <c r="R57" s="1574" t="str">
        <f>IF(L57&lt;&gt;"",E57&amp;F57&amp;G57&amp;IF(P57&lt;&gt;""," ("&amp;P57&amp;")",""),"")&amp;IF(M57&gt;1," ("&amp;M57&amp;")","")</f>
        <v/>
      </c>
      <c r="S57" s="52" t="str">
        <f t="shared" si="8"/>
        <v/>
      </c>
      <c r="T57" s="52" t="str">
        <f t="shared" si="9"/>
        <v/>
      </c>
      <c r="U57" s="52" t="str">
        <f t="shared" si="2"/>
        <v/>
      </c>
      <c r="V57" s="52" t="str">
        <f t="shared" si="10"/>
        <v/>
      </c>
      <c r="W57" s="1578"/>
      <c r="X57" s="52" t="str">
        <f t="shared" si="3"/>
        <v/>
      </c>
      <c r="Y57" s="52" t="str">
        <f t="shared" si="4"/>
        <v/>
      </c>
      <c r="AA57" s="52">
        <f t="shared" si="21"/>
        <v>0</v>
      </c>
      <c r="AD57" s="52"/>
    </row>
    <row r="58" spans="2:30">
      <c r="B58" s="1532" t="str">
        <f t="shared" si="6"/>
        <v>Dark Retaliation</v>
      </c>
      <c r="C58" s="1795"/>
      <c r="D58" s="920"/>
      <c r="E58" s="61"/>
      <c r="F58" s="61" t="s">
        <v>2594</v>
      </c>
      <c r="G58" s="61"/>
      <c r="H58" s="61"/>
      <c r="I58" s="61"/>
      <c r="J58" s="1687" t="s">
        <v>4749</v>
      </c>
      <c r="K58" s="63" t="str">
        <f>IF(AND(Q57="Yes",L57&lt;&gt;""),"Yes","No")</f>
        <v>No</v>
      </c>
      <c r="L58" s="76"/>
      <c r="M58" s="63">
        <f t="shared" si="0"/>
        <v>0</v>
      </c>
      <c r="N58" s="63" t="s">
        <v>2564</v>
      </c>
      <c r="O58" s="64"/>
      <c r="P58" s="660" t="str">
        <f t="shared" si="7"/>
        <v/>
      </c>
      <c r="Q58" s="52" t="str">
        <f t="shared" si="12"/>
        <v>No</v>
      </c>
      <c r="R58" s="1574" t="str">
        <f t="shared" ref="R58:R121" si="22">IF(L58&lt;&gt;"",E58&amp;F58&amp;G58&amp;IF(P58&lt;&gt;""," ("&amp;P58&amp;")",""),"")&amp;IF(M58&gt;1," ("&amp;M58&amp;")","")</f>
        <v/>
      </c>
      <c r="S58" s="52" t="str">
        <f t="shared" si="8"/>
        <v/>
      </c>
      <c r="T58" s="52" t="str">
        <f t="shared" si="9"/>
        <v/>
      </c>
      <c r="U58" s="52" t="str">
        <f t="shared" si="2"/>
        <v/>
      </c>
      <c r="V58" s="52" t="str">
        <f t="shared" si="10"/>
        <v/>
      </c>
      <c r="W58" s="1578"/>
      <c r="X58" s="52" t="str">
        <f t="shared" si="3"/>
        <v/>
      </c>
      <c r="Y58" s="52" t="str">
        <f t="shared" si="4"/>
        <v/>
      </c>
      <c r="AA58" s="52">
        <f t="shared" si="11"/>
        <v>0</v>
      </c>
      <c r="AD58" s="52"/>
    </row>
    <row r="59" spans="2:30" ht="26">
      <c r="B59" s="1532" t="str">
        <f t="shared" si="6"/>
        <v>Sentinel's Gambit</v>
      </c>
      <c r="C59" s="1795"/>
      <c r="D59" s="920"/>
      <c r="E59" s="61" t="s">
        <v>2595</v>
      </c>
      <c r="F59" s="61"/>
      <c r="G59" s="61"/>
      <c r="H59" s="61"/>
      <c r="I59" s="61"/>
      <c r="J59" s="1687" t="s">
        <v>4750</v>
      </c>
      <c r="K59" s="63" t="str">
        <f t="shared" si="18"/>
        <v>No</v>
      </c>
      <c r="L59" s="76"/>
      <c r="M59" s="63">
        <f t="shared" si="0"/>
        <v>0</v>
      </c>
      <c r="N59" s="63" t="s">
        <v>2564</v>
      </c>
      <c r="O59" s="64"/>
      <c r="P59" s="660" t="str">
        <f t="shared" si="7"/>
        <v/>
      </c>
      <c r="Q59" s="52" t="str">
        <f t="shared" si="12"/>
        <v>No</v>
      </c>
      <c r="R59" s="1574" t="str">
        <f t="shared" si="22"/>
        <v/>
      </c>
      <c r="S59" s="52" t="str">
        <f t="shared" si="8"/>
        <v/>
      </c>
      <c r="T59" s="52" t="str">
        <f t="shared" si="9"/>
        <v/>
      </c>
      <c r="U59" s="52" t="str">
        <f t="shared" si="2"/>
        <v/>
      </c>
      <c r="V59" s="52" t="str">
        <f t="shared" si="10"/>
        <v/>
      </c>
      <c r="W59" s="1578"/>
      <c r="X59" s="52" t="str">
        <f t="shared" si="3"/>
        <v/>
      </c>
      <c r="Y59" s="52" t="str">
        <f t="shared" si="4"/>
        <v/>
      </c>
      <c r="AA59" s="52">
        <f t="shared" si="11"/>
        <v>0</v>
      </c>
      <c r="AD59" s="52"/>
    </row>
    <row r="60" spans="2:30">
      <c r="B60" s="1532" t="str">
        <f t="shared" si="6"/>
        <v>Sentinel's Observation</v>
      </c>
      <c r="C60" s="1795"/>
      <c r="D60" s="920"/>
      <c r="E60" s="61" t="s">
        <v>2596</v>
      </c>
      <c r="F60" s="61"/>
      <c r="G60" s="61"/>
      <c r="H60" s="61"/>
      <c r="I60" s="61"/>
      <c r="J60" s="1687" t="s">
        <v>4751</v>
      </c>
      <c r="K60" s="63" t="str">
        <f t="shared" si="18"/>
        <v>No</v>
      </c>
      <c r="L60" s="76"/>
      <c r="M60" s="63">
        <f t="shared" si="0"/>
        <v>0</v>
      </c>
      <c r="N60" s="63" t="s">
        <v>2559</v>
      </c>
      <c r="O60" s="64"/>
      <c r="P60" s="660" t="str">
        <f t="shared" si="7"/>
        <v/>
      </c>
      <c r="Q60" s="52" t="str">
        <f t="shared" si="12"/>
        <v>No</v>
      </c>
      <c r="R60" s="1574" t="str">
        <f t="shared" si="22"/>
        <v/>
      </c>
      <c r="S60" s="52" t="str">
        <f t="shared" si="8"/>
        <v/>
      </c>
      <c r="T60" s="52" t="str">
        <f t="shared" si="9"/>
        <v/>
      </c>
      <c r="U60" s="52" t="str">
        <f t="shared" si="2"/>
        <v/>
      </c>
      <c r="V60" s="52" t="str">
        <f t="shared" si="10"/>
        <v/>
      </c>
      <c r="W60" s="1578"/>
      <c r="X60" s="52" t="str">
        <f t="shared" si="3"/>
        <v/>
      </c>
      <c r="Y60" s="52" t="str">
        <f t="shared" si="4"/>
        <v/>
      </c>
      <c r="AA60" s="52">
        <f t="shared" si="11"/>
        <v>0</v>
      </c>
      <c r="AD60" s="52"/>
    </row>
    <row r="61" spans="2:30">
      <c r="B61" s="1532" t="str">
        <f t="shared" si="6"/>
        <v>Steel Resolve</v>
      </c>
      <c r="C61" s="1795"/>
      <c r="D61" s="920"/>
      <c r="E61" s="61" t="s">
        <v>2597</v>
      </c>
      <c r="F61" s="61"/>
      <c r="G61" s="61"/>
      <c r="H61" s="61"/>
      <c r="I61" s="61"/>
      <c r="J61" s="1687" t="s">
        <v>4752</v>
      </c>
      <c r="K61" s="63" t="str">
        <f t="shared" si="18"/>
        <v>No</v>
      </c>
      <c r="L61" s="76"/>
      <c r="M61" s="63">
        <f t="shared" si="0"/>
        <v>0</v>
      </c>
      <c r="N61" s="63" t="s">
        <v>2555</v>
      </c>
      <c r="O61" s="64"/>
      <c r="P61" s="660" t="str">
        <f t="shared" si="7"/>
        <v/>
      </c>
      <c r="Q61" s="52" t="str">
        <f t="shared" si="12"/>
        <v>No</v>
      </c>
      <c r="R61" s="1574" t="str">
        <f t="shared" si="22"/>
        <v/>
      </c>
      <c r="S61" s="52" t="str">
        <f t="shared" si="8"/>
        <v/>
      </c>
      <c r="T61" s="52" t="str">
        <f t="shared" si="9"/>
        <v/>
      </c>
      <c r="U61" s="52" t="str">
        <f t="shared" si="2"/>
        <v/>
      </c>
      <c r="V61" s="52" t="str">
        <f t="shared" si="10"/>
        <v/>
      </c>
      <c r="W61" s="1578"/>
      <c r="X61" s="52" t="str">
        <f t="shared" si="3"/>
        <v/>
      </c>
      <c r="Y61" s="52" t="str">
        <f t="shared" si="4"/>
        <v/>
      </c>
      <c r="AA61" s="52">
        <f t="shared" si="11"/>
        <v>0</v>
      </c>
      <c r="AD61" s="52"/>
    </row>
    <row r="62" spans="2:30" ht="26">
      <c r="B62" s="1532" t="str">
        <f t="shared" si="6"/>
        <v>Block</v>
      </c>
      <c r="C62" s="1795"/>
      <c r="D62" s="920" t="s">
        <v>2598</v>
      </c>
      <c r="E62" s="61" t="s">
        <v>2599</v>
      </c>
      <c r="F62" s="61"/>
      <c r="G62" s="61"/>
      <c r="H62" s="61"/>
      <c r="I62" s="61"/>
      <c r="J62" s="1687" t="s">
        <v>4753</v>
      </c>
      <c r="K62" s="63" t="str">
        <f t="shared" si="18"/>
        <v>No</v>
      </c>
      <c r="L62" s="76"/>
      <c r="M62" s="63">
        <f t="shared" si="0"/>
        <v>0</v>
      </c>
      <c r="N62" s="63">
        <v>41</v>
      </c>
      <c r="O62" s="64"/>
      <c r="P62" s="660" t="str">
        <f t="shared" si="7"/>
        <v/>
      </c>
      <c r="Q62" s="52" t="str">
        <f>IF(OR($AD$45&gt;0,$AD$7&gt;0,$AD$41&gt;0,$AD$19&gt;0,$AD$21&gt;0),"Yes","No")</f>
        <v>No</v>
      </c>
      <c r="R62" s="1574" t="str">
        <f t="shared" si="22"/>
        <v/>
      </c>
      <c r="S62" s="52" t="str">
        <f t="shared" si="8"/>
        <v/>
      </c>
      <c r="T62" s="52" t="str">
        <f t="shared" si="9"/>
        <v/>
      </c>
      <c r="U62" s="52" t="str">
        <f t="shared" si="2"/>
        <v/>
      </c>
      <c r="V62" s="52" t="str">
        <f t="shared" si="10"/>
        <v/>
      </c>
      <c r="W62" s="1578"/>
      <c r="X62" s="52" t="str">
        <f t="shared" si="3"/>
        <v/>
      </c>
      <c r="Y62" s="52" t="str">
        <f t="shared" si="4"/>
        <v/>
      </c>
      <c r="Z62" s="54" t="s">
        <v>5688</v>
      </c>
      <c r="AA62" s="52">
        <f t="shared" si="11"/>
        <v>0</v>
      </c>
      <c r="AD62" s="52"/>
    </row>
    <row r="63" spans="2:30">
      <c r="B63" s="1532" t="str">
        <f t="shared" si="6"/>
        <v>Riposte</v>
      </c>
      <c r="C63" s="1795"/>
      <c r="D63" s="920"/>
      <c r="E63" s="61"/>
      <c r="F63" s="61" t="s">
        <v>2600</v>
      </c>
      <c r="G63" s="61"/>
      <c r="H63" s="61"/>
      <c r="I63" s="61"/>
      <c r="J63" s="1687" t="s">
        <v>4754</v>
      </c>
      <c r="K63" s="63" t="str">
        <f>IF(AND(Q62="Yes",L62&lt;&gt;""),"Yes","No")</f>
        <v>No</v>
      </c>
      <c r="L63" s="76"/>
      <c r="M63" s="63">
        <f t="shared" si="0"/>
        <v>0</v>
      </c>
      <c r="N63" s="63" t="s">
        <v>2564</v>
      </c>
      <c r="O63" s="64"/>
      <c r="P63" s="660" t="str">
        <f t="shared" si="7"/>
        <v/>
      </c>
      <c r="Q63" s="52" t="str">
        <f t="shared" si="12"/>
        <v>No</v>
      </c>
      <c r="R63" s="1574" t="str">
        <f t="shared" si="22"/>
        <v/>
      </c>
      <c r="S63" s="52" t="str">
        <f t="shared" si="8"/>
        <v/>
      </c>
      <c r="T63" s="52" t="str">
        <f t="shared" si="9"/>
        <v/>
      </c>
      <c r="U63" s="52" t="str">
        <f t="shared" si="2"/>
        <v/>
      </c>
      <c r="V63" s="52" t="str">
        <f t="shared" si="10"/>
        <v/>
      </c>
      <c r="W63" s="1578"/>
      <c r="X63" s="52" t="str">
        <f t="shared" si="3"/>
        <v/>
      </c>
      <c r="Y63" s="52" t="str">
        <f t="shared" si="4"/>
        <v/>
      </c>
      <c r="AA63" s="52">
        <f t="shared" si="11"/>
        <v>0</v>
      </c>
      <c r="AD63" s="52"/>
    </row>
    <row r="64" spans="2:30">
      <c r="B64" s="1532" t="str">
        <f t="shared" si="6"/>
        <v>Cortosis Gauntlet Block</v>
      </c>
      <c r="C64" s="1795"/>
      <c r="D64" s="920"/>
      <c r="E64" s="61" t="s">
        <v>2601</v>
      </c>
      <c r="F64" s="61"/>
      <c r="G64" s="61"/>
      <c r="H64" s="61"/>
      <c r="I64" s="61"/>
      <c r="J64" s="1687" t="s">
        <v>4755</v>
      </c>
      <c r="K64" s="63" t="str">
        <f t="shared" si="18"/>
        <v>No</v>
      </c>
      <c r="L64" s="76"/>
      <c r="M64" s="63">
        <f t="shared" si="0"/>
        <v>0</v>
      </c>
      <c r="N64" s="63" t="s">
        <v>2574</v>
      </c>
      <c r="O64" s="64"/>
      <c r="P64" s="660" t="str">
        <f t="shared" si="7"/>
        <v/>
      </c>
      <c r="Q64" s="52" t="str">
        <f t="shared" si="12"/>
        <v>No</v>
      </c>
      <c r="R64" s="1574" t="str">
        <f t="shared" si="22"/>
        <v/>
      </c>
      <c r="S64" s="52" t="str">
        <f t="shared" si="8"/>
        <v/>
      </c>
      <c r="T64" s="52" t="str">
        <f t="shared" si="9"/>
        <v/>
      </c>
      <c r="U64" s="52" t="str">
        <f t="shared" si="2"/>
        <v/>
      </c>
      <c r="V64" s="52" t="str">
        <f t="shared" si="10"/>
        <v/>
      </c>
      <c r="W64" s="1578"/>
      <c r="X64" s="52" t="str">
        <f t="shared" si="3"/>
        <v/>
      </c>
      <c r="Y64" s="52" t="str">
        <f t="shared" si="4"/>
        <v/>
      </c>
      <c r="AA64" s="52">
        <f t="shared" si="11"/>
        <v>0</v>
      </c>
      <c r="AD64" s="52"/>
    </row>
    <row r="65" spans="2:32" ht="26">
      <c r="B65" s="1532" t="str">
        <f t="shared" si="6"/>
        <v>Deflect</v>
      </c>
      <c r="C65" s="1795"/>
      <c r="D65" s="920"/>
      <c r="E65" s="61" t="s">
        <v>2602</v>
      </c>
      <c r="F65" s="61"/>
      <c r="G65" s="61"/>
      <c r="H65" s="61"/>
      <c r="I65" s="61"/>
      <c r="J65" s="1687" t="s">
        <v>4756</v>
      </c>
      <c r="K65" s="63" t="str">
        <f t="shared" si="18"/>
        <v>No</v>
      </c>
      <c r="L65" s="76"/>
      <c r="M65" s="63">
        <f t="shared" si="0"/>
        <v>0</v>
      </c>
      <c r="N65" s="63">
        <v>41</v>
      </c>
      <c r="O65" s="64"/>
      <c r="P65" s="660" t="str">
        <f t="shared" si="7"/>
        <v/>
      </c>
      <c r="Q65" s="52" t="str">
        <f t="shared" si="12"/>
        <v>No</v>
      </c>
      <c r="R65" s="1574" t="str">
        <f t="shared" si="22"/>
        <v/>
      </c>
      <c r="S65" s="52" t="str">
        <f t="shared" si="8"/>
        <v/>
      </c>
      <c r="T65" s="52" t="str">
        <f t="shared" si="9"/>
        <v/>
      </c>
      <c r="U65" s="52" t="str">
        <f t="shared" si="2"/>
        <v/>
      </c>
      <c r="V65" s="52" t="str">
        <f t="shared" si="10"/>
        <v/>
      </c>
      <c r="W65" s="1578"/>
      <c r="X65" s="52" t="str">
        <f t="shared" si="3"/>
        <v/>
      </c>
      <c r="Y65" s="52" t="str">
        <f t="shared" si="4"/>
        <v/>
      </c>
      <c r="Z65" s="54" t="s">
        <v>5688</v>
      </c>
      <c r="AA65" s="52">
        <f t="shared" si="11"/>
        <v>0</v>
      </c>
      <c r="AD65" s="52"/>
    </row>
    <row r="66" spans="2:32" ht="26">
      <c r="B66" s="1532" t="str">
        <f t="shared" si="6"/>
        <v>Redirect Shot</v>
      </c>
      <c r="C66" s="1795"/>
      <c r="D66" s="920"/>
      <c r="E66" s="61"/>
      <c r="F66" s="61" t="s">
        <v>2603</v>
      </c>
      <c r="G66" s="61"/>
      <c r="H66" s="61"/>
      <c r="I66" s="61"/>
      <c r="J66" s="1687" t="s">
        <v>4757</v>
      </c>
      <c r="K66" s="63" t="str">
        <f>IF(AND(Q65="Yes",L65&lt;&gt;""),"Yes","No")</f>
        <v>No</v>
      </c>
      <c r="L66" s="76"/>
      <c r="M66" s="63">
        <f t="shared" si="0"/>
        <v>0</v>
      </c>
      <c r="N66" s="63">
        <v>41</v>
      </c>
      <c r="O66" s="64"/>
      <c r="P66" s="660" t="str">
        <f t="shared" si="7"/>
        <v/>
      </c>
      <c r="Q66" s="52" t="str">
        <f t="shared" si="12"/>
        <v>No</v>
      </c>
      <c r="R66" s="1574" t="str">
        <f t="shared" si="22"/>
        <v/>
      </c>
      <c r="S66" s="52" t="str">
        <f t="shared" si="8"/>
        <v/>
      </c>
      <c r="T66" s="52" t="str">
        <f t="shared" si="9"/>
        <v/>
      </c>
      <c r="U66" s="52" t="str">
        <f t="shared" si="2"/>
        <v/>
      </c>
      <c r="V66" s="52" t="str">
        <f t="shared" si="10"/>
        <v/>
      </c>
      <c r="W66" s="1578"/>
      <c r="X66" s="52" t="str">
        <f t="shared" si="3"/>
        <v/>
      </c>
      <c r="Y66" s="52" t="str">
        <f t="shared" si="4"/>
        <v/>
      </c>
      <c r="Z66" s="54" t="s">
        <v>5688</v>
      </c>
      <c r="AA66" s="52">
        <f>IF(U66&lt;&gt;"",IF(Z66="Defenses",U66&amp;IF(AA68&lt;&gt;"",", ",""),"")&amp;AA68,AA68)</f>
        <v>0</v>
      </c>
      <c r="AD66" s="52"/>
    </row>
    <row r="67" spans="2:32">
      <c r="B67" s="1532" t="str">
        <f t="shared" si="6"/>
        <v>Precise Redirect</v>
      </c>
      <c r="C67" s="1795"/>
      <c r="D67" s="920"/>
      <c r="E67" s="61"/>
      <c r="F67" s="61"/>
      <c r="G67" s="61" t="s">
        <v>6363</v>
      </c>
      <c r="H67" s="61"/>
      <c r="I67" s="61"/>
      <c r="J67" s="1687" t="s">
        <v>6364</v>
      </c>
      <c r="K67" s="63" t="str">
        <f>IF(AND(Q66="Yes",L66&lt;&gt;""),"Yes","No")</f>
        <v>No</v>
      </c>
      <c r="L67" s="76"/>
      <c r="M67" s="63">
        <f>IF(L67&lt;&gt;"",1,0)</f>
        <v>0</v>
      </c>
      <c r="N67" s="63" t="s">
        <v>6483</v>
      </c>
      <c r="O67" s="64"/>
      <c r="P67" s="660" t="str">
        <f t="shared" si="7"/>
        <v/>
      </c>
      <c r="Q67" s="52" t="str">
        <f t="shared" si="12"/>
        <v>No</v>
      </c>
      <c r="R67" s="1574" t="str">
        <f t="shared" si="22"/>
        <v/>
      </c>
      <c r="S67" s="52" t="str">
        <f t="shared" si="8"/>
        <v/>
      </c>
      <c r="T67" s="52" t="str">
        <f t="shared" si="9"/>
        <v/>
      </c>
      <c r="U67" s="52" t="str">
        <f t="shared" si="2"/>
        <v/>
      </c>
      <c r="V67" s="52" t="str">
        <f t="shared" si="10"/>
        <v/>
      </c>
      <c r="W67" s="1578"/>
      <c r="X67" s="52" t="str">
        <f t="shared" si="3"/>
        <v/>
      </c>
      <c r="Y67" s="52" t="str">
        <f t="shared" si="4"/>
        <v/>
      </c>
      <c r="Z67" s="54" t="s">
        <v>5688</v>
      </c>
      <c r="AD67" s="52"/>
    </row>
    <row r="68" spans="2:32" ht="39">
      <c r="B68" s="1532" t="str">
        <f t="shared" si="6"/>
        <v>Lightsaber Defense</v>
      </c>
      <c r="C68" s="1795"/>
      <c r="D68" s="920"/>
      <c r="E68" s="61" t="s">
        <v>2604</v>
      </c>
      <c r="F68" s="61"/>
      <c r="G68" s="61"/>
      <c r="H68" s="61"/>
      <c r="I68" s="61"/>
      <c r="J68" s="1687" t="s">
        <v>4758</v>
      </c>
      <c r="K68" s="63" t="str">
        <f t="shared" si="18"/>
        <v>No</v>
      </c>
      <c r="L68" s="76"/>
      <c r="M68" s="63">
        <f>IF(L68&lt;&gt;"",L68,0)</f>
        <v>0</v>
      </c>
      <c r="N68" s="63">
        <v>41</v>
      </c>
      <c r="O68" s="64"/>
      <c r="P68" s="660" t="str">
        <f t="shared" si="7"/>
        <v/>
      </c>
      <c r="Q68" s="52" t="str">
        <f>Q66</f>
        <v>No</v>
      </c>
      <c r="R68" s="1574" t="str">
        <f t="shared" si="22"/>
        <v/>
      </c>
      <c r="S68" s="52" t="str">
        <f t="shared" si="8"/>
        <v/>
      </c>
      <c r="T68" s="52" t="str">
        <f t="shared" si="9"/>
        <v/>
      </c>
      <c r="U68" s="52" t="str">
        <f t="shared" si="2"/>
        <v/>
      </c>
      <c r="V68" s="52" t="str">
        <f t="shared" si="10"/>
        <v/>
      </c>
      <c r="W68" s="1578"/>
      <c r="X68" s="52" t="str">
        <f t="shared" si="3"/>
        <v/>
      </c>
      <c r="Y68" s="52" t="str">
        <f t="shared" si="4"/>
        <v/>
      </c>
      <c r="AA68" s="52">
        <f t="shared" si="11"/>
        <v>0</v>
      </c>
      <c r="AD68" s="52"/>
    </row>
    <row r="69" spans="2:32">
      <c r="B69" s="1532" t="str">
        <f t="shared" si="6"/>
        <v>Precision</v>
      </c>
      <c r="C69" s="1795"/>
      <c r="D69" s="920"/>
      <c r="E69" s="61" t="s">
        <v>2605</v>
      </c>
      <c r="F69" s="61"/>
      <c r="G69" s="61"/>
      <c r="H69" s="61"/>
      <c r="I69" s="61"/>
      <c r="J69" s="1687" t="s">
        <v>4759</v>
      </c>
      <c r="K69" s="63" t="str">
        <f t="shared" si="18"/>
        <v>No</v>
      </c>
      <c r="L69" s="76"/>
      <c r="M69" s="63">
        <f t="shared" si="0"/>
        <v>0</v>
      </c>
      <c r="N69" s="63" t="s">
        <v>2574</v>
      </c>
      <c r="O69" s="64"/>
      <c r="P69" s="660" t="str">
        <f t="shared" si="7"/>
        <v/>
      </c>
      <c r="Q69" s="52" t="str">
        <f t="shared" si="12"/>
        <v>No</v>
      </c>
      <c r="R69" s="1574" t="str">
        <f t="shared" si="22"/>
        <v/>
      </c>
      <c r="S69" s="52" t="str">
        <f t="shared" si="8"/>
        <v/>
      </c>
      <c r="T69" s="52" t="str">
        <f t="shared" si="9"/>
        <v/>
      </c>
      <c r="U69" s="52" t="str">
        <f t="shared" si="2"/>
        <v/>
      </c>
      <c r="V69" s="52" t="str">
        <f t="shared" si="10"/>
        <v/>
      </c>
      <c r="W69" s="1578"/>
      <c r="X69" s="52" t="str">
        <f t="shared" si="3"/>
        <v/>
      </c>
      <c r="Y69" s="52" t="str">
        <f t="shared" si="4"/>
        <v/>
      </c>
      <c r="AA69" s="52">
        <f>IF(U69&lt;&gt;"",IF(Z69="Defenses",U69&amp;IF(AA71&lt;&gt;"",", ",""),"")&amp;AA71,AA71)</f>
        <v>0</v>
      </c>
      <c r="AF69" s="509" t="s">
        <v>195</v>
      </c>
    </row>
    <row r="70" spans="2:32" ht="26">
      <c r="B70" s="1532" t="str">
        <f t="shared" si="6"/>
        <v>Shoto Focus</v>
      </c>
      <c r="C70" s="1795"/>
      <c r="D70" s="920"/>
      <c r="E70" s="61" t="s">
        <v>6211</v>
      </c>
      <c r="F70" s="61"/>
      <c r="G70" s="61"/>
      <c r="H70" s="61"/>
      <c r="I70" s="61"/>
      <c r="J70" s="1687" t="s">
        <v>6212</v>
      </c>
      <c r="K70" s="63" t="str">
        <f t="shared" si="18"/>
        <v>No</v>
      </c>
      <c r="L70" s="76"/>
      <c r="M70" s="63">
        <f t="shared" si="0"/>
        <v>0</v>
      </c>
      <c r="N70" s="63" t="s">
        <v>6202</v>
      </c>
      <c r="O70" s="64"/>
      <c r="P70" s="660" t="str">
        <f t="shared" si="7"/>
        <v/>
      </c>
      <c r="Q70" s="52" t="str">
        <f t="shared" si="12"/>
        <v>No</v>
      </c>
      <c r="R70" s="1574" t="str">
        <f t="shared" si="22"/>
        <v/>
      </c>
      <c r="S70" s="52" t="str">
        <f t="shared" si="8"/>
        <v/>
      </c>
      <c r="T70" s="52" t="str">
        <f t="shared" si="9"/>
        <v/>
      </c>
      <c r="U70" s="52" t="str">
        <f t="shared" si="2"/>
        <v/>
      </c>
      <c r="V70" s="52" t="str">
        <f t="shared" si="10"/>
        <v/>
      </c>
      <c r="W70" s="1578"/>
      <c r="X70" s="52" t="str">
        <f t="shared" si="3"/>
        <v/>
      </c>
      <c r="Y70" s="52" t="str">
        <f t="shared" si="4"/>
        <v/>
      </c>
      <c r="AA70" s="52">
        <f>IF(U70&lt;&gt;"",IF(Z70="Defenses",U70&amp;IF(AA72&lt;&gt;"",", ",""),"")&amp;AA72,AA72)</f>
        <v>0</v>
      </c>
    </row>
    <row r="71" spans="2:32">
      <c r="B71" s="1532" t="str">
        <f t="shared" si="6"/>
        <v>Weapon Specialization (lightsabers)</v>
      </c>
      <c r="C71" s="1795"/>
      <c r="D71" s="920"/>
      <c r="E71" s="61" t="s">
        <v>2606</v>
      </c>
      <c r="F71" s="61"/>
      <c r="G71" s="61"/>
      <c r="H71" s="61"/>
      <c r="I71" s="61"/>
      <c r="J71" s="1687" t="s">
        <v>4760</v>
      </c>
      <c r="K71" s="63" t="str">
        <f ca="1">IF(AND(Q71="Yes",NOT(ISERROR(FIND("Weapon Focus (lightsabers)",FeatsTakenList,1)))),"Yes","No")</f>
        <v>No</v>
      </c>
      <c r="L71" s="76"/>
      <c r="M71" s="63">
        <f t="shared" si="0"/>
        <v>0</v>
      </c>
      <c r="N71" s="63">
        <v>53</v>
      </c>
      <c r="O71" s="64"/>
      <c r="P71" s="660" t="str">
        <f t="shared" ref="P71:P134" si="23">IF(ShowTalentTrees,IF(D71&lt;&gt;"",D71,P70),"")</f>
        <v/>
      </c>
      <c r="Q71" s="52" t="str">
        <f>Q70</f>
        <v>No</v>
      </c>
      <c r="R71" s="1574" t="str">
        <f t="shared" si="22"/>
        <v/>
      </c>
      <c r="S71" s="52" t="str">
        <f t="shared" si="8"/>
        <v/>
      </c>
      <c r="T71" s="52" t="str">
        <f t="shared" si="9"/>
        <v/>
      </c>
      <c r="U71" s="52" t="str">
        <f t="shared" ref="U71:U134" si="24">IF(L71&lt;&gt;"",IF(ISNUMBER(L71),"",E71&amp;F71&amp;G71),"")</f>
        <v/>
      </c>
      <c r="V71" s="52" t="str">
        <f t="shared" si="10"/>
        <v/>
      </c>
      <c r="W71" s="1578"/>
      <c r="X71" s="52" t="str">
        <f t="shared" ref="X71:X134" si="25">IF(U71&lt;&gt;"",IF(W71="Special Actions",U71&amp;IF(X72&lt;&gt;"",", ",""),"")&amp;X72,X72)</f>
        <v/>
      </c>
      <c r="Y71" s="52" t="str">
        <f t="shared" si="4"/>
        <v/>
      </c>
      <c r="AA71" s="52">
        <f>IF(U71&lt;&gt;"",IF(Z71="Defenses",U71&amp;IF(AA72&lt;&gt;"",", ",""),"")&amp;AA72,AA72)</f>
        <v>0</v>
      </c>
    </row>
    <row r="72" spans="2:32" ht="26">
      <c r="B72" s="1532" t="str">
        <f t="shared" si="6"/>
        <v>Lightsaber Throw</v>
      </c>
      <c r="C72" s="1796"/>
      <c r="D72" s="71"/>
      <c r="E72" s="927" t="s">
        <v>2607</v>
      </c>
      <c r="F72" s="927"/>
      <c r="G72" s="927"/>
      <c r="H72" s="927"/>
      <c r="I72" s="927"/>
      <c r="J72" s="1687" t="s">
        <v>4761</v>
      </c>
      <c r="K72" s="928" t="str">
        <f t="shared" si="18"/>
        <v>No</v>
      </c>
      <c r="L72" s="929"/>
      <c r="M72" s="928">
        <f t="shared" si="0"/>
        <v>0</v>
      </c>
      <c r="N72" s="928">
        <v>41</v>
      </c>
      <c r="O72" s="64"/>
      <c r="P72" s="660" t="str">
        <f t="shared" si="23"/>
        <v/>
      </c>
      <c r="Q72" s="52" t="str">
        <f t="shared" si="12"/>
        <v>No</v>
      </c>
      <c r="R72" s="1574" t="str">
        <f t="shared" si="22"/>
        <v/>
      </c>
      <c r="S72" s="52" t="str">
        <f t="shared" ref="S72:S135" si="26">IF(R72&lt;&gt;"",R72&amp;";"&amp;S73,S73)</f>
        <v/>
      </c>
      <c r="T72" s="52" t="str">
        <f t="shared" ref="T72:T135" si="27">IF(R72&lt;&gt;"",N72&amp;";"&amp;T73,T73)</f>
        <v/>
      </c>
      <c r="U72" s="52" t="str">
        <f t="shared" si="24"/>
        <v/>
      </c>
      <c r="V72" s="52" t="str">
        <f t="shared" ref="V72:V135" si="28">IF(U72&lt;&gt;"",U72&amp;";"&amp;V73,V73)</f>
        <v/>
      </c>
      <c r="W72" s="1578"/>
      <c r="X72" s="52" t="str">
        <f t="shared" si="25"/>
        <v/>
      </c>
      <c r="Y72" s="52" t="str">
        <f t="shared" si="4"/>
        <v/>
      </c>
      <c r="AA72" s="52">
        <f t="shared" si="11"/>
        <v>0</v>
      </c>
    </row>
    <row r="73" spans="2:32" ht="15" customHeight="1">
      <c r="B73" s="1532" t="str">
        <f t="shared" ref="B73:B136" si="29">IF(E73&lt;&gt;"",E73,IF(F73&lt;&gt;"",F73,IF(G73&lt;&gt;"",G73,IF(H73&lt;&gt;"",H73))))</f>
        <v>Aversion</v>
      </c>
      <c r="C73" s="1794" t="s">
        <v>2608</v>
      </c>
      <c r="D73" s="922" t="s">
        <v>2609</v>
      </c>
      <c r="E73" s="923" t="s">
        <v>2610</v>
      </c>
      <c r="F73" s="923"/>
      <c r="G73" s="923"/>
      <c r="H73" s="923"/>
      <c r="I73" s="923"/>
      <c r="J73" s="1687" t="s">
        <v>4762</v>
      </c>
      <c r="K73" s="63" t="str">
        <f t="shared" ca="1" si="18"/>
        <v>No</v>
      </c>
      <c r="L73" s="76"/>
      <c r="M73" s="63">
        <f t="shared" si="0"/>
        <v>0</v>
      </c>
      <c r="N73" s="924" t="s">
        <v>2611</v>
      </c>
      <c r="O73" s="64"/>
      <c r="P73" s="660" t="str">
        <f t="shared" si="23"/>
        <v/>
      </c>
      <c r="Q73" s="52" t="str">
        <f ca="1">IF(AND(ForceSensitive="Yes",SUM(AD7:AD45)&gt;0),"Yes","No")</f>
        <v>No</v>
      </c>
      <c r="R73" s="1574" t="str">
        <f t="shared" si="22"/>
        <v/>
      </c>
      <c r="S73" s="52" t="str">
        <f t="shared" si="26"/>
        <v/>
      </c>
      <c r="T73" s="52" t="str">
        <f t="shared" si="27"/>
        <v/>
      </c>
      <c r="U73" s="52" t="str">
        <f t="shared" si="24"/>
        <v/>
      </c>
      <c r="V73" s="52" t="str">
        <f t="shared" si="28"/>
        <v/>
      </c>
      <c r="W73" s="1578"/>
      <c r="X73" s="52" t="str">
        <f t="shared" si="25"/>
        <v/>
      </c>
      <c r="Y73" s="52" t="str">
        <f t="shared" si="4"/>
        <v/>
      </c>
      <c r="AA73" s="52">
        <f t="shared" si="11"/>
        <v>0</v>
      </c>
    </row>
    <row r="74" spans="2:32">
      <c r="B74" s="1532" t="str">
        <f t="shared" si="29"/>
        <v>Disciplined Strike</v>
      </c>
      <c r="C74" s="1795"/>
      <c r="D74" s="920"/>
      <c r="E74" s="61" t="s">
        <v>2612</v>
      </c>
      <c r="F74" s="61"/>
      <c r="G74" s="61"/>
      <c r="H74" s="61"/>
      <c r="I74" s="61"/>
      <c r="J74" s="1687" t="s">
        <v>4763</v>
      </c>
      <c r="K74" s="63" t="str">
        <f t="shared" ca="1" si="18"/>
        <v>No</v>
      </c>
      <c r="L74" s="76"/>
      <c r="M74" s="63">
        <f t="shared" si="0"/>
        <v>0</v>
      </c>
      <c r="N74" s="63">
        <v>100</v>
      </c>
      <c r="O74" s="64"/>
      <c r="P74" s="660" t="str">
        <f t="shared" si="23"/>
        <v/>
      </c>
      <c r="Q74" s="52" t="str">
        <f ca="1">Q73</f>
        <v>No</v>
      </c>
      <c r="R74" s="1574" t="str">
        <f t="shared" si="22"/>
        <v/>
      </c>
      <c r="S74" s="52" t="str">
        <f t="shared" si="26"/>
        <v/>
      </c>
      <c r="T74" s="52" t="str">
        <f t="shared" si="27"/>
        <v/>
      </c>
      <c r="U74" s="52" t="str">
        <f t="shared" si="24"/>
        <v/>
      </c>
      <c r="V74" s="52" t="str">
        <f t="shared" si="28"/>
        <v/>
      </c>
      <c r="W74" s="1578"/>
      <c r="X74" s="52" t="str">
        <f t="shared" si="25"/>
        <v/>
      </c>
      <c r="Y74" s="52" t="str">
        <f t="shared" si="4"/>
        <v/>
      </c>
      <c r="AA74" s="52">
        <f t="shared" si="11"/>
        <v>0</v>
      </c>
    </row>
    <row r="75" spans="2:32">
      <c r="B75" s="1532" t="str">
        <f t="shared" si="29"/>
        <v>Force Flow</v>
      </c>
      <c r="C75" s="1795"/>
      <c r="D75" s="920"/>
      <c r="E75" s="61" t="s">
        <v>2613</v>
      </c>
      <c r="F75" s="61"/>
      <c r="G75" s="61"/>
      <c r="H75" s="61"/>
      <c r="I75" s="61"/>
      <c r="J75" s="1687" t="s">
        <v>4764</v>
      </c>
      <c r="K75" s="63" t="str">
        <f t="shared" ca="1" si="18"/>
        <v>No</v>
      </c>
      <c r="L75" s="76"/>
      <c r="M75" s="63">
        <f t="shared" si="0"/>
        <v>0</v>
      </c>
      <c r="N75" s="63" t="s">
        <v>2614</v>
      </c>
      <c r="O75" s="64"/>
      <c r="P75" s="660" t="str">
        <f t="shared" si="23"/>
        <v/>
      </c>
      <c r="Q75" s="52" t="str">
        <f t="shared" ref="Q75:Q169" ca="1" si="30">Q74</f>
        <v>No</v>
      </c>
      <c r="R75" s="1574" t="str">
        <f t="shared" si="22"/>
        <v/>
      </c>
      <c r="S75" s="52" t="str">
        <f t="shared" si="26"/>
        <v/>
      </c>
      <c r="T75" s="52" t="str">
        <f t="shared" si="27"/>
        <v/>
      </c>
      <c r="U75" s="52" t="str">
        <f t="shared" si="24"/>
        <v/>
      </c>
      <c r="V75" s="52" t="str">
        <f t="shared" si="28"/>
        <v/>
      </c>
      <c r="W75" s="1578"/>
      <c r="X75" s="52" t="str">
        <f t="shared" si="25"/>
        <v/>
      </c>
      <c r="Y75" s="52" t="str">
        <f t="shared" si="4"/>
        <v/>
      </c>
      <c r="AA75" s="52">
        <f t="shared" si="11"/>
        <v>0</v>
      </c>
    </row>
    <row r="76" spans="2:32" ht="26">
      <c r="B76" s="1532" t="str">
        <f t="shared" si="29"/>
        <v>Illusion</v>
      </c>
      <c r="C76" s="1795"/>
      <c r="D76" s="920"/>
      <c r="E76" s="61" t="s">
        <v>2615</v>
      </c>
      <c r="F76" s="61"/>
      <c r="G76" s="61"/>
      <c r="H76" s="61"/>
      <c r="I76" s="61"/>
      <c r="J76" s="1687" t="s">
        <v>4765</v>
      </c>
      <c r="K76" s="63" t="str">
        <f ca="1">IF(Q76="Yes","Yes","No")</f>
        <v>No</v>
      </c>
      <c r="L76" s="76"/>
      <c r="M76" s="63">
        <f t="shared" si="0"/>
        <v>0</v>
      </c>
      <c r="N76" s="63" t="s">
        <v>2614</v>
      </c>
      <c r="O76" s="64"/>
      <c r="P76" s="660" t="str">
        <f t="shared" si="23"/>
        <v/>
      </c>
      <c r="Q76" s="52" t="str">
        <f t="shared" ca="1" si="30"/>
        <v>No</v>
      </c>
      <c r="R76" s="1574" t="str">
        <f t="shared" si="22"/>
        <v/>
      </c>
      <c r="S76" s="52" t="str">
        <f t="shared" si="26"/>
        <v/>
      </c>
      <c r="T76" s="52" t="str">
        <f t="shared" si="27"/>
        <v/>
      </c>
      <c r="U76" s="52" t="str">
        <f t="shared" si="24"/>
        <v/>
      </c>
      <c r="V76" s="52" t="str">
        <f t="shared" si="28"/>
        <v/>
      </c>
      <c r="W76" s="1578"/>
      <c r="X76" s="52" t="str">
        <f t="shared" si="25"/>
        <v/>
      </c>
      <c r="Y76" s="52" t="str">
        <f t="shared" si="4"/>
        <v/>
      </c>
      <c r="AA76" s="52">
        <f t="shared" si="11"/>
        <v>0</v>
      </c>
    </row>
    <row r="77" spans="2:32">
      <c r="B77" s="1532" t="str">
        <f t="shared" si="29"/>
        <v>Illusion bond</v>
      </c>
      <c r="C77" s="1795"/>
      <c r="D77" s="920"/>
      <c r="E77" s="61"/>
      <c r="F77" s="61" t="s">
        <v>4384</v>
      </c>
      <c r="G77" s="61"/>
      <c r="H77" s="61"/>
      <c r="I77" s="61"/>
      <c r="J77" s="1687" t="s">
        <v>5832</v>
      </c>
      <c r="K77" s="63" t="str">
        <f ca="1">IF(AND(Q77="Yes",L76&lt;&gt;""),"Yes","No")</f>
        <v>No</v>
      </c>
      <c r="L77" s="76"/>
      <c r="M77" s="63">
        <f t="shared" si="0"/>
        <v>0</v>
      </c>
      <c r="N77" s="63" t="s">
        <v>4385</v>
      </c>
      <c r="O77" s="64"/>
      <c r="P77" s="660" t="str">
        <f t="shared" si="23"/>
        <v/>
      </c>
      <c r="Q77" s="52" t="str">
        <f t="shared" ca="1" si="30"/>
        <v>No</v>
      </c>
      <c r="R77" s="1574" t="str">
        <f t="shared" si="22"/>
        <v/>
      </c>
      <c r="S77" s="52" t="str">
        <f t="shared" si="26"/>
        <v/>
      </c>
      <c r="T77" s="52" t="str">
        <f t="shared" si="27"/>
        <v/>
      </c>
      <c r="U77" s="52" t="str">
        <f t="shared" si="24"/>
        <v/>
      </c>
      <c r="V77" s="52" t="str">
        <f t="shared" si="28"/>
        <v/>
      </c>
      <c r="W77" s="1578"/>
      <c r="X77" s="52" t="str">
        <f t="shared" si="25"/>
        <v/>
      </c>
      <c r="Y77" s="52" t="str">
        <f t="shared" si="4"/>
        <v/>
      </c>
      <c r="AA77" s="52">
        <f t="shared" si="11"/>
        <v>0</v>
      </c>
    </row>
    <row r="78" spans="2:32">
      <c r="B78" s="1532" t="str">
        <f t="shared" si="29"/>
        <v>Masquerade</v>
      </c>
      <c r="C78" s="1795"/>
      <c r="D78" s="920"/>
      <c r="E78" s="61"/>
      <c r="F78" s="61" t="s">
        <v>4387</v>
      </c>
      <c r="G78" s="61"/>
      <c r="H78" s="61"/>
      <c r="I78" s="61"/>
      <c r="J78" s="1687" t="s">
        <v>5833</v>
      </c>
      <c r="K78" s="63" t="str">
        <f ca="1">IF(AND(Q78="Yes",L76&lt;&gt;""),"Yes","No")</f>
        <v>No</v>
      </c>
      <c r="L78" s="76"/>
      <c r="M78" s="63">
        <f>IF(L78&lt;&gt;"",1,0)</f>
        <v>0</v>
      </c>
      <c r="N78" s="63" t="s">
        <v>4385</v>
      </c>
      <c r="O78" s="64"/>
      <c r="P78" s="660" t="str">
        <f t="shared" si="23"/>
        <v/>
      </c>
      <c r="Q78" s="52" t="str">
        <f t="shared" ca="1" si="30"/>
        <v>No</v>
      </c>
      <c r="R78" s="1574" t="str">
        <f t="shared" si="22"/>
        <v/>
      </c>
      <c r="S78" s="52" t="str">
        <f t="shared" si="26"/>
        <v/>
      </c>
      <c r="T78" s="52" t="str">
        <f t="shared" si="27"/>
        <v/>
      </c>
      <c r="U78" s="52" t="str">
        <f t="shared" si="24"/>
        <v/>
      </c>
      <c r="V78" s="52" t="str">
        <f t="shared" si="28"/>
        <v/>
      </c>
      <c r="W78" s="1578"/>
      <c r="X78" s="52" t="str">
        <f t="shared" si="25"/>
        <v/>
      </c>
      <c r="Y78" s="52" t="str">
        <f t="shared" si="4"/>
        <v/>
      </c>
      <c r="AA78" s="52">
        <f t="shared" si="11"/>
        <v>0</v>
      </c>
    </row>
    <row r="79" spans="2:32">
      <c r="B79" s="1532" t="str">
        <f t="shared" si="29"/>
        <v>Influence Savant</v>
      </c>
      <c r="C79" s="1795"/>
      <c r="D79" s="920"/>
      <c r="E79" s="61" t="s">
        <v>4386</v>
      </c>
      <c r="F79" s="61"/>
      <c r="G79" s="61"/>
      <c r="H79" s="61"/>
      <c r="I79" s="61"/>
      <c r="J79" s="1687" t="s">
        <v>5834</v>
      </c>
      <c r="K79" s="63" t="str">
        <f ca="1">IF(Q79="Yes","Yes","No")</f>
        <v>No</v>
      </c>
      <c r="L79" s="76"/>
      <c r="M79" s="63">
        <f>IF(L79&lt;&gt;"",1,0)</f>
        <v>0</v>
      </c>
      <c r="N79" s="63" t="s">
        <v>4385</v>
      </c>
      <c r="O79" s="64"/>
      <c r="P79" s="660" t="str">
        <f t="shared" si="23"/>
        <v/>
      </c>
      <c r="Q79" s="52" t="str">
        <f ca="1">Q77</f>
        <v>No</v>
      </c>
      <c r="R79" s="1574" t="str">
        <f t="shared" si="22"/>
        <v/>
      </c>
      <c r="S79" s="52" t="str">
        <f t="shared" si="26"/>
        <v/>
      </c>
      <c r="T79" s="52" t="str">
        <f t="shared" si="27"/>
        <v/>
      </c>
      <c r="U79" s="52" t="str">
        <f t="shared" si="24"/>
        <v/>
      </c>
      <c r="V79" s="52" t="str">
        <f t="shared" si="28"/>
        <v/>
      </c>
      <c r="W79" s="1578"/>
      <c r="X79" s="52" t="str">
        <f t="shared" si="25"/>
        <v/>
      </c>
      <c r="Y79" s="52" t="str">
        <f t="shared" si="4"/>
        <v/>
      </c>
      <c r="AA79" s="52">
        <f t="shared" si="11"/>
        <v>0</v>
      </c>
    </row>
    <row r="80" spans="2:32">
      <c r="B80" s="1532" t="str">
        <f t="shared" si="29"/>
        <v>Suppress Force</v>
      </c>
      <c r="C80" s="1795"/>
      <c r="D80" s="920"/>
      <c r="E80" s="61"/>
      <c r="F80" s="61" t="s">
        <v>4389</v>
      </c>
      <c r="G80" s="61"/>
      <c r="H80" s="61"/>
      <c r="I80" s="61"/>
      <c r="J80" s="1687" t="s">
        <v>5835</v>
      </c>
      <c r="K80" s="63" t="str">
        <f ca="1">IF(AND(Q80="Yes",L79&lt;&gt;"",'The Force'!J53&gt;0),"Yes","No")</f>
        <v>No</v>
      </c>
      <c r="L80" s="76"/>
      <c r="M80" s="63">
        <f>IF(L80&lt;&gt;"",1,0)</f>
        <v>0</v>
      </c>
      <c r="N80" s="63" t="s">
        <v>4385</v>
      </c>
      <c r="O80" s="64"/>
      <c r="P80" s="660" t="str">
        <f t="shared" si="23"/>
        <v/>
      </c>
      <c r="Q80" s="52" t="str">
        <f t="shared" ca="1" si="30"/>
        <v>No</v>
      </c>
      <c r="R80" s="1574" t="str">
        <f t="shared" si="22"/>
        <v/>
      </c>
      <c r="S80" s="52" t="str">
        <f t="shared" si="26"/>
        <v/>
      </c>
      <c r="T80" s="52" t="str">
        <f t="shared" si="27"/>
        <v/>
      </c>
      <c r="U80" s="52" t="str">
        <f t="shared" si="24"/>
        <v/>
      </c>
      <c r="V80" s="52" t="str">
        <f t="shared" si="28"/>
        <v/>
      </c>
      <c r="W80" s="1578"/>
      <c r="X80" s="52" t="str">
        <f t="shared" si="25"/>
        <v/>
      </c>
      <c r="Y80" s="52" t="str">
        <f t="shared" si="4"/>
        <v/>
      </c>
      <c r="AA80" s="52">
        <f t="shared" si="11"/>
        <v>0</v>
      </c>
    </row>
    <row r="81" spans="2:27" ht="26">
      <c r="B81" s="1532" t="str">
        <f t="shared" si="29"/>
        <v>Link</v>
      </c>
      <c r="C81" s="1795"/>
      <c r="D81" s="920"/>
      <c r="E81" s="61" t="s">
        <v>4388</v>
      </c>
      <c r="F81" s="61"/>
      <c r="G81" s="61"/>
      <c r="H81" s="61"/>
      <c r="I81" s="61"/>
      <c r="J81" s="1687" t="s">
        <v>5836</v>
      </c>
      <c r="K81" s="63" t="str">
        <f ca="1">IF(Q81="Yes","Yes","No")</f>
        <v>No</v>
      </c>
      <c r="L81" s="76"/>
      <c r="M81" s="63">
        <f>IF(L81&lt;&gt;"",1,0)</f>
        <v>0</v>
      </c>
      <c r="N81" s="63" t="s">
        <v>4385</v>
      </c>
      <c r="O81" s="64"/>
      <c r="P81" s="660" t="str">
        <f t="shared" si="23"/>
        <v/>
      </c>
      <c r="Q81" s="52" t="str">
        <f ca="1">Q78</f>
        <v>No</v>
      </c>
      <c r="R81" s="1574" t="str">
        <f t="shared" si="22"/>
        <v/>
      </c>
      <c r="S81" s="52" t="str">
        <f t="shared" si="26"/>
        <v/>
      </c>
      <c r="T81" s="52" t="str">
        <f t="shared" si="27"/>
        <v/>
      </c>
      <c r="U81" s="52" t="str">
        <f t="shared" si="24"/>
        <v/>
      </c>
      <c r="V81" s="52" t="str">
        <f t="shared" si="28"/>
        <v/>
      </c>
      <c r="W81" s="1578"/>
      <c r="X81" s="52" t="str">
        <f t="shared" si="25"/>
        <v/>
      </c>
      <c r="Y81" s="52" t="str">
        <f t="shared" si="4"/>
        <v/>
      </c>
      <c r="AA81" s="52">
        <f t="shared" si="11"/>
        <v>0</v>
      </c>
    </row>
    <row r="82" spans="2:27">
      <c r="B82" s="1532" t="str">
        <f t="shared" si="29"/>
        <v>Telekinetic Power</v>
      </c>
      <c r="C82" s="1795"/>
      <c r="D82" s="920"/>
      <c r="E82" s="61" t="s">
        <v>2616</v>
      </c>
      <c r="F82" s="61"/>
      <c r="G82" s="61"/>
      <c r="H82" s="61"/>
      <c r="I82" s="61"/>
      <c r="J82" s="1687" t="s">
        <v>4766</v>
      </c>
      <c r="K82" s="63" t="str">
        <f ca="1">IF(Q82="Yes","Yes","No")</f>
        <v>No</v>
      </c>
      <c r="L82" s="76"/>
      <c r="M82" s="63">
        <f t="shared" si="0"/>
        <v>0</v>
      </c>
      <c r="N82" s="63">
        <v>100</v>
      </c>
      <c r="O82" s="64"/>
      <c r="P82" s="660" t="str">
        <f t="shared" si="23"/>
        <v/>
      </c>
      <c r="Q82" s="52" t="str">
        <f ca="1">Q77</f>
        <v>No</v>
      </c>
      <c r="R82" s="1574" t="str">
        <f t="shared" si="22"/>
        <v/>
      </c>
      <c r="S82" s="52" t="str">
        <f t="shared" si="26"/>
        <v/>
      </c>
      <c r="T82" s="52" t="str">
        <f t="shared" si="27"/>
        <v/>
      </c>
      <c r="U82" s="52" t="str">
        <f t="shared" si="24"/>
        <v/>
      </c>
      <c r="V82" s="52" t="str">
        <f t="shared" si="28"/>
        <v/>
      </c>
      <c r="W82" s="1578"/>
      <c r="X82" s="52" t="str">
        <f t="shared" si="25"/>
        <v/>
      </c>
      <c r="Y82" s="52" t="str">
        <f t="shared" si="4"/>
        <v/>
      </c>
      <c r="AA82" s="52">
        <f t="shared" si="11"/>
        <v>0</v>
      </c>
    </row>
    <row r="83" spans="2:27">
      <c r="B83" s="1532" t="str">
        <f t="shared" si="29"/>
        <v>Move Massive Object</v>
      </c>
      <c r="C83" s="1795"/>
      <c r="D83" s="920"/>
      <c r="E83" s="61"/>
      <c r="F83" s="61" t="s">
        <v>2617</v>
      </c>
      <c r="G83" s="61"/>
      <c r="H83" s="61"/>
      <c r="I83" s="61"/>
      <c r="J83" s="1687" t="s">
        <v>4767</v>
      </c>
      <c r="K83" s="63" t="str">
        <f ca="1">IF(AND(Q83="Yes",L82&lt;&gt;""),"Yes","No")</f>
        <v>No</v>
      </c>
      <c r="L83" s="76"/>
      <c r="M83" s="63">
        <f t="shared" si="0"/>
        <v>0</v>
      </c>
      <c r="N83" s="63" t="s">
        <v>2618</v>
      </c>
      <c r="O83" s="64"/>
      <c r="P83" s="660" t="str">
        <f t="shared" si="23"/>
        <v/>
      </c>
      <c r="Q83" s="52" t="str">
        <f t="shared" ca="1" si="30"/>
        <v>No</v>
      </c>
      <c r="R83" s="1574" t="str">
        <f t="shared" si="22"/>
        <v/>
      </c>
      <c r="S83" s="52" t="str">
        <f t="shared" si="26"/>
        <v/>
      </c>
      <c r="T83" s="52" t="str">
        <f t="shared" si="27"/>
        <v/>
      </c>
      <c r="U83" s="52" t="str">
        <f t="shared" si="24"/>
        <v/>
      </c>
      <c r="V83" s="52" t="str">
        <f t="shared" si="28"/>
        <v/>
      </c>
      <c r="W83" s="1578"/>
      <c r="X83" s="52" t="str">
        <f t="shared" si="25"/>
        <v/>
      </c>
      <c r="Y83" s="52" t="str">
        <f t="shared" si="4"/>
        <v/>
      </c>
      <c r="AA83" s="52">
        <f t="shared" si="11"/>
        <v>0</v>
      </c>
    </row>
    <row r="84" spans="2:27" ht="39">
      <c r="B84" s="1532" t="str">
        <f t="shared" si="29"/>
        <v>Telekinetic Savant</v>
      </c>
      <c r="C84" s="1795"/>
      <c r="D84" s="920"/>
      <c r="E84" s="61" t="s">
        <v>2619</v>
      </c>
      <c r="F84" s="61"/>
      <c r="G84" s="61"/>
      <c r="H84" s="61"/>
      <c r="I84" s="61"/>
      <c r="J84" s="1687" t="s">
        <v>4768</v>
      </c>
      <c r="K84" s="63" t="str">
        <f ca="1">IF(Q84="Yes","Yes","No")</f>
        <v>No</v>
      </c>
      <c r="L84" s="76"/>
      <c r="M84" s="63">
        <f t="shared" si="0"/>
        <v>0</v>
      </c>
      <c r="N84" s="63">
        <v>100</v>
      </c>
      <c r="O84" s="64"/>
      <c r="P84" s="660" t="str">
        <f t="shared" si="23"/>
        <v/>
      </c>
      <c r="Q84" s="52" t="str">
        <f t="shared" ca="1" si="30"/>
        <v>No</v>
      </c>
      <c r="R84" s="1574" t="str">
        <f t="shared" si="22"/>
        <v/>
      </c>
      <c r="S84" s="52" t="str">
        <f t="shared" si="26"/>
        <v/>
      </c>
      <c r="T84" s="52" t="str">
        <f t="shared" si="27"/>
        <v/>
      </c>
      <c r="U84" s="52" t="str">
        <f t="shared" si="24"/>
        <v/>
      </c>
      <c r="V84" s="52" t="str">
        <f t="shared" si="28"/>
        <v/>
      </c>
      <c r="W84" s="1578"/>
      <c r="X84" s="52" t="str">
        <f t="shared" si="25"/>
        <v/>
      </c>
      <c r="Y84" s="52" t="str">
        <f t="shared" si="4"/>
        <v/>
      </c>
      <c r="AA84" s="52">
        <f t="shared" si="11"/>
        <v>0</v>
      </c>
    </row>
    <row r="85" spans="2:27">
      <c r="B85" s="1532" t="str">
        <f t="shared" si="29"/>
        <v>Telekinetic Prodigy</v>
      </c>
      <c r="C85" s="1795"/>
      <c r="D85" s="920"/>
      <c r="E85" s="61"/>
      <c r="F85" s="61" t="s">
        <v>2620</v>
      </c>
      <c r="G85" s="61"/>
      <c r="H85" s="61"/>
      <c r="I85" s="61"/>
      <c r="J85" s="1687" t="s">
        <v>4769</v>
      </c>
      <c r="K85" s="63" t="str">
        <f ca="1">IF(AND(Q84="Yes",L84&lt;&gt;""),"Yes","No")</f>
        <v>No</v>
      </c>
      <c r="L85" s="76"/>
      <c r="M85" s="63">
        <f>IF(L85&lt;&gt;"",L85,0)</f>
        <v>0</v>
      </c>
      <c r="N85" s="63" t="s">
        <v>2621</v>
      </c>
      <c r="O85" s="64"/>
      <c r="P85" s="660" t="str">
        <f t="shared" si="23"/>
        <v/>
      </c>
      <c r="Q85" s="52" t="str">
        <f t="shared" ca="1" si="30"/>
        <v>No</v>
      </c>
      <c r="R85" s="1574" t="str">
        <f t="shared" si="22"/>
        <v/>
      </c>
      <c r="S85" s="52" t="str">
        <f t="shared" si="26"/>
        <v/>
      </c>
      <c r="T85" s="52" t="str">
        <f t="shared" si="27"/>
        <v/>
      </c>
      <c r="U85" s="52" t="str">
        <f t="shared" si="24"/>
        <v/>
      </c>
      <c r="V85" s="52" t="str">
        <f t="shared" si="28"/>
        <v/>
      </c>
      <c r="W85" s="1578"/>
      <c r="X85" s="52" t="str">
        <f t="shared" si="25"/>
        <v/>
      </c>
      <c r="Y85" s="52" t="str">
        <f t="shared" si="4"/>
        <v/>
      </c>
      <c r="AA85" s="52">
        <f t="shared" si="11"/>
        <v>0</v>
      </c>
    </row>
    <row r="86" spans="2:27" ht="26">
      <c r="B86" s="1532" t="str">
        <f t="shared" si="29"/>
        <v>Telepathic Link</v>
      </c>
      <c r="C86" s="1795"/>
      <c r="D86" s="920"/>
      <c r="E86" s="61" t="s">
        <v>2622</v>
      </c>
      <c r="F86" s="61"/>
      <c r="G86" s="61"/>
      <c r="H86" s="61"/>
      <c r="I86" s="61"/>
      <c r="J86" s="1687" t="s">
        <v>4770</v>
      </c>
      <c r="K86" s="63" t="str">
        <f ca="1">IF(Q86="Yes","Yes","No")</f>
        <v>No</v>
      </c>
      <c r="L86" s="76"/>
      <c r="M86" s="63">
        <f t="shared" si="0"/>
        <v>0</v>
      </c>
      <c r="N86" s="63" t="s">
        <v>2623</v>
      </c>
      <c r="O86" s="64"/>
      <c r="P86" s="660" t="str">
        <f t="shared" si="23"/>
        <v/>
      </c>
      <c r="Q86" s="52" t="str">
        <f t="shared" ca="1" si="30"/>
        <v>No</v>
      </c>
      <c r="R86" s="1574" t="str">
        <f t="shared" si="22"/>
        <v/>
      </c>
      <c r="S86" s="52" t="str">
        <f t="shared" si="26"/>
        <v/>
      </c>
      <c r="T86" s="52" t="str">
        <f t="shared" si="27"/>
        <v/>
      </c>
      <c r="U86" s="52" t="str">
        <f t="shared" si="24"/>
        <v/>
      </c>
      <c r="V86" s="52" t="str">
        <f t="shared" si="28"/>
        <v/>
      </c>
      <c r="W86" s="1578"/>
      <c r="X86" s="52" t="str">
        <f t="shared" si="25"/>
        <v/>
      </c>
      <c r="Y86" s="52" t="str">
        <f t="shared" si="4"/>
        <v/>
      </c>
      <c r="AA86" s="52">
        <f t="shared" si="11"/>
        <v>0</v>
      </c>
    </row>
    <row r="87" spans="2:27" ht="26">
      <c r="B87" s="1532" t="str">
        <f t="shared" si="29"/>
        <v>Telepathic Influence</v>
      </c>
      <c r="C87" s="1795"/>
      <c r="D87" s="920"/>
      <c r="E87" s="61"/>
      <c r="F87" s="61" t="s">
        <v>2624</v>
      </c>
      <c r="G87" s="61"/>
      <c r="H87" s="61"/>
      <c r="I87" s="61"/>
      <c r="J87" s="1687" t="s">
        <v>4771</v>
      </c>
      <c r="K87" s="63" t="str">
        <f ca="1">IF(AND(Q86="Yes",L86&lt;&gt;""),"Yes","No")</f>
        <v>No</v>
      </c>
      <c r="L87" s="76"/>
      <c r="M87" s="63">
        <f t="shared" si="0"/>
        <v>0</v>
      </c>
      <c r="N87" s="63" t="s">
        <v>2623</v>
      </c>
      <c r="O87" s="64"/>
      <c r="P87" s="660" t="str">
        <f t="shared" si="23"/>
        <v/>
      </c>
      <c r="Q87" s="52" t="str">
        <f t="shared" ca="1" si="30"/>
        <v>No</v>
      </c>
      <c r="R87" s="1574" t="str">
        <f t="shared" si="22"/>
        <v/>
      </c>
      <c r="S87" s="52" t="str">
        <f t="shared" si="26"/>
        <v/>
      </c>
      <c r="T87" s="52" t="str">
        <f t="shared" si="27"/>
        <v/>
      </c>
      <c r="U87" s="52" t="str">
        <f t="shared" si="24"/>
        <v/>
      </c>
      <c r="V87" s="52" t="str">
        <f t="shared" si="28"/>
        <v/>
      </c>
      <c r="W87" s="1578"/>
      <c r="X87" s="52" t="str">
        <f t="shared" si="25"/>
        <v/>
      </c>
      <c r="Y87" s="52" t="str">
        <f t="shared" si="4"/>
        <v/>
      </c>
      <c r="AA87" s="52">
        <f t="shared" si="11"/>
        <v>0</v>
      </c>
    </row>
    <row r="88" spans="2:27">
      <c r="B88" s="1532" t="str">
        <f t="shared" si="29"/>
        <v>Beast Trick</v>
      </c>
      <c r="C88" s="1795"/>
      <c r="D88" s="920" t="s">
        <v>2625</v>
      </c>
      <c r="E88" s="61" t="s">
        <v>2626</v>
      </c>
      <c r="F88" s="61"/>
      <c r="G88" s="61"/>
      <c r="H88" s="61"/>
      <c r="I88" s="61"/>
      <c r="J88" s="1687" t="s">
        <v>4772</v>
      </c>
      <c r="K88" s="63" t="str">
        <f ca="1">IF(Q88="Yes","Yes","No")</f>
        <v>No</v>
      </c>
      <c r="L88" s="76"/>
      <c r="M88" s="63">
        <f t="shared" si="0"/>
        <v>0</v>
      </c>
      <c r="N88" s="63" t="s">
        <v>2623</v>
      </c>
      <c r="O88" s="64"/>
      <c r="P88" s="660" t="str">
        <f t="shared" si="23"/>
        <v/>
      </c>
      <c r="Q88" s="52" t="str">
        <f t="shared" ca="1" si="30"/>
        <v>No</v>
      </c>
      <c r="R88" s="1574" t="str">
        <f t="shared" si="22"/>
        <v/>
      </c>
      <c r="S88" s="52" t="str">
        <f t="shared" si="26"/>
        <v/>
      </c>
      <c r="T88" s="52" t="str">
        <f t="shared" si="27"/>
        <v/>
      </c>
      <c r="U88" s="52" t="str">
        <f t="shared" si="24"/>
        <v/>
      </c>
      <c r="V88" s="52" t="str">
        <f t="shared" si="28"/>
        <v/>
      </c>
      <c r="W88" s="1578"/>
      <c r="X88" s="52" t="str">
        <f t="shared" si="25"/>
        <v/>
      </c>
      <c r="Y88" s="52" t="str">
        <f t="shared" si="4"/>
        <v/>
      </c>
      <c r="AA88" s="52">
        <f t="shared" ref="AA88:AA160" si="31">IF(U88&lt;&gt;"",IF(Z88="Defenses",U88&amp;IF(AA89&lt;&gt;"",", ",""),"")&amp;AA89,AA89)</f>
        <v>0</v>
      </c>
    </row>
    <row r="89" spans="2:27" ht="26">
      <c r="B89" s="1532" t="str">
        <f t="shared" si="29"/>
        <v>Channel Energy</v>
      </c>
      <c r="C89" s="1795"/>
      <c r="D89" s="920"/>
      <c r="E89" s="61" t="s">
        <v>4390</v>
      </c>
      <c r="F89" s="61"/>
      <c r="G89" s="61"/>
      <c r="H89" s="61"/>
      <c r="I89" s="61"/>
      <c r="J89" s="1687" t="s">
        <v>5966</v>
      </c>
      <c r="K89" s="63" t="str">
        <f ca="1">IF(AND(Q89="Yes",'The Force'!J56&gt;0),"Yes","No")</f>
        <v>No</v>
      </c>
      <c r="L89" s="76"/>
      <c r="M89" s="63">
        <f>IF(L89&lt;&gt;"",1,0)</f>
        <v>0</v>
      </c>
      <c r="N89" s="63" t="s">
        <v>4391</v>
      </c>
      <c r="O89" s="64"/>
      <c r="P89" s="660" t="str">
        <f t="shared" si="23"/>
        <v/>
      </c>
      <c r="Q89" s="52" t="str">
        <f ca="1">Q87</f>
        <v>No</v>
      </c>
      <c r="R89" s="1574" t="str">
        <f t="shared" si="22"/>
        <v/>
      </c>
      <c r="S89" s="52" t="str">
        <f t="shared" si="26"/>
        <v/>
      </c>
      <c r="T89" s="52" t="str">
        <f t="shared" si="27"/>
        <v/>
      </c>
      <c r="U89" s="52" t="str">
        <f t="shared" si="24"/>
        <v/>
      </c>
      <c r="V89" s="52" t="str">
        <f t="shared" si="28"/>
        <v/>
      </c>
      <c r="W89" s="1578"/>
      <c r="X89" s="52" t="str">
        <f t="shared" si="25"/>
        <v/>
      </c>
      <c r="Y89" s="52" t="str">
        <f t="shared" si="4"/>
        <v/>
      </c>
      <c r="AA89" s="52">
        <f t="shared" si="31"/>
        <v>0</v>
      </c>
    </row>
    <row r="90" spans="2:27">
      <c r="B90" s="1532" t="str">
        <f t="shared" si="29"/>
        <v>Damage Reduction 10</v>
      </c>
      <c r="C90" s="1795"/>
      <c r="D90" s="920"/>
      <c r="E90" s="61" t="s">
        <v>2627</v>
      </c>
      <c r="F90" s="61"/>
      <c r="G90" s="61"/>
      <c r="H90" s="61"/>
      <c r="I90" s="61"/>
      <c r="J90" s="1687" t="s">
        <v>4773</v>
      </c>
      <c r="K90" s="63" t="str">
        <f ca="1">IF(Q90="Yes","Yes","No")</f>
        <v>No</v>
      </c>
      <c r="L90" s="76"/>
      <c r="M90" s="63">
        <f t="shared" si="0"/>
        <v>0</v>
      </c>
      <c r="N90" s="63">
        <v>101</v>
      </c>
      <c r="O90" s="64"/>
      <c r="P90" s="660" t="str">
        <f t="shared" si="23"/>
        <v/>
      </c>
      <c r="Q90" s="52" t="str">
        <f ca="1">Q88</f>
        <v>No</v>
      </c>
      <c r="R90" s="1574" t="str">
        <f t="shared" si="22"/>
        <v/>
      </c>
      <c r="S90" s="52" t="str">
        <f t="shared" si="26"/>
        <v/>
      </c>
      <c r="T90" s="52" t="str">
        <f t="shared" si="27"/>
        <v/>
      </c>
      <c r="U90" s="52" t="str">
        <f t="shared" si="24"/>
        <v/>
      </c>
      <c r="V90" s="52" t="str">
        <f t="shared" si="28"/>
        <v/>
      </c>
      <c r="W90" s="1578"/>
      <c r="X90" s="52" t="str">
        <f t="shared" si="25"/>
        <v/>
      </c>
      <c r="Y90" s="52" t="str">
        <f t="shared" si="4"/>
        <v/>
      </c>
      <c r="AA90" s="52">
        <f t="shared" si="31"/>
        <v>0</v>
      </c>
    </row>
    <row r="91" spans="2:27">
      <c r="B91" s="1532" t="str">
        <f t="shared" si="29"/>
        <v>Equilibrium</v>
      </c>
      <c r="C91" s="1795"/>
      <c r="D91" s="920"/>
      <c r="E91" s="61" t="s">
        <v>2628</v>
      </c>
      <c r="F91" s="61"/>
      <c r="G91" s="61"/>
      <c r="H91" s="61"/>
      <c r="I91" s="61"/>
      <c r="J91" s="1687" t="s">
        <v>4774</v>
      </c>
      <c r="K91" s="63" t="str">
        <f ca="1">IF(Q91="Yes","Yes","No")</f>
        <v>No</v>
      </c>
      <c r="L91" s="76"/>
      <c r="M91" s="63">
        <f t="shared" si="0"/>
        <v>0</v>
      </c>
      <c r="N91" s="63">
        <v>101</v>
      </c>
      <c r="O91" s="64"/>
      <c r="P91" s="660" t="str">
        <f t="shared" si="23"/>
        <v/>
      </c>
      <c r="Q91" s="52" t="str">
        <f t="shared" ca="1" si="30"/>
        <v>No</v>
      </c>
      <c r="R91" s="1574" t="str">
        <f t="shared" si="22"/>
        <v/>
      </c>
      <c r="S91" s="52" t="str">
        <f t="shared" si="26"/>
        <v/>
      </c>
      <c r="T91" s="52" t="str">
        <f t="shared" si="27"/>
        <v/>
      </c>
      <c r="U91" s="52" t="str">
        <f t="shared" si="24"/>
        <v/>
      </c>
      <c r="V91" s="52" t="str">
        <f t="shared" si="28"/>
        <v/>
      </c>
      <c r="W91" s="1578"/>
      <c r="X91" s="52" t="str">
        <f t="shared" si="25"/>
        <v/>
      </c>
      <c r="Y91" s="52" t="str">
        <f t="shared" si="4"/>
        <v/>
      </c>
      <c r="AA91" s="52">
        <f t="shared" si="31"/>
        <v>0</v>
      </c>
    </row>
    <row r="92" spans="2:27">
      <c r="B92" s="1532" t="str">
        <f t="shared" si="29"/>
        <v>Force Recovery</v>
      </c>
      <c r="C92" s="1795"/>
      <c r="D92" s="920"/>
      <c r="E92" s="61"/>
      <c r="F92" s="61" t="s">
        <v>2629</v>
      </c>
      <c r="G92" s="61"/>
      <c r="H92" s="61"/>
      <c r="I92" s="61"/>
      <c r="J92" s="1687" t="s">
        <v>4775</v>
      </c>
      <c r="K92" s="63" t="str">
        <f ca="1">IF(AND(Q91="Yes",L91&lt;&gt;""),"Yes","No")</f>
        <v>No</v>
      </c>
      <c r="L92" s="76"/>
      <c r="M92" s="63">
        <f t="shared" si="0"/>
        <v>0</v>
      </c>
      <c r="N92" s="63">
        <v>101</v>
      </c>
      <c r="O92" s="64"/>
      <c r="P92" s="660" t="str">
        <f t="shared" si="23"/>
        <v/>
      </c>
      <c r="Q92" s="52" t="str">
        <f t="shared" ca="1" si="30"/>
        <v>No</v>
      </c>
      <c r="R92" s="1574" t="str">
        <f t="shared" si="22"/>
        <v/>
      </c>
      <c r="S92" s="52" t="str">
        <f t="shared" si="26"/>
        <v/>
      </c>
      <c r="T92" s="52" t="str">
        <f t="shared" si="27"/>
        <v/>
      </c>
      <c r="U92" s="52" t="str">
        <f t="shared" si="24"/>
        <v/>
      </c>
      <c r="V92" s="52" t="str">
        <f t="shared" si="28"/>
        <v/>
      </c>
      <c r="W92" s="1578"/>
      <c r="X92" s="52" t="str">
        <f t="shared" si="25"/>
        <v/>
      </c>
      <c r="Y92" s="52" t="str">
        <f t="shared" si="4"/>
        <v/>
      </c>
      <c r="AA92" s="52">
        <f t="shared" si="31"/>
        <v>0</v>
      </c>
    </row>
    <row r="93" spans="2:27" ht="52">
      <c r="B93" s="1532" t="str">
        <f t="shared" si="29"/>
        <v>Force Exertion</v>
      </c>
      <c r="C93" s="1795"/>
      <c r="D93" s="920"/>
      <c r="E93" s="61" t="s">
        <v>2630</v>
      </c>
      <c r="F93" s="61"/>
      <c r="G93" s="61"/>
      <c r="H93" s="61"/>
      <c r="I93" s="61"/>
      <c r="J93" s="1687" t="s">
        <v>4776</v>
      </c>
      <c r="K93" s="63" t="str">
        <f t="shared" ref="K93:K103" ca="1" si="32">IF(Q93="Yes","Yes","No")</f>
        <v>No</v>
      </c>
      <c r="L93" s="76"/>
      <c r="M93" s="63">
        <f>IF(L93&lt;&gt;"",L93,0)</f>
        <v>0</v>
      </c>
      <c r="N93" s="63" t="s">
        <v>2621</v>
      </c>
      <c r="O93" s="64"/>
      <c r="P93" s="660" t="str">
        <f t="shared" si="23"/>
        <v/>
      </c>
      <c r="Q93" s="52" t="str">
        <f t="shared" ca="1" si="30"/>
        <v>No</v>
      </c>
      <c r="R93" s="1574" t="str">
        <f t="shared" si="22"/>
        <v/>
      </c>
      <c r="S93" s="52" t="str">
        <f t="shared" si="26"/>
        <v/>
      </c>
      <c r="T93" s="52" t="str">
        <f t="shared" si="27"/>
        <v/>
      </c>
      <c r="U93" s="52" t="str">
        <f t="shared" si="24"/>
        <v/>
      </c>
      <c r="V93" s="52" t="str">
        <f t="shared" si="28"/>
        <v/>
      </c>
      <c r="W93" s="1578"/>
      <c r="X93" s="52" t="str">
        <f t="shared" si="25"/>
        <v/>
      </c>
      <c r="Y93" s="52" t="str">
        <f t="shared" ref="Y93:Y156" si="33">IF(U93&lt;&gt;"",IF(W93="Att Options",U93&amp;IF(Y94&lt;&gt;"",", ",""),"")&amp;Y94,Y94)</f>
        <v/>
      </c>
      <c r="AA93" s="52">
        <f t="shared" si="31"/>
        <v>0</v>
      </c>
    </row>
    <row r="94" spans="2:27">
      <c r="B94" s="1532" t="str">
        <f t="shared" si="29"/>
        <v>Force Focus</v>
      </c>
      <c r="C94" s="1795"/>
      <c r="D94" s="920"/>
      <c r="E94" s="61" t="s">
        <v>2631</v>
      </c>
      <c r="F94" s="61"/>
      <c r="G94" s="61"/>
      <c r="H94" s="61"/>
      <c r="I94" s="61"/>
      <c r="J94" s="1687" t="s">
        <v>4777</v>
      </c>
      <c r="K94" s="63" t="str">
        <f t="shared" ca="1" si="32"/>
        <v>No</v>
      </c>
      <c r="L94" s="76"/>
      <c r="M94" s="63">
        <f t="shared" ref="M94:M182" si="34">IF(L94&lt;&gt;"",1,0)</f>
        <v>0</v>
      </c>
      <c r="N94" s="63">
        <v>101</v>
      </c>
      <c r="O94" s="64"/>
      <c r="P94" s="660" t="str">
        <f t="shared" si="23"/>
        <v/>
      </c>
      <c r="Q94" s="52" t="str">
        <f t="shared" ca="1" si="30"/>
        <v>No</v>
      </c>
      <c r="R94" s="1574" t="str">
        <f t="shared" si="22"/>
        <v/>
      </c>
      <c r="S94" s="52" t="str">
        <f t="shared" si="26"/>
        <v/>
      </c>
      <c r="T94" s="52" t="str">
        <f t="shared" si="27"/>
        <v/>
      </c>
      <c r="U94" s="52" t="str">
        <f t="shared" si="24"/>
        <v/>
      </c>
      <c r="V94" s="52" t="str">
        <f t="shared" si="28"/>
        <v/>
      </c>
      <c r="W94" s="1578"/>
      <c r="X94" s="52" t="str">
        <f t="shared" si="25"/>
        <v/>
      </c>
      <c r="Y94" s="52" t="str">
        <f t="shared" si="33"/>
        <v/>
      </c>
      <c r="AA94" s="52">
        <f t="shared" si="31"/>
        <v>0</v>
      </c>
    </row>
    <row r="95" spans="2:27">
      <c r="B95" s="1532" t="str">
        <f t="shared" si="29"/>
        <v>Force Harmony</v>
      </c>
      <c r="C95" s="1795"/>
      <c r="D95" s="920"/>
      <c r="E95" s="61" t="s">
        <v>4392</v>
      </c>
      <c r="F95" s="61"/>
      <c r="G95" s="61"/>
      <c r="H95" s="61"/>
      <c r="I95" s="61"/>
      <c r="J95" s="1687" t="s">
        <v>5967</v>
      </c>
      <c r="K95" s="63" t="str">
        <f ca="1">IF(Q95="Yes","Yes","No")</f>
        <v>No</v>
      </c>
      <c r="L95" s="76"/>
      <c r="M95" s="63">
        <f>IF(L95&lt;&gt;"",1,0)</f>
        <v>0</v>
      </c>
      <c r="N95" s="63" t="s">
        <v>4391</v>
      </c>
      <c r="O95" s="64"/>
      <c r="P95" s="660" t="str">
        <f t="shared" si="23"/>
        <v/>
      </c>
      <c r="Q95" s="52" t="str">
        <f t="shared" ca="1" si="30"/>
        <v>No</v>
      </c>
      <c r="R95" s="1574" t="str">
        <f t="shared" si="22"/>
        <v/>
      </c>
      <c r="S95" s="52" t="str">
        <f t="shared" si="26"/>
        <v/>
      </c>
      <c r="T95" s="52" t="str">
        <f t="shared" si="27"/>
        <v/>
      </c>
      <c r="U95" s="52" t="str">
        <f t="shared" si="24"/>
        <v/>
      </c>
      <c r="V95" s="52" t="str">
        <f t="shared" si="28"/>
        <v/>
      </c>
      <c r="W95" s="1578"/>
      <c r="X95" s="52" t="str">
        <f t="shared" si="25"/>
        <v/>
      </c>
      <c r="Y95" s="52" t="str">
        <f t="shared" si="33"/>
        <v/>
      </c>
      <c r="AA95" s="52">
        <f t="shared" si="31"/>
        <v>0</v>
      </c>
    </row>
    <row r="96" spans="2:27" ht="26">
      <c r="B96" s="1532" t="str">
        <f t="shared" si="29"/>
        <v>Force Suppression</v>
      </c>
      <c r="C96" s="1795"/>
      <c r="D96" s="920"/>
      <c r="E96" s="61" t="s">
        <v>2632</v>
      </c>
      <c r="F96" s="61"/>
      <c r="G96" s="61"/>
      <c r="H96" s="61"/>
      <c r="I96" s="61"/>
      <c r="J96" s="1687" t="s">
        <v>4778</v>
      </c>
      <c r="K96" s="63" t="str">
        <f t="shared" ca="1" si="32"/>
        <v>No</v>
      </c>
      <c r="L96" s="76"/>
      <c r="M96" s="63">
        <f t="shared" si="34"/>
        <v>0</v>
      </c>
      <c r="N96" s="63" t="s">
        <v>2623</v>
      </c>
      <c r="O96" s="64"/>
      <c r="P96" s="660" t="str">
        <f t="shared" si="23"/>
        <v/>
      </c>
      <c r="Q96" s="52" t="str">
        <f ca="1">Q94</f>
        <v>No</v>
      </c>
      <c r="R96" s="1574" t="str">
        <f t="shared" si="22"/>
        <v/>
      </c>
      <c r="S96" s="52" t="str">
        <f t="shared" si="26"/>
        <v/>
      </c>
      <c r="T96" s="52" t="str">
        <f t="shared" si="27"/>
        <v/>
      </c>
      <c r="U96" s="52" t="str">
        <f t="shared" si="24"/>
        <v/>
      </c>
      <c r="V96" s="52" t="str">
        <f t="shared" si="28"/>
        <v/>
      </c>
      <c r="W96" s="1578"/>
      <c r="X96" s="52" t="str">
        <f t="shared" si="25"/>
        <v/>
      </c>
      <c r="Y96" s="52" t="str">
        <f t="shared" si="33"/>
        <v/>
      </c>
      <c r="AA96" s="52">
        <f t="shared" si="31"/>
        <v>0</v>
      </c>
    </row>
    <row r="97" spans="2:27">
      <c r="B97" s="1532" t="str">
        <f t="shared" si="29"/>
        <v>Indomitable Will</v>
      </c>
      <c r="C97" s="1795"/>
      <c r="D97" s="920"/>
      <c r="E97" s="61" t="s">
        <v>2633</v>
      </c>
      <c r="F97" s="61"/>
      <c r="G97" s="61"/>
      <c r="H97" s="61"/>
      <c r="I97" s="61"/>
      <c r="J97" s="1687" t="s">
        <v>4779</v>
      </c>
      <c r="K97" s="63" t="str">
        <f t="shared" ca="1" si="32"/>
        <v>No</v>
      </c>
      <c r="L97" s="76"/>
      <c r="M97" s="63">
        <f t="shared" si="34"/>
        <v>0</v>
      </c>
      <c r="N97" s="63" t="s">
        <v>2621</v>
      </c>
      <c r="O97" s="64"/>
      <c r="P97" s="660" t="str">
        <f t="shared" si="23"/>
        <v/>
      </c>
      <c r="Q97" s="52" t="str">
        <f t="shared" ca="1" si="30"/>
        <v>No</v>
      </c>
      <c r="R97" s="1574" t="str">
        <f t="shared" si="22"/>
        <v/>
      </c>
      <c r="S97" s="52" t="str">
        <f t="shared" si="26"/>
        <v/>
      </c>
      <c r="T97" s="52" t="str">
        <f t="shared" si="27"/>
        <v/>
      </c>
      <c r="U97" s="52" t="str">
        <f t="shared" si="24"/>
        <v/>
      </c>
      <c r="V97" s="52" t="str">
        <f t="shared" si="28"/>
        <v/>
      </c>
      <c r="W97" s="1578"/>
      <c r="X97" s="52" t="str">
        <f t="shared" si="25"/>
        <v/>
      </c>
      <c r="Y97" s="52" t="str">
        <f t="shared" si="33"/>
        <v/>
      </c>
      <c r="AA97" s="52">
        <f t="shared" si="31"/>
        <v>0</v>
      </c>
    </row>
    <row r="98" spans="2:27">
      <c r="B98" s="1532" t="str">
        <f t="shared" si="29"/>
        <v>Telekinetic Stability</v>
      </c>
      <c r="C98" s="1795"/>
      <c r="D98" s="920"/>
      <c r="E98" s="61" t="s">
        <v>2634</v>
      </c>
      <c r="F98" s="61"/>
      <c r="G98" s="61"/>
      <c r="H98" s="61"/>
      <c r="I98" s="61"/>
      <c r="J98" s="1687" t="s">
        <v>4780</v>
      </c>
      <c r="K98" s="63" t="str">
        <f t="shared" ca="1" si="32"/>
        <v>No</v>
      </c>
      <c r="L98" s="76"/>
      <c r="M98" s="63">
        <f t="shared" si="34"/>
        <v>0</v>
      </c>
      <c r="N98" s="63" t="s">
        <v>2618</v>
      </c>
      <c r="O98" s="64"/>
      <c r="P98" s="660" t="str">
        <f t="shared" si="23"/>
        <v/>
      </c>
      <c r="Q98" s="52" t="str">
        <f t="shared" ca="1" si="30"/>
        <v>No</v>
      </c>
      <c r="R98" s="1574" t="str">
        <f t="shared" si="22"/>
        <v/>
      </c>
      <c r="S98" s="52" t="str">
        <f t="shared" si="26"/>
        <v/>
      </c>
      <c r="T98" s="52" t="str">
        <f t="shared" si="27"/>
        <v/>
      </c>
      <c r="U98" s="52" t="str">
        <f t="shared" si="24"/>
        <v/>
      </c>
      <c r="V98" s="52" t="str">
        <f t="shared" si="28"/>
        <v/>
      </c>
      <c r="W98" s="1578"/>
      <c r="X98" s="52" t="str">
        <f t="shared" si="25"/>
        <v/>
      </c>
      <c r="Y98" s="52" t="str">
        <f t="shared" si="33"/>
        <v/>
      </c>
      <c r="AA98" s="52">
        <f t="shared" si="31"/>
        <v>0</v>
      </c>
    </row>
    <row r="99" spans="2:27" ht="26">
      <c r="B99" s="1532" t="str">
        <f t="shared" si="29"/>
        <v>The Will to Resist</v>
      </c>
      <c r="C99" s="1795"/>
      <c r="D99" s="920"/>
      <c r="E99" s="61" t="s">
        <v>2635</v>
      </c>
      <c r="F99" s="61"/>
      <c r="G99" s="61"/>
      <c r="H99" s="61"/>
      <c r="I99" s="61"/>
      <c r="J99" s="1687" t="s">
        <v>4781</v>
      </c>
      <c r="K99" s="63" t="str">
        <f t="shared" ca="1" si="32"/>
        <v>No</v>
      </c>
      <c r="L99" s="76"/>
      <c r="M99" s="63">
        <f t="shared" si="34"/>
        <v>0</v>
      </c>
      <c r="N99" s="63" t="s">
        <v>2611</v>
      </c>
      <c r="O99" s="64"/>
      <c r="P99" s="660" t="str">
        <f t="shared" si="23"/>
        <v/>
      </c>
      <c r="Q99" s="52" t="str">
        <f t="shared" ca="1" si="30"/>
        <v>No</v>
      </c>
      <c r="R99" s="1574" t="str">
        <f t="shared" si="22"/>
        <v/>
      </c>
      <c r="S99" s="52" t="str">
        <f t="shared" si="26"/>
        <v/>
      </c>
      <c r="T99" s="52" t="str">
        <f t="shared" si="27"/>
        <v/>
      </c>
      <c r="U99" s="52" t="str">
        <f t="shared" si="24"/>
        <v/>
      </c>
      <c r="V99" s="52" t="str">
        <f t="shared" si="28"/>
        <v/>
      </c>
      <c r="W99" s="1578"/>
      <c r="X99" s="52" t="str">
        <f t="shared" si="25"/>
        <v/>
      </c>
      <c r="Y99" s="52" t="str">
        <f t="shared" si="33"/>
        <v/>
      </c>
      <c r="AA99" s="52">
        <f t="shared" si="31"/>
        <v>0</v>
      </c>
    </row>
    <row r="100" spans="2:27">
      <c r="B100" s="1532" t="str">
        <f t="shared" si="29"/>
        <v>Consumed by Darkness</v>
      </c>
      <c r="C100" s="1795"/>
      <c r="D100" s="920" t="s">
        <v>2636</v>
      </c>
      <c r="E100" s="61" t="s">
        <v>2637</v>
      </c>
      <c r="F100" s="61"/>
      <c r="G100" s="61"/>
      <c r="H100" s="61"/>
      <c r="I100" s="61"/>
      <c r="J100" s="1687" t="s">
        <v>4782</v>
      </c>
      <c r="K100" s="63" t="str">
        <f t="shared" ca="1" si="32"/>
        <v>No</v>
      </c>
      <c r="L100" s="76"/>
      <c r="M100" s="63">
        <f t="shared" si="34"/>
        <v>0</v>
      </c>
      <c r="N100" s="63" t="s">
        <v>2611</v>
      </c>
      <c r="O100" s="64"/>
      <c r="P100" s="660" t="str">
        <f t="shared" si="23"/>
        <v/>
      </c>
      <c r="Q100" s="52" t="str">
        <f t="shared" ca="1" si="30"/>
        <v>No</v>
      </c>
      <c r="R100" s="1574" t="str">
        <f t="shared" si="22"/>
        <v/>
      </c>
      <c r="S100" s="52" t="str">
        <f t="shared" si="26"/>
        <v/>
      </c>
      <c r="T100" s="52" t="str">
        <f t="shared" si="27"/>
        <v/>
      </c>
      <c r="U100" s="52" t="str">
        <f t="shared" si="24"/>
        <v/>
      </c>
      <c r="V100" s="52" t="str">
        <f t="shared" si="28"/>
        <v/>
      </c>
      <c r="W100" s="1578"/>
      <c r="X100" s="52" t="str">
        <f t="shared" si="25"/>
        <v/>
      </c>
      <c r="Y100" s="52" t="str">
        <f t="shared" si="33"/>
        <v/>
      </c>
      <c r="AA100" s="52">
        <f t="shared" si="31"/>
        <v>0</v>
      </c>
    </row>
    <row r="101" spans="2:27" ht="26">
      <c r="B101" s="1532" t="str">
        <f t="shared" si="29"/>
        <v>Dark Side Savant</v>
      </c>
      <c r="C101" s="1795"/>
      <c r="D101" s="920"/>
      <c r="E101" s="61" t="s">
        <v>4393</v>
      </c>
      <c r="F101" s="61"/>
      <c r="G101" s="61"/>
      <c r="H101" s="61"/>
      <c r="I101" s="61"/>
      <c r="J101" s="1687" t="s">
        <v>5968</v>
      </c>
      <c r="K101" s="63" t="str">
        <f ca="1">IF(Q101="Yes","Yes","No")</f>
        <v>No</v>
      </c>
      <c r="L101" s="76"/>
      <c r="M101" s="63">
        <f>IF(L101&lt;&gt;"",1,0)</f>
        <v>0</v>
      </c>
      <c r="N101" s="63" t="s">
        <v>4391</v>
      </c>
      <c r="O101" s="64"/>
      <c r="P101" s="660" t="str">
        <f t="shared" si="23"/>
        <v/>
      </c>
      <c r="Q101" s="52" t="str">
        <f ca="1">Q99</f>
        <v>No</v>
      </c>
      <c r="R101" s="1574" t="str">
        <f t="shared" si="22"/>
        <v/>
      </c>
      <c r="S101" s="52" t="str">
        <f t="shared" si="26"/>
        <v/>
      </c>
      <c r="T101" s="52" t="str">
        <f t="shared" si="27"/>
        <v/>
      </c>
      <c r="U101" s="52" t="str">
        <f t="shared" si="24"/>
        <v/>
      </c>
      <c r="V101" s="52" t="str">
        <f t="shared" si="28"/>
        <v/>
      </c>
      <c r="W101" s="1578"/>
      <c r="X101" s="52" t="str">
        <f t="shared" si="25"/>
        <v/>
      </c>
      <c r="Y101" s="52" t="str">
        <f t="shared" si="33"/>
        <v/>
      </c>
      <c r="AA101" s="52">
        <f t="shared" si="31"/>
        <v>0</v>
      </c>
    </row>
    <row r="102" spans="2:27" ht="26">
      <c r="B102" s="1532" t="str">
        <f t="shared" si="29"/>
        <v>Drain Knowledge</v>
      </c>
      <c r="C102" s="1795"/>
      <c r="D102" s="920"/>
      <c r="E102" s="61" t="s">
        <v>2638</v>
      </c>
      <c r="F102" s="61"/>
      <c r="G102" s="61"/>
      <c r="H102" s="61"/>
      <c r="I102" s="61"/>
      <c r="J102" s="1687" t="s">
        <v>4783</v>
      </c>
      <c r="K102" s="63" t="str">
        <f t="shared" ca="1" si="32"/>
        <v>No</v>
      </c>
      <c r="L102" s="76"/>
      <c r="M102" s="63">
        <f t="shared" si="34"/>
        <v>0</v>
      </c>
      <c r="N102" s="63" t="s">
        <v>2639</v>
      </c>
      <c r="O102" s="64"/>
      <c r="P102" s="660" t="str">
        <f t="shared" si="23"/>
        <v/>
      </c>
      <c r="Q102" s="52" t="str">
        <f ca="1">Q100</f>
        <v>No</v>
      </c>
      <c r="R102" s="1574" t="str">
        <f t="shared" si="22"/>
        <v/>
      </c>
      <c r="S102" s="52" t="str">
        <f t="shared" si="26"/>
        <v/>
      </c>
      <c r="T102" s="52" t="str">
        <f t="shared" si="27"/>
        <v/>
      </c>
      <c r="U102" s="52" t="str">
        <f t="shared" si="24"/>
        <v/>
      </c>
      <c r="V102" s="52" t="str">
        <f t="shared" si="28"/>
        <v/>
      </c>
      <c r="W102" s="1578"/>
      <c r="X102" s="52" t="str">
        <f t="shared" si="25"/>
        <v/>
      </c>
      <c r="Y102" s="52" t="str">
        <f t="shared" si="33"/>
        <v/>
      </c>
      <c r="AA102" s="52">
        <f t="shared" si="31"/>
        <v>0</v>
      </c>
    </row>
    <row r="103" spans="2:27">
      <c r="B103" s="1532" t="str">
        <f t="shared" si="29"/>
        <v>Power of the Dark Side</v>
      </c>
      <c r="C103" s="1795"/>
      <c r="D103" s="920"/>
      <c r="E103" s="61" t="s">
        <v>2640</v>
      </c>
      <c r="F103" s="61"/>
      <c r="G103" s="61"/>
      <c r="H103" s="61"/>
      <c r="I103" s="61"/>
      <c r="J103" s="1687" t="s">
        <v>4784</v>
      </c>
      <c r="K103" s="63" t="str">
        <f t="shared" ca="1" si="32"/>
        <v>No</v>
      </c>
      <c r="L103" s="76"/>
      <c r="M103" s="63">
        <f t="shared" si="34"/>
        <v>0</v>
      </c>
      <c r="N103" s="63">
        <v>101</v>
      </c>
      <c r="O103" s="64"/>
      <c r="P103" s="660" t="str">
        <f t="shared" si="23"/>
        <v/>
      </c>
      <c r="Q103" s="52" t="str">
        <f t="shared" ca="1" si="30"/>
        <v>No</v>
      </c>
      <c r="R103" s="1574" t="str">
        <f t="shared" si="22"/>
        <v/>
      </c>
      <c r="S103" s="52" t="str">
        <f t="shared" si="26"/>
        <v/>
      </c>
      <c r="T103" s="52" t="str">
        <f t="shared" si="27"/>
        <v/>
      </c>
      <c r="U103" s="52" t="str">
        <f t="shared" si="24"/>
        <v/>
      </c>
      <c r="V103" s="52" t="str">
        <f t="shared" si="28"/>
        <v/>
      </c>
      <c r="W103" s="1578"/>
      <c r="X103" s="52" t="str">
        <f t="shared" si="25"/>
        <v/>
      </c>
      <c r="Y103" s="52" t="str">
        <f t="shared" si="33"/>
        <v/>
      </c>
      <c r="AA103" s="52">
        <f t="shared" si="31"/>
        <v>0</v>
      </c>
    </row>
    <row r="104" spans="2:27">
      <c r="B104" s="1532" t="str">
        <f t="shared" si="29"/>
        <v>Dark Presence</v>
      </c>
      <c r="C104" s="1795"/>
      <c r="D104" s="920"/>
      <c r="E104" s="61"/>
      <c r="F104" s="61" t="s">
        <v>2641</v>
      </c>
      <c r="G104" s="61"/>
      <c r="H104" s="61"/>
      <c r="I104" s="61"/>
      <c r="J104" s="1687" t="s">
        <v>4785</v>
      </c>
      <c r="K104" s="63" t="str">
        <f ca="1">IF(AND(Q103="Yes",L103&lt;&gt;""),"Yes","No")</f>
        <v>No</v>
      </c>
      <c r="L104" s="76"/>
      <c r="M104" s="63">
        <f t="shared" si="34"/>
        <v>0</v>
      </c>
      <c r="N104" s="63">
        <v>101</v>
      </c>
      <c r="O104" s="64"/>
      <c r="P104" s="660" t="str">
        <f t="shared" si="23"/>
        <v/>
      </c>
      <c r="Q104" s="52" t="str">
        <f t="shared" ca="1" si="30"/>
        <v>No</v>
      </c>
      <c r="R104" s="1574" t="str">
        <f t="shared" si="22"/>
        <v/>
      </c>
      <c r="S104" s="52" t="str">
        <f t="shared" si="26"/>
        <v/>
      </c>
      <c r="T104" s="52" t="str">
        <f t="shared" si="27"/>
        <v/>
      </c>
      <c r="U104" s="52" t="str">
        <f t="shared" si="24"/>
        <v/>
      </c>
      <c r="V104" s="52" t="str">
        <f t="shared" si="28"/>
        <v/>
      </c>
      <c r="W104" s="1578"/>
      <c r="X104" s="52" t="str">
        <f t="shared" si="25"/>
        <v/>
      </c>
      <c r="Y104" s="52" t="str">
        <f t="shared" si="33"/>
        <v/>
      </c>
      <c r="AA104" s="52">
        <f t="shared" si="31"/>
        <v>0</v>
      </c>
    </row>
    <row r="105" spans="2:27" ht="26">
      <c r="B105" s="1532" t="str">
        <f t="shared" si="29"/>
        <v>Revenge</v>
      </c>
      <c r="C105" s="1795"/>
      <c r="D105" s="920"/>
      <c r="E105" s="61"/>
      <c r="F105" s="61"/>
      <c r="G105" s="61" t="s">
        <v>2642</v>
      </c>
      <c r="H105" s="61"/>
      <c r="I105" s="61"/>
      <c r="J105" s="1687" t="s">
        <v>4786</v>
      </c>
      <c r="K105" s="63" t="str">
        <f ca="1">IF(AND(Q104="Yes",L104&lt;&gt;""),"Yes","No")</f>
        <v>No</v>
      </c>
      <c r="L105" s="76"/>
      <c r="M105" s="63">
        <f t="shared" si="34"/>
        <v>0</v>
      </c>
      <c r="N105" s="63">
        <v>101</v>
      </c>
      <c r="O105" s="64"/>
      <c r="P105" s="660" t="str">
        <f t="shared" si="23"/>
        <v/>
      </c>
      <c r="Q105" s="52" t="str">
        <f t="shared" ca="1" si="30"/>
        <v>No</v>
      </c>
      <c r="R105" s="1574" t="str">
        <f t="shared" si="22"/>
        <v/>
      </c>
      <c r="S105" s="52" t="str">
        <f t="shared" si="26"/>
        <v/>
      </c>
      <c r="T105" s="52" t="str">
        <f t="shared" si="27"/>
        <v/>
      </c>
      <c r="U105" s="52" t="str">
        <f t="shared" si="24"/>
        <v/>
      </c>
      <c r="V105" s="52" t="str">
        <f t="shared" si="28"/>
        <v/>
      </c>
      <c r="W105" s="1578"/>
      <c r="X105" s="52" t="str">
        <f t="shared" si="25"/>
        <v/>
      </c>
      <c r="Y105" s="52" t="str">
        <f t="shared" si="33"/>
        <v/>
      </c>
      <c r="AA105" s="52">
        <f t="shared" si="31"/>
        <v>0</v>
      </c>
    </row>
    <row r="106" spans="2:27">
      <c r="B106" s="1532" t="str">
        <f t="shared" si="29"/>
        <v>Dark Preservation</v>
      </c>
      <c r="C106" s="1795"/>
      <c r="D106" s="920"/>
      <c r="E106" s="61"/>
      <c r="F106" s="61" t="s">
        <v>2643</v>
      </c>
      <c r="G106" s="61"/>
      <c r="H106" s="61"/>
      <c r="I106" s="61"/>
      <c r="J106" s="1687" t="s">
        <v>4787</v>
      </c>
      <c r="K106" s="63" t="str">
        <f ca="1">IF(AND(Q105="Yes",L103&lt;&gt;""),"Yes","No")</f>
        <v>No</v>
      </c>
      <c r="L106" s="76"/>
      <c r="M106" s="63">
        <f t="shared" si="34"/>
        <v>0</v>
      </c>
      <c r="N106" s="63" t="s">
        <v>2618</v>
      </c>
      <c r="O106" s="64"/>
      <c r="P106" s="660" t="str">
        <f t="shared" si="23"/>
        <v/>
      </c>
      <c r="Q106" s="52" t="str">
        <f t="shared" ca="1" si="30"/>
        <v>No</v>
      </c>
      <c r="R106" s="1574" t="str">
        <f t="shared" si="22"/>
        <v/>
      </c>
      <c r="S106" s="52" t="str">
        <f t="shared" si="26"/>
        <v/>
      </c>
      <c r="T106" s="52" t="str">
        <f t="shared" si="27"/>
        <v/>
      </c>
      <c r="U106" s="52" t="str">
        <f t="shared" si="24"/>
        <v/>
      </c>
      <c r="V106" s="52" t="str">
        <f t="shared" si="28"/>
        <v/>
      </c>
      <c r="W106" s="1578"/>
      <c r="X106" s="52" t="str">
        <f t="shared" si="25"/>
        <v/>
      </c>
      <c r="Y106" s="52" t="str">
        <f t="shared" si="33"/>
        <v/>
      </c>
      <c r="AA106" s="52">
        <f t="shared" si="31"/>
        <v>0</v>
      </c>
    </row>
    <row r="107" spans="2:27">
      <c r="B107" s="1532" t="str">
        <f t="shared" si="29"/>
        <v>Swift Power</v>
      </c>
      <c r="C107" s="1795"/>
      <c r="D107" s="920"/>
      <c r="E107" s="61"/>
      <c r="F107" s="61" t="s">
        <v>2644</v>
      </c>
      <c r="G107" s="61"/>
      <c r="H107" s="61"/>
      <c r="I107" s="61"/>
      <c r="J107" s="1687" t="s">
        <v>4788</v>
      </c>
      <c r="K107" s="63" t="str">
        <f ca="1">IF(AND(Q106="Yes",L103&lt;&gt;""),"Yes","No")</f>
        <v>No</v>
      </c>
      <c r="L107" s="76"/>
      <c r="M107" s="63">
        <f t="shared" si="34"/>
        <v>0</v>
      </c>
      <c r="N107" s="63">
        <v>101</v>
      </c>
      <c r="O107" s="64"/>
      <c r="P107" s="660" t="str">
        <f t="shared" si="23"/>
        <v/>
      </c>
      <c r="Q107" s="52" t="str">
        <f t="shared" ca="1" si="30"/>
        <v>No</v>
      </c>
      <c r="R107" s="1574" t="str">
        <f t="shared" si="22"/>
        <v/>
      </c>
      <c r="S107" s="52" t="str">
        <f t="shared" si="26"/>
        <v/>
      </c>
      <c r="T107" s="52" t="str">
        <f t="shared" si="27"/>
        <v/>
      </c>
      <c r="U107" s="52" t="str">
        <f t="shared" si="24"/>
        <v/>
      </c>
      <c r="V107" s="52" t="str">
        <f t="shared" si="28"/>
        <v/>
      </c>
      <c r="W107" s="1578"/>
      <c r="X107" s="52" t="str">
        <f t="shared" si="25"/>
        <v/>
      </c>
      <c r="Y107" s="52" t="str">
        <f t="shared" si="33"/>
        <v/>
      </c>
      <c r="AA107" s="52">
        <f t="shared" si="31"/>
        <v>0</v>
      </c>
    </row>
    <row r="108" spans="2:27" ht="26">
      <c r="B108" s="1532" t="str">
        <f t="shared" si="29"/>
        <v>Wrath of the Dark Side</v>
      </c>
      <c r="C108" s="1795"/>
      <c r="D108" s="920"/>
      <c r="E108" s="61"/>
      <c r="F108" s="61" t="s">
        <v>2645</v>
      </c>
      <c r="G108" s="61"/>
      <c r="H108" s="61"/>
      <c r="I108" s="61"/>
      <c r="J108" s="1687" t="s">
        <v>4789</v>
      </c>
      <c r="K108" s="63" t="str">
        <f ca="1">IF(AND(Q107="Yes",L103&lt;&gt;""),"Yes","No")</f>
        <v>No</v>
      </c>
      <c r="L108" s="76"/>
      <c r="M108" s="63">
        <f t="shared" si="34"/>
        <v>0</v>
      </c>
      <c r="N108" s="63" t="s">
        <v>2621</v>
      </c>
      <c r="O108" s="64"/>
      <c r="P108" s="660" t="str">
        <f t="shared" si="23"/>
        <v/>
      </c>
      <c r="Q108" s="52" t="str">
        <f t="shared" ca="1" si="30"/>
        <v>No</v>
      </c>
      <c r="R108" s="1574" t="str">
        <f t="shared" si="22"/>
        <v/>
      </c>
      <c r="S108" s="52" t="str">
        <f t="shared" si="26"/>
        <v/>
      </c>
      <c r="T108" s="52" t="str">
        <f t="shared" si="27"/>
        <v/>
      </c>
      <c r="U108" s="52" t="str">
        <f t="shared" si="24"/>
        <v/>
      </c>
      <c r="V108" s="52" t="str">
        <f t="shared" si="28"/>
        <v/>
      </c>
      <c r="W108" s="1578"/>
      <c r="X108" s="52" t="str">
        <f t="shared" si="25"/>
        <v/>
      </c>
      <c r="Y108" s="52" t="str">
        <f t="shared" si="33"/>
        <v/>
      </c>
      <c r="AA108" s="52">
        <f t="shared" si="31"/>
        <v>0</v>
      </c>
    </row>
    <row r="109" spans="2:27">
      <c r="B109" s="1532" t="str">
        <f t="shared" si="29"/>
        <v>Transfer Essence</v>
      </c>
      <c r="C109" s="1795"/>
      <c r="D109" s="920"/>
      <c r="E109" s="61" t="s">
        <v>4394</v>
      </c>
      <c r="F109" s="61"/>
      <c r="G109" s="61"/>
      <c r="H109" s="61"/>
      <c r="I109" s="61"/>
      <c r="J109" s="1687" t="s">
        <v>5837</v>
      </c>
      <c r="K109" s="63" t="str">
        <f ca="1">IF(AND(Q109="Yes",DSP&gt;=Wisdom),"Yes","No")</f>
        <v>No</v>
      </c>
      <c r="L109" s="76"/>
      <c r="M109" s="63">
        <f t="shared" ref="M109:M114" si="35">IF(L109&lt;&gt;"",1,0)</f>
        <v>0</v>
      </c>
      <c r="N109" s="63" t="s">
        <v>4391</v>
      </c>
      <c r="O109" s="64"/>
      <c r="P109" s="660" t="str">
        <f t="shared" si="23"/>
        <v/>
      </c>
      <c r="Q109" s="52" t="str">
        <f t="shared" ca="1" si="30"/>
        <v>No</v>
      </c>
      <c r="R109" s="1574" t="str">
        <f t="shared" si="22"/>
        <v/>
      </c>
      <c r="S109" s="52" t="str">
        <f t="shared" si="26"/>
        <v/>
      </c>
      <c r="T109" s="52" t="str">
        <f t="shared" si="27"/>
        <v/>
      </c>
      <c r="U109" s="52" t="str">
        <f t="shared" si="24"/>
        <v/>
      </c>
      <c r="V109" s="52" t="str">
        <f t="shared" si="28"/>
        <v/>
      </c>
      <c r="W109" s="1578"/>
      <c r="X109" s="52" t="str">
        <f t="shared" si="25"/>
        <v/>
      </c>
      <c r="Y109" s="52" t="str">
        <f t="shared" si="33"/>
        <v/>
      </c>
      <c r="AA109" s="52">
        <f t="shared" si="31"/>
        <v>0</v>
      </c>
    </row>
    <row r="110" spans="2:27" ht="26">
      <c r="B110" s="1532" t="str">
        <f t="shared" si="29"/>
        <v>Guardian Spirit</v>
      </c>
      <c r="C110" s="1795"/>
      <c r="D110" s="920" t="s">
        <v>4395</v>
      </c>
      <c r="E110" s="61" t="s">
        <v>4395</v>
      </c>
      <c r="F110" s="61"/>
      <c r="G110" s="61"/>
      <c r="H110" s="61"/>
      <c r="I110" s="61"/>
      <c r="J110" s="1687" t="s">
        <v>5838</v>
      </c>
      <c r="K110" s="63" t="str">
        <f ca="1">IF(Q110="Yes","Yes","No")</f>
        <v>No</v>
      </c>
      <c r="L110" s="76"/>
      <c r="M110" s="63">
        <f t="shared" si="35"/>
        <v>0</v>
      </c>
      <c r="N110" s="63" t="s">
        <v>4391</v>
      </c>
      <c r="O110" s="64"/>
      <c r="P110" s="660" t="str">
        <f t="shared" si="23"/>
        <v/>
      </c>
      <c r="Q110" s="52" t="str">
        <f t="shared" ref="Q110:Q115" ca="1" si="36">Q103</f>
        <v>No</v>
      </c>
      <c r="R110" s="1574" t="str">
        <f t="shared" si="22"/>
        <v/>
      </c>
      <c r="S110" s="52" t="str">
        <f t="shared" si="26"/>
        <v/>
      </c>
      <c r="T110" s="52" t="str">
        <f t="shared" si="27"/>
        <v/>
      </c>
      <c r="U110" s="52" t="str">
        <f t="shared" si="24"/>
        <v/>
      </c>
      <c r="V110" s="52" t="str">
        <f t="shared" si="28"/>
        <v/>
      </c>
      <c r="W110" s="1578"/>
      <c r="X110" s="52" t="str">
        <f t="shared" si="25"/>
        <v/>
      </c>
      <c r="Y110" s="52" t="str">
        <f t="shared" si="33"/>
        <v/>
      </c>
      <c r="AA110" s="52">
        <f t="shared" si="31"/>
        <v>0</v>
      </c>
    </row>
    <row r="111" spans="2:27">
      <c r="B111" s="1532" t="str">
        <f t="shared" si="29"/>
        <v>Crucial Advice</v>
      </c>
      <c r="C111" s="1795"/>
      <c r="D111" s="920"/>
      <c r="E111" s="61"/>
      <c r="F111" s="61" t="s">
        <v>4396</v>
      </c>
      <c r="G111" s="61"/>
      <c r="H111" s="61"/>
      <c r="I111" s="61"/>
      <c r="J111" s="1687" t="s">
        <v>5839</v>
      </c>
      <c r="K111" s="63" t="str">
        <f ca="1">IF(AND(Q111="Yes",L$110&lt;&gt;""),"Yes","No")</f>
        <v>No</v>
      </c>
      <c r="L111" s="76"/>
      <c r="M111" s="63">
        <f t="shared" si="35"/>
        <v>0</v>
      </c>
      <c r="N111" s="63" t="s">
        <v>4400</v>
      </c>
      <c r="O111" s="64"/>
      <c r="P111" s="660" t="str">
        <f t="shared" si="23"/>
        <v/>
      </c>
      <c r="Q111" s="52" t="str">
        <f t="shared" ca="1" si="36"/>
        <v>No</v>
      </c>
      <c r="R111" s="1574" t="str">
        <f t="shared" si="22"/>
        <v/>
      </c>
      <c r="S111" s="52" t="str">
        <f t="shared" si="26"/>
        <v/>
      </c>
      <c r="T111" s="52" t="str">
        <f t="shared" si="27"/>
        <v/>
      </c>
      <c r="U111" s="52" t="str">
        <f t="shared" si="24"/>
        <v/>
      </c>
      <c r="V111" s="52" t="str">
        <f t="shared" si="28"/>
        <v/>
      </c>
      <c r="W111" s="1578"/>
      <c r="X111" s="52" t="str">
        <f t="shared" si="25"/>
        <v/>
      </c>
      <c r="Y111" s="52" t="str">
        <f t="shared" si="33"/>
        <v/>
      </c>
      <c r="AA111" s="52">
        <f t="shared" si="31"/>
        <v>0</v>
      </c>
    </row>
    <row r="112" spans="2:27" ht="39">
      <c r="B112" s="1532" t="str">
        <f t="shared" si="29"/>
        <v>Manifest Guardian Spirit</v>
      </c>
      <c r="C112" s="1795"/>
      <c r="D112" s="920"/>
      <c r="E112" s="61"/>
      <c r="F112" s="61" t="s">
        <v>4397</v>
      </c>
      <c r="G112" s="61"/>
      <c r="H112" s="61"/>
      <c r="I112" s="61"/>
      <c r="J112" s="1687" t="s">
        <v>5840</v>
      </c>
      <c r="K112" s="63" t="str">
        <f ca="1">IF(AND(Q112="Yes",L$110&lt;&gt;""),"Yes","No")</f>
        <v>No</v>
      </c>
      <c r="L112" s="76"/>
      <c r="M112" s="63">
        <f t="shared" si="35"/>
        <v>0</v>
      </c>
      <c r="N112" s="63" t="s">
        <v>4400</v>
      </c>
      <c r="O112" s="64"/>
      <c r="P112" s="660" t="str">
        <f t="shared" si="23"/>
        <v/>
      </c>
      <c r="Q112" s="52" t="str">
        <f t="shared" ca="1" si="36"/>
        <v>No</v>
      </c>
      <c r="R112" s="1574" t="str">
        <f t="shared" si="22"/>
        <v/>
      </c>
      <c r="S112" s="52" t="str">
        <f t="shared" si="26"/>
        <v/>
      </c>
      <c r="T112" s="52" t="str">
        <f t="shared" si="27"/>
        <v/>
      </c>
      <c r="U112" s="52" t="str">
        <f t="shared" si="24"/>
        <v/>
      </c>
      <c r="V112" s="52" t="str">
        <f t="shared" si="28"/>
        <v/>
      </c>
      <c r="W112" s="1578"/>
      <c r="X112" s="52" t="str">
        <f t="shared" si="25"/>
        <v/>
      </c>
      <c r="Y112" s="52" t="str">
        <f t="shared" si="33"/>
        <v/>
      </c>
      <c r="AA112" s="52">
        <f t="shared" si="31"/>
        <v>0</v>
      </c>
    </row>
    <row r="113" spans="2:27">
      <c r="B113" s="1532" t="str">
        <f t="shared" si="29"/>
        <v>Distracting Apparition</v>
      </c>
      <c r="C113" s="1795"/>
      <c r="D113" s="920"/>
      <c r="E113" s="61"/>
      <c r="F113" s="61"/>
      <c r="G113" s="61" t="s">
        <v>4399</v>
      </c>
      <c r="H113" s="61"/>
      <c r="I113" s="61"/>
      <c r="J113" s="1687" t="s">
        <v>5841</v>
      </c>
      <c r="K113" s="63" t="str">
        <f ca="1">IF(AND(Q113="Yes",L112&lt;&gt;""),"Yes","No")</f>
        <v>No</v>
      </c>
      <c r="L113" s="76"/>
      <c r="M113" s="63">
        <f t="shared" si="35"/>
        <v>0</v>
      </c>
      <c r="N113" s="63" t="s">
        <v>4400</v>
      </c>
      <c r="O113" s="64"/>
      <c r="P113" s="660" t="str">
        <f t="shared" si="23"/>
        <v/>
      </c>
      <c r="Q113" s="52" t="str">
        <f t="shared" ca="1" si="36"/>
        <v>No</v>
      </c>
      <c r="R113" s="1574" t="str">
        <f t="shared" si="22"/>
        <v/>
      </c>
      <c r="S113" s="52" t="str">
        <f t="shared" si="26"/>
        <v/>
      </c>
      <c r="T113" s="52" t="str">
        <f t="shared" si="27"/>
        <v/>
      </c>
      <c r="U113" s="52" t="str">
        <f t="shared" si="24"/>
        <v/>
      </c>
      <c r="V113" s="52" t="str">
        <f t="shared" si="28"/>
        <v/>
      </c>
      <c r="W113" s="1578"/>
      <c r="X113" s="52" t="str">
        <f t="shared" si="25"/>
        <v/>
      </c>
      <c r="Y113" s="52" t="str">
        <f t="shared" si="33"/>
        <v/>
      </c>
      <c r="AA113" s="52">
        <f t="shared" si="31"/>
        <v>0</v>
      </c>
    </row>
    <row r="114" spans="2:27">
      <c r="B114" s="1532" t="str">
        <f t="shared" si="29"/>
        <v>Vital Encouragement</v>
      </c>
      <c r="C114" s="1795"/>
      <c r="D114" s="920"/>
      <c r="E114" s="61"/>
      <c r="F114" s="61" t="s">
        <v>4398</v>
      </c>
      <c r="G114" s="61"/>
      <c r="H114" s="61"/>
      <c r="I114" s="61"/>
      <c r="J114" s="1687" t="s">
        <v>5842</v>
      </c>
      <c r="K114" s="63" t="str">
        <f ca="1">IF(AND(Q114="Yes",L$110&lt;&gt;""),"Yes","No")</f>
        <v>No</v>
      </c>
      <c r="L114" s="76"/>
      <c r="M114" s="63">
        <f t="shared" si="35"/>
        <v>0</v>
      </c>
      <c r="N114" s="63" t="s">
        <v>4400</v>
      </c>
      <c r="O114" s="64"/>
      <c r="P114" s="660" t="str">
        <f t="shared" si="23"/>
        <v/>
      </c>
      <c r="Q114" s="52" t="str">
        <f t="shared" ca="1" si="36"/>
        <v>No</v>
      </c>
      <c r="R114" s="1574" t="str">
        <f t="shared" si="22"/>
        <v/>
      </c>
      <c r="S114" s="52" t="str">
        <f t="shared" si="26"/>
        <v/>
      </c>
      <c r="T114" s="52" t="str">
        <f t="shared" si="27"/>
        <v/>
      </c>
      <c r="U114" s="52" t="str">
        <f t="shared" si="24"/>
        <v/>
      </c>
      <c r="V114" s="52" t="str">
        <f t="shared" si="28"/>
        <v/>
      </c>
      <c r="W114" s="1578"/>
      <c r="X114" s="52" t="str">
        <f t="shared" si="25"/>
        <v/>
      </c>
      <c r="Y114" s="52" t="str">
        <f t="shared" si="33"/>
        <v/>
      </c>
      <c r="AA114" s="52">
        <f t="shared" si="31"/>
        <v>0</v>
      </c>
    </row>
    <row r="115" spans="2:27">
      <c r="B115" s="1532" t="str">
        <f t="shared" si="29"/>
        <v>At Peace</v>
      </c>
      <c r="C115" s="1795"/>
      <c r="D115" s="920" t="s">
        <v>2646</v>
      </c>
      <c r="E115" s="61" t="s">
        <v>2647</v>
      </c>
      <c r="F115" s="61"/>
      <c r="G115" s="61"/>
      <c r="H115" s="61"/>
      <c r="I115" s="61"/>
      <c r="J115" s="1687" t="s">
        <v>4790</v>
      </c>
      <c r="K115" s="63" t="str">
        <f ca="1">IF(Q115="Yes","Yes","No")</f>
        <v>No</v>
      </c>
      <c r="L115" s="76"/>
      <c r="M115" s="63">
        <f t="shared" si="34"/>
        <v>0</v>
      </c>
      <c r="N115" s="63" t="s">
        <v>2611</v>
      </c>
      <c r="O115" s="64"/>
      <c r="P115" s="660" t="str">
        <f t="shared" si="23"/>
        <v/>
      </c>
      <c r="Q115" s="52" t="str">
        <f t="shared" ca="1" si="36"/>
        <v>No</v>
      </c>
      <c r="R115" s="1574" t="str">
        <f t="shared" si="22"/>
        <v/>
      </c>
      <c r="S115" s="52" t="str">
        <f t="shared" si="26"/>
        <v/>
      </c>
      <c r="T115" s="52" t="str">
        <f t="shared" si="27"/>
        <v/>
      </c>
      <c r="U115" s="52" t="str">
        <f t="shared" si="24"/>
        <v/>
      </c>
      <c r="V115" s="52" t="str">
        <f t="shared" si="28"/>
        <v/>
      </c>
      <c r="W115" s="1578"/>
      <c r="X115" s="52" t="str">
        <f t="shared" si="25"/>
        <v/>
      </c>
      <c r="Y115" s="52" t="str">
        <f t="shared" si="33"/>
        <v/>
      </c>
      <c r="AA115" s="52">
        <f t="shared" si="31"/>
        <v>0</v>
      </c>
    </row>
    <row r="116" spans="2:27" ht="26">
      <c r="B116" s="1532" t="str">
        <f t="shared" si="29"/>
        <v>Focused Attack</v>
      </c>
      <c r="C116" s="1795"/>
      <c r="D116" s="920"/>
      <c r="E116" s="61" t="s">
        <v>2648</v>
      </c>
      <c r="F116" s="61"/>
      <c r="G116" s="61"/>
      <c r="H116" s="61"/>
      <c r="I116" s="61"/>
      <c r="J116" s="1687" t="s">
        <v>4791</v>
      </c>
      <c r="K116" s="63" t="str">
        <f ca="1">IF(Q116="Yes","Yes","No")</f>
        <v>No</v>
      </c>
      <c r="L116" s="76"/>
      <c r="M116" s="63">
        <f t="shared" si="34"/>
        <v>0</v>
      </c>
      <c r="N116" s="63" t="s">
        <v>2611</v>
      </c>
      <c r="O116" s="64"/>
      <c r="P116" s="660" t="str">
        <f t="shared" si="23"/>
        <v/>
      </c>
      <c r="Q116" s="52" t="str">
        <f t="shared" ca="1" si="30"/>
        <v>No</v>
      </c>
      <c r="R116" s="1574" t="str">
        <f t="shared" si="22"/>
        <v/>
      </c>
      <c r="S116" s="52" t="str">
        <f t="shared" si="26"/>
        <v/>
      </c>
      <c r="T116" s="52" t="str">
        <f t="shared" si="27"/>
        <v/>
      </c>
      <c r="U116" s="52" t="str">
        <f t="shared" si="24"/>
        <v/>
      </c>
      <c r="V116" s="52" t="str">
        <f t="shared" si="28"/>
        <v/>
      </c>
      <c r="W116" s="1578"/>
      <c r="X116" s="52" t="str">
        <f t="shared" si="25"/>
        <v/>
      </c>
      <c r="Y116" s="52" t="str">
        <f t="shared" si="33"/>
        <v/>
      </c>
      <c r="AA116" s="52">
        <f t="shared" si="31"/>
        <v>0</v>
      </c>
    </row>
    <row r="117" spans="2:27" ht="26">
      <c r="B117" s="1532" t="str">
        <f t="shared" si="29"/>
        <v>Attuned</v>
      </c>
      <c r="C117" s="1795"/>
      <c r="D117" s="920"/>
      <c r="E117" s="61"/>
      <c r="F117" s="61" t="s">
        <v>2649</v>
      </c>
      <c r="G117" s="61"/>
      <c r="H117" s="61"/>
      <c r="I117" s="61"/>
      <c r="J117" s="1687" t="s">
        <v>4792</v>
      </c>
      <c r="K117" s="63" t="str">
        <f ca="1">IF(AND(Q116="Yes",L116&lt;&gt;""),"Yes","No")</f>
        <v>No</v>
      </c>
      <c r="L117" s="76"/>
      <c r="M117" s="63">
        <f t="shared" si="34"/>
        <v>0</v>
      </c>
      <c r="N117" s="63" t="s">
        <v>2611</v>
      </c>
      <c r="O117" s="64"/>
      <c r="P117" s="660" t="str">
        <f t="shared" si="23"/>
        <v/>
      </c>
      <c r="Q117" s="52" t="str">
        <f t="shared" ca="1" si="30"/>
        <v>No</v>
      </c>
      <c r="R117" s="1574" t="str">
        <f t="shared" si="22"/>
        <v/>
      </c>
      <c r="S117" s="52" t="str">
        <f t="shared" si="26"/>
        <v/>
      </c>
      <c r="T117" s="52" t="str">
        <f t="shared" si="27"/>
        <v/>
      </c>
      <c r="U117" s="52" t="str">
        <f t="shared" si="24"/>
        <v/>
      </c>
      <c r="V117" s="52" t="str">
        <f t="shared" si="28"/>
        <v/>
      </c>
      <c r="W117" s="1578"/>
      <c r="X117" s="52" t="str">
        <f t="shared" si="25"/>
        <v/>
      </c>
      <c r="Y117" s="52" t="str">
        <f t="shared" si="33"/>
        <v/>
      </c>
      <c r="AA117" s="52">
        <f t="shared" si="31"/>
        <v>0</v>
      </c>
    </row>
    <row r="118" spans="2:27" ht="26">
      <c r="B118" s="1532" t="str">
        <f t="shared" si="29"/>
        <v>Surge of Light</v>
      </c>
      <c r="C118" s="1795"/>
      <c r="D118" s="920"/>
      <c r="E118" s="61" t="s">
        <v>2650</v>
      </c>
      <c r="F118" s="61"/>
      <c r="G118" s="61"/>
      <c r="H118" s="61"/>
      <c r="I118" s="61"/>
      <c r="J118" s="1687" t="s">
        <v>4793</v>
      </c>
      <c r="K118" s="63" t="str">
        <f ca="1">IF(Q118="Yes","Yes","No")</f>
        <v>No</v>
      </c>
      <c r="L118" s="76"/>
      <c r="M118" s="63">
        <f t="shared" si="34"/>
        <v>0</v>
      </c>
      <c r="N118" s="63" t="s">
        <v>2611</v>
      </c>
      <c r="O118" s="64"/>
      <c r="P118" s="660" t="str">
        <f t="shared" si="23"/>
        <v/>
      </c>
      <c r="Q118" s="52" t="str">
        <f t="shared" ca="1" si="30"/>
        <v>No</v>
      </c>
      <c r="R118" s="1574" t="str">
        <f t="shared" si="22"/>
        <v/>
      </c>
      <c r="S118" s="52" t="str">
        <f t="shared" si="26"/>
        <v/>
      </c>
      <c r="T118" s="52" t="str">
        <f t="shared" si="27"/>
        <v/>
      </c>
      <c r="U118" s="52" t="str">
        <f t="shared" si="24"/>
        <v/>
      </c>
      <c r="V118" s="52" t="str">
        <f t="shared" si="28"/>
        <v/>
      </c>
      <c r="W118" s="1578"/>
      <c r="X118" s="52" t="str">
        <f t="shared" si="25"/>
        <v/>
      </c>
      <c r="Y118" s="52" t="str">
        <f t="shared" si="33"/>
        <v/>
      </c>
      <c r="AA118" s="52">
        <f t="shared" si="31"/>
        <v>0</v>
      </c>
    </row>
    <row r="119" spans="2:27">
      <c r="B119" s="1532" t="str">
        <f t="shared" si="29"/>
        <v>Feel the Force</v>
      </c>
      <c r="C119" s="1795"/>
      <c r="D119" s="920" t="s">
        <v>2651</v>
      </c>
      <c r="E119" s="61" t="s">
        <v>2652</v>
      </c>
      <c r="F119" s="61"/>
      <c r="G119" s="61"/>
      <c r="H119" s="61"/>
      <c r="I119" s="61"/>
      <c r="J119" s="1687" t="s">
        <v>4794</v>
      </c>
      <c r="K119" s="63" t="str">
        <f ca="1">IF(Q119="Yes","Yes","No")</f>
        <v>No</v>
      </c>
      <c r="L119" s="76"/>
      <c r="M119" s="63">
        <f t="shared" si="34"/>
        <v>0</v>
      </c>
      <c r="N119" s="63" t="s">
        <v>2621</v>
      </c>
      <c r="O119" s="64"/>
      <c r="P119" s="660" t="str">
        <f t="shared" si="23"/>
        <v/>
      </c>
      <c r="Q119" s="52" t="str">
        <f t="shared" ca="1" si="30"/>
        <v>No</v>
      </c>
      <c r="R119" s="1574" t="str">
        <f t="shared" si="22"/>
        <v/>
      </c>
      <c r="S119" s="52" t="str">
        <f t="shared" si="26"/>
        <v/>
      </c>
      <c r="T119" s="52" t="str">
        <f t="shared" si="27"/>
        <v/>
      </c>
      <c r="U119" s="52" t="str">
        <f t="shared" si="24"/>
        <v/>
      </c>
      <c r="V119" s="52" t="str">
        <f t="shared" si="28"/>
        <v/>
      </c>
      <c r="W119" s="1578"/>
      <c r="X119" s="52" t="str">
        <f t="shared" si="25"/>
        <v/>
      </c>
      <c r="Y119" s="52" t="str">
        <f t="shared" si="33"/>
        <v/>
      </c>
      <c r="AA119" s="52">
        <f t="shared" si="31"/>
        <v>0</v>
      </c>
    </row>
    <row r="120" spans="2:27">
      <c r="B120" s="1532" t="str">
        <f t="shared" si="29"/>
        <v>Force Perception</v>
      </c>
      <c r="C120" s="1795"/>
      <c r="D120" s="920"/>
      <c r="E120" s="61" t="s">
        <v>2653</v>
      </c>
      <c r="F120" s="61"/>
      <c r="G120" s="61"/>
      <c r="H120" s="61"/>
      <c r="I120" s="61"/>
      <c r="J120" s="1687" t="s">
        <v>4795</v>
      </c>
      <c r="K120" s="63" t="str">
        <f ca="1">IF(Q120="Yes","Yes","No")</f>
        <v>No</v>
      </c>
      <c r="L120" s="76"/>
      <c r="M120" s="63">
        <f t="shared" si="34"/>
        <v>0</v>
      </c>
      <c r="N120" s="63">
        <v>101</v>
      </c>
      <c r="O120" s="64"/>
      <c r="P120" s="660" t="str">
        <f t="shared" si="23"/>
        <v/>
      </c>
      <c r="Q120" s="52" t="str">
        <f t="shared" ca="1" si="30"/>
        <v>No</v>
      </c>
      <c r="R120" s="1574" t="str">
        <f t="shared" si="22"/>
        <v/>
      </c>
      <c r="S120" s="52" t="str">
        <f t="shared" si="26"/>
        <v/>
      </c>
      <c r="T120" s="52" t="str">
        <f t="shared" si="27"/>
        <v/>
      </c>
      <c r="U120" s="52" t="str">
        <f t="shared" si="24"/>
        <v/>
      </c>
      <c r="V120" s="52" t="str">
        <f t="shared" si="28"/>
        <v/>
      </c>
      <c r="W120" s="1578"/>
      <c r="X120" s="52" t="str">
        <f t="shared" si="25"/>
        <v/>
      </c>
      <c r="Y120" s="52" t="str">
        <f t="shared" si="33"/>
        <v/>
      </c>
      <c r="AA120" s="52">
        <f t="shared" si="31"/>
        <v>0</v>
      </c>
    </row>
    <row r="121" spans="2:27">
      <c r="B121" s="1532" t="str">
        <f t="shared" si="29"/>
        <v>Foresight</v>
      </c>
      <c r="C121" s="1795"/>
      <c r="D121" s="920"/>
      <c r="E121" s="61"/>
      <c r="F121" s="61" t="s">
        <v>2654</v>
      </c>
      <c r="G121" s="61"/>
      <c r="H121" s="61"/>
      <c r="I121" s="61"/>
      <c r="J121" s="1687" t="s">
        <v>4796</v>
      </c>
      <c r="K121" s="63" t="str">
        <f ca="1">IF(AND(Q121="Yes",L$120&lt;&gt;""),"Yes","No")</f>
        <v>No</v>
      </c>
      <c r="L121" s="76"/>
      <c r="M121" s="63">
        <f t="shared" si="34"/>
        <v>0</v>
      </c>
      <c r="N121" s="63">
        <v>101</v>
      </c>
      <c r="O121" s="64"/>
      <c r="P121" s="660" t="str">
        <f t="shared" si="23"/>
        <v/>
      </c>
      <c r="Q121" s="52" t="str">
        <f t="shared" ca="1" si="30"/>
        <v>No</v>
      </c>
      <c r="R121" s="1574" t="str">
        <f t="shared" si="22"/>
        <v/>
      </c>
      <c r="S121" s="52" t="str">
        <f t="shared" si="26"/>
        <v/>
      </c>
      <c r="T121" s="52" t="str">
        <f t="shared" si="27"/>
        <v/>
      </c>
      <c r="U121" s="52" t="str">
        <f t="shared" si="24"/>
        <v/>
      </c>
      <c r="V121" s="52" t="str">
        <f t="shared" si="28"/>
        <v/>
      </c>
      <c r="W121" s="1578"/>
      <c r="X121" s="52" t="str">
        <f t="shared" si="25"/>
        <v/>
      </c>
      <c r="Y121" s="52" t="str">
        <f t="shared" si="33"/>
        <v/>
      </c>
      <c r="AA121" s="52">
        <f t="shared" si="31"/>
        <v>0</v>
      </c>
    </row>
    <row r="122" spans="2:27" ht="26">
      <c r="B122" s="1532" t="str">
        <f t="shared" si="29"/>
        <v>Gauge Force Potential</v>
      </c>
      <c r="C122" s="1795"/>
      <c r="D122" s="920"/>
      <c r="E122" s="61"/>
      <c r="F122" s="61" t="s">
        <v>2655</v>
      </c>
      <c r="G122" s="61"/>
      <c r="H122" s="61"/>
      <c r="I122" s="61"/>
      <c r="J122" s="1687" t="s">
        <v>4797</v>
      </c>
      <c r="K122" s="63" t="str">
        <f ca="1">IF(AND(Q122="Yes",L$120&lt;&gt;""),"Yes","No")</f>
        <v>No</v>
      </c>
      <c r="L122" s="76"/>
      <c r="M122" s="63">
        <f t="shared" si="34"/>
        <v>0</v>
      </c>
      <c r="N122" s="63">
        <v>101</v>
      </c>
      <c r="O122" s="64"/>
      <c r="P122" s="660" t="str">
        <f t="shared" si="23"/>
        <v/>
      </c>
      <c r="Q122" s="52" t="str">
        <f t="shared" ca="1" si="30"/>
        <v>No</v>
      </c>
      <c r="R122" s="1574" t="str">
        <f t="shared" ref="R122:R185" si="37">IF(L122&lt;&gt;"",E122&amp;F122&amp;G122&amp;IF(P122&lt;&gt;""," ("&amp;P122&amp;")",""),"")&amp;IF(M122&gt;1," ("&amp;M122&amp;")","")</f>
        <v/>
      </c>
      <c r="S122" s="52" t="str">
        <f t="shared" si="26"/>
        <v/>
      </c>
      <c r="T122" s="52" t="str">
        <f t="shared" si="27"/>
        <v/>
      </c>
      <c r="U122" s="52" t="str">
        <f t="shared" si="24"/>
        <v/>
      </c>
      <c r="V122" s="52" t="str">
        <f t="shared" si="28"/>
        <v/>
      </c>
      <c r="W122" s="1578"/>
      <c r="X122" s="52" t="str">
        <f t="shared" si="25"/>
        <v/>
      </c>
      <c r="Y122" s="52" t="str">
        <f t="shared" si="33"/>
        <v/>
      </c>
      <c r="AA122" s="52">
        <f t="shared" si="31"/>
        <v>0</v>
      </c>
    </row>
    <row r="123" spans="2:27" ht="26">
      <c r="B123" s="1532" t="str">
        <f t="shared" si="29"/>
        <v>Motion of the Future</v>
      </c>
      <c r="C123" s="1795"/>
      <c r="D123" s="920"/>
      <c r="E123" s="61"/>
      <c r="F123" s="61" t="s">
        <v>4401</v>
      </c>
      <c r="G123" s="61"/>
      <c r="H123" s="61"/>
      <c r="I123" s="61"/>
      <c r="J123" s="1687" t="s">
        <v>5844</v>
      </c>
      <c r="K123" s="63" t="str">
        <f ca="1">IF(AND(Q123="Yes",L$120&lt;&gt;""),"Yes","No")</f>
        <v>No</v>
      </c>
      <c r="L123" s="76"/>
      <c r="M123" s="63">
        <f t="shared" si="34"/>
        <v>0</v>
      </c>
      <c r="N123" s="63" t="s">
        <v>4403</v>
      </c>
      <c r="O123" s="64"/>
      <c r="P123" s="660" t="str">
        <f t="shared" si="23"/>
        <v/>
      </c>
      <c r="Q123" s="52" t="str">
        <f t="shared" ca="1" si="30"/>
        <v>No</v>
      </c>
      <c r="R123" s="1574" t="str">
        <f t="shared" si="37"/>
        <v/>
      </c>
      <c r="S123" s="52" t="str">
        <f t="shared" si="26"/>
        <v/>
      </c>
      <c r="T123" s="52" t="str">
        <f t="shared" si="27"/>
        <v/>
      </c>
      <c r="U123" s="52" t="str">
        <f t="shared" si="24"/>
        <v/>
      </c>
      <c r="V123" s="52" t="str">
        <f t="shared" si="28"/>
        <v/>
      </c>
      <c r="W123" s="1578"/>
      <c r="X123" s="52" t="str">
        <f t="shared" si="25"/>
        <v/>
      </c>
      <c r="Y123" s="52" t="str">
        <f t="shared" si="33"/>
        <v/>
      </c>
      <c r="AA123" s="52">
        <f t="shared" si="31"/>
        <v>0</v>
      </c>
    </row>
    <row r="124" spans="2:27">
      <c r="B124" s="1532" t="str">
        <f t="shared" si="29"/>
        <v>Psychometry</v>
      </c>
      <c r="C124" s="1795"/>
      <c r="D124" s="920"/>
      <c r="E124" s="61"/>
      <c r="F124" s="61" t="s">
        <v>2656</v>
      </c>
      <c r="G124" s="61"/>
      <c r="H124" s="61"/>
      <c r="I124" s="61"/>
      <c r="J124" s="1687" t="s">
        <v>4798</v>
      </c>
      <c r="K124" s="63" t="str">
        <f ca="1">IF(AND(Q124="Yes",L$120&lt;&gt;""),"Yes","No")</f>
        <v>No</v>
      </c>
      <c r="L124" s="76"/>
      <c r="M124" s="63">
        <f t="shared" si="34"/>
        <v>0</v>
      </c>
      <c r="N124" s="63" t="s">
        <v>2611</v>
      </c>
      <c r="O124" s="64"/>
      <c r="P124" s="660" t="str">
        <f t="shared" si="23"/>
        <v/>
      </c>
      <c r="Q124" s="52" t="str">
        <f t="shared" ca="1" si="30"/>
        <v>No</v>
      </c>
      <c r="R124" s="1574" t="str">
        <f t="shared" si="37"/>
        <v/>
      </c>
      <c r="S124" s="52" t="str">
        <f t="shared" si="26"/>
        <v/>
      </c>
      <c r="T124" s="52" t="str">
        <f t="shared" si="27"/>
        <v/>
      </c>
      <c r="U124" s="52" t="str">
        <f t="shared" si="24"/>
        <v/>
      </c>
      <c r="V124" s="52" t="str">
        <f t="shared" si="28"/>
        <v/>
      </c>
      <c r="W124" s="1578"/>
      <c r="X124" s="52" t="str">
        <f t="shared" si="25"/>
        <v/>
      </c>
      <c r="Y124" s="52" t="str">
        <f t="shared" si="33"/>
        <v/>
      </c>
      <c r="AA124" s="52">
        <f t="shared" si="31"/>
        <v>0</v>
      </c>
    </row>
    <row r="125" spans="2:27">
      <c r="B125" s="1532" t="str">
        <f t="shared" si="29"/>
        <v>Visions</v>
      </c>
      <c r="C125" s="1795"/>
      <c r="D125" s="920"/>
      <c r="E125" s="61"/>
      <c r="F125" s="61" t="s">
        <v>2657</v>
      </c>
      <c r="G125" s="61"/>
      <c r="H125" s="61"/>
      <c r="I125" s="61"/>
      <c r="J125" s="1687" t="s">
        <v>4799</v>
      </c>
      <c r="K125" s="63" t="str">
        <f ca="1">IF(AND(Q125="Yes",L$120&lt;&gt;""),"Yes","No")</f>
        <v>No</v>
      </c>
      <c r="L125" s="76"/>
      <c r="M125" s="63">
        <f t="shared" si="34"/>
        <v>0</v>
      </c>
      <c r="N125" s="63">
        <v>101</v>
      </c>
      <c r="O125" s="64"/>
      <c r="P125" s="660" t="str">
        <f t="shared" si="23"/>
        <v/>
      </c>
      <c r="Q125" s="52" t="str">
        <f t="shared" ca="1" si="30"/>
        <v>No</v>
      </c>
      <c r="R125" s="1574" t="str">
        <f t="shared" si="37"/>
        <v/>
      </c>
      <c r="S125" s="52" t="str">
        <f t="shared" si="26"/>
        <v/>
      </c>
      <c r="T125" s="52" t="str">
        <f t="shared" si="27"/>
        <v/>
      </c>
      <c r="U125" s="52" t="str">
        <f t="shared" si="24"/>
        <v/>
      </c>
      <c r="V125" s="52" t="str">
        <f t="shared" si="28"/>
        <v/>
      </c>
      <c r="W125" s="1578"/>
      <c r="X125" s="52" t="str">
        <f t="shared" si="25"/>
        <v/>
      </c>
      <c r="Y125" s="52" t="str">
        <f t="shared" si="33"/>
        <v/>
      </c>
      <c r="AA125" s="52">
        <f t="shared" si="31"/>
        <v>0</v>
      </c>
    </row>
    <row r="126" spans="2:27">
      <c r="B126" s="1532" t="str">
        <f t="shared" si="29"/>
        <v>Force Pilot</v>
      </c>
      <c r="C126" s="1795"/>
      <c r="D126" s="920"/>
      <c r="E126" s="61" t="s">
        <v>2658</v>
      </c>
      <c r="F126" s="61"/>
      <c r="G126" s="61"/>
      <c r="H126" s="61"/>
      <c r="I126" s="61"/>
      <c r="J126" s="1687" t="s">
        <v>4800</v>
      </c>
      <c r="K126" s="63" t="str">
        <f ca="1">IF(Q126="Yes","Yes","No")</f>
        <v>No</v>
      </c>
      <c r="L126" s="76"/>
      <c r="M126" s="63">
        <f t="shared" si="34"/>
        <v>0</v>
      </c>
      <c r="N126" s="63">
        <v>101</v>
      </c>
      <c r="O126" s="64"/>
      <c r="P126" s="660" t="str">
        <f t="shared" si="23"/>
        <v/>
      </c>
      <c r="Q126" s="52" t="str">
        <f t="shared" ca="1" si="30"/>
        <v>No</v>
      </c>
      <c r="R126" s="1574" t="str">
        <f t="shared" si="37"/>
        <v/>
      </c>
      <c r="S126" s="52" t="str">
        <f t="shared" si="26"/>
        <v/>
      </c>
      <c r="T126" s="52" t="str">
        <f t="shared" si="27"/>
        <v/>
      </c>
      <c r="U126" s="52" t="str">
        <f t="shared" si="24"/>
        <v/>
      </c>
      <c r="V126" s="52" t="str">
        <f t="shared" si="28"/>
        <v/>
      </c>
      <c r="W126" s="1578"/>
      <c r="X126" s="52" t="str">
        <f t="shared" si="25"/>
        <v/>
      </c>
      <c r="Y126" s="52" t="str">
        <f t="shared" si="33"/>
        <v/>
      </c>
      <c r="AA126" s="52">
        <f t="shared" si="31"/>
        <v>0</v>
      </c>
    </row>
    <row r="127" spans="2:27">
      <c r="B127" s="1532" t="str">
        <f t="shared" si="29"/>
        <v>Force Reflexes</v>
      </c>
      <c r="C127" s="1795"/>
      <c r="D127" s="920"/>
      <c r="E127" s="61"/>
      <c r="F127" s="61" t="s">
        <v>2659</v>
      </c>
      <c r="G127" s="61"/>
      <c r="H127" s="61"/>
      <c r="I127" s="61"/>
      <c r="J127" s="1687" t="s">
        <v>4801</v>
      </c>
      <c r="K127" s="63" t="str">
        <f ca="1">IF(AND(Q127="Yes",L$126&lt;&gt;""),"Yes","No")</f>
        <v>No</v>
      </c>
      <c r="L127" s="76"/>
      <c r="M127" s="63">
        <f t="shared" si="34"/>
        <v>0</v>
      </c>
      <c r="N127" s="63" t="s">
        <v>2660</v>
      </c>
      <c r="O127" s="64"/>
      <c r="P127" s="660" t="str">
        <f t="shared" si="23"/>
        <v/>
      </c>
      <c r="Q127" s="52" t="str">
        <f t="shared" ca="1" si="30"/>
        <v>No</v>
      </c>
      <c r="R127" s="1574" t="str">
        <f t="shared" si="37"/>
        <v/>
      </c>
      <c r="S127" s="52" t="str">
        <f t="shared" si="26"/>
        <v/>
      </c>
      <c r="T127" s="52" t="str">
        <f t="shared" si="27"/>
        <v/>
      </c>
      <c r="U127" s="52" t="str">
        <f t="shared" si="24"/>
        <v/>
      </c>
      <c r="V127" s="52" t="str">
        <f t="shared" si="28"/>
        <v/>
      </c>
      <c r="W127" s="1578"/>
      <c r="X127" s="52" t="str">
        <f t="shared" si="25"/>
        <v/>
      </c>
      <c r="Y127" s="52" t="str">
        <f t="shared" si="33"/>
        <v/>
      </c>
      <c r="AA127" s="52">
        <f t="shared" si="31"/>
        <v>0</v>
      </c>
    </row>
    <row r="128" spans="2:27">
      <c r="B128" s="1532" t="str">
        <f t="shared" si="29"/>
        <v>Instinctive Navigation</v>
      </c>
      <c r="C128" s="1795"/>
      <c r="D128" s="920"/>
      <c r="E128" s="61"/>
      <c r="F128" s="61" t="s">
        <v>4402</v>
      </c>
      <c r="G128" s="61"/>
      <c r="H128" s="61"/>
      <c r="I128" s="61"/>
      <c r="J128" s="1687" t="s">
        <v>5843</v>
      </c>
      <c r="K128" s="63" t="str">
        <f ca="1">IF(AND(Q128="Yes",L$126&lt;&gt;""),"Yes","No")</f>
        <v>No</v>
      </c>
      <c r="L128" s="76"/>
      <c r="M128" s="63">
        <f>IF(L128&lt;&gt;"",1,0)</f>
        <v>0</v>
      </c>
      <c r="N128" s="63" t="s">
        <v>4403</v>
      </c>
      <c r="O128" s="64"/>
      <c r="P128" s="660" t="str">
        <f t="shared" si="23"/>
        <v/>
      </c>
      <c r="Q128" s="52" t="str">
        <f t="shared" ca="1" si="30"/>
        <v>No</v>
      </c>
      <c r="R128" s="1574" t="str">
        <f t="shared" si="37"/>
        <v/>
      </c>
      <c r="S128" s="52" t="str">
        <f t="shared" si="26"/>
        <v/>
      </c>
      <c r="T128" s="52" t="str">
        <f t="shared" si="27"/>
        <v/>
      </c>
      <c r="U128" s="52" t="str">
        <f t="shared" si="24"/>
        <v/>
      </c>
      <c r="V128" s="52" t="str">
        <f t="shared" si="28"/>
        <v/>
      </c>
      <c r="W128" s="1578"/>
      <c r="X128" s="52" t="str">
        <f t="shared" si="25"/>
        <v/>
      </c>
      <c r="Y128" s="52" t="str">
        <f t="shared" si="33"/>
        <v/>
      </c>
      <c r="AA128" s="52">
        <f t="shared" si="31"/>
        <v>0</v>
      </c>
    </row>
    <row r="129" spans="2:27">
      <c r="B129" s="1532" t="str">
        <f t="shared" si="29"/>
        <v>Heightened Awareness</v>
      </c>
      <c r="C129" s="1795"/>
      <c r="D129" s="920"/>
      <c r="E129" s="61" t="s">
        <v>774</v>
      </c>
      <c r="F129" s="61"/>
      <c r="G129" s="61"/>
      <c r="H129" s="61"/>
      <c r="I129" s="61"/>
      <c r="J129" s="1687" t="s">
        <v>4802</v>
      </c>
      <c r="K129" s="63" t="str">
        <f t="shared" ref="K129:K135" ca="1" si="38">IF(Q129="Yes","Yes","No")</f>
        <v>No</v>
      </c>
      <c r="L129" s="76"/>
      <c r="M129" s="63">
        <f t="shared" si="34"/>
        <v>0</v>
      </c>
      <c r="N129" s="63" t="s">
        <v>2611</v>
      </c>
      <c r="O129" s="64"/>
      <c r="P129" s="660" t="str">
        <f t="shared" si="23"/>
        <v/>
      </c>
      <c r="Q129" s="52" t="str">
        <f ca="1">Q128</f>
        <v>No</v>
      </c>
      <c r="R129" s="1574" t="str">
        <f t="shared" si="37"/>
        <v/>
      </c>
      <c r="S129" s="52" t="str">
        <f t="shared" si="26"/>
        <v/>
      </c>
      <c r="T129" s="52" t="str">
        <f t="shared" si="27"/>
        <v/>
      </c>
      <c r="U129" s="52" t="str">
        <f t="shared" si="24"/>
        <v/>
      </c>
      <c r="V129" s="52" t="str">
        <f t="shared" si="28"/>
        <v/>
      </c>
      <c r="W129" s="1578"/>
      <c r="X129" s="52" t="str">
        <f t="shared" si="25"/>
        <v/>
      </c>
      <c r="Y129" s="52" t="str">
        <f t="shared" si="33"/>
        <v/>
      </c>
      <c r="AA129" s="52">
        <f t="shared" si="31"/>
        <v>0</v>
      </c>
    </row>
    <row r="130" spans="2:27">
      <c r="B130" s="1532" t="str">
        <f t="shared" si="29"/>
        <v>Shift Sense</v>
      </c>
      <c r="C130" s="1796"/>
      <c r="D130" s="71"/>
      <c r="E130" s="927" t="s">
        <v>2661</v>
      </c>
      <c r="F130" s="927"/>
      <c r="G130" s="927"/>
      <c r="H130" s="927"/>
      <c r="I130" s="927"/>
      <c r="J130" s="1691" t="s">
        <v>4803</v>
      </c>
      <c r="K130" s="928" t="str">
        <f t="shared" ca="1" si="38"/>
        <v>No</v>
      </c>
      <c r="L130" s="929"/>
      <c r="M130" s="928">
        <f t="shared" si="34"/>
        <v>0</v>
      </c>
      <c r="N130" s="928" t="s">
        <v>2611</v>
      </c>
      <c r="O130" s="64"/>
      <c r="P130" s="660" t="str">
        <f t="shared" si="23"/>
        <v/>
      </c>
      <c r="Q130" s="52" t="str">
        <f ca="1">Q129</f>
        <v>No</v>
      </c>
      <c r="R130" s="1574" t="str">
        <f t="shared" si="37"/>
        <v/>
      </c>
      <c r="S130" s="52" t="str">
        <f t="shared" si="26"/>
        <v/>
      </c>
      <c r="T130" s="52" t="str">
        <f t="shared" si="27"/>
        <v/>
      </c>
      <c r="U130" s="52" t="str">
        <f t="shared" si="24"/>
        <v/>
      </c>
      <c r="V130" s="52" t="str">
        <f t="shared" si="28"/>
        <v/>
      </c>
      <c r="W130" s="1578"/>
      <c r="X130" s="52" t="str">
        <f t="shared" si="25"/>
        <v/>
      </c>
      <c r="Y130" s="52" t="str">
        <f t="shared" si="33"/>
        <v/>
      </c>
      <c r="AA130" s="52">
        <f>IF(U130&lt;&gt;"",IF(Z130="Defenses",U130&amp;IF(AA131&lt;&gt;"",", ",""),"")&amp;AA131,AA131)</f>
        <v>0</v>
      </c>
    </row>
    <row r="131" spans="2:27" ht="14.65" customHeight="1">
      <c r="B131" s="1532" t="str">
        <f t="shared" si="29"/>
        <v>Anticipate Movement</v>
      </c>
      <c r="C131" s="1794" t="s">
        <v>234</v>
      </c>
      <c r="D131" s="1792" t="s">
        <v>6817</v>
      </c>
      <c r="E131" s="456" t="s">
        <v>6818</v>
      </c>
      <c r="F131" s="456"/>
      <c r="G131" s="456"/>
      <c r="H131" s="456"/>
      <c r="I131" s="456"/>
      <c r="J131" s="1688" t="s">
        <v>6819</v>
      </c>
      <c r="K131" s="63" t="str">
        <f t="shared" si="38"/>
        <v>No</v>
      </c>
      <c r="L131" s="76"/>
      <c r="M131" s="63">
        <f t="shared" si="34"/>
        <v>0</v>
      </c>
      <c r="N131" s="63" t="s">
        <v>6814</v>
      </c>
      <c r="O131" s="64"/>
      <c r="P131" s="660" t="str">
        <f t="shared" si="23"/>
        <v/>
      </c>
      <c r="Q131" s="52" t="str">
        <f>IF(OR($AD$45&gt;0,$AD$8&gt;0),"Yes","No")</f>
        <v>No</v>
      </c>
      <c r="R131" s="1574" t="str">
        <f t="shared" si="37"/>
        <v/>
      </c>
      <c r="S131" s="52" t="str">
        <f t="shared" si="26"/>
        <v/>
      </c>
      <c r="T131" s="52" t="str">
        <f t="shared" si="27"/>
        <v/>
      </c>
      <c r="U131" s="52" t="str">
        <f t="shared" si="24"/>
        <v/>
      </c>
      <c r="V131" s="52" t="str">
        <f t="shared" si="28"/>
        <v/>
      </c>
      <c r="W131" s="1578"/>
      <c r="X131" s="52" t="str">
        <f t="shared" si="25"/>
        <v/>
      </c>
      <c r="Y131" s="52" t="str">
        <f t="shared" si="33"/>
        <v/>
      </c>
      <c r="AA131" s="52">
        <f t="shared" ref="AA131:AA137" si="39">IF(U131&lt;&gt;"",IF(Z131="Defenses",U131&amp;IF(AA132&lt;&gt;"",", ",""),"")&amp;AA132,AA132)</f>
        <v>0</v>
      </c>
    </row>
    <row r="132" spans="2:27">
      <c r="B132" s="1532" t="str">
        <f t="shared" si="29"/>
        <v>Forewarn Allies</v>
      </c>
      <c r="C132" s="1795"/>
      <c r="D132" s="1793"/>
      <c r="E132" s="1364" t="s">
        <v>6820</v>
      </c>
      <c r="F132" s="1364"/>
      <c r="G132" s="1364"/>
      <c r="H132" s="1364"/>
      <c r="I132" s="1364"/>
      <c r="J132" s="1688" t="s">
        <v>6821</v>
      </c>
      <c r="K132" s="63" t="str">
        <f t="shared" si="38"/>
        <v>No</v>
      </c>
      <c r="L132" s="76"/>
      <c r="M132" s="63">
        <f t="shared" si="34"/>
        <v>0</v>
      </c>
      <c r="N132" s="63" t="s">
        <v>6814</v>
      </c>
      <c r="O132" s="64"/>
      <c r="P132" s="660" t="str">
        <f t="shared" si="23"/>
        <v/>
      </c>
      <c r="Q132" s="52" t="str">
        <f t="shared" si="30"/>
        <v>No</v>
      </c>
      <c r="R132" s="1574" t="str">
        <f t="shared" si="37"/>
        <v/>
      </c>
      <c r="S132" s="52" t="str">
        <f t="shared" si="26"/>
        <v/>
      </c>
      <c r="T132" s="52" t="str">
        <f t="shared" si="27"/>
        <v/>
      </c>
      <c r="U132" s="52" t="str">
        <f t="shared" si="24"/>
        <v/>
      </c>
      <c r="V132" s="52" t="str">
        <f t="shared" si="28"/>
        <v/>
      </c>
      <c r="W132" s="1578"/>
      <c r="X132" s="52" t="str">
        <f t="shared" si="25"/>
        <v/>
      </c>
      <c r="Y132" s="52" t="str">
        <f t="shared" si="33"/>
        <v/>
      </c>
      <c r="AA132" s="52">
        <f t="shared" si="39"/>
        <v>0</v>
      </c>
    </row>
    <row r="133" spans="2:27" ht="58">
      <c r="B133" s="1532" t="str">
        <f t="shared" si="29"/>
        <v>Heavy Fire Zone</v>
      </c>
      <c r="C133" s="1795"/>
      <c r="D133" s="1793"/>
      <c r="E133" s="1364"/>
      <c r="F133" s="1393" t="s">
        <v>6822</v>
      </c>
      <c r="G133" s="1364"/>
      <c r="H133" s="1364"/>
      <c r="I133" s="1364"/>
      <c r="J133" s="1688" t="s">
        <v>6823</v>
      </c>
      <c r="K133" s="63" t="str">
        <f t="shared" si="38"/>
        <v>No</v>
      </c>
      <c r="L133" s="76"/>
      <c r="M133" s="63">
        <f t="shared" si="34"/>
        <v>0</v>
      </c>
      <c r="N133" s="63" t="s">
        <v>6814</v>
      </c>
      <c r="O133" s="64"/>
      <c r="P133" s="660" t="str">
        <f t="shared" si="23"/>
        <v/>
      </c>
      <c r="Q133" s="52" t="str">
        <f t="shared" si="30"/>
        <v>No</v>
      </c>
      <c r="R133" s="1574" t="str">
        <f t="shared" si="37"/>
        <v/>
      </c>
      <c r="S133" s="52" t="str">
        <f t="shared" si="26"/>
        <v/>
      </c>
      <c r="T133" s="52" t="str">
        <f t="shared" si="27"/>
        <v/>
      </c>
      <c r="U133" s="52" t="str">
        <f t="shared" si="24"/>
        <v/>
      </c>
      <c r="V133" s="52" t="str">
        <f t="shared" si="28"/>
        <v/>
      </c>
      <c r="W133" s="1578"/>
      <c r="X133" s="52" t="str">
        <f t="shared" si="25"/>
        <v/>
      </c>
      <c r="Y133" s="52" t="str">
        <f t="shared" si="33"/>
        <v/>
      </c>
      <c r="AA133" s="52">
        <f t="shared" si="39"/>
        <v>0</v>
      </c>
    </row>
    <row r="134" spans="2:27" ht="29">
      <c r="B134" s="1532" t="str">
        <f t="shared" si="29"/>
        <v>Get Down</v>
      </c>
      <c r="C134" s="1795"/>
      <c r="D134" s="1793"/>
      <c r="E134" s="1364" t="s">
        <v>6824</v>
      </c>
      <c r="F134" s="1364"/>
      <c r="G134" s="1364"/>
      <c r="H134" s="1364"/>
      <c r="I134" s="1364"/>
      <c r="J134" s="1688" t="s">
        <v>6825</v>
      </c>
      <c r="K134" s="63" t="str">
        <f t="shared" si="38"/>
        <v>No</v>
      </c>
      <c r="L134" s="76"/>
      <c r="M134" s="63">
        <f t="shared" si="34"/>
        <v>0</v>
      </c>
      <c r="N134" s="63" t="s">
        <v>6814</v>
      </c>
      <c r="O134" s="64"/>
      <c r="P134" s="660" t="str">
        <f t="shared" si="23"/>
        <v/>
      </c>
      <c r="Q134" s="52" t="str">
        <f t="shared" si="30"/>
        <v>No</v>
      </c>
      <c r="R134" s="1574" t="str">
        <f t="shared" si="37"/>
        <v/>
      </c>
      <c r="S134" s="52" t="str">
        <f t="shared" si="26"/>
        <v/>
      </c>
      <c r="T134" s="52" t="str">
        <f t="shared" si="27"/>
        <v/>
      </c>
      <c r="U134" s="52" t="str">
        <f t="shared" si="24"/>
        <v/>
      </c>
      <c r="V134" s="52" t="str">
        <f t="shared" si="28"/>
        <v/>
      </c>
      <c r="W134" s="1578"/>
      <c r="X134" s="52" t="str">
        <f t="shared" si="25"/>
        <v/>
      </c>
      <c r="Y134" s="52" t="str">
        <f t="shared" si="33"/>
        <v/>
      </c>
      <c r="AA134" s="52">
        <f t="shared" si="39"/>
        <v>0</v>
      </c>
    </row>
    <row r="135" spans="2:27" ht="43.5">
      <c r="B135" s="1532" t="str">
        <f t="shared" si="29"/>
        <v>Summon Aid</v>
      </c>
      <c r="C135" s="1795"/>
      <c r="D135" s="1793"/>
      <c r="E135" s="1364"/>
      <c r="F135" s="1393" t="s">
        <v>6826</v>
      </c>
      <c r="G135" s="1364"/>
      <c r="H135" s="1364"/>
      <c r="I135" s="1364"/>
      <c r="J135" s="1688" t="s">
        <v>6827</v>
      </c>
      <c r="K135" s="63" t="str">
        <f t="shared" si="38"/>
        <v>No</v>
      </c>
      <c r="L135" s="76"/>
      <c r="M135" s="63">
        <f t="shared" si="34"/>
        <v>0</v>
      </c>
      <c r="N135" s="63" t="s">
        <v>6828</v>
      </c>
      <c r="O135" s="64"/>
      <c r="P135" s="660" t="str">
        <f t="shared" ref="P135:P198" si="40">IF(ShowTalentTrees,IF(D135&lt;&gt;"",D135,P134),"")</f>
        <v/>
      </c>
      <c r="Q135" s="52" t="str">
        <f t="shared" si="30"/>
        <v>No</v>
      </c>
      <c r="R135" s="1574" t="str">
        <f t="shared" si="37"/>
        <v/>
      </c>
      <c r="S135" s="52" t="str">
        <f t="shared" si="26"/>
        <v/>
      </c>
      <c r="T135" s="52" t="str">
        <f t="shared" si="27"/>
        <v/>
      </c>
      <c r="U135" s="52" t="str">
        <f t="shared" ref="U135:U198" si="41">IF(L135&lt;&gt;"",IF(ISNUMBER(L135),"",E135&amp;F135&amp;G135),"")</f>
        <v/>
      </c>
      <c r="V135" s="52" t="str">
        <f t="shared" si="28"/>
        <v/>
      </c>
      <c r="W135" s="1578"/>
      <c r="X135" s="52" t="str">
        <f t="shared" ref="X135:X198" si="42">IF(U135&lt;&gt;"",IF(W135="Special Actions",U135&amp;IF(X136&lt;&gt;"",", ",""),"")&amp;X136,X136)</f>
        <v/>
      </c>
      <c r="Y135" s="52" t="str">
        <f t="shared" si="33"/>
        <v/>
      </c>
      <c r="AA135" s="52">
        <f t="shared" si="39"/>
        <v>0</v>
      </c>
    </row>
    <row r="136" spans="2:27" ht="14.5" customHeight="1">
      <c r="B136" s="1532" t="str">
        <f t="shared" si="29"/>
        <v>Double Agent</v>
      </c>
      <c r="C136" s="1795"/>
      <c r="D136" s="1791" t="s">
        <v>2662</v>
      </c>
      <c r="E136" s="61" t="s">
        <v>2663</v>
      </c>
      <c r="F136" s="61"/>
      <c r="G136" s="61"/>
      <c r="H136" s="61"/>
      <c r="I136" s="61"/>
      <c r="J136" s="1687" t="s">
        <v>4804</v>
      </c>
      <c r="K136" s="63" t="str">
        <f>IF(Q131="Yes","Yes","No")</f>
        <v>No</v>
      </c>
      <c r="L136" s="76"/>
      <c r="M136" s="63">
        <f t="shared" si="34"/>
        <v>0</v>
      </c>
      <c r="N136" s="63" t="s">
        <v>2559</v>
      </c>
      <c r="O136" s="64"/>
      <c r="P136" s="660" t="str">
        <f t="shared" si="40"/>
        <v/>
      </c>
      <c r="Q136" s="52" t="str">
        <f t="shared" si="30"/>
        <v>No</v>
      </c>
      <c r="R136" s="1574" t="str">
        <f t="shared" si="37"/>
        <v/>
      </c>
      <c r="S136" s="52" t="str">
        <f t="shared" ref="S136:S199" si="43">IF(R136&lt;&gt;"",R136&amp;";"&amp;S137,S137)</f>
        <v/>
      </c>
      <c r="T136" s="52" t="str">
        <f t="shared" ref="T136:T199" si="44">IF(R136&lt;&gt;"",N136&amp;";"&amp;T137,T137)</f>
        <v/>
      </c>
      <c r="U136" s="52" t="str">
        <f t="shared" si="41"/>
        <v/>
      </c>
      <c r="V136" s="52" t="str">
        <f t="shared" ref="V136:V199" si="45">IF(U136&lt;&gt;"",U136&amp;";"&amp;V137,V137)</f>
        <v/>
      </c>
      <c r="W136" s="1578"/>
      <c r="X136" s="52" t="str">
        <f t="shared" si="42"/>
        <v/>
      </c>
      <c r="Y136" s="52" t="str">
        <f t="shared" si="33"/>
        <v/>
      </c>
      <c r="AA136" s="52">
        <f t="shared" si="39"/>
        <v>0</v>
      </c>
    </row>
    <row r="137" spans="2:27" ht="26">
      <c r="B137" s="1532" t="str">
        <f t="shared" ref="B137:B201" si="46">IF(E137&lt;&gt;"",E137,IF(F137&lt;&gt;"",F137,IF(G137&lt;&gt;"",G137,IF(H137&lt;&gt;"",H137))))</f>
        <v>Protection</v>
      </c>
      <c r="C137" s="1795"/>
      <c r="D137" s="1791"/>
      <c r="E137" s="61"/>
      <c r="F137" s="61" t="s">
        <v>2664</v>
      </c>
      <c r="G137" s="61"/>
      <c r="H137" s="61"/>
      <c r="I137" s="61"/>
      <c r="J137" s="1687" t="s">
        <v>4805</v>
      </c>
      <c r="K137" s="63" t="str">
        <f>IF(AND(Q131="Yes",L136&lt;&gt;""),"Yes","No")</f>
        <v>No</v>
      </c>
      <c r="L137" s="76"/>
      <c r="M137" s="63">
        <f t="shared" si="34"/>
        <v>0</v>
      </c>
      <c r="N137" s="63" t="s">
        <v>2665</v>
      </c>
      <c r="O137" s="64"/>
      <c r="P137" s="660" t="str">
        <f t="shared" si="40"/>
        <v/>
      </c>
      <c r="Q137" s="52" t="str">
        <f>Q136</f>
        <v>No</v>
      </c>
      <c r="R137" s="1574" t="str">
        <f t="shared" si="37"/>
        <v/>
      </c>
      <c r="S137" s="52" t="str">
        <f t="shared" si="43"/>
        <v/>
      </c>
      <c r="T137" s="52" t="str">
        <f t="shared" si="44"/>
        <v/>
      </c>
      <c r="U137" s="52" t="str">
        <f t="shared" si="41"/>
        <v/>
      </c>
      <c r="V137" s="52" t="str">
        <f t="shared" si="45"/>
        <v/>
      </c>
      <c r="W137" s="1578"/>
      <c r="X137" s="52" t="str">
        <f t="shared" si="42"/>
        <v/>
      </c>
      <c r="Y137" s="52" t="str">
        <f t="shared" si="33"/>
        <v/>
      </c>
      <c r="AA137" s="52">
        <f t="shared" si="39"/>
        <v>0</v>
      </c>
    </row>
    <row r="138" spans="2:27" ht="26">
      <c r="B138" s="1532" t="str">
        <f t="shared" si="46"/>
        <v>Enemy Tactics</v>
      </c>
      <c r="C138" s="1795"/>
      <c r="D138" s="1791"/>
      <c r="E138" s="61" t="s">
        <v>2666</v>
      </c>
      <c r="F138" s="61"/>
      <c r="G138" s="61"/>
      <c r="H138" s="61"/>
      <c r="I138" s="61"/>
      <c r="J138" s="1687" t="s">
        <v>4806</v>
      </c>
      <c r="K138" s="63" t="str">
        <f>IF(Q138="Yes","Yes","No")</f>
        <v>No</v>
      </c>
      <c r="L138" s="76"/>
      <c r="M138" s="63">
        <f t="shared" si="34"/>
        <v>0</v>
      </c>
      <c r="N138" s="63" t="s">
        <v>2665</v>
      </c>
      <c r="O138" s="64"/>
      <c r="P138" s="660" t="str">
        <f t="shared" si="40"/>
        <v/>
      </c>
      <c r="Q138" s="52" t="str">
        <f t="shared" si="30"/>
        <v>No</v>
      </c>
      <c r="R138" s="1574" t="str">
        <f t="shared" si="37"/>
        <v/>
      </c>
      <c r="S138" s="52" t="str">
        <f t="shared" si="43"/>
        <v/>
      </c>
      <c r="T138" s="52" t="str">
        <f t="shared" si="44"/>
        <v/>
      </c>
      <c r="U138" s="52" t="str">
        <f t="shared" si="41"/>
        <v/>
      </c>
      <c r="V138" s="52" t="str">
        <f t="shared" si="45"/>
        <v/>
      </c>
      <c r="W138" s="1578"/>
      <c r="X138" s="52" t="str">
        <f t="shared" si="42"/>
        <v/>
      </c>
      <c r="Y138" s="52" t="str">
        <f t="shared" si="33"/>
        <v/>
      </c>
      <c r="AA138" s="52">
        <f t="shared" si="31"/>
        <v>0</v>
      </c>
    </row>
    <row r="139" spans="2:27" ht="26">
      <c r="B139" s="1532" t="str">
        <f t="shared" si="46"/>
        <v>Friendly Fire</v>
      </c>
      <c r="C139" s="1795"/>
      <c r="D139" s="1791"/>
      <c r="E139" s="61"/>
      <c r="F139" s="61" t="s">
        <v>2667</v>
      </c>
      <c r="G139" s="61"/>
      <c r="H139" s="61"/>
      <c r="I139" s="61"/>
      <c r="J139" s="1687" t="s">
        <v>4807</v>
      </c>
      <c r="K139" s="63" t="str">
        <f>IF(AND(Q138="Yes",L138&lt;&gt;""),"Yes","No")</f>
        <v>No</v>
      </c>
      <c r="L139" s="76"/>
      <c r="M139" s="63">
        <f t="shared" si="34"/>
        <v>0</v>
      </c>
      <c r="N139" s="63" t="s">
        <v>2665</v>
      </c>
      <c r="O139" s="64"/>
      <c r="P139" s="660" t="str">
        <f t="shared" si="40"/>
        <v/>
      </c>
      <c r="Q139" s="52" t="str">
        <f t="shared" si="30"/>
        <v>No</v>
      </c>
      <c r="R139" s="1574" t="str">
        <f t="shared" si="37"/>
        <v/>
      </c>
      <c r="S139" s="52" t="str">
        <f t="shared" si="43"/>
        <v/>
      </c>
      <c r="T139" s="52" t="str">
        <f t="shared" si="44"/>
        <v/>
      </c>
      <c r="U139" s="52" t="str">
        <f t="shared" si="41"/>
        <v/>
      </c>
      <c r="V139" s="52" t="str">
        <f t="shared" si="45"/>
        <v/>
      </c>
      <c r="W139" s="1578"/>
      <c r="X139" s="52" t="str">
        <f t="shared" si="42"/>
        <v/>
      </c>
      <c r="Y139" s="52" t="str">
        <f t="shared" si="33"/>
        <v/>
      </c>
      <c r="AA139" s="52">
        <f t="shared" si="31"/>
        <v>0</v>
      </c>
    </row>
    <row r="140" spans="2:27" ht="26">
      <c r="B140" s="1532" t="str">
        <f t="shared" si="46"/>
        <v>Feed Information</v>
      </c>
      <c r="C140" s="1795"/>
      <c r="D140" s="1791"/>
      <c r="E140" s="61" t="s">
        <v>2668</v>
      </c>
      <c r="F140" s="61"/>
      <c r="G140" s="61"/>
      <c r="H140" s="61"/>
      <c r="I140" s="61"/>
      <c r="J140" s="1687" t="s">
        <v>4808</v>
      </c>
      <c r="K140" s="63" t="str">
        <f>IF(Q140="Yes","Yes","No")</f>
        <v>No</v>
      </c>
      <c r="L140" s="76"/>
      <c r="M140" s="63">
        <f t="shared" si="34"/>
        <v>0</v>
      </c>
      <c r="N140" s="63" t="s">
        <v>2665</v>
      </c>
      <c r="O140" s="64"/>
      <c r="P140" s="660" t="str">
        <f t="shared" si="40"/>
        <v/>
      </c>
      <c r="Q140" s="52" t="str">
        <f t="shared" si="30"/>
        <v>No</v>
      </c>
      <c r="R140" s="1574" t="str">
        <f t="shared" si="37"/>
        <v/>
      </c>
      <c r="S140" s="52" t="str">
        <f t="shared" si="43"/>
        <v/>
      </c>
      <c r="T140" s="52" t="str">
        <f t="shared" si="44"/>
        <v/>
      </c>
      <c r="U140" s="52" t="str">
        <f t="shared" si="41"/>
        <v/>
      </c>
      <c r="V140" s="52" t="str">
        <f t="shared" si="45"/>
        <v/>
      </c>
      <c r="W140" s="1578"/>
      <c r="X140" s="52" t="str">
        <f t="shared" si="42"/>
        <v/>
      </c>
      <c r="Y140" s="52" t="str">
        <f t="shared" si="33"/>
        <v/>
      </c>
      <c r="AA140" s="52">
        <f t="shared" si="31"/>
        <v>0</v>
      </c>
    </row>
    <row r="141" spans="2:27" ht="26">
      <c r="B141" s="1532" t="str">
        <f t="shared" si="46"/>
        <v>Castigate</v>
      </c>
      <c r="C141" s="1795"/>
      <c r="D141" s="1791" t="s">
        <v>2669</v>
      </c>
      <c r="E141" s="61" t="s">
        <v>2670</v>
      </c>
      <c r="F141" s="61"/>
      <c r="G141" s="61"/>
      <c r="H141" s="61"/>
      <c r="I141" s="61"/>
      <c r="J141" s="1687" t="s">
        <v>4809</v>
      </c>
      <c r="K141" s="63" t="str">
        <f>IF(Q141="Yes","Yes","No")</f>
        <v>No</v>
      </c>
      <c r="L141" s="76"/>
      <c r="M141" s="63">
        <f t="shared" si="34"/>
        <v>0</v>
      </c>
      <c r="N141" s="63" t="s">
        <v>2671</v>
      </c>
      <c r="O141" s="64"/>
      <c r="P141" s="660" t="str">
        <f t="shared" si="40"/>
        <v/>
      </c>
      <c r="Q141" s="52" t="str">
        <f>IF(OR($AD$45&gt;0,$AD$8&gt;0,$AD$36&gt;0),"Yes","No")</f>
        <v>No</v>
      </c>
      <c r="R141" s="1574" t="str">
        <f t="shared" si="37"/>
        <v/>
      </c>
      <c r="S141" s="52" t="str">
        <f t="shared" si="43"/>
        <v/>
      </c>
      <c r="T141" s="52" t="str">
        <f t="shared" si="44"/>
        <v/>
      </c>
      <c r="U141" s="52" t="str">
        <f t="shared" si="41"/>
        <v/>
      </c>
      <c r="V141" s="52" t="str">
        <f t="shared" si="45"/>
        <v/>
      </c>
      <c r="W141" s="1578"/>
      <c r="X141" s="52" t="str">
        <f t="shared" si="42"/>
        <v/>
      </c>
      <c r="Y141" s="52" t="str">
        <f t="shared" si="33"/>
        <v/>
      </c>
      <c r="AA141" s="52">
        <f t="shared" si="31"/>
        <v>0</v>
      </c>
    </row>
    <row r="142" spans="2:27" ht="26">
      <c r="B142" s="1532" t="str">
        <f t="shared" si="46"/>
        <v>Dirty Tactics</v>
      </c>
      <c r="C142" s="1795"/>
      <c r="D142" s="1791"/>
      <c r="E142" s="61" t="s">
        <v>2672</v>
      </c>
      <c r="F142" s="61"/>
      <c r="G142" s="61"/>
      <c r="H142" s="61"/>
      <c r="I142" s="61"/>
      <c r="J142" s="1687" t="s">
        <v>4810</v>
      </c>
      <c r="K142" s="63" t="str">
        <f>IF(Q142="Yes","Yes","No")</f>
        <v>No</v>
      </c>
      <c r="L142" s="76"/>
      <c r="M142" s="63">
        <f t="shared" si="34"/>
        <v>0</v>
      </c>
      <c r="N142" s="63" t="s">
        <v>2671</v>
      </c>
      <c r="O142" s="64"/>
      <c r="P142" s="660" t="str">
        <f t="shared" si="40"/>
        <v/>
      </c>
      <c r="Q142" s="52" t="str">
        <f t="shared" si="30"/>
        <v>No</v>
      </c>
      <c r="R142" s="1574" t="str">
        <f t="shared" si="37"/>
        <v/>
      </c>
      <c r="S142" s="52" t="str">
        <f t="shared" si="43"/>
        <v/>
      </c>
      <c r="T142" s="52" t="str">
        <f t="shared" si="44"/>
        <v/>
      </c>
      <c r="U142" s="52" t="str">
        <f t="shared" si="41"/>
        <v/>
      </c>
      <c r="V142" s="52" t="str">
        <f t="shared" si="45"/>
        <v/>
      </c>
      <c r="W142" s="1578"/>
      <c r="X142" s="52" t="str">
        <f t="shared" si="42"/>
        <v/>
      </c>
      <c r="Y142" s="52" t="str">
        <f t="shared" si="33"/>
        <v/>
      </c>
      <c r="AA142" s="52">
        <f t="shared" si="31"/>
        <v>0</v>
      </c>
    </row>
    <row r="143" spans="2:27" ht="26">
      <c r="B143" s="1532" t="str">
        <f t="shared" si="46"/>
        <v>Ambush</v>
      </c>
      <c r="C143" s="1795"/>
      <c r="D143" s="1791"/>
      <c r="E143" s="61"/>
      <c r="F143" s="61" t="s">
        <v>2673</v>
      </c>
      <c r="G143" s="61"/>
      <c r="H143" s="61"/>
      <c r="I143" s="61"/>
      <c r="J143" s="1687" t="s">
        <v>4811</v>
      </c>
      <c r="K143" s="63" t="str">
        <f>IF(AND(Q142="Yes",L142&lt;&gt;""),"Yes","No")</f>
        <v>No</v>
      </c>
      <c r="L143" s="76"/>
      <c r="M143" s="63">
        <f t="shared" si="34"/>
        <v>0</v>
      </c>
      <c r="N143" s="63" t="s">
        <v>2674</v>
      </c>
      <c r="O143" s="64"/>
      <c r="P143" s="660" t="str">
        <f t="shared" si="40"/>
        <v/>
      </c>
      <c r="Q143" s="52" t="str">
        <f t="shared" si="30"/>
        <v>No</v>
      </c>
      <c r="R143" s="1574" t="str">
        <f t="shared" si="37"/>
        <v/>
      </c>
      <c r="S143" s="52" t="str">
        <f t="shared" si="43"/>
        <v/>
      </c>
      <c r="T143" s="52" t="str">
        <f t="shared" si="44"/>
        <v/>
      </c>
      <c r="U143" s="52" t="str">
        <f t="shared" si="41"/>
        <v/>
      </c>
      <c r="V143" s="52" t="str">
        <f t="shared" si="45"/>
        <v/>
      </c>
      <c r="W143" s="1578"/>
      <c r="X143" s="52" t="str">
        <f t="shared" si="42"/>
        <v/>
      </c>
      <c r="Y143" s="52" t="str">
        <f t="shared" si="33"/>
        <v/>
      </c>
      <c r="AA143" s="52">
        <f t="shared" si="31"/>
        <v>0</v>
      </c>
    </row>
    <row r="144" spans="2:27" ht="26">
      <c r="B144" s="1532" t="str">
        <f t="shared" si="46"/>
        <v>Misplaced Loyalty</v>
      </c>
      <c r="C144" s="1795"/>
      <c r="D144" s="1791"/>
      <c r="E144" s="61"/>
      <c r="F144" s="61" t="s">
        <v>2675</v>
      </c>
      <c r="G144" s="61"/>
      <c r="H144" s="61"/>
      <c r="I144" s="61"/>
      <c r="J144" s="1687" t="s">
        <v>4812</v>
      </c>
      <c r="K144" s="63" t="str">
        <f>IF(AND(Q143="Yes",L142&lt;&gt;""),"Yes","No")</f>
        <v>No</v>
      </c>
      <c r="L144" s="76"/>
      <c r="M144" s="63">
        <f t="shared" si="34"/>
        <v>0</v>
      </c>
      <c r="N144" s="63" t="s">
        <v>2671</v>
      </c>
      <c r="O144" s="64"/>
      <c r="P144" s="660" t="str">
        <f t="shared" si="40"/>
        <v/>
      </c>
      <c r="Q144" s="52" t="str">
        <f t="shared" si="30"/>
        <v>No</v>
      </c>
      <c r="R144" s="1574" t="str">
        <f t="shared" si="37"/>
        <v/>
      </c>
      <c r="S144" s="52" t="str">
        <f t="shared" si="43"/>
        <v/>
      </c>
      <c r="T144" s="52" t="str">
        <f t="shared" si="44"/>
        <v/>
      </c>
      <c r="U144" s="52" t="str">
        <f t="shared" si="41"/>
        <v/>
      </c>
      <c r="V144" s="52" t="str">
        <f t="shared" si="45"/>
        <v/>
      </c>
      <c r="W144" s="1578"/>
      <c r="X144" s="52" t="str">
        <f t="shared" si="42"/>
        <v/>
      </c>
      <c r="Y144" s="52" t="str">
        <f t="shared" si="33"/>
        <v/>
      </c>
      <c r="AA144" s="52">
        <f t="shared" si="31"/>
        <v>0</v>
      </c>
    </row>
    <row r="145" spans="2:27" ht="65">
      <c r="B145" s="1532" t="str">
        <f t="shared" si="46"/>
        <v>Two-Faced</v>
      </c>
      <c r="C145" s="1795"/>
      <c r="D145" s="1791"/>
      <c r="E145" s="61"/>
      <c r="F145" s="61"/>
      <c r="G145" s="61" t="s">
        <v>2676</v>
      </c>
      <c r="H145" s="61"/>
      <c r="I145" s="61"/>
      <c r="J145" s="1687" t="s">
        <v>4813</v>
      </c>
      <c r="K145" s="63" t="str">
        <f>IF(AND(Q144="Yes",L144&lt;&gt;""),"Yes","No")</f>
        <v>No</v>
      </c>
      <c r="L145" s="76"/>
      <c r="M145" s="63">
        <f t="shared" si="34"/>
        <v>0</v>
      </c>
      <c r="N145" s="63" t="s">
        <v>2671</v>
      </c>
      <c r="O145" s="64"/>
      <c r="P145" s="660" t="str">
        <f t="shared" si="40"/>
        <v/>
      </c>
      <c r="Q145" s="52" t="str">
        <f t="shared" si="30"/>
        <v>No</v>
      </c>
      <c r="R145" s="1574" t="str">
        <f t="shared" si="37"/>
        <v/>
      </c>
      <c r="S145" s="52" t="str">
        <f t="shared" si="43"/>
        <v/>
      </c>
      <c r="T145" s="52" t="str">
        <f t="shared" si="44"/>
        <v/>
      </c>
      <c r="U145" s="52" t="str">
        <f t="shared" si="41"/>
        <v/>
      </c>
      <c r="V145" s="52" t="str">
        <f t="shared" si="45"/>
        <v/>
      </c>
      <c r="W145" s="1578"/>
      <c r="X145" s="52" t="str">
        <f t="shared" si="42"/>
        <v/>
      </c>
      <c r="Y145" s="52" t="str">
        <f t="shared" si="33"/>
        <v/>
      </c>
      <c r="AA145" s="52">
        <f t="shared" si="31"/>
        <v>0</v>
      </c>
    </row>
    <row r="146" spans="2:27" ht="26">
      <c r="B146" s="1532" t="str">
        <f t="shared" si="46"/>
        <v>Unreadable</v>
      </c>
      <c r="C146" s="1795"/>
      <c r="D146" s="1791"/>
      <c r="E146" s="61" t="s">
        <v>2677</v>
      </c>
      <c r="F146" s="61"/>
      <c r="G146" s="61"/>
      <c r="H146" s="61"/>
      <c r="I146" s="61"/>
      <c r="J146" s="1687" t="s">
        <v>4814</v>
      </c>
      <c r="K146" s="63" t="str">
        <f>IF(Q146="Yes","Yes","No")</f>
        <v>No</v>
      </c>
      <c r="L146" s="76"/>
      <c r="M146" s="63">
        <f t="shared" si="34"/>
        <v>0</v>
      </c>
      <c r="N146" s="63" t="s">
        <v>2671</v>
      </c>
      <c r="O146" s="64"/>
      <c r="P146" s="660" t="str">
        <f t="shared" si="40"/>
        <v/>
      </c>
      <c r="Q146" s="52" t="str">
        <f t="shared" si="30"/>
        <v>No</v>
      </c>
      <c r="R146" s="1574" t="str">
        <f t="shared" si="37"/>
        <v/>
      </c>
      <c r="S146" s="52" t="str">
        <f t="shared" si="43"/>
        <v/>
      </c>
      <c r="T146" s="52" t="str">
        <f t="shared" si="44"/>
        <v/>
      </c>
      <c r="U146" s="52" t="str">
        <f t="shared" si="41"/>
        <v/>
      </c>
      <c r="V146" s="52" t="str">
        <f t="shared" si="45"/>
        <v/>
      </c>
      <c r="W146" s="1578"/>
      <c r="X146" s="52" t="str">
        <f t="shared" si="42"/>
        <v/>
      </c>
      <c r="Y146" s="52" t="str">
        <f t="shared" si="33"/>
        <v/>
      </c>
      <c r="AA146" s="52">
        <f>IF(U146&lt;&gt;"",IF(Z146="Defenses",U146&amp;IF(AA152&lt;&gt;"",", ",""),"")&amp;AA152,AA152)</f>
        <v>0</v>
      </c>
    </row>
    <row r="147" spans="2:27">
      <c r="B147" s="1575"/>
      <c r="C147" s="1795"/>
      <c r="D147" s="1791" t="s">
        <v>8378</v>
      </c>
      <c r="E147" s="61" t="s">
        <v>8379</v>
      </c>
      <c r="F147" s="61"/>
      <c r="G147" s="61"/>
      <c r="H147" s="61"/>
      <c r="I147" s="61"/>
      <c r="J147" s="1687" t="s">
        <v>8380</v>
      </c>
      <c r="K147" s="63" t="str">
        <f>IF(AND(Q147="Yes",OR(TPersuasion&lt;&gt;"",FPersuasion&lt;&gt;"",BGPerception&lt;&gt;"",IF(ForcePersuasion,TRUE,FALSE))),"Yes","No")</f>
        <v>No</v>
      </c>
      <c r="L147" s="76"/>
      <c r="M147" s="63">
        <f t="shared" si="34"/>
        <v>0</v>
      </c>
      <c r="N147" s="63" t="s">
        <v>8377</v>
      </c>
      <c r="O147" s="64"/>
      <c r="P147" s="660" t="str">
        <f t="shared" si="40"/>
        <v/>
      </c>
      <c r="Q147" s="52" t="str">
        <f t="shared" si="30"/>
        <v>No</v>
      </c>
      <c r="R147" s="1574" t="str">
        <f t="shared" si="37"/>
        <v/>
      </c>
      <c r="S147" s="52" t="str">
        <f t="shared" si="43"/>
        <v/>
      </c>
      <c r="T147" s="52" t="str">
        <f t="shared" si="44"/>
        <v/>
      </c>
      <c r="U147" s="52" t="str">
        <f t="shared" si="41"/>
        <v/>
      </c>
      <c r="V147" s="52" t="str">
        <f t="shared" si="45"/>
        <v/>
      </c>
      <c r="W147" s="1578"/>
      <c r="X147" s="52" t="str">
        <f t="shared" si="42"/>
        <v/>
      </c>
      <c r="Y147" s="52" t="str">
        <f t="shared" si="33"/>
        <v/>
      </c>
    </row>
    <row r="148" spans="2:27" ht="26">
      <c r="B148" s="1575"/>
      <c r="C148" s="1795"/>
      <c r="D148" s="1791"/>
      <c r="E148" s="61" t="s">
        <v>8383</v>
      </c>
      <c r="F148" s="61"/>
      <c r="G148" s="61"/>
      <c r="H148" s="61"/>
      <c r="I148" s="61"/>
      <c r="J148" s="1687" t="s">
        <v>8384</v>
      </c>
      <c r="K148" s="63" t="str">
        <f>IF(AND(Q148="Yes",OR(TKnowledgeGalacticLore&lt;&gt;"",FKnowledgeGalacticLore&lt;&gt;"",BGKnowledgeGalacticLore&lt;&gt;"")),"Yes","No")</f>
        <v>No</v>
      </c>
      <c r="L148" s="76"/>
      <c r="M148" s="63">
        <f t="shared" si="34"/>
        <v>0</v>
      </c>
      <c r="N148" s="63" t="s">
        <v>8385</v>
      </c>
      <c r="O148" s="64"/>
      <c r="P148" s="660" t="str">
        <f t="shared" si="40"/>
        <v/>
      </c>
      <c r="Q148" s="52" t="str">
        <f t="shared" si="30"/>
        <v>No</v>
      </c>
      <c r="R148" s="1574" t="str">
        <f t="shared" si="37"/>
        <v/>
      </c>
      <c r="S148" s="52" t="str">
        <f t="shared" si="43"/>
        <v/>
      </c>
      <c r="T148" s="52" t="str">
        <f t="shared" si="44"/>
        <v/>
      </c>
      <c r="U148" s="52" t="str">
        <f t="shared" si="41"/>
        <v/>
      </c>
      <c r="V148" s="52" t="str">
        <f t="shared" si="45"/>
        <v/>
      </c>
      <c r="W148" s="1578"/>
      <c r="X148" s="52" t="str">
        <f t="shared" si="42"/>
        <v/>
      </c>
      <c r="Y148" s="52" t="str">
        <f t="shared" si="33"/>
        <v/>
      </c>
    </row>
    <row r="149" spans="2:27">
      <c r="B149" s="1575"/>
      <c r="C149" s="1795"/>
      <c r="D149" s="1791"/>
      <c r="E149" s="61" t="s">
        <v>8386</v>
      </c>
      <c r="F149" s="61"/>
      <c r="G149" s="61"/>
      <c r="H149" s="61"/>
      <c r="I149" s="61"/>
      <c r="J149" s="1687" t="s">
        <v>8387</v>
      </c>
      <c r="K149" s="63" t="str">
        <f>IF(AND(Q149="Yes",OR(TPersuasion&lt;&gt;"",FPersuasion&lt;&gt;"",BGPerception&lt;&gt;"",IF(ForcePersuasion,TRUE,FALSE))),"Yes","No")</f>
        <v>No</v>
      </c>
      <c r="L149" s="76"/>
      <c r="M149" s="63">
        <f t="shared" si="34"/>
        <v>0</v>
      </c>
      <c r="N149" s="63" t="s">
        <v>8385</v>
      </c>
      <c r="O149" s="64"/>
      <c r="P149" s="660" t="str">
        <f t="shared" si="40"/>
        <v/>
      </c>
      <c r="Q149" s="52" t="str">
        <f t="shared" si="30"/>
        <v>No</v>
      </c>
      <c r="R149" s="1574" t="str">
        <f t="shared" si="37"/>
        <v/>
      </c>
      <c r="S149" s="52" t="str">
        <f t="shared" si="43"/>
        <v/>
      </c>
      <c r="T149" s="52" t="str">
        <f t="shared" si="44"/>
        <v/>
      </c>
      <c r="U149" s="52" t="str">
        <f t="shared" si="41"/>
        <v/>
      </c>
      <c r="V149" s="52" t="str">
        <f t="shared" si="45"/>
        <v/>
      </c>
      <c r="W149" s="1578"/>
      <c r="X149" s="52" t="str">
        <f t="shared" si="42"/>
        <v/>
      </c>
      <c r="Y149" s="52" t="str">
        <f t="shared" si="33"/>
        <v/>
      </c>
    </row>
    <row r="150" spans="2:27">
      <c r="B150" s="1575"/>
      <c r="C150" s="1795"/>
      <c r="D150" s="1791"/>
      <c r="E150" s="61" t="s">
        <v>8388</v>
      </c>
      <c r="F150" s="61"/>
      <c r="G150" s="61"/>
      <c r="H150" s="61"/>
      <c r="I150" s="61"/>
      <c r="J150" s="1687" t="s">
        <v>8389</v>
      </c>
      <c r="K150" s="63" t="str">
        <f>IF(AND(Q150="Yes",OR(L173&lt;&gt;"",L174&lt;&gt;"",L175&lt;&gt;"",L176&lt;&gt;"",L177&lt;&gt;"",L178&lt;&gt;"",L179&lt;&gt;"")),"Yes","No")</f>
        <v>No</v>
      </c>
      <c r="L150" s="76"/>
      <c r="M150" s="63">
        <f t="shared" si="34"/>
        <v>0</v>
      </c>
      <c r="N150" s="63" t="s">
        <v>8385</v>
      </c>
      <c r="O150" s="64"/>
      <c r="P150" s="660" t="str">
        <f t="shared" si="40"/>
        <v/>
      </c>
      <c r="Q150" s="52" t="str">
        <f t="shared" si="30"/>
        <v>No</v>
      </c>
      <c r="R150" s="1574" t="str">
        <f t="shared" si="37"/>
        <v/>
      </c>
      <c r="S150" s="52" t="str">
        <f t="shared" si="43"/>
        <v/>
      </c>
      <c r="T150" s="52" t="str">
        <f t="shared" si="44"/>
        <v/>
      </c>
      <c r="U150" s="52" t="str">
        <f t="shared" si="41"/>
        <v/>
      </c>
      <c r="V150" s="52" t="str">
        <f t="shared" si="45"/>
        <v/>
      </c>
      <c r="W150" s="1578"/>
      <c r="X150" s="52" t="str">
        <f t="shared" si="42"/>
        <v/>
      </c>
      <c r="Y150" s="52" t="str">
        <f t="shared" si="33"/>
        <v/>
      </c>
    </row>
    <row r="151" spans="2:27" ht="26">
      <c r="B151" s="1575"/>
      <c r="C151" s="1795"/>
      <c r="D151" s="1791"/>
      <c r="E151" s="61"/>
      <c r="F151" s="61"/>
      <c r="G151" s="61" t="s">
        <v>8381</v>
      </c>
      <c r="H151" s="61"/>
      <c r="I151" s="61"/>
      <c r="J151" s="1687" t="s">
        <v>8382</v>
      </c>
      <c r="K151" s="63" t="str">
        <f>IF(AND(Q151="Yes", L148&lt;&gt;"",L150&lt;&gt;""),"Yes","No")</f>
        <v>No</v>
      </c>
      <c r="L151" s="76"/>
      <c r="M151" s="63">
        <f t="shared" si="34"/>
        <v>0</v>
      </c>
      <c r="N151" s="63" t="s">
        <v>8377</v>
      </c>
      <c r="O151" s="64"/>
      <c r="P151" s="660" t="str">
        <f t="shared" si="40"/>
        <v/>
      </c>
      <c r="Q151" s="52" t="str">
        <f t="shared" si="30"/>
        <v>No</v>
      </c>
      <c r="R151" s="1574" t="str">
        <f t="shared" si="37"/>
        <v/>
      </c>
      <c r="S151" s="52" t="str">
        <f t="shared" si="43"/>
        <v/>
      </c>
      <c r="T151" s="52" t="str">
        <f t="shared" si="44"/>
        <v/>
      </c>
      <c r="U151" s="52" t="str">
        <f t="shared" si="41"/>
        <v/>
      </c>
      <c r="V151" s="52" t="str">
        <f t="shared" si="45"/>
        <v/>
      </c>
      <c r="W151" s="1578"/>
      <c r="X151" s="52" t="str">
        <f t="shared" si="42"/>
        <v/>
      </c>
      <c r="Y151" s="52" t="str">
        <f t="shared" si="33"/>
        <v/>
      </c>
    </row>
    <row r="152" spans="2:27" ht="26">
      <c r="B152" s="1532" t="str">
        <f t="shared" si="46"/>
        <v>Noble Fencing Style</v>
      </c>
      <c r="C152" s="1795"/>
      <c r="D152" s="1791" t="s">
        <v>2678</v>
      </c>
      <c r="E152" s="61" t="s">
        <v>2679</v>
      </c>
      <c r="F152" s="61"/>
      <c r="G152" s="61"/>
      <c r="H152" s="61"/>
      <c r="I152" s="61"/>
      <c r="J152" s="1687" t="s">
        <v>4815</v>
      </c>
      <c r="K152" s="63" t="str">
        <f>IF(AND(Q152="Yes",IF(TDeception="Yes",TRUE,FALSE),IF(TPersuasion="Yes",TRUE,FALSE)),"Yes","No")</f>
        <v>No</v>
      </c>
      <c r="L152" s="76"/>
      <c r="M152" s="63">
        <f t="shared" si="34"/>
        <v>0</v>
      </c>
      <c r="N152" s="63" t="s">
        <v>2680</v>
      </c>
      <c r="O152" s="64"/>
      <c r="P152" s="660" t="str">
        <f t="shared" si="40"/>
        <v/>
      </c>
      <c r="Q152" s="52" t="str">
        <f>IF(OR($AD$45&gt;0,$AD$8&gt;0),"Yes","No")</f>
        <v>No</v>
      </c>
      <c r="R152" s="1574" t="str">
        <f t="shared" si="37"/>
        <v/>
      </c>
      <c r="S152" s="52" t="str">
        <f t="shared" si="43"/>
        <v/>
      </c>
      <c r="T152" s="52" t="str">
        <f t="shared" si="44"/>
        <v/>
      </c>
      <c r="U152" s="52" t="str">
        <f t="shared" si="41"/>
        <v/>
      </c>
      <c r="V152" s="52" t="str">
        <f t="shared" si="45"/>
        <v/>
      </c>
      <c r="W152" s="1578"/>
      <c r="X152" s="52" t="str">
        <f t="shared" si="42"/>
        <v/>
      </c>
      <c r="Y152" s="52" t="str">
        <f t="shared" si="33"/>
        <v/>
      </c>
      <c r="AA152" s="52">
        <f t="shared" si="31"/>
        <v>0</v>
      </c>
    </row>
    <row r="153" spans="2:27">
      <c r="B153" s="1532" t="str">
        <f t="shared" si="46"/>
        <v>Demoralizing Defense</v>
      </c>
      <c r="C153" s="1795"/>
      <c r="D153" s="1791"/>
      <c r="E153" s="61"/>
      <c r="F153" s="61" t="s">
        <v>2681</v>
      </c>
      <c r="G153" s="61"/>
      <c r="H153" s="61"/>
      <c r="I153" s="61"/>
      <c r="J153" s="1687" t="s">
        <v>4816</v>
      </c>
      <c r="K153" s="63" t="str">
        <f>IF(AND(Q153="Yes",L152&lt;&gt;""),"Yes","No")</f>
        <v>No</v>
      </c>
      <c r="L153" s="76"/>
      <c r="M153" s="63">
        <f t="shared" si="34"/>
        <v>0</v>
      </c>
      <c r="N153" s="63" t="s">
        <v>2682</v>
      </c>
      <c r="O153" s="64"/>
      <c r="P153" s="660" t="str">
        <f t="shared" si="40"/>
        <v/>
      </c>
      <c r="Q153" s="52" t="str">
        <f t="shared" si="30"/>
        <v>No</v>
      </c>
      <c r="R153" s="1574" t="str">
        <f t="shared" si="37"/>
        <v/>
      </c>
      <c r="S153" s="52" t="str">
        <f t="shared" si="43"/>
        <v/>
      </c>
      <c r="T153" s="52" t="str">
        <f t="shared" si="44"/>
        <v/>
      </c>
      <c r="U153" s="52" t="str">
        <f t="shared" si="41"/>
        <v/>
      </c>
      <c r="V153" s="52" t="str">
        <f t="shared" si="45"/>
        <v/>
      </c>
      <c r="W153" s="1578"/>
      <c r="X153" s="52" t="str">
        <f t="shared" si="42"/>
        <v/>
      </c>
      <c r="Y153" s="52" t="str">
        <f t="shared" si="33"/>
        <v/>
      </c>
      <c r="AA153" s="52">
        <f t="shared" si="31"/>
        <v>0</v>
      </c>
    </row>
    <row r="154" spans="2:27" ht="26">
      <c r="B154" s="1532" t="str">
        <f t="shared" si="46"/>
        <v>Leading Feint</v>
      </c>
      <c r="C154" s="1795"/>
      <c r="D154" s="1791"/>
      <c r="E154" s="61"/>
      <c r="F154" s="61" t="s">
        <v>2683</v>
      </c>
      <c r="G154" s="61"/>
      <c r="H154" s="61"/>
      <c r="I154" s="61"/>
      <c r="J154" s="1687" t="s">
        <v>4817</v>
      </c>
      <c r="K154" s="63" t="str">
        <f t="shared" ref="K154:K159" si="47">IF(Q154="Yes","Yes","No")</f>
        <v>No</v>
      </c>
      <c r="L154" s="76"/>
      <c r="M154" s="63">
        <f t="shared" si="34"/>
        <v>0</v>
      </c>
      <c r="N154" s="63" t="s">
        <v>2682</v>
      </c>
      <c r="O154" s="64"/>
      <c r="P154" s="660" t="str">
        <f t="shared" si="40"/>
        <v/>
      </c>
      <c r="Q154" s="52" t="str">
        <f t="shared" si="30"/>
        <v>No</v>
      </c>
      <c r="R154" s="1574" t="str">
        <f t="shared" si="37"/>
        <v/>
      </c>
      <c r="S154" s="52" t="str">
        <f t="shared" si="43"/>
        <v/>
      </c>
      <c r="T154" s="52" t="str">
        <f t="shared" si="44"/>
        <v/>
      </c>
      <c r="U154" s="52" t="str">
        <f t="shared" si="41"/>
        <v/>
      </c>
      <c r="V154" s="52" t="str">
        <f t="shared" si="45"/>
        <v/>
      </c>
      <c r="W154" s="1578"/>
      <c r="X154" s="52" t="str">
        <f t="shared" si="42"/>
        <v/>
      </c>
      <c r="Y154" s="52" t="str">
        <f t="shared" si="33"/>
        <v/>
      </c>
      <c r="AA154" s="52">
        <f t="shared" si="31"/>
        <v>0</v>
      </c>
    </row>
    <row r="155" spans="2:27">
      <c r="B155" s="1532" t="str">
        <f t="shared" si="46"/>
        <v>Personal Affront</v>
      </c>
      <c r="C155" s="1795"/>
      <c r="D155" s="1791"/>
      <c r="E155" s="61"/>
      <c r="F155" s="61" t="s">
        <v>2684</v>
      </c>
      <c r="G155" s="61"/>
      <c r="H155" s="61"/>
      <c r="I155" s="61"/>
      <c r="J155" s="1687" t="s">
        <v>4818</v>
      </c>
      <c r="K155" s="63" t="str">
        <f>IF(AND(Q155="Yes",BAB&gt;=5),"Yes","No")</f>
        <v>No</v>
      </c>
      <c r="L155" s="76"/>
      <c r="M155" s="63">
        <f t="shared" si="34"/>
        <v>0</v>
      </c>
      <c r="N155" s="63" t="s">
        <v>2680</v>
      </c>
      <c r="O155" s="64"/>
      <c r="P155" s="660" t="str">
        <f t="shared" si="40"/>
        <v/>
      </c>
      <c r="Q155" s="52" t="str">
        <f t="shared" si="30"/>
        <v>No</v>
      </c>
      <c r="R155" s="1574" t="str">
        <f t="shared" si="37"/>
        <v/>
      </c>
      <c r="S155" s="52" t="str">
        <f t="shared" si="43"/>
        <v/>
      </c>
      <c r="T155" s="52" t="str">
        <f t="shared" si="44"/>
        <v/>
      </c>
      <c r="U155" s="52" t="str">
        <f t="shared" si="41"/>
        <v/>
      </c>
      <c r="V155" s="52" t="str">
        <f t="shared" si="45"/>
        <v/>
      </c>
      <c r="W155" s="1578"/>
      <c r="X155" s="52" t="str">
        <f t="shared" si="42"/>
        <v/>
      </c>
      <c r="Y155" s="52" t="str">
        <f t="shared" si="33"/>
        <v/>
      </c>
      <c r="AA155" s="52">
        <f t="shared" si="31"/>
        <v>0</v>
      </c>
    </row>
    <row r="156" spans="2:27">
      <c r="B156" s="1532" t="str">
        <f t="shared" si="46"/>
        <v>Transposing Strike</v>
      </c>
      <c r="C156" s="1795"/>
      <c r="D156" s="1791"/>
      <c r="E156" s="61"/>
      <c r="F156" s="61" t="s">
        <v>2685</v>
      </c>
      <c r="G156" s="61"/>
      <c r="H156" s="61"/>
      <c r="I156" s="61"/>
      <c r="J156" s="1687" t="s">
        <v>4819</v>
      </c>
      <c r="K156" s="63" t="str">
        <f>IF(AND(Q156="Yes",BAB&gt;=5),"Yes","No")</f>
        <v>No</v>
      </c>
      <c r="L156" s="76"/>
      <c r="M156" s="63">
        <f t="shared" si="34"/>
        <v>0</v>
      </c>
      <c r="N156" s="63" t="s">
        <v>2680</v>
      </c>
      <c r="O156" s="64"/>
      <c r="P156" s="660" t="str">
        <f t="shared" si="40"/>
        <v/>
      </c>
      <c r="Q156" s="52" t="str">
        <f t="shared" si="30"/>
        <v>No</v>
      </c>
      <c r="R156" s="1574" t="str">
        <f t="shared" si="37"/>
        <v/>
      </c>
      <c r="S156" s="52" t="str">
        <f t="shared" si="43"/>
        <v/>
      </c>
      <c r="T156" s="52" t="str">
        <f t="shared" si="44"/>
        <v/>
      </c>
      <c r="U156" s="52" t="str">
        <f t="shared" si="41"/>
        <v/>
      </c>
      <c r="V156" s="52" t="str">
        <f t="shared" si="45"/>
        <v/>
      </c>
      <c r="W156" s="1578"/>
      <c r="X156" s="52" t="str">
        <f t="shared" si="42"/>
        <v/>
      </c>
      <c r="Y156" s="52" t="str">
        <f t="shared" si="33"/>
        <v/>
      </c>
      <c r="AA156" s="52">
        <f t="shared" si="31"/>
        <v>0</v>
      </c>
    </row>
    <row r="157" spans="2:27">
      <c r="B157" s="1532" t="str">
        <f t="shared" si="46"/>
        <v>Idealist</v>
      </c>
      <c r="C157" s="1795"/>
      <c r="D157" s="1791" t="s">
        <v>2686</v>
      </c>
      <c r="E157" s="61" t="s">
        <v>2687</v>
      </c>
      <c r="F157" s="61"/>
      <c r="G157" s="61"/>
      <c r="H157" s="61"/>
      <c r="I157" s="61"/>
      <c r="J157" s="1687" t="s">
        <v>4820</v>
      </c>
      <c r="K157" s="63" t="str">
        <f>IF(AND(Q157="Yes",Charisma&gt;=13),"Yes","No")</f>
        <v>No</v>
      </c>
      <c r="L157" s="76"/>
      <c r="M157" s="63">
        <f t="shared" si="34"/>
        <v>0</v>
      </c>
      <c r="N157" s="63" t="s">
        <v>2688</v>
      </c>
      <c r="O157" s="64"/>
      <c r="P157" s="660" t="str">
        <f t="shared" si="40"/>
        <v/>
      </c>
      <c r="Q157" s="52" t="str">
        <f>IF(OR($AD$45&gt;0,$AD$8&gt;0),"Yes","No")</f>
        <v>No</v>
      </c>
      <c r="R157" s="1574" t="str">
        <f t="shared" si="37"/>
        <v/>
      </c>
      <c r="S157" s="52" t="str">
        <f t="shared" si="43"/>
        <v/>
      </c>
      <c r="T157" s="52" t="str">
        <f t="shared" si="44"/>
        <v/>
      </c>
      <c r="U157" s="52" t="str">
        <f t="shared" si="41"/>
        <v/>
      </c>
      <c r="V157" s="52" t="str">
        <f t="shared" si="45"/>
        <v/>
      </c>
      <c r="W157" s="1578"/>
      <c r="X157" s="52" t="str">
        <f t="shared" si="42"/>
        <v/>
      </c>
      <c r="Y157" s="52" t="str">
        <f t="shared" ref="Y157:Y217" si="48">IF(U157&lt;&gt;"",IF(W157="Att Options",U157&amp;IF(Y158&lt;&gt;"",", ",""),"")&amp;Y158,Y158)</f>
        <v/>
      </c>
      <c r="AA157" s="52">
        <f t="shared" si="31"/>
        <v>0</v>
      </c>
    </row>
    <row r="158" spans="2:27" ht="52">
      <c r="B158" s="1532" t="str">
        <f t="shared" si="46"/>
        <v>Instruction</v>
      </c>
      <c r="C158" s="1795"/>
      <c r="D158" s="1791"/>
      <c r="E158" s="61" t="s">
        <v>2689</v>
      </c>
      <c r="F158" s="61"/>
      <c r="G158" s="61"/>
      <c r="H158" s="61"/>
      <c r="I158" s="61"/>
      <c r="J158" s="1687" t="s">
        <v>4821</v>
      </c>
      <c r="K158" s="63" t="str">
        <f t="shared" si="47"/>
        <v>No</v>
      </c>
      <c r="L158" s="76"/>
      <c r="M158" s="63">
        <f>IF(L158&lt;&gt;"",1,0)</f>
        <v>0</v>
      </c>
      <c r="N158" s="63" t="s">
        <v>2688</v>
      </c>
      <c r="O158" s="64"/>
      <c r="P158" s="660" t="str">
        <f t="shared" si="40"/>
        <v/>
      </c>
      <c r="Q158" s="52" t="str">
        <f t="shared" si="30"/>
        <v>No</v>
      </c>
      <c r="R158" s="1574" t="str">
        <f t="shared" si="37"/>
        <v/>
      </c>
      <c r="S158" s="52" t="str">
        <f t="shared" si="43"/>
        <v/>
      </c>
      <c r="T158" s="52" t="str">
        <f t="shared" si="44"/>
        <v/>
      </c>
      <c r="U158" s="52" t="str">
        <f t="shared" si="41"/>
        <v/>
      </c>
      <c r="V158" s="52" t="str">
        <f t="shared" si="45"/>
        <v/>
      </c>
      <c r="W158" s="1578"/>
      <c r="X158" s="52" t="str">
        <f t="shared" si="42"/>
        <v/>
      </c>
      <c r="Y158" s="52" t="str">
        <f t="shared" si="48"/>
        <v/>
      </c>
      <c r="AA158" s="52">
        <f t="shared" si="31"/>
        <v>0</v>
      </c>
    </row>
    <row r="159" spans="2:27" ht="26">
      <c r="B159" s="1532" t="str">
        <f t="shared" si="46"/>
        <v>Know Your Enemy</v>
      </c>
      <c r="C159" s="1795"/>
      <c r="D159" s="1791"/>
      <c r="E159" s="61" t="s">
        <v>2690</v>
      </c>
      <c r="F159" s="61"/>
      <c r="G159" s="61"/>
      <c r="H159" s="61"/>
      <c r="I159" s="61"/>
      <c r="J159" s="1687" t="s">
        <v>4822</v>
      </c>
      <c r="K159" s="63" t="str">
        <f t="shared" si="47"/>
        <v>No</v>
      </c>
      <c r="L159" s="76"/>
      <c r="M159" s="63">
        <f t="shared" si="34"/>
        <v>0</v>
      </c>
      <c r="N159" s="63" t="s">
        <v>2688</v>
      </c>
      <c r="O159" s="64"/>
      <c r="P159" s="660" t="str">
        <f t="shared" si="40"/>
        <v/>
      </c>
      <c r="Q159" s="52" t="str">
        <f t="shared" si="30"/>
        <v>No</v>
      </c>
      <c r="R159" s="1574" t="str">
        <f t="shared" si="37"/>
        <v/>
      </c>
      <c r="S159" s="52" t="str">
        <f t="shared" si="43"/>
        <v/>
      </c>
      <c r="T159" s="52" t="str">
        <f t="shared" si="44"/>
        <v/>
      </c>
      <c r="U159" s="52" t="str">
        <f t="shared" si="41"/>
        <v/>
      </c>
      <c r="V159" s="52" t="str">
        <f t="shared" si="45"/>
        <v/>
      </c>
      <c r="W159" s="1578"/>
      <c r="X159" s="52" t="str">
        <f t="shared" si="42"/>
        <v/>
      </c>
      <c r="Y159" s="52" t="str">
        <f t="shared" si="48"/>
        <v/>
      </c>
      <c r="AA159" s="52">
        <f t="shared" si="31"/>
        <v>0</v>
      </c>
    </row>
    <row r="160" spans="2:27" ht="26">
      <c r="B160" s="1532" t="str">
        <f t="shared" si="46"/>
        <v>Known Dissident</v>
      </c>
      <c r="C160" s="1795"/>
      <c r="D160" s="1791"/>
      <c r="E160" s="61"/>
      <c r="F160" s="61" t="s">
        <v>2691</v>
      </c>
      <c r="G160" s="61"/>
      <c r="H160" s="61"/>
      <c r="I160" s="61"/>
      <c r="J160" s="1687" t="s">
        <v>4823</v>
      </c>
      <c r="K160" s="63" t="str">
        <f>IF(AND(Q160="Yes",L159&lt;&gt;""),"Yes","No")</f>
        <v>No</v>
      </c>
      <c r="L160" s="76"/>
      <c r="M160" s="63">
        <f t="shared" si="34"/>
        <v>0</v>
      </c>
      <c r="N160" s="63" t="s">
        <v>2688</v>
      </c>
      <c r="O160" s="64"/>
      <c r="P160" s="660" t="str">
        <f t="shared" si="40"/>
        <v/>
      </c>
      <c r="Q160" s="52" t="str">
        <f t="shared" si="30"/>
        <v>No</v>
      </c>
      <c r="R160" s="1574" t="str">
        <f t="shared" si="37"/>
        <v/>
      </c>
      <c r="S160" s="52" t="str">
        <f t="shared" si="43"/>
        <v/>
      </c>
      <c r="T160" s="52" t="str">
        <f t="shared" si="44"/>
        <v/>
      </c>
      <c r="U160" s="52" t="str">
        <f t="shared" si="41"/>
        <v/>
      </c>
      <c r="V160" s="52" t="str">
        <f t="shared" si="45"/>
        <v/>
      </c>
      <c r="W160" s="1578"/>
      <c r="X160" s="52" t="str">
        <f t="shared" si="42"/>
        <v/>
      </c>
      <c r="Y160" s="52" t="str">
        <f t="shared" si="48"/>
        <v/>
      </c>
      <c r="AA160" s="52">
        <f t="shared" si="31"/>
        <v>0</v>
      </c>
    </row>
    <row r="161" spans="2:27">
      <c r="B161" s="1532" t="str">
        <f t="shared" si="46"/>
        <v>Lead by Example</v>
      </c>
      <c r="C161" s="1795"/>
      <c r="D161" s="1791"/>
      <c r="E161" s="61" t="s">
        <v>2692</v>
      </c>
      <c r="F161" s="61"/>
      <c r="G161" s="61"/>
      <c r="H161" s="61"/>
      <c r="I161" s="61"/>
      <c r="J161" s="1687" t="s">
        <v>4824</v>
      </c>
      <c r="K161" s="63" t="str">
        <f>IF(Q161="Yes","Yes","No")</f>
        <v>No</v>
      </c>
      <c r="L161" s="76"/>
      <c r="M161" s="63">
        <f t="shared" si="34"/>
        <v>0</v>
      </c>
      <c r="N161" s="63" t="s">
        <v>2688</v>
      </c>
      <c r="O161" s="64"/>
      <c r="P161" s="660" t="str">
        <f t="shared" si="40"/>
        <v/>
      </c>
      <c r="Q161" s="52" t="str">
        <f t="shared" si="30"/>
        <v>No</v>
      </c>
      <c r="R161" s="1574" t="str">
        <f t="shared" si="37"/>
        <v/>
      </c>
      <c r="S161" s="52" t="str">
        <f t="shared" si="43"/>
        <v/>
      </c>
      <c r="T161" s="52" t="str">
        <f t="shared" si="44"/>
        <v/>
      </c>
      <c r="U161" s="52" t="str">
        <f t="shared" si="41"/>
        <v/>
      </c>
      <c r="V161" s="52" t="str">
        <f t="shared" si="45"/>
        <v/>
      </c>
      <c r="W161" s="1578"/>
      <c r="X161" s="52" t="str">
        <f t="shared" si="42"/>
        <v/>
      </c>
      <c r="Y161" s="52" t="str">
        <f t="shared" si="48"/>
        <v/>
      </c>
      <c r="AA161" s="52">
        <f t="shared" ref="AA161:AA166" si="49">IF(U161&lt;&gt;"",IF(Z161="Defenses",U161&amp;IF(AA162&lt;&gt;"",", ",""),"")&amp;AA162,AA162)</f>
        <v>0</v>
      </c>
    </row>
    <row r="162" spans="2:27" ht="39">
      <c r="B162" s="1532" t="str">
        <f t="shared" si="46"/>
        <v>Assault Gambit</v>
      </c>
      <c r="C162" s="1795"/>
      <c r="D162" s="1791" t="s">
        <v>6365</v>
      </c>
      <c r="E162" s="61" t="s">
        <v>6366</v>
      </c>
      <c r="F162" s="61"/>
      <c r="G162" s="61"/>
      <c r="H162" s="61"/>
      <c r="I162" s="61"/>
      <c r="J162" s="1687" t="s">
        <v>6371</v>
      </c>
      <c r="K162" s="63" t="str">
        <f>IF(Q162="Yes","Yes","No")</f>
        <v>No</v>
      </c>
      <c r="L162" s="76"/>
      <c r="M162" s="63">
        <f>IF(L162&lt;&gt;"",1,0)</f>
        <v>0</v>
      </c>
      <c r="N162" s="63" t="s">
        <v>6483</v>
      </c>
      <c r="O162" s="64"/>
      <c r="P162" s="660" t="str">
        <f t="shared" si="40"/>
        <v/>
      </c>
      <c r="Q162" s="52" t="str">
        <f>IF(OR($AD$45&gt;0,$AD$8&gt;0),"Yes","No")</f>
        <v>No</v>
      </c>
      <c r="R162" s="1574" t="str">
        <f t="shared" si="37"/>
        <v/>
      </c>
      <c r="S162" s="52" t="str">
        <f t="shared" si="43"/>
        <v/>
      </c>
      <c r="T162" s="52" t="str">
        <f t="shared" si="44"/>
        <v/>
      </c>
      <c r="U162" s="52" t="str">
        <f t="shared" si="41"/>
        <v/>
      </c>
      <c r="V162" s="52" t="str">
        <f t="shared" si="45"/>
        <v/>
      </c>
      <c r="W162" s="1578"/>
      <c r="X162" s="52" t="str">
        <f t="shared" si="42"/>
        <v/>
      </c>
      <c r="Y162" s="52" t="str">
        <f t="shared" si="48"/>
        <v/>
      </c>
      <c r="AA162" s="52">
        <f t="shared" si="49"/>
        <v>0</v>
      </c>
    </row>
    <row r="163" spans="2:27" ht="39">
      <c r="B163" s="1532" t="str">
        <f t="shared" si="46"/>
        <v>Direct Fire</v>
      </c>
      <c r="C163" s="1795"/>
      <c r="D163" s="1791"/>
      <c r="E163" s="61"/>
      <c r="F163" s="61" t="s">
        <v>6368</v>
      </c>
      <c r="G163" s="61"/>
      <c r="H163" s="61"/>
      <c r="I163" s="61"/>
      <c r="J163" s="1687" t="s">
        <v>6372</v>
      </c>
      <c r="K163" s="63" t="str">
        <f>IF(AND(Q162="Yes",L162&lt;&gt;""),"Yes","No")</f>
        <v>No</v>
      </c>
      <c r="L163" s="76"/>
      <c r="M163" s="63">
        <f>IF(L163&lt;&gt;"",1,0)</f>
        <v>0</v>
      </c>
      <c r="N163" s="63" t="s">
        <v>6483</v>
      </c>
      <c r="O163" s="64"/>
      <c r="P163" s="660" t="str">
        <f t="shared" si="40"/>
        <v/>
      </c>
      <c r="Q163" s="52" t="str">
        <f t="shared" si="30"/>
        <v>No</v>
      </c>
      <c r="R163" s="1574" t="str">
        <f t="shared" si="37"/>
        <v/>
      </c>
      <c r="S163" s="52" t="str">
        <f t="shared" si="43"/>
        <v/>
      </c>
      <c r="T163" s="52" t="str">
        <f t="shared" si="44"/>
        <v/>
      </c>
      <c r="U163" s="52" t="str">
        <f t="shared" si="41"/>
        <v/>
      </c>
      <c r="V163" s="52" t="str">
        <f t="shared" si="45"/>
        <v/>
      </c>
      <c r="W163" s="1578"/>
      <c r="X163" s="52" t="str">
        <f t="shared" si="42"/>
        <v/>
      </c>
      <c r="Y163" s="52" t="str">
        <f t="shared" si="48"/>
        <v/>
      </c>
      <c r="AA163" s="52">
        <f t="shared" si="49"/>
        <v>0</v>
      </c>
    </row>
    <row r="164" spans="2:27">
      <c r="B164" s="1532" t="str">
        <f t="shared" si="46"/>
        <v>Face the Foe</v>
      </c>
      <c r="C164" s="1795"/>
      <c r="D164" s="1791"/>
      <c r="E164" s="61" t="s">
        <v>6367</v>
      </c>
      <c r="F164" s="61"/>
      <c r="G164" s="61"/>
      <c r="H164" s="61"/>
      <c r="I164" s="61"/>
      <c r="J164" s="1687" t="s">
        <v>6373</v>
      </c>
      <c r="K164" s="63" t="str">
        <f>IF(Q164="Yes","Yes","No")</f>
        <v>No</v>
      </c>
      <c r="L164" s="76"/>
      <c r="M164" s="63">
        <f>IF(L164&lt;&gt;"",1,0)</f>
        <v>0</v>
      </c>
      <c r="N164" s="63" t="s">
        <v>6483</v>
      </c>
      <c r="O164" s="64"/>
      <c r="P164" s="660" t="str">
        <f t="shared" si="40"/>
        <v/>
      </c>
      <c r="Q164" s="52" t="str">
        <f t="shared" si="30"/>
        <v>No</v>
      </c>
      <c r="R164" s="1574" t="str">
        <f t="shared" si="37"/>
        <v/>
      </c>
      <c r="S164" s="52" t="str">
        <f t="shared" si="43"/>
        <v/>
      </c>
      <c r="T164" s="52" t="str">
        <f t="shared" si="44"/>
        <v/>
      </c>
      <c r="U164" s="52" t="str">
        <f t="shared" si="41"/>
        <v/>
      </c>
      <c r="V164" s="52" t="str">
        <f t="shared" si="45"/>
        <v/>
      </c>
      <c r="W164" s="1578"/>
      <c r="X164" s="52" t="str">
        <f t="shared" si="42"/>
        <v/>
      </c>
      <c r="Y164" s="52" t="str">
        <f t="shared" si="48"/>
        <v/>
      </c>
      <c r="AA164" s="52">
        <f t="shared" si="49"/>
        <v>0</v>
      </c>
    </row>
    <row r="165" spans="2:27" ht="39">
      <c r="B165" s="1532" t="str">
        <f t="shared" si="46"/>
        <v>Lead From the Front</v>
      </c>
      <c r="C165" s="1795"/>
      <c r="D165" s="1791"/>
      <c r="E165" s="61"/>
      <c r="F165" s="61" t="s">
        <v>6369</v>
      </c>
      <c r="G165" s="61"/>
      <c r="H165" s="61"/>
      <c r="I165" s="61"/>
      <c r="J165" s="1687" t="s">
        <v>6374</v>
      </c>
      <c r="K165" s="63" t="str">
        <f>IF(AND(Q164="Yes",L164&lt;&gt;""),"Yes","No")</f>
        <v>No</v>
      </c>
      <c r="L165" s="76"/>
      <c r="M165" s="63">
        <f>IF(L165&lt;&gt;"",1,0)</f>
        <v>0</v>
      </c>
      <c r="N165" s="63" t="s">
        <v>6483</v>
      </c>
      <c r="O165" s="64"/>
      <c r="P165" s="660" t="str">
        <f t="shared" si="40"/>
        <v/>
      </c>
      <c r="Q165" s="52" t="str">
        <f t="shared" si="30"/>
        <v>No</v>
      </c>
      <c r="R165" s="1574" t="str">
        <f t="shared" si="37"/>
        <v/>
      </c>
      <c r="S165" s="52" t="str">
        <f t="shared" si="43"/>
        <v/>
      </c>
      <c r="T165" s="52" t="str">
        <f t="shared" si="44"/>
        <v/>
      </c>
      <c r="U165" s="52" t="str">
        <f t="shared" si="41"/>
        <v/>
      </c>
      <c r="V165" s="52" t="str">
        <f t="shared" si="45"/>
        <v/>
      </c>
      <c r="W165" s="1578"/>
      <c r="X165" s="52" t="str">
        <f t="shared" si="42"/>
        <v/>
      </c>
      <c r="Y165" s="52" t="str">
        <f t="shared" si="48"/>
        <v/>
      </c>
      <c r="AA165" s="52">
        <f t="shared" si="49"/>
        <v>0</v>
      </c>
    </row>
    <row r="166" spans="2:27" ht="52">
      <c r="B166" s="1532" t="str">
        <f t="shared" si="46"/>
        <v>Luck Favors the Bold</v>
      </c>
      <c r="C166" s="1795"/>
      <c r="D166" s="1791"/>
      <c r="E166" s="61"/>
      <c r="F166" s="61" t="s">
        <v>6370</v>
      </c>
      <c r="G166" s="61"/>
      <c r="H166" s="61"/>
      <c r="I166" s="61"/>
      <c r="J166" s="1687" t="s">
        <v>6375</v>
      </c>
      <c r="K166" s="63" t="str">
        <f>IF(AND(Q165="Yes",L164&lt;&gt;""),"Yes","No")</f>
        <v>No</v>
      </c>
      <c r="L166" s="76"/>
      <c r="M166" s="63">
        <f>IF(L166&lt;&gt;"",1,0)</f>
        <v>0</v>
      </c>
      <c r="N166" s="63" t="s">
        <v>6483</v>
      </c>
      <c r="O166" s="64"/>
      <c r="P166" s="660" t="str">
        <f t="shared" si="40"/>
        <v/>
      </c>
      <c r="Q166" s="52" t="str">
        <f t="shared" si="30"/>
        <v>No</v>
      </c>
      <c r="R166" s="1574" t="str">
        <f t="shared" si="37"/>
        <v/>
      </c>
      <c r="S166" s="52" t="str">
        <f t="shared" si="43"/>
        <v/>
      </c>
      <c r="T166" s="52" t="str">
        <f t="shared" si="44"/>
        <v/>
      </c>
      <c r="U166" s="52" t="str">
        <f t="shared" si="41"/>
        <v/>
      </c>
      <c r="V166" s="52" t="str">
        <f t="shared" si="45"/>
        <v/>
      </c>
      <c r="W166" s="1578"/>
      <c r="X166" s="52" t="str">
        <f t="shared" si="42"/>
        <v/>
      </c>
      <c r="Y166" s="52" t="str">
        <f t="shared" si="48"/>
        <v/>
      </c>
      <c r="AA166" s="52">
        <f t="shared" si="49"/>
        <v>0</v>
      </c>
    </row>
    <row r="167" spans="2:27">
      <c r="B167" s="1532" t="str">
        <f t="shared" si="46"/>
        <v>Presence</v>
      </c>
      <c r="C167" s="1795"/>
      <c r="D167" s="1791" t="s">
        <v>1665</v>
      </c>
      <c r="E167" s="61" t="s">
        <v>2693</v>
      </c>
      <c r="F167" s="61"/>
      <c r="G167" s="61"/>
      <c r="H167" s="61"/>
      <c r="I167" s="61"/>
      <c r="J167" s="1687" t="s">
        <v>4825</v>
      </c>
      <c r="K167" s="63" t="str">
        <f>IF(Q167="Yes","Yes","No")</f>
        <v>No</v>
      </c>
      <c r="L167" s="76"/>
      <c r="M167" s="63">
        <f t="shared" si="34"/>
        <v>0</v>
      </c>
      <c r="N167" s="63">
        <v>43</v>
      </c>
      <c r="O167" s="64"/>
      <c r="P167" s="660" t="str">
        <f t="shared" si="40"/>
        <v/>
      </c>
      <c r="Q167" s="52" t="str">
        <f>Q161</f>
        <v>No</v>
      </c>
      <c r="R167" s="1574" t="str">
        <f t="shared" si="37"/>
        <v/>
      </c>
      <c r="S167" s="52" t="str">
        <f t="shared" si="43"/>
        <v/>
      </c>
      <c r="T167" s="52" t="str">
        <f t="shared" si="44"/>
        <v/>
      </c>
      <c r="U167" s="52" t="str">
        <f t="shared" si="41"/>
        <v/>
      </c>
      <c r="V167" s="52" t="str">
        <f t="shared" si="45"/>
        <v/>
      </c>
      <c r="W167" s="1578"/>
      <c r="X167" s="52" t="str">
        <f t="shared" si="42"/>
        <v/>
      </c>
      <c r="Y167" s="52" t="str">
        <f t="shared" si="48"/>
        <v/>
      </c>
      <c r="AA167" s="52">
        <f t="shared" ref="AA167:AA179" si="50">IF(U167&lt;&gt;"",IF(Z167="Defenses",U167&amp;IF(AA168&lt;&gt;"",", ",""),"")&amp;AA168,AA168)</f>
        <v>0</v>
      </c>
    </row>
    <row r="168" spans="2:27" ht="26">
      <c r="B168" s="1532" t="str">
        <f t="shared" si="46"/>
        <v>Demand Surrender</v>
      </c>
      <c r="C168" s="1795"/>
      <c r="D168" s="1791"/>
      <c r="E168" s="61"/>
      <c r="F168" s="61" t="s">
        <v>2694</v>
      </c>
      <c r="G168" s="61"/>
      <c r="H168" s="61"/>
      <c r="I168" s="61"/>
      <c r="J168" s="1687" t="s">
        <v>4826</v>
      </c>
      <c r="K168" s="63" t="str">
        <f>IF(AND(Q167="Yes",L167&lt;&gt;""),"Yes","No")</f>
        <v>No</v>
      </c>
      <c r="L168" s="76"/>
      <c r="M168" s="63">
        <f t="shared" si="34"/>
        <v>0</v>
      </c>
      <c r="N168" s="63">
        <v>43</v>
      </c>
      <c r="O168" s="64"/>
      <c r="P168" s="660" t="str">
        <f t="shared" si="40"/>
        <v/>
      </c>
      <c r="Q168" s="52" t="str">
        <f t="shared" si="30"/>
        <v>No</v>
      </c>
      <c r="R168" s="1574" t="str">
        <f t="shared" si="37"/>
        <v/>
      </c>
      <c r="S168" s="52" t="str">
        <f t="shared" si="43"/>
        <v/>
      </c>
      <c r="T168" s="52" t="str">
        <f t="shared" si="44"/>
        <v/>
      </c>
      <c r="U168" s="52" t="str">
        <f t="shared" si="41"/>
        <v/>
      </c>
      <c r="V168" s="52" t="str">
        <f t="shared" si="45"/>
        <v/>
      </c>
      <c r="W168" s="1578"/>
      <c r="X168" s="52" t="str">
        <f t="shared" si="42"/>
        <v/>
      </c>
      <c r="Y168" s="52" t="str">
        <f t="shared" si="48"/>
        <v/>
      </c>
      <c r="AA168" s="52">
        <f t="shared" si="50"/>
        <v>0</v>
      </c>
    </row>
    <row r="169" spans="2:27" ht="26">
      <c r="B169" s="1532" t="str">
        <f t="shared" si="46"/>
        <v>Fluster</v>
      </c>
      <c r="C169" s="1795"/>
      <c r="D169" s="1791"/>
      <c r="E169" s="61"/>
      <c r="F169" s="61" t="s">
        <v>2695</v>
      </c>
      <c r="G169" s="61"/>
      <c r="H169" s="61"/>
      <c r="I169" s="61"/>
      <c r="J169" s="1687" t="s">
        <v>4827</v>
      </c>
      <c r="K169" s="63" t="str">
        <f>IF(AND(Q169="Yes",L167&lt;&gt;"",OR(TPersuasion&lt;&gt;"",FPersuasion&lt;&gt;"",BGPersuasion&lt;&gt;"",IF(ForcePersuasion,TRUE,FALSE))),"Yes","No")</f>
        <v>No</v>
      </c>
      <c r="L169" s="76"/>
      <c r="M169" s="63">
        <f t="shared" si="34"/>
        <v>0</v>
      </c>
      <c r="N169" s="63" t="s">
        <v>2682</v>
      </c>
      <c r="O169" s="64"/>
      <c r="P169" s="660" t="str">
        <f t="shared" si="40"/>
        <v/>
      </c>
      <c r="Q169" s="52" t="str">
        <f t="shared" si="30"/>
        <v>No</v>
      </c>
      <c r="R169" s="1574" t="str">
        <f t="shared" si="37"/>
        <v/>
      </c>
      <c r="S169" s="52" t="str">
        <f t="shared" si="43"/>
        <v/>
      </c>
      <c r="T169" s="52" t="str">
        <f t="shared" si="44"/>
        <v/>
      </c>
      <c r="U169" s="52" t="str">
        <f t="shared" si="41"/>
        <v/>
      </c>
      <c r="V169" s="52" t="str">
        <f t="shared" si="45"/>
        <v/>
      </c>
      <c r="W169" s="1578"/>
      <c r="X169" s="52" t="str">
        <f t="shared" si="42"/>
        <v/>
      </c>
      <c r="Y169" s="52" t="str">
        <f t="shared" si="48"/>
        <v/>
      </c>
      <c r="AA169" s="52">
        <f t="shared" si="50"/>
        <v>0</v>
      </c>
    </row>
    <row r="170" spans="2:27" ht="26">
      <c r="B170" s="1532" t="str">
        <f t="shared" si="46"/>
        <v>Intimidating Defense</v>
      </c>
      <c r="C170" s="1795"/>
      <c r="D170" s="1791"/>
      <c r="E170" s="61"/>
      <c r="F170" s="61" t="s">
        <v>2696</v>
      </c>
      <c r="G170" s="61"/>
      <c r="H170" s="61"/>
      <c r="I170" s="61"/>
      <c r="J170" s="1687" t="s">
        <v>4828</v>
      </c>
      <c r="K170" s="63" t="str">
        <f>IF(AND(Q170="Yes",L167&lt;&gt;"",OR(TPersuasion&lt;&gt;"",FPersuasion&lt;&gt;"",BGPersuasion&lt;&gt;"",IF(ForcePersuasion,TRUE,FALSE))),"Yes","No")</f>
        <v>No</v>
      </c>
      <c r="L170" s="76"/>
      <c r="M170" s="63">
        <f t="shared" si="34"/>
        <v>0</v>
      </c>
      <c r="N170" s="63" t="s">
        <v>2682</v>
      </c>
      <c r="O170" s="64"/>
      <c r="P170" s="660" t="str">
        <f t="shared" si="40"/>
        <v/>
      </c>
      <c r="Q170" s="52" t="str">
        <f t="shared" ref="Q170:Q268" si="51">Q169</f>
        <v>No</v>
      </c>
      <c r="R170" s="1574" t="str">
        <f t="shared" si="37"/>
        <v/>
      </c>
      <c r="S170" s="52" t="str">
        <f t="shared" si="43"/>
        <v/>
      </c>
      <c r="T170" s="52" t="str">
        <f t="shared" si="44"/>
        <v/>
      </c>
      <c r="U170" s="52" t="str">
        <f t="shared" si="41"/>
        <v/>
      </c>
      <c r="V170" s="52" t="str">
        <f t="shared" si="45"/>
        <v/>
      </c>
      <c r="W170" s="1578"/>
      <c r="X170" s="52" t="str">
        <f t="shared" si="42"/>
        <v/>
      </c>
      <c r="Y170" s="52" t="str">
        <f t="shared" si="48"/>
        <v/>
      </c>
      <c r="AA170" s="52">
        <f t="shared" si="50"/>
        <v>0</v>
      </c>
    </row>
    <row r="171" spans="2:27" ht="26">
      <c r="B171" s="1532" t="str">
        <f t="shared" si="46"/>
        <v>Weaken Resolve</v>
      </c>
      <c r="C171" s="1795"/>
      <c r="D171" s="1791"/>
      <c r="E171" s="61"/>
      <c r="F171" s="61" t="s">
        <v>2697</v>
      </c>
      <c r="G171" s="61"/>
      <c r="H171" s="61"/>
      <c r="I171" s="61"/>
      <c r="J171" s="1687" t="s">
        <v>4829</v>
      </c>
      <c r="K171" s="63" t="str">
        <f>IF(AND(Q171="Yes",L167&lt;&gt;""),"Yes","No")</f>
        <v>No</v>
      </c>
      <c r="L171" s="76"/>
      <c r="M171" s="63">
        <f t="shared" si="34"/>
        <v>0</v>
      </c>
      <c r="N171" s="63">
        <v>43</v>
      </c>
      <c r="O171" s="64"/>
      <c r="P171" s="660" t="str">
        <f t="shared" si="40"/>
        <v/>
      </c>
      <c r="Q171" s="52" t="str">
        <f t="shared" si="51"/>
        <v>No</v>
      </c>
      <c r="R171" s="1574" t="str">
        <f t="shared" si="37"/>
        <v/>
      </c>
      <c r="S171" s="52" t="str">
        <f t="shared" si="43"/>
        <v/>
      </c>
      <c r="T171" s="52" t="str">
        <f t="shared" si="44"/>
        <v/>
      </c>
      <c r="U171" s="52" t="str">
        <f t="shared" si="41"/>
        <v/>
      </c>
      <c r="V171" s="52" t="str">
        <f t="shared" si="45"/>
        <v/>
      </c>
      <c r="W171" s="1578"/>
      <c r="X171" s="52" t="str">
        <f t="shared" si="42"/>
        <v/>
      </c>
      <c r="Y171" s="52" t="str">
        <f t="shared" si="48"/>
        <v/>
      </c>
      <c r="AA171" s="52">
        <f t="shared" si="50"/>
        <v>0</v>
      </c>
    </row>
    <row r="172" spans="2:27">
      <c r="B172" s="1532" t="str">
        <f t="shared" si="46"/>
        <v>Improved Weaken Resolve</v>
      </c>
      <c r="C172" s="1795"/>
      <c r="D172" s="1791"/>
      <c r="E172" s="61"/>
      <c r="F172" s="61"/>
      <c r="G172" s="61" t="s">
        <v>2698</v>
      </c>
      <c r="H172" s="61"/>
      <c r="I172" s="61"/>
      <c r="J172" s="1687" t="s">
        <v>4830</v>
      </c>
      <c r="K172" s="63" t="str">
        <f>IF(AND(Q171="Yes",L171&lt;&gt;""),"Yes","No")</f>
        <v>No</v>
      </c>
      <c r="L172" s="76"/>
      <c r="M172" s="63">
        <f t="shared" si="34"/>
        <v>0</v>
      </c>
      <c r="N172" s="63">
        <v>43</v>
      </c>
      <c r="O172" s="64"/>
      <c r="P172" s="660" t="str">
        <f t="shared" si="40"/>
        <v/>
      </c>
      <c r="Q172" s="52" t="str">
        <f t="shared" si="51"/>
        <v>No</v>
      </c>
      <c r="R172" s="1574" t="str">
        <f t="shared" si="37"/>
        <v/>
      </c>
      <c r="S172" s="52" t="str">
        <f t="shared" si="43"/>
        <v/>
      </c>
      <c r="T172" s="52" t="str">
        <f t="shared" si="44"/>
        <v/>
      </c>
      <c r="U172" s="52" t="str">
        <f t="shared" si="41"/>
        <v/>
      </c>
      <c r="V172" s="52" t="str">
        <f t="shared" si="45"/>
        <v/>
      </c>
      <c r="W172" s="1578"/>
      <c r="X172" s="52" t="str">
        <f t="shared" si="42"/>
        <v/>
      </c>
      <c r="Y172" s="52" t="str">
        <f t="shared" si="48"/>
        <v/>
      </c>
      <c r="AA172" s="52">
        <f t="shared" si="50"/>
        <v>0</v>
      </c>
    </row>
    <row r="173" spans="2:27" ht="26">
      <c r="B173" s="1532" t="str">
        <f t="shared" si="46"/>
        <v>Bolster Ally</v>
      </c>
      <c r="C173" s="1795"/>
      <c r="D173" s="1791" t="s">
        <v>2699</v>
      </c>
      <c r="E173" s="61" t="s">
        <v>2700</v>
      </c>
      <c r="F173" s="61"/>
      <c r="G173" s="61"/>
      <c r="H173" s="61"/>
      <c r="I173" s="61"/>
      <c r="J173" s="1687" t="s">
        <v>4831</v>
      </c>
      <c r="K173" s="63" t="str">
        <f>IF(Q173="Yes","Yes","No")</f>
        <v>No</v>
      </c>
      <c r="L173" s="76"/>
      <c r="M173" s="63">
        <f t="shared" si="34"/>
        <v>0</v>
      </c>
      <c r="N173" s="63">
        <v>43</v>
      </c>
      <c r="O173" s="64"/>
      <c r="P173" s="660" t="str">
        <f t="shared" si="40"/>
        <v/>
      </c>
      <c r="Q173" s="52" t="str">
        <f>IF(OR($AD$45&gt;0,$AD$8&gt;0),"Yes","No")</f>
        <v>No</v>
      </c>
      <c r="R173" s="1574" t="str">
        <f t="shared" si="37"/>
        <v/>
      </c>
      <c r="S173" s="52" t="str">
        <f t="shared" si="43"/>
        <v/>
      </c>
      <c r="T173" s="52" t="str">
        <f t="shared" si="44"/>
        <v/>
      </c>
      <c r="U173" s="52" t="str">
        <f t="shared" si="41"/>
        <v/>
      </c>
      <c r="V173" s="52" t="str">
        <f t="shared" si="45"/>
        <v/>
      </c>
      <c r="W173" s="1578"/>
      <c r="X173" s="52" t="str">
        <f t="shared" si="42"/>
        <v/>
      </c>
      <c r="Y173" s="52" t="str">
        <f t="shared" si="48"/>
        <v/>
      </c>
      <c r="AA173" s="52">
        <f t="shared" si="50"/>
        <v>0</v>
      </c>
    </row>
    <row r="174" spans="2:27">
      <c r="B174" s="1532" t="str">
        <f t="shared" si="46"/>
        <v>Inspire Confidence</v>
      </c>
      <c r="C174" s="1795"/>
      <c r="D174" s="1791"/>
      <c r="E174" s="61" t="s">
        <v>2701</v>
      </c>
      <c r="F174" s="61"/>
      <c r="G174" s="61"/>
      <c r="H174" s="61"/>
      <c r="I174" s="61"/>
      <c r="J174" s="1687" t="s">
        <v>4832</v>
      </c>
      <c r="K174" s="63" t="str">
        <f>IF(AND(Q174="Yes",L173&lt;&gt;""),"Yes","No")</f>
        <v>No</v>
      </c>
      <c r="L174" s="76"/>
      <c r="M174" s="63">
        <f t="shared" si="34"/>
        <v>0</v>
      </c>
      <c r="N174" s="63">
        <v>44</v>
      </c>
      <c r="O174" s="64"/>
      <c r="P174" s="660" t="str">
        <f t="shared" si="40"/>
        <v/>
      </c>
      <c r="Q174" s="52" t="str">
        <f t="shared" si="51"/>
        <v>No</v>
      </c>
      <c r="R174" s="1574" t="str">
        <f t="shared" si="37"/>
        <v/>
      </c>
      <c r="S174" s="52" t="str">
        <f t="shared" si="43"/>
        <v/>
      </c>
      <c r="T174" s="52" t="str">
        <f t="shared" si="44"/>
        <v/>
      </c>
      <c r="U174" s="52" t="str">
        <f t="shared" si="41"/>
        <v/>
      </c>
      <c r="V174" s="52" t="str">
        <f t="shared" si="45"/>
        <v/>
      </c>
      <c r="W174" s="1578"/>
      <c r="X174" s="52" t="str">
        <f t="shared" si="42"/>
        <v/>
      </c>
      <c r="Y174" s="52" t="str">
        <f t="shared" si="48"/>
        <v/>
      </c>
      <c r="AA174" s="52">
        <f t="shared" si="50"/>
        <v>0</v>
      </c>
    </row>
    <row r="175" spans="2:27" ht="65">
      <c r="B175" s="1532" t="str">
        <f t="shared" si="46"/>
        <v>Beloved</v>
      </c>
      <c r="C175" s="1795"/>
      <c r="D175" s="1791"/>
      <c r="E175" s="61"/>
      <c r="F175" s="61" t="s">
        <v>2702</v>
      </c>
      <c r="G175" s="61"/>
      <c r="H175" s="61"/>
      <c r="I175" s="61"/>
      <c r="J175" s="1687" t="s">
        <v>4833</v>
      </c>
      <c r="K175" s="63" t="str">
        <f>IF(AND(Q174="Yes",L174&lt;&gt;""),"Yes","No")</f>
        <v>No</v>
      </c>
      <c r="L175" s="76"/>
      <c r="M175" s="63">
        <f t="shared" si="34"/>
        <v>0</v>
      </c>
      <c r="N175" s="63" t="s">
        <v>2671</v>
      </c>
      <c r="O175" s="64"/>
      <c r="P175" s="660" t="str">
        <f t="shared" si="40"/>
        <v/>
      </c>
      <c r="Q175" s="52" t="str">
        <f t="shared" si="51"/>
        <v>No</v>
      </c>
      <c r="R175" s="1574" t="str">
        <f t="shared" si="37"/>
        <v/>
      </c>
      <c r="S175" s="52" t="str">
        <f t="shared" si="43"/>
        <v/>
      </c>
      <c r="T175" s="52" t="str">
        <f t="shared" si="44"/>
        <v/>
      </c>
      <c r="U175" s="52" t="str">
        <f t="shared" si="41"/>
        <v/>
      </c>
      <c r="V175" s="52" t="str">
        <f t="shared" si="45"/>
        <v/>
      </c>
      <c r="W175" s="1578"/>
      <c r="X175" s="52" t="str">
        <f t="shared" si="42"/>
        <v/>
      </c>
      <c r="Y175" s="52" t="str">
        <f t="shared" si="48"/>
        <v/>
      </c>
      <c r="AA175" s="52">
        <f t="shared" si="50"/>
        <v>0</v>
      </c>
    </row>
    <row r="176" spans="2:27" ht="26">
      <c r="B176" s="1532" t="str">
        <f t="shared" si="46"/>
        <v>Ignite Fervor</v>
      </c>
      <c r="C176" s="1795"/>
      <c r="D176" s="1791"/>
      <c r="E176" s="61"/>
      <c r="F176" s="61" t="s">
        <v>2703</v>
      </c>
      <c r="G176" s="61"/>
      <c r="H176" s="61"/>
      <c r="I176" s="61"/>
      <c r="J176" s="1687" t="s">
        <v>4834</v>
      </c>
      <c r="K176" s="63" t="str">
        <f>IF(Q176="Yes","Yes","No")</f>
        <v>No</v>
      </c>
      <c r="L176" s="76"/>
      <c r="M176" s="63">
        <f t="shared" si="34"/>
        <v>0</v>
      </c>
      <c r="N176" s="63">
        <v>43</v>
      </c>
      <c r="O176" s="64"/>
      <c r="P176" s="660" t="str">
        <f t="shared" si="40"/>
        <v/>
      </c>
      <c r="Q176" s="52" t="str">
        <f t="shared" si="51"/>
        <v>No</v>
      </c>
      <c r="R176" s="1574" t="str">
        <f t="shared" si="37"/>
        <v/>
      </c>
      <c r="S176" s="52" t="str">
        <f t="shared" si="43"/>
        <v/>
      </c>
      <c r="T176" s="52" t="str">
        <f t="shared" si="44"/>
        <v/>
      </c>
      <c r="U176" s="52" t="str">
        <f t="shared" si="41"/>
        <v/>
      </c>
      <c r="V176" s="52" t="str">
        <f t="shared" si="45"/>
        <v/>
      </c>
      <c r="W176" s="1578"/>
      <c r="X176" s="52" t="str">
        <f t="shared" si="42"/>
        <v/>
      </c>
      <c r="Y176" s="52" t="str">
        <f t="shared" si="48"/>
        <v/>
      </c>
      <c r="AA176" s="52">
        <f t="shared" si="50"/>
        <v>0</v>
      </c>
    </row>
    <row r="177" spans="2:27" ht="26">
      <c r="B177" s="1532" t="str">
        <f t="shared" si="46"/>
        <v>Inspire Zeal</v>
      </c>
      <c r="C177" s="1795"/>
      <c r="D177" s="1791"/>
      <c r="E177" s="61"/>
      <c r="F177" s="61"/>
      <c r="G177" s="61" t="s">
        <v>2704</v>
      </c>
      <c r="H177" s="61"/>
      <c r="I177" s="61"/>
      <c r="J177" s="1687" t="s">
        <v>4835</v>
      </c>
      <c r="K177" s="63" t="str">
        <f>IF(AND(Q176="Yes",L176&lt;&gt;""),"Yes","No")</f>
        <v>No</v>
      </c>
      <c r="L177" s="76"/>
      <c r="M177" s="63">
        <f t="shared" si="34"/>
        <v>0</v>
      </c>
      <c r="N177" s="63">
        <v>44</v>
      </c>
      <c r="O177" s="64"/>
      <c r="P177" s="660" t="str">
        <f t="shared" si="40"/>
        <v/>
      </c>
      <c r="Q177" s="52" t="str">
        <f t="shared" si="51"/>
        <v>No</v>
      </c>
      <c r="R177" s="1574" t="str">
        <f t="shared" si="37"/>
        <v/>
      </c>
      <c r="S177" s="52" t="str">
        <f t="shared" si="43"/>
        <v/>
      </c>
      <c r="T177" s="52" t="str">
        <f t="shared" si="44"/>
        <v/>
      </c>
      <c r="U177" s="52" t="str">
        <f t="shared" si="41"/>
        <v/>
      </c>
      <c r="V177" s="52" t="str">
        <f t="shared" si="45"/>
        <v/>
      </c>
      <c r="W177" s="1578"/>
      <c r="X177" s="52" t="str">
        <f t="shared" si="42"/>
        <v/>
      </c>
      <c r="Y177" s="52" t="str">
        <f t="shared" si="48"/>
        <v/>
      </c>
      <c r="AA177" s="52">
        <f t="shared" si="50"/>
        <v>0</v>
      </c>
    </row>
    <row r="178" spans="2:27">
      <c r="B178" s="1532" t="str">
        <f t="shared" si="46"/>
        <v>Willpower</v>
      </c>
      <c r="C178" s="1795"/>
      <c r="D178" s="1791"/>
      <c r="E178" s="61"/>
      <c r="F178" s="61" t="s">
        <v>2705</v>
      </c>
      <c r="G178" s="61"/>
      <c r="H178" s="61"/>
      <c r="I178" s="61"/>
      <c r="J178" s="1687" t="s">
        <v>4836</v>
      </c>
      <c r="K178" s="63" t="str">
        <f>IF(Q178="Yes","Yes","No")</f>
        <v>No</v>
      </c>
      <c r="L178" s="76"/>
      <c r="M178" s="63">
        <f t="shared" si="34"/>
        <v>0</v>
      </c>
      <c r="N178" s="63" t="s">
        <v>2688</v>
      </c>
      <c r="O178" s="64"/>
      <c r="P178" s="660" t="str">
        <f t="shared" si="40"/>
        <v/>
      </c>
      <c r="Q178" s="52" t="str">
        <f t="shared" si="51"/>
        <v>No</v>
      </c>
      <c r="R178" s="1574" t="str">
        <f t="shared" si="37"/>
        <v/>
      </c>
      <c r="S178" s="52" t="str">
        <f t="shared" si="43"/>
        <v/>
      </c>
      <c r="T178" s="52" t="str">
        <f t="shared" si="44"/>
        <v/>
      </c>
      <c r="U178" s="52" t="str">
        <f t="shared" si="41"/>
        <v/>
      </c>
      <c r="V178" s="52" t="str">
        <f t="shared" si="45"/>
        <v/>
      </c>
      <c r="W178" s="1578"/>
      <c r="X178" s="52" t="str">
        <f t="shared" si="42"/>
        <v/>
      </c>
      <c r="Y178" s="52" t="str">
        <f t="shared" si="48"/>
        <v/>
      </c>
      <c r="AA178" s="52">
        <f t="shared" si="50"/>
        <v>0</v>
      </c>
    </row>
    <row r="179" spans="2:27">
      <c r="B179" s="1532" t="str">
        <f t="shared" si="46"/>
        <v>Inspire Haste</v>
      </c>
      <c r="C179" s="1795"/>
      <c r="D179" s="1791"/>
      <c r="E179" s="61" t="s">
        <v>2706</v>
      </c>
      <c r="F179" s="61"/>
      <c r="G179" s="61"/>
      <c r="H179" s="61"/>
      <c r="I179" s="61"/>
      <c r="J179" s="1687" t="s">
        <v>4837</v>
      </c>
      <c r="K179" s="63" t="str">
        <f>IF(Q179="Yes","Yes","No")</f>
        <v>No</v>
      </c>
      <c r="L179" s="76"/>
      <c r="M179" s="63">
        <f t="shared" si="34"/>
        <v>0</v>
      </c>
      <c r="N179" s="63">
        <v>44</v>
      </c>
      <c r="O179" s="64"/>
      <c r="P179" s="660" t="str">
        <f t="shared" si="40"/>
        <v/>
      </c>
      <c r="Q179" s="52" t="str">
        <f t="shared" si="51"/>
        <v>No</v>
      </c>
      <c r="R179" s="1574" t="str">
        <f t="shared" si="37"/>
        <v/>
      </c>
      <c r="S179" s="52" t="str">
        <f t="shared" si="43"/>
        <v/>
      </c>
      <c r="T179" s="52" t="str">
        <f t="shared" si="44"/>
        <v/>
      </c>
      <c r="U179" s="52" t="str">
        <f t="shared" si="41"/>
        <v/>
      </c>
      <c r="V179" s="52" t="str">
        <f t="shared" si="45"/>
        <v/>
      </c>
      <c r="W179" s="1578"/>
      <c r="X179" s="52" t="str">
        <f t="shared" si="42"/>
        <v/>
      </c>
      <c r="Y179" s="52" t="str">
        <f t="shared" si="48"/>
        <v/>
      </c>
      <c r="AA179" s="52">
        <f t="shared" si="50"/>
        <v>0</v>
      </c>
    </row>
    <row r="180" spans="2:27" ht="26">
      <c r="B180" s="1532" t="str">
        <f t="shared" si="46"/>
        <v>Born Leader</v>
      </c>
      <c r="C180" s="1795"/>
      <c r="D180" s="1791" t="s">
        <v>2707</v>
      </c>
      <c r="E180" s="61" t="s">
        <v>2708</v>
      </c>
      <c r="F180" s="61"/>
      <c r="G180" s="61"/>
      <c r="H180" s="61"/>
      <c r="I180" s="61"/>
      <c r="J180" s="1687" t="s">
        <v>4838</v>
      </c>
      <c r="K180" s="63" t="str">
        <f>IF(Q180="Yes","Yes","No")</f>
        <v>No</v>
      </c>
      <c r="L180" s="76"/>
      <c r="M180" s="63">
        <f t="shared" si="34"/>
        <v>0</v>
      </c>
      <c r="N180" s="63">
        <v>44</v>
      </c>
      <c r="O180" s="64"/>
      <c r="P180" s="660" t="str">
        <f t="shared" si="40"/>
        <v/>
      </c>
      <c r="Q180" s="52" t="str">
        <f>IF(OR($AD$45&gt;0,$AD$8&gt;0,$AD$20&gt;0),"Yes","No")</f>
        <v>No</v>
      </c>
      <c r="R180" s="1574" t="str">
        <f t="shared" si="37"/>
        <v/>
      </c>
      <c r="S180" s="52" t="str">
        <f t="shared" si="43"/>
        <v/>
      </c>
      <c r="T180" s="52" t="str">
        <f t="shared" si="44"/>
        <v/>
      </c>
      <c r="U180" s="52" t="str">
        <f t="shared" si="41"/>
        <v/>
      </c>
      <c r="V180" s="52" t="str">
        <f t="shared" si="45"/>
        <v/>
      </c>
      <c r="W180" s="1578"/>
      <c r="X180" s="52" t="str">
        <f t="shared" si="42"/>
        <v/>
      </c>
      <c r="Y180" s="52" t="str">
        <f t="shared" si="48"/>
        <v/>
      </c>
      <c r="AA180" s="52">
        <f>IF(U180&lt;&gt;"",IF(Z180="Defenses",U180&amp;IF(AA182&lt;&gt;"",", ",""),"")&amp;AA182,AA182)</f>
        <v>0</v>
      </c>
    </row>
    <row r="181" spans="2:27">
      <c r="B181" s="1575"/>
      <c r="C181" s="1795"/>
      <c r="D181" s="1791"/>
      <c r="E181" s="61"/>
      <c r="F181" s="61" t="s">
        <v>8390</v>
      </c>
      <c r="G181" s="61"/>
      <c r="H181" s="61"/>
      <c r="I181" s="61"/>
      <c r="J181" s="1687" t="s">
        <v>8391</v>
      </c>
      <c r="K181" s="63" t="str">
        <f>IF(AND(Q181="Yes",L180&lt;&gt;"",L188&lt;&gt;""),"Yes","No")</f>
        <v>No</v>
      </c>
      <c r="L181" s="76"/>
      <c r="M181" s="63">
        <f t="shared" si="34"/>
        <v>0</v>
      </c>
      <c r="N181" s="63" t="s">
        <v>8385</v>
      </c>
      <c r="O181" s="64"/>
      <c r="P181" s="660" t="str">
        <f t="shared" si="40"/>
        <v/>
      </c>
      <c r="Q181" s="52" t="str">
        <f>Q179</f>
        <v>No</v>
      </c>
      <c r="R181" s="1574" t="str">
        <f t="shared" si="37"/>
        <v/>
      </c>
      <c r="S181" s="52" t="str">
        <f t="shared" si="43"/>
        <v/>
      </c>
      <c r="T181" s="52" t="str">
        <f t="shared" si="44"/>
        <v/>
      </c>
      <c r="U181" s="52" t="str">
        <f t="shared" si="41"/>
        <v/>
      </c>
      <c r="V181" s="52" t="str">
        <f t="shared" si="45"/>
        <v/>
      </c>
      <c r="W181" s="1578"/>
      <c r="X181" s="52" t="str">
        <f t="shared" si="42"/>
        <v/>
      </c>
      <c r="Y181" s="52" t="str">
        <f t="shared" si="48"/>
        <v/>
      </c>
    </row>
    <row r="182" spans="2:27">
      <c r="B182" s="1532" t="str">
        <f t="shared" si="46"/>
        <v>Distant Command</v>
      </c>
      <c r="C182" s="1795"/>
      <c r="D182" s="1791"/>
      <c r="E182" s="61"/>
      <c r="F182" s="61" t="s">
        <v>2709</v>
      </c>
      <c r="G182" s="61"/>
      <c r="H182" s="61"/>
      <c r="I182" s="61"/>
      <c r="J182" s="1687" t="s">
        <v>4839</v>
      </c>
      <c r="K182" s="63" t="str">
        <f>IF(AND(Q182="Yes",L180&lt;&gt;""),"Yes","No")</f>
        <v>No</v>
      </c>
      <c r="L182" s="76"/>
      <c r="M182" s="63">
        <f t="shared" si="34"/>
        <v>0</v>
      </c>
      <c r="N182" s="63">
        <v>44</v>
      </c>
      <c r="O182" s="64"/>
      <c r="P182" s="660" t="str">
        <f t="shared" si="40"/>
        <v/>
      </c>
      <c r="Q182" s="52" t="str">
        <f>Q180</f>
        <v>No</v>
      </c>
      <c r="R182" s="1574" t="str">
        <f t="shared" si="37"/>
        <v/>
      </c>
      <c r="S182" s="52" t="str">
        <f t="shared" si="43"/>
        <v/>
      </c>
      <c r="T182" s="52" t="str">
        <f t="shared" si="44"/>
        <v/>
      </c>
      <c r="U182" s="52" t="str">
        <f t="shared" si="41"/>
        <v/>
      </c>
      <c r="V182" s="52" t="str">
        <f t="shared" si="45"/>
        <v/>
      </c>
      <c r="W182" s="1578"/>
      <c r="X182" s="52" t="str">
        <f t="shared" si="42"/>
        <v/>
      </c>
      <c r="Y182" s="52" t="str">
        <f t="shared" si="48"/>
        <v/>
      </c>
      <c r="AA182" s="52">
        <f t="shared" ref="AA182:AA200" si="52">IF(U182&lt;&gt;"",IF(Z182="Defenses",U182&amp;IF(AA183&lt;&gt;"",", ",""),"")&amp;AA183,AA183)</f>
        <v>0</v>
      </c>
    </row>
    <row r="183" spans="2:27" ht="26">
      <c r="B183" s="1532" t="str">
        <f t="shared" si="46"/>
        <v>Rally</v>
      </c>
      <c r="C183" s="1795"/>
      <c r="D183" s="1791"/>
      <c r="E183" s="61"/>
      <c r="F183" s="61"/>
      <c r="G183" s="61" t="s">
        <v>2710</v>
      </c>
      <c r="H183" s="61"/>
      <c r="I183" s="61"/>
      <c r="J183" s="1687" t="s">
        <v>4840</v>
      </c>
      <c r="K183" s="63" t="str">
        <f>IF(AND(Q182="Yes",L182&lt;&gt;""),"Yes","No")</f>
        <v>No</v>
      </c>
      <c r="L183" s="76"/>
      <c r="M183" s="63">
        <f>IF(L183&lt;&gt;"",1,0)</f>
        <v>0</v>
      </c>
      <c r="N183" s="63">
        <v>44</v>
      </c>
      <c r="O183" s="64"/>
      <c r="P183" s="660" t="str">
        <f t="shared" si="40"/>
        <v/>
      </c>
      <c r="Q183" s="52" t="str">
        <f t="shared" si="51"/>
        <v>No</v>
      </c>
      <c r="R183" s="1574" t="str">
        <f t="shared" si="37"/>
        <v/>
      </c>
      <c r="S183" s="52" t="str">
        <f t="shared" si="43"/>
        <v/>
      </c>
      <c r="T183" s="52" t="str">
        <f t="shared" si="44"/>
        <v/>
      </c>
      <c r="U183" s="52" t="str">
        <f t="shared" si="41"/>
        <v/>
      </c>
      <c r="V183" s="52" t="str">
        <f t="shared" si="45"/>
        <v/>
      </c>
      <c r="W183" s="1578"/>
      <c r="X183" s="52" t="str">
        <f t="shared" si="42"/>
        <v/>
      </c>
      <c r="Y183" s="52" t="str">
        <f t="shared" si="48"/>
        <v/>
      </c>
      <c r="AA183" s="52">
        <f t="shared" si="52"/>
        <v>0</v>
      </c>
    </row>
    <row r="184" spans="2:27">
      <c r="B184" s="1532" t="str">
        <f t="shared" si="46"/>
        <v>Fearless Leader</v>
      </c>
      <c r="C184" s="1795"/>
      <c r="D184" s="1791"/>
      <c r="E184" s="61"/>
      <c r="F184" s="61" t="s">
        <v>2711</v>
      </c>
      <c r="G184" s="61"/>
      <c r="H184" s="61"/>
      <c r="I184" s="61"/>
      <c r="J184" s="1687" t="s">
        <v>4841</v>
      </c>
      <c r="K184" s="63" t="str">
        <f>IF(AND(Q184="Yes",L180&lt;&gt;""),"Yes","No")</f>
        <v>No</v>
      </c>
      <c r="L184" s="76"/>
      <c r="M184" s="63">
        <f>IF(L184&lt;&gt;"",1,0)</f>
        <v>0</v>
      </c>
      <c r="N184" s="63">
        <v>44</v>
      </c>
      <c r="O184" s="64"/>
      <c r="P184" s="660" t="str">
        <f t="shared" si="40"/>
        <v/>
      </c>
      <c r="Q184" s="52" t="str">
        <f t="shared" si="51"/>
        <v>No</v>
      </c>
      <c r="R184" s="1574" t="str">
        <f t="shared" si="37"/>
        <v/>
      </c>
      <c r="S184" s="52" t="str">
        <f t="shared" si="43"/>
        <v/>
      </c>
      <c r="T184" s="52" t="str">
        <f t="shared" si="44"/>
        <v/>
      </c>
      <c r="U184" s="52" t="str">
        <f t="shared" si="41"/>
        <v/>
      </c>
      <c r="V184" s="52" t="str">
        <f t="shared" si="45"/>
        <v/>
      </c>
      <c r="W184" s="1578"/>
      <c r="X184" s="52" t="str">
        <f t="shared" si="42"/>
        <v/>
      </c>
      <c r="Y184" s="52" t="str">
        <f t="shared" si="48"/>
        <v/>
      </c>
      <c r="AA184" s="52">
        <f t="shared" si="52"/>
        <v>0</v>
      </c>
    </row>
    <row r="185" spans="2:27">
      <c r="B185" s="1532" t="str">
        <f t="shared" si="46"/>
        <v>Reactionary Attack</v>
      </c>
      <c r="C185" s="1795"/>
      <c r="D185" s="1791"/>
      <c r="E185" s="61"/>
      <c r="F185" s="61" t="s">
        <v>2712</v>
      </c>
      <c r="G185" s="61"/>
      <c r="H185" s="61"/>
      <c r="I185" s="61"/>
      <c r="J185" s="1687" t="s">
        <v>4842</v>
      </c>
      <c r="K185" s="63" t="str">
        <f>IF(AND(Q185="Yes",L180&lt;&gt;"", OR(TPersuasion&lt;&gt;"",FPersuasion&lt;&gt;"",BGPersuasion&lt;&gt;"",IF(ForcePersuasion,TRUE,FALSE))),"Yes","No")</f>
        <v>No</v>
      </c>
      <c r="L185" s="76"/>
      <c r="M185" s="63">
        <f>IF(L185&lt;&gt;"",1,0)</f>
        <v>0</v>
      </c>
      <c r="N185" s="63" t="s">
        <v>2682</v>
      </c>
      <c r="O185" s="64"/>
      <c r="P185" s="660" t="str">
        <f t="shared" si="40"/>
        <v/>
      </c>
      <c r="Q185" s="52" t="str">
        <f t="shared" si="51"/>
        <v>No</v>
      </c>
      <c r="R185" s="1574" t="str">
        <f t="shared" si="37"/>
        <v/>
      </c>
      <c r="S185" s="52" t="str">
        <f t="shared" si="43"/>
        <v/>
      </c>
      <c r="T185" s="52" t="str">
        <f t="shared" si="44"/>
        <v/>
      </c>
      <c r="U185" s="52" t="str">
        <f t="shared" si="41"/>
        <v/>
      </c>
      <c r="V185" s="52" t="str">
        <f t="shared" si="45"/>
        <v/>
      </c>
      <c r="W185" s="1578"/>
      <c r="X185" s="52" t="str">
        <f t="shared" si="42"/>
        <v/>
      </c>
      <c r="Y185" s="52" t="str">
        <f t="shared" si="48"/>
        <v/>
      </c>
      <c r="AA185" s="52">
        <f t="shared" si="52"/>
        <v>0</v>
      </c>
    </row>
    <row r="186" spans="2:27" ht="29">
      <c r="B186" s="1532" t="str">
        <f t="shared" si="46"/>
        <v>Tactical Savvy</v>
      </c>
      <c r="C186" s="1795"/>
      <c r="D186" s="1791"/>
      <c r="E186" s="61"/>
      <c r="F186" s="1364" t="s">
        <v>6830</v>
      </c>
      <c r="G186" s="1364"/>
      <c r="H186" s="1364"/>
      <c r="I186" s="1364"/>
      <c r="J186" s="1738" t="s">
        <v>6831</v>
      </c>
      <c r="K186" s="63" t="str">
        <f>IF(AND(Q186="Yes",L180&lt;&gt;""),"Yes","No")</f>
        <v>No</v>
      </c>
      <c r="L186" s="76"/>
      <c r="M186" s="63">
        <f>IF(L186&lt;&gt;"",1,0)</f>
        <v>0</v>
      </c>
      <c r="N186" s="63" t="s">
        <v>6828</v>
      </c>
      <c r="O186" s="64"/>
      <c r="P186" s="660" t="str">
        <f t="shared" si="40"/>
        <v/>
      </c>
      <c r="Q186" s="52" t="str">
        <f t="shared" si="51"/>
        <v>No</v>
      </c>
      <c r="R186" s="1574" t="str">
        <f t="shared" ref="R186:R205" si="53">IF(L186&lt;&gt;"",E186&amp;F186&amp;G186&amp;IF(P186&lt;&gt;""," ("&amp;P186&amp;")",""),"")&amp;IF(M186&gt;1," ("&amp;M186&amp;")","")</f>
        <v/>
      </c>
      <c r="S186" s="52" t="str">
        <f t="shared" si="43"/>
        <v/>
      </c>
      <c r="T186" s="52" t="str">
        <f t="shared" si="44"/>
        <v/>
      </c>
      <c r="U186" s="52" t="str">
        <f t="shared" si="41"/>
        <v/>
      </c>
      <c r="V186" s="52" t="str">
        <f t="shared" si="45"/>
        <v/>
      </c>
      <c r="W186" s="1578"/>
      <c r="X186" s="52" t="str">
        <f t="shared" si="42"/>
        <v/>
      </c>
      <c r="Y186" s="52" t="str">
        <f t="shared" si="48"/>
        <v/>
      </c>
      <c r="AA186" s="52">
        <f t="shared" si="52"/>
        <v>0</v>
      </c>
    </row>
    <row r="187" spans="2:27" ht="145">
      <c r="B187" s="1532" t="str">
        <f t="shared" si="46"/>
        <v>Commanding Presence</v>
      </c>
      <c r="C187" s="1795"/>
      <c r="D187" s="1791"/>
      <c r="E187" s="61"/>
      <c r="F187" s="1364"/>
      <c r="G187" s="1393" t="s">
        <v>2937</v>
      </c>
      <c r="H187" s="1364"/>
      <c r="I187" s="1364"/>
      <c r="J187" s="1739" t="s">
        <v>6829</v>
      </c>
      <c r="K187" s="63" t="str">
        <f>IF(AND(Q187="Yes",L180&lt;&gt;"",L186&lt;&gt;""),"Yes","No")</f>
        <v>No</v>
      </c>
      <c r="L187" s="76"/>
      <c r="M187" s="63">
        <f>IF(L187&lt;&gt;"",1,0)</f>
        <v>0</v>
      </c>
      <c r="N187" s="63" t="s">
        <v>6828</v>
      </c>
      <c r="O187" s="64"/>
      <c r="P187" s="660" t="str">
        <f t="shared" si="40"/>
        <v/>
      </c>
      <c r="Q187" s="52" t="str">
        <f t="shared" si="51"/>
        <v>No</v>
      </c>
      <c r="R187" s="1574" t="str">
        <f t="shared" si="53"/>
        <v/>
      </c>
      <c r="S187" s="52" t="str">
        <f t="shared" si="43"/>
        <v/>
      </c>
      <c r="T187" s="52" t="str">
        <f t="shared" si="44"/>
        <v/>
      </c>
      <c r="U187" s="52" t="str">
        <f t="shared" si="41"/>
        <v/>
      </c>
      <c r="V187" s="52" t="str">
        <f t="shared" si="45"/>
        <v/>
      </c>
      <c r="W187" s="1578"/>
      <c r="X187" s="52" t="str">
        <f t="shared" si="42"/>
        <v/>
      </c>
      <c r="Y187" s="52" t="str">
        <f t="shared" si="48"/>
        <v/>
      </c>
      <c r="AA187" s="52">
        <f t="shared" si="52"/>
        <v>0</v>
      </c>
    </row>
    <row r="188" spans="2:27" ht="52">
      <c r="B188" s="1532" t="str">
        <f t="shared" si="46"/>
        <v>Coordinate</v>
      </c>
      <c r="C188" s="1795"/>
      <c r="D188" s="1791"/>
      <c r="E188" s="61" t="s">
        <v>2713</v>
      </c>
      <c r="F188" s="61"/>
      <c r="G188" s="61"/>
      <c r="H188" s="61"/>
      <c r="I188" s="61"/>
      <c r="J188" s="1687" t="s">
        <v>4843</v>
      </c>
      <c r="K188" s="63" t="str">
        <f>IF(Q188="Yes","Yes","No")</f>
        <v>No</v>
      </c>
      <c r="L188" s="76"/>
      <c r="M188" s="63">
        <f>IF(L188&lt;&gt;"",L188,0)</f>
        <v>0</v>
      </c>
      <c r="N188" s="63">
        <v>44</v>
      </c>
      <c r="O188" s="64"/>
      <c r="P188" s="660" t="str">
        <f t="shared" si="40"/>
        <v/>
      </c>
      <c r="Q188" s="52" t="str">
        <f>Q187</f>
        <v>No</v>
      </c>
      <c r="R188" s="1574" t="str">
        <f t="shared" si="53"/>
        <v/>
      </c>
      <c r="S188" s="52" t="str">
        <f t="shared" si="43"/>
        <v/>
      </c>
      <c r="T188" s="52" t="str">
        <f t="shared" si="44"/>
        <v/>
      </c>
      <c r="U188" s="52" t="str">
        <f t="shared" si="41"/>
        <v/>
      </c>
      <c r="V188" s="52" t="str">
        <f t="shared" si="45"/>
        <v/>
      </c>
      <c r="W188" s="1578"/>
      <c r="X188" s="52" t="str">
        <f t="shared" si="42"/>
        <v/>
      </c>
      <c r="Y188" s="52" t="str">
        <f t="shared" si="48"/>
        <v/>
      </c>
      <c r="AA188" s="52">
        <f t="shared" si="52"/>
        <v>0</v>
      </c>
    </row>
    <row r="189" spans="2:27">
      <c r="B189" s="1532" t="str">
        <f t="shared" si="46"/>
        <v>Trust</v>
      </c>
      <c r="C189" s="1795"/>
      <c r="D189" s="1791"/>
      <c r="E189" s="61"/>
      <c r="F189" s="61" t="s">
        <v>2714</v>
      </c>
      <c r="G189" s="61"/>
      <c r="H189" s="61"/>
      <c r="I189" s="61"/>
      <c r="J189" s="1687" t="s">
        <v>4844</v>
      </c>
      <c r="K189" s="63" t="str">
        <f>IF(AND(Q188="Yes",L188&lt;&gt;"",L180&lt;&gt;""),"Yes","No")</f>
        <v>No</v>
      </c>
      <c r="L189" s="76"/>
      <c r="M189" s="63">
        <f t="shared" ref="M189:M195" si="54">IF(L189&lt;&gt;"",1,0)</f>
        <v>0</v>
      </c>
      <c r="N189" s="63">
        <v>44</v>
      </c>
      <c r="O189" s="64"/>
      <c r="P189" s="660" t="str">
        <f t="shared" si="40"/>
        <v/>
      </c>
      <c r="Q189" s="52" t="str">
        <f t="shared" si="51"/>
        <v>No</v>
      </c>
      <c r="R189" s="1574" t="str">
        <f t="shared" si="53"/>
        <v/>
      </c>
      <c r="S189" s="52" t="str">
        <f t="shared" si="43"/>
        <v/>
      </c>
      <c r="T189" s="52" t="str">
        <f t="shared" si="44"/>
        <v/>
      </c>
      <c r="U189" s="52" t="str">
        <f t="shared" si="41"/>
        <v/>
      </c>
      <c r="V189" s="52" t="str">
        <f t="shared" si="45"/>
        <v/>
      </c>
      <c r="W189" s="1578"/>
      <c r="X189" s="52" t="str">
        <f t="shared" si="42"/>
        <v/>
      </c>
      <c r="Y189" s="52" t="str">
        <f t="shared" si="48"/>
        <v/>
      </c>
      <c r="AA189" s="52">
        <f t="shared" si="52"/>
        <v>0</v>
      </c>
    </row>
    <row r="190" spans="2:27" ht="39">
      <c r="B190" s="1532" t="str">
        <f t="shared" si="46"/>
        <v>Unwavering Ally</v>
      </c>
      <c r="C190" s="1795"/>
      <c r="D190" s="1791"/>
      <c r="E190" s="61" t="s">
        <v>6376</v>
      </c>
      <c r="F190" s="61"/>
      <c r="G190" s="61"/>
      <c r="H190" s="61"/>
      <c r="I190" s="61"/>
      <c r="J190" s="1687" t="s">
        <v>6377</v>
      </c>
      <c r="K190" s="63" t="str">
        <f>IF(Q190="Yes","Yes","No")</f>
        <v>No</v>
      </c>
      <c r="L190" s="76"/>
      <c r="M190" s="63">
        <f t="shared" si="54"/>
        <v>0</v>
      </c>
      <c r="N190" s="63" t="s">
        <v>6484</v>
      </c>
      <c r="O190" s="64"/>
      <c r="P190" s="660" t="str">
        <f t="shared" si="40"/>
        <v/>
      </c>
      <c r="Q190" s="52" t="str">
        <f t="shared" si="51"/>
        <v>No</v>
      </c>
      <c r="R190" s="1574" t="str">
        <f t="shared" si="53"/>
        <v/>
      </c>
      <c r="S190" s="52" t="str">
        <f t="shared" si="43"/>
        <v/>
      </c>
      <c r="T190" s="52" t="str">
        <f t="shared" si="44"/>
        <v/>
      </c>
      <c r="U190" s="52" t="str">
        <f t="shared" si="41"/>
        <v/>
      </c>
      <c r="V190" s="52" t="str">
        <f t="shared" si="45"/>
        <v/>
      </c>
      <c r="W190" s="1578"/>
      <c r="X190" s="52" t="str">
        <f t="shared" si="42"/>
        <v/>
      </c>
      <c r="Y190" s="52" t="str">
        <f t="shared" si="48"/>
        <v/>
      </c>
      <c r="AA190" s="52">
        <f t="shared" si="52"/>
        <v>0</v>
      </c>
    </row>
    <row r="191" spans="2:27" ht="26">
      <c r="B191" s="1532" t="str">
        <f t="shared" si="46"/>
        <v>Connections</v>
      </c>
      <c r="C191" s="1795"/>
      <c r="D191" s="1791" t="s">
        <v>2715</v>
      </c>
      <c r="E191" s="61" t="s">
        <v>954</v>
      </c>
      <c r="F191" s="61"/>
      <c r="G191" s="61"/>
      <c r="H191" s="61"/>
      <c r="I191" s="61"/>
      <c r="J191" s="1687" t="s">
        <v>4845</v>
      </c>
      <c r="K191" s="63" t="str">
        <f>IF(Q191="Yes","Yes","No")</f>
        <v>No</v>
      </c>
      <c r="L191" s="76"/>
      <c r="M191" s="63">
        <f t="shared" si="54"/>
        <v>0</v>
      </c>
      <c r="N191" s="63">
        <v>44</v>
      </c>
      <c r="O191" s="64"/>
      <c r="P191" s="660" t="str">
        <f t="shared" si="40"/>
        <v/>
      </c>
      <c r="Q191" s="52" t="str">
        <f>IF(OR($AD$45&gt;0,$AD$8&gt;0),"Yes","No")</f>
        <v>No</v>
      </c>
      <c r="R191" s="1574" t="str">
        <f t="shared" si="53"/>
        <v/>
      </c>
      <c r="S191" s="52" t="str">
        <f t="shared" si="43"/>
        <v/>
      </c>
      <c r="T191" s="52" t="str">
        <f t="shared" si="44"/>
        <v/>
      </c>
      <c r="U191" s="52" t="str">
        <f t="shared" si="41"/>
        <v/>
      </c>
      <c r="V191" s="52" t="str">
        <f t="shared" si="45"/>
        <v/>
      </c>
      <c r="W191" s="1578"/>
      <c r="X191" s="52" t="str">
        <f t="shared" si="42"/>
        <v/>
      </c>
      <c r="Y191" s="52" t="str">
        <f t="shared" si="48"/>
        <v/>
      </c>
      <c r="AA191" s="52">
        <f t="shared" si="52"/>
        <v>0</v>
      </c>
    </row>
    <row r="192" spans="2:27">
      <c r="B192" s="1532" t="str">
        <f t="shared" si="46"/>
        <v>Influential Friends</v>
      </c>
      <c r="C192" s="1795"/>
      <c r="D192" s="1791"/>
      <c r="E192" s="61"/>
      <c r="F192" s="61" t="s">
        <v>2716</v>
      </c>
      <c r="G192" s="61"/>
      <c r="H192" s="61"/>
      <c r="I192" s="61"/>
      <c r="J192" s="1687" t="s">
        <v>4846</v>
      </c>
      <c r="K192" s="63" t="str">
        <f>IF(AND(Q191="Yes",L191&lt;&gt;""),"Yes","No")</f>
        <v>No</v>
      </c>
      <c r="L192" s="76"/>
      <c r="M192" s="63">
        <f t="shared" si="54"/>
        <v>0</v>
      </c>
      <c r="N192" s="63" t="s">
        <v>2688</v>
      </c>
      <c r="O192" s="64"/>
      <c r="P192" s="660" t="str">
        <f t="shared" si="40"/>
        <v/>
      </c>
      <c r="Q192" s="52" t="str">
        <f t="shared" si="51"/>
        <v>No</v>
      </c>
      <c r="R192" s="1574" t="str">
        <f t="shared" si="53"/>
        <v/>
      </c>
      <c r="S192" s="52" t="str">
        <f t="shared" si="43"/>
        <v/>
      </c>
      <c r="T192" s="52" t="str">
        <f t="shared" si="44"/>
        <v/>
      </c>
      <c r="U192" s="52" t="str">
        <f t="shared" si="41"/>
        <v/>
      </c>
      <c r="V192" s="52" t="str">
        <f t="shared" si="45"/>
        <v/>
      </c>
      <c r="W192" s="1578"/>
      <c r="X192" s="52" t="str">
        <f t="shared" si="42"/>
        <v/>
      </c>
      <c r="Y192" s="52" t="str">
        <f t="shared" si="48"/>
        <v/>
      </c>
      <c r="AA192" s="52">
        <f t="shared" si="52"/>
        <v>0</v>
      </c>
    </row>
    <row r="193" spans="2:27">
      <c r="B193" s="1532" t="str">
        <f t="shared" si="46"/>
        <v>Powerful Friends</v>
      </c>
      <c r="C193" s="1795"/>
      <c r="D193" s="1791"/>
      <c r="E193" s="61"/>
      <c r="F193" s="61"/>
      <c r="G193" s="61" t="s">
        <v>2717</v>
      </c>
      <c r="H193" s="61"/>
      <c r="I193" s="61"/>
      <c r="J193" s="1687" t="s">
        <v>4847</v>
      </c>
      <c r="K193" s="63" t="str">
        <f>IF(Q193="Yes","Yes","No")</f>
        <v>No</v>
      </c>
      <c r="L193" s="76"/>
      <c r="M193" s="63">
        <f t="shared" si="54"/>
        <v>0</v>
      </c>
      <c r="N193" s="63" t="s">
        <v>2718</v>
      </c>
      <c r="O193" s="64"/>
      <c r="P193" s="660" t="str">
        <f t="shared" si="40"/>
        <v/>
      </c>
      <c r="Q193" s="52" t="str">
        <f t="shared" si="51"/>
        <v>No</v>
      </c>
      <c r="R193" s="1574" t="str">
        <f t="shared" si="53"/>
        <v/>
      </c>
      <c r="S193" s="52" t="str">
        <f t="shared" si="43"/>
        <v/>
      </c>
      <c r="T193" s="52" t="str">
        <f t="shared" si="44"/>
        <v/>
      </c>
      <c r="U193" s="52" t="str">
        <f t="shared" si="41"/>
        <v/>
      </c>
      <c r="V193" s="52" t="str">
        <f t="shared" si="45"/>
        <v/>
      </c>
      <c r="W193" s="1578"/>
      <c r="X193" s="52" t="str">
        <f t="shared" si="42"/>
        <v/>
      </c>
      <c r="Y193" s="52" t="str">
        <f t="shared" si="48"/>
        <v/>
      </c>
      <c r="AA193" s="52">
        <f t="shared" si="52"/>
        <v>0</v>
      </c>
    </row>
    <row r="194" spans="2:27">
      <c r="B194" s="1532" t="str">
        <f t="shared" si="46"/>
        <v>Educated</v>
      </c>
      <c r="C194" s="1795"/>
      <c r="D194" s="1791"/>
      <c r="E194" s="61" t="s">
        <v>2719</v>
      </c>
      <c r="F194" s="61"/>
      <c r="G194" s="61"/>
      <c r="H194" s="61"/>
      <c r="I194" s="61"/>
      <c r="J194" s="1687" t="s">
        <v>4848</v>
      </c>
      <c r="K194" s="63" t="str">
        <f>IF(Q194="Yes","Yes","No")</f>
        <v>No</v>
      </c>
      <c r="L194" s="76"/>
      <c r="M194" s="63">
        <f t="shared" si="54"/>
        <v>0</v>
      </c>
      <c r="N194" s="63">
        <v>44</v>
      </c>
      <c r="O194" s="64"/>
      <c r="P194" s="660" t="str">
        <f t="shared" si="40"/>
        <v/>
      </c>
      <c r="Q194" s="52" t="str">
        <f t="shared" si="51"/>
        <v>No</v>
      </c>
      <c r="R194" s="1574" t="str">
        <f t="shared" si="53"/>
        <v/>
      </c>
      <c r="S194" s="52" t="str">
        <f t="shared" si="43"/>
        <v/>
      </c>
      <c r="T194" s="52" t="str">
        <f t="shared" si="44"/>
        <v/>
      </c>
      <c r="U194" s="52" t="str">
        <f t="shared" si="41"/>
        <v/>
      </c>
      <c r="V194" s="52" t="str">
        <f t="shared" si="45"/>
        <v/>
      </c>
      <c r="W194" s="1578"/>
      <c r="X194" s="52" t="str">
        <f t="shared" si="42"/>
        <v/>
      </c>
      <c r="Y194" s="52" t="str">
        <f t="shared" si="48"/>
        <v/>
      </c>
      <c r="AA194" s="52">
        <f t="shared" si="52"/>
        <v>0</v>
      </c>
    </row>
    <row r="195" spans="2:27">
      <c r="B195" s="1532" t="str">
        <f t="shared" si="46"/>
        <v>Engineer</v>
      </c>
      <c r="C195" s="1795"/>
      <c r="D195" s="1791"/>
      <c r="E195" s="61"/>
      <c r="F195" s="61" t="s">
        <v>2720</v>
      </c>
      <c r="G195" s="61"/>
      <c r="H195" s="61"/>
      <c r="I195" s="61"/>
      <c r="J195" s="1687" t="s">
        <v>4849</v>
      </c>
      <c r="K195" s="63" t="str">
        <f>IF(AND(Q194="Yes",L194&lt;&gt;"",OR(TKnowledgeTechnology&lt;&gt;"",FKnowledgeTechnology&lt;&gt;"",BGKnowledgeTechnology&lt;&gt;"")),"Yes","No")</f>
        <v>No</v>
      </c>
      <c r="L195" s="76"/>
      <c r="M195" s="63">
        <f t="shared" si="54"/>
        <v>0</v>
      </c>
      <c r="N195" s="63" t="s">
        <v>2660</v>
      </c>
      <c r="O195" s="64"/>
      <c r="P195" s="660" t="str">
        <f t="shared" si="40"/>
        <v/>
      </c>
      <c r="Q195" s="52" t="str">
        <f t="shared" si="51"/>
        <v>No</v>
      </c>
      <c r="R195" s="1574" t="str">
        <f t="shared" si="53"/>
        <v/>
      </c>
      <c r="S195" s="52" t="str">
        <f t="shared" si="43"/>
        <v/>
      </c>
      <c r="T195" s="52" t="str">
        <f t="shared" si="44"/>
        <v/>
      </c>
      <c r="U195" s="52" t="str">
        <f t="shared" si="41"/>
        <v/>
      </c>
      <c r="V195" s="52" t="str">
        <f t="shared" si="45"/>
        <v/>
      </c>
      <c r="W195" s="1578"/>
      <c r="X195" s="52" t="str">
        <f t="shared" si="42"/>
        <v/>
      </c>
      <c r="Y195" s="52" t="str">
        <f t="shared" si="48"/>
        <v/>
      </c>
      <c r="AA195" s="52">
        <f t="shared" si="52"/>
        <v>0</v>
      </c>
    </row>
    <row r="196" spans="2:27" ht="39">
      <c r="B196" s="1532" t="str">
        <f t="shared" si="46"/>
        <v>Spontaneous Skill</v>
      </c>
      <c r="C196" s="1795"/>
      <c r="D196" s="1791"/>
      <c r="E196" s="61"/>
      <c r="F196" s="61" t="s">
        <v>2721</v>
      </c>
      <c r="G196" s="61"/>
      <c r="H196" s="61"/>
      <c r="I196" s="61"/>
      <c r="J196" s="1687" t="s">
        <v>4850</v>
      </c>
      <c r="K196" s="63" t="str">
        <f>IF(Q196="Yes","Yes","No")</f>
        <v>No</v>
      </c>
      <c r="L196" s="76"/>
      <c r="M196" s="63">
        <f>IF(L196&lt;&gt;"",L196,0)</f>
        <v>0</v>
      </c>
      <c r="N196" s="63">
        <v>44</v>
      </c>
      <c r="O196" s="64"/>
      <c r="P196" s="660" t="str">
        <f t="shared" si="40"/>
        <v/>
      </c>
      <c r="Q196" s="52" t="str">
        <f t="shared" si="51"/>
        <v>No</v>
      </c>
      <c r="R196" s="1574" t="str">
        <f t="shared" si="53"/>
        <v/>
      </c>
      <c r="S196" s="52" t="str">
        <f t="shared" si="43"/>
        <v/>
      </c>
      <c r="T196" s="52" t="str">
        <f t="shared" si="44"/>
        <v/>
      </c>
      <c r="U196" s="52" t="str">
        <f t="shared" si="41"/>
        <v/>
      </c>
      <c r="V196" s="52" t="str">
        <f t="shared" si="45"/>
        <v/>
      </c>
      <c r="W196" s="1578"/>
      <c r="X196" s="52" t="str">
        <f t="shared" si="42"/>
        <v/>
      </c>
      <c r="Y196" s="52" t="str">
        <f t="shared" si="48"/>
        <v/>
      </c>
      <c r="AA196" s="52">
        <f t="shared" si="52"/>
        <v>0</v>
      </c>
    </row>
    <row r="197" spans="2:27">
      <c r="B197" s="1532" t="str">
        <f t="shared" si="46"/>
        <v>Wealth</v>
      </c>
      <c r="C197" s="1795"/>
      <c r="D197" s="1791"/>
      <c r="E197" s="61" t="s">
        <v>2722</v>
      </c>
      <c r="F197" s="61"/>
      <c r="G197" s="61"/>
      <c r="H197" s="61"/>
      <c r="I197" s="61"/>
      <c r="J197" s="1687" t="s">
        <v>4851</v>
      </c>
      <c r="K197" s="63" t="str">
        <f>IF(Q197="Yes","Yes","No")</f>
        <v>No</v>
      </c>
      <c r="L197" s="76"/>
      <c r="M197" s="63">
        <f t="shared" ref="M197:M218" si="55">IF(L197&lt;&gt;"",1,0)</f>
        <v>0</v>
      </c>
      <c r="N197" s="63">
        <v>44</v>
      </c>
      <c r="O197" s="64"/>
      <c r="P197" s="660" t="str">
        <f t="shared" si="40"/>
        <v/>
      </c>
      <c r="Q197" s="52" t="str">
        <f t="shared" si="51"/>
        <v>No</v>
      </c>
      <c r="R197" s="1574" t="str">
        <f t="shared" si="53"/>
        <v/>
      </c>
      <c r="S197" s="52" t="str">
        <f t="shared" si="43"/>
        <v/>
      </c>
      <c r="T197" s="52" t="str">
        <f t="shared" si="44"/>
        <v/>
      </c>
      <c r="U197" s="52" t="str">
        <f t="shared" si="41"/>
        <v/>
      </c>
      <c r="V197" s="52" t="str">
        <f t="shared" si="45"/>
        <v/>
      </c>
      <c r="W197" s="1578"/>
      <c r="X197" s="52" t="str">
        <f t="shared" si="42"/>
        <v/>
      </c>
      <c r="Y197" s="52" t="str">
        <f t="shared" si="48"/>
        <v/>
      </c>
      <c r="AA197" s="52">
        <f t="shared" si="52"/>
        <v>0</v>
      </c>
    </row>
    <row r="198" spans="2:27" ht="26">
      <c r="B198" s="1532" t="str">
        <f t="shared" si="46"/>
        <v>Inspire Loyalty</v>
      </c>
      <c r="C198" s="1795"/>
      <c r="D198" s="1791" t="s">
        <v>2723</v>
      </c>
      <c r="E198" s="61" t="s">
        <v>2724</v>
      </c>
      <c r="F198" s="61"/>
      <c r="G198" s="61"/>
      <c r="H198" s="61"/>
      <c r="I198" s="61"/>
      <c r="J198" s="1687" t="s">
        <v>4852</v>
      </c>
      <c r="K198" s="63" t="str">
        <f>IF(Q198="Yes","Yes","No")</f>
        <v>No</v>
      </c>
      <c r="L198" s="76"/>
      <c r="M198" s="63">
        <f t="shared" si="55"/>
        <v>0</v>
      </c>
      <c r="N198" s="63" t="s">
        <v>2665</v>
      </c>
      <c r="O198" s="64"/>
      <c r="P198" s="660" t="str">
        <f t="shared" si="40"/>
        <v/>
      </c>
      <c r="Q198" s="52" t="str">
        <f>IF(OR($AD$45&gt;0,$AD$8&gt;0),"Yes","No")</f>
        <v>No</v>
      </c>
      <c r="R198" s="1574" t="str">
        <f t="shared" si="53"/>
        <v/>
      </c>
      <c r="S198" s="52" t="str">
        <f t="shared" si="43"/>
        <v/>
      </c>
      <c r="T198" s="52" t="str">
        <f t="shared" si="44"/>
        <v/>
      </c>
      <c r="U198" s="52" t="str">
        <f t="shared" si="41"/>
        <v/>
      </c>
      <c r="V198" s="52" t="str">
        <f t="shared" si="45"/>
        <v/>
      </c>
      <c r="W198" s="1578"/>
      <c r="X198" s="52" t="str">
        <f t="shared" si="42"/>
        <v/>
      </c>
      <c r="Y198" s="52" t="str">
        <f t="shared" si="48"/>
        <v/>
      </c>
      <c r="AA198" s="52">
        <f t="shared" si="52"/>
        <v>0</v>
      </c>
    </row>
    <row r="199" spans="2:27" ht="52">
      <c r="B199" s="1532" t="str">
        <f t="shared" si="46"/>
        <v>Protector Actions</v>
      </c>
      <c r="C199" s="1795"/>
      <c r="D199" s="1791"/>
      <c r="E199" s="61"/>
      <c r="F199" s="61" t="s">
        <v>2725</v>
      </c>
      <c r="G199" s="61"/>
      <c r="H199" s="61"/>
      <c r="I199" s="61"/>
      <c r="J199" s="1687" t="s">
        <v>4853</v>
      </c>
      <c r="K199" s="63" t="str">
        <f>IF(AND(Q199="Yes",L198&lt;&gt;""),"Yes","No")</f>
        <v>No</v>
      </c>
      <c r="L199" s="76"/>
      <c r="M199" s="63">
        <f t="shared" si="55"/>
        <v>0</v>
      </c>
      <c r="N199" s="63" t="s">
        <v>2665</v>
      </c>
      <c r="O199" s="64"/>
      <c r="P199" s="660" t="str">
        <f t="shared" ref="P199:P383" si="56">IF(ShowTalentTrees,IF(D199&lt;&gt;"",D199,P198),"")</f>
        <v/>
      </c>
      <c r="Q199" s="52" t="str">
        <f t="shared" si="51"/>
        <v>No</v>
      </c>
      <c r="R199" s="1574" t="str">
        <f t="shared" si="53"/>
        <v/>
      </c>
      <c r="S199" s="52" t="str">
        <f t="shared" si="43"/>
        <v/>
      </c>
      <c r="T199" s="52" t="str">
        <f t="shared" si="44"/>
        <v/>
      </c>
      <c r="U199" s="52" t="str">
        <f t="shared" ref="U199:U205" si="57">IF(L199&lt;&gt;"",IF(ISNUMBER(L199),"",E199&amp;F199&amp;G199),"")</f>
        <v/>
      </c>
      <c r="V199" s="52" t="str">
        <f t="shared" si="45"/>
        <v/>
      </c>
      <c r="W199" s="1578"/>
      <c r="X199" s="52" t="str">
        <f t="shared" ref="X199:X217" si="58">IF(U199&lt;&gt;"",IF(W199="Special Actions",U199&amp;IF(X200&lt;&gt;"",", ",""),"")&amp;X200,X200)</f>
        <v/>
      </c>
      <c r="Y199" s="52" t="str">
        <f t="shared" si="48"/>
        <v/>
      </c>
      <c r="AA199" s="52">
        <f t="shared" si="52"/>
        <v>0</v>
      </c>
    </row>
    <row r="200" spans="2:27" ht="26">
      <c r="B200" s="1532" t="str">
        <f t="shared" si="46"/>
        <v>Punishing Protection</v>
      </c>
      <c r="C200" s="1795"/>
      <c r="D200" s="1791"/>
      <c r="E200" s="61"/>
      <c r="F200" s="61" t="s">
        <v>2726</v>
      </c>
      <c r="G200" s="61"/>
      <c r="H200" s="61"/>
      <c r="I200" s="61"/>
      <c r="J200" s="1687" t="s">
        <v>4854</v>
      </c>
      <c r="K200" s="63" t="str">
        <f>IF(AND(Q200="Yes",BAB&gt;=5,L198&lt;&gt;""),"Yes","No")</f>
        <v>No</v>
      </c>
      <c r="L200" s="76"/>
      <c r="M200" s="63">
        <f t="shared" si="55"/>
        <v>0</v>
      </c>
      <c r="N200" s="63" t="s">
        <v>2665</v>
      </c>
      <c r="O200" s="64"/>
      <c r="P200" s="660" t="str">
        <f t="shared" si="56"/>
        <v/>
      </c>
      <c r="Q200" s="52" t="str">
        <f t="shared" si="51"/>
        <v>No</v>
      </c>
      <c r="R200" s="1574" t="str">
        <f t="shared" si="53"/>
        <v/>
      </c>
      <c r="S200" s="52" t="str">
        <f t="shared" ref="S200:S217" si="59">IF(R200&lt;&gt;"",R200&amp;";"&amp;S201,S201)</f>
        <v/>
      </c>
      <c r="T200" s="52" t="str">
        <f t="shared" ref="T200:T217" si="60">IF(R200&lt;&gt;"",N200&amp;";"&amp;T201,T201)</f>
        <v/>
      </c>
      <c r="U200" s="52" t="str">
        <f t="shared" si="57"/>
        <v/>
      </c>
      <c r="V200" s="52" t="str">
        <f t="shared" ref="V200:V217" si="61">IF(U200&lt;&gt;"",U200&amp;";"&amp;V201,V201)</f>
        <v/>
      </c>
      <c r="W200" s="1578"/>
      <c r="X200" s="52" t="str">
        <f t="shared" si="58"/>
        <v/>
      </c>
      <c r="Y200" s="52" t="str">
        <f t="shared" si="48"/>
        <v/>
      </c>
      <c r="AA200" s="52">
        <f t="shared" si="52"/>
        <v>0</v>
      </c>
    </row>
    <row r="201" spans="2:27">
      <c r="B201" s="1532" t="str">
        <f t="shared" si="46"/>
        <v>Undying Loyalty</v>
      </c>
      <c r="C201" s="1795"/>
      <c r="D201" s="1791"/>
      <c r="E201" s="61"/>
      <c r="F201" s="61" t="s">
        <v>2727</v>
      </c>
      <c r="G201" s="61"/>
      <c r="H201" s="61"/>
      <c r="I201" s="61"/>
      <c r="J201" s="1687" t="s">
        <v>4855</v>
      </c>
      <c r="K201" s="63" t="str">
        <f>IF(AND(Q201="Yes",L198&lt;&gt;""),"Yes","No")</f>
        <v>No</v>
      </c>
      <c r="L201" s="76"/>
      <c r="M201" s="63">
        <f t="shared" si="55"/>
        <v>0</v>
      </c>
      <c r="N201" s="63" t="s">
        <v>2665</v>
      </c>
      <c r="O201" s="64"/>
      <c r="P201" s="660" t="str">
        <f t="shared" si="56"/>
        <v/>
      </c>
      <c r="Q201" s="52" t="str">
        <f t="shared" si="51"/>
        <v>No</v>
      </c>
      <c r="R201" s="1574" t="str">
        <f t="shared" si="53"/>
        <v/>
      </c>
      <c r="S201" s="52" t="str">
        <f t="shared" si="59"/>
        <v/>
      </c>
      <c r="T201" s="52" t="str">
        <f t="shared" si="60"/>
        <v/>
      </c>
      <c r="U201" s="52" t="str">
        <f t="shared" si="57"/>
        <v/>
      </c>
      <c r="V201" s="52" t="str">
        <f t="shared" si="61"/>
        <v/>
      </c>
      <c r="W201" s="1578"/>
      <c r="X201" s="52" t="str">
        <f t="shared" si="58"/>
        <v/>
      </c>
      <c r="Y201" s="52" t="str">
        <f t="shared" si="48"/>
        <v/>
      </c>
      <c r="AA201" s="52">
        <f>IF(U201&lt;&gt;"",IF(Z201="Defenses",U201&amp;IF(AA208&lt;&gt;"",", ",""),"")&amp;AA208,AA208)</f>
        <v>0</v>
      </c>
    </row>
    <row r="202" spans="2:27" ht="26">
      <c r="B202" s="1575"/>
      <c r="C202" s="1795"/>
      <c r="D202" s="920" t="s">
        <v>8392</v>
      </c>
      <c r="E202" s="61" t="s">
        <v>2864</v>
      </c>
      <c r="F202" s="61"/>
      <c r="G202" s="61"/>
      <c r="H202" s="61"/>
      <c r="I202" s="61"/>
      <c r="J202" s="1687" t="s">
        <v>8949</v>
      </c>
      <c r="K202" s="63" t="str">
        <f>IF(Q202="Yes","Yes","No")</f>
        <v>No</v>
      </c>
      <c r="L202" s="76"/>
      <c r="M202" s="63">
        <f t="shared" si="55"/>
        <v>0</v>
      </c>
      <c r="N202" s="63" t="s">
        <v>8393</v>
      </c>
      <c r="O202" s="64"/>
      <c r="P202" s="660" t="str">
        <f t="shared" si="56"/>
        <v/>
      </c>
      <c r="Q202" s="52" t="str">
        <f t="shared" si="51"/>
        <v>No</v>
      </c>
      <c r="R202" s="1574" t="str">
        <f t="shared" si="53"/>
        <v/>
      </c>
      <c r="S202" s="52" t="str">
        <f t="shared" si="59"/>
        <v/>
      </c>
      <c r="T202" s="52" t="str">
        <f t="shared" si="60"/>
        <v/>
      </c>
      <c r="U202" s="52" t="str">
        <f t="shared" si="57"/>
        <v/>
      </c>
      <c r="V202" s="52" t="str">
        <f t="shared" si="61"/>
        <v/>
      </c>
      <c r="W202" s="1578"/>
      <c r="X202" s="52" t="str">
        <f t="shared" si="58"/>
        <v/>
      </c>
      <c r="Y202" s="52" t="str">
        <f t="shared" si="48"/>
        <v/>
      </c>
    </row>
    <row r="203" spans="2:27">
      <c r="B203" s="1575"/>
      <c r="C203" s="1795"/>
      <c r="D203" s="920"/>
      <c r="E203" s="61" t="s">
        <v>8394</v>
      </c>
      <c r="F203" s="61"/>
      <c r="G203" s="61"/>
      <c r="H203" s="61"/>
      <c r="I203" s="61"/>
      <c r="J203" s="1687" t="s">
        <v>8395</v>
      </c>
      <c r="K203" s="63" t="str">
        <f>IF(Q203="Yes","Yes","No")</f>
        <v>No</v>
      </c>
      <c r="L203" s="76"/>
      <c r="M203" s="63">
        <f t="shared" si="55"/>
        <v>0</v>
      </c>
      <c r="N203" s="63" t="s">
        <v>8393</v>
      </c>
      <c r="O203" s="64"/>
      <c r="P203" s="660" t="str">
        <f t="shared" si="56"/>
        <v/>
      </c>
      <c r="Q203" s="52" t="str">
        <f t="shared" si="51"/>
        <v>No</v>
      </c>
      <c r="R203" s="1574" t="str">
        <f t="shared" si="53"/>
        <v/>
      </c>
      <c r="S203" s="52" t="str">
        <f t="shared" si="59"/>
        <v/>
      </c>
      <c r="T203" s="52" t="str">
        <f t="shared" si="60"/>
        <v/>
      </c>
      <c r="U203" s="52" t="str">
        <f t="shared" si="57"/>
        <v/>
      </c>
      <c r="V203" s="52" t="str">
        <f t="shared" si="61"/>
        <v/>
      </c>
      <c r="W203" s="1578"/>
      <c r="X203" s="52" t="str">
        <f t="shared" si="58"/>
        <v/>
      </c>
      <c r="Y203" s="52" t="str">
        <f t="shared" si="48"/>
        <v/>
      </c>
    </row>
    <row r="204" spans="2:27">
      <c r="B204" s="1575"/>
      <c r="C204" s="1795"/>
      <c r="D204" s="920"/>
      <c r="E204" s="61" t="s">
        <v>8396</v>
      </c>
      <c r="F204" s="61"/>
      <c r="G204" s="61"/>
      <c r="H204" s="61"/>
      <c r="I204" s="61"/>
      <c r="J204" s="1687" t="s">
        <v>8397</v>
      </c>
      <c r="K204" s="63" t="str">
        <f>IF(Q204="Yes","Yes","No")</f>
        <v>No</v>
      </c>
      <c r="L204" s="76"/>
      <c r="M204" s="63">
        <f t="shared" si="55"/>
        <v>0</v>
      </c>
      <c r="N204" s="63" t="s">
        <v>8393</v>
      </c>
      <c r="O204" s="64"/>
      <c r="P204" s="660" t="str">
        <f t="shared" si="56"/>
        <v/>
      </c>
      <c r="Q204" s="52" t="str">
        <f t="shared" si="51"/>
        <v>No</v>
      </c>
      <c r="R204" s="1574" t="str">
        <f t="shared" si="53"/>
        <v/>
      </c>
      <c r="S204" s="52" t="str">
        <f t="shared" si="59"/>
        <v/>
      </c>
      <c r="T204" s="52" t="str">
        <f t="shared" si="60"/>
        <v/>
      </c>
      <c r="U204" s="52" t="str">
        <f t="shared" si="57"/>
        <v/>
      </c>
      <c r="V204" s="52" t="str">
        <f t="shared" si="61"/>
        <v/>
      </c>
      <c r="W204" s="1578"/>
      <c r="X204" s="52" t="str">
        <f t="shared" si="58"/>
        <v/>
      </c>
      <c r="Y204" s="52" t="str">
        <f t="shared" si="48"/>
        <v/>
      </c>
    </row>
    <row r="205" spans="2:27" ht="26">
      <c r="B205" s="1575"/>
      <c r="C205" s="1795"/>
      <c r="D205" s="920"/>
      <c r="E205" s="61"/>
      <c r="F205" s="61"/>
      <c r="G205" s="61" t="s">
        <v>8329</v>
      </c>
      <c r="H205" s="61"/>
      <c r="I205" s="61"/>
      <c r="J205" s="1687" t="s">
        <v>8398</v>
      </c>
      <c r="K205" s="63" t="str">
        <f>IF(AND(Q205="Yes",L204&lt;&gt;""),"Yes","No")</f>
        <v>No</v>
      </c>
      <c r="L205" s="76"/>
      <c r="M205" s="63">
        <f t="shared" si="55"/>
        <v>0</v>
      </c>
      <c r="N205" s="63" t="s">
        <v>8393</v>
      </c>
      <c r="O205" s="64"/>
      <c r="P205" s="660" t="str">
        <f t="shared" si="56"/>
        <v/>
      </c>
      <c r="Q205" s="52" t="str">
        <f t="shared" si="51"/>
        <v>No</v>
      </c>
      <c r="R205" s="1574" t="str">
        <f t="shared" si="53"/>
        <v/>
      </c>
      <c r="S205" s="52" t="str">
        <f>IF(R205&lt;&gt;"",R205&amp;";"&amp;S207,S207)</f>
        <v/>
      </c>
      <c r="T205" s="52" t="str">
        <f>IF(R205&lt;&gt;"",N205&amp;";"&amp;T207,T207)</f>
        <v/>
      </c>
      <c r="U205" s="52" t="str">
        <f t="shared" si="57"/>
        <v/>
      </c>
      <c r="V205" s="52" t="str">
        <f>IF(U205&lt;&gt;"",U205&amp;";"&amp;V207,V207)</f>
        <v/>
      </c>
      <c r="W205" s="1578"/>
      <c r="X205" s="52" t="str">
        <f>IF(U205&lt;&gt;"",IF(W205="Special Actions",U205&amp;IF(X207&lt;&gt;"",", ",""),"")&amp;X207,X207)</f>
        <v/>
      </c>
      <c r="Y205" s="52" t="str">
        <f>IF(U205&lt;&gt;"",IF(W205="Att Options",U205&amp;IF(Y207&lt;&gt;"",", ",""),"")&amp;Y207,Y207)</f>
        <v/>
      </c>
    </row>
    <row r="206" spans="2:27">
      <c r="B206" s="1575"/>
      <c r="C206" s="1795"/>
      <c r="D206" s="920"/>
      <c r="E206" s="61" t="s">
        <v>8399</v>
      </c>
      <c r="F206" s="61"/>
      <c r="G206" s="61"/>
      <c r="H206" s="61"/>
      <c r="I206" s="61"/>
      <c r="J206" s="1687" t="s">
        <v>8951</v>
      </c>
      <c r="K206" s="63" t="str">
        <f>IF(Q206="Yes","Yes","No")</f>
        <v>No</v>
      </c>
      <c r="L206" s="76"/>
      <c r="M206" s="63">
        <f t="shared" si="55"/>
        <v>0</v>
      </c>
      <c r="N206" s="63" t="s">
        <v>8412</v>
      </c>
      <c r="O206" s="64"/>
      <c r="P206" s="660" t="str">
        <f t="shared" si="56"/>
        <v/>
      </c>
      <c r="Q206" s="52" t="str">
        <f t="shared" si="51"/>
        <v>No</v>
      </c>
      <c r="W206" s="1578"/>
    </row>
    <row r="207" spans="2:27" ht="26">
      <c r="B207" s="1575"/>
      <c r="C207" s="1795"/>
      <c r="D207" s="920"/>
      <c r="E207" s="920"/>
      <c r="F207" s="61" t="s">
        <v>8400</v>
      </c>
      <c r="G207" s="61"/>
      <c r="H207" s="61"/>
      <c r="I207" s="61"/>
      <c r="J207" s="1687" t="s">
        <v>8950</v>
      </c>
      <c r="K207" s="63" t="str">
        <f>IF(Q207="Yes","Yes","No")</f>
        <v>No</v>
      </c>
      <c r="L207" s="76"/>
      <c r="M207" s="63">
        <f t="shared" si="55"/>
        <v>0</v>
      </c>
      <c r="N207" s="63" t="s">
        <v>8393</v>
      </c>
      <c r="O207" s="64"/>
      <c r="P207" s="660" t="str">
        <f t="shared" si="56"/>
        <v/>
      </c>
      <c r="Q207" s="52" t="str">
        <f t="shared" si="51"/>
        <v>No</v>
      </c>
      <c r="R207" s="1574" t="str">
        <f>IF(L207&lt;&gt;"",E206&amp;F207&amp;G207&amp;IF(P207&lt;&gt;""," ("&amp;P207&amp;")",""),"")&amp;IF(M207&gt;1," ("&amp;M207&amp;")","")</f>
        <v/>
      </c>
      <c r="S207" s="52" t="str">
        <f t="shared" si="59"/>
        <v/>
      </c>
      <c r="T207" s="52" t="str">
        <f t="shared" si="60"/>
        <v/>
      </c>
      <c r="U207" s="52" t="str">
        <f>IF(L207&lt;&gt;"",IF(ISNUMBER(L207),"",E206&amp;F207&amp;G207),"")</f>
        <v/>
      </c>
      <c r="V207" s="52" t="str">
        <f t="shared" si="61"/>
        <v/>
      </c>
      <c r="W207" s="1578"/>
      <c r="X207" s="52" t="str">
        <f t="shared" si="58"/>
        <v/>
      </c>
      <c r="Y207" s="52" t="str">
        <f t="shared" si="48"/>
        <v/>
      </c>
    </row>
    <row r="208" spans="2:27">
      <c r="B208" s="1532" t="str">
        <f>IF(E208&lt;&gt;"",E208,IF(F208&lt;&gt;"",F208,IF(G208&lt;&gt;"",G208,IF(H208&lt;&gt;"",H208))))</f>
        <v>Cast Suspicion</v>
      </c>
      <c r="C208" s="1795"/>
      <c r="D208" s="920" t="s">
        <v>2728</v>
      </c>
      <c r="E208" s="61" t="s">
        <v>2729</v>
      </c>
      <c r="F208" s="61"/>
      <c r="G208" s="61"/>
      <c r="H208" s="61"/>
      <c r="I208" s="61"/>
      <c r="J208" s="1687" t="s">
        <v>4856</v>
      </c>
      <c r="K208" s="63" t="str">
        <f>IF(Q208="Yes","Yes","No")</f>
        <v>No</v>
      </c>
      <c r="L208" s="76"/>
      <c r="M208" s="63">
        <f t="shared" si="55"/>
        <v>0</v>
      </c>
      <c r="N208" s="63" t="s">
        <v>2574</v>
      </c>
      <c r="O208" s="64"/>
      <c r="P208" s="660" t="str">
        <f t="shared" si="56"/>
        <v/>
      </c>
      <c r="Q208" s="52" t="str">
        <f>IF(OR($AD$45&gt;0,$AD$8&gt;0,$AD$36&gt;0),"Yes","No")</f>
        <v>No</v>
      </c>
      <c r="R208" s="1574" t="str">
        <f t="shared" ref="R208:R271" si="62">IF(L208&lt;&gt;"",E208&amp;F208&amp;G208&amp;IF(P208&lt;&gt;""," ("&amp;P208&amp;")",""),"")&amp;IF(M208&gt;1," ("&amp;M208&amp;")","")</f>
        <v/>
      </c>
      <c r="S208" s="52" t="str">
        <f t="shared" si="59"/>
        <v/>
      </c>
      <c r="T208" s="52" t="str">
        <f t="shared" si="60"/>
        <v/>
      </c>
      <c r="U208" s="52" t="str">
        <f t="shared" ref="U208:U271" si="63">IF(L208&lt;&gt;"",IF(ISNUMBER(L208),"",E208&amp;F208&amp;G208),"")</f>
        <v/>
      </c>
      <c r="V208" s="52" t="str">
        <f t="shared" si="61"/>
        <v/>
      </c>
      <c r="W208" s="1578"/>
      <c r="X208" s="52" t="str">
        <f t="shared" si="58"/>
        <v/>
      </c>
      <c r="Y208" s="52" t="str">
        <f t="shared" si="48"/>
        <v/>
      </c>
      <c r="AA208" s="52">
        <f>IF(U208&lt;&gt;"",IF(Z208="Defenses",U208&amp;IF(AA209&lt;&gt;"",", ",""),"")&amp;AA209,AA209)</f>
        <v>0</v>
      </c>
    </row>
    <row r="209" spans="2:27">
      <c r="B209" s="1532" t="str">
        <f>IF(E209&lt;&gt;"",E209,IF(F209&lt;&gt;"",F209,IF(G209&lt;&gt;"",G209,IF(H209&lt;&gt;"",H209))))</f>
        <v>Friend or Foe</v>
      </c>
      <c r="C209" s="1795"/>
      <c r="D209" s="920"/>
      <c r="E209" s="61"/>
      <c r="F209" s="61" t="s">
        <v>2730</v>
      </c>
      <c r="G209" s="61"/>
      <c r="H209" s="61"/>
      <c r="I209" s="61"/>
      <c r="J209" s="1687" t="s">
        <v>4857</v>
      </c>
      <c r="K209" s="63" t="str">
        <f>IF(AND(Q208="Yes",L208&lt;&gt;""),"Yes","No")</f>
        <v>No</v>
      </c>
      <c r="L209" s="76"/>
      <c r="M209" s="63">
        <f t="shared" si="55"/>
        <v>0</v>
      </c>
      <c r="N209" s="63" t="s">
        <v>2574</v>
      </c>
      <c r="O209" s="64"/>
      <c r="P209" s="660" t="str">
        <f t="shared" si="56"/>
        <v/>
      </c>
      <c r="Q209" s="52" t="str">
        <f t="shared" si="51"/>
        <v>No</v>
      </c>
      <c r="R209" s="1574" t="str">
        <f t="shared" si="62"/>
        <v/>
      </c>
      <c r="S209" s="52" t="str">
        <f t="shared" si="59"/>
        <v/>
      </c>
      <c r="T209" s="52" t="str">
        <f t="shared" si="60"/>
        <v/>
      </c>
      <c r="U209" s="52" t="str">
        <f t="shared" si="63"/>
        <v/>
      </c>
      <c r="V209" s="52" t="str">
        <f t="shared" si="61"/>
        <v/>
      </c>
      <c r="W209" s="1578"/>
      <c r="X209" s="52" t="str">
        <f t="shared" si="58"/>
        <v/>
      </c>
      <c r="Y209" s="52" t="str">
        <f t="shared" si="48"/>
        <v/>
      </c>
      <c r="AA209" s="52">
        <f>IF(U209&lt;&gt;"",IF(Z209="Defenses",U209&amp;IF(AA210&lt;&gt;"",", ",""),"")&amp;AA210,AA210)</f>
        <v>0</v>
      </c>
    </row>
    <row r="210" spans="2:27">
      <c r="B210" s="1532" t="str">
        <f>IF(E210&lt;&gt;"",E210,IF(F210&lt;&gt;"",F210,IF(G210&lt;&gt;"",G210,IF(H210&lt;&gt;"",H210))))</f>
        <v>True Betrayer</v>
      </c>
      <c r="C210" s="1795"/>
      <c r="D210" s="920"/>
      <c r="E210" s="61"/>
      <c r="F210" s="61"/>
      <c r="G210" s="61" t="s">
        <v>2731</v>
      </c>
      <c r="H210" s="61"/>
      <c r="I210" s="61"/>
      <c r="J210" s="1687" t="s">
        <v>4858</v>
      </c>
      <c r="K210" s="63" t="str">
        <f>IF(AND(Q209="Yes",L209&lt;&gt;""),"Yes","No")</f>
        <v>No</v>
      </c>
      <c r="L210" s="76"/>
      <c r="M210" s="63">
        <f t="shared" si="55"/>
        <v>0</v>
      </c>
      <c r="N210" s="63" t="s">
        <v>2732</v>
      </c>
      <c r="O210" s="64"/>
      <c r="P210" s="660" t="str">
        <f t="shared" si="56"/>
        <v/>
      </c>
      <c r="Q210" s="52" t="str">
        <f t="shared" si="51"/>
        <v>No</v>
      </c>
      <c r="R210" s="1574" t="str">
        <f t="shared" si="62"/>
        <v/>
      </c>
      <c r="S210" s="52" t="str">
        <f t="shared" si="59"/>
        <v/>
      </c>
      <c r="T210" s="52" t="str">
        <f t="shared" si="60"/>
        <v/>
      </c>
      <c r="U210" s="52" t="str">
        <f t="shared" si="63"/>
        <v/>
      </c>
      <c r="V210" s="52" t="str">
        <f t="shared" si="61"/>
        <v/>
      </c>
      <c r="W210" s="1578"/>
      <c r="X210" s="52" t="str">
        <f t="shared" si="58"/>
        <v/>
      </c>
      <c r="Y210" s="52" t="str">
        <f t="shared" si="48"/>
        <v/>
      </c>
      <c r="AA210" s="52">
        <f>IF(U210&lt;&gt;"",IF(Z210="Defenses",U210&amp;IF(AA211&lt;&gt;"",", ",""),"")&amp;AA211,AA211)</f>
        <v>0</v>
      </c>
    </row>
    <row r="211" spans="2:27">
      <c r="B211" s="1532" t="str">
        <f>IF(E211&lt;&gt;"",E211,IF(F211&lt;&gt;"",F211,IF(G211&lt;&gt;"",G211,IF(H211&lt;&gt;"",H211))))</f>
        <v>Stolen Advantage</v>
      </c>
      <c r="C211" s="1795"/>
      <c r="D211" s="920"/>
      <c r="E211" s="61"/>
      <c r="F211" s="61" t="s">
        <v>2733</v>
      </c>
      <c r="G211" s="61"/>
      <c r="H211" s="61"/>
      <c r="I211" s="61"/>
      <c r="J211" s="1687" t="s">
        <v>4859</v>
      </c>
      <c r="K211" s="63" t="str">
        <f>IF(Q211="Yes","Yes","No")</f>
        <v>No</v>
      </c>
      <c r="L211" s="76"/>
      <c r="M211" s="63">
        <f t="shared" si="55"/>
        <v>0</v>
      </c>
      <c r="N211" s="63" t="s">
        <v>2732</v>
      </c>
      <c r="O211" s="64"/>
      <c r="P211" s="660" t="str">
        <f t="shared" si="56"/>
        <v/>
      </c>
      <c r="Q211" s="52" t="str">
        <f t="shared" si="51"/>
        <v>No</v>
      </c>
      <c r="R211" s="1574" t="str">
        <f t="shared" si="62"/>
        <v/>
      </c>
      <c r="S211" s="52" t="str">
        <f t="shared" si="59"/>
        <v/>
      </c>
      <c r="T211" s="52" t="str">
        <f t="shared" si="60"/>
        <v/>
      </c>
      <c r="U211" s="52" t="str">
        <f t="shared" si="63"/>
        <v/>
      </c>
      <c r="V211" s="52" t="str">
        <f t="shared" si="61"/>
        <v/>
      </c>
      <c r="W211" s="1578"/>
      <c r="X211" s="52" t="str">
        <f t="shared" si="58"/>
        <v/>
      </c>
      <c r="Y211" s="52" t="str">
        <f t="shared" si="48"/>
        <v/>
      </c>
      <c r="AA211" s="52">
        <f>IF(U211&lt;&gt;"",IF(Z211="Defenses",U211&amp;IF(AA212&lt;&gt;"",", ",""),"")&amp;AA212,AA212)</f>
        <v>0</v>
      </c>
    </row>
    <row r="212" spans="2:27">
      <c r="B212" s="1532" t="str">
        <f>IF(E212&lt;&gt;"",E212,IF(F212&lt;&gt;"",F212,IF(G212&lt;&gt;"",G212,IF(H212&lt;&gt;"",H212))))</f>
        <v>Distress to Discord</v>
      </c>
      <c r="C212" s="1795"/>
      <c r="D212" s="920"/>
      <c r="E212" s="61" t="s">
        <v>2734</v>
      </c>
      <c r="F212" s="61"/>
      <c r="G212" s="61"/>
      <c r="H212" s="61"/>
      <c r="I212" s="61"/>
      <c r="J212" s="1687" t="s">
        <v>4860</v>
      </c>
      <c r="K212" s="63" t="str">
        <f>IF(Q212="Yes","Yes","No")</f>
        <v>No</v>
      </c>
      <c r="L212" s="76"/>
      <c r="M212" s="63">
        <f t="shared" si="55"/>
        <v>0</v>
      </c>
      <c r="N212" s="63" t="s">
        <v>2574</v>
      </c>
      <c r="O212" s="64"/>
      <c r="P212" s="660" t="str">
        <f t="shared" si="56"/>
        <v/>
      </c>
      <c r="Q212" s="52" t="str">
        <f t="shared" si="51"/>
        <v>No</v>
      </c>
      <c r="R212" s="1574" t="str">
        <f t="shared" si="62"/>
        <v/>
      </c>
      <c r="S212" s="52" t="str">
        <f t="shared" si="59"/>
        <v/>
      </c>
      <c r="T212" s="52" t="str">
        <f t="shared" si="60"/>
        <v/>
      </c>
      <c r="U212" s="52" t="str">
        <f t="shared" si="63"/>
        <v/>
      </c>
      <c r="V212" s="52" t="str">
        <f t="shared" si="61"/>
        <v/>
      </c>
      <c r="W212" s="1578"/>
      <c r="X212" s="52" t="str">
        <f t="shared" si="58"/>
        <v/>
      </c>
      <c r="Y212" s="52" t="str">
        <f t="shared" si="48"/>
        <v/>
      </c>
      <c r="AA212" s="52">
        <f>IF(U212&lt;&gt;"",IF(Z212="Defenses",U212&amp;IF(AA344&lt;&gt;"",", ",""),"")&amp;AA344,AA344)</f>
        <v>0</v>
      </c>
    </row>
    <row r="213" spans="2:27">
      <c r="B213" s="1575"/>
      <c r="C213" s="1795"/>
      <c r="D213" s="920"/>
      <c r="E213" s="61"/>
      <c r="F213" s="61" t="s">
        <v>2735</v>
      </c>
      <c r="G213" s="61"/>
      <c r="H213" s="61"/>
      <c r="I213" s="61"/>
      <c r="J213" s="1687" t="s">
        <v>4861</v>
      </c>
      <c r="K213" s="63" t="str">
        <f>IF(AND(Q212="Yes",L212&lt;&gt;""),"Yes","No")</f>
        <v>No</v>
      </c>
      <c r="L213" s="76"/>
      <c r="M213" s="63">
        <f t="shared" si="55"/>
        <v>0</v>
      </c>
      <c r="N213" s="63" t="s">
        <v>2574</v>
      </c>
      <c r="O213" s="64"/>
      <c r="P213" s="660" t="str">
        <f t="shared" si="56"/>
        <v/>
      </c>
      <c r="Q213" s="52" t="str">
        <f t="shared" si="51"/>
        <v>No</v>
      </c>
      <c r="R213" s="1574" t="str">
        <f t="shared" si="62"/>
        <v/>
      </c>
      <c r="S213" s="52" t="str">
        <f t="shared" si="59"/>
        <v/>
      </c>
      <c r="T213" s="52" t="str">
        <f t="shared" si="60"/>
        <v/>
      </c>
      <c r="U213" s="52" t="str">
        <f t="shared" si="63"/>
        <v/>
      </c>
      <c r="V213" s="52" t="str">
        <f t="shared" si="61"/>
        <v/>
      </c>
      <c r="W213" s="1578"/>
      <c r="X213" s="52" t="str">
        <f t="shared" si="58"/>
        <v/>
      </c>
      <c r="Y213" s="52" t="str">
        <f t="shared" si="48"/>
        <v/>
      </c>
    </row>
    <row r="214" spans="2:27">
      <c r="B214" s="1575"/>
      <c r="C214" s="1795"/>
      <c r="D214" s="920" t="s">
        <v>8401</v>
      </c>
      <c r="E214" s="61" t="s">
        <v>8402</v>
      </c>
      <c r="F214" s="61"/>
      <c r="G214" s="61"/>
      <c r="H214" s="61"/>
      <c r="I214" s="61"/>
      <c r="J214" s="1687" t="s">
        <v>8403</v>
      </c>
      <c r="K214" s="63" t="str">
        <f>IF(Q214="Yes","Yes","No")</f>
        <v>No</v>
      </c>
      <c r="L214" s="76"/>
      <c r="M214" s="63">
        <f t="shared" si="55"/>
        <v>0</v>
      </c>
      <c r="N214" s="63" t="s">
        <v>8393</v>
      </c>
      <c r="O214" s="64"/>
      <c r="P214" s="660" t="str">
        <f t="shared" si="56"/>
        <v/>
      </c>
      <c r="Q214" s="52" t="str">
        <f t="shared" si="51"/>
        <v>No</v>
      </c>
      <c r="R214" s="1574" t="str">
        <f t="shared" si="62"/>
        <v/>
      </c>
      <c r="S214" s="52" t="str">
        <f t="shared" si="59"/>
        <v/>
      </c>
      <c r="T214" s="52" t="str">
        <f t="shared" si="60"/>
        <v/>
      </c>
      <c r="U214" s="52" t="str">
        <f t="shared" si="63"/>
        <v/>
      </c>
      <c r="V214" s="52" t="str">
        <f t="shared" si="61"/>
        <v/>
      </c>
      <c r="W214" s="1578"/>
      <c r="X214" s="52" t="str">
        <f t="shared" si="58"/>
        <v/>
      </c>
      <c r="Y214" s="52" t="str">
        <f t="shared" si="48"/>
        <v/>
      </c>
    </row>
    <row r="215" spans="2:27">
      <c r="B215" s="1575"/>
      <c r="C215" s="1795"/>
      <c r="D215" s="920"/>
      <c r="E215" s="61" t="s">
        <v>8404</v>
      </c>
      <c r="F215" s="61"/>
      <c r="G215" s="61"/>
      <c r="H215" s="61"/>
      <c r="I215" s="61"/>
      <c r="J215" s="1687" t="s">
        <v>8405</v>
      </c>
      <c r="K215" s="63" t="str">
        <f>IF(Q215="Yes","Yes","No")</f>
        <v>No</v>
      </c>
      <c r="L215" s="76"/>
      <c r="M215" s="63">
        <f t="shared" si="55"/>
        <v>0</v>
      </c>
      <c r="N215" s="63" t="s">
        <v>8393</v>
      </c>
      <c r="O215" s="64"/>
      <c r="P215" s="660" t="str">
        <f t="shared" si="56"/>
        <v/>
      </c>
      <c r="Q215" s="52" t="str">
        <f t="shared" si="51"/>
        <v>No</v>
      </c>
      <c r="R215" s="1574" t="str">
        <f t="shared" si="62"/>
        <v/>
      </c>
      <c r="S215" s="52" t="str">
        <f t="shared" si="59"/>
        <v/>
      </c>
      <c r="T215" s="52" t="str">
        <f t="shared" si="60"/>
        <v/>
      </c>
      <c r="U215" s="52" t="str">
        <f t="shared" si="63"/>
        <v/>
      </c>
      <c r="V215" s="52" t="str">
        <f t="shared" si="61"/>
        <v/>
      </c>
      <c r="W215" s="1578"/>
      <c r="X215" s="52" t="str">
        <f t="shared" si="58"/>
        <v/>
      </c>
      <c r="Y215" s="52" t="str">
        <f t="shared" si="48"/>
        <v/>
      </c>
    </row>
    <row r="216" spans="2:27">
      <c r="B216" s="1575"/>
      <c r="C216" s="1795"/>
      <c r="D216" s="920"/>
      <c r="E216" s="61" t="s">
        <v>8406</v>
      </c>
      <c r="F216" s="61"/>
      <c r="G216" s="61"/>
      <c r="H216" s="61"/>
      <c r="I216" s="61"/>
      <c r="J216" s="1687" t="s">
        <v>8407</v>
      </c>
      <c r="K216" s="63" t="str">
        <f>IF(Q216="Yes","Yes","No")</f>
        <v>No</v>
      </c>
      <c r="L216" s="76"/>
      <c r="M216" s="63">
        <f t="shared" si="55"/>
        <v>0</v>
      </c>
      <c r="N216" s="63" t="s">
        <v>8393</v>
      </c>
      <c r="O216" s="64"/>
      <c r="P216" s="660" t="str">
        <f t="shared" si="56"/>
        <v/>
      </c>
      <c r="Q216" s="52" t="str">
        <f t="shared" si="51"/>
        <v>No</v>
      </c>
      <c r="R216" s="1574" t="str">
        <f t="shared" si="62"/>
        <v/>
      </c>
      <c r="S216" s="52" t="str">
        <f t="shared" si="59"/>
        <v/>
      </c>
      <c r="T216" s="52" t="str">
        <f t="shared" si="60"/>
        <v/>
      </c>
      <c r="U216" s="52" t="str">
        <f t="shared" si="63"/>
        <v/>
      </c>
      <c r="V216" s="52" t="str">
        <f t="shared" si="61"/>
        <v/>
      </c>
      <c r="W216" s="1578"/>
      <c r="X216" s="52" t="str">
        <f t="shared" si="58"/>
        <v/>
      </c>
      <c r="Y216" s="52" t="str">
        <f t="shared" si="48"/>
        <v/>
      </c>
    </row>
    <row r="217" spans="2:27">
      <c r="B217" s="1575"/>
      <c r="C217" s="1795"/>
      <c r="D217" s="920"/>
      <c r="E217" s="61" t="s">
        <v>8408</v>
      </c>
      <c r="F217" s="61"/>
      <c r="G217" s="61"/>
      <c r="H217" s="61"/>
      <c r="I217" s="61"/>
      <c r="J217" s="1687" t="s">
        <v>8409</v>
      </c>
      <c r="K217" s="63" t="str">
        <f>IF(Q217="Yes","Yes","No")</f>
        <v>No</v>
      </c>
      <c r="L217" s="76"/>
      <c r="M217" s="63">
        <f t="shared" si="55"/>
        <v>0</v>
      </c>
      <c r="N217" s="63" t="s">
        <v>8393</v>
      </c>
      <c r="O217" s="64"/>
      <c r="P217" s="660" t="str">
        <f t="shared" si="56"/>
        <v/>
      </c>
      <c r="Q217" s="52" t="str">
        <f t="shared" si="51"/>
        <v>No</v>
      </c>
      <c r="R217" s="1574" t="str">
        <f t="shared" si="62"/>
        <v/>
      </c>
      <c r="S217" s="52" t="str">
        <f t="shared" si="59"/>
        <v/>
      </c>
      <c r="T217" s="52" t="str">
        <f t="shared" si="60"/>
        <v/>
      </c>
      <c r="U217" s="52" t="str">
        <f t="shared" si="63"/>
        <v/>
      </c>
      <c r="V217" s="52" t="str">
        <f t="shared" si="61"/>
        <v/>
      </c>
      <c r="W217" s="1578"/>
      <c r="X217" s="52" t="str">
        <f t="shared" si="58"/>
        <v/>
      </c>
      <c r="Y217" s="52" t="str">
        <f t="shared" si="48"/>
        <v/>
      </c>
    </row>
    <row r="218" spans="2:27">
      <c r="B218" s="1575"/>
      <c r="C218" s="1795"/>
      <c r="D218" s="920" t="s">
        <v>8410</v>
      </c>
      <c r="E218" s="61" t="s">
        <v>8509</v>
      </c>
      <c r="F218" s="61"/>
      <c r="G218" s="61"/>
      <c r="H218" s="61"/>
      <c r="I218" s="61"/>
      <c r="J218" s="1687" t="s">
        <v>8411</v>
      </c>
      <c r="K218" s="63" t="str">
        <f t="shared" ref="K218:K242" si="64">IF(AND(Q218="Yes",OR(INDEX(SkillTable,MATCH(IF(NOT(ISERROR(FIND("[",E218,1))),"Knowledge ("&amp;MID(E218,FIND("[",E218,1)+1,LEN(E218)-2-FIND("[",E218,1))&amp;")",MID(E218,FIND("(",E218,1)+1,LEN(E218)-1-FIND("(",E218,1))),SkillList,0),4)="Yes",INDEX(SkillTable,MATCH(IF(NOT(ISERROR(FIND("[",E218,1))),"Knowledge ("&amp;MID(E218,FIND("[",E218,1)+1,LEN(E218)-2-FIND("[",E218,1))&amp;")",MID(E218,FIND("(",E218,1)+1,LEN(E218)-1-FIND("(",E218,1))),SkillList,0),5)="Yes")),"Yes","No")</f>
        <v>No</v>
      </c>
      <c r="L218" s="76"/>
      <c r="M218" s="63">
        <f t="shared" si="55"/>
        <v>0</v>
      </c>
      <c r="N218" s="63" t="s">
        <v>8412</v>
      </c>
      <c r="O218" s="64"/>
      <c r="P218" s="660" t="str">
        <f t="shared" si="56"/>
        <v/>
      </c>
      <c r="Q218" s="52" t="str">
        <f t="shared" si="51"/>
        <v>No</v>
      </c>
      <c r="R218" s="1574" t="str">
        <f t="shared" si="62"/>
        <v/>
      </c>
      <c r="S218" s="52" t="str">
        <f t="shared" ref="S218:S281" si="65">IF(R218&lt;&gt;"",R218&amp;";"&amp;S219,S219)</f>
        <v/>
      </c>
      <c r="T218" s="52" t="str">
        <f t="shared" ref="T218:T281" si="66">IF(R218&lt;&gt;"",N218&amp;";"&amp;T219,T219)</f>
        <v/>
      </c>
      <c r="U218" s="52" t="str">
        <f t="shared" si="63"/>
        <v/>
      </c>
      <c r="V218" s="52" t="str">
        <f t="shared" ref="V218:V281" si="67">IF(U218&lt;&gt;"",U218&amp;";"&amp;V219,V219)</f>
        <v/>
      </c>
      <c r="W218" s="1578"/>
      <c r="X218" s="52" t="str">
        <f t="shared" ref="X218:X281" si="68">IF(U218&lt;&gt;"",IF(W218="Special Actions",U218&amp;IF(X219&lt;&gt;"",", ",""),"")&amp;X219,X219)</f>
        <v/>
      </c>
      <c r="Y218" s="52" t="str">
        <f t="shared" ref="Y218:Y281" si="69">IF(U218&lt;&gt;"",IF(W218="Att Options",U218&amp;IF(Y219&lt;&gt;"",", ",""),"")&amp;Y219,Y219)</f>
        <v/>
      </c>
    </row>
    <row r="219" spans="2:27">
      <c r="B219" s="1575"/>
      <c r="C219" s="1795"/>
      <c r="D219" s="920"/>
      <c r="E219" s="61" t="s">
        <v>8510</v>
      </c>
      <c r="F219" s="61"/>
      <c r="G219" s="61"/>
      <c r="H219" s="61"/>
      <c r="I219" s="61"/>
      <c r="J219" s="1687" t="s">
        <v>8411</v>
      </c>
      <c r="K219" s="63" t="str">
        <f t="shared" si="64"/>
        <v>No</v>
      </c>
      <c r="L219" s="76"/>
      <c r="M219" s="63">
        <f t="shared" ref="M219:M242" si="70">IF(L219&lt;&gt;"",1,0)</f>
        <v>0</v>
      </c>
      <c r="N219" s="63" t="s">
        <v>8412</v>
      </c>
      <c r="O219" s="64"/>
      <c r="P219" s="660" t="str">
        <f t="shared" si="56"/>
        <v/>
      </c>
      <c r="Q219" s="52" t="str">
        <f t="shared" ref="Q219:Q231" si="71">Q193</f>
        <v>No</v>
      </c>
      <c r="R219" s="1574" t="str">
        <f t="shared" si="62"/>
        <v/>
      </c>
      <c r="S219" s="52" t="str">
        <f t="shared" si="65"/>
        <v/>
      </c>
      <c r="T219" s="52" t="str">
        <f t="shared" si="66"/>
        <v/>
      </c>
      <c r="U219" s="52" t="str">
        <f t="shared" si="63"/>
        <v/>
      </c>
      <c r="V219" s="52" t="str">
        <f t="shared" si="67"/>
        <v/>
      </c>
      <c r="W219" s="1578"/>
      <c r="X219" s="52" t="str">
        <f t="shared" si="68"/>
        <v/>
      </c>
      <c r="Y219" s="52" t="str">
        <f t="shared" si="69"/>
        <v/>
      </c>
    </row>
    <row r="220" spans="2:27">
      <c r="B220" s="1575"/>
      <c r="C220" s="1795"/>
      <c r="D220" s="920"/>
      <c r="E220" s="61" t="s">
        <v>8511</v>
      </c>
      <c r="F220" s="61"/>
      <c r="G220" s="61"/>
      <c r="H220" s="61"/>
      <c r="I220" s="61"/>
      <c r="J220" s="1687" t="s">
        <v>8411</v>
      </c>
      <c r="K220" s="63" t="str">
        <f t="shared" si="64"/>
        <v>No</v>
      </c>
      <c r="L220" s="76"/>
      <c r="M220" s="63">
        <f t="shared" si="70"/>
        <v>0</v>
      </c>
      <c r="N220" s="63" t="s">
        <v>8412</v>
      </c>
      <c r="O220" s="64"/>
      <c r="P220" s="660" t="str">
        <f t="shared" si="56"/>
        <v/>
      </c>
      <c r="Q220" s="52" t="str">
        <f t="shared" si="71"/>
        <v>No</v>
      </c>
      <c r="R220" s="1574" t="str">
        <f t="shared" si="62"/>
        <v/>
      </c>
      <c r="S220" s="52" t="str">
        <f t="shared" si="65"/>
        <v/>
      </c>
      <c r="T220" s="52" t="str">
        <f t="shared" si="66"/>
        <v/>
      </c>
      <c r="U220" s="52" t="str">
        <f t="shared" si="63"/>
        <v/>
      </c>
      <c r="V220" s="52" t="str">
        <f t="shared" si="67"/>
        <v/>
      </c>
      <c r="W220" s="1578"/>
      <c r="X220" s="52" t="str">
        <f t="shared" si="68"/>
        <v/>
      </c>
      <c r="Y220" s="52" t="str">
        <f t="shared" si="69"/>
        <v/>
      </c>
    </row>
    <row r="221" spans="2:27">
      <c r="B221" s="1575"/>
      <c r="C221" s="1795"/>
      <c r="D221" s="920"/>
      <c r="E221" s="61" t="s">
        <v>8512</v>
      </c>
      <c r="F221" s="61"/>
      <c r="G221" s="61"/>
      <c r="H221" s="61"/>
      <c r="I221" s="61"/>
      <c r="J221" s="1687" t="s">
        <v>8411</v>
      </c>
      <c r="K221" s="63" t="str">
        <f t="shared" si="64"/>
        <v>No</v>
      </c>
      <c r="L221" s="76"/>
      <c r="M221" s="63">
        <f t="shared" si="70"/>
        <v>0</v>
      </c>
      <c r="N221" s="63" t="s">
        <v>8412</v>
      </c>
      <c r="O221" s="64"/>
      <c r="P221" s="660" t="str">
        <f t="shared" si="56"/>
        <v/>
      </c>
      <c r="Q221" s="52" t="str">
        <f t="shared" si="71"/>
        <v>No</v>
      </c>
      <c r="R221" s="1574" t="str">
        <f t="shared" si="62"/>
        <v/>
      </c>
      <c r="S221" s="52" t="str">
        <f t="shared" si="65"/>
        <v/>
      </c>
      <c r="T221" s="52" t="str">
        <f t="shared" si="66"/>
        <v/>
      </c>
      <c r="U221" s="52" t="str">
        <f t="shared" si="63"/>
        <v/>
      </c>
      <c r="V221" s="52" t="str">
        <f t="shared" si="67"/>
        <v/>
      </c>
      <c r="W221" s="1578"/>
      <c r="X221" s="52" t="str">
        <f t="shared" si="68"/>
        <v/>
      </c>
      <c r="Y221" s="52" t="str">
        <f t="shared" si="69"/>
        <v/>
      </c>
    </row>
    <row r="222" spans="2:27">
      <c r="B222" s="1575"/>
      <c r="C222" s="1795"/>
      <c r="D222" s="920"/>
      <c r="E222" s="61" t="s">
        <v>8513</v>
      </c>
      <c r="F222" s="61"/>
      <c r="G222" s="61"/>
      <c r="H222" s="61"/>
      <c r="I222" s="61"/>
      <c r="J222" s="1687" t="s">
        <v>8411</v>
      </c>
      <c r="K222" s="63" t="str">
        <f t="shared" si="64"/>
        <v>No</v>
      </c>
      <c r="L222" s="76"/>
      <c r="M222" s="63">
        <f t="shared" si="70"/>
        <v>0</v>
      </c>
      <c r="N222" s="63" t="s">
        <v>8412</v>
      </c>
      <c r="O222" s="64"/>
      <c r="P222" s="660" t="str">
        <f t="shared" si="56"/>
        <v/>
      </c>
      <c r="Q222" s="52" t="str">
        <f t="shared" si="71"/>
        <v>No</v>
      </c>
      <c r="R222" s="1574" t="str">
        <f t="shared" si="62"/>
        <v/>
      </c>
      <c r="S222" s="52" t="str">
        <f t="shared" si="65"/>
        <v/>
      </c>
      <c r="T222" s="52" t="str">
        <f t="shared" si="66"/>
        <v/>
      </c>
      <c r="U222" s="52" t="str">
        <f t="shared" si="63"/>
        <v/>
      </c>
      <c r="V222" s="52" t="str">
        <f t="shared" si="67"/>
        <v/>
      </c>
      <c r="W222" s="1578"/>
      <c r="X222" s="52" t="str">
        <f t="shared" si="68"/>
        <v/>
      </c>
      <c r="Y222" s="52" t="str">
        <f t="shared" si="69"/>
        <v/>
      </c>
    </row>
    <row r="223" spans="2:27">
      <c r="B223" s="1575"/>
      <c r="C223" s="1795"/>
      <c r="D223" s="920"/>
      <c r="E223" s="61" t="s">
        <v>8514</v>
      </c>
      <c r="F223" s="61"/>
      <c r="G223" s="61"/>
      <c r="H223" s="61"/>
      <c r="I223" s="61"/>
      <c r="J223" s="1687" t="s">
        <v>8411</v>
      </c>
      <c r="K223" s="63" t="str">
        <f t="shared" si="64"/>
        <v>No</v>
      </c>
      <c r="L223" s="76"/>
      <c r="M223" s="63">
        <f t="shared" si="70"/>
        <v>0</v>
      </c>
      <c r="N223" s="63" t="s">
        <v>8412</v>
      </c>
      <c r="O223" s="64"/>
      <c r="P223" s="660" t="str">
        <f t="shared" si="56"/>
        <v/>
      </c>
      <c r="Q223" s="52" t="str">
        <f t="shared" si="71"/>
        <v>No</v>
      </c>
      <c r="R223" s="1574" t="str">
        <f t="shared" si="62"/>
        <v/>
      </c>
      <c r="S223" s="52" t="str">
        <f t="shared" si="65"/>
        <v/>
      </c>
      <c r="T223" s="52" t="str">
        <f t="shared" si="66"/>
        <v/>
      </c>
      <c r="U223" s="52" t="str">
        <f t="shared" si="63"/>
        <v/>
      </c>
      <c r="V223" s="52" t="str">
        <f t="shared" si="67"/>
        <v/>
      </c>
      <c r="W223" s="1578"/>
      <c r="X223" s="52" t="str">
        <f t="shared" si="68"/>
        <v/>
      </c>
      <c r="Y223" s="52" t="str">
        <f t="shared" si="69"/>
        <v/>
      </c>
    </row>
    <row r="224" spans="2:27">
      <c r="B224" s="1575"/>
      <c r="C224" s="1795"/>
      <c r="D224" s="920"/>
      <c r="E224" s="61" t="s">
        <v>8515</v>
      </c>
      <c r="F224" s="61"/>
      <c r="G224" s="61"/>
      <c r="H224" s="61"/>
      <c r="I224" s="61"/>
      <c r="J224" s="1687" t="s">
        <v>8411</v>
      </c>
      <c r="K224" s="63" t="str">
        <f t="shared" si="64"/>
        <v>No</v>
      </c>
      <c r="L224" s="76"/>
      <c r="M224" s="63">
        <f t="shared" si="70"/>
        <v>0</v>
      </c>
      <c r="N224" s="63" t="s">
        <v>8412</v>
      </c>
      <c r="O224" s="64"/>
      <c r="P224" s="660" t="str">
        <f t="shared" si="56"/>
        <v/>
      </c>
      <c r="Q224" s="52" t="str">
        <f t="shared" si="71"/>
        <v>No</v>
      </c>
      <c r="R224" s="1574" t="str">
        <f t="shared" si="62"/>
        <v/>
      </c>
      <c r="S224" s="52" t="str">
        <f t="shared" si="65"/>
        <v/>
      </c>
      <c r="T224" s="52" t="str">
        <f t="shared" si="66"/>
        <v/>
      </c>
      <c r="U224" s="52" t="str">
        <f t="shared" si="63"/>
        <v/>
      </c>
      <c r="V224" s="52" t="str">
        <f t="shared" si="67"/>
        <v/>
      </c>
      <c r="W224" s="1578"/>
      <c r="X224" s="52" t="str">
        <f t="shared" si="68"/>
        <v/>
      </c>
      <c r="Y224" s="52" t="str">
        <f t="shared" si="69"/>
        <v/>
      </c>
    </row>
    <row r="225" spans="2:25">
      <c r="B225" s="1575"/>
      <c r="C225" s="1795"/>
      <c r="D225" s="920"/>
      <c r="E225" s="61" t="s">
        <v>8527</v>
      </c>
      <c r="F225" s="61"/>
      <c r="G225" s="61"/>
      <c r="H225" s="61"/>
      <c r="I225" s="61"/>
      <c r="J225" s="1687" t="s">
        <v>8411</v>
      </c>
      <c r="K225" s="63" t="str">
        <f t="shared" si="64"/>
        <v>No</v>
      </c>
      <c r="L225" s="76"/>
      <c r="M225" s="63">
        <f t="shared" si="70"/>
        <v>0</v>
      </c>
      <c r="N225" s="63" t="s">
        <v>8412</v>
      </c>
      <c r="O225" s="64"/>
      <c r="P225" s="660" t="str">
        <f t="shared" si="56"/>
        <v/>
      </c>
      <c r="Q225" s="52" t="str">
        <f t="shared" si="71"/>
        <v>No</v>
      </c>
      <c r="R225" s="1574" t="str">
        <f t="shared" si="62"/>
        <v/>
      </c>
      <c r="S225" s="52" t="str">
        <f t="shared" si="65"/>
        <v/>
      </c>
      <c r="T225" s="52" t="str">
        <f t="shared" si="66"/>
        <v/>
      </c>
      <c r="U225" s="52" t="str">
        <f t="shared" si="63"/>
        <v/>
      </c>
      <c r="V225" s="52" t="str">
        <f t="shared" si="67"/>
        <v/>
      </c>
      <c r="W225" s="1578"/>
      <c r="X225" s="52" t="str">
        <f t="shared" si="68"/>
        <v/>
      </c>
      <c r="Y225" s="52" t="str">
        <f t="shared" si="69"/>
        <v/>
      </c>
    </row>
    <row r="226" spans="2:25">
      <c r="B226" s="1575"/>
      <c r="C226" s="1795"/>
      <c r="D226" s="920"/>
      <c r="E226" s="61" t="s">
        <v>8528</v>
      </c>
      <c r="F226" s="61"/>
      <c r="G226" s="61"/>
      <c r="H226" s="61"/>
      <c r="I226" s="61"/>
      <c r="J226" s="1687" t="s">
        <v>8411</v>
      </c>
      <c r="K226" s="63" t="str">
        <f t="shared" si="64"/>
        <v>No</v>
      </c>
      <c r="L226" s="76"/>
      <c r="M226" s="63">
        <f t="shared" si="70"/>
        <v>0</v>
      </c>
      <c r="N226" s="63" t="s">
        <v>8412</v>
      </c>
      <c r="O226" s="64"/>
      <c r="P226" s="660" t="str">
        <f t="shared" si="56"/>
        <v/>
      </c>
      <c r="Q226" s="52" t="str">
        <f t="shared" si="71"/>
        <v>No</v>
      </c>
      <c r="R226" s="1574" t="str">
        <f t="shared" si="62"/>
        <v/>
      </c>
      <c r="S226" s="52" t="str">
        <f t="shared" si="65"/>
        <v/>
      </c>
      <c r="T226" s="52" t="str">
        <f t="shared" si="66"/>
        <v/>
      </c>
      <c r="U226" s="52" t="str">
        <f t="shared" si="63"/>
        <v/>
      </c>
      <c r="V226" s="52" t="str">
        <f t="shared" si="67"/>
        <v/>
      </c>
      <c r="W226" s="1578"/>
      <c r="X226" s="52" t="str">
        <f t="shared" si="68"/>
        <v/>
      </c>
      <c r="Y226" s="52" t="str">
        <f t="shared" si="69"/>
        <v/>
      </c>
    </row>
    <row r="227" spans="2:25">
      <c r="B227" s="1575"/>
      <c r="C227" s="1795"/>
      <c r="D227" s="920"/>
      <c r="E227" s="61" t="s">
        <v>8529</v>
      </c>
      <c r="F227" s="61"/>
      <c r="G227" s="61"/>
      <c r="H227" s="61"/>
      <c r="I227" s="61"/>
      <c r="J227" s="1687" t="s">
        <v>8411</v>
      </c>
      <c r="K227" s="63" t="str">
        <f t="shared" si="64"/>
        <v>No</v>
      </c>
      <c r="L227" s="76"/>
      <c r="M227" s="63">
        <f t="shared" si="70"/>
        <v>0</v>
      </c>
      <c r="N227" s="63" t="s">
        <v>8412</v>
      </c>
      <c r="O227" s="64"/>
      <c r="P227" s="660" t="str">
        <f t="shared" si="56"/>
        <v/>
      </c>
      <c r="Q227" s="52" t="str">
        <f t="shared" si="71"/>
        <v>No</v>
      </c>
      <c r="R227" s="1574" t="str">
        <f t="shared" si="62"/>
        <v/>
      </c>
      <c r="S227" s="52" t="str">
        <f t="shared" si="65"/>
        <v/>
      </c>
      <c r="T227" s="52" t="str">
        <f t="shared" si="66"/>
        <v/>
      </c>
      <c r="U227" s="52" t="str">
        <f t="shared" si="63"/>
        <v/>
      </c>
      <c r="V227" s="52" t="str">
        <f t="shared" si="67"/>
        <v/>
      </c>
      <c r="W227" s="1578"/>
      <c r="X227" s="52" t="str">
        <f t="shared" si="68"/>
        <v/>
      </c>
      <c r="Y227" s="52" t="str">
        <f t="shared" si="69"/>
        <v/>
      </c>
    </row>
    <row r="228" spans="2:25">
      <c r="B228" s="1575"/>
      <c r="C228" s="1795"/>
      <c r="D228" s="920"/>
      <c r="E228" s="61" t="s">
        <v>8530</v>
      </c>
      <c r="F228" s="61"/>
      <c r="G228" s="61"/>
      <c r="H228" s="61"/>
      <c r="I228" s="61"/>
      <c r="J228" s="1687" t="s">
        <v>8411</v>
      </c>
      <c r="K228" s="63" t="str">
        <f t="shared" si="64"/>
        <v>No</v>
      </c>
      <c r="L228" s="76"/>
      <c r="M228" s="63">
        <f t="shared" si="70"/>
        <v>0</v>
      </c>
      <c r="N228" s="63" t="s">
        <v>8412</v>
      </c>
      <c r="O228" s="64"/>
      <c r="P228" s="660" t="str">
        <f t="shared" si="56"/>
        <v/>
      </c>
      <c r="Q228" s="52" t="str">
        <f t="shared" si="71"/>
        <v>No</v>
      </c>
      <c r="R228" s="1574" t="str">
        <f t="shared" si="62"/>
        <v/>
      </c>
      <c r="S228" s="52" t="str">
        <f t="shared" si="65"/>
        <v/>
      </c>
      <c r="T228" s="52" t="str">
        <f t="shared" si="66"/>
        <v/>
      </c>
      <c r="U228" s="52" t="str">
        <f t="shared" si="63"/>
        <v/>
      </c>
      <c r="V228" s="52" t="str">
        <f t="shared" si="67"/>
        <v/>
      </c>
      <c r="W228" s="1578"/>
      <c r="X228" s="52" t="str">
        <f t="shared" si="68"/>
        <v/>
      </c>
      <c r="Y228" s="52" t="str">
        <f t="shared" si="69"/>
        <v/>
      </c>
    </row>
    <row r="229" spans="2:25">
      <c r="B229" s="1575"/>
      <c r="C229" s="1795"/>
      <c r="D229" s="920"/>
      <c r="E229" s="61" t="s">
        <v>8531</v>
      </c>
      <c r="F229" s="61"/>
      <c r="G229" s="61"/>
      <c r="H229" s="61"/>
      <c r="I229" s="61"/>
      <c r="J229" s="1687" t="s">
        <v>8411</v>
      </c>
      <c r="K229" s="63" t="str">
        <f t="shared" si="64"/>
        <v>No</v>
      </c>
      <c r="L229" s="76"/>
      <c r="M229" s="63">
        <f t="shared" si="70"/>
        <v>0</v>
      </c>
      <c r="N229" s="63" t="s">
        <v>8412</v>
      </c>
      <c r="O229" s="64"/>
      <c r="P229" s="660" t="str">
        <f t="shared" si="56"/>
        <v/>
      </c>
      <c r="Q229" s="52" t="str">
        <f t="shared" si="71"/>
        <v>No</v>
      </c>
      <c r="R229" s="1574" t="str">
        <f t="shared" si="62"/>
        <v/>
      </c>
      <c r="S229" s="52" t="str">
        <f t="shared" si="65"/>
        <v/>
      </c>
      <c r="T229" s="52" t="str">
        <f t="shared" si="66"/>
        <v/>
      </c>
      <c r="U229" s="52" t="str">
        <f t="shared" si="63"/>
        <v/>
      </c>
      <c r="V229" s="52" t="str">
        <f t="shared" si="67"/>
        <v/>
      </c>
      <c r="W229" s="1578"/>
      <c r="X229" s="52" t="str">
        <f t="shared" si="68"/>
        <v/>
      </c>
      <c r="Y229" s="52" t="str">
        <f t="shared" si="69"/>
        <v/>
      </c>
    </row>
    <row r="230" spans="2:25">
      <c r="B230" s="1575"/>
      <c r="C230" s="1795"/>
      <c r="D230" s="920"/>
      <c r="E230" s="61" t="s">
        <v>8532</v>
      </c>
      <c r="F230" s="61"/>
      <c r="G230" s="61"/>
      <c r="H230" s="61"/>
      <c r="I230" s="61"/>
      <c r="J230" s="1687" t="s">
        <v>8411</v>
      </c>
      <c r="K230" s="63" t="str">
        <f t="shared" si="64"/>
        <v>No</v>
      </c>
      <c r="L230" s="76"/>
      <c r="M230" s="63">
        <f t="shared" si="70"/>
        <v>0</v>
      </c>
      <c r="N230" s="63" t="s">
        <v>8412</v>
      </c>
      <c r="O230" s="64"/>
      <c r="P230" s="660" t="str">
        <f t="shared" si="56"/>
        <v/>
      </c>
      <c r="Q230" s="52" t="str">
        <f t="shared" si="71"/>
        <v>No</v>
      </c>
      <c r="R230" s="1574" t="str">
        <f t="shared" si="62"/>
        <v/>
      </c>
      <c r="S230" s="52" t="str">
        <f t="shared" si="65"/>
        <v/>
      </c>
      <c r="T230" s="52" t="str">
        <f t="shared" si="66"/>
        <v/>
      </c>
      <c r="U230" s="52" t="str">
        <f t="shared" si="63"/>
        <v/>
      </c>
      <c r="V230" s="52" t="str">
        <f t="shared" si="67"/>
        <v/>
      </c>
      <c r="W230" s="1578"/>
      <c r="X230" s="52" t="str">
        <f t="shared" si="68"/>
        <v/>
      </c>
      <c r="Y230" s="52" t="str">
        <f t="shared" si="69"/>
        <v/>
      </c>
    </row>
    <row r="231" spans="2:25">
      <c r="B231" s="1575"/>
      <c r="C231" s="1795"/>
      <c r="D231" s="920"/>
      <c r="E231" s="61" t="s">
        <v>8533</v>
      </c>
      <c r="F231" s="61"/>
      <c r="G231" s="61"/>
      <c r="H231" s="61"/>
      <c r="I231" s="61"/>
      <c r="J231" s="1687" t="s">
        <v>8411</v>
      </c>
      <c r="K231" s="63" t="str">
        <f t="shared" si="64"/>
        <v>No</v>
      </c>
      <c r="L231" s="76"/>
      <c r="M231" s="63">
        <f t="shared" si="70"/>
        <v>0</v>
      </c>
      <c r="N231" s="63" t="s">
        <v>8412</v>
      </c>
      <c r="O231" s="64"/>
      <c r="P231" s="660" t="str">
        <f t="shared" si="56"/>
        <v/>
      </c>
      <c r="Q231" s="52" t="str">
        <f t="shared" si="71"/>
        <v>No</v>
      </c>
      <c r="R231" s="1574" t="str">
        <f t="shared" si="62"/>
        <v/>
      </c>
      <c r="S231" s="52" t="str">
        <f t="shared" si="65"/>
        <v/>
      </c>
      <c r="T231" s="52" t="str">
        <f t="shared" si="66"/>
        <v/>
      </c>
      <c r="U231" s="52" t="str">
        <f t="shared" si="63"/>
        <v/>
      </c>
      <c r="V231" s="52" t="str">
        <f t="shared" si="67"/>
        <v/>
      </c>
      <c r="W231" s="1578"/>
      <c r="X231" s="52" t="str">
        <f t="shared" si="68"/>
        <v/>
      </c>
      <c r="Y231" s="52" t="str">
        <f t="shared" si="69"/>
        <v/>
      </c>
    </row>
    <row r="232" spans="2:25">
      <c r="B232" s="1575"/>
      <c r="C232" s="1795"/>
      <c r="D232" s="920"/>
      <c r="E232" s="61" t="s">
        <v>8516</v>
      </c>
      <c r="F232" s="61"/>
      <c r="G232" s="61"/>
      <c r="H232" s="61"/>
      <c r="I232" s="61"/>
      <c r="J232" s="1687" t="s">
        <v>8411</v>
      </c>
      <c r="K232" s="63" t="str">
        <f t="shared" si="64"/>
        <v>No</v>
      </c>
      <c r="L232" s="76"/>
      <c r="M232" s="63">
        <f t="shared" si="70"/>
        <v>0</v>
      </c>
      <c r="N232" s="63" t="s">
        <v>8412</v>
      </c>
      <c r="O232" s="64"/>
      <c r="P232" s="660" t="str">
        <f t="shared" si="56"/>
        <v/>
      </c>
      <c r="Q232" s="52" t="str">
        <f t="shared" ref="Q232:Q242" si="72">Q207</f>
        <v>No</v>
      </c>
      <c r="R232" s="1574" t="str">
        <f t="shared" si="62"/>
        <v/>
      </c>
      <c r="S232" s="52" t="str">
        <f t="shared" si="65"/>
        <v/>
      </c>
      <c r="T232" s="52" t="str">
        <f t="shared" si="66"/>
        <v/>
      </c>
      <c r="U232" s="52" t="str">
        <f t="shared" si="63"/>
        <v/>
      </c>
      <c r="V232" s="52" t="str">
        <f t="shared" si="67"/>
        <v/>
      </c>
      <c r="W232" s="1578"/>
      <c r="X232" s="52" t="str">
        <f t="shared" si="68"/>
        <v/>
      </c>
      <c r="Y232" s="52" t="str">
        <f t="shared" si="69"/>
        <v/>
      </c>
    </row>
    <row r="233" spans="2:25">
      <c r="B233" s="1575"/>
      <c r="C233" s="1795"/>
      <c r="D233" s="920"/>
      <c r="E233" s="61" t="s">
        <v>8517</v>
      </c>
      <c r="F233" s="61"/>
      <c r="G233" s="61"/>
      <c r="H233" s="61"/>
      <c r="I233" s="61"/>
      <c r="J233" s="1687" t="s">
        <v>8411</v>
      </c>
      <c r="K233" s="63" t="str">
        <f t="shared" si="64"/>
        <v>No</v>
      </c>
      <c r="L233" s="76"/>
      <c r="M233" s="63">
        <f t="shared" si="70"/>
        <v>0</v>
      </c>
      <c r="N233" s="63" t="s">
        <v>8412</v>
      </c>
      <c r="O233" s="64"/>
      <c r="P233" s="660" t="str">
        <f t="shared" si="56"/>
        <v/>
      </c>
      <c r="Q233" s="52" t="str">
        <f t="shared" si="72"/>
        <v>No</v>
      </c>
      <c r="R233" s="1574" t="str">
        <f t="shared" si="62"/>
        <v/>
      </c>
      <c r="S233" s="52" t="str">
        <f t="shared" si="65"/>
        <v/>
      </c>
      <c r="T233" s="52" t="str">
        <f t="shared" si="66"/>
        <v/>
      </c>
      <c r="U233" s="52" t="str">
        <f t="shared" si="63"/>
        <v/>
      </c>
      <c r="V233" s="52" t="str">
        <f t="shared" si="67"/>
        <v/>
      </c>
      <c r="W233" s="1578"/>
      <c r="X233" s="52" t="str">
        <f t="shared" si="68"/>
        <v/>
      </c>
      <c r="Y233" s="52" t="str">
        <f t="shared" si="69"/>
        <v/>
      </c>
    </row>
    <row r="234" spans="2:25">
      <c r="B234" s="1575"/>
      <c r="C234" s="1795"/>
      <c r="D234" s="920"/>
      <c r="E234" s="61" t="s">
        <v>8518</v>
      </c>
      <c r="F234" s="61"/>
      <c r="G234" s="61"/>
      <c r="H234" s="61"/>
      <c r="I234" s="61"/>
      <c r="J234" s="1687" t="s">
        <v>8411</v>
      </c>
      <c r="K234" s="63" t="str">
        <f t="shared" si="64"/>
        <v>No</v>
      </c>
      <c r="L234" s="76"/>
      <c r="M234" s="63">
        <f t="shared" si="70"/>
        <v>0</v>
      </c>
      <c r="N234" s="63" t="s">
        <v>8412</v>
      </c>
      <c r="O234" s="64"/>
      <c r="P234" s="660" t="str">
        <f t="shared" si="56"/>
        <v/>
      </c>
      <c r="Q234" s="52" t="str">
        <f t="shared" si="72"/>
        <v>No</v>
      </c>
      <c r="R234" s="1574" t="str">
        <f t="shared" si="62"/>
        <v/>
      </c>
      <c r="S234" s="52" t="str">
        <f t="shared" si="65"/>
        <v/>
      </c>
      <c r="T234" s="52" t="str">
        <f t="shared" si="66"/>
        <v/>
      </c>
      <c r="U234" s="52" t="str">
        <f t="shared" si="63"/>
        <v/>
      </c>
      <c r="V234" s="52" t="str">
        <f t="shared" si="67"/>
        <v/>
      </c>
      <c r="W234" s="1578"/>
      <c r="X234" s="52" t="str">
        <f t="shared" si="68"/>
        <v/>
      </c>
      <c r="Y234" s="52" t="str">
        <f t="shared" si="69"/>
        <v/>
      </c>
    </row>
    <row r="235" spans="2:25">
      <c r="B235" s="1575"/>
      <c r="C235" s="1795"/>
      <c r="D235" s="920"/>
      <c r="E235" s="61" t="s">
        <v>8519</v>
      </c>
      <c r="F235" s="61"/>
      <c r="G235" s="61"/>
      <c r="H235" s="61"/>
      <c r="I235" s="61"/>
      <c r="J235" s="1687" t="s">
        <v>8411</v>
      </c>
      <c r="K235" s="63" t="str">
        <f t="shared" si="64"/>
        <v>No</v>
      </c>
      <c r="L235" s="76"/>
      <c r="M235" s="63">
        <f t="shared" si="70"/>
        <v>0</v>
      </c>
      <c r="N235" s="63" t="s">
        <v>8412</v>
      </c>
      <c r="O235" s="64"/>
      <c r="P235" s="660" t="str">
        <f t="shared" si="56"/>
        <v/>
      </c>
      <c r="Q235" s="52" t="str">
        <f t="shared" si="72"/>
        <v>No</v>
      </c>
      <c r="R235" s="1574" t="str">
        <f t="shared" si="62"/>
        <v/>
      </c>
      <c r="S235" s="52" t="str">
        <f t="shared" si="65"/>
        <v/>
      </c>
      <c r="T235" s="52" t="str">
        <f t="shared" si="66"/>
        <v/>
      </c>
      <c r="U235" s="52" t="str">
        <f t="shared" si="63"/>
        <v/>
      </c>
      <c r="V235" s="52" t="str">
        <f t="shared" si="67"/>
        <v/>
      </c>
      <c r="W235" s="1578"/>
      <c r="X235" s="52" t="str">
        <f t="shared" si="68"/>
        <v/>
      </c>
      <c r="Y235" s="52" t="str">
        <f t="shared" si="69"/>
        <v/>
      </c>
    </row>
    <row r="236" spans="2:25">
      <c r="B236" s="1575"/>
      <c r="C236" s="1795"/>
      <c r="D236" s="920"/>
      <c r="E236" s="61" t="s">
        <v>8520</v>
      </c>
      <c r="F236" s="61"/>
      <c r="G236" s="61"/>
      <c r="H236" s="61"/>
      <c r="I236" s="61"/>
      <c r="J236" s="1687" t="s">
        <v>8411</v>
      </c>
      <c r="K236" s="63" t="str">
        <f t="shared" si="64"/>
        <v>No</v>
      </c>
      <c r="L236" s="76"/>
      <c r="M236" s="63">
        <f t="shared" si="70"/>
        <v>0</v>
      </c>
      <c r="N236" s="63" t="s">
        <v>8412</v>
      </c>
      <c r="O236" s="64"/>
      <c r="P236" s="660" t="str">
        <f t="shared" si="56"/>
        <v/>
      </c>
      <c r="Q236" s="52" t="str">
        <f t="shared" si="72"/>
        <v>No</v>
      </c>
      <c r="R236" s="1574" t="str">
        <f t="shared" si="62"/>
        <v/>
      </c>
      <c r="S236" s="52" t="str">
        <f t="shared" si="65"/>
        <v/>
      </c>
      <c r="T236" s="52" t="str">
        <f t="shared" si="66"/>
        <v/>
      </c>
      <c r="U236" s="52" t="str">
        <f t="shared" si="63"/>
        <v/>
      </c>
      <c r="V236" s="52" t="str">
        <f t="shared" si="67"/>
        <v/>
      </c>
      <c r="W236" s="1578"/>
      <c r="X236" s="52" t="str">
        <f t="shared" si="68"/>
        <v/>
      </c>
      <c r="Y236" s="52" t="str">
        <f t="shared" si="69"/>
        <v/>
      </c>
    </row>
    <row r="237" spans="2:25">
      <c r="B237" s="1575"/>
      <c r="C237" s="1795"/>
      <c r="D237" s="920"/>
      <c r="E237" s="61" t="s">
        <v>8521</v>
      </c>
      <c r="F237" s="61"/>
      <c r="G237" s="61"/>
      <c r="H237" s="61"/>
      <c r="I237" s="61"/>
      <c r="J237" s="1687" t="s">
        <v>8411</v>
      </c>
      <c r="K237" s="63" t="str">
        <f t="shared" si="64"/>
        <v>No</v>
      </c>
      <c r="L237" s="76"/>
      <c r="M237" s="63">
        <f t="shared" si="70"/>
        <v>0</v>
      </c>
      <c r="N237" s="63" t="s">
        <v>8412</v>
      </c>
      <c r="O237" s="64"/>
      <c r="P237" s="660" t="str">
        <f t="shared" si="56"/>
        <v/>
      </c>
      <c r="Q237" s="52" t="str">
        <f t="shared" si="72"/>
        <v>No</v>
      </c>
      <c r="R237" s="1574" t="str">
        <f t="shared" si="62"/>
        <v/>
      </c>
      <c r="S237" s="52" t="str">
        <f t="shared" si="65"/>
        <v/>
      </c>
      <c r="T237" s="52" t="str">
        <f t="shared" si="66"/>
        <v/>
      </c>
      <c r="U237" s="52" t="str">
        <f t="shared" si="63"/>
        <v/>
      </c>
      <c r="V237" s="52" t="str">
        <f t="shared" si="67"/>
        <v/>
      </c>
      <c r="W237" s="1578"/>
      <c r="X237" s="52" t="str">
        <f t="shared" si="68"/>
        <v/>
      </c>
      <c r="Y237" s="52" t="str">
        <f t="shared" si="69"/>
        <v/>
      </c>
    </row>
    <row r="238" spans="2:25">
      <c r="B238" s="1575"/>
      <c r="C238" s="1795"/>
      <c r="D238" s="920"/>
      <c r="E238" s="61" t="s">
        <v>8522</v>
      </c>
      <c r="F238" s="61"/>
      <c r="G238" s="61"/>
      <c r="H238" s="61"/>
      <c r="I238" s="61"/>
      <c r="J238" s="1687" t="s">
        <v>8411</v>
      </c>
      <c r="K238" s="63" t="str">
        <f t="shared" si="64"/>
        <v>No</v>
      </c>
      <c r="L238" s="76"/>
      <c r="M238" s="63">
        <f t="shared" si="70"/>
        <v>0</v>
      </c>
      <c r="N238" s="63" t="s">
        <v>8412</v>
      </c>
      <c r="O238" s="64"/>
      <c r="P238" s="660" t="str">
        <f t="shared" si="56"/>
        <v/>
      </c>
      <c r="Q238" s="52" t="str">
        <f t="shared" si="72"/>
        <v>No</v>
      </c>
      <c r="R238" s="1574" t="str">
        <f t="shared" si="62"/>
        <v/>
      </c>
      <c r="S238" s="52" t="str">
        <f t="shared" si="65"/>
        <v/>
      </c>
      <c r="T238" s="52" t="str">
        <f t="shared" si="66"/>
        <v/>
      </c>
      <c r="U238" s="52" t="str">
        <f t="shared" si="63"/>
        <v/>
      </c>
      <c r="V238" s="52" t="str">
        <f t="shared" si="67"/>
        <v/>
      </c>
      <c r="W238" s="1578"/>
      <c r="X238" s="52" t="str">
        <f t="shared" si="68"/>
        <v/>
      </c>
      <c r="Y238" s="52" t="str">
        <f t="shared" si="69"/>
        <v/>
      </c>
    </row>
    <row r="239" spans="2:25">
      <c r="B239" s="1575"/>
      <c r="C239" s="1795"/>
      <c r="D239" s="920"/>
      <c r="E239" s="61" t="s">
        <v>8523</v>
      </c>
      <c r="F239" s="61"/>
      <c r="G239" s="61"/>
      <c r="H239" s="61"/>
      <c r="I239" s="61"/>
      <c r="J239" s="1687" t="s">
        <v>8411</v>
      </c>
      <c r="K239" s="63" t="str">
        <f t="shared" si="64"/>
        <v>No</v>
      </c>
      <c r="L239" s="76"/>
      <c r="M239" s="63">
        <f t="shared" si="70"/>
        <v>0</v>
      </c>
      <c r="N239" s="63" t="s">
        <v>8412</v>
      </c>
      <c r="O239" s="64"/>
      <c r="P239" s="660" t="str">
        <f t="shared" si="56"/>
        <v/>
      </c>
      <c r="Q239" s="52" t="str">
        <f t="shared" si="72"/>
        <v>No</v>
      </c>
      <c r="R239" s="1574" t="str">
        <f t="shared" si="62"/>
        <v/>
      </c>
      <c r="S239" s="52" t="str">
        <f t="shared" si="65"/>
        <v/>
      </c>
      <c r="T239" s="52" t="str">
        <f t="shared" si="66"/>
        <v/>
      </c>
      <c r="U239" s="52" t="str">
        <f t="shared" si="63"/>
        <v/>
      </c>
      <c r="V239" s="52" t="str">
        <f t="shared" si="67"/>
        <v/>
      </c>
      <c r="W239" s="1578"/>
      <c r="X239" s="52" t="str">
        <f t="shared" si="68"/>
        <v/>
      </c>
      <c r="Y239" s="52" t="str">
        <f t="shared" si="69"/>
        <v/>
      </c>
    </row>
    <row r="240" spans="2:25">
      <c r="B240" s="1575"/>
      <c r="C240" s="1795"/>
      <c r="D240" s="920"/>
      <c r="E240" s="61" t="s">
        <v>8524</v>
      </c>
      <c r="F240" s="61"/>
      <c r="G240" s="61"/>
      <c r="H240" s="61"/>
      <c r="I240" s="61"/>
      <c r="J240" s="1687" t="s">
        <v>8411</v>
      </c>
      <c r="K240" s="63" t="str">
        <f t="shared" si="64"/>
        <v>No</v>
      </c>
      <c r="L240" s="76"/>
      <c r="M240" s="63">
        <f t="shared" si="70"/>
        <v>0</v>
      </c>
      <c r="N240" s="63" t="s">
        <v>8412</v>
      </c>
      <c r="O240" s="64"/>
      <c r="P240" s="660" t="str">
        <f t="shared" si="56"/>
        <v/>
      </c>
      <c r="Q240" s="52" t="str">
        <f t="shared" si="72"/>
        <v>No</v>
      </c>
      <c r="R240" s="1574" t="str">
        <f t="shared" si="62"/>
        <v/>
      </c>
      <c r="S240" s="52" t="str">
        <f t="shared" si="65"/>
        <v/>
      </c>
      <c r="T240" s="52" t="str">
        <f t="shared" si="66"/>
        <v/>
      </c>
      <c r="U240" s="52" t="str">
        <f t="shared" si="63"/>
        <v/>
      </c>
      <c r="V240" s="52" t="str">
        <f t="shared" si="67"/>
        <v/>
      </c>
      <c r="W240" s="1578"/>
      <c r="X240" s="52" t="str">
        <f t="shared" si="68"/>
        <v/>
      </c>
      <c r="Y240" s="52" t="str">
        <f t="shared" si="69"/>
        <v/>
      </c>
    </row>
    <row r="241" spans="2:25">
      <c r="B241" s="1575"/>
      <c r="C241" s="1795"/>
      <c r="D241" s="920"/>
      <c r="E241" s="61" t="s">
        <v>8525</v>
      </c>
      <c r="F241" s="61"/>
      <c r="G241" s="61"/>
      <c r="H241" s="61"/>
      <c r="I241" s="61"/>
      <c r="J241" s="1687" t="s">
        <v>8411</v>
      </c>
      <c r="K241" s="63" t="str">
        <f t="shared" si="64"/>
        <v>No</v>
      </c>
      <c r="L241" s="76"/>
      <c r="M241" s="63">
        <f t="shared" si="70"/>
        <v>0</v>
      </c>
      <c r="N241" s="63" t="s">
        <v>8412</v>
      </c>
      <c r="O241" s="64"/>
      <c r="P241" s="660" t="str">
        <f t="shared" si="56"/>
        <v/>
      </c>
      <c r="Q241" s="52" t="str">
        <f t="shared" si="72"/>
        <v>No</v>
      </c>
      <c r="R241" s="1574" t="str">
        <f t="shared" si="62"/>
        <v/>
      </c>
      <c r="S241" s="52" t="str">
        <f t="shared" si="65"/>
        <v/>
      </c>
      <c r="T241" s="52" t="str">
        <f t="shared" si="66"/>
        <v/>
      </c>
      <c r="U241" s="52" t="str">
        <f t="shared" si="63"/>
        <v/>
      </c>
      <c r="V241" s="52" t="str">
        <f t="shared" si="67"/>
        <v/>
      </c>
      <c r="W241" s="1578"/>
      <c r="X241" s="52" t="str">
        <f t="shared" si="68"/>
        <v/>
      </c>
      <c r="Y241" s="52" t="str">
        <f t="shared" si="69"/>
        <v/>
      </c>
    </row>
    <row r="242" spans="2:25">
      <c r="B242" s="1575"/>
      <c r="C242" s="1795"/>
      <c r="D242" s="920"/>
      <c r="E242" s="61" t="s">
        <v>8526</v>
      </c>
      <c r="F242" s="61"/>
      <c r="G242" s="61"/>
      <c r="H242" s="61"/>
      <c r="I242" s="61"/>
      <c r="J242" s="1687" t="s">
        <v>8411</v>
      </c>
      <c r="K242" s="63" t="str">
        <f t="shared" si="64"/>
        <v>No</v>
      </c>
      <c r="L242" s="76"/>
      <c r="M242" s="63">
        <f t="shared" si="70"/>
        <v>0</v>
      </c>
      <c r="N242" s="63" t="s">
        <v>8412</v>
      </c>
      <c r="O242" s="64"/>
      <c r="P242" s="660" t="str">
        <f t="shared" si="56"/>
        <v/>
      </c>
      <c r="Q242" s="52" t="str">
        <f t="shared" si="72"/>
        <v>No</v>
      </c>
      <c r="R242" s="1574" t="str">
        <f t="shared" si="62"/>
        <v/>
      </c>
      <c r="S242" s="52" t="str">
        <f t="shared" si="65"/>
        <v/>
      </c>
      <c r="T242" s="52" t="str">
        <f t="shared" si="66"/>
        <v/>
      </c>
      <c r="U242" s="52" t="str">
        <f t="shared" si="63"/>
        <v/>
      </c>
      <c r="V242" s="52" t="str">
        <f t="shared" si="67"/>
        <v/>
      </c>
      <c r="W242" s="1578"/>
      <c r="X242" s="52" t="str">
        <f t="shared" si="68"/>
        <v/>
      </c>
      <c r="Y242" s="52" t="str">
        <f t="shared" si="69"/>
        <v/>
      </c>
    </row>
    <row r="243" spans="2:25">
      <c r="B243" s="1575"/>
      <c r="C243" s="1795"/>
      <c r="D243" s="920"/>
      <c r="E243" s="61" t="s">
        <v>8413</v>
      </c>
      <c r="F243" s="61"/>
      <c r="G243" s="61"/>
      <c r="H243" s="61"/>
      <c r="I243" s="61"/>
      <c r="J243" s="1687" t="s">
        <v>8414</v>
      </c>
      <c r="K243" s="63" t="str">
        <f>IF(Q243="Yes","Yes","No")</f>
        <v>No</v>
      </c>
      <c r="L243" s="76"/>
      <c r="M243" s="63">
        <f>IF(L243&lt;&gt;"",1,0)</f>
        <v>0</v>
      </c>
      <c r="N243" s="63" t="s">
        <v>8412</v>
      </c>
      <c r="O243" s="64"/>
      <c r="P243" s="660" t="str">
        <f t="shared" si="56"/>
        <v/>
      </c>
      <c r="Q243" s="52" t="str">
        <f>Q218</f>
        <v>No</v>
      </c>
      <c r="R243" s="1574" t="str">
        <f t="shared" si="62"/>
        <v/>
      </c>
      <c r="S243" s="52" t="str">
        <f t="shared" si="65"/>
        <v/>
      </c>
      <c r="T243" s="52" t="str">
        <f t="shared" si="66"/>
        <v/>
      </c>
      <c r="U243" s="52" t="str">
        <f t="shared" si="63"/>
        <v/>
      </c>
      <c r="V243" s="52" t="str">
        <f t="shared" si="67"/>
        <v/>
      </c>
      <c r="W243" s="1578"/>
      <c r="X243" s="52" t="str">
        <f t="shared" si="68"/>
        <v/>
      </c>
      <c r="Y243" s="52" t="str">
        <f t="shared" si="69"/>
        <v/>
      </c>
    </row>
    <row r="244" spans="2:25">
      <c r="B244" s="1575"/>
      <c r="C244" s="1795"/>
      <c r="D244" s="920"/>
      <c r="E244" s="61"/>
      <c r="F244" s="61" t="s">
        <v>8534</v>
      </c>
      <c r="G244" s="61"/>
      <c r="H244" s="61"/>
      <c r="I244" s="61"/>
      <c r="J244" s="1687" t="s">
        <v>8419</v>
      </c>
      <c r="K244" s="63" t="str">
        <f t="shared" ref="K244:K268" si="73">IF(AND(Q244="Yes",$L$243&lt;&gt;"",OR(INDEX(SkillTable,MATCH(IF(NOT(ISERROR(FIND("[",F244,1))),"Knowledge ("&amp;MID(F244,FIND("[",F244,1)+1,LEN(F244)-2-FIND("[",F244,1))&amp;")",MID(F244,FIND("(",F244,1)+1,LEN(F244)-1-FIND("(",F244,1))),SkillList,0),4)="Yes",INDEX(SkillTable,MATCH(IF(NOT(ISERROR(FIND("[",F244,1))),"Knowledge ("&amp;MID(F244,FIND("[",F244,1)+1,LEN(F244)-2-FIND("[",F244,1))&amp;")",MID(F244,FIND("(",F244,1)+1,LEN(F244)-1-FIND("(",F244,1))),SkillList,0),5)="Yes")),"Yes","No")</f>
        <v>No</v>
      </c>
      <c r="L244" s="76"/>
      <c r="M244" s="63">
        <f>IF(L244&lt;&gt;"",1,0)</f>
        <v>0</v>
      </c>
      <c r="N244" s="63" t="s">
        <v>8412</v>
      </c>
      <c r="O244" s="64"/>
      <c r="P244" s="660" t="str">
        <f t="shared" si="56"/>
        <v/>
      </c>
      <c r="Q244" s="52" t="str">
        <f t="shared" si="51"/>
        <v>No</v>
      </c>
      <c r="R244" s="1574" t="str">
        <f t="shared" si="62"/>
        <v/>
      </c>
      <c r="S244" s="52" t="str">
        <f t="shared" si="65"/>
        <v/>
      </c>
      <c r="T244" s="52" t="str">
        <f t="shared" si="66"/>
        <v/>
      </c>
      <c r="U244" s="52" t="str">
        <f t="shared" si="63"/>
        <v/>
      </c>
      <c r="V244" s="52" t="str">
        <f t="shared" si="67"/>
        <v/>
      </c>
      <c r="W244" s="1578"/>
      <c r="X244" s="52" t="str">
        <f t="shared" si="68"/>
        <v/>
      </c>
      <c r="Y244" s="52" t="str">
        <f t="shared" si="69"/>
        <v/>
      </c>
    </row>
    <row r="245" spans="2:25">
      <c r="B245" s="1575"/>
      <c r="C245" s="1795"/>
      <c r="D245" s="920"/>
      <c r="E245" s="61"/>
      <c r="F245" s="61" t="s">
        <v>8535</v>
      </c>
      <c r="G245" s="61"/>
      <c r="H245" s="61"/>
      <c r="I245" s="61"/>
      <c r="J245" s="1687" t="s">
        <v>8419</v>
      </c>
      <c r="K245" s="63" t="str">
        <f t="shared" si="73"/>
        <v>No</v>
      </c>
      <c r="L245" s="76"/>
      <c r="M245" s="63">
        <f t="shared" ref="M245:M268" si="74">IF(L245&lt;&gt;"",1,0)</f>
        <v>0</v>
      </c>
      <c r="N245" s="63" t="s">
        <v>8412</v>
      </c>
      <c r="O245" s="64"/>
      <c r="P245" s="660" t="str">
        <f t="shared" si="56"/>
        <v/>
      </c>
      <c r="Q245" s="52" t="str">
        <f t="shared" si="51"/>
        <v>No</v>
      </c>
      <c r="R245" s="1574" t="str">
        <f t="shared" si="62"/>
        <v/>
      </c>
      <c r="S245" s="52" t="str">
        <f t="shared" si="65"/>
        <v/>
      </c>
      <c r="T245" s="52" t="str">
        <f t="shared" si="66"/>
        <v/>
      </c>
      <c r="U245" s="52" t="str">
        <f t="shared" si="63"/>
        <v/>
      </c>
      <c r="V245" s="52" t="str">
        <f t="shared" si="67"/>
        <v/>
      </c>
      <c r="W245" s="1578"/>
      <c r="X245" s="52" t="str">
        <f t="shared" si="68"/>
        <v/>
      </c>
      <c r="Y245" s="52" t="str">
        <f t="shared" si="69"/>
        <v/>
      </c>
    </row>
    <row r="246" spans="2:25">
      <c r="B246" s="1575"/>
      <c r="C246" s="1795"/>
      <c r="D246" s="920"/>
      <c r="E246" s="61"/>
      <c r="F246" s="61" t="s">
        <v>8536</v>
      </c>
      <c r="G246" s="61"/>
      <c r="H246" s="61"/>
      <c r="I246" s="61"/>
      <c r="J246" s="1687" t="s">
        <v>8419</v>
      </c>
      <c r="K246" s="63" t="str">
        <f t="shared" si="73"/>
        <v>No</v>
      </c>
      <c r="L246" s="76"/>
      <c r="M246" s="63">
        <f t="shared" si="74"/>
        <v>0</v>
      </c>
      <c r="N246" s="63" t="s">
        <v>8412</v>
      </c>
      <c r="O246" s="64"/>
      <c r="P246" s="660" t="str">
        <f t="shared" si="56"/>
        <v/>
      </c>
      <c r="Q246" s="52" t="str">
        <f t="shared" si="51"/>
        <v>No</v>
      </c>
      <c r="R246" s="1574" t="str">
        <f t="shared" si="62"/>
        <v/>
      </c>
      <c r="S246" s="52" t="str">
        <f t="shared" si="65"/>
        <v/>
      </c>
      <c r="T246" s="52" t="str">
        <f t="shared" si="66"/>
        <v/>
      </c>
      <c r="U246" s="52" t="str">
        <f t="shared" si="63"/>
        <v/>
      </c>
      <c r="V246" s="52" t="str">
        <f t="shared" si="67"/>
        <v/>
      </c>
      <c r="W246" s="1578"/>
      <c r="X246" s="52" t="str">
        <f t="shared" si="68"/>
        <v/>
      </c>
      <c r="Y246" s="52" t="str">
        <f t="shared" si="69"/>
        <v/>
      </c>
    </row>
    <row r="247" spans="2:25">
      <c r="B247" s="1575"/>
      <c r="C247" s="1795"/>
      <c r="D247" s="920"/>
      <c r="E247" s="61"/>
      <c r="F247" s="61" t="s">
        <v>8537</v>
      </c>
      <c r="G247" s="61"/>
      <c r="H247" s="61"/>
      <c r="I247" s="61"/>
      <c r="J247" s="1687" t="s">
        <v>8419</v>
      </c>
      <c r="K247" s="63" t="str">
        <f t="shared" si="73"/>
        <v>No</v>
      </c>
      <c r="L247" s="76"/>
      <c r="M247" s="63">
        <f t="shared" si="74"/>
        <v>0</v>
      </c>
      <c r="N247" s="63" t="s">
        <v>8412</v>
      </c>
      <c r="O247" s="64"/>
      <c r="P247" s="660" t="str">
        <f t="shared" si="56"/>
        <v/>
      </c>
      <c r="Q247" s="52" t="str">
        <f t="shared" si="51"/>
        <v>No</v>
      </c>
      <c r="R247" s="1574" t="str">
        <f t="shared" si="62"/>
        <v/>
      </c>
      <c r="S247" s="52" t="str">
        <f t="shared" si="65"/>
        <v/>
      </c>
      <c r="T247" s="52" t="str">
        <f t="shared" si="66"/>
        <v/>
      </c>
      <c r="U247" s="52" t="str">
        <f t="shared" si="63"/>
        <v/>
      </c>
      <c r="V247" s="52" t="str">
        <f t="shared" si="67"/>
        <v/>
      </c>
      <c r="W247" s="1578"/>
      <c r="X247" s="52" t="str">
        <f t="shared" si="68"/>
        <v/>
      </c>
      <c r="Y247" s="52" t="str">
        <f t="shared" si="69"/>
        <v/>
      </c>
    </row>
    <row r="248" spans="2:25">
      <c r="B248" s="1575"/>
      <c r="C248" s="1795"/>
      <c r="D248" s="920"/>
      <c r="E248" s="61"/>
      <c r="F248" s="61" t="s">
        <v>8538</v>
      </c>
      <c r="G248" s="61"/>
      <c r="H248" s="61"/>
      <c r="I248" s="61"/>
      <c r="J248" s="1687" t="s">
        <v>8419</v>
      </c>
      <c r="K248" s="63" t="str">
        <f t="shared" si="73"/>
        <v>No</v>
      </c>
      <c r="L248" s="76"/>
      <c r="M248" s="63">
        <f t="shared" si="74"/>
        <v>0</v>
      </c>
      <c r="N248" s="63" t="s">
        <v>8412</v>
      </c>
      <c r="O248" s="64"/>
      <c r="P248" s="660" t="str">
        <f t="shared" si="56"/>
        <v/>
      </c>
      <c r="Q248" s="52" t="str">
        <f t="shared" si="51"/>
        <v>No</v>
      </c>
      <c r="R248" s="1574" t="str">
        <f t="shared" si="62"/>
        <v/>
      </c>
      <c r="S248" s="52" t="str">
        <f t="shared" si="65"/>
        <v/>
      </c>
      <c r="T248" s="52" t="str">
        <f t="shared" si="66"/>
        <v/>
      </c>
      <c r="U248" s="52" t="str">
        <f t="shared" si="63"/>
        <v/>
      </c>
      <c r="V248" s="52" t="str">
        <f t="shared" si="67"/>
        <v/>
      </c>
      <c r="W248" s="1578"/>
      <c r="X248" s="52" t="str">
        <f t="shared" si="68"/>
        <v/>
      </c>
      <c r="Y248" s="52" t="str">
        <f t="shared" si="69"/>
        <v/>
      </c>
    </row>
    <row r="249" spans="2:25">
      <c r="B249" s="1575"/>
      <c r="C249" s="1795"/>
      <c r="D249" s="920"/>
      <c r="E249" s="61"/>
      <c r="F249" s="61" t="s">
        <v>8539</v>
      </c>
      <c r="G249" s="61"/>
      <c r="H249" s="61"/>
      <c r="I249" s="61"/>
      <c r="J249" s="1687" t="s">
        <v>8419</v>
      </c>
      <c r="K249" s="63" t="str">
        <f t="shared" si="73"/>
        <v>No</v>
      </c>
      <c r="L249" s="76"/>
      <c r="M249" s="63">
        <f t="shared" si="74"/>
        <v>0</v>
      </c>
      <c r="N249" s="63" t="s">
        <v>8412</v>
      </c>
      <c r="O249" s="64"/>
      <c r="P249" s="660" t="str">
        <f t="shared" si="56"/>
        <v/>
      </c>
      <c r="Q249" s="52" t="str">
        <f t="shared" si="51"/>
        <v>No</v>
      </c>
      <c r="R249" s="1574" t="str">
        <f t="shared" si="62"/>
        <v/>
      </c>
      <c r="S249" s="52" t="str">
        <f t="shared" si="65"/>
        <v/>
      </c>
      <c r="T249" s="52" t="str">
        <f t="shared" si="66"/>
        <v/>
      </c>
      <c r="U249" s="52" t="str">
        <f t="shared" si="63"/>
        <v/>
      </c>
      <c r="V249" s="52" t="str">
        <f t="shared" si="67"/>
        <v/>
      </c>
      <c r="W249" s="1578"/>
      <c r="X249" s="52" t="str">
        <f t="shared" si="68"/>
        <v/>
      </c>
      <c r="Y249" s="52" t="str">
        <f t="shared" si="69"/>
        <v/>
      </c>
    </row>
    <row r="250" spans="2:25">
      <c r="B250" s="1575"/>
      <c r="C250" s="1795"/>
      <c r="D250" s="920"/>
      <c r="E250" s="61"/>
      <c r="F250" s="61" t="s">
        <v>8540</v>
      </c>
      <c r="G250" s="61"/>
      <c r="H250" s="61"/>
      <c r="I250" s="61"/>
      <c r="J250" s="1687" t="s">
        <v>8419</v>
      </c>
      <c r="K250" s="63" t="str">
        <f t="shared" si="73"/>
        <v>No</v>
      </c>
      <c r="L250" s="76"/>
      <c r="M250" s="63">
        <f t="shared" si="74"/>
        <v>0</v>
      </c>
      <c r="N250" s="63" t="s">
        <v>8412</v>
      </c>
      <c r="O250" s="64"/>
      <c r="P250" s="660" t="str">
        <f t="shared" si="56"/>
        <v/>
      </c>
      <c r="Q250" s="52" t="str">
        <f t="shared" si="51"/>
        <v>No</v>
      </c>
      <c r="R250" s="1574" t="str">
        <f t="shared" si="62"/>
        <v/>
      </c>
      <c r="S250" s="52" t="str">
        <f t="shared" si="65"/>
        <v/>
      </c>
      <c r="T250" s="52" t="str">
        <f t="shared" si="66"/>
        <v/>
      </c>
      <c r="U250" s="52" t="str">
        <f t="shared" si="63"/>
        <v/>
      </c>
      <c r="V250" s="52" t="str">
        <f t="shared" si="67"/>
        <v/>
      </c>
      <c r="W250" s="1578"/>
      <c r="X250" s="52" t="str">
        <f t="shared" si="68"/>
        <v/>
      </c>
      <c r="Y250" s="52" t="str">
        <f t="shared" si="69"/>
        <v/>
      </c>
    </row>
    <row r="251" spans="2:25">
      <c r="B251" s="1575"/>
      <c r="C251" s="1795"/>
      <c r="D251" s="920"/>
      <c r="E251" s="61"/>
      <c r="F251" s="61" t="s">
        <v>8541</v>
      </c>
      <c r="G251" s="61"/>
      <c r="H251" s="61"/>
      <c r="I251" s="61"/>
      <c r="J251" s="1687" t="s">
        <v>8419</v>
      </c>
      <c r="K251" s="63" t="str">
        <f t="shared" si="73"/>
        <v>No</v>
      </c>
      <c r="L251" s="76"/>
      <c r="M251" s="63">
        <f t="shared" si="74"/>
        <v>0</v>
      </c>
      <c r="N251" s="63" t="s">
        <v>8412</v>
      </c>
      <c r="O251" s="64"/>
      <c r="P251" s="660" t="str">
        <f t="shared" si="56"/>
        <v/>
      </c>
      <c r="Q251" s="52" t="str">
        <f t="shared" si="51"/>
        <v>No</v>
      </c>
      <c r="R251" s="1574" t="str">
        <f t="shared" si="62"/>
        <v/>
      </c>
      <c r="S251" s="52" t="str">
        <f t="shared" si="65"/>
        <v/>
      </c>
      <c r="T251" s="52" t="str">
        <f t="shared" si="66"/>
        <v/>
      </c>
      <c r="U251" s="52" t="str">
        <f t="shared" si="63"/>
        <v/>
      </c>
      <c r="V251" s="52" t="str">
        <f t="shared" si="67"/>
        <v/>
      </c>
      <c r="W251" s="1578"/>
      <c r="X251" s="52" t="str">
        <f t="shared" si="68"/>
        <v/>
      </c>
      <c r="Y251" s="52" t="str">
        <f t="shared" si="69"/>
        <v/>
      </c>
    </row>
    <row r="252" spans="2:25">
      <c r="B252" s="1575"/>
      <c r="C252" s="1795"/>
      <c r="D252" s="920"/>
      <c r="E252" s="61"/>
      <c r="F252" s="61" t="s">
        <v>8542</v>
      </c>
      <c r="G252" s="61"/>
      <c r="H252" s="61"/>
      <c r="I252" s="61"/>
      <c r="J252" s="1687" t="s">
        <v>8419</v>
      </c>
      <c r="K252" s="63" t="str">
        <f t="shared" si="73"/>
        <v>No</v>
      </c>
      <c r="L252" s="76"/>
      <c r="M252" s="63">
        <f t="shared" si="74"/>
        <v>0</v>
      </c>
      <c r="N252" s="63" t="s">
        <v>8412</v>
      </c>
      <c r="O252" s="64"/>
      <c r="P252" s="660" t="str">
        <f t="shared" si="56"/>
        <v/>
      </c>
      <c r="Q252" s="52" t="str">
        <f t="shared" si="51"/>
        <v>No</v>
      </c>
      <c r="R252" s="1574" t="str">
        <f t="shared" si="62"/>
        <v/>
      </c>
      <c r="S252" s="52" t="str">
        <f t="shared" si="65"/>
        <v/>
      </c>
      <c r="T252" s="52" t="str">
        <f t="shared" si="66"/>
        <v/>
      </c>
      <c r="U252" s="52" t="str">
        <f t="shared" si="63"/>
        <v/>
      </c>
      <c r="V252" s="52" t="str">
        <f t="shared" si="67"/>
        <v/>
      </c>
      <c r="W252" s="1578"/>
      <c r="X252" s="52" t="str">
        <f t="shared" si="68"/>
        <v/>
      </c>
      <c r="Y252" s="52" t="str">
        <f t="shared" si="69"/>
        <v/>
      </c>
    </row>
    <row r="253" spans="2:25">
      <c r="B253" s="1575"/>
      <c r="C253" s="1795"/>
      <c r="D253" s="920"/>
      <c r="E253" s="61"/>
      <c r="F253" s="61" t="s">
        <v>8543</v>
      </c>
      <c r="G253" s="61"/>
      <c r="H253" s="61"/>
      <c r="I253" s="61"/>
      <c r="J253" s="1687" t="s">
        <v>8419</v>
      </c>
      <c r="K253" s="63" t="str">
        <f t="shared" si="73"/>
        <v>No</v>
      </c>
      <c r="L253" s="76"/>
      <c r="M253" s="63">
        <f t="shared" si="74"/>
        <v>0</v>
      </c>
      <c r="N253" s="63" t="s">
        <v>8412</v>
      </c>
      <c r="O253" s="64"/>
      <c r="P253" s="660" t="str">
        <f t="shared" si="56"/>
        <v/>
      </c>
      <c r="Q253" s="52" t="str">
        <f t="shared" si="51"/>
        <v>No</v>
      </c>
      <c r="R253" s="1574" t="str">
        <f t="shared" si="62"/>
        <v/>
      </c>
      <c r="S253" s="52" t="str">
        <f t="shared" si="65"/>
        <v/>
      </c>
      <c r="T253" s="52" t="str">
        <f t="shared" si="66"/>
        <v/>
      </c>
      <c r="U253" s="52" t="str">
        <f t="shared" si="63"/>
        <v/>
      </c>
      <c r="V253" s="52" t="str">
        <f t="shared" si="67"/>
        <v/>
      </c>
      <c r="W253" s="1578"/>
      <c r="X253" s="52" t="str">
        <f t="shared" si="68"/>
        <v/>
      </c>
      <c r="Y253" s="52" t="str">
        <f t="shared" si="69"/>
        <v/>
      </c>
    </row>
    <row r="254" spans="2:25">
      <c r="B254" s="1575"/>
      <c r="C254" s="1795"/>
      <c r="D254" s="920"/>
      <c r="E254" s="61"/>
      <c r="F254" s="61" t="s">
        <v>8544</v>
      </c>
      <c r="G254" s="61"/>
      <c r="H254" s="61"/>
      <c r="I254" s="61"/>
      <c r="J254" s="1687" t="s">
        <v>8419</v>
      </c>
      <c r="K254" s="63" t="str">
        <f t="shared" si="73"/>
        <v>No</v>
      </c>
      <c r="L254" s="76"/>
      <c r="M254" s="63">
        <f t="shared" si="74"/>
        <v>0</v>
      </c>
      <c r="N254" s="63" t="s">
        <v>8412</v>
      </c>
      <c r="O254" s="64"/>
      <c r="P254" s="660" t="str">
        <f t="shared" si="56"/>
        <v/>
      </c>
      <c r="Q254" s="52" t="str">
        <f t="shared" si="51"/>
        <v>No</v>
      </c>
      <c r="R254" s="1574" t="str">
        <f t="shared" si="62"/>
        <v/>
      </c>
      <c r="S254" s="52" t="str">
        <f t="shared" si="65"/>
        <v/>
      </c>
      <c r="T254" s="52" t="str">
        <f t="shared" si="66"/>
        <v/>
      </c>
      <c r="U254" s="52" t="str">
        <f t="shared" si="63"/>
        <v/>
      </c>
      <c r="V254" s="52" t="str">
        <f t="shared" si="67"/>
        <v/>
      </c>
      <c r="W254" s="1578"/>
      <c r="X254" s="52" t="str">
        <f t="shared" si="68"/>
        <v/>
      </c>
      <c r="Y254" s="52" t="str">
        <f t="shared" si="69"/>
        <v/>
      </c>
    </row>
    <row r="255" spans="2:25">
      <c r="B255" s="1575"/>
      <c r="C255" s="1795"/>
      <c r="D255" s="920"/>
      <c r="E255" s="61"/>
      <c r="F255" s="61" t="s">
        <v>8545</v>
      </c>
      <c r="G255" s="61"/>
      <c r="H255" s="61"/>
      <c r="I255" s="61"/>
      <c r="J255" s="1687" t="s">
        <v>8419</v>
      </c>
      <c r="K255" s="63" t="str">
        <f t="shared" si="73"/>
        <v>No</v>
      </c>
      <c r="L255" s="76"/>
      <c r="M255" s="63">
        <f t="shared" si="74"/>
        <v>0</v>
      </c>
      <c r="N255" s="63" t="s">
        <v>8412</v>
      </c>
      <c r="O255" s="64"/>
      <c r="P255" s="660" t="str">
        <f t="shared" si="56"/>
        <v/>
      </c>
      <c r="Q255" s="52" t="str">
        <f t="shared" si="51"/>
        <v>No</v>
      </c>
      <c r="R255" s="1574" t="str">
        <f t="shared" si="62"/>
        <v/>
      </c>
      <c r="S255" s="52" t="str">
        <f t="shared" si="65"/>
        <v/>
      </c>
      <c r="T255" s="52" t="str">
        <f t="shared" si="66"/>
        <v/>
      </c>
      <c r="U255" s="52" t="str">
        <f t="shared" si="63"/>
        <v/>
      </c>
      <c r="V255" s="52" t="str">
        <f t="shared" si="67"/>
        <v/>
      </c>
      <c r="W255" s="1578"/>
      <c r="X255" s="52" t="str">
        <f t="shared" si="68"/>
        <v/>
      </c>
      <c r="Y255" s="52" t="str">
        <f t="shared" si="69"/>
        <v/>
      </c>
    </row>
    <row r="256" spans="2:25">
      <c r="B256" s="1575"/>
      <c r="C256" s="1795"/>
      <c r="D256" s="920"/>
      <c r="E256" s="61"/>
      <c r="F256" s="61" t="s">
        <v>8546</v>
      </c>
      <c r="G256" s="61"/>
      <c r="H256" s="61"/>
      <c r="I256" s="61"/>
      <c r="J256" s="1687" t="s">
        <v>8419</v>
      </c>
      <c r="K256" s="63" t="str">
        <f t="shared" si="73"/>
        <v>No</v>
      </c>
      <c r="L256" s="76"/>
      <c r="M256" s="63">
        <f t="shared" si="74"/>
        <v>0</v>
      </c>
      <c r="N256" s="63" t="s">
        <v>8412</v>
      </c>
      <c r="O256" s="64"/>
      <c r="P256" s="660" t="str">
        <f t="shared" si="56"/>
        <v/>
      </c>
      <c r="Q256" s="52" t="str">
        <f t="shared" si="51"/>
        <v>No</v>
      </c>
      <c r="R256" s="1574" t="str">
        <f t="shared" si="62"/>
        <v/>
      </c>
      <c r="S256" s="52" t="str">
        <f t="shared" si="65"/>
        <v/>
      </c>
      <c r="T256" s="52" t="str">
        <f t="shared" si="66"/>
        <v/>
      </c>
      <c r="U256" s="52" t="str">
        <f t="shared" si="63"/>
        <v/>
      </c>
      <c r="V256" s="52" t="str">
        <f t="shared" si="67"/>
        <v/>
      </c>
      <c r="W256" s="1578"/>
      <c r="X256" s="52" t="str">
        <f t="shared" si="68"/>
        <v/>
      </c>
      <c r="Y256" s="52" t="str">
        <f t="shared" si="69"/>
        <v/>
      </c>
    </row>
    <row r="257" spans="2:25">
      <c r="B257" s="1575"/>
      <c r="C257" s="1795"/>
      <c r="D257" s="920"/>
      <c r="E257" s="61"/>
      <c r="F257" s="61" t="s">
        <v>8547</v>
      </c>
      <c r="G257" s="61"/>
      <c r="H257" s="61"/>
      <c r="I257" s="61"/>
      <c r="J257" s="1687" t="s">
        <v>8419</v>
      </c>
      <c r="K257" s="63" t="str">
        <f t="shared" si="73"/>
        <v>No</v>
      </c>
      <c r="L257" s="76"/>
      <c r="M257" s="63">
        <f t="shared" si="74"/>
        <v>0</v>
      </c>
      <c r="N257" s="63" t="s">
        <v>8412</v>
      </c>
      <c r="O257" s="64"/>
      <c r="P257" s="660" t="str">
        <f t="shared" si="56"/>
        <v/>
      </c>
      <c r="Q257" s="52" t="str">
        <f t="shared" si="51"/>
        <v>No</v>
      </c>
      <c r="R257" s="1574" t="str">
        <f t="shared" si="62"/>
        <v/>
      </c>
      <c r="S257" s="52" t="str">
        <f t="shared" si="65"/>
        <v/>
      </c>
      <c r="T257" s="52" t="str">
        <f t="shared" si="66"/>
        <v/>
      </c>
      <c r="U257" s="52" t="str">
        <f t="shared" si="63"/>
        <v/>
      </c>
      <c r="V257" s="52" t="str">
        <f t="shared" si="67"/>
        <v/>
      </c>
      <c r="W257" s="1578"/>
      <c r="X257" s="52" t="str">
        <f t="shared" si="68"/>
        <v/>
      </c>
      <c r="Y257" s="52" t="str">
        <f t="shared" si="69"/>
        <v/>
      </c>
    </row>
    <row r="258" spans="2:25">
      <c r="B258" s="1575"/>
      <c r="C258" s="1795"/>
      <c r="D258" s="920"/>
      <c r="E258" s="61"/>
      <c r="F258" s="61" t="s">
        <v>8548</v>
      </c>
      <c r="G258" s="61"/>
      <c r="H258" s="61"/>
      <c r="I258" s="61"/>
      <c r="J258" s="1687" t="s">
        <v>8419</v>
      </c>
      <c r="K258" s="63" t="str">
        <f t="shared" si="73"/>
        <v>No</v>
      </c>
      <c r="L258" s="76"/>
      <c r="M258" s="63">
        <f t="shared" si="74"/>
        <v>0</v>
      </c>
      <c r="N258" s="63" t="s">
        <v>8412</v>
      </c>
      <c r="O258" s="64"/>
      <c r="P258" s="660" t="str">
        <f t="shared" si="56"/>
        <v/>
      </c>
      <c r="Q258" s="52" t="str">
        <f t="shared" si="51"/>
        <v>No</v>
      </c>
      <c r="R258" s="1574" t="str">
        <f t="shared" si="62"/>
        <v/>
      </c>
      <c r="S258" s="52" t="str">
        <f t="shared" si="65"/>
        <v/>
      </c>
      <c r="T258" s="52" t="str">
        <f t="shared" si="66"/>
        <v/>
      </c>
      <c r="U258" s="52" t="str">
        <f t="shared" si="63"/>
        <v/>
      </c>
      <c r="V258" s="52" t="str">
        <f t="shared" si="67"/>
        <v/>
      </c>
      <c r="W258" s="1578"/>
      <c r="X258" s="52" t="str">
        <f t="shared" si="68"/>
        <v/>
      </c>
      <c r="Y258" s="52" t="str">
        <f t="shared" si="69"/>
        <v/>
      </c>
    </row>
    <row r="259" spans="2:25">
      <c r="B259" s="1575"/>
      <c r="C259" s="1795"/>
      <c r="D259" s="920"/>
      <c r="E259" s="61"/>
      <c r="F259" s="61" t="s">
        <v>8549</v>
      </c>
      <c r="G259" s="61"/>
      <c r="H259" s="61"/>
      <c r="I259" s="61"/>
      <c r="J259" s="1687" t="s">
        <v>8419</v>
      </c>
      <c r="K259" s="63" t="str">
        <f t="shared" si="73"/>
        <v>No</v>
      </c>
      <c r="L259" s="76"/>
      <c r="M259" s="63">
        <f t="shared" si="74"/>
        <v>0</v>
      </c>
      <c r="N259" s="63" t="s">
        <v>8412</v>
      </c>
      <c r="O259" s="64"/>
      <c r="P259" s="660" t="str">
        <f t="shared" si="56"/>
        <v/>
      </c>
      <c r="Q259" s="52" t="str">
        <f t="shared" si="51"/>
        <v>No</v>
      </c>
      <c r="R259" s="1574" t="str">
        <f t="shared" si="62"/>
        <v/>
      </c>
      <c r="S259" s="52" t="str">
        <f t="shared" si="65"/>
        <v/>
      </c>
      <c r="T259" s="52" t="str">
        <f t="shared" si="66"/>
        <v/>
      </c>
      <c r="U259" s="52" t="str">
        <f t="shared" si="63"/>
        <v/>
      </c>
      <c r="V259" s="52" t="str">
        <f t="shared" si="67"/>
        <v/>
      </c>
      <c r="W259" s="1578"/>
      <c r="X259" s="52" t="str">
        <f t="shared" si="68"/>
        <v/>
      </c>
      <c r="Y259" s="52" t="str">
        <f t="shared" si="69"/>
        <v/>
      </c>
    </row>
    <row r="260" spans="2:25">
      <c r="B260" s="1575"/>
      <c r="C260" s="1795"/>
      <c r="D260" s="920"/>
      <c r="E260" s="61"/>
      <c r="F260" s="61" t="s">
        <v>8550</v>
      </c>
      <c r="G260" s="61"/>
      <c r="H260" s="61"/>
      <c r="I260" s="61"/>
      <c r="J260" s="1687" t="s">
        <v>8419</v>
      </c>
      <c r="K260" s="63" t="str">
        <f t="shared" si="73"/>
        <v>No</v>
      </c>
      <c r="L260" s="76"/>
      <c r="M260" s="63">
        <f t="shared" si="74"/>
        <v>0</v>
      </c>
      <c r="N260" s="63" t="s">
        <v>8412</v>
      </c>
      <c r="O260" s="64"/>
      <c r="P260" s="660" t="str">
        <f t="shared" si="56"/>
        <v/>
      </c>
      <c r="Q260" s="52" t="str">
        <f t="shared" si="51"/>
        <v>No</v>
      </c>
      <c r="R260" s="1574" t="str">
        <f t="shared" si="62"/>
        <v/>
      </c>
      <c r="S260" s="52" t="str">
        <f t="shared" si="65"/>
        <v/>
      </c>
      <c r="T260" s="52" t="str">
        <f t="shared" si="66"/>
        <v/>
      </c>
      <c r="U260" s="52" t="str">
        <f t="shared" si="63"/>
        <v/>
      </c>
      <c r="V260" s="52" t="str">
        <f t="shared" si="67"/>
        <v/>
      </c>
      <c r="W260" s="1578"/>
      <c r="X260" s="52" t="str">
        <f t="shared" si="68"/>
        <v/>
      </c>
      <c r="Y260" s="52" t="str">
        <f t="shared" si="69"/>
        <v/>
      </c>
    </row>
    <row r="261" spans="2:25">
      <c r="B261" s="1575"/>
      <c r="C261" s="1795"/>
      <c r="D261" s="920"/>
      <c r="E261" s="61"/>
      <c r="F261" s="61" t="s">
        <v>8551</v>
      </c>
      <c r="G261" s="61"/>
      <c r="H261" s="61"/>
      <c r="I261" s="61"/>
      <c r="J261" s="1687" t="s">
        <v>8419</v>
      </c>
      <c r="K261" s="63" t="str">
        <f t="shared" si="73"/>
        <v>No</v>
      </c>
      <c r="L261" s="76"/>
      <c r="M261" s="63">
        <f t="shared" si="74"/>
        <v>0</v>
      </c>
      <c r="N261" s="63" t="s">
        <v>8412</v>
      </c>
      <c r="O261" s="64"/>
      <c r="P261" s="660" t="str">
        <f t="shared" si="56"/>
        <v/>
      </c>
      <c r="Q261" s="52" t="str">
        <f t="shared" si="51"/>
        <v>No</v>
      </c>
      <c r="R261" s="1574" t="str">
        <f t="shared" si="62"/>
        <v/>
      </c>
      <c r="S261" s="52" t="str">
        <f t="shared" si="65"/>
        <v/>
      </c>
      <c r="T261" s="52" t="str">
        <f t="shared" si="66"/>
        <v/>
      </c>
      <c r="U261" s="52" t="str">
        <f t="shared" si="63"/>
        <v/>
      </c>
      <c r="V261" s="52" t="str">
        <f t="shared" si="67"/>
        <v/>
      </c>
      <c r="W261" s="1578"/>
      <c r="X261" s="52" t="str">
        <f t="shared" si="68"/>
        <v/>
      </c>
      <c r="Y261" s="52" t="str">
        <f t="shared" si="69"/>
        <v/>
      </c>
    </row>
    <row r="262" spans="2:25">
      <c r="B262" s="1575"/>
      <c r="C262" s="1795"/>
      <c r="D262" s="920"/>
      <c r="E262" s="61"/>
      <c r="F262" s="61" t="s">
        <v>8552</v>
      </c>
      <c r="G262" s="61"/>
      <c r="H262" s="61"/>
      <c r="I262" s="61"/>
      <c r="J262" s="1687" t="s">
        <v>8419</v>
      </c>
      <c r="K262" s="63" t="str">
        <f t="shared" si="73"/>
        <v>No</v>
      </c>
      <c r="L262" s="76"/>
      <c r="M262" s="63">
        <f t="shared" si="74"/>
        <v>0</v>
      </c>
      <c r="N262" s="63" t="s">
        <v>8412</v>
      </c>
      <c r="O262" s="64"/>
      <c r="P262" s="660" t="str">
        <f t="shared" si="56"/>
        <v/>
      </c>
      <c r="Q262" s="52" t="str">
        <f t="shared" si="51"/>
        <v>No</v>
      </c>
      <c r="R262" s="1574" t="str">
        <f t="shared" si="62"/>
        <v/>
      </c>
      <c r="S262" s="52" t="str">
        <f t="shared" si="65"/>
        <v/>
      </c>
      <c r="T262" s="52" t="str">
        <f t="shared" si="66"/>
        <v/>
      </c>
      <c r="U262" s="52" t="str">
        <f t="shared" si="63"/>
        <v/>
      </c>
      <c r="V262" s="52" t="str">
        <f t="shared" si="67"/>
        <v/>
      </c>
      <c r="W262" s="1578"/>
      <c r="X262" s="52" t="str">
        <f t="shared" si="68"/>
        <v/>
      </c>
      <c r="Y262" s="52" t="str">
        <f t="shared" si="69"/>
        <v/>
      </c>
    </row>
    <row r="263" spans="2:25">
      <c r="B263" s="1575"/>
      <c r="C263" s="1795"/>
      <c r="D263" s="920"/>
      <c r="E263" s="61"/>
      <c r="F263" s="61" t="s">
        <v>8553</v>
      </c>
      <c r="G263" s="61"/>
      <c r="H263" s="61"/>
      <c r="I263" s="61"/>
      <c r="J263" s="1687" t="s">
        <v>8419</v>
      </c>
      <c r="K263" s="63" t="str">
        <f t="shared" si="73"/>
        <v>No</v>
      </c>
      <c r="L263" s="76"/>
      <c r="M263" s="63">
        <f t="shared" si="74"/>
        <v>0</v>
      </c>
      <c r="N263" s="63" t="s">
        <v>8412</v>
      </c>
      <c r="O263" s="64"/>
      <c r="P263" s="660" t="str">
        <f t="shared" si="56"/>
        <v/>
      </c>
      <c r="Q263" s="52" t="str">
        <f t="shared" si="51"/>
        <v>No</v>
      </c>
      <c r="R263" s="1574" t="str">
        <f t="shared" si="62"/>
        <v/>
      </c>
      <c r="S263" s="52" t="str">
        <f t="shared" si="65"/>
        <v/>
      </c>
      <c r="T263" s="52" t="str">
        <f t="shared" si="66"/>
        <v/>
      </c>
      <c r="U263" s="52" t="str">
        <f t="shared" si="63"/>
        <v/>
      </c>
      <c r="V263" s="52" t="str">
        <f t="shared" si="67"/>
        <v/>
      </c>
      <c r="W263" s="1578"/>
      <c r="X263" s="52" t="str">
        <f t="shared" si="68"/>
        <v/>
      </c>
      <c r="Y263" s="52" t="str">
        <f t="shared" si="69"/>
        <v/>
      </c>
    </row>
    <row r="264" spans="2:25">
      <c r="B264" s="1575"/>
      <c r="C264" s="1795"/>
      <c r="D264" s="920"/>
      <c r="E264" s="61"/>
      <c r="F264" s="61" t="s">
        <v>8554</v>
      </c>
      <c r="G264" s="61"/>
      <c r="H264" s="61"/>
      <c r="I264" s="61"/>
      <c r="J264" s="1687" t="s">
        <v>8419</v>
      </c>
      <c r="K264" s="63" t="str">
        <f t="shared" si="73"/>
        <v>No</v>
      </c>
      <c r="L264" s="76"/>
      <c r="M264" s="63">
        <f t="shared" si="74"/>
        <v>0</v>
      </c>
      <c r="N264" s="63" t="s">
        <v>8412</v>
      </c>
      <c r="O264" s="64"/>
      <c r="P264" s="660" t="str">
        <f t="shared" si="56"/>
        <v/>
      </c>
      <c r="Q264" s="52" t="str">
        <f t="shared" si="51"/>
        <v>No</v>
      </c>
      <c r="R264" s="1574" t="str">
        <f t="shared" si="62"/>
        <v/>
      </c>
      <c r="S264" s="52" t="str">
        <f t="shared" si="65"/>
        <v/>
      </c>
      <c r="T264" s="52" t="str">
        <f t="shared" si="66"/>
        <v/>
      </c>
      <c r="U264" s="52" t="str">
        <f t="shared" si="63"/>
        <v/>
      </c>
      <c r="V264" s="52" t="str">
        <f t="shared" si="67"/>
        <v/>
      </c>
      <c r="W264" s="1578"/>
      <c r="X264" s="52" t="str">
        <f t="shared" si="68"/>
        <v/>
      </c>
      <c r="Y264" s="52" t="str">
        <f t="shared" si="69"/>
        <v/>
      </c>
    </row>
    <row r="265" spans="2:25">
      <c r="B265" s="1575"/>
      <c r="C265" s="1795"/>
      <c r="D265" s="920"/>
      <c r="E265" s="61"/>
      <c r="F265" s="61" t="s">
        <v>8555</v>
      </c>
      <c r="G265" s="61"/>
      <c r="H265" s="61"/>
      <c r="I265" s="61"/>
      <c r="J265" s="1687" t="s">
        <v>8419</v>
      </c>
      <c r="K265" s="63" t="str">
        <f t="shared" si="73"/>
        <v>No</v>
      </c>
      <c r="L265" s="76"/>
      <c r="M265" s="63">
        <f t="shared" si="74"/>
        <v>0</v>
      </c>
      <c r="N265" s="63" t="s">
        <v>8412</v>
      </c>
      <c r="O265" s="64"/>
      <c r="P265" s="660" t="str">
        <f t="shared" si="56"/>
        <v/>
      </c>
      <c r="Q265" s="52" t="str">
        <f t="shared" si="51"/>
        <v>No</v>
      </c>
      <c r="R265" s="1574" t="str">
        <f t="shared" si="62"/>
        <v/>
      </c>
      <c r="S265" s="52" t="str">
        <f t="shared" si="65"/>
        <v/>
      </c>
      <c r="T265" s="52" t="str">
        <f t="shared" si="66"/>
        <v/>
      </c>
      <c r="U265" s="52" t="str">
        <f t="shared" si="63"/>
        <v/>
      </c>
      <c r="V265" s="52" t="str">
        <f t="shared" si="67"/>
        <v/>
      </c>
      <c r="W265" s="1578"/>
      <c r="X265" s="52" t="str">
        <f t="shared" si="68"/>
        <v/>
      </c>
      <c r="Y265" s="52" t="str">
        <f t="shared" si="69"/>
        <v/>
      </c>
    </row>
    <row r="266" spans="2:25">
      <c r="B266" s="1575"/>
      <c r="C266" s="1795"/>
      <c r="D266" s="920"/>
      <c r="E266" s="61"/>
      <c r="F266" s="61" t="s">
        <v>8556</v>
      </c>
      <c r="G266" s="61"/>
      <c r="H266" s="61"/>
      <c r="I266" s="61"/>
      <c r="J266" s="1687" t="s">
        <v>8419</v>
      </c>
      <c r="K266" s="63" t="str">
        <f t="shared" si="73"/>
        <v>No</v>
      </c>
      <c r="L266" s="76"/>
      <c r="M266" s="63">
        <f t="shared" si="74"/>
        <v>0</v>
      </c>
      <c r="N266" s="63" t="s">
        <v>8412</v>
      </c>
      <c r="O266" s="64"/>
      <c r="P266" s="660" t="str">
        <f t="shared" si="56"/>
        <v/>
      </c>
      <c r="Q266" s="52" t="str">
        <f t="shared" si="51"/>
        <v>No</v>
      </c>
      <c r="R266" s="1574" t="str">
        <f t="shared" si="62"/>
        <v/>
      </c>
      <c r="S266" s="52" t="str">
        <f t="shared" si="65"/>
        <v/>
      </c>
      <c r="T266" s="52" t="str">
        <f t="shared" si="66"/>
        <v/>
      </c>
      <c r="U266" s="52" t="str">
        <f t="shared" si="63"/>
        <v/>
      </c>
      <c r="V266" s="52" t="str">
        <f t="shared" si="67"/>
        <v/>
      </c>
      <c r="W266" s="1578"/>
      <c r="X266" s="52" t="str">
        <f t="shared" si="68"/>
        <v/>
      </c>
      <c r="Y266" s="52" t="str">
        <f t="shared" si="69"/>
        <v/>
      </c>
    </row>
    <row r="267" spans="2:25">
      <c r="B267" s="1575"/>
      <c r="C267" s="1795"/>
      <c r="D267" s="920"/>
      <c r="E267" s="61"/>
      <c r="F267" s="61" t="s">
        <v>8557</v>
      </c>
      <c r="G267" s="61"/>
      <c r="H267" s="61"/>
      <c r="I267" s="61"/>
      <c r="J267" s="1687" t="s">
        <v>8419</v>
      </c>
      <c r="K267" s="63" t="str">
        <f t="shared" si="73"/>
        <v>No</v>
      </c>
      <c r="L267" s="76"/>
      <c r="M267" s="63">
        <f t="shared" si="74"/>
        <v>0</v>
      </c>
      <c r="N267" s="63" t="s">
        <v>8412</v>
      </c>
      <c r="O267" s="64"/>
      <c r="P267" s="660" t="str">
        <f t="shared" si="56"/>
        <v/>
      </c>
      <c r="Q267" s="52" t="str">
        <f t="shared" si="51"/>
        <v>No</v>
      </c>
      <c r="R267" s="1574" t="str">
        <f t="shared" si="62"/>
        <v/>
      </c>
      <c r="S267" s="52" t="str">
        <f t="shared" si="65"/>
        <v/>
      </c>
      <c r="T267" s="52" t="str">
        <f t="shared" si="66"/>
        <v/>
      </c>
      <c r="U267" s="52" t="str">
        <f t="shared" si="63"/>
        <v/>
      </c>
      <c r="V267" s="52" t="str">
        <f t="shared" si="67"/>
        <v/>
      </c>
      <c r="W267" s="1578"/>
      <c r="X267" s="52" t="str">
        <f t="shared" si="68"/>
        <v/>
      </c>
      <c r="Y267" s="52" t="str">
        <f t="shared" si="69"/>
        <v/>
      </c>
    </row>
    <row r="268" spans="2:25">
      <c r="B268" s="1575"/>
      <c r="C268" s="1795"/>
      <c r="D268" s="920"/>
      <c r="E268" s="61"/>
      <c r="F268" s="61" t="s">
        <v>8558</v>
      </c>
      <c r="G268" s="61"/>
      <c r="H268" s="61"/>
      <c r="I268" s="61"/>
      <c r="J268" s="1687" t="s">
        <v>8419</v>
      </c>
      <c r="K268" s="63" t="str">
        <f t="shared" si="73"/>
        <v>No</v>
      </c>
      <c r="L268" s="76"/>
      <c r="M268" s="63">
        <f t="shared" si="74"/>
        <v>0</v>
      </c>
      <c r="N268" s="63" t="s">
        <v>8412</v>
      </c>
      <c r="O268" s="64"/>
      <c r="P268" s="660" t="str">
        <f t="shared" si="56"/>
        <v/>
      </c>
      <c r="Q268" s="52" t="str">
        <f t="shared" si="51"/>
        <v>No</v>
      </c>
      <c r="R268" s="1574" t="str">
        <f t="shared" si="62"/>
        <v/>
      </c>
      <c r="S268" s="52" t="str">
        <f t="shared" si="65"/>
        <v/>
      </c>
      <c r="T268" s="52" t="str">
        <f t="shared" si="66"/>
        <v/>
      </c>
      <c r="U268" s="52" t="str">
        <f t="shared" si="63"/>
        <v/>
      </c>
      <c r="V268" s="52" t="str">
        <f t="shared" si="67"/>
        <v/>
      </c>
      <c r="W268" s="1578"/>
      <c r="X268" s="52" t="str">
        <f t="shared" si="68"/>
        <v/>
      </c>
      <c r="Y268" s="52" t="str">
        <f t="shared" si="69"/>
        <v/>
      </c>
    </row>
    <row r="269" spans="2:25">
      <c r="B269" s="1575"/>
      <c r="C269" s="1795"/>
      <c r="D269" s="920"/>
      <c r="E269" s="61" t="s">
        <v>8559</v>
      </c>
      <c r="F269" s="61"/>
      <c r="G269" s="61"/>
      <c r="H269" s="61"/>
      <c r="I269" s="61"/>
      <c r="J269" s="1687" t="s">
        <v>8415</v>
      </c>
      <c r="K269" s="63" t="str">
        <f t="shared" ref="K269:K293" si="75">IF(AND(Q269="Yes",OR(INDEX(SkillTable,MATCH(IF(NOT(ISERROR(FIND("[",E269,1))),"Knowledge ("&amp;MID(E269,FIND("[",E269,1)+1,LEN(E269)-2-FIND("[",E269,1))&amp;")",MID(E269,FIND("(",E269,1)+1,LEN(E269)-1-FIND("(",E269,1))),SkillList,0),4)="Yes",INDEX(SkillTable,MATCH(IF(NOT(ISERROR(FIND("[",E269,1))),"Knowledge ("&amp;MID(E269,FIND("[",E269,1)+1,LEN(E269)-2-FIND("[",E269,1))&amp;")",MID(E269,FIND("(",E269,1)+1,LEN(E269)-1-FIND("(",E269,1))),SkillList,0),5)="Yes")),"Yes","No")</f>
        <v>No</v>
      </c>
      <c r="L269" s="76"/>
      <c r="M269" s="63">
        <f>IF(L269&lt;&gt;"",1,0)</f>
        <v>0</v>
      </c>
      <c r="N269" s="63" t="s">
        <v>8412</v>
      </c>
      <c r="O269" s="64"/>
      <c r="P269" s="660" t="str">
        <f t="shared" si="56"/>
        <v/>
      </c>
      <c r="Q269" s="52" t="str">
        <f>Q244</f>
        <v>No</v>
      </c>
      <c r="R269" s="1574" t="str">
        <f t="shared" si="62"/>
        <v/>
      </c>
      <c r="S269" s="52" t="str">
        <f t="shared" si="65"/>
        <v/>
      </c>
      <c r="T269" s="52" t="str">
        <f t="shared" si="66"/>
        <v/>
      </c>
      <c r="U269" s="52" t="str">
        <f t="shared" si="63"/>
        <v/>
      </c>
      <c r="V269" s="52" t="str">
        <f t="shared" si="67"/>
        <v/>
      </c>
      <c r="W269" s="1578"/>
      <c r="X269" s="52" t="str">
        <f t="shared" si="68"/>
        <v/>
      </c>
      <c r="Y269" s="52" t="str">
        <f t="shared" si="69"/>
        <v/>
      </c>
    </row>
    <row r="270" spans="2:25">
      <c r="B270" s="1575"/>
      <c r="C270" s="1795"/>
      <c r="D270" s="920"/>
      <c r="E270" s="61" t="s">
        <v>8560</v>
      </c>
      <c r="F270" s="61"/>
      <c r="G270" s="61"/>
      <c r="H270" s="61"/>
      <c r="I270" s="61"/>
      <c r="J270" s="1687" t="s">
        <v>8415</v>
      </c>
      <c r="K270" s="63" t="str">
        <f t="shared" si="75"/>
        <v>No</v>
      </c>
      <c r="L270" s="76"/>
      <c r="M270" s="63">
        <f t="shared" ref="M270:M293" si="76">IF(L270&lt;&gt;"",1,0)</f>
        <v>0</v>
      </c>
      <c r="N270" s="63" t="s">
        <v>8412</v>
      </c>
      <c r="O270" s="64"/>
      <c r="P270" s="660" t="str">
        <f t="shared" si="56"/>
        <v/>
      </c>
      <c r="Q270" s="52" t="str">
        <f t="shared" ref="Q270:Q319" si="77">Q245</f>
        <v>No</v>
      </c>
      <c r="R270" s="1574" t="str">
        <f t="shared" si="62"/>
        <v/>
      </c>
      <c r="S270" s="52" t="str">
        <f t="shared" si="65"/>
        <v/>
      </c>
      <c r="T270" s="52" t="str">
        <f t="shared" si="66"/>
        <v/>
      </c>
      <c r="U270" s="52" t="str">
        <f t="shared" si="63"/>
        <v/>
      </c>
      <c r="V270" s="52" t="str">
        <f t="shared" si="67"/>
        <v/>
      </c>
      <c r="W270" s="1578"/>
      <c r="X270" s="52" t="str">
        <f t="shared" si="68"/>
        <v/>
      </c>
      <c r="Y270" s="52" t="str">
        <f t="shared" si="69"/>
        <v/>
      </c>
    </row>
    <row r="271" spans="2:25">
      <c r="B271" s="1575"/>
      <c r="C271" s="1795"/>
      <c r="D271" s="920"/>
      <c r="E271" s="61" t="s">
        <v>8561</v>
      </c>
      <c r="F271" s="61"/>
      <c r="G271" s="61"/>
      <c r="H271" s="61"/>
      <c r="I271" s="61"/>
      <c r="J271" s="1687" t="s">
        <v>8415</v>
      </c>
      <c r="K271" s="63" t="str">
        <f t="shared" si="75"/>
        <v>No</v>
      </c>
      <c r="L271" s="76"/>
      <c r="M271" s="63">
        <f t="shared" si="76"/>
        <v>0</v>
      </c>
      <c r="N271" s="63" t="s">
        <v>8412</v>
      </c>
      <c r="O271" s="64"/>
      <c r="P271" s="660" t="str">
        <f t="shared" si="56"/>
        <v/>
      </c>
      <c r="Q271" s="52" t="str">
        <f t="shared" si="77"/>
        <v>No</v>
      </c>
      <c r="R271" s="1574" t="str">
        <f t="shared" si="62"/>
        <v/>
      </c>
      <c r="S271" s="52" t="str">
        <f t="shared" si="65"/>
        <v/>
      </c>
      <c r="T271" s="52" t="str">
        <f t="shared" si="66"/>
        <v/>
      </c>
      <c r="U271" s="52" t="str">
        <f t="shared" si="63"/>
        <v/>
      </c>
      <c r="V271" s="52" t="str">
        <f t="shared" si="67"/>
        <v/>
      </c>
      <c r="W271" s="1578"/>
      <c r="X271" s="52" t="str">
        <f t="shared" si="68"/>
        <v/>
      </c>
      <c r="Y271" s="52" t="str">
        <f t="shared" si="69"/>
        <v/>
      </c>
    </row>
    <row r="272" spans="2:25">
      <c r="B272" s="1575"/>
      <c r="C272" s="1795"/>
      <c r="D272" s="920"/>
      <c r="E272" s="61" t="s">
        <v>8562</v>
      </c>
      <c r="F272" s="61"/>
      <c r="G272" s="61"/>
      <c r="H272" s="61"/>
      <c r="I272" s="61"/>
      <c r="J272" s="1687" t="s">
        <v>8415</v>
      </c>
      <c r="K272" s="63" t="str">
        <f t="shared" si="75"/>
        <v>No</v>
      </c>
      <c r="L272" s="76"/>
      <c r="M272" s="63">
        <f t="shared" si="76"/>
        <v>0</v>
      </c>
      <c r="N272" s="63" t="s">
        <v>8412</v>
      </c>
      <c r="O272" s="64"/>
      <c r="P272" s="660" t="str">
        <f t="shared" si="56"/>
        <v/>
      </c>
      <c r="Q272" s="52" t="str">
        <f t="shared" si="77"/>
        <v>No</v>
      </c>
      <c r="R272" s="1574" t="str">
        <f t="shared" ref="R272:R335" si="78">IF(L272&lt;&gt;"",E272&amp;F272&amp;G272&amp;IF(P272&lt;&gt;""," ("&amp;P272&amp;")",""),"")&amp;IF(M272&gt;1," ("&amp;M272&amp;")","")</f>
        <v/>
      </c>
      <c r="S272" s="52" t="str">
        <f t="shared" si="65"/>
        <v/>
      </c>
      <c r="T272" s="52" t="str">
        <f t="shared" si="66"/>
        <v/>
      </c>
      <c r="U272" s="52" t="str">
        <f t="shared" ref="U272:U335" si="79">IF(L272&lt;&gt;"",IF(ISNUMBER(L272),"",E272&amp;F272&amp;G272),"")</f>
        <v/>
      </c>
      <c r="V272" s="52" t="str">
        <f t="shared" si="67"/>
        <v/>
      </c>
      <c r="W272" s="1578"/>
      <c r="X272" s="52" t="str">
        <f t="shared" si="68"/>
        <v/>
      </c>
      <c r="Y272" s="52" t="str">
        <f t="shared" si="69"/>
        <v/>
      </c>
    </row>
    <row r="273" spans="2:25">
      <c r="B273" s="1575"/>
      <c r="C273" s="1795"/>
      <c r="D273" s="920"/>
      <c r="E273" s="61" t="s">
        <v>8563</v>
      </c>
      <c r="F273" s="61"/>
      <c r="G273" s="61"/>
      <c r="H273" s="61"/>
      <c r="I273" s="61"/>
      <c r="J273" s="1687" t="s">
        <v>8415</v>
      </c>
      <c r="K273" s="63" t="str">
        <f t="shared" si="75"/>
        <v>No</v>
      </c>
      <c r="L273" s="76"/>
      <c r="M273" s="63">
        <f t="shared" si="76"/>
        <v>0</v>
      </c>
      <c r="N273" s="63" t="s">
        <v>8412</v>
      </c>
      <c r="O273" s="64"/>
      <c r="P273" s="660" t="str">
        <f t="shared" si="56"/>
        <v/>
      </c>
      <c r="Q273" s="52" t="str">
        <f t="shared" si="77"/>
        <v>No</v>
      </c>
      <c r="R273" s="1574" t="str">
        <f t="shared" si="78"/>
        <v/>
      </c>
      <c r="S273" s="52" t="str">
        <f t="shared" si="65"/>
        <v/>
      </c>
      <c r="T273" s="52" t="str">
        <f t="shared" si="66"/>
        <v/>
      </c>
      <c r="U273" s="52" t="str">
        <f t="shared" si="79"/>
        <v/>
      </c>
      <c r="V273" s="52" t="str">
        <f t="shared" si="67"/>
        <v/>
      </c>
      <c r="W273" s="1578"/>
      <c r="X273" s="52" t="str">
        <f t="shared" si="68"/>
        <v/>
      </c>
      <c r="Y273" s="52" t="str">
        <f t="shared" si="69"/>
        <v/>
      </c>
    </row>
    <row r="274" spans="2:25">
      <c r="B274" s="1575"/>
      <c r="C274" s="1795"/>
      <c r="D274" s="920"/>
      <c r="E274" s="61" t="s">
        <v>8564</v>
      </c>
      <c r="F274" s="61"/>
      <c r="G274" s="61"/>
      <c r="H274" s="61"/>
      <c r="I274" s="61"/>
      <c r="J274" s="1687" t="s">
        <v>8415</v>
      </c>
      <c r="K274" s="63" t="str">
        <f t="shared" si="75"/>
        <v>No</v>
      </c>
      <c r="L274" s="76"/>
      <c r="M274" s="63">
        <f t="shared" si="76"/>
        <v>0</v>
      </c>
      <c r="N274" s="63" t="s">
        <v>8412</v>
      </c>
      <c r="O274" s="64"/>
      <c r="P274" s="660" t="str">
        <f t="shared" si="56"/>
        <v/>
      </c>
      <c r="Q274" s="52" t="str">
        <f t="shared" si="77"/>
        <v>No</v>
      </c>
      <c r="R274" s="1574" t="str">
        <f t="shared" si="78"/>
        <v/>
      </c>
      <c r="S274" s="52" t="str">
        <f t="shared" si="65"/>
        <v/>
      </c>
      <c r="T274" s="52" t="str">
        <f t="shared" si="66"/>
        <v/>
      </c>
      <c r="U274" s="52" t="str">
        <f t="shared" si="79"/>
        <v/>
      </c>
      <c r="V274" s="52" t="str">
        <f t="shared" si="67"/>
        <v/>
      </c>
      <c r="W274" s="1578"/>
      <c r="X274" s="52" t="str">
        <f t="shared" si="68"/>
        <v/>
      </c>
      <c r="Y274" s="52" t="str">
        <f t="shared" si="69"/>
        <v/>
      </c>
    </row>
    <row r="275" spans="2:25">
      <c r="B275" s="1575"/>
      <c r="C275" s="1795"/>
      <c r="D275" s="920"/>
      <c r="E275" s="61" t="s">
        <v>8565</v>
      </c>
      <c r="F275" s="61"/>
      <c r="G275" s="61"/>
      <c r="H275" s="61"/>
      <c r="I275" s="61"/>
      <c r="J275" s="1687" t="s">
        <v>8415</v>
      </c>
      <c r="K275" s="63" t="str">
        <f t="shared" si="75"/>
        <v>No</v>
      </c>
      <c r="L275" s="76"/>
      <c r="M275" s="63">
        <f t="shared" si="76"/>
        <v>0</v>
      </c>
      <c r="N275" s="63" t="s">
        <v>8412</v>
      </c>
      <c r="O275" s="64"/>
      <c r="P275" s="660" t="str">
        <f t="shared" si="56"/>
        <v/>
      </c>
      <c r="Q275" s="52" t="str">
        <f t="shared" si="77"/>
        <v>No</v>
      </c>
      <c r="R275" s="1574" t="str">
        <f t="shared" si="78"/>
        <v/>
      </c>
      <c r="S275" s="52" t="str">
        <f t="shared" si="65"/>
        <v/>
      </c>
      <c r="T275" s="52" t="str">
        <f t="shared" si="66"/>
        <v/>
      </c>
      <c r="U275" s="52" t="str">
        <f t="shared" si="79"/>
        <v/>
      </c>
      <c r="V275" s="52" t="str">
        <f t="shared" si="67"/>
        <v/>
      </c>
      <c r="W275" s="1578"/>
      <c r="X275" s="52" t="str">
        <f t="shared" si="68"/>
        <v/>
      </c>
      <c r="Y275" s="52" t="str">
        <f t="shared" si="69"/>
        <v/>
      </c>
    </row>
    <row r="276" spans="2:25">
      <c r="B276" s="1575"/>
      <c r="C276" s="1795"/>
      <c r="D276" s="920"/>
      <c r="E276" s="61" t="s">
        <v>8566</v>
      </c>
      <c r="F276" s="61"/>
      <c r="G276" s="61"/>
      <c r="H276" s="61"/>
      <c r="I276" s="61"/>
      <c r="J276" s="1687" t="s">
        <v>8415</v>
      </c>
      <c r="K276" s="63" t="str">
        <f t="shared" si="75"/>
        <v>No</v>
      </c>
      <c r="L276" s="76"/>
      <c r="M276" s="63">
        <f t="shared" si="76"/>
        <v>0</v>
      </c>
      <c r="N276" s="63" t="s">
        <v>8412</v>
      </c>
      <c r="O276" s="64"/>
      <c r="P276" s="660" t="str">
        <f t="shared" si="56"/>
        <v/>
      </c>
      <c r="Q276" s="52" t="str">
        <f t="shared" si="77"/>
        <v>No</v>
      </c>
      <c r="R276" s="1574" t="str">
        <f t="shared" si="78"/>
        <v/>
      </c>
      <c r="S276" s="52" t="str">
        <f t="shared" si="65"/>
        <v/>
      </c>
      <c r="T276" s="52" t="str">
        <f t="shared" si="66"/>
        <v/>
      </c>
      <c r="U276" s="52" t="str">
        <f t="shared" si="79"/>
        <v/>
      </c>
      <c r="V276" s="52" t="str">
        <f t="shared" si="67"/>
        <v/>
      </c>
      <c r="W276" s="1578"/>
      <c r="X276" s="52" t="str">
        <f t="shared" si="68"/>
        <v/>
      </c>
      <c r="Y276" s="52" t="str">
        <f t="shared" si="69"/>
        <v/>
      </c>
    </row>
    <row r="277" spans="2:25">
      <c r="B277" s="1575"/>
      <c r="C277" s="1795"/>
      <c r="D277" s="920"/>
      <c r="E277" s="61" t="s">
        <v>8567</v>
      </c>
      <c r="F277" s="61"/>
      <c r="G277" s="61"/>
      <c r="H277" s="61"/>
      <c r="I277" s="61"/>
      <c r="J277" s="1687" t="s">
        <v>8415</v>
      </c>
      <c r="K277" s="63" t="str">
        <f t="shared" si="75"/>
        <v>No</v>
      </c>
      <c r="L277" s="76"/>
      <c r="M277" s="63">
        <f t="shared" si="76"/>
        <v>0</v>
      </c>
      <c r="N277" s="63" t="s">
        <v>8412</v>
      </c>
      <c r="O277" s="64"/>
      <c r="P277" s="660" t="str">
        <f t="shared" si="56"/>
        <v/>
      </c>
      <c r="Q277" s="52" t="str">
        <f t="shared" si="77"/>
        <v>No</v>
      </c>
      <c r="R277" s="1574" t="str">
        <f t="shared" si="78"/>
        <v/>
      </c>
      <c r="S277" s="52" t="str">
        <f t="shared" si="65"/>
        <v/>
      </c>
      <c r="T277" s="52" t="str">
        <f t="shared" si="66"/>
        <v/>
      </c>
      <c r="U277" s="52" t="str">
        <f t="shared" si="79"/>
        <v/>
      </c>
      <c r="V277" s="52" t="str">
        <f t="shared" si="67"/>
        <v/>
      </c>
      <c r="W277" s="1578"/>
      <c r="X277" s="52" t="str">
        <f t="shared" si="68"/>
        <v/>
      </c>
      <c r="Y277" s="52" t="str">
        <f t="shared" si="69"/>
        <v/>
      </c>
    </row>
    <row r="278" spans="2:25">
      <c r="B278" s="1575"/>
      <c r="C278" s="1795"/>
      <c r="D278" s="920"/>
      <c r="E278" s="61" t="s">
        <v>8568</v>
      </c>
      <c r="F278" s="61"/>
      <c r="G278" s="61"/>
      <c r="H278" s="61"/>
      <c r="I278" s="61"/>
      <c r="J278" s="1687" t="s">
        <v>8415</v>
      </c>
      <c r="K278" s="63" t="str">
        <f t="shared" si="75"/>
        <v>No</v>
      </c>
      <c r="L278" s="76"/>
      <c r="M278" s="63">
        <f t="shared" si="76"/>
        <v>0</v>
      </c>
      <c r="N278" s="63" t="s">
        <v>8412</v>
      </c>
      <c r="O278" s="64"/>
      <c r="P278" s="660" t="str">
        <f t="shared" si="56"/>
        <v/>
      </c>
      <c r="Q278" s="52" t="str">
        <f t="shared" si="77"/>
        <v>No</v>
      </c>
      <c r="R278" s="1574" t="str">
        <f t="shared" si="78"/>
        <v/>
      </c>
      <c r="S278" s="52" t="str">
        <f t="shared" si="65"/>
        <v/>
      </c>
      <c r="T278" s="52" t="str">
        <f t="shared" si="66"/>
        <v/>
      </c>
      <c r="U278" s="52" t="str">
        <f t="shared" si="79"/>
        <v/>
      </c>
      <c r="V278" s="52" t="str">
        <f t="shared" si="67"/>
        <v/>
      </c>
      <c r="W278" s="1578"/>
      <c r="X278" s="52" t="str">
        <f t="shared" si="68"/>
        <v/>
      </c>
      <c r="Y278" s="52" t="str">
        <f t="shared" si="69"/>
        <v/>
      </c>
    </row>
    <row r="279" spans="2:25">
      <c r="B279" s="1575"/>
      <c r="C279" s="1795"/>
      <c r="D279" s="920"/>
      <c r="E279" s="61" t="s">
        <v>8569</v>
      </c>
      <c r="F279" s="61"/>
      <c r="G279" s="61"/>
      <c r="H279" s="61"/>
      <c r="I279" s="61"/>
      <c r="J279" s="1687" t="s">
        <v>8415</v>
      </c>
      <c r="K279" s="63" t="str">
        <f t="shared" si="75"/>
        <v>No</v>
      </c>
      <c r="L279" s="76"/>
      <c r="M279" s="63">
        <f t="shared" si="76"/>
        <v>0</v>
      </c>
      <c r="N279" s="63" t="s">
        <v>8412</v>
      </c>
      <c r="O279" s="64"/>
      <c r="P279" s="660" t="str">
        <f t="shared" si="56"/>
        <v/>
      </c>
      <c r="Q279" s="52" t="str">
        <f t="shared" si="77"/>
        <v>No</v>
      </c>
      <c r="R279" s="1574" t="str">
        <f t="shared" si="78"/>
        <v/>
      </c>
      <c r="S279" s="52" t="str">
        <f t="shared" si="65"/>
        <v/>
      </c>
      <c r="T279" s="52" t="str">
        <f t="shared" si="66"/>
        <v/>
      </c>
      <c r="U279" s="52" t="str">
        <f t="shared" si="79"/>
        <v/>
      </c>
      <c r="V279" s="52" t="str">
        <f t="shared" si="67"/>
        <v/>
      </c>
      <c r="W279" s="1578"/>
      <c r="X279" s="52" t="str">
        <f t="shared" si="68"/>
        <v/>
      </c>
      <c r="Y279" s="52" t="str">
        <f t="shared" si="69"/>
        <v/>
      </c>
    </row>
    <row r="280" spans="2:25">
      <c r="B280" s="1575"/>
      <c r="C280" s="1795"/>
      <c r="D280" s="920"/>
      <c r="E280" s="61" t="s">
        <v>8570</v>
      </c>
      <c r="F280" s="61"/>
      <c r="G280" s="61"/>
      <c r="H280" s="61"/>
      <c r="I280" s="61"/>
      <c r="J280" s="1687" t="s">
        <v>8415</v>
      </c>
      <c r="K280" s="63" t="str">
        <f t="shared" si="75"/>
        <v>No</v>
      </c>
      <c r="L280" s="76"/>
      <c r="M280" s="63">
        <f t="shared" si="76"/>
        <v>0</v>
      </c>
      <c r="N280" s="63" t="s">
        <v>8412</v>
      </c>
      <c r="O280" s="64"/>
      <c r="P280" s="660" t="str">
        <f t="shared" si="56"/>
        <v/>
      </c>
      <c r="Q280" s="52" t="str">
        <f t="shared" si="77"/>
        <v>No</v>
      </c>
      <c r="R280" s="1574" t="str">
        <f t="shared" si="78"/>
        <v/>
      </c>
      <c r="S280" s="52" t="str">
        <f t="shared" si="65"/>
        <v/>
      </c>
      <c r="T280" s="52" t="str">
        <f t="shared" si="66"/>
        <v/>
      </c>
      <c r="U280" s="52" t="str">
        <f t="shared" si="79"/>
        <v/>
      </c>
      <c r="V280" s="52" t="str">
        <f t="shared" si="67"/>
        <v/>
      </c>
      <c r="W280" s="1578"/>
      <c r="X280" s="52" t="str">
        <f t="shared" si="68"/>
        <v/>
      </c>
      <c r="Y280" s="52" t="str">
        <f t="shared" si="69"/>
        <v/>
      </c>
    </row>
    <row r="281" spans="2:25">
      <c r="B281" s="1575"/>
      <c r="C281" s="1795"/>
      <c r="D281" s="920"/>
      <c r="E281" s="61" t="s">
        <v>8571</v>
      </c>
      <c r="F281" s="61"/>
      <c r="G281" s="61"/>
      <c r="H281" s="61"/>
      <c r="I281" s="61"/>
      <c r="J281" s="1687" t="s">
        <v>8415</v>
      </c>
      <c r="K281" s="63" t="str">
        <f t="shared" si="75"/>
        <v>No</v>
      </c>
      <c r="L281" s="76"/>
      <c r="M281" s="63">
        <f t="shared" si="76"/>
        <v>0</v>
      </c>
      <c r="N281" s="63" t="s">
        <v>8412</v>
      </c>
      <c r="O281" s="64"/>
      <c r="P281" s="660" t="str">
        <f t="shared" si="56"/>
        <v/>
      </c>
      <c r="Q281" s="52" t="str">
        <f t="shared" si="77"/>
        <v>No</v>
      </c>
      <c r="R281" s="1574" t="str">
        <f t="shared" si="78"/>
        <v/>
      </c>
      <c r="S281" s="52" t="str">
        <f t="shared" si="65"/>
        <v/>
      </c>
      <c r="T281" s="52" t="str">
        <f t="shared" si="66"/>
        <v/>
      </c>
      <c r="U281" s="52" t="str">
        <f t="shared" si="79"/>
        <v/>
      </c>
      <c r="V281" s="52" t="str">
        <f t="shared" si="67"/>
        <v/>
      </c>
      <c r="W281" s="1578"/>
      <c r="X281" s="52" t="str">
        <f t="shared" si="68"/>
        <v/>
      </c>
      <c r="Y281" s="52" t="str">
        <f t="shared" si="69"/>
        <v/>
      </c>
    </row>
    <row r="282" spans="2:25">
      <c r="B282" s="1575"/>
      <c r="C282" s="1795"/>
      <c r="D282" s="920"/>
      <c r="E282" s="61" t="s">
        <v>8572</v>
      </c>
      <c r="F282" s="61"/>
      <c r="G282" s="61"/>
      <c r="H282" s="61"/>
      <c r="I282" s="61"/>
      <c r="J282" s="1687" t="s">
        <v>8415</v>
      </c>
      <c r="K282" s="63" t="str">
        <f t="shared" si="75"/>
        <v>No</v>
      </c>
      <c r="L282" s="76"/>
      <c r="M282" s="63">
        <f t="shared" si="76"/>
        <v>0</v>
      </c>
      <c r="N282" s="63" t="s">
        <v>8412</v>
      </c>
      <c r="O282" s="64"/>
      <c r="P282" s="660" t="str">
        <f t="shared" si="56"/>
        <v/>
      </c>
      <c r="Q282" s="52" t="str">
        <f t="shared" si="77"/>
        <v>No</v>
      </c>
      <c r="R282" s="1574" t="str">
        <f t="shared" si="78"/>
        <v/>
      </c>
      <c r="S282" s="52" t="str">
        <f t="shared" ref="S282:S344" si="80">IF(R282&lt;&gt;"",R282&amp;";"&amp;S283,S283)</f>
        <v/>
      </c>
      <c r="T282" s="52" t="str">
        <f t="shared" ref="T282:T344" si="81">IF(R282&lt;&gt;"",N282&amp;";"&amp;T283,T283)</f>
        <v/>
      </c>
      <c r="U282" s="52" t="str">
        <f t="shared" si="79"/>
        <v/>
      </c>
      <c r="V282" s="52" t="str">
        <f t="shared" ref="V282:V344" si="82">IF(U282&lt;&gt;"",U282&amp;";"&amp;V283,V283)</f>
        <v/>
      </c>
      <c r="W282" s="1578"/>
      <c r="X282" s="52" t="str">
        <f t="shared" ref="X282:X344" si="83">IF(U282&lt;&gt;"",IF(W282="Special Actions",U282&amp;IF(X283&lt;&gt;"",", ",""),"")&amp;X283,X283)</f>
        <v/>
      </c>
      <c r="Y282" s="52" t="str">
        <f t="shared" ref="Y282:Y344" si="84">IF(U282&lt;&gt;"",IF(W282="Att Options",U282&amp;IF(Y283&lt;&gt;"",", ",""),"")&amp;Y283,Y283)</f>
        <v/>
      </c>
    </row>
    <row r="283" spans="2:25">
      <c r="B283" s="1575"/>
      <c r="C283" s="1795"/>
      <c r="D283" s="920"/>
      <c r="E283" s="61" t="s">
        <v>8573</v>
      </c>
      <c r="F283" s="61"/>
      <c r="G283" s="61"/>
      <c r="H283" s="61"/>
      <c r="I283" s="61"/>
      <c r="J283" s="1687" t="s">
        <v>8415</v>
      </c>
      <c r="K283" s="63" t="str">
        <f t="shared" si="75"/>
        <v>No</v>
      </c>
      <c r="L283" s="76"/>
      <c r="M283" s="63">
        <f t="shared" si="76"/>
        <v>0</v>
      </c>
      <c r="N283" s="63" t="s">
        <v>8412</v>
      </c>
      <c r="O283" s="64"/>
      <c r="P283" s="660" t="str">
        <f t="shared" si="56"/>
        <v/>
      </c>
      <c r="Q283" s="52" t="str">
        <f t="shared" si="77"/>
        <v>No</v>
      </c>
      <c r="R283" s="1574" t="str">
        <f t="shared" si="78"/>
        <v/>
      </c>
      <c r="S283" s="52" t="str">
        <f t="shared" si="80"/>
        <v/>
      </c>
      <c r="T283" s="52" t="str">
        <f t="shared" si="81"/>
        <v/>
      </c>
      <c r="U283" s="52" t="str">
        <f t="shared" si="79"/>
        <v/>
      </c>
      <c r="V283" s="52" t="str">
        <f t="shared" si="82"/>
        <v/>
      </c>
      <c r="W283" s="1578"/>
      <c r="X283" s="52" t="str">
        <f t="shared" si="83"/>
        <v/>
      </c>
      <c r="Y283" s="52" t="str">
        <f t="shared" si="84"/>
        <v/>
      </c>
    </row>
    <row r="284" spans="2:25">
      <c r="B284" s="1575"/>
      <c r="C284" s="1795"/>
      <c r="D284" s="920"/>
      <c r="E284" s="61" t="s">
        <v>8574</v>
      </c>
      <c r="F284" s="61"/>
      <c r="G284" s="61"/>
      <c r="H284" s="61"/>
      <c r="I284" s="61"/>
      <c r="J284" s="1687" t="s">
        <v>8415</v>
      </c>
      <c r="K284" s="63" t="str">
        <f t="shared" si="75"/>
        <v>No</v>
      </c>
      <c r="L284" s="76"/>
      <c r="M284" s="63">
        <f t="shared" si="76"/>
        <v>0</v>
      </c>
      <c r="N284" s="63" t="s">
        <v>8412</v>
      </c>
      <c r="O284" s="64"/>
      <c r="P284" s="660" t="str">
        <f t="shared" si="56"/>
        <v/>
      </c>
      <c r="Q284" s="52" t="str">
        <f t="shared" si="77"/>
        <v>No</v>
      </c>
      <c r="R284" s="1574" t="str">
        <f t="shared" si="78"/>
        <v/>
      </c>
      <c r="S284" s="52" t="str">
        <f t="shared" si="80"/>
        <v/>
      </c>
      <c r="T284" s="52" t="str">
        <f t="shared" si="81"/>
        <v/>
      </c>
      <c r="U284" s="52" t="str">
        <f t="shared" si="79"/>
        <v/>
      </c>
      <c r="V284" s="52" t="str">
        <f t="shared" si="82"/>
        <v/>
      </c>
      <c r="W284" s="1578"/>
      <c r="X284" s="52" t="str">
        <f t="shared" si="83"/>
        <v/>
      </c>
      <c r="Y284" s="52" t="str">
        <f t="shared" si="84"/>
        <v/>
      </c>
    </row>
    <row r="285" spans="2:25">
      <c r="B285" s="1575"/>
      <c r="C285" s="1795"/>
      <c r="D285" s="920"/>
      <c r="E285" s="61" t="s">
        <v>8575</v>
      </c>
      <c r="F285" s="61"/>
      <c r="G285" s="61"/>
      <c r="H285" s="61"/>
      <c r="I285" s="61"/>
      <c r="J285" s="1687" t="s">
        <v>8415</v>
      </c>
      <c r="K285" s="63" t="str">
        <f t="shared" si="75"/>
        <v>No</v>
      </c>
      <c r="L285" s="76"/>
      <c r="M285" s="63">
        <f t="shared" si="76"/>
        <v>0</v>
      </c>
      <c r="N285" s="63" t="s">
        <v>8412</v>
      </c>
      <c r="O285" s="64"/>
      <c r="P285" s="660" t="str">
        <f t="shared" si="56"/>
        <v/>
      </c>
      <c r="Q285" s="52" t="str">
        <f t="shared" si="77"/>
        <v>No</v>
      </c>
      <c r="R285" s="1574" t="str">
        <f t="shared" si="78"/>
        <v/>
      </c>
      <c r="S285" s="52" t="str">
        <f t="shared" si="80"/>
        <v/>
      </c>
      <c r="T285" s="52" t="str">
        <f t="shared" si="81"/>
        <v/>
      </c>
      <c r="U285" s="52" t="str">
        <f t="shared" si="79"/>
        <v/>
      </c>
      <c r="V285" s="52" t="str">
        <f t="shared" si="82"/>
        <v/>
      </c>
      <c r="W285" s="1578"/>
      <c r="X285" s="52" t="str">
        <f t="shared" si="83"/>
        <v/>
      </c>
      <c r="Y285" s="52" t="str">
        <f t="shared" si="84"/>
        <v/>
      </c>
    </row>
    <row r="286" spans="2:25">
      <c r="B286" s="1575"/>
      <c r="C286" s="1795"/>
      <c r="D286" s="920"/>
      <c r="E286" s="61" t="s">
        <v>8576</v>
      </c>
      <c r="F286" s="61"/>
      <c r="G286" s="61"/>
      <c r="H286" s="61"/>
      <c r="I286" s="61"/>
      <c r="J286" s="1687" t="s">
        <v>8415</v>
      </c>
      <c r="K286" s="63" t="str">
        <f t="shared" si="75"/>
        <v>No</v>
      </c>
      <c r="L286" s="76"/>
      <c r="M286" s="63">
        <f t="shared" si="76"/>
        <v>0</v>
      </c>
      <c r="N286" s="63" t="s">
        <v>8412</v>
      </c>
      <c r="O286" s="64"/>
      <c r="P286" s="660" t="str">
        <f t="shared" si="56"/>
        <v/>
      </c>
      <c r="Q286" s="52" t="str">
        <f t="shared" si="77"/>
        <v>No</v>
      </c>
      <c r="R286" s="1574" t="str">
        <f t="shared" si="78"/>
        <v/>
      </c>
      <c r="S286" s="52" t="str">
        <f t="shared" si="80"/>
        <v/>
      </c>
      <c r="T286" s="52" t="str">
        <f t="shared" si="81"/>
        <v/>
      </c>
      <c r="U286" s="52" t="str">
        <f t="shared" si="79"/>
        <v/>
      </c>
      <c r="V286" s="52" t="str">
        <f t="shared" si="82"/>
        <v/>
      </c>
      <c r="W286" s="1578"/>
      <c r="X286" s="52" t="str">
        <f t="shared" si="83"/>
        <v/>
      </c>
      <c r="Y286" s="52" t="str">
        <f t="shared" si="84"/>
        <v/>
      </c>
    </row>
    <row r="287" spans="2:25">
      <c r="B287" s="1575"/>
      <c r="C287" s="1795"/>
      <c r="D287" s="920"/>
      <c r="E287" s="61" t="s">
        <v>8577</v>
      </c>
      <c r="F287" s="61"/>
      <c r="G287" s="61"/>
      <c r="H287" s="61"/>
      <c r="I287" s="61"/>
      <c r="J287" s="1687" t="s">
        <v>8415</v>
      </c>
      <c r="K287" s="63" t="str">
        <f t="shared" si="75"/>
        <v>No</v>
      </c>
      <c r="L287" s="76"/>
      <c r="M287" s="63">
        <f t="shared" si="76"/>
        <v>0</v>
      </c>
      <c r="N287" s="63" t="s">
        <v>8412</v>
      </c>
      <c r="O287" s="64"/>
      <c r="P287" s="660" t="str">
        <f t="shared" si="56"/>
        <v/>
      </c>
      <c r="Q287" s="52" t="str">
        <f t="shared" si="77"/>
        <v>No</v>
      </c>
      <c r="R287" s="1574" t="str">
        <f t="shared" si="78"/>
        <v/>
      </c>
      <c r="S287" s="52" t="str">
        <f t="shared" si="80"/>
        <v/>
      </c>
      <c r="T287" s="52" t="str">
        <f t="shared" si="81"/>
        <v/>
      </c>
      <c r="U287" s="52" t="str">
        <f t="shared" si="79"/>
        <v/>
      </c>
      <c r="V287" s="52" t="str">
        <f t="shared" si="82"/>
        <v/>
      </c>
      <c r="W287" s="1578"/>
      <c r="X287" s="52" t="str">
        <f t="shared" si="83"/>
        <v/>
      </c>
      <c r="Y287" s="52" t="str">
        <f t="shared" si="84"/>
        <v/>
      </c>
    </row>
    <row r="288" spans="2:25">
      <c r="B288" s="1575"/>
      <c r="C288" s="1795"/>
      <c r="D288" s="920"/>
      <c r="E288" s="61" t="s">
        <v>8578</v>
      </c>
      <c r="F288" s="61"/>
      <c r="G288" s="61"/>
      <c r="H288" s="61"/>
      <c r="I288" s="61"/>
      <c r="J288" s="1687" t="s">
        <v>8415</v>
      </c>
      <c r="K288" s="63" t="str">
        <f t="shared" si="75"/>
        <v>No</v>
      </c>
      <c r="L288" s="76"/>
      <c r="M288" s="63">
        <f t="shared" si="76"/>
        <v>0</v>
      </c>
      <c r="N288" s="63" t="s">
        <v>8412</v>
      </c>
      <c r="O288" s="64"/>
      <c r="P288" s="660" t="str">
        <f t="shared" si="56"/>
        <v/>
      </c>
      <c r="Q288" s="52" t="str">
        <f t="shared" si="77"/>
        <v>No</v>
      </c>
      <c r="R288" s="1574" t="str">
        <f t="shared" si="78"/>
        <v/>
      </c>
      <c r="S288" s="52" t="str">
        <f t="shared" si="80"/>
        <v/>
      </c>
      <c r="T288" s="52" t="str">
        <f t="shared" si="81"/>
        <v/>
      </c>
      <c r="U288" s="52" t="str">
        <f t="shared" si="79"/>
        <v/>
      </c>
      <c r="V288" s="52" t="str">
        <f t="shared" si="82"/>
        <v/>
      </c>
      <c r="W288" s="1578"/>
      <c r="X288" s="52" t="str">
        <f t="shared" si="83"/>
        <v/>
      </c>
      <c r="Y288" s="52" t="str">
        <f t="shared" si="84"/>
        <v/>
      </c>
    </row>
    <row r="289" spans="2:25">
      <c r="B289" s="1575"/>
      <c r="C289" s="1795"/>
      <c r="D289" s="920"/>
      <c r="E289" s="61" t="s">
        <v>8579</v>
      </c>
      <c r="F289" s="61"/>
      <c r="G289" s="61"/>
      <c r="H289" s="61"/>
      <c r="I289" s="61"/>
      <c r="J289" s="1687" t="s">
        <v>8415</v>
      </c>
      <c r="K289" s="63" t="str">
        <f t="shared" si="75"/>
        <v>No</v>
      </c>
      <c r="L289" s="76"/>
      <c r="M289" s="63">
        <f t="shared" si="76"/>
        <v>0</v>
      </c>
      <c r="N289" s="63" t="s">
        <v>8412</v>
      </c>
      <c r="O289" s="64"/>
      <c r="P289" s="660" t="str">
        <f t="shared" si="56"/>
        <v/>
      </c>
      <c r="Q289" s="52" t="str">
        <f t="shared" si="77"/>
        <v>No</v>
      </c>
      <c r="R289" s="1574" t="str">
        <f t="shared" si="78"/>
        <v/>
      </c>
      <c r="S289" s="52" t="str">
        <f t="shared" si="80"/>
        <v/>
      </c>
      <c r="T289" s="52" t="str">
        <f t="shared" si="81"/>
        <v/>
      </c>
      <c r="U289" s="52" t="str">
        <f t="shared" si="79"/>
        <v/>
      </c>
      <c r="V289" s="52" t="str">
        <f t="shared" si="82"/>
        <v/>
      </c>
      <c r="W289" s="1578"/>
      <c r="X289" s="52" t="str">
        <f t="shared" si="83"/>
        <v/>
      </c>
      <c r="Y289" s="52" t="str">
        <f t="shared" si="84"/>
        <v/>
      </c>
    </row>
    <row r="290" spans="2:25">
      <c r="B290" s="1575"/>
      <c r="C290" s="1795"/>
      <c r="D290" s="920"/>
      <c r="E290" s="61" t="s">
        <v>8580</v>
      </c>
      <c r="F290" s="61"/>
      <c r="G290" s="61"/>
      <c r="H290" s="61"/>
      <c r="I290" s="61"/>
      <c r="J290" s="1687" t="s">
        <v>8415</v>
      </c>
      <c r="K290" s="63" t="str">
        <f t="shared" si="75"/>
        <v>No</v>
      </c>
      <c r="L290" s="76"/>
      <c r="M290" s="63">
        <f t="shared" si="76"/>
        <v>0</v>
      </c>
      <c r="N290" s="63" t="s">
        <v>8412</v>
      </c>
      <c r="O290" s="64"/>
      <c r="P290" s="660" t="str">
        <f t="shared" si="56"/>
        <v/>
      </c>
      <c r="Q290" s="52" t="str">
        <f t="shared" si="77"/>
        <v>No</v>
      </c>
      <c r="R290" s="1574" t="str">
        <f t="shared" si="78"/>
        <v/>
      </c>
      <c r="S290" s="52" t="str">
        <f t="shared" si="80"/>
        <v/>
      </c>
      <c r="T290" s="52" t="str">
        <f t="shared" si="81"/>
        <v/>
      </c>
      <c r="U290" s="52" t="str">
        <f t="shared" si="79"/>
        <v/>
      </c>
      <c r="V290" s="52" t="str">
        <f t="shared" si="82"/>
        <v/>
      </c>
      <c r="W290" s="1578"/>
      <c r="X290" s="52" t="str">
        <f t="shared" si="83"/>
        <v/>
      </c>
      <c r="Y290" s="52" t="str">
        <f t="shared" si="84"/>
        <v/>
      </c>
    </row>
    <row r="291" spans="2:25">
      <c r="B291" s="1575"/>
      <c r="C291" s="1795"/>
      <c r="D291" s="920"/>
      <c r="E291" s="61" t="s">
        <v>8581</v>
      </c>
      <c r="F291" s="61"/>
      <c r="G291" s="61"/>
      <c r="H291" s="61"/>
      <c r="I291" s="61"/>
      <c r="J291" s="1687" t="s">
        <v>8415</v>
      </c>
      <c r="K291" s="63" t="str">
        <f t="shared" si="75"/>
        <v>No</v>
      </c>
      <c r="L291" s="76"/>
      <c r="M291" s="63">
        <f t="shared" si="76"/>
        <v>0</v>
      </c>
      <c r="N291" s="63" t="s">
        <v>8412</v>
      </c>
      <c r="O291" s="64"/>
      <c r="P291" s="660" t="str">
        <f t="shared" si="56"/>
        <v/>
      </c>
      <c r="Q291" s="52" t="str">
        <f t="shared" si="77"/>
        <v>No</v>
      </c>
      <c r="R291" s="1574" t="str">
        <f t="shared" si="78"/>
        <v/>
      </c>
      <c r="S291" s="52" t="str">
        <f t="shared" si="80"/>
        <v/>
      </c>
      <c r="T291" s="52" t="str">
        <f t="shared" si="81"/>
        <v/>
      </c>
      <c r="U291" s="52" t="str">
        <f t="shared" si="79"/>
        <v/>
      </c>
      <c r="V291" s="52" t="str">
        <f t="shared" si="82"/>
        <v/>
      </c>
      <c r="W291" s="1578"/>
      <c r="X291" s="52" t="str">
        <f t="shared" si="83"/>
        <v/>
      </c>
      <c r="Y291" s="52" t="str">
        <f t="shared" si="84"/>
        <v/>
      </c>
    </row>
    <row r="292" spans="2:25">
      <c r="B292" s="1575"/>
      <c r="C292" s="1795"/>
      <c r="D292" s="920"/>
      <c r="E292" s="61" t="s">
        <v>8582</v>
      </c>
      <c r="F292" s="61"/>
      <c r="G292" s="61"/>
      <c r="H292" s="61"/>
      <c r="I292" s="61"/>
      <c r="J292" s="1687" t="s">
        <v>8415</v>
      </c>
      <c r="K292" s="63" t="str">
        <f t="shared" si="75"/>
        <v>No</v>
      </c>
      <c r="L292" s="76"/>
      <c r="M292" s="63">
        <f t="shared" si="76"/>
        <v>0</v>
      </c>
      <c r="N292" s="63" t="s">
        <v>8412</v>
      </c>
      <c r="O292" s="64"/>
      <c r="P292" s="660" t="str">
        <f t="shared" si="56"/>
        <v/>
      </c>
      <c r="Q292" s="52" t="str">
        <f t="shared" si="77"/>
        <v>No</v>
      </c>
      <c r="R292" s="1574" t="str">
        <f t="shared" si="78"/>
        <v/>
      </c>
      <c r="S292" s="52" t="str">
        <f t="shared" si="80"/>
        <v/>
      </c>
      <c r="T292" s="52" t="str">
        <f t="shared" si="81"/>
        <v/>
      </c>
      <c r="U292" s="52" t="str">
        <f t="shared" si="79"/>
        <v/>
      </c>
      <c r="V292" s="52" t="str">
        <f t="shared" si="82"/>
        <v/>
      </c>
      <c r="W292" s="1578"/>
      <c r="X292" s="52" t="str">
        <f t="shared" si="83"/>
        <v/>
      </c>
      <c r="Y292" s="52" t="str">
        <f t="shared" si="84"/>
        <v/>
      </c>
    </row>
    <row r="293" spans="2:25">
      <c r="B293" s="1575"/>
      <c r="C293" s="1795"/>
      <c r="D293" s="920"/>
      <c r="E293" s="61" t="s">
        <v>8583</v>
      </c>
      <c r="F293" s="61"/>
      <c r="G293" s="61"/>
      <c r="H293" s="61"/>
      <c r="I293" s="61"/>
      <c r="J293" s="1687" t="s">
        <v>8415</v>
      </c>
      <c r="K293" s="63" t="str">
        <f t="shared" si="75"/>
        <v>No</v>
      </c>
      <c r="L293" s="76"/>
      <c r="M293" s="63">
        <f t="shared" si="76"/>
        <v>0</v>
      </c>
      <c r="N293" s="63" t="s">
        <v>8412</v>
      </c>
      <c r="O293" s="64"/>
      <c r="P293" s="660" t="str">
        <f t="shared" si="56"/>
        <v/>
      </c>
      <c r="Q293" s="52" t="str">
        <f t="shared" si="77"/>
        <v>No</v>
      </c>
      <c r="R293" s="1574" t="str">
        <f t="shared" si="78"/>
        <v/>
      </c>
      <c r="S293" s="52" t="str">
        <f t="shared" si="80"/>
        <v/>
      </c>
      <c r="T293" s="52" t="str">
        <f t="shared" si="81"/>
        <v/>
      </c>
      <c r="U293" s="52" t="str">
        <f t="shared" si="79"/>
        <v/>
      </c>
      <c r="V293" s="52" t="str">
        <f t="shared" si="82"/>
        <v/>
      </c>
      <c r="W293" s="1578"/>
      <c r="X293" s="52" t="str">
        <f t="shared" si="83"/>
        <v/>
      </c>
      <c r="Y293" s="52" t="str">
        <f t="shared" si="84"/>
        <v/>
      </c>
    </row>
    <row r="294" spans="2:25">
      <c r="B294" s="1575"/>
      <c r="C294" s="1795"/>
      <c r="D294" s="920"/>
      <c r="E294" s="61" t="s">
        <v>8416</v>
      </c>
      <c r="F294" s="61"/>
      <c r="G294" s="61"/>
      <c r="H294" s="61"/>
      <c r="I294" s="61"/>
      <c r="J294" s="1687" t="s">
        <v>8417</v>
      </c>
      <c r="K294" s="63" t="str">
        <f>IF(Q294="Yes","Yes","No")</f>
        <v>No</v>
      </c>
      <c r="L294" s="76"/>
      <c r="M294" s="63">
        <f>IF(L294&lt;&gt;"",1,0)</f>
        <v>0</v>
      </c>
      <c r="N294" s="63" t="s">
        <v>8412</v>
      </c>
      <c r="O294" s="64"/>
      <c r="P294" s="660" t="str">
        <f t="shared" si="56"/>
        <v/>
      </c>
      <c r="Q294" s="52" t="str">
        <f t="shared" si="77"/>
        <v>No</v>
      </c>
      <c r="R294" s="1574" t="str">
        <f t="shared" si="78"/>
        <v/>
      </c>
      <c r="S294" s="52" t="str">
        <f t="shared" si="80"/>
        <v/>
      </c>
      <c r="T294" s="52" t="str">
        <f t="shared" si="81"/>
        <v/>
      </c>
      <c r="U294" s="52" t="str">
        <f t="shared" si="79"/>
        <v/>
      </c>
      <c r="V294" s="52" t="str">
        <f t="shared" si="82"/>
        <v/>
      </c>
      <c r="W294" s="1578"/>
      <c r="X294" s="52" t="str">
        <f t="shared" si="83"/>
        <v/>
      </c>
      <c r="Y294" s="52" t="str">
        <f t="shared" si="84"/>
        <v/>
      </c>
    </row>
    <row r="295" spans="2:25">
      <c r="B295" s="1575"/>
      <c r="C295" s="1795"/>
      <c r="D295" s="920"/>
      <c r="E295" s="61" t="s">
        <v>8584</v>
      </c>
      <c r="F295" s="61"/>
      <c r="G295" s="61"/>
      <c r="H295" s="61"/>
      <c r="I295" s="61"/>
      <c r="J295" s="1687" t="s">
        <v>8418</v>
      </c>
      <c r="K295" s="63" t="str">
        <f t="shared" ref="K295:K326" si="85">IF(AND(Q295="Yes",OR(INDEX(SkillTable,MATCH(IF(NOT(ISERROR(FIND("[",E295,1))),"Knowledge ("&amp;MID(E295,FIND("[",E295,1)+1,LEN(E295)-2-FIND("[",E295,1))&amp;")",MID(E295,FIND("(",E295,1)+1,LEN(E295)-1-FIND("(",E295,1))),SkillList,0),4)="Yes",INDEX(SkillTable,MATCH(IF(NOT(ISERROR(FIND("[",E295,1))),"Knowledge ("&amp;MID(E295,FIND("[",E295,1)+1,LEN(E295)-2-FIND("[",E295,1))&amp;")",MID(E295,FIND("(",E295,1)+1,LEN(E295)-1-FIND("(",E295,1))),SkillList,0),5)="Yes")),"Yes","No")</f>
        <v>No</v>
      </c>
      <c r="L295" s="76"/>
      <c r="M295" s="63">
        <f>IF(L295&lt;&gt;"",1,0)</f>
        <v>0</v>
      </c>
      <c r="N295" s="63" t="s">
        <v>8412</v>
      </c>
      <c r="O295" s="64"/>
      <c r="P295" s="660" t="str">
        <f t="shared" si="56"/>
        <v/>
      </c>
      <c r="Q295" s="52" t="str">
        <f t="shared" si="77"/>
        <v>No</v>
      </c>
      <c r="R295" s="1574" t="str">
        <f t="shared" si="78"/>
        <v/>
      </c>
      <c r="S295" s="52" t="str">
        <f t="shared" si="80"/>
        <v/>
      </c>
      <c r="T295" s="52" t="str">
        <f t="shared" si="81"/>
        <v/>
      </c>
      <c r="U295" s="52" t="str">
        <f t="shared" si="79"/>
        <v/>
      </c>
      <c r="V295" s="52" t="str">
        <f t="shared" si="82"/>
        <v/>
      </c>
      <c r="W295" s="1578"/>
      <c r="X295" s="52" t="str">
        <f t="shared" si="83"/>
        <v/>
      </c>
      <c r="Y295" s="52" t="str">
        <f t="shared" si="84"/>
        <v/>
      </c>
    </row>
    <row r="296" spans="2:25">
      <c r="B296" s="1575"/>
      <c r="C296" s="1795"/>
      <c r="D296" s="920"/>
      <c r="E296" s="61" t="s">
        <v>8585</v>
      </c>
      <c r="F296" s="61"/>
      <c r="G296" s="61"/>
      <c r="H296" s="61"/>
      <c r="I296" s="61"/>
      <c r="J296" s="1687" t="s">
        <v>8418</v>
      </c>
      <c r="K296" s="63" t="str">
        <f t="shared" si="85"/>
        <v>No</v>
      </c>
      <c r="L296" s="76"/>
      <c r="M296" s="63">
        <f t="shared" ref="M296:M319" si="86">IF(L296&lt;&gt;"",1,0)</f>
        <v>0</v>
      </c>
      <c r="N296" s="63" t="s">
        <v>8412</v>
      </c>
      <c r="O296" s="64"/>
      <c r="P296" s="660" t="str">
        <f t="shared" si="56"/>
        <v/>
      </c>
      <c r="Q296" s="52" t="str">
        <f t="shared" si="77"/>
        <v>No</v>
      </c>
      <c r="R296" s="1574" t="str">
        <f t="shared" si="78"/>
        <v/>
      </c>
      <c r="S296" s="52" t="str">
        <f t="shared" si="80"/>
        <v/>
      </c>
      <c r="T296" s="52" t="str">
        <f t="shared" si="81"/>
        <v/>
      </c>
      <c r="U296" s="52" t="str">
        <f t="shared" si="79"/>
        <v/>
      </c>
      <c r="V296" s="52" t="str">
        <f t="shared" si="82"/>
        <v/>
      </c>
      <c r="W296" s="1578"/>
      <c r="X296" s="52" t="str">
        <f t="shared" si="83"/>
        <v/>
      </c>
      <c r="Y296" s="52" t="str">
        <f t="shared" si="84"/>
        <v/>
      </c>
    </row>
    <row r="297" spans="2:25">
      <c r="B297" s="1575"/>
      <c r="C297" s="1795"/>
      <c r="D297" s="920"/>
      <c r="E297" s="61" t="s">
        <v>8586</v>
      </c>
      <c r="F297" s="61"/>
      <c r="G297" s="61"/>
      <c r="H297" s="61"/>
      <c r="I297" s="61"/>
      <c r="J297" s="1687" t="s">
        <v>8418</v>
      </c>
      <c r="K297" s="63" t="str">
        <f t="shared" si="85"/>
        <v>No</v>
      </c>
      <c r="L297" s="76"/>
      <c r="M297" s="63">
        <f t="shared" si="86"/>
        <v>0</v>
      </c>
      <c r="N297" s="63" t="s">
        <v>8412</v>
      </c>
      <c r="O297" s="64"/>
      <c r="P297" s="660" t="str">
        <f t="shared" si="56"/>
        <v/>
      </c>
      <c r="Q297" s="52" t="str">
        <f t="shared" si="77"/>
        <v>No</v>
      </c>
      <c r="R297" s="1574" t="str">
        <f t="shared" si="78"/>
        <v/>
      </c>
      <c r="S297" s="52" t="str">
        <f t="shared" si="80"/>
        <v/>
      </c>
      <c r="T297" s="52" t="str">
        <f t="shared" si="81"/>
        <v/>
      </c>
      <c r="U297" s="52" t="str">
        <f t="shared" si="79"/>
        <v/>
      </c>
      <c r="V297" s="52" t="str">
        <f t="shared" si="82"/>
        <v/>
      </c>
      <c r="W297" s="1578"/>
      <c r="X297" s="52" t="str">
        <f t="shared" si="83"/>
        <v/>
      </c>
      <c r="Y297" s="52" t="str">
        <f t="shared" si="84"/>
        <v/>
      </c>
    </row>
    <row r="298" spans="2:25">
      <c r="B298" s="1575"/>
      <c r="C298" s="1795"/>
      <c r="D298" s="920"/>
      <c r="E298" s="61" t="s">
        <v>8587</v>
      </c>
      <c r="F298" s="61"/>
      <c r="G298" s="61"/>
      <c r="H298" s="61"/>
      <c r="I298" s="61"/>
      <c r="J298" s="1687" t="s">
        <v>8418</v>
      </c>
      <c r="K298" s="63" t="str">
        <f t="shared" si="85"/>
        <v>No</v>
      </c>
      <c r="L298" s="76"/>
      <c r="M298" s="63">
        <f t="shared" si="86"/>
        <v>0</v>
      </c>
      <c r="N298" s="63" t="s">
        <v>8412</v>
      </c>
      <c r="O298" s="64"/>
      <c r="P298" s="660" t="str">
        <f t="shared" si="56"/>
        <v/>
      </c>
      <c r="Q298" s="52" t="str">
        <f t="shared" si="77"/>
        <v>No</v>
      </c>
      <c r="R298" s="1574" t="str">
        <f t="shared" si="78"/>
        <v/>
      </c>
      <c r="S298" s="52" t="str">
        <f t="shared" si="80"/>
        <v/>
      </c>
      <c r="T298" s="52" t="str">
        <f t="shared" si="81"/>
        <v/>
      </c>
      <c r="U298" s="52" t="str">
        <f t="shared" si="79"/>
        <v/>
      </c>
      <c r="V298" s="52" t="str">
        <f t="shared" si="82"/>
        <v/>
      </c>
      <c r="W298" s="1578"/>
      <c r="X298" s="52" t="str">
        <f t="shared" si="83"/>
        <v/>
      </c>
      <c r="Y298" s="52" t="str">
        <f t="shared" si="84"/>
        <v/>
      </c>
    </row>
    <row r="299" spans="2:25">
      <c r="B299" s="1575"/>
      <c r="C299" s="1795"/>
      <c r="D299" s="920"/>
      <c r="E299" s="61" t="s">
        <v>8588</v>
      </c>
      <c r="F299" s="61"/>
      <c r="G299" s="61"/>
      <c r="H299" s="61"/>
      <c r="I299" s="61"/>
      <c r="J299" s="1687" t="s">
        <v>8418</v>
      </c>
      <c r="K299" s="63" t="str">
        <f t="shared" si="85"/>
        <v>No</v>
      </c>
      <c r="L299" s="76"/>
      <c r="M299" s="63">
        <f t="shared" si="86"/>
        <v>0</v>
      </c>
      <c r="N299" s="63" t="s">
        <v>8412</v>
      </c>
      <c r="O299" s="64"/>
      <c r="P299" s="660" t="str">
        <f t="shared" si="56"/>
        <v/>
      </c>
      <c r="Q299" s="52" t="str">
        <f t="shared" si="77"/>
        <v>No</v>
      </c>
      <c r="R299" s="1574" t="str">
        <f t="shared" si="78"/>
        <v/>
      </c>
      <c r="S299" s="52" t="str">
        <f t="shared" si="80"/>
        <v/>
      </c>
      <c r="T299" s="52" t="str">
        <f t="shared" si="81"/>
        <v/>
      </c>
      <c r="U299" s="52" t="str">
        <f t="shared" si="79"/>
        <v/>
      </c>
      <c r="V299" s="52" t="str">
        <f t="shared" si="82"/>
        <v/>
      </c>
      <c r="W299" s="1578"/>
      <c r="X299" s="52" t="str">
        <f t="shared" si="83"/>
        <v/>
      </c>
      <c r="Y299" s="52" t="str">
        <f t="shared" si="84"/>
        <v/>
      </c>
    </row>
    <row r="300" spans="2:25">
      <c r="B300" s="1575"/>
      <c r="C300" s="1795"/>
      <c r="D300" s="920"/>
      <c r="E300" s="61" t="s">
        <v>8589</v>
      </c>
      <c r="F300" s="61"/>
      <c r="G300" s="61"/>
      <c r="H300" s="61"/>
      <c r="I300" s="61"/>
      <c r="J300" s="1687" t="s">
        <v>8418</v>
      </c>
      <c r="K300" s="63" t="str">
        <f t="shared" si="85"/>
        <v>No</v>
      </c>
      <c r="L300" s="76"/>
      <c r="M300" s="63">
        <f t="shared" si="86"/>
        <v>0</v>
      </c>
      <c r="N300" s="63" t="s">
        <v>8412</v>
      </c>
      <c r="O300" s="64"/>
      <c r="P300" s="660" t="str">
        <f t="shared" si="56"/>
        <v/>
      </c>
      <c r="Q300" s="52" t="str">
        <f t="shared" si="77"/>
        <v>No</v>
      </c>
      <c r="R300" s="1574" t="str">
        <f t="shared" si="78"/>
        <v/>
      </c>
      <c r="S300" s="52" t="str">
        <f t="shared" si="80"/>
        <v/>
      </c>
      <c r="T300" s="52" t="str">
        <f t="shared" si="81"/>
        <v/>
      </c>
      <c r="U300" s="52" t="str">
        <f t="shared" si="79"/>
        <v/>
      </c>
      <c r="V300" s="52" t="str">
        <f t="shared" si="82"/>
        <v/>
      </c>
      <c r="W300" s="1578"/>
      <c r="X300" s="52" t="str">
        <f t="shared" si="83"/>
        <v/>
      </c>
      <c r="Y300" s="52" t="str">
        <f t="shared" si="84"/>
        <v/>
      </c>
    </row>
    <row r="301" spans="2:25">
      <c r="B301" s="1575"/>
      <c r="C301" s="1795"/>
      <c r="D301" s="920"/>
      <c r="E301" s="61" t="s">
        <v>8590</v>
      </c>
      <c r="F301" s="61"/>
      <c r="G301" s="61"/>
      <c r="H301" s="61"/>
      <c r="I301" s="61"/>
      <c r="J301" s="1687" t="s">
        <v>8418</v>
      </c>
      <c r="K301" s="63" t="str">
        <f t="shared" si="85"/>
        <v>No</v>
      </c>
      <c r="L301" s="76"/>
      <c r="M301" s="63">
        <f t="shared" si="86"/>
        <v>0</v>
      </c>
      <c r="N301" s="63" t="s">
        <v>8412</v>
      </c>
      <c r="O301" s="64"/>
      <c r="P301" s="660" t="str">
        <f t="shared" si="56"/>
        <v/>
      </c>
      <c r="Q301" s="52" t="str">
        <f t="shared" si="77"/>
        <v>No</v>
      </c>
      <c r="R301" s="1574" t="str">
        <f t="shared" si="78"/>
        <v/>
      </c>
      <c r="S301" s="52" t="str">
        <f t="shared" si="80"/>
        <v/>
      </c>
      <c r="T301" s="52" t="str">
        <f t="shared" si="81"/>
        <v/>
      </c>
      <c r="U301" s="52" t="str">
        <f t="shared" si="79"/>
        <v/>
      </c>
      <c r="V301" s="52" t="str">
        <f t="shared" si="82"/>
        <v/>
      </c>
      <c r="W301" s="1578"/>
      <c r="X301" s="52" t="str">
        <f t="shared" si="83"/>
        <v/>
      </c>
      <c r="Y301" s="52" t="str">
        <f t="shared" si="84"/>
        <v/>
      </c>
    </row>
    <row r="302" spans="2:25">
      <c r="B302" s="1575"/>
      <c r="C302" s="1795"/>
      <c r="D302" s="920"/>
      <c r="E302" s="61" t="s">
        <v>8591</v>
      </c>
      <c r="F302" s="61"/>
      <c r="G302" s="61"/>
      <c r="H302" s="61"/>
      <c r="I302" s="61"/>
      <c r="J302" s="1687" t="s">
        <v>8418</v>
      </c>
      <c r="K302" s="63" t="str">
        <f t="shared" si="85"/>
        <v>No</v>
      </c>
      <c r="L302" s="76"/>
      <c r="M302" s="63">
        <f t="shared" si="86"/>
        <v>0</v>
      </c>
      <c r="N302" s="63" t="s">
        <v>8412</v>
      </c>
      <c r="O302" s="64"/>
      <c r="P302" s="660" t="str">
        <f t="shared" si="56"/>
        <v/>
      </c>
      <c r="Q302" s="52" t="str">
        <f t="shared" si="77"/>
        <v>No</v>
      </c>
      <c r="R302" s="1574" t="str">
        <f t="shared" si="78"/>
        <v/>
      </c>
      <c r="S302" s="52" t="str">
        <f t="shared" si="80"/>
        <v/>
      </c>
      <c r="T302" s="52" t="str">
        <f t="shared" si="81"/>
        <v/>
      </c>
      <c r="U302" s="52" t="str">
        <f t="shared" si="79"/>
        <v/>
      </c>
      <c r="V302" s="52" t="str">
        <f t="shared" si="82"/>
        <v/>
      </c>
      <c r="W302" s="1578"/>
      <c r="X302" s="52" t="str">
        <f t="shared" si="83"/>
        <v/>
      </c>
      <c r="Y302" s="52" t="str">
        <f t="shared" si="84"/>
        <v/>
      </c>
    </row>
    <row r="303" spans="2:25">
      <c r="B303" s="1575"/>
      <c r="C303" s="1795"/>
      <c r="D303" s="920"/>
      <c r="E303" s="61" t="s">
        <v>8592</v>
      </c>
      <c r="F303" s="61"/>
      <c r="G303" s="61"/>
      <c r="H303" s="61"/>
      <c r="I303" s="61"/>
      <c r="J303" s="1687" t="s">
        <v>8418</v>
      </c>
      <c r="K303" s="63" t="str">
        <f t="shared" si="85"/>
        <v>No</v>
      </c>
      <c r="L303" s="76"/>
      <c r="M303" s="63">
        <f t="shared" si="86"/>
        <v>0</v>
      </c>
      <c r="N303" s="63" t="s">
        <v>8412</v>
      </c>
      <c r="O303" s="64"/>
      <c r="P303" s="660" t="str">
        <f t="shared" si="56"/>
        <v/>
      </c>
      <c r="Q303" s="52" t="str">
        <f t="shared" si="77"/>
        <v>No</v>
      </c>
      <c r="R303" s="1574" t="str">
        <f t="shared" si="78"/>
        <v/>
      </c>
      <c r="S303" s="52" t="str">
        <f t="shared" si="80"/>
        <v/>
      </c>
      <c r="T303" s="52" t="str">
        <f t="shared" si="81"/>
        <v/>
      </c>
      <c r="U303" s="52" t="str">
        <f t="shared" si="79"/>
        <v/>
      </c>
      <c r="V303" s="52" t="str">
        <f t="shared" si="82"/>
        <v/>
      </c>
      <c r="W303" s="1578"/>
      <c r="X303" s="52" t="str">
        <f t="shared" si="83"/>
        <v/>
      </c>
      <c r="Y303" s="52" t="str">
        <f t="shared" si="84"/>
        <v/>
      </c>
    </row>
    <row r="304" spans="2:25">
      <c r="B304" s="1575"/>
      <c r="C304" s="1795"/>
      <c r="D304" s="920"/>
      <c r="E304" s="61" t="s">
        <v>8593</v>
      </c>
      <c r="F304" s="61"/>
      <c r="G304" s="61"/>
      <c r="H304" s="61"/>
      <c r="I304" s="61"/>
      <c r="J304" s="1687" t="s">
        <v>8418</v>
      </c>
      <c r="K304" s="63" t="str">
        <f t="shared" si="85"/>
        <v>No</v>
      </c>
      <c r="L304" s="76"/>
      <c r="M304" s="63">
        <f t="shared" si="86"/>
        <v>0</v>
      </c>
      <c r="N304" s="63" t="s">
        <v>8412</v>
      </c>
      <c r="O304" s="64"/>
      <c r="P304" s="660" t="str">
        <f t="shared" si="56"/>
        <v/>
      </c>
      <c r="Q304" s="52" t="str">
        <f t="shared" si="77"/>
        <v>No</v>
      </c>
      <c r="R304" s="1574" t="str">
        <f t="shared" si="78"/>
        <v/>
      </c>
      <c r="S304" s="52" t="str">
        <f t="shared" si="80"/>
        <v/>
      </c>
      <c r="T304" s="52" t="str">
        <f t="shared" si="81"/>
        <v/>
      </c>
      <c r="U304" s="52" t="str">
        <f t="shared" si="79"/>
        <v/>
      </c>
      <c r="V304" s="52" t="str">
        <f t="shared" si="82"/>
        <v/>
      </c>
      <c r="W304" s="1578"/>
      <c r="X304" s="52" t="str">
        <f t="shared" si="83"/>
        <v/>
      </c>
      <c r="Y304" s="52" t="str">
        <f t="shared" si="84"/>
        <v/>
      </c>
    </row>
    <row r="305" spans="2:25">
      <c r="B305" s="1575"/>
      <c r="C305" s="1795"/>
      <c r="D305" s="920"/>
      <c r="E305" s="61" t="s">
        <v>8594</v>
      </c>
      <c r="F305" s="61"/>
      <c r="G305" s="61"/>
      <c r="H305" s="61"/>
      <c r="I305" s="61"/>
      <c r="J305" s="1687" t="s">
        <v>8418</v>
      </c>
      <c r="K305" s="63" t="str">
        <f t="shared" si="85"/>
        <v>No</v>
      </c>
      <c r="L305" s="76"/>
      <c r="M305" s="63">
        <f t="shared" si="86"/>
        <v>0</v>
      </c>
      <c r="N305" s="63" t="s">
        <v>8412</v>
      </c>
      <c r="O305" s="64"/>
      <c r="P305" s="660" t="str">
        <f t="shared" si="56"/>
        <v/>
      </c>
      <c r="Q305" s="52" t="str">
        <f t="shared" si="77"/>
        <v>No</v>
      </c>
      <c r="R305" s="1574" t="str">
        <f t="shared" si="78"/>
        <v/>
      </c>
      <c r="S305" s="52" t="str">
        <f t="shared" si="80"/>
        <v/>
      </c>
      <c r="T305" s="52" t="str">
        <f t="shared" si="81"/>
        <v/>
      </c>
      <c r="U305" s="52" t="str">
        <f t="shared" si="79"/>
        <v/>
      </c>
      <c r="V305" s="52" t="str">
        <f t="shared" si="82"/>
        <v/>
      </c>
      <c r="W305" s="1578"/>
      <c r="X305" s="52" t="str">
        <f t="shared" si="83"/>
        <v/>
      </c>
      <c r="Y305" s="52" t="str">
        <f t="shared" si="84"/>
        <v/>
      </c>
    </row>
    <row r="306" spans="2:25">
      <c r="B306" s="1575"/>
      <c r="C306" s="1795"/>
      <c r="D306" s="920"/>
      <c r="E306" s="61" t="s">
        <v>8595</v>
      </c>
      <c r="F306" s="61"/>
      <c r="G306" s="61"/>
      <c r="H306" s="61"/>
      <c r="I306" s="61"/>
      <c r="J306" s="1687" t="s">
        <v>8418</v>
      </c>
      <c r="K306" s="63" t="str">
        <f t="shared" si="85"/>
        <v>No</v>
      </c>
      <c r="L306" s="76"/>
      <c r="M306" s="63">
        <f t="shared" si="86"/>
        <v>0</v>
      </c>
      <c r="N306" s="63" t="s">
        <v>8412</v>
      </c>
      <c r="O306" s="64"/>
      <c r="P306" s="660" t="str">
        <f t="shared" si="56"/>
        <v/>
      </c>
      <c r="Q306" s="52" t="str">
        <f t="shared" si="77"/>
        <v>No</v>
      </c>
      <c r="R306" s="1574" t="str">
        <f t="shared" si="78"/>
        <v/>
      </c>
      <c r="S306" s="52" t="str">
        <f t="shared" si="80"/>
        <v/>
      </c>
      <c r="T306" s="52" t="str">
        <f t="shared" si="81"/>
        <v/>
      </c>
      <c r="U306" s="52" t="str">
        <f t="shared" si="79"/>
        <v/>
      </c>
      <c r="V306" s="52" t="str">
        <f t="shared" si="82"/>
        <v/>
      </c>
      <c r="W306" s="1578"/>
      <c r="X306" s="52" t="str">
        <f t="shared" si="83"/>
        <v/>
      </c>
      <c r="Y306" s="52" t="str">
        <f t="shared" si="84"/>
        <v/>
      </c>
    </row>
    <row r="307" spans="2:25">
      <c r="B307" s="1575"/>
      <c r="C307" s="1795"/>
      <c r="D307" s="920"/>
      <c r="E307" s="61" t="s">
        <v>8596</v>
      </c>
      <c r="F307" s="61"/>
      <c r="G307" s="61"/>
      <c r="H307" s="61"/>
      <c r="I307" s="61"/>
      <c r="J307" s="1687" t="s">
        <v>8418</v>
      </c>
      <c r="K307" s="63" t="str">
        <f t="shared" si="85"/>
        <v>No</v>
      </c>
      <c r="L307" s="76"/>
      <c r="M307" s="63">
        <f t="shared" si="86"/>
        <v>0</v>
      </c>
      <c r="N307" s="63" t="s">
        <v>8412</v>
      </c>
      <c r="O307" s="64"/>
      <c r="P307" s="660" t="str">
        <f t="shared" si="56"/>
        <v/>
      </c>
      <c r="Q307" s="52" t="str">
        <f t="shared" si="77"/>
        <v>No</v>
      </c>
      <c r="R307" s="1574" t="str">
        <f t="shared" si="78"/>
        <v/>
      </c>
      <c r="S307" s="52" t="str">
        <f t="shared" si="80"/>
        <v/>
      </c>
      <c r="T307" s="52" t="str">
        <f t="shared" si="81"/>
        <v/>
      </c>
      <c r="U307" s="52" t="str">
        <f t="shared" si="79"/>
        <v/>
      </c>
      <c r="V307" s="52" t="str">
        <f t="shared" si="82"/>
        <v/>
      </c>
      <c r="W307" s="1578"/>
      <c r="X307" s="52" t="str">
        <f t="shared" si="83"/>
        <v/>
      </c>
      <c r="Y307" s="52" t="str">
        <f t="shared" si="84"/>
        <v/>
      </c>
    </row>
    <row r="308" spans="2:25">
      <c r="B308" s="1575"/>
      <c r="C308" s="1795"/>
      <c r="D308" s="920"/>
      <c r="E308" s="61" t="s">
        <v>8597</v>
      </c>
      <c r="F308" s="61"/>
      <c r="G308" s="61"/>
      <c r="H308" s="61"/>
      <c r="I308" s="61"/>
      <c r="J308" s="1687" t="s">
        <v>8418</v>
      </c>
      <c r="K308" s="63" t="str">
        <f t="shared" si="85"/>
        <v>No</v>
      </c>
      <c r="L308" s="76"/>
      <c r="M308" s="63">
        <f t="shared" si="86"/>
        <v>0</v>
      </c>
      <c r="N308" s="63" t="s">
        <v>8412</v>
      </c>
      <c r="O308" s="64"/>
      <c r="P308" s="660" t="str">
        <f t="shared" si="56"/>
        <v/>
      </c>
      <c r="Q308" s="52" t="str">
        <f t="shared" si="77"/>
        <v>No</v>
      </c>
      <c r="R308" s="1574" t="str">
        <f t="shared" si="78"/>
        <v/>
      </c>
      <c r="S308" s="52" t="str">
        <f t="shared" si="80"/>
        <v/>
      </c>
      <c r="T308" s="52" t="str">
        <f t="shared" si="81"/>
        <v/>
      </c>
      <c r="U308" s="52" t="str">
        <f t="shared" si="79"/>
        <v/>
      </c>
      <c r="V308" s="52" t="str">
        <f t="shared" si="82"/>
        <v/>
      </c>
      <c r="W308" s="1578"/>
      <c r="X308" s="52" t="str">
        <f t="shared" si="83"/>
        <v/>
      </c>
      <c r="Y308" s="52" t="str">
        <f t="shared" si="84"/>
        <v/>
      </c>
    </row>
    <row r="309" spans="2:25">
      <c r="B309" s="1575"/>
      <c r="C309" s="1795"/>
      <c r="D309" s="920"/>
      <c r="E309" s="61" t="s">
        <v>8598</v>
      </c>
      <c r="F309" s="61"/>
      <c r="G309" s="61"/>
      <c r="H309" s="61"/>
      <c r="I309" s="61"/>
      <c r="J309" s="1687" t="s">
        <v>8418</v>
      </c>
      <c r="K309" s="63" t="str">
        <f t="shared" si="85"/>
        <v>No</v>
      </c>
      <c r="L309" s="76"/>
      <c r="M309" s="63">
        <f t="shared" si="86"/>
        <v>0</v>
      </c>
      <c r="N309" s="63" t="s">
        <v>8412</v>
      </c>
      <c r="O309" s="64"/>
      <c r="P309" s="660" t="str">
        <f t="shared" si="56"/>
        <v/>
      </c>
      <c r="Q309" s="52" t="str">
        <f t="shared" si="77"/>
        <v>No</v>
      </c>
      <c r="R309" s="1574" t="str">
        <f t="shared" si="78"/>
        <v/>
      </c>
      <c r="S309" s="52" t="str">
        <f t="shared" si="80"/>
        <v/>
      </c>
      <c r="T309" s="52" t="str">
        <f t="shared" si="81"/>
        <v/>
      </c>
      <c r="U309" s="52" t="str">
        <f t="shared" si="79"/>
        <v/>
      </c>
      <c r="V309" s="52" t="str">
        <f t="shared" si="82"/>
        <v/>
      </c>
      <c r="W309" s="1578"/>
      <c r="X309" s="52" t="str">
        <f t="shared" si="83"/>
        <v/>
      </c>
      <c r="Y309" s="52" t="str">
        <f t="shared" si="84"/>
        <v/>
      </c>
    </row>
    <row r="310" spans="2:25">
      <c r="B310" s="1575"/>
      <c r="C310" s="1795"/>
      <c r="D310" s="920"/>
      <c r="E310" s="61" t="s">
        <v>8599</v>
      </c>
      <c r="F310" s="61"/>
      <c r="G310" s="61"/>
      <c r="H310" s="61"/>
      <c r="I310" s="61"/>
      <c r="J310" s="1687" t="s">
        <v>8418</v>
      </c>
      <c r="K310" s="63" t="str">
        <f t="shared" si="85"/>
        <v>No</v>
      </c>
      <c r="L310" s="76"/>
      <c r="M310" s="63">
        <f t="shared" si="86"/>
        <v>0</v>
      </c>
      <c r="N310" s="63" t="s">
        <v>8412</v>
      </c>
      <c r="O310" s="64"/>
      <c r="P310" s="660" t="str">
        <f t="shared" si="56"/>
        <v/>
      </c>
      <c r="Q310" s="52" t="str">
        <f t="shared" si="77"/>
        <v>No</v>
      </c>
      <c r="R310" s="1574" t="str">
        <f t="shared" si="78"/>
        <v/>
      </c>
      <c r="S310" s="52" t="str">
        <f t="shared" si="80"/>
        <v/>
      </c>
      <c r="T310" s="52" t="str">
        <f t="shared" si="81"/>
        <v/>
      </c>
      <c r="U310" s="52" t="str">
        <f t="shared" si="79"/>
        <v/>
      </c>
      <c r="V310" s="52" t="str">
        <f t="shared" si="82"/>
        <v/>
      </c>
      <c r="W310" s="1578"/>
      <c r="X310" s="52" t="str">
        <f t="shared" si="83"/>
        <v/>
      </c>
      <c r="Y310" s="52" t="str">
        <f t="shared" si="84"/>
        <v/>
      </c>
    </row>
    <row r="311" spans="2:25">
      <c r="B311" s="1575"/>
      <c r="C311" s="1795"/>
      <c r="D311" s="920"/>
      <c r="E311" s="61" t="s">
        <v>8600</v>
      </c>
      <c r="F311" s="61"/>
      <c r="G311" s="61"/>
      <c r="H311" s="61"/>
      <c r="I311" s="61"/>
      <c r="J311" s="1687" t="s">
        <v>8418</v>
      </c>
      <c r="K311" s="63" t="str">
        <f t="shared" si="85"/>
        <v>No</v>
      </c>
      <c r="L311" s="76"/>
      <c r="M311" s="63">
        <f t="shared" si="86"/>
        <v>0</v>
      </c>
      <c r="N311" s="63" t="s">
        <v>8412</v>
      </c>
      <c r="O311" s="64"/>
      <c r="P311" s="660" t="str">
        <f t="shared" si="56"/>
        <v/>
      </c>
      <c r="Q311" s="52" t="str">
        <f t="shared" si="77"/>
        <v>No</v>
      </c>
      <c r="R311" s="1574" t="str">
        <f t="shared" si="78"/>
        <v/>
      </c>
      <c r="S311" s="52" t="str">
        <f t="shared" si="80"/>
        <v/>
      </c>
      <c r="T311" s="52" t="str">
        <f t="shared" si="81"/>
        <v/>
      </c>
      <c r="U311" s="52" t="str">
        <f t="shared" si="79"/>
        <v/>
      </c>
      <c r="V311" s="52" t="str">
        <f t="shared" si="82"/>
        <v/>
      </c>
      <c r="W311" s="1578"/>
      <c r="X311" s="52" t="str">
        <f t="shared" si="83"/>
        <v/>
      </c>
      <c r="Y311" s="52" t="str">
        <f t="shared" si="84"/>
        <v/>
      </c>
    </row>
    <row r="312" spans="2:25">
      <c r="B312" s="1575"/>
      <c r="C312" s="1795"/>
      <c r="D312" s="920"/>
      <c r="E312" s="61" t="s">
        <v>8601</v>
      </c>
      <c r="F312" s="61"/>
      <c r="G312" s="61"/>
      <c r="H312" s="61"/>
      <c r="I312" s="61"/>
      <c r="J312" s="1687" t="s">
        <v>8418</v>
      </c>
      <c r="K312" s="63" t="str">
        <f t="shared" si="85"/>
        <v>No</v>
      </c>
      <c r="L312" s="76"/>
      <c r="M312" s="63">
        <f t="shared" si="86"/>
        <v>0</v>
      </c>
      <c r="N312" s="63" t="s">
        <v>8412</v>
      </c>
      <c r="O312" s="64"/>
      <c r="P312" s="660" t="str">
        <f t="shared" si="56"/>
        <v/>
      </c>
      <c r="Q312" s="52" t="str">
        <f t="shared" si="77"/>
        <v>No</v>
      </c>
      <c r="R312" s="1574" t="str">
        <f t="shared" si="78"/>
        <v/>
      </c>
      <c r="S312" s="52" t="str">
        <f t="shared" si="80"/>
        <v/>
      </c>
      <c r="T312" s="52" t="str">
        <f t="shared" si="81"/>
        <v/>
      </c>
      <c r="U312" s="52" t="str">
        <f t="shared" si="79"/>
        <v/>
      </c>
      <c r="V312" s="52" t="str">
        <f t="shared" si="82"/>
        <v/>
      </c>
      <c r="W312" s="1578"/>
      <c r="X312" s="52" t="str">
        <f t="shared" si="83"/>
        <v/>
      </c>
      <c r="Y312" s="52" t="str">
        <f t="shared" si="84"/>
        <v/>
      </c>
    </row>
    <row r="313" spans="2:25">
      <c r="B313" s="1575"/>
      <c r="C313" s="1795"/>
      <c r="D313" s="920"/>
      <c r="E313" s="61" t="s">
        <v>8602</v>
      </c>
      <c r="F313" s="61"/>
      <c r="G313" s="61"/>
      <c r="H313" s="61"/>
      <c r="I313" s="61"/>
      <c r="J313" s="1687" t="s">
        <v>8418</v>
      </c>
      <c r="K313" s="63" t="str">
        <f t="shared" si="85"/>
        <v>No</v>
      </c>
      <c r="L313" s="76"/>
      <c r="M313" s="63">
        <f t="shared" si="86"/>
        <v>0</v>
      </c>
      <c r="N313" s="63" t="s">
        <v>8412</v>
      </c>
      <c r="O313" s="64"/>
      <c r="P313" s="660" t="str">
        <f t="shared" si="56"/>
        <v/>
      </c>
      <c r="Q313" s="52" t="str">
        <f t="shared" si="77"/>
        <v>No</v>
      </c>
      <c r="R313" s="1574" t="str">
        <f t="shared" si="78"/>
        <v/>
      </c>
      <c r="S313" s="52" t="str">
        <f t="shared" si="80"/>
        <v/>
      </c>
      <c r="T313" s="52" t="str">
        <f t="shared" si="81"/>
        <v/>
      </c>
      <c r="U313" s="52" t="str">
        <f t="shared" si="79"/>
        <v/>
      </c>
      <c r="V313" s="52" t="str">
        <f t="shared" si="82"/>
        <v/>
      </c>
      <c r="W313" s="1578"/>
      <c r="X313" s="52" t="str">
        <f t="shared" si="83"/>
        <v/>
      </c>
      <c r="Y313" s="52" t="str">
        <f t="shared" si="84"/>
        <v/>
      </c>
    </row>
    <row r="314" spans="2:25">
      <c r="B314" s="1575"/>
      <c r="C314" s="1795"/>
      <c r="D314" s="920"/>
      <c r="E314" s="61" t="s">
        <v>8603</v>
      </c>
      <c r="F314" s="61"/>
      <c r="G314" s="61"/>
      <c r="H314" s="61"/>
      <c r="I314" s="61"/>
      <c r="J314" s="1687" t="s">
        <v>8418</v>
      </c>
      <c r="K314" s="63" t="str">
        <f t="shared" si="85"/>
        <v>No</v>
      </c>
      <c r="L314" s="76"/>
      <c r="M314" s="63">
        <f t="shared" si="86"/>
        <v>0</v>
      </c>
      <c r="N314" s="63" t="s">
        <v>8412</v>
      </c>
      <c r="O314" s="64"/>
      <c r="P314" s="660" t="str">
        <f t="shared" si="56"/>
        <v/>
      </c>
      <c r="Q314" s="52" t="str">
        <f t="shared" si="77"/>
        <v>No</v>
      </c>
      <c r="R314" s="1574" t="str">
        <f t="shared" si="78"/>
        <v/>
      </c>
      <c r="S314" s="52" t="str">
        <f t="shared" si="80"/>
        <v/>
      </c>
      <c r="T314" s="52" t="str">
        <f t="shared" si="81"/>
        <v/>
      </c>
      <c r="U314" s="52" t="str">
        <f t="shared" si="79"/>
        <v/>
      </c>
      <c r="V314" s="52" t="str">
        <f t="shared" si="82"/>
        <v/>
      </c>
      <c r="W314" s="1578"/>
      <c r="X314" s="52" t="str">
        <f t="shared" si="83"/>
        <v/>
      </c>
      <c r="Y314" s="52" t="str">
        <f t="shared" si="84"/>
        <v/>
      </c>
    </row>
    <row r="315" spans="2:25">
      <c r="B315" s="1575"/>
      <c r="C315" s="1795"/>
      <c r="D315" s="920"/>
      <c r="E315" s="61" t="s">
        <v>8604</v>
      </c>
      <c r="F315" s="61"/>
      <c r="G315" s="61"/>
      <c r="H315" s="61"/>
      <c r="I315" s="61"/>
      <c r="J315" s="1687" t="s">
        <v>8418</v>
      </c>
      <c r="K315" s="63" t="str">
        <f t="shared" si="85"/>
        <v>No</v>
      </c>
      <c r="L315" s="76"/>
      <c r="M315" s="63">
        <f t="shared" si="86"/>
        <v>0</v>
      </c>
      <c r="N315" s="63" t="s">
        <v>8412</v>
      </c>
      <c r="O315" s="64"/>
      <c r="P315" s="660" t="str">
        <f t="shared" si="56"/>
        <v/>
      </c>
      <c r="Q315" s="52" t="str">
        <f t="shared" si="77"/>
        <v>No</v>
      </c>
      <c r="R315" s="1574" t="str">
        <f t="shared" si="78"/>
        <v/>
      </c>
      <c r="S315" s="52" t="str">
        <f t="shared" si="80"/>
        <v/>
      </c>
      <c r="T315" s="52" t="str">
        <f t="shared" si="81"/>
        <v/>
      </c>
      <c r="U315" s="52" t="str">
        <f t="shared" si="79"/>
        <v/>
      </c>
      <c r="V315" s="52" t="str">
        <f t="shared" si="82"/>
        <v/>
      </c>
      <c r="W315" s="1578"/>
      <c r="X315" s="52" t="str">
        <f t="shared" si="83"/>
        <v/>
      </c>
      <c r="Y315" s="52" t="str">
        <f t="shared" si="84"/>
        <v/>
      </c>
    </row>
    <row r="316" spans="2:25">
      <c r="B316" s="1575"/>
      <c r="C316" s="1795"/>
      <c r="D316" s="920"/>
      <c r="E316" s="61" t="s">
        <v>8605</v>
      </c>
      <c r="F316" s="61"/>
      <c r="G316" s="61"/>
      <c r="H316" s="61"/>
      <c r="I316" s="61"/>
      <c r="J316" s="1687" t="s">
        <v>8418</v>
      </c>
      <c r="K316" s="63" t="str">
        <f t="shared" si="85"/>
        <v>No</v>
      </c>
      <c r="L316" s="76"/>
      <c r="M316" s="63">
        <f t="shared" si="86"/>
        <v>0</v>
      </c>
      <c r="N316" s="63" t="s">
        <v>8412</v>
      </c>
      <c r="O316" s="64"/>
      <c r="P316" s="660" t="str">
        <f t="shared" si="56"/>
        <v/>
      </c>
      <c r="Q316" s="52" t="str">
        <f t="shared" si="77"/>
        <v>No</v>
      </c>
      <c r="R316" s="1574" t="str">
        <f t="shared" si="78"/>
        <v/>
      </c>
      <c r="S316" s="52" t="str">
        <f t="shared" si="80"/>
        <v/>
      </c>
      <c r="T316" s="52" t="str">
        <f t="shared" si="81"/>
        <v/>
      </c>
      <c r="U316" s="52" t="str">
        <f t="shared" si="79"/>
        <v/>
      </c>
      <c r="V316" s="52" t="str">
        <f t="shared" si="82"/>
        <v/>
      </c>
      <c r="W316" s="1578"/>
      <c r="X316" s="52" t="str">
        <f t="shared" si="83"/>
        <v/>
      </c>
      <c r="Y316" s="52" t="str">
        <f t="shared" si="84"/>
        <v/>
      </c>
    </row>
    <row r="317" spans="2:25">
      <c r="B317" s="1575"/>
      <c r="C317" s="1795"/>
      <c r="D317" s="920"/>
      <c r="E317" s="61" t="s">
        <v>8606</v>
      </c>
      <c r="F317" s="61"/>
      <c r="G317" s="61"/>
      <c r="H317" s="61"/>
      <c r="I317" s="61"/>
      <c r="J317" s="1687" t="s">
        <v>8418</v>
      </c>
      <c r="K317" s="63" t="str">
        <f t="shared" si="85"/>
        <v>No</v>
      </c>
      <c r="L317" s="76"/>
      <c r="M317" s="63">
        <f t="shared" si="86"/>
        <v>0</v>
      </c>
      <c r="N317" s="63" t="s">
        <v>8412</v>
      </c>
      <c r="O317" s="64"/>
      <c r="P317" s="660" t="str">
        <f t="shared" si="56"/>
        <v/>
      </c>
      <c r="Q317" s="52" t="str">
        <f t="shared" si="77"/>
        <v>No</v>
      </c>
      <c r="R317" s="1574" t="str">
        <f t="shared" si="78"/>
        <v/>
      </c>
      <c r="S317" s="52" t="str">
        <f t="shared" si="80"/>
        <v/>
      </c>
      <c r="T317" s="52" t="str">
        <f t="shared" si="81"/>
        <v/>
      </c>
      <c r="U317" s="52" t="str">
        <f t="shared" si="79"/>
        <v/>
      </c>
      <c r="V317" s="52" t="str">
        <f t="shared" si="82"/>
        <v/>
      </c>
      <c r="W317" s="1578"/>
      <c r="X317" s="52" t="str">
        <f t="shared" si="83"/>
        <v/>
      </c>
      <c r="Y317" s="52" t="str">
        <f t="shared" si="84"/>
        <v/>
      </c>
    </row>
    <row r="318" spans="2:25">
      <c r="B318" s="1575"/>
      <c r="C318" s="1795"/>
      <c r="D318" s="920"/>
      <c r="E318" s="61" t="s">
        <v>8607</v>
      </c>
      <c r="F318" s="61"/>
      <c r="G318" s="61"/>
      <c r="H318" s="61"/>
      <c r="I318" s="61"/>
      <c r="J318" s="1687" t="s">
        <v>8418</v>
      </c>
      <c r="K318" s="63" t="str">
        <f t="shared" si="85"/>
        <v>No</v>
      </c>
      <c r="L318" s="76"/>
      <c r="M318" s="63">
        <f t="shared" si="86"/>
        <v>0</v>
      </c>
      <c r="N318" s="63" t="s">
        <v>8412</v>
      </c>
      <c r="O318" s="64"/>
      <c r="P318" s="660" t="str">
        <f t="shared" si="56"/>
        <v/>
      </c>
      <c r="Q318" s="52" t="str">
        <f t="shared" si="77"/>
        <v>No</v>
      </c>
      <c r="R318" s="1574" t="str">
        <f t="shared" si="78"/>
        <v/>
      </c>
      <c r="S318" s="52" t="str">
        <f t="shared" si="80"/>
        <v/>
      </c>
      <c r="T318" s="52" t="str">
        <f t="shared" si="81"/>
        <v/>
      </c>
      <c r="U318" s="52" t="str">
        <f t="shared" si="79"/>
        <v/>
      </c>
      <c r="V318" s="52" t="str">
        <f t="shared" si="82"/>
        <v/>
      </c>
      <c r="W318" s="1578"/>
      <c r="X318" s="52" t="str">
        <f t="shared" si="83"/>
        <v/>
      </c>
      <c r="Y318" s="52" t="str">
        <f t="shared" si="84"/>
        <v/>
      </c>
    </row>
    <row r="319" spans="2:25">
      <c r="B319" s="1575"/>
      <c r="C319" s="1795"/>
      <c r="D319" s="920"/>
      <c r="E319" s="61" t="s">
        <v>8608</v>
      </c>
      <c r="F319" s="61"/>
      <c r="G319" s="61"/>
      <c r="H319" s="61"/>
      <c r="I319" s="61"/>
      <c r="J319" s="1687" t="s">
        <v>8418</v>
      </c>
      <c r="K319" s="63" t="str">
        <f t="shared" si="85"/>
        <v>No</v>
      </c>
      <c r="L319" s="76"/>
      <c r="M319" s="63">
        <f t="shared" si="86"/>
        <v>0</v>
      </c>
      <c r="N319" s="63" t="s">
        <v>8412</v>
      </c>
      <c r="O319" s="64"/>
      <c r="P319" s="660" t="str">
        <f t="shared" si="56"/>
        <v/>
      </c>
      <c r="Q319" s="52" t="str">
        <f t="shared" si="77"/>
        <v>No</v>
      </c>
      <c r="R319" s="1574" t="str">
        <f t="shared" si="78"/>
        <v/>
      </c>
      <c r="S319" s="52" t="str">
        <f t="shared" si="80"/>
        <v/>
      </c>
      <c r="T319" s="52" t="str">
        <f t="shared" si="81"/>
        <v/>
      </c>
      <c r="U319" s="52" t="str">
        <f t="shared" si="79"/>
        <v/>
      </c>
      <c r="V319" s="52" t="str">
        <f t="shared" si="82"/>
        <v/>
      </c>
      <c r="W319" s="1578"/>
      <c r="X319" s="52" t="str">
        <f t="shared" si="83"/>
        <v/>
      </c>
      <c r="Y319" s="52" t="str">
        <f t="shared" si="84"/>
        <v/>
      </c>
    </row>
    <row r="320" spans="2:25">
      <c r="B320" s="1575"/>
      <c r="C320" s="1795"/>
      <c r="D320" s="920"/>
      <c r="E320" s="61" t="s">
        <v>8609</v>
      </c>
      <c r="F320" s="61"/>
      <c r="G320" s="61"/>
      <c r="H320" s="61"/>
      <c r="I320" s="61"/>
      <c r="J320" s="1689" t="s">
        <v>8420</v>
      </c>
      <c r="K320" s="63" t="str">
        <f t="shared" si="85"/>
        <v>No</v>
      </c>
      <c r="L320" s="76"/>
      <c r="M320" s="63">
        <f t="shared" ref="M320:M343" si="87">IF(L320&lt;&gt;"",1,0)</f>
        <v>0</v>
      </c>
      <c r="N320" s="63" t="s">
        <v>8412</v>
      </c>
      <c r="O320" s="64"/>
      <c r="P320" s="660" t="str">
        <f t="shared" si="56"/>
        <v/>
      </c>
      <c r="Q320" s="660" t="str">
        <f t="shared" ref="Q320:Q338" si="88">Q187</f>
        <v>No</v>
      </c>
      <c r="R320" s="1574" t="str">
        <f t="shared" si="78"/>
        <v/>
      </c>
      <c r="S320" s="52" t="str">
        <f t="shared" si="80"/>
        <v/>
      </c>
      <c r="T320" s="52" t="str">
        <f t="shared" si="81"/>
        <v/>
      </c>
      <c r="U320" s="52" t="str">
        <f t="shared" si="79"/>
        <v/>
      </c>
      <c r="V320" s="52" t="str">
        <f t="shared" si="82"/>
        <v/>
      </c>
      <c r="W320" s="1578"/>
      <c r="X320" s="52" t="str">
        <f t="shared" si="83"/>
        <v/>
      </c>
      <c r="Y320" s="52" t="str">
        <f t="shared" si="84"/>
        <v/>
      </c>
    </row>
    <row r="321" spans="2:25">
      <c r="B321" s="1575"/>
      <c r="C321" s="1795"/>
      <c r="D321" s="920"/>
      <c r="E321" s="61" t="s">
        <v>8610</v>
      </c>
      <c r="F321" s="61"/>
      <c r="G321" s="61"/>
      <c r="H321" s="61"/>
      <c r="I321" s="61"/>
      <c r="J321" s="1684" t="s">
        <v>8420</v>
      </c>
      <c r="K321" s="63" t="str">
        <f t="shared" si="85"/>
        <v>No</v>
      </c>
      <c r="L321" s="76"/>
      <c r="M321" s="63">
        <f t="shared" si="87"/>
        <v>0</v>
      </c>
      <c r="N321" s="63" t="s">
        <v>8412</v>
      </c>
      <c r="O321" s="64"/>
      <c r="P321" s="660" t="str">
        <f t="shared" si="56"/>
        <v/>
      </c>
      <c r="Q321" s="660" t="str">
        <f t="shared" si="88"/>
        <v>No</v>
      </c>
      <c r="R321" s="1574" t="str">
        <f t="shared" si="78"/>
        <v/>
      </c>
      <c r="S321" s="52" t="str">
        <f t="shared" si="80"/>
        <v/>
      </c>
      <c r="T321" s="52" t="str">
        <f t="shared" si="81"/>
        <v/>
      </c>
      <c r="U321" s="52" t="str">
        <f t="shared" si="79"/>
        <v/>
      </c>
      <c r="V321" s="52" t="str">
        <f t="shared" si="82"/>
        <v/>
      </c>
      <c r="W321" s="1578"/>
      <c r="X321" s="52" t="str">
        <f t="shared" si="83"/>
        <v/>
      </c>
      <c r="Y321" s="52" t="str">
        <f t="shared" si="84"/>
        <v/>
      </c>
    </row>
    <row r="322" spans="2:25">
      <c r="B322" s="1575"/>
      <c r="C322" s="1795"/>
      <c r="D322" s="920"/>
      <c r="E322" s="61" t="s">
        <v>8611</v>
      </c>
      <c r="F322" s="61"/>
      <c r="G322" s="61"/>
      <c r="H322" s="61"/>
      <c r="I322" s="61"/>
      <c r="J322" s="1684" t="s">
        <v>8420</v>
      </c>
      <c r="K322" s="63" t="str">
        <f t="shared" si="85"/>
        <v>No</v>
      </c>
      <c r="L322" s="76"/>
      <c r="M322" s="63">
        <f t="shared" si="87"/>
        <v>0</v>
      </c>
      <c r="N322" s="63" t="s">
        <v>8412</v>
      </c>
      <c r="O322" s="64"/>
      <c r="P322" s="660" t="str">
        <f t="shared" si="56"/>
        <v/>
      </c>
      <c r="Q322" s="660" t="str">
        <f t="shared" si="88"/>
        <v>No</v>
      </c>
      <c r="R322" s="1574" t="str">
        <f t="shared" si="78"/>
        <v/>
      </c>
      <c r="S322" s="52" t="str">
        <f t="shared" si="80"/>
        <v/>
      </c>
      <c r="T322" s="52" t="str">
        <f t="shared" si="81"/>
        <v/>
      </c>
      <c r="U322" s="52" t="str">
        <f t="shared" si="79"/>
        <v/>
      </c>
      <c r="V322" s="52" t="str">
        <f t="shared" si="82"/>
        <v/>
      </c>
      <c r="W322" s="1578"/>
      <c r="X322" s="52" t="str">
        <f t="shared" si="83"/>
        <v/>
      </c>
      <c r="Y322" s="52" t="str">
        <f t="shared" si="84"/>
        <v/>
      </c>
    </row>
    <row r="323" spans="2:25">
      <c r="B323" s="1575"/>
      <c r="C323" s="1795"/>
      <c r="D323" s="920"/>
      <c r="E323" s="61" t="s">
        <v>8612</v>
      </c>
      <c r="F323" s="61"/>
      <c r="G323" s="61"/>
      <c r="H323" s="61"/>
      <c r="I323" s="61"/>
      <c r="J323" s="1684" t="s">
        <v>8420</v>
      </c>
      <c r="K323" s="63" t="str">
        <f t="shared" si="85"/>
        <v>No</v>
      </c>
      <c r="L323" s="76"/>
      <c r="M323" s="63">
        <f t="shared" si="87"/>
        <v>0</v>
      </c>
      <c r="N323" s="63" t="s">
        <v>8412</v>
      </c>
      <c r="O323" s="64"/>
      <c r="P323" s="660" t="str">
        <f t="shared" si="56"/>
        <v/>
      </c>
      <c r="Q323" s="660" t="str">
        <f t="shared" si="88"/>
        <v>No</v>
      </c>
      <c r="R323" s="1574" t="str">
        <f t="shared" si="78"/>
        <v/>
      </c>
      <c r="S323" s="52" t="str">
        <f t="shared" si="80"/>
        <v/>
      </c>
      <c r="T323" s="52" t="str">
        <f t="shared" si="81"/>
        <v/>
      </c>
      <c r="U323" s="52" t="str">
        <f t="shared" si="79"/>
        <v/>
      </c>
      <c r="V323" s="52" t="str">
        <f t="shared" si="82"/>
        <v/>
      </c>
      <c r="W323" s="1578"/>
      <c r="X323" s="52" t="str">
        <f t="shared" si="83"/>
        <v/>
      </c>
      <c r="Y323" s="52" t="str">
        <f t="shared" si="84"/>
        <v/>
      </c>
    </row>
    <row r="324" spans="2:25">
      <c r="B324" s="1575"/>
      <c r="C324" s="1795"/>
      <c r="D324" s="920"/>
      <c r="E324" s="61" t="s">
        <v>8613</v>
      </c>
      <c r="F324" s="61"/>
      <c r="G324" s="61"/>
      <c r="H324" s="61"/>
      <c r="I324" s="61"/>
      <c r="J324" s="1684" t="s">
        <v>8420</v>
      </c>
      <c r="K324" s="63" t="str">
        <f t="shared" si="85"/>
        <v>No</v>
      </c>
      <c r="L324" s="76"/>
      <c r="M324" s="63">
        <f t="shared" si="87"/>
        <v>0</v>
      </c>
      <c r="N324" s="63" t="s">
        <v>8412</v>
      </c>
      <c r="O324" s="64"/>
      <c r="P324" s="660" t="str">
        <f t="shared" si="56"/>
        <v/>
      </c>
      <c r="Q324" s="660" t="str">
        <f t="shared" si="88"/>
        <v>No</v>
      </c>
      <c r="R324" s="1574" t="str">
        <f t="shared" si="78"/>
        <v/>
      </c>
      <c r="S324" s="52" t="str">
        <f t="shared" si="80"/>
        <v/>
      </c>
      <c r="T324" s="52" t="str">
        <f t="shared" si="81"/>
        <v/>
      </c>
      <c r="U324" s="52" t="str">
        <f t="shared" si="79"/>
        <v/>
      </c>
      <c r="V324" s="52" t="str">
        <f t="shared" si="82"/>
        <v/>
      </c>
      <c r="W324" s="1578"/>
      <c r="X324" s="52" t="str">
        <f t="shared" si="83"/>
        <v/>
      </c>
      <c r="Y324" s="52" t="str">
        <f t="shared" si="84"/>
        <v/>
      </c>
    </row>
    <row r="325" spans="2:25">
      <c r="B325" s="1575"/>
      <c r="C325" s="1795"/>
      <c r="D325" s="920"/>
      <c r="E325" s="61" t="s">
        <v>8614</v>
      </c>
      <c r="F325" s="61"/>
      <c r="G325" s="61"/>
      <c r="H325" s="61"/>
      <c r="I325" s="61"/>
      <c r="J325" s="1684" t="s">
        <v>8420</v>
      </c>
      <c r="K325" s="63" t="str">
        <f t="shared" si="85"/>
        <v>No</v>
      </c>
      <c r="L325" s="76"/>
      <c r="M325" s="63">
        <f t="shared" si="87"/>
        <v>0</v>
      </c>
      <c r="N325" s="63" t="s">
        <v>8412</v>
      </c>
      <c r="O325" s="64"/>
      <c r="P325" s="660" t="str">
        <f t="shared" si="56"/>
        <v/>
      </c>
      <c r="Q325" s="660" t="str">
        <f t="shared" si="88"/>
        <v>No</v>
      </c>
      <c r="R325" s="1574" t="str">
        <f t="shared" si="78"/>
        <v/>
      </c>
      <c r="S325" s="52" t="str">
        <f t="shared" si="80"/>
        <v/>
      </c>
      <c r="T325" s="52" t="str">
        <f t="shared" si="81"/>
        <v/>
      </c>
      <c r="U325" s="52" t="str">
        <f t="shared" si="79"/>
        <v/>
      </c>
      <c r="V325" s="52" t="str">
        <f t="shared" si="82"/>
        <v/>
      </c>
      <c r="W325" s="1578"/>
      <c r="X325" s="52" t="str">
        <f t="shared" si="83"/>
        <v/>
      </c>
      <c r="Y325" s="52" t="str">
        <f t="shared" si="84"/>
        <v/>
      </c>
    </row>
    <row r="326" spans="2:25">
      <c r="B326" s="1575"/>
      <c r="C326" s="1795"/>
      <c r="D326" s="920"/>
      <c r="E326" s="61" t="s">
        <v>8615</v>
      </c>
      <c r="F326" s="61"/>
      <c r="G326" s="61"/>
      <c r="H326" s="61"/>
      <c r="I326" s="61"/>
      <c r="J326" s="1684" t="s">
        <v>8420</v>
      </c>
      <c r="K326" s="63" t="str">
        <f t="shared" si="85"/>
        <v>No</v>
      </c>
      <c r="L326" s="76"/>
      <c r="M326" s="63">
        <f t="shared" si="87"/>
        <v>0</v>
      </c>
      <c r="N326" s="63" t="s">
        <v>8412</v>
      </c>
      <c r="O326" s="64"/>
      <c r="P326" s="660" t="str">
        <f t="shared" si="56"/>
        <v/>
      </c>
      <c r="Q326" s="660" t="str">
        <f t="shared" si="88"/>
        <v>No</v>
      </c>
      <c r="R326" s="1574" t="str">
        <f t="shared" si="78"/>
        <v/>
      </c>
      <c r="S326" s="52" t="str">
        <f t="shared" si="80"/>
        <v/>
      </c>
      <c r="T326" s="52" t="str">
        <f t="shared" si="81"/>
        <v/>
      </c>
      <c r="U326" s="52" t="str">
        <f t="shared" si="79"/>
        <v/>
      </c>
      <c r="V326" s="52" t="str">
        <f t="shared" si="82"/>
        <v/>
      </c>
      <c r="W326" s="1578"/>
      <c r="X326" s="52" t="str">
        <f t="shared" si="83"/>
        <v/>
      </c>
      <c r="Y326" s="52" t="str">
        <f t="shared" si="84"/>
        <v/>
      </c>
    </row>
    <row r="327" spans="2:25">
      <c r="B327" s="1575"/>
      <c r="C327" s="1795"/>
      <c r="D327" s="920"/>
      <c r="E327" s="61" t="s">
        <v>8616</v>
      </c>
      <c r="F327" s="61"/>
      <c r="G327" s="61"/>
      <c r="H327" s="61"/>
      <c r="I327" s="61"/>
      <c r="J327" s="1684" t="s">
        <v>8420</v>
      </c>
      <c r="K327" s="63" t="str">
        <f t="shared" ref="K327:K344" si="89">IF(AND(Q327="Yes",OR(INDEX(SkillTable,MATCH(IF(NOT(ISERROR(FIND("[",E327,1))),"Knowledge ("&amp;MID(E327,FIND("[",E327,1)+1,LEN(E327)-2-FIND("[",E327,1))&amp;")",MID(E327,FIND("(",E327,1)+1,LEN(E327)-1-FIND("(",E327,1))),SkillList,0),4)="Yes",INDEX(SkillTable,MATCH(IF(NOT(ISERROR(FIND("[",E327,1))),"Knowledge ("&amp;MID(E327,FIND("[",E327,1)+1,LEN(E327)-2-FIND("[",E327,1))&amp;")",MID(E327,FIND("(",E327,1)+1,LEN(E327)-1-FIND("(",E327,1))),SkillList,0),5)="Yes")),"Yes","No")</f>
        <v>No</v>
      </c>
      <c r="L327" s="76"/>
      <c r="M327" s="63">
        <f t="shared" si="87"/>
        <v>0</v>
      </c>
      <c r="N327" s="63" t="s">
        <v>8412</v>
      </c>
      <c r="O327" s="64"/>
      <c r="P327" s="660" t="str">
        <f t="shared" si="56"/>
        <v/>
      </c>
      <c r="Q327" s="660" t="str">
        <f t="shared" si="88"/>
        <v>No</v>
      </c>
      <c r="R327" s="1574" t="str">
        <f t="shared" si="78"/>
        <v/>
      </c>
      <c r="S327" s="52" t="str">
        <f t="shared" si="80"/>
        <v/>
      </c>
      <c r="T327" s="52" t="str">
        <f t="shared" si="81"/>
        <v/>
      </c>
      <c r="U327" s="52" t="str">
        <f t="shared" si="79"/>
        <v/>
      </c>
      <c r="V327" s="52" t="str">
        <f t="shared" si="82"/>
        <v/>
      </c>
      <c r="W327" s="1578"/>
      <c r="X327" s="52" t="str">
        <f t="shared" si="83"/>
        <v/>
      </c>
      <c r="Y327" s="52" t="str">
        <f t="shared" si="84"/>
        <v/>
      </c>
    </row>
    <row r="328" spans="2:25">
      <c r="B328" s="1575"/>
      <c r="C328" s="1795"/>
      <c r="D328" s="920"/>
      <c r="E328" s="61" t="s">
        <v>8617</v>
      </c>
      <c r="F328" s="61"/>
      <c r="G328" s="61"/>
      <c r="H328" s="61"/>
      <c r="I328" s="61"/>
      <c r="J328" s="1684" t="s">
        <v>8420</v>
      </c>
      <c r="K328" s="63" t="str">
        <f t="shared" si="89"/>
        <v>No</v>
      </c>
      <c r="L328" s="76"/>
      <c r="M328" s="63">
        <f t="shared" si="87"/>
        <v>0</v>
      </c>
      <c r="N328" s="63" t="s">
        <v>8412</v>
      </c>
      <c r="O328" s="64"/>
      <c r="P328" s="660" t="str">
        <f t="shared" si="56"/>
        <v/>
      </c>
      <c r="Q328" s="660" t="str">
        <f t="shared" si="88"/>
        <v>No</v>
      </c>
      <c r="R328" s="1574" t="str">
        <f t="shared" si="78"/>
        <v/>
      </c>
      <c r="S328" s="52" t="str">
        <f t="shared" si="80"/>
        <v/>
      </c>
      <c r="T328" s="52" t="str">
        <f t="shared" si="81"/>
        <v/>
      </c>
      <c r="U328" s="52" t="str">
        <f t="shared" si="79"/>
        <v/>
      </c>
      <c r="V328" s="52" t="str">
        <f t="shared" si="82"/>
        <v/>
      </c>
      <c r="W328" s="1578"/>
      <c r="X328" s="52" t="str">
        <f t="shared" si="83"/>
        <v/>
      </c>
      <c r="Y328" s="52" t="str">
        <f t="shared" si="84"/>
        <v/>
      </c>
    </row>
    <row r="329" spans="2:25">
      <c r="B329" s="1575"/>
      <c r="C329" s="1795"/>
      <c r="D329" s="920"/>
      <c r="E329" s="61" t="s">
        <v>8618</v>
      </c>
      <c r="F329" s="61"/>
      <c r="G329" s="61"/>
      <c r="H329" s="61"/>
      <c r="I329" s="61"/>
      <c r="J329" s="1684" t="s">
        <v>8420</v>
      </c>
      <c r="K329" s="63" t="str">
        <f t="shared" si="89"/>
        <v>No</v>
      </c>
      <c r="L329" s="76"/>
      <c r="M329" s="63">
        <f t="shared" si="87"/>
        <v>0</v>
      </c>
      <c r="N329" s="63" t="s">
        <v>8412</v>
      </c>
      <c r="O329" s="64"/>
      <c r="P329" s="660" t="str">
        <f t="shared" si="56"/>
        <v/>
      </c>
      <c r="Q329" s="660" t="str">
        <f t="shared" si="88"/>
        <v>No</v>
      </c>
      <c r="R329" s="1574" t="str">
        <f t="shared" si="78"/>
        <v/>
      </c>
      <c r="S329" s="52" t="str">
        <f t="shared" si="80"/>
        <v/>
      </c>
      <c r="T329" s="52" t="str">
        <f t="shared" si="81"/>
        <v/>
      </c>
      <c r="U329" s="52" t="str">
        <f t="shared" si="79"/>
        <v/>
      </c>
      <c r="V329" s="52" t="str">
        <f t="shared" si="82"/>
        <v/>
      </c>
      <c r="W329" s="1578"/>
      <c r="X329" s="52" t="str">
        <f t="shared" si="83"/>
        <v/>
      </c>
      <c r="Y329" s="52" t="str">
        <f t="shared" si="84"/>
        <v/>
      </c>
    </row>
    <row r="330" spans="2:25">
      <c r="B330" s="1575"/>
      <c r="C330" s="1795"/>
      <c r="D330" s="920"/>
      <c r="E330" s="61" t="s">
        <v>8619</v>
      </c>
      <c r="F330" s="61"/>
      <c r="G330" s="61"/>
      <c r="H330" s="61"/>
      <c r="I330" s="61"/>
      <c r="J330" s="1684" t="s">
        <v>8420</v>
      </c>
      <c r="K330" s="63" t="str">
        <f t="shared" si="89"/>
        <v>No</v>
      </c>
      <c r="L330" s="76"/>
      <c r="M330" s="63">
        <f t="shared" si="87"/>
        <v>0</v>
      </c>
      <c r="N330" s="63" t="s">
        <v>8412</v>
      </c>
      <c r="O330" s="64"/>
      <c r="P330" s="660" t="str">
        <f t="shared" si="56"/>
        <v/>
      </c>
      <c r="Q330" s="660" t="str">
        <f t="shared" si="88"/>
        <v>No</v>
      </c>
      <c r="R330" s="1574" t="str">
        <f t="shared" si="78"/>
        <v/>
      </c>
      <c r="S330" s="52" t="str">
        <f t="shared" si="80"/>
        <v/>
      </c>
      <c r="T330" s="52" t="str">
        <f t="shared" si="81"/>
        <v/>
      </c>
      <c r="U330" s="52" t="str">
        <f t="shared" si="79"/>
        <v/>
      </c>
      <c r="V330" s="52" t="str">
        <f t="shared" si="82"/>
        <v/>
      </c>
      <c r="W330" s="1578"/>
      <c r="X330" s="52" t="str">
        <f t="shared" si="83"/>
        <v/>
      </c>
      <c r="Y330" s="52" t="str">
        <f t="shared" si="84"/>
        <v/>
      </c>
    </row>
    <row r="331" spans="2:25">
      <c r="B331" s="1575"/>
      <c r="C331" s="1795"/>
      <c r="D331" s="920"/>
      <c r="E331" s="61" t="s">
        <v>8620</v>
      </c>
      <c r="F331" s="61"/>
      <c r="G331" s="61"/>
      <c r="H331" s="61"/>
      <c r="I331" s="61"/>
      <c r="J331" s="1684" t="s">
        <v>8420</v>
      </c>
      <c r="K331" s="63" t="str">
        <f t="shared" si="89"/>
        <v>No</v>
      </c>
      <c r="L331" s="76"/>
      <c r="M331" s="63">
        <f t="shared" si="87"/>
        <v>0</v>
      </c>
      <c r="N331" s="63" t="s">
        <v>8412</v>
      </c>
      <c r="O331" s="64"/>
      <c r="P331" s="660" t="str">
        <f t="shared" si="56"/>
        <v/>
      </c>
      <c r="Q331" s="660" t="str">
        <f t="shared" si="88"/>
        <v>No</v>
      </c>
      <c r="R331" s="1574" t="str">
        <f t="shared" si="78"/>
        <v/>
      </c>
      <c r="S331" s="52" t="str">
        <f t="shared" si="80"/>
        <v/>
      </c>
      <c r="T331" s="52" t="str">
        <f t="shared" si="81"/>
        <v/>
      </c>
      <c r="U331" s="52" t="str">
        <f t="shared" si="79"/>
        <v/>
      </c>
      <c r="V331" s="52" t="str">
        <f t="shared" si="82"/>
        <v/>
      </c>
      <c r="W331" s="1578"/>
      <c r="X331" s="52" t="str">
        <f t="shared" si="83"/>
        <v/>
      </c>
      <c r="Y331" s="52" t="str">
        <f t="shared" si="84"/>
        <v/>
      </c>
    </row>
    <row r="332" spans="2:25">
      <c r="B332" s="1575"/>
      <c r="C332" s="1795"/>
      <c r="D332" s="920"/>
      <c r="E332" s="61" t="s">
        <v>8621</v>
      </c>
      <c r="F332" s="61"/>
      <c r="G332" s="61"/>
      <c r="H332" s="61"/>
      <c r="I332" s="61"/>
      <c r="J332" s="1684" t="s">
        <v>8420</v>
      </c>
      <c r="K332" s="63" t="str">
        <f t="shared" si="89"/>
        <v>No</v>
      </c>
      <c r="L332" s="76"/>
      <c r="M332" s="63">
        <f t="shared" si="87"/>
        <v>0</v>
      </c>
      <c r="N332" s="63" t="s">
        <v>8412</v>
      </c>
      <c r="O332" s="64"/>
      <c r="P332" s="660" t="str">
        <f t="shared" si="56"/>
        <v/>
      </c>
      <c r="Q332" s="660" t="str">
        <f t="shared" si="88"/>
        <v>No</v>
      </c>
      <c r="R332" s="1574" t="str">
        <f t="shared" si="78"/>
        <v/>
      </c>
      <c r="S332" s="52" t="str">
        <f t="shared" si="80"/>
        <v/>
      </c>
      <c r="T332" s="52" t="str">
        <f t="shared" si="81"/>
        <v/>
      </c>
      <c r="U332" s="52" t="str">
        <f t="shared" si="79"/>
        <v/>
      </c>
      <c r="V332" s="52" t="str">
        <f t="shared" si="82"/>
        <v/>
      </c>
      <c r="W332" s="1578"/>
      <c r="X332" s="52" t="str">
        <f t="shared" si="83"/>
        <v/>
      </c>
      <c r="Y332" s="52" t="str">
        <f t="shared" si="84"/>
        <v/>
      </c>
    </row>
    <row r="333" spans="2:25">
      <c r="B333" s="1575"/>
      <c r="C333" s="1795"/>
      <c r="D333" s="920"/>
      <c r="E333" s="61" t="s">
        <v>8622</v>
      </c>
      <c r="F333" s="61"/>
      <c r="G333" s="61"/>
      <c r="H333" s="61"/>
      <c r="I333" s="61"/>
      <c r="J333" s="1684" t="s">
        <v>8420</v>
      </c>
      <c r="K333" s="63" t="str">
        <f t="shared" si="89"/>
        <v>No</v>
      </c>
      <c r="L333" s="76"/>
      <c r="M333" s="63">
        <f t="shared" si="87"/>
        <v>0</v>
      </c>
      <c r="N333" s="63" t="s">
        <v>8412</v>
      </c>
      <c r="O333" s="64"/>
      <c r="P333" s="660" t="str">
        <f t="shared" si="56"/>
        <v/>
      </c>
      <c r="Q333" s="660" t="str">
        <f t="shared" si="88"/>
        <v>No</v>
      </c>
      <c r="R333" s="1574" t="str">
        <f t="shared" si="78"/>
        <v/>
      </c>
      <c r="S333" s="52" t="str">
        <f t="shared" si="80"/>
        <v/>
      </c>
      <c r="T333" s="52" t="str">
        <f t="shared" si="81"/>
        <v/>
      </c>
      <c r="U333" s="52" t="str">
        <f t="shared" si="79"/>
        <v/>
      </c>
      <c r="V333" s="52" t="str">
        <f t="shared" si="82"/>
        <v/>
      </c>
      <c r="W333" s="1578"/>
      <c r="X333" s="52" t="str">
        <f t="shared" si="83"/>
        <v/>
      </c>
      <c r="Y333" s="52" t="str">
        <f t="shared" si="84"/>
        <v/>
      </c>
    </row>
    <row r="334" spans="2:25">
      <c r="B334" s="1575"/>
      <c r="C334" s="1795"/>
      <c r="D334" s="920"/>
      <c r="E334" s="61" t="s">
        <v>8623</v>
      </c>
      <c r="F334" s="61"/>
      <c r="G334" s="61"/>
      <c r="H334" s="61"/>
      <c r="I334" s="61"/>
      <c r="J334" s="1684" t="s">
        <v>8420</v>
      </c>
      <c r="K334" s="63" t="str">
        <f t="shared" si="89"/>
        <v>No</v>
      </c>
      <c r="L334" s="76"/>
      <c r="M334" s="63">
        <f t="shared" si="87"/>
        <v>0</v>
      </c>
      <c r="N334" s="63" t="s">
        <v>8412</v>
      </c>
      <c r="O334" s="64"/>
      <c r="P334" s="660" t="str">
        <f t="shared" si="56"/>
        <v/>
      </c>
      <c r="Q334" s="660" t="str">
        <f t="shared" si="88"/>
        <v>No</v>
      </c>
      <c r="R334" s="1574" t="str">
        <f t="shared" si="78"/>
        <v/>
      </c>
      <c r="S334" s="52" t="str">
        <f t="shared" si="80"/>
        <v/>
      </c>
      <c r="T334" s="52" t="str">
        <f t="shared" si="81"/>
        <v/>
      </c>
      <c r="U334" s="52" t="str">
        <f t="shared" si="79"/>
        <v/>
      </c>
      <c r="V334" s="52" t="str">
        <f t="shared" si="82"/>
        <v/>
      </c>
      <c r="W334" s="1578"/>
      <c r="X334" s="52" t="str">
        <f t="shared" si="83"/>
        <v/>
      </c>
      <c r="Y334" s="52" t="str">
        <f t="shared" si="84"/>
        <v/>
      </c>
    </row>
    <row r="335" spans="2:25">
      <c r="B335" s="1575"/>
      <c r="C335" s="1795"/>
      <c r="D335" s="920"/>
      <c r="E335" s="61" t="s">
        <v>8624</v>
      </c>
      <c r="F335" s="61"/>
      <c r="G335" s="61"/>
      <c r="H335" s="61"/>
      <c r="I335" s="61"/>
      <c r="J335" s="1684" t="s">
        <v>8420</v>
      </c>
      <c r="K335" s="63" t="str">
        <f t="shared" si="89"/>
        <v>No</v>
      </c>
      <c r="L335" s="76"/>
      <c r="M335" s="63">
        <f t="shared" si="87"/>
        <v>0</v>
      </c>
      <c r="N335" s="63" t="s">
        <v>8412</v>
      </c>
      <c r="O335" s="64"/>
      <c r="P335" s="660" t="str">
        <f t="shared" si="56"/>
        <v/>
      </c>
      <c r="Q335" s="660" t="str">
        <f t="shared" si="88"/>
        <v>No</v>
      </c>
      <c r="R335" s="1574" t="str">
        <f t="shared" si="78"/>
        <v/>
      </c>
      <c r="S335" s="52" t="str">
        <f t="shared" si="80"/>
        <v/>
      </c>
      <c r="T335" s="52" t="str">
        <f t="shared" si="81"/>
        <v/>
      </c>
      <c r="U335" s="52" t="str">
        <f t="shared" si="79"/>
        <v/>
      </c>
      <c r="V335" s="52" t="str">
        <f t="shared" si="82"/>
        <v/>
      </c>
      <c r="W335" s="1578"/>
      <c r="X335" s="52" t="str">
        <f t="shared" si="83"/>
        <v/>
      </c>
      <c r="Y335" s="52" t="str">
        <f t="shared" si="84"/>
        <v/>
      </c>
    </row>
    <row r="336" spans="2:25">
      <c r="B336" s="1575"/>
      <c r="C336" s="1795"/>
      <c r="D336" s="920"/>
      <c r="E336" s="61" t="s">
        <v>8625</v>
      </c>
      <c r="F336" s="61"/>
      <c r="G336" s="61"/>
      <c r="H336" s="61"/>
      <c r="I336" s="61"/>
      <c r="J336" s="1684" t="s">
        <v>8420</v>
      </c>
      <c r="K336" s="63" t="str">
        <f t="shared" si="89"/>
        <v>No</v>
      </c>
      <c r="L336" s="76"/>
      <c r="M336" s="63">
        <f t="shared" si="87"/>
        <v>0</v>
      </c>
      <c r="N336" s="63" t="s">
        <v>8412</v>
      </c>
      <c r="O336" s="64"/>
      <c r="P336" s="660" t="str">
        <f t="shared" si="56"/>
        <v/>
      </c>
      <c r="Q336" s="660" t="str">
        <f t="shared" si="88"/>
        <v>No</v>
      </c>
      <c r="R336" s="1574" t="str">
        <f t="shared" ref="R336:R399" si="90">IF(L336&lt;&gt;"",E336&amp;F336&amp;G336&amp;IF(P336&lt;&gt;""," ("&amp;P336&amp;")",""),"")&amp;IF(M336&gt;1," ("&amp;M336&amp;")","")</f>
        <v/>
      </c>
      <c r="S336" s="52" t="str">
        <f t="shared" si="80"/>
        <v/>
      </c>
      <c r="T336" s="52" t="str">
        <f t="shared" si="81"/>
        <v/>
      </c>
      <c r="U336" s="52" t="str">
        <f t="shared" ref="U336:U399" si="91">IF(L336&lt;&gt;"",IF(ISNUMBER(L336),"",E336&amp;F336&amp;G336),"")</f>
        <v/>
      </c>
      <c r="V336" s="52" t="str">
        <f t="shared" si="82"/>
        <v/>
      </c>
      <c r="W336" s="1578"/>
      <c r="X336" s="52" t="str">
        <f t="shared" si="83"/>
        <v/>
      </c>
      <c r="Y336" s="52" t="str">
        <f t="shared" si="84"/>
        <v/>
      </c>
    </row>
    <row r="337" spans="2:27">
      <c r="B337" s="1575"/>
      <c r="C337" s="1795"/>
      <c r="D337" s="920"/>
      <c r="E337" s="61" t="s">
        <v>8626</v>
      </c>
      <c r="F337" s="61"/>
      <c r="G337" s="61"/>
      <c r="H337" s="61"/>
      <c r="I337" s="61"/>
      <c r="J337" s="1684" t="s">
        <v>8420</v>
      </c>
      <c r="K337" s="63" t="str">
        <f t="shared" si="89"/>
        <v>No</v>
      </c>
      <c r="L337" s="76"/>
      <c r="M337" s="63">
        <f t="shared" si="87"/>
        <v>0</v>
      </c>
      <c r="N337" s="63" t="s">
        <v>8412</v>
      </c>
      <c r="O337" s="64"/>
      <c r="P337" s="660" t="str">
        <f t="shared" si="56"/>
        <v/>
      </c>
      <c r="Q337" s="660" t="str">
        <f t="shared" si="88"/>
        <v>No</v>
      </c>
      <c r="R337" s="1574" t="str">
        <f t="shared" si="90"/>
        <v/>
      </c>
      <c r="S337" s="52" t="str">
        <f t="shared" si="80"/>
        <v/>
      </c>
      <c r="T337" s="52" t="str">
        <f t="shared" si="81"/>
        <v/>
      </c>
      <c r="U337" s="52" t="str">
        <f t="shared" si="91"/>
        <v/>
      </c>
      <c r="V337" s="52" t="str">
        <f t="shared" si="82"/>
        <v/>
      </c>
      <c r="W337" s="1578"/>
      <c r="X337" s="52" t="str">
        <f t="shared" si="83"/>
        <v/>
      </c>
      <c r="Y337" s="52" t="str">
        <f t="shared" si="84"/>
        <v/>
      </c>
    </row>
    <row r="338" spans="2:27">
      <c r="B338" s="1575"/>
      <c r="C338" s="1795"/>
      <c r="D338" s="920"/>
      <c r="E338" s="61" t="s">
        <v>8627</v>
      </c>
      <c r="F338" s="61"/>
      <c r="G338" s="61"/>
      <c r="H338" s="61"/>
      <c r="I338" s="61"/>
      <c r="J338" s="1684" t="s">
        <v>8420</v>
      </c>
      <c r="K338" s="63" t="str">
        <f t="shared" si="89"/>
        <v>No</v>
      </c>
      <c r="L338" s="76"/>
      <c r="M338" s="63">
        <f t="shared" si="87"/>
        <v>0</v>
      </c>
      <c r="N338" s="63" t="s">
        <v>8412</v>
      </c>
      <c r="O338" s="64"/>
      <c r="P338" s="660" t="str">
        <f t="shared" si="56"/>
        <v/>
      </c>
      <c r="Q338" s="660" t="str">
        <f t="shared" si="88"/>
        <v>No</v>
      </c>
      <c r="R338" s="1574" t="str">
        <f t="shared" si="90"/>
        <v/>
      </c>
      <c r="S338" s="52" t="str">
        <f t="shared" si="80"/>
        <v/>
      </c>
      <c r="T338" s="52" t="str">
        <f t="shared" si="81"/>
        <v/>
      </c>
      <c r="U338" s="52" t="str">
        <f t="shared" si="91"/>
        <v/>
      </c>
      <c r="V338" s="52" t="str">
        <f t="shared" si="82"/>
        <v/>
      </c>
      <c r="W338" s="1578"/>
      <c r="X338" s="52" t="str">
        <f t="shared" si="83"/>
        <v/>
      </c>
      <c r="Y338" s="52" t="str">
        <f t="shared" si="84"/>
        <v/>
      </c>
    </row>
    <row r="339" spans="2:27">
      <c r="B339" s="1575"/>
      <c r="C339" s="1795"/>
      <c r="D339" s="920"/>
      <c r="E339" s="61" t="s">
        <v>8628</v>
      </c>
      <c r="F339" s="61"/>
      <c r="G339" s="61"/>
      <c r="H339" s="61"/>
      <c r="I339" s="61"/>
      <c r="J339" s="1684" t="s">
        <v>8420</v>
      </c>
      <c r="K339" s="63" t="str">
        <f t="shared" si="89"/>
        <v>No</v>
      </c>
      <c r="L339" s="76"/>
      <c r="M339" s="63">
        <f t="shared" si="87"/>
        <v>0</v>
      </c>
      <c r="N339" s="63" t="s">
        <v>8412</v>
      </c>
      <c r="O339" s="64"/>
      <c r="P339" s="660" t="str">
        <f t="shared" si="56"/>
        <v/>
      </c>
      <c r="Q339" s="660" t="str">
        <f t="shared" ref="Q339:Q343" si="92">Q207</f>
        <v>No</v>
      </c>
      <c r="R339" s="1574" t="str">
        <f t="shared" si="90"/>
        <v/>
      </c>
      <c r="S339" s="52" t="str">
        <f t="shared" si="80"/>
        <v/>
      </c>
      <c r="T339" s="52" t="str">
        <f t="shared" si="81"/>
        <v/>
      </c>
      <c r="U339" s="52" t="str">
        <f t="shared" si="91"/>
        <v/>
      </c>
      <c r="V339" s="52" t="str">
        <f t="shared" si="82"/>
        <v/>
      </c>
      <c r="W339" s="1578"/>
      <c r="X339" s="52" t="str">
        <f t="shared" si="83"/>
        <v/>
      </c>
      <c r="Y339" s="52" t="str">
        <f t="shared" si="84"/>
        <v/>
      </c>
    </row>
    <row r="340" spans="2:27">
      <c r="B340" s="1575"/>
      <c r="C340" s="1795"/>
      <c r="D340" s="920"/>
      <c r="E340" s="61" t="s">
        <v>8629</v>
      </c>
      <c r="F340" s="61"/>
      <c r="G340" s="61"/>
      <c r="H340" s="61"/>
      <c r="I340" s="61"/>
      <c r="J340" s="1684" t="s">
        <v>8420</v>
      </c>
      <c r="K340" s="63" t="str">
        <f t="shared" si="89"/>
        <v>No</v>
      </c>
      <c r="L340" s="76"/>
      <c r="M340" s="63">
        <f t="shared" si="87"/>
        <v>0</v>
      </c>
      <c r="N340" s="63" t="s">
        <v>8412</v>
      </c>
      <c r="O340" s="64"/>
      <c r="P340" s="660" t="str">
        <f t="shared" si="56"/>
        <v/>
      </c>
      <c r="Q340" s="660" t="str">
        <f t="shared" si="92"/>
        <v>No</v>
      </c>
      <c r="R340" s="1574" t="str">
        <f t="shared" si="90"/>
        <v/>
      </c>
      <c r="S340" s="52" t="str">
        <f t="shared" si="80"/>
        <v/>
      </c>
      <c r="T340" s="52" t="str">
        <f t="shared" si="81"/>
        <v/>
      </c>
      <c r="U340" s="52" t="str">
        <f t="shared" si="91"/>
        <v/>
      </c>
      <c r="V340" s="52" t="str">
        <f t="shared" si="82"/>
        <v/>
      </c>
      <c r="W340" s="1578"/>
      <c r="X340" s="52" t="str">
        <f t="shared" si="83"/>
        <v/>
      </c>
      <c r="Y340" s="52" t="str">
        <f t="shared" si="84"/>
        <v/>
      </c>
    </row>
    <row r="341" spans="2:27">
      <c r="B341" s="1575"/>
      <c r="C341" s="1795"/>
      <c r="D341" s="920"/>
      <c r="E341" s="61" t="s">
        <v>8630</v>
      </c>
      <c r="F341" s="61"/>
      <c r="G341" s="61"/>
      <c r="H341" s="61"/>
      <c r="I341" s="61"/>
      <c r="J341" s="1684" t="s">
        <v>8420</v>
      </c>
      <c r="K341" s="63" t="str">
        <f t="shared" si="89"/>
        <v>No</v>
      </c>
      <c r="L341" s="76"/>
      <c r="M341" s="63">
        <f t="shared" si="87"/>
        <v>0</v>
      </c>
      <c r="N341" s="63" t="s">
        <v>8412</v>
      </c>
      <c r="O341" s="64"/>
      <c r="P341" s="660" t="str">
        <f t="shared" si="56"/>
        <v/>
      </c>
      <c r="Q341" s="660" t="str">
        <f t="shared" si="92"/>
        <v>No</v>
      </c>
      <c r="R341" s="1574" t="str">
        <f t="shared" si="90"/>
        <v/>
      </c>
      <c r="S341" s="52" t="str">
        <f t="shared" si="80"/>
        <v/>
      </c>
      <c r="T341" s="52" t="str">
        <f t="shared" si="81"/>
        <v/>
      </c>
      <c r="U341" s="52" t="str">
        <f t="shared" si="91"/>
        <v/>
      </c>
      <c r="V341" s="52" t="str">
        <f t="shared" si="82"/>
        <v/>
      </c>
      <c r="W341" s="1578"/>
      <c r="X341" s="52" t="str">
        <f t="shared" si="83"/>
        <v/>
      </c>
      <c r="Y341" s="52" t="str">
        <f t="shared" si="84"/>
        <v/>
      </c>
    </row>
    <row r="342" spans="2:27">
      <c r="B342" s="1575"/>
      <c r="C342" s="1795"/>
      <c r="D342" s="920"/>
      <c r="E342" s="61" t="s">
        <v>8631</v>
      </c>
      <c r="F342" s="61"/>
      <c r="G342" s="61"/>
      <c r="H342" s="61"/>
      <c r="I342" s="61"/>
      <c r="J342" s="1684" t="s">
        <v>8420</v>
      </c>
      <c r="K342" s="63" t="str">
        <f t="shared" si="89"/>
        <v>No</v>
      </c>
      <c r="L342" s="76"/>
      <c r="M342" s="63">
        <f t="shared" si="87"/>
        <v>0</v>
      </c>
      <c r="N342" s="63" t="s">
        <v>8412</v>
      </c>
      <c r="O342" s="64"/>
      <c r="P342" s="660" t="str">
        <f t="shared" si="56"/>
        <v/>
      </c>
      <c r="Q342" s="660" t="str">
        <f t="shared" si="92"/>
        <v>No</v>
      </c>
      <c r="R342" s="1574" t="str">
        <f t="shared" si="90"/>
        <v/>
      </c>
      <c r="S342" s="52" t="str">
        <f t="shared" si="80"/>
        <v/>
      </c>
      <c r="T342" s="52" t="str">
        <f t="shared" si="81"/>
        <v/>
      </c>
      <c r="U342" s="52" t="str">
        <f t="shared" si="91"/>
        <v/>
      </c>
      <c r="V342" s="52" t="str">
        <f t="shared" si="82"/>
        <v/>
      </c>
      <c r="W342" s="1578"/>
      <c r="X342" s="52" t="str">
        <f t="shared" si="83"/>
        <v/>
      </c>
      <c r="Y342" s="52" t="str">
        <f t="shared" si="84"/>
        <v/>
      </c>
    </row>
    <row r="343" spans="2:27">
      <c r="B343" s="1575"/>
      <c r="C343" s="1795"/>
      <c r="D343" s="920"/>
      <c r="E343" s="61" t="s">
        <v>8632</v>
      </c>
      <c r="F343" s="61"/>
      <c r="G343" s="61"/>
      <c r="H343" s="61"/>
      <c r="I343" s="61"/>
      <c r="J343" s="1684" t="s">
        <v>8420</v>
      </c>
      <c r="K343" s="63" t="str">
        <f t="shared" si="89"/>
        <v>No</v>
      </c>
      <c r="L343" s="76"/>
      <c r="M343" s="63">
        <f t="shared" si="87"/>
        <v>0</v>
      </c>
      <c r="N343" s="63" t="s">
        <v>8412</v>
      </c>
      <c r="O343" s="64"/>
      <c r="P343" s="660" t="str">
        <f t="shared" si="56"/>
        <v/>
      </c>
      <c r="Q343" s="660" t="str">
        <f t="shared" si="92"/>
        <v>No</v>
      </c>
      <c r="R343" s="1574" t="str">
        <f t="shared" si="90"/>
        <v/>
      </c>
      <c r="S343" s="52" t="str">
        <f t="shared" si="80"/>
        <v/>
      </c>
      <c r="T343" s="52" t="str">
        <f t="shared" si="81"/>
        <v/>
      </c>
      <c r="U343" s="52" t="str">
        <f t="shared" si="91"/>
        <v/>
      </c>
      <c r="V343" s="52" t="str">
        <f t="shared" si="82"/>
        <v/>
      </c>
      <c r="W343" s="1578"/>
      <c r="X343" s="52" t="str">
        <f t="shared" si="83"/>
        <v/>
      </c>
      <c r="Y343" s="52" t="str">
        <f t="shared" si="84"/>
        <v/>
      </c>
    </row>
    <row r="344" spans="2:27">
      <c r="B344" s="1532" t="str">
        <f t="shared" ref="B344:B375" si="93">IF(E344&lt;&gt;"",E344,IF(F344&lt;&gt;"",F344,IF(G344&lt;&gt;"",G344,IF(H344&lt;&gt;"",H344))))</f>
        <v>Skillful Recovery (Use the Force)</v>
      </c>
      <c r="C344" s="1796"/>
      <c r="D344" s="71"/>
      <c r="E344" s="927" t="s">
        <v>8633</v>
      </c>
      <c r="F344" s="927"/>
      <c r="G344" s="927"/>
      <c r="H344" s="927"/>
      <c r="I344" s="927"/>
      <c r="J344" s="1690" t="s">
        <v>8420</v>
      </c>
      <c r="K344" s="928" t="str">
        <f t="shared" si="89"/>
        <v>No</v>
      </c>
      <c r="L344" s="929"/>
      <c r="M344" s="928">
        <f t="shared" ref="M344:M352" si="94">IF(L344&lt;&gt;"",1,0)</f>
        <v>0</v>
      </c>
      <c r="N344" s="928" t="s">
        <v>8412</v>
      </c>
      <c r="O344" s="64"/>
      <c r="P344" s="660" t="str">
        <f t="shared" si="56"/>
        <v/>
      </c>
      <c r="Q344" s="52" t="str">
        <f>Q212</f>
        <v>No</v>
      </c>
      <c r="R344" s="1574" t="str">
        <f t="shared" si="90"/>
        <v/>
      </c>
      <c r="S344" s="52" t="str">
        <f t="shared" si="80"/>
        <v/>
      </c>
      <c r="T344" s="52" t="str">
        <f t="shared" si="81"/>
        <v/>
      </c>
      <c r="U344" s="52" t="str">
        <f t="shared" si="91"/>
        <v/>
      </c>
      <c r="V344" s="52" t="str">
        <f t="shared" si="82"/>
        <v/>
      </c>
      <c r="W344" s="1578"/>
      <c r="X344" s="52" t="str">
        <f t="shared" si="83"/>
        <v/>
      </c>
      <c r="Y344" s="52" t="str">
        <f t="shared" si="84"/>
        <v/>
      </c>
    </row>
    <row r="345" spans="2:27" ht="14.5" customHeight="1">
      <c r="B345" s="1532" t="str">
        <f t="shared" si="93"/>
        <v>Cheap Trick</v>
      </c>
      <c r="C345" s="1794" t="s">
        <v>279</v>
      </c>
      <c r="D345" s="920" t="s">
        <v>6832</v>
      </c>
      <c r="E345" s="61" t="s">
        <v>6833</v>
      </c>
      <c r="F345" s="61"/>
      <c r="G345" s="61"/>
      <c r="H345" s="61"/>
      <c r="I345" s="61"/>
      <c r="J345" s="1687" t="s">
        <v>6834</v>
      </c>
      <c r="K345" s="63" t="str">
        <f>IF(AND(Q345="Yes",OR(TDeception="Yes",FDeception="Yes",Skills!Q13)),"Yes","No")</f>
        <v>No</v>
      </c>
      <c r="L345" s="76"/>
      <c r="M345" s="63">
        <f t="shared" si="94"/>
        <v>0</v>
      </c>
      <c r="N345" s="63" t="s">
        <v>6828</v>
      </c>
      <c r="O345" s="64"/>
      <c r="P345" s="660" t="str">
        <f t="shared" si="56"/>
        <v/>
      </c>
      <c r="Q345" s="52" t="str">
        <f>IF(OR($AD$45&gt;0,$AD$9&gt;0),"Yes","No")</f>
        <v>No</v>
      </c>
      <c r="R345" s="1574" t="str">
        <f t="shared" si="90"/>
        <v/>
      </c>
      <c r="S345" s="52" t="str">
        <f t="shared" ref="S345:S384" si="95">IF(R345&lt;&gt;"",R345&amp;";"&amp;S346,S346)</f>
        <v/>
      </c>
      <c r="T345" s="52" t="str">
        <f t="shared" ref="T345:T384" si="96">IF(R345&lt;&gt;"",N345&amp;";"&amp;T346,T346)</f>
        <v/>
      </c>
      <c r="U345" s="52" t="str">
        <f t="shared" si="91"/>
        <v/>
      </c>
      <c r="V345" s="52" t="str">
        <f t="shared" ref="V345:V384" si="97">IF(U345&lt;&gt;"",U345&amp;";"&amp;V346,V346)</f>
        <v/>
      </c>
      <c r="W345" s="1578"/>
      <c r="X345" s="52" t="str">
        <f t="shared" ref="X345:X383" si="98">IF(U345&lt;&gt;"",IF(W345="Special Actions",U345&amp;IF(X346&lt;&gt;"",", ",""),"")&amp;X346,X346)</f>
        <v/>
      </c>
      <c r="Y345" s="52" t="str">
        <f t="shared" ref="Y345:Y405" si="99">IF(U345&lt;&gt;"",IF(W345="Att Options",U345&amp;IF(Y346&lt;&gt;"",", ",""),"")&amp;Y346,Y346)</f>
        <v/>
      </c>
    </row>
    <row r="346" spans="2:27" ht="39">
      <c r="B346" s="1532" t="str">
        <f t="shared" si="93"/>
        <v>Easy Prey</v>
      </c>
      <c r="C346" s="1795"/>
      <c r="D346" s="920"/>
      <c r="E346" s="61"/>
      <c r="F346" s="61" t="s">
        <v>6835</v>
      </c>
      <c r="G346" s="61"/>
      <c r="H346" s="61"/>
      <c r="I346" s="61"/>
      <c r="J346" s="1687" t="s">
        <v>6836</v>
      </c>
      <c r="K346" s="63" t="str">
        <f>IF(AND(Q346="Yes",L345&lt;&gt;""),"Yes","No")</f>
        <v>No</v>
      </c>
      <c r="L346" s="76"/>
      <c r="M346" s="63">
        <f t="shared" si="94"/>
        <v>0</v>
      </c>
      <c r="N346" s="63" t="s">
        <v>6828</v>
      </c>
      <c r="O346" s="64"/>
      <c r="P346" s="660" t="str">
        <f t="shared" si="56"/>
        <v/>
      </c>
      <c r="Q346" s="52" t="str">
        <f>Q345</f>
        <v>No</v>
      </c>
      <c r="R346" s="1574" t="str">
        <f t="shared" si="90"/>
        <v/>
      </c>
      <c r="S346" s="52" t="str">
        <f t="shared" si="95"/>
        <v/>
      </c>
      <c r="T346" s="52" t="str">
        <f t="shared" si="96"/>
        <v/>
      </c>
      <c r="U346" s="52" t="str">
        <f t="shared" si="91"/>
        <v/>
      </c>
      <c r="V346" s="52" t="str">
        <f t="shared" si="97"/>
        <v/>
      </c>
      <c r="W346" s="1578"/>
      <c r="X346" s="52" t="str">
        <f t="shared" si="98"/>
        <v/>
      </c>
      <c r="Y346" s="52" t="str">
        <f t="shared" si="99"/>
        <v/>
      </c>
    </row>
    <row r="347" spans="2:27" ht="130">
      <c r="B347" s="1532" t="str">
        <f t="shared" si="93"/>
        <v>Sly Combatant</v>
      </c>
      <c r="C347" s="1795"/>
      <c r="D347" s="920"/>
      <c r="E347" s="61"/>
      <c r="F347" s="61"/>
      <c r="G347" s="61" t="s">
        <v>6837</v>
      </c>
      <c r="H347" s="61"/>
      <c r="I347" s="61"/>
      <c r="J347" s="1687" t="s">
        <v>6838</v>
      </c>
      <c r="K347" s="63" t="str">
        <f>IF(AND(Q347="Yes",L346&lt;&gt;""),"Yes","No")</f>
        <v>No</v>
      </c>
      <c r="L347" s="76"/>
      <c r="M347" s="63">
        <f t="shared" si="94"/>
        <v>0</v>
      </c>
      <c r="N347" s="63" t="s">
        <v>6828</v>
      </c>
      <c r="O347" s="64"/>
      <c r="P347" s="660" t="str">
        <f t="shared" si="56"/>
        <v/>
      </c>
      <c r="Q347" s="52" t="str">
        <f>Q346</f>
        <v>No</v>
      </c>
      <c r="R347" s="1574" t="str">
        <f t="shared" si="90"/>
        <v/>
      </c>
      <c r="S347" s="52" t="str">
        <f t="shared" si="95"/>
        <v/>
      </c>
      <c r="T347" s="52" t="str">
        <f t="shared" si="96"/>
        <v/>
      </c>
      <c r="U347" s="52" t="str">
        <f t="shared" si="91"/>
        <v/>
      </c>
      <c r="V347" s="52" t="str">
        <f t="shared" si="97"/>
        <v/>
      </c>
      <c r="W347" s="1578"/>
      <c r="X347" s="52" t="str">
        <f t="shared" si="98"/>
        <v/>
      </c>
      <c r="Y347" s="52" t="str">
        <f t="shared" si="99"/>
        <v/>
      </c>
    </row>
    <row r="348" spans="2:27" ht="26">
      <c r="B348" s="1532" t="str">
        <f t="shared" si="93"/>
        <v>Quick Strike</v>
      </c>
      <c r="C348" s="1795"/>
      <c r="D348" s="920"/>
      <c r="E348" s="61"/>
      <c r="F348" s="61" t="s">
        <v>6839</v>
      </c>
      <c r="G348" s="61"/>
      <c r="H348" s="61"/>
      <c r="I348" s="61"/>
      <c r="J348" s="1687" t="s">
        <v>6840</v>
      </c>
      <c r="K348" s="63" t="str">
        <f>IF(AND(Q348="Yes",L345&lt;&gt;""),"Yes","No")</f>
        <v>No</v>
      </c>
      <c r="L348" s="76"/>
      <c r="M348" s="63">
        <f t="shared" si="94"/>
        <v>0</v>
      </c>
      <c r="N348" s="63" t="s">
        <v>6828</v>
      </c>
      <c r="O348" s="64"/>
      <c r="P348" s="660" t="str">
        <f t="shared" si="56"/>
        <v/>
      </c>
      <c r="Q348" s="52" t="str">
        <f>Q347</f>
        <v>No</v>
      </c>
      <c r="R348" s="1574" t="str">
        <f t="shared" si="90"/>
        <v/>
      </c>
      <c r="S348" s="52" t="str">
        <f t="shared" si="95"/>
        <v/>
      </c>
      <c r="T348" s="52" t="str">
        <f t="shared" si="96"/>
        <v/>
      </c>
      <c r="U348" s="52" t="str">
        <f t="shared" si="91"/>
        <v/>
      </c>
      <c r="V348" s="52" t="str">
        <f t="shared" si="97"/>
        <v/>
      </c>
      <c r="W348" s="1578"/>
      <c r="X348" s="52" t="str">
        <f t="shared" si="98"/>
        <v/>
      </c>
      <c r="Y348" s="52" t="str">
        <f t="shared" si="99"/>
        <v/>
      </c>
    </row>
    <row r="349" spans="2:27" ht="14.5" customHeight="1">
      <c r="B349" s="1532" t="str">
        <f t="shared" si="93"/>
        <v>Fool's Luck</v>
      </c>
      <c r="C349" s="1795"/>
      <c r="D349" s="920" t="s">
        <v>2736</v>
      </c>
      <c r="E349" s="61" t="s">
        <v>2737</v>
      </c>
      <c r="F349" s="61"/>
      <c r="G349" s="61"/>
      <c r="H349" s="61"/>
      <c r="I349" s="61"/>
      <c r="J349" s="1687" t="s">
        <v>4862</v>
      </c>
      <c r="K349" s="63" t="str">
        <f>IF(Q349="Yes","Yes","No")</f>
        <v>No</v>
      </c>
      <c r="L349" s="76"/>
      <c r="M349" s="63">
        <f t="shared" si="94"/>
        <v>0</v>
      </c>
      <c r="N349" s="63">
        <v>46</v>
      </c>
      <c r="O349" s="64"/>
      <c r="P349" s="660" t="str">
        <f t="shared" si="56"/>
        <v/>
      </c>
      <c r="Q349" s="52" t="str">
        <f>IF(OR($AD$45&gt;0,$AD$9&gt;0,$AD$18&gt;0,$AD$36&gt;0),"Yes","No")</f>
        <v>No</v>
      </c>
      <c r="R349" s="1574" t="str">
        <f t="shared" si="90"/>
        <v/>
      </c>
      <c r="S349" s="52" t="str">
        <f t="shared" si="95"/>
        <v/>
      </c>
      <c r="T349" s="52" t="str">
        <f t="shared" si="96"/>
        <v/>
      </c>
      <c r="U349" s="52" t="str">
        <f t="shared" si="91"/>
        <v/>
      </c>
      <c r="V349" s="52" t="str">
        <f t="shared" si="97"/>
        <v/>
      </c>
      <c r="W349" s="1578"/>
      <c r="X349" s="52" t="str">
        <f t="shared" si="98"/>
        <v/>
      </c>
      <c r="Y349" s="52" t="str">
        <f t="shared" si="99"/>
        <v/>
      </c>
      <c r="AA349" s="52" t="str">
        <f t="shared" ref="AA349:AA375" si="100">IF(U349&lt;&gt;"",IF(Z349="Defenses",U349&amp;IF(AA350&lt;&gt;"",", ",""),"")&amp;AA350,AA350)</f>
        <v/>
      </c>
    </row>
    <row r="350" spans="2:27">
      <c r="B350" s="1532" t="str">
        <f t="shared" si="93"/>
        <v>Avert Disaster</v>
      </c>
      <c r="C350" s="1795"/>
      <c r="D350" s="920"/>
      <c r="E350" s="61"/>
      <c r="F350" s="61" t="s">
        <v>2738</v>
      </c>
      <c r="G350" s="61"/>
      <c r="H350" s="61"/>
      <c r="I350" s="61"/>
      <c r="J350" s="1687" t="s">
        <v>4863</v>
      </c>
      <c r="K350" s="63" t="str">
        <f>IF(AND(Q349="Yes",L349&lt;&gt;""),"Yes","No")</f>
        <v>No</v>
      </c>
      <c r="L350" s="76"/>
      <c r="M350" s="63">
        <f t="shared" si="94"/>
        <v>0</v>
      </c>
      <c r="N350" s="63" t="s">
        <v>2671</v>
      </c>
      <c r="O350" s="64"/>
      <c r="P350" s="660" t="str">
        <f t="shared" si="56"/>
        <v/>
      </c>
      <c r="Q350" s="52" t="str">
        <f>Q349</f>
        <v>No</v>
      </c>
      <c r="R350" s="1574" t="str">
        <f t="shared" si="90"/>
        <v/>
      </c>
      <c r="S350" s="52" t="str">
        <f t="shared" si="95"/>
        <v/>
      </c>
      <c r="T350" s="52" t="str">
        <f t="shared" si="96"/>
        <v/>
      </c>
      <c r="U350" s="52" t="str">
        <f t="shared" si="91"/>
        <v/>
      </c>
      <c r="V350" s="52" t="str">
        <f t="shared" si="97"/>
        <v/>
      </c>
      <c r="W350" s="1578"/>
      <c r="X350" s="52" t="str">
        <f t="shared" si="98"/>
        <v/>
      </c>
      <c r="Y350" s="52" t="str">
        <f t="shared" si="99"/>
        <v/>
      </c>
      <c r="AA350" s="52" t="str">
        <f t="shared" si="100"/>
        <v/>
      </c>
    </row>
    <row r="351" spans="2:27">
      <c r="B351" s="1532" t="str">
        <f t="shared" si="93"/>
        <v>Better Lucky Than Dead</v>
      </c>
      <c r="C351" s="1795"/>
      <c r="D351" s="920"/>
      <c r="E351" s="61"/>
      <c r="F351" s="61" t="s">
        <v>2739</v>
      </c>
      <c r="G351" s="61"/>
      <c r="H351" s="61"/>
      <c r="I351" s="61"/>
      <c r="J351" s="1687" t="s">
        <v>4864</v>
      </c>
      <c r="K351" s="63" t="str">
        <f>IF(Q351="Yes","Yes","No")</f>
        <v>No</v>
      </c>
      <c r="L351" s="76"/>
      <c r="M351" s="63">
        <f t="shared" si="94"/>
        <v>0</v>
      </c>
      <c r="N351" s="63" t="s">
        <v>2671</v>
      </c>
      <c r="O351" s="64"/>
      <c r="P351" s="660" t="str">
        <f t="shared" si="56"/>
        <v/>
      </c>
      <c r="Q351" s="52" t="str">
        <f t="shared" ref="Q351:Q429" si="101">Q350</f>
        <v>No</v>
      </c>
      <c r="R351" s="1574" t="str">
        <f t="shared" si="90"/>
        <v/>
      </c>
      <c r="S351" s="52" t="str">
        <f t="shared" si="95"/>
        <v/>
      </c>
      <c r="T351" s="52" t="str">
        <f t="shared" si="96"/>
        <v/>
      </c>
      <c r="U351" s="52" t="str">
        <f t="shared" si="91"/>
        <v/>
      </c>
      <c r="V351" s="52" t="str">
        <f t="shared" si="97"/>
        <v/>
      </c>
      <c r="W351" s="1578"/>
      <c r="X351" s="52" t="str">
        <f t="shared" si="98"/>
        <v/>
      </c>
      <c r="Y351" s="52" t="str">
        <f t="shared" si="99"/>
        <v/>
      </c>
      <c r="AA351" s="52" t="str">
        <f t="shared" si="100"/>
        <v/>
      </c>
    </row>
    <row r="352" spans="2:27">
      <c r="B352" s="1532" t="str">
        <f t="shared" si="93"/>
        <v>Fortune's Favor</v>
      </c>
      <c r="C352" s="1795"/>
      <c r="D352" s="920"/>
      <c r="E352" s="61" t="s">
        <v>2740</v>
      </c>
      <c r="F352" s="61"/>
      <c r="G352" s="61"/>
      <c r="H352" s="61"/>
      <c r="I352" s="61"/>
      <c r="J352" s="1687" t="s">
        <v>4865</v>
      </c>
      <c r="K352" s="63" t="str">
        <f>IF(Q352="Yes","Yes","No")</f>
        <v>No</v>
      </c>
      <c r="L352" s="76"/>
      <c r="M352" s="63">
        <f t="shared" si="94"/>
        <v>0</v>
      </c>
      <c r="N352" s="63">
        <v>46</v>
      </c>
      <c r="O352" s="64"/>
      <c r="P352" s="660" t="str">
        <f t="shared" si="56"/>
        <v/>
      </c>
      <c r="Q352" s="52" t="str">
        <f t="shared" si="101"/>
        <v>No</v>
      </c>
      <c r="R352" s="1574" t="str">
        <f t="shared" si="90"/>
        <v/>
      </c>
      <c r="S352" s="52" t="str">
        <f t="shared" si="95"/>
        <v/>
      </c>
      <c r="T352" s="52" t="str">
        <f t="shared" si="96"/>
        <v/>
      </c>
      <c r="U352" s="52" t="str">
        <f t="shared" si="91"/>
        <v/>
      </c>
      <c r="V352" s="52" t="str">
        <f t="shared" si="97"/>
        <v/>
      </c>
      <c r="W352" s="1578"/>
      <c r="X352" s="52" t="str">
        <f t="shared" si="98"/>
        <v/>
      </c>
      <c r="Y352" s="52" t="str">
        <f t="shared" si="99"/>
        <v/>
      </c>
      <c r="AA352" s="52" t="str">
        <f t="shared" si="100"/>
        <v/>
      </c>
    </row>
    <row r="353" spans="2:27" ht="39">
      <c r="B353" s="1532" t="str">
        <f t="shared" si="93"/>
        <v>Gambler</v>
      </c>
      <c r="C353" s="1795"/>
      <c r="D353" s="920"/>
      <c r="E353" s="61" t="s">
        <v>2741</v>
      </c>
      <c r="F353" s="61"/>
      <c r="G353" s="61"/>
      <c r="H353" s="61"/>
      <c r="I353" s="61"/>
      <c r="J353" s="1687" t="s">
        <v>4866</v>
      </c>
      <c r="K353" s="63" t="str">
        <f t="shared" ref="K353:K431" si="102">IF(Q353="Yes","Yes","No")</f>
        <v>No</v>
      </c>
      <c r="L353" s="76"/>
      <c r="M353" s="63">
        <f>IF(L353&lt;&gt;"",L353,0)</f>
        <v>0</v>
      </c>
      <c r="N353" s="63">
        <v>46</v>
      </c>
      <c r="O353" s="64"/>
      <c r="P353" s="660" t="str">
        <f t="shared" si="56"/>
        <v/>
      </c>
      <c r="Q353" s="52" t="str">
        <f t="shared" si="101"/>
        <v>No</v>
      </c>
      <c r="R353" s="1574" t="str">
        <f t="shared" si="90"/>
        <v/>
      </c>
      <c r="S353" s="52" t="str">
        <f t="shared" si="95"/>
        <v/>
      </c>
      <c r="T353" s="52" t="str">
        <f t="shared" si="96"/>
        <v/>
      </c>
      <c r="U353" s="52" t="str">
        <f t="shared" si="91"/>
        <v/>
      </c>
      <c r="V353" s="52" t="str">
        <f t="shared" si="97"/>
        <v/>
      </c>
      <c r="W353" s="1578"/>
      <c r="X353" s="52" t="str">
        <f t="shared" si="98"/>
        <v/>
      </c>
      <c r="Y353" s="52" t="str">
        <f t="shared" si="99"/>
        <v/>
      </c>
      <c r="AA353" s="52" t="str">
        <f t="shared" si="100"/>
        <v/>
      </c>
    </row>
    <row r="354" spans="2:27" ht="39">
      <c r="B354" s="1532" t="str">
        <f t="shared" si="93"/>
        <v>Knack</v>
      </c>
      <c r="C354" s="1795"/>
      <c r="D354" s="920"/>
      <c r="E354" s="61" t="s">
        <v>2742</v>
      </c>
      <c r="F354" s="61"/>
      <c r="G354" s="61"/>
      <c r="H354" s="61"/>
      <c r="I354" s="61"/>
      <c r="J354" s="1687" t="s">
        <v>4867</v>
      </c>
      <c r="K354" s="63" t="str">
        <f t="shared" si="102"/>
        <v>No</v>
      </c>
      <c r="L354" s="76"/>
      <c r="M354" s="63">
        <f>IF(L354&lt;&gt;"",L354,0)</f>
        <v>0</v>
      </c>
      <c r="N354" s="63">
        <v>46</v>
      </c>
      <c r="O354" s="64"/>
      <c r="P354" s="660" t="str">
        <f t="shared" si="56"/>
        <v/>
      </c>
      <c r="Q354" s="52" t="str">
        <f t="shared" si="101"/>
        <v>No</v>
      </c>
      <c r="R354" s="1574" t="str">
        <f t="shared" si="90"/>
        <v/>
      </c>
      <c r="S354" s="52" t="str">
        <f t="shared" si="95"/>
        <v/>
      </c>
      <c r="T354" s="52" t="str">
        <f t="shared" si="96"/>
        <v/>
      </c>
      <c r="U354" s="52" t="str">
        <f t="shared" si="91"/>
        <v/>
      </c>
      <c r="V354" s="52" t="str">
        <f t="shared" si="97"/>
        <v/>
      </c>
      <c r="W354" s="1578"/>
      <c r="X354" s="52" t="str">
        <f t="shared" si="98"/>
        <v/>
      </c>
      <c r="Y354" s="52" t="str">
        <f t="shared" si="99"/>
        <v/>
      </c>
      <c r="AA354" s="52" t="str">
        <f t="shared" si="100"/>
        <v/>
      </c>
    </row>
    <row r="355" spans="2:27" ht="39">
      <c r="B355" s="1532" t="str">
        <f t="shared" si="93"/>
        <v>Lucky Shot</v>
      </c>
      <c r="C355" s="1795"/>
      <c r="D355" s="920"/>
      <c r="E355" s="61"/>
      <c r="F355" s="61" t="s">
        <v>2743</v>
      </c>
      <c r="G355" s="61"/>
      <c r="H355" s="61"/>
      <c r="I355" s="61"/>
      <c r="J355" s="1687" t="s">
        <v>4868</v>
      </c>
      <c r="K355" s="63" t="str">
        <f>IF(AND(Q354="Yes",L354&lt;&gt;""),"Yes","No")</f>
        <v>No</v>
      </c>
      <c r="L355" s="76"/>
      <c r="M355" s="63">
        <f>IF(L355&lt;&gt;"",L355,0)</f>
        <v>0</v>
      </c>
      <c r="N355" s="63">
        <v>46</v>
      </c>
      <c r="O355" s="64"/>
      <c r="P355" s="660" t="str">
        <f t="shared" si="56"/>
        <v/>
      </c>
      <c r="Q355" s="52" t="str">
        <f t="shared" si="101"/>
        <v>No</v>
      </c>
      <c r="R355" s="1574" t="str">
        <f t="shared" si="90"/>
        <v/>
      </c>
      <c r="S355" s="52" t="str">
        <f t="shared" si="95"/>
        <v/>
      </c>
      <c r="T355" s="52" t="str">
        <f t="shared" si="96"/>
        <v/>
      </c>
      <c r="U355" s="52" t="str">
        <f t="shared" si="91"/>
        <v/>
      </c>
      <c r="V355" s="52" t="str">
        <f t="shared" si="97"/>
        <v/>
      </c>
      <c r="W355" s="1578"/>
      <c r="X355" s="52" t="str">
        <f t="shared" si="98"/>
        <v/>
      </c>
      <c r="Y355" s="52" t="str">
        <f t="shared" si="99"/>
        <v/>
      </c>
      <c r="AA355" s="52" t="str">
        <f t="shared" si="100"/>
        <v/>
      </c>
    </row>
    <row r="356" spans="2:27" ht="65">
      <c r="B356" s="1532" t="str">
        <f t="shared" si="93"/>
        <v>Dumb Luck</v>
      </c>
      <c r="C356" s="1795"/>
      <c r="D356" s="920"/>
      <c r="E356" s="61"/>
      <c r="F356" s="61"/>
      <c r="G356" s="61" t="s">
        <v>2744</v>
      </c>
      <c r="H356" s="61"/>
      <c r="I356" s="61"/>
      <c r="J356" s="1687" t="s">
        <v>4869</v>
      </c>
      <c r="K356" s="63" t="str">
        <f>IF(AND(Q355="Yes",L355&lt;&gt;""),"Yes","No")</f>
        <v>No</v>
      </c>
      <c r="L356" s="76"/>
      <c r="M356" s="63">
        <f t="shared" ref="M356:M378" si="103">IF(L356&lt;&gt;"",1,0)</f>
        <v>0</v>
      </c>
      <c r="N356" s="63" t="s">
        <v>2671</v>
      </c>
      <c r="O356" s="64"/>
      <c r="P356" s="660" t="str">
        <f t="shared" si="56"/>
        <v/>
      </c>
      <c r="Q356" s="52" t="str">
        <f t="shared" si="101"/>
        <v>No</v>
      </c>
      <c r="R356" s="1574" t="str">
        <f t="shared" si="90"/>
        <v/>
      </c>
      <c r="S356" s="52" t="str">
        <f t="shared" si="95"/>
        <v/>
      </c>
      <c r="T356" s="52" t="str">
        <f t="shared" si="96"/>
        <v/>
      </c>
      <c r="U356" s="52" t="str">
        <f t="shared" si="91"/>
        <v/>
      </c>
      <c r="V356" s="52" t="str">
        <f t="shared" si="97"/>
        <v/>
      </c>
      <c r="W356" s="1578"/>
      <c r="X356" s="52" t="str">
        <f t="shared" si="98"/>
        <v/>
      </c>
      <c r="Y356" s="52" t="str">
        <f t="shared" si="99"/>
        <v/>
      </c>
      <c r="AA356" s="52" t="str">
        <f t="shared" si="100"/>
        <v/>
      </c>
    </row>
    <row r="357" spans="2:27">
      <c r="B357" s="1532" t="str">
        <f t="shared" si="93"/>
        <v>Ricochet Shot</v>
      </c>
      <c r="C357" s="1795"/>
      <c r="D357" s="920"/>
      <c r="E357" s="61"/>
      <c r="F357" s="61"/>
      <c r="G357" s="61" t="s">
        <v>2745</v>
      </c>
      <c r="H357" s="61"/>
      <c r="I357" s="61"/>
      <c r="J357" s="1687" t="s">
        <v>4870</v>
      </c>
      <c r="K357" s="63" t="str">
        <f t="shared" si="102"/>
        <v>No</v>
      </c>
      <c r="L357" s="76"/>
      <c r="M357" s="63">
        <f t="shared" si="103"/>
        <v>0</v>
      </c>
      <c r="N357" s="63" t="s">
        <v>2746</v>
      </c>
      <c r="O357" s="64"/>
      <c r="P357" s="660" t="str">
        <f t="shared" si="56"/>
        <v/>
      </c>
      <c r="Q357" s="52" t="str">
        <f t="shared" si="101"/>
        <v>No</v>
      </c>
      <c r="R357" s="1574" t="str">
        <f t="shared" si="90"/>
        <v/>
      </c>
      <c r="S357" s="52" t="str">
        <f t="shared" si="95"/>
        <v/>
      </c>
      <c r="T357" s="52" t="str">
        <f t="shared" si="96"/>
        <v/>
      </c>
      <c r="U357" s="52" t="str">
        <f t="shared" si="91"/>
        <v/>
      </c>
      <c r="V357" s="52" t="str">
        <f t="shared" si="97"/>
        <v/>
      </c>
      <c r="W357" s="1578"/>
      <c r="X357" s="52" t="str">
        <f t="shared" si="98"/>
        <v/>
      </c>
      <c r="Y357" s="52" t="str">
        <f t="shared" si="99"/>
        <v/>
      </c>
      <c r="AA357" s="52" t="str">
        <f t="shared" si="100"/>
        <v/>
      </c>
    </row>
    <row r="358" spans="2:27">
      <c r="B358" s="1532" t="str">
        <f t="shared" si="93"/>
        <v>Uncanny Luck</v>
      </c>
      <c r="C358" s="1795"/>
      <c r="D358" s="920"/>
      <c r="E358" s="61"/>
      <c r="F358" s="61"/>
      <c r="G358" s="61" t="s">
        <v>2747</v>
      </c>
      <c r="H358" s="61"/>
      <c r="I358" s="61"/>
      <c r="J358" s="1687" t="s">
        <v>4871</v>
      </c>
      <c r="K358" s="63" t="str">
        <f t="shared" si="102"/>
        <v>No</v>
      </c>
      <c r="L358" s="76"/>
      <c r="M358" s="63">
        <f t="shared" si="103"/>
        <v>0</v>
      </c>
      <c r="N358" s="63" t="s">
        <v>2746</v>
      </c>
      <c r="O358" s="64"/>
      <c r="P358" s="660" t="str">
        <f t="shared" si="56"/>
        <v/>
      </c>
      <c r="Q358" s="52" t="str">
        <f t="shared" si="101"/>
        <v>No</v>
      </c>
      <c r="R358" s="1574" t="str">
        <f t="shared" si="90"/>
        <v/>
      </c>
      <c r="S358" s="52" t="str">
        <f t="shared" si="95"/>
        <v/>
      </c>
      <c r="T358" s="52" t="str">
        <f t="shared" si="96"/>
        <v/>
      </c>
      <c r="U358" s="52" t="str">
        <f t="shared" si="91"/>
        <v/>
      </c>
      <c r="V358" s="52" t="str">
        <f t="shared" si="97"/>
        <v/>
      </c>
      <c r="W358" s="1578"/>
      <c r="X358" s="52" t="str">
        <f t="shared" si="98"/>
        <v/>
      </c>
      <c r="Y358" s="52" t="str">
        <f t="shared" si="99"/>
        <v/>
      </c>
      <c r="AA358" s="52" t="str">
        <f t="shared" si="100"/>
        <v/>
      </c>
    </row>
    <row r="359" spans="2:27">
      <c r="B359" s="1532" t="str">
        <f t="shared" si="93"/>
        <v>Unlikely Shot</v>
      </c>
      <c r="C359" s="1795"/>
      <c r="D359" s="920"/>
      <c r="E359" s="61"/>
      <c r="F359" s="61"/>
      <c r="G359" s="61" t="s">
        <v>2748</v>
      </c>
      <c r="H359" s="61"/>
      <c r="I359" s="61"/>
      <c r="J359" s="1687" t="s">
        <v>4872</v>
      </c>
      <c r="K359" s="63" t="str">
        <f t="shared" si="102"/>
        <v>No</v>
      </c>
      <c r="L359" s="76"/>
      <c r="M359" s="63">
        <f t="shared" si="103"/>
        <v>0</v>
      </c>
      <c r="N359" s="63" t="s">
        <v>2746</v>
      </c>
      <c r="O359" s="64"/>
      <c r="P359" s="660" t="str">
        <f t="shared" si="56"/>
        <v/>
      </c>
      <c r="Q359" s="52" t="str">
        <f t="shared" si="101"/>
        <v>No</v>
      </c>
      <c r="R359" s="1574" t="str">
        <f t="shared" si="90"/>
        <v/>
      </c>
      <c r="S359" s="52" t="str">
        <f t="shared" si="95"/>
        <v/>
      </c>
      <c r="T359" s="52" t="str">
        <f t="shared" si="96"/>
        <v/>
      </c>
      <c r="U359" s="52" t="str">
        <f t="shared" si="91"/>
        <v/>
      </c>
      <c r="V359" s="52" t="str">
        <f t="shared" si="97"/>
        <v/>
      </c>
      <c r="W359" s="1578"/>
      <c r="X359" s="52" t="str">
        <f t="shared" si="98"/>
        <v/>
      </c>
      <c r="Y359" s="52" t="str">
        <f t="shared" si="99"/>
        <v/>
      </c>
      <c r="AA359" s="52" t="str">
        <f t="shared" si="100"/>
        <v/>
      </c>
    </row>
    <row r="360" spans="2:27">
      <c r="B360" s="1532" t="str">
        <f t="shared" si="93"/>
        <v>Lucky Stop</v>
      </c>
      <c r="C360" s="1795"/>
      <c r="D360" s="920"/>
      <c r="E360" s="61"/>
      <c r="F360" s="61" t="s">
        <v>2749</v>
      </c>
      <c r="G360" s="61"/>
      <c r="H360" s="61"/>
      <c r="I360" s="61"/>
      <c r="J360" s="1687" t="s">
        <v>4873</v>
      </c>
      <c r="K360" s="63" t="str">
        <f t="shared" si="102"/>
        <v>No</v>
      </c>
      <c r="L360" s="76"/>
      <c r="M360" s="63">
        <f t="shared" si="103"/>
        <v>0</v>
      </c>
      <c r="N360" s="63" t="s">
        <v>2680</v>
      </c>
      <c r="O360" s="64"/>
      <c r="P360" s="660" t="str">
        <f t="shared" si="56"/>
        <v/>
      </c>
      <c r="Q360" s="52" t="str">
        <f t="shared" si="101"/>
        <v>No</v>
      </c>
      <c r="R360" s="1574" t="str">
        <f t="shared" si="90"/>
        <v/>
      </c>
      <c r="S360" s="52" t="str">
        <f t="shared" si="95"/>
        <v/>
      </c>
      <c r="T360" s="52" t="str">
        <f t="shared" si="96"/>
        <v/>
      </c>
      <c r="U360" s="52" t="str">
        <f t="shared" si="91"/>
        <v/>
      </c>
      <c r="V360" s="52" t="str">
        <f t="shared" si="97"/>
        <v/>
      </c>
      <c r="W360" s="1578"/>
      <c r="X360" s="52" t="str">
        <f t="shared" si="98"/>
        <v/>
      </c>
      <c r="Y360" s="52" t="str">
        <f t="shared" si="99"/>
        <v/>
      </c>
      <c r="AA360" s="52" t="str">
        <f t="shared" si="100"/>
        <v/>
      </c>
    </row>
    <row r="361" spans="2:27" ht="26">
      <c r="B361" s="1532" t="str">
        <f t="shared" si="93"/>
        <v>Labrynthine Mind</v>
      </c>
      <c r="C361" s="1795"/>
      <c r="D361" s="920"/>
      <c r="E361" s="61" t="s">
        <v>2750</v>
      </c>
      <c r="F361" s="61"/>
      <c r="G361" s="61"/>
      <c r="H361" s="61"/>
      <c r="I361" s="61"/>
      <c r="J361" s="1687" t="s">
        <v>4874</v>
      </c>
      <c r="K361" s="63" t="str">
        <f t="shared" si="102"/>
        <v>No</v>
      </c>
      <c r="L361" s="76"/>
      <c r="M361" s="63">
        <f t="shared" si="103"/>
        <v>0</v>
      </c>
      <c r="N361" s="63" t="s">
        <v>2746</v>
      </c>
      <c r="O361" s="64"/>
      <c r="P361" s="660" t="str">
        <f t="shared" si="56"/>
        <v/>
      </c>
      <c r="Q361" s="52" t="str">
        <f t="shared" si="101"/>
        <v>No</v>
      </c>
      <c r="R361" s="1574" t="str">
        <f t="shared" si="90"/>
        <v/>
      </c>
      <c r="S361" s="52" t="str">
        <f t="shared" si="95"/>
        <v/>
      </c>
      <c r="T361" s="52" t="str">
        <f t="shared" si="96"/>
        <v/>
      </c>
      <c r="U361" s="52" t="str">
        <f t="shared" si="91"/>
        <v/>
      </c>
      <c r="V361" s="52" t="str">
        <f t="shared" si="97"/>
        <v/>
      </c>
      <c r="W361" s="1578"/>
      <c r="X361" s="52" t="str">
        <f t="shared" si="98"/>
        <v/>
      </c>
      <c r="Y361" s="52" t="str">
        <f t="shared" si="99"/>
        <v/>
      </c>
      <c r="AA361" s="52" t="str">
        <f t="shared" si="100"/>
        <v/>
      </c>
    </row>
    <row r="362" spans="2:27" ht="26">
      <c r="B362" s="1532" t="str">
        <f t="shared" si="93"/>
        <v>Malkite Techniques</v>
      </c>
      <c r="C362" s="1795"/>
      <c r="D362" s="920" t="s">
        <v>2751</v>
      </c>
      <c r="E362" s="61" t="s">
        <v>2752</v>
      </c>
      <c r="F362" s="61"/>
      <c r="G362" s="61"/>
      <c r="H362" s="61"/>
      <c r="I362" s="61"/>
      <c r="J362" s="1687" t="s">
        <v>4875</v>
      </c>
      <c r="K362" s="63" t="str">
        <f t="shared" si="102"/>
        <v>No</v>
      </c>
      <c r="L362" s="76"/>
      <c r="M362" s="63">
        <f t="shared" si="103"/>
        <v>0</v>
      </c>
      <c r="N362" s="63" t="s">
        <v>2753</v>
      </c>
      <c r="O362" s="64"/>
      <c r="P362" s="660" t="str">
        <f t="shared" si="56"/>
        <v/>
      </c>
      <c r="Q362" s="52" t="str">
        <f>IF(OR($AD$45&gt;0,$AD$9&gt;0),"Yes","No")</f>
        <v>No</v>
      </c>
      <c r="R362" s="1574" t="str">
        <f t="shared" si="90"/>
        <v/>
      </c>
      <c r="S362" s="52" t="str">
        <f t="shared" si="95"/>
        <v/>
      </c>
      <c r="T362" s="52" t="str">
        <f t="shared" si="96"/>
        <v/>
      </c>
      <c r="U362" s="52" t="str">
        <f t="shared" si="91"/>
        <v/>
      </c>
      <c r="V362" s="52" t="str">
        <f t="shared" si="97"/>
        <v/>
      </c>
      <c r="W362" s="1578"/>
      <c r="X362" s="52" t="str">
        <f t="shared" si="98"/>
        <v/>
      </c>
      <c r="Y362" s="52" t="str">
        <f t="shared" si="99"/>
        <v/>
      </c>
      <c r="AA362" s="52" t="str">
        <f t="shared" si="100"/>
        <v/>
      </c>
    </row>
    <row r="363" spans="2:27">
      <c r="B363" s="1532" t="str">
        <f t="shared" si="93"/>
        <v>Modify Poison</v>
      </c>
      <c r="C363" s="1795"/>
      <c r="D363" s="920"/>
      <c r="E363" s="61"/>
      <c r="F363" s="61" t="s">
        <v>2754</v>
      </c>
      <c r="G363" s="61"/>
      <c r="H363" s="61"/>
      <c r="I363" s="61"/>
      <c r="J363" s="1687" t="s">
        <v>4876</v>
      </c>
      <c r="K363" s="63" t="str">
        <f>IF(AND(Q362="Yes",L362&lt;&gt;""),"Yes","No")</f>
        <v>No</v>
      </c>
      <c r="L363" s="76"/>
      <c r="M363" s="63">
        <f t="shared" si="103"/>
        <v>0</v>
      </c>
      <c r="N363" s="63" t="s">
        <v>2753</v>
      </c>
      <c r="O363" s="64"/>
      <c r="P363" s="660" t="str">
        <f t="shared" si="56"/>
        <v/>
      </c>
      <c r="Q363" s="52" t="str">
        <f t="shared" si="101"/>
        <v>No</v>
      </c>
      <c r="R363" s="1574" t="str">
        <f t="shared" si="90"/>
        <v/>
      </c>
      <c r="S363" s="52" t="str">
        <f t="shared" si="95"/>
        <v/>
      </c>
      <c r="T363" s="52" t="str">
        <f t="shared" si="96"/>
        <v/>
      </c>
      <c r="U363" s="52" t="str">
        <f t="shared" si="91"/>
        <v/>
      </c>
      <c r="V363" s="52" t="str">
        <f t="shared" si="97"/>
        <v/>
      </c>
      <c r="W363" s="1578"/>
      <c r="X363" s="52" t="str">
        <f t="shared" si="98"/>
        <v/>
      </c>
      <c r="Y363" s="52" t="str">
        <f t="shared" si="99"/>
        <v/>
      </c>
      <c r="AA363" s="52" t="str">
        <f t="shared" si="100"/>
        <v/>
      </c>
    </row>
    <row r="364" spans="2:27">
      <c r="B364" s="1532" t="str">
        <f t="shared" si="93"/>
        <v>Numbing Poison</v>
      </c>
      <c r="C364" s="1795"/>
      <c r="D364" s="920"/>
      <c r="E364" s="61"/>
      <c r="F364" s="61" t="s">
        <v>2755</v>
      </c>
      <c r="G364" s="61"/>
      <c r="H364" s="61"/>
      <c r="I364" s="61"/>
      <c r="J364" s="1687" t="s">
        <v>4877</v>
      </c>
      <c r="K364" s="63" t="str">
        <f t="shared" si="102"/>
        <v>No</v>
      </c>
      <c r="L364" s="76"/>
      <c r="M364" s="63">
        <f t="shared" si="103"/>
        <v>0</v>
      </c>
      <c r="N364" s="63" t="s">
        <v>2753</v>
      </c>
      <c r="O364" s="64"/>
      <c r="P364" s="660" t="str">
        <f t="shared" si="56"/>
        <v/>
      </c>
      <c r="Q364" s="52" t="str">
        <f t="shared" si="101"/>
        <v>No</v>
      </c>
      <c r="R364" s="1574" t="str">
        <f t="shared" si="90"/>
        <v/>
      </c>
      <c r="S364" s="52" t="str">
        <f t="shared" si="95"/>
        <v/>
      </c>
      <c r="T364" s="52" t="str">
        <f t="shared" si="96"/>
        <v/>
      </c>
      <c r="U364" s="52" t="str">
        <f t="shared" si="91"/>
        <v/>
      </c>
      <c r="V364" s="52" t="str">
        <f t="shared" si="97"/>
        <v/>
      </c>
      <c r="W364" s="1578"/>
      <c r="X364" s="52" t="str">
        <f t="shared" si="98"/>
        <v/>
      </c>
      <c r="Y364" s="52" t="str">
        <f t="shared" si="99"/>
        <v/>
      </c>
      <c r="AA364" s="52" t="str">
        <f t="shared" si="100"/>
        <v/>
      </c>
    </row>
    <row r="365" spans="2:27">
      <c r="B365" s="1532" t="str">
        <f t="shared" si="93"/>
        <v>Undetectable Poison</v>
      </c>
      <c r="C365" s="1795"/>
      <c r="D365" s="920"/>
      <c r="E365" s="61"/>
      <c r="F365" s="61" t="s">
        <v>2756</v>
      </c>
      <c r="G365" s="61"/>
      <c r="H365" s="61"/>
      <c r="I365" s="61"/>
      <c r="J365" s="1687" t="s">
        <v>4878</v>
      </c>
      <c r="K365" s="63" t="str">
        <f t="shared" si="102"/>
        <v>No</v>
      </c>
      <c r="L365" s="76"/>
      <c r="M365" s="63">
        <f t="shared" si="103"/>
        <v>0</v>
      </c>
      <c r="N365" s="63" t="s">
        <v>2753</v>
      </c>
      <c r="O365" s="64"/>
      <c r="P365" s="660" t="str">
        <f t="shared" si="56"/>
        <v/>
      </c>
      <c r="Q365" s="52" t="str">
        <f t="shared" si="101"/>
        <v>No</v>
      </c>
      <c r="R365" s="1574" t="str">
        <f t="shared" si="90"/>
        <v/>
      </c>
      <c r="S365" s="52" t="str">
        <f t="shared" si="95"/>
        <v/>
      </c>
      <c r="T365" s="52" t="str">
        <f t="shared" si="96"/>
        <v/>
      </c>
      <c r="U365" s="52" t="str">
        <f t="shared" si="91"/>
        <v/>
      </c>
      <c r="V365" s="52" t="str">
        <f t="shared" si="97"/>
        <v/>
      </c>
      <c r="W365" s="1578"/>
      <c r="X365" s="52" t="str">
        <f t="shared" si="98"/>
        <v/>
      </c>
      <c r="Y365" s="52" t="str">
        <f t="shared" si="99"/>
        <v/>
      </c>
      <c r="AA365" s="52" t="str">
        <f t="shared" si="100"/>
        <v/>
      </c>
    </row>
    <row r="366" spans="2:27">
      <c r="B366" s="1532" t="str">
        <f t="shared" si="93"/>
        <v>Vicious Poison</v>
      </c>
      <c r="C366" s="1795"/>
      <c r="D366" s="920"/>
      <c r="E366" s="61"/>
      <c r="F366" s="61" t="s">
        <v>2757</v>
      </c>
      <c r="G366" s="61"/>
      <c r="H366" s="61"/>
      <c r="I366" s="61"/>
      <c r="J366" s="1687" t="s">
        <v>4879</v>
      </c>
      <c r="K366" s="63" t="str">
        <f t="shared" si="102"/>
        <v>No</v>
      </c>
      <c r="L366" s="76"/>
      <c r="M366" s="63">
        <f t="shared" si="103"/>
        <v>0</v>
      </c>
      <c r="N366" s="63" t="s">
        <v>2753</v>
      </c>
      <c r="O366" s="64"/>
      <c r="P366" s="660" t="str">
        <f t="shared" si="56"/>
        <v/>
      </c>
      <c r="Q366" s="52" t="str">
        <f t="shared" si="101"/>
        <v>No</v>
      </c>
      <c r="R366" s="1574" t="str">
        <f t="shared" si="90"/>
        <v/>
      </c>
      <c r="S366" s="52" t="str">
        <f t="shared" si="95"/>
        <v/>
      </c>
      <c r="T366" s="52" t="str">
        <f t="shared" si="96"/>
        <v/>
      </c>
      <c r="U366" s="52" t="str">
        <f t="shared" si="91"/>
        <v/>
      </c>
      <c r="V366" s="52" t="str">
        <f t="shared" si="97"/>
        <v/>
      </c>
      <c r="W366" s="1578"/>
      <c r="X366" s="52" t="str">
        <f t="shared" si="98"/>
        <v/>
      </c>
      <c r="Y366" s="52" t="str">
        <f t="shared" si="99"/>
        <v/>
      </c>
      <c r="AA366" s="52" t="str">
        <f t="shared" si="100"/>
        <v/>
      </c>
    </row>
    <row r="367" spans="2:27" ht="26">
      <c r="B367" s="1532" t="str">
        <f t="shared" si="93"/>
        <v>Befuddle</v>
      </c>
      <c r="C367" s="1795"/>
      <c r="D367" s="920" t="s">
        <v>2758</v>
      </c>
      <c r="E367" s="61" t="s">
        <v>2759</v>
      </c>
      <c r="F367" s="61"/>
      <c r="G367" s="61"/>
      <c r="H367" s="61"/>
      <c r="I367" s="61"/>
      <c r="J367" s="1687" t="s">
        <v>4880</v>
      </c>
      <c r="K367" s="63" t="str">
        <f t="shared" si="102"/>
        <v>No</v>
      </c>
      <c r="L367" s="76"/>
      <c r="M367" s="63">
        <f t="shared" si="103"/>
        <v>0</v>
      </c>
      <c r="N367" s="63" t="s">
        <v>2746</v>
      </c>
      <c r="O367" s="64"/>
      <c r="P367" s="660" t="str">
        <f t="shared" si="56"/>
        <v/>
      </c>
      <c r="Q367" s="52" t="str">
        <f>IF(OR($AD$45&gt;0,$AD$9&gt;0,$AD$14&gt;0),"Yes","No")</f>
        <v>No</v>
      </c>
      <c r="R367" s="1574" t="str">
        <f t="shared" si="90"/>
        <v/>
      </c>
      <c r="S367" s="52" t="str">
        <f t="shared" si="95"/>
        <v/>
      </c>
      <c r="T367" s="52" t="str">
        <f t="shared" si="96"/>
        <v/>
      </c>
      <c r="U367" s="52" t="str">
        <f t="shared" si="91"/>
        <v/>
      </c>
      <c r="V367" s="52" t="str">
        <f t="shared" si="97"/>
        <v/>
      </c>
      <c r="W367" s="1578"/>
      <c r="X367" s="52" t="str">
        <f t="shared" si="98"/>
        <v/>
      </c>
      <c r="Y367" s="52" t="str">
        <f t="shared" si="99"/>
        <v/>
      </c>
      <c r="AA367" s="52" t="str">
        <f t="shared" si="100"/>
        <v/>
      </c>
    </row>
    <row r="368" spans="2:27">
      <c r="B368" s="1532" t="str">
        <f t="shared" si="93"/>
        <v>Dastardly Strike</v>
      </c>
      <c r="C368" s="1795"/>
      <c r="D368" s="920"/>
      <c r="E368" s="61" t="s">
        <v>2760</v>
      </c>
      <c r="F368" s="61"/>
      <c r="G368" s="61"/>
      <c r="H368" s="61"/>
      <c r="I368" s="61"/>
      <c r="J368" s="1687" t="s">
        <v>4881</v>
      </c>
      <c r="K368" s="63" t="str">
        <f t="shared" si="102"/>
        <v>No</v>
      </c>
      <c r="L368" s="76"/>
      <c r="M368" s="63">
        <f t="shared" si="103"/>
        <v>0</v>
      </c>
      <c r="N368" s="63">
        <v>46</v>
      </c>
      <c r="O368" s="64"/>
      <c r="P368" s="660" t="str">
        <f t="shared" si="56"/>
        <v/>
      </c>
      <c r="Q368" s="52" t="str">
        <f t="shared" ref="Q368:Q383" si="104">IF(OR($AD$45&gt;0,$AD$9&gt;0,$AD$14&gt;0),"Yes","No")</f>
        <v>No</v>
      </c>
      <c r="R368" s="1574" t="str">
        <f t="shared" si="90"/>
        <v/>
      </c>
      <c r="S368" s="52" t="str">
        <f t="shared" si="95"/>
        <v/>
      </c>
      <c r="T368" s="52" t="str">
        <f t="shared" si="96"/>
        <v/>
      </c>
      <c r="U368" s="52" t="str">
        <f t="shared" si="91"/>
        <v/>
      </c>
      <c r="V368" s="52" t="str">
        <f t="shared" si="97"/>
        <v/>
      </c>
      <c r="W368" s="1578"/>
      <c r="X368" s="52" t="str">
        <f t="shared" si="98"/>
        <v/>
      </c>
      <c r="Y368" s="52" t="str">
        <f t="shared" si="99"/>
        <v/>
      </c>
      <c r="AA368" s="52" t="str">
        <f t="shared" si="100"/>
        <v/>
      </c>
    </row>
    <row r="369" spans="2:27" ht="39">
      <c r="B369" s="1532" t="str">
        <f t="shared" si="93"/>
        <v>Weakening Strike</v>
      </c>
      <c r="C369" s="1795"/>
      <c r="D369" s="920"/>
      <c r="E369" s="61"/>
      <c r="F369" s="61" t="s">
        <v>2761</v>
      </c>
      <c r="G369" s="61"/>
      <c r="H369" s="61"/>
      <c r="I369" s="61"/>
      <c r="J369" s="1687" t="s">
        <v>4882</v>
      </c>
      <c r="K369" s="63" t="str">
        <f>IF(AND(Q368="Yes",L368&lt;&gt;""),"Yes","No")</f>
        <v>No</v>
      </c>
      <c r="L369" s="76"/>
      <c r="M369" s="63">
        <f t="shared" si="103"/>
        <v>0</v>
      </c>
      <c r="N369" s="63" t="s">
        <v>2746</v>
      </c>
      <c r="O369" s="64"/>
      <c r="P369" s="660" t="str">
        <f t="shared" si="56"/>
        <v/>
      </c>
      <c r="Q369" s="52" t="str">
        <f t="shared" si="104"/>
        <v>No</v>
      </c>
      <c r="R369" s="1574" t="str">
        <f t="shared" si="90"/>
        <v/>
      </c>
      <c r="S369" s="52" t="str">
        <f t="shared" si="95"/>
        <v/>
      </c>
      <c r="T369" s="52" t="str">
        <f t="shared" si="96"/>
        <v/>
      </c>
      <c r="U369" s="52" t="str">
        <f t="shared" si="91"/>
        <v/>
      </c>
      <c r="V369" s="52" t="str">
        <f t="shared" si="97"/>
        <v/>
      </c>
      <c r="W369" s="1578"/>
      <c r="X369" s="52" t="str">
        <f t="shared" si="98"/>
        <v/>
      </c>
      <c r="Y369" s="52" t="str">
        <f t="shared" si="99"/>
        <v/>
      </c>
      <c r="AA369" s="52" t="str">
        <f t="shared" si="100"/>
        <v/>
      </c>
    </row>
    <row r="370" spans="2:27">
      <c r="B370" s="1532" t="str">
        <f t="shared" si="93"/>
        <v>Disruptive</v>
      </c>
      <c r="C370" s="1795"/>
      <c r="D370" s="920"/>
      <c r="E370" s="61" t="s">
        <v>2762</v>
      </c>
      <c r="F370" s="61"/>
      <c r="G370" s="61"/>
      <c r="H370" s="61"/>
      <c r="I370" s="61"/>
      <c r="J370" s="1687" t="s">
        <v>4883</v>
      </c>
      <c r="K370" s="63" t="str">
        <f t="shared" si="102"/>
        <v>No</v>
      </c>
      <c r="L370" s="76"/>
      <c r="M370" s="63">
        <f t="shared" si="103"/>
        <v>0</v>
      </c>
      <c r="N370" s="63">
        <v>46</v>
      </c>
      <c r="O370" s="64"/>
      <c r="P370" s="660" t="str">
        <f t="shared" si="56"/>
        <v/>
      </c>
      <c r="Q370" s="52" t="str">
        <f t="shared" si="104"/>
        <v>No</v>
      </c>
      <c r="R370" s="1574" t="str">
        <f t="shared" si="90"/>
        <v/>
      </c>
      <c r="S370" s="52" t="str">
        <f t="shared" si="95"/>
        <v/>
      </c>
      <c r="T370" s="52" t="str">
        <f t="shared" si="96"/>
        <v/>
      </c>
      <c r="U370" s="52" t="str">
        <f t="shared" si="91"/>
        <v/>
      </c>
      <c r="V370" s="52" t="str">
        <f t="shared" si="97"/>
        <v/>
      </c>
      <c r="W370" s="1578"/>
      <c r="X370" s="52" t="str">
        <f t="shared" si="98"/>
        <v/>
      </c>
      <c r="Y370" s="52" t="str">
        <f t="shared" si="99"/>
        <v/>
      </c>
      <c r="AA370" s="52" t="str">
        <f t="shared" si="100"/>
        <v/>
      </c>
    </row>
    <row r="371" spans="2:27" ht="26">
      <c r="B371" s="1532" t="str">
        <f t="shared" si="93"/>
        <v>Walk the Line</v>
      </c>
      <c r="C371" s="1795"/>
      <c r="D371" s="920"/>
      <c r="E371" s="61"/>
      <c r="F371" s="61" t="s">
        <v>2763</v>
      </c>
      <c r="G371" s="61"/>
      <c r="H371" s="61"/>
      <c r="I371" s="61"/>
      <c r="J371" s="1687" t="s">
        <v>4884</v>
      </c>
      <c r="K371" s="63" t="str">
        <f>IF(AND(Q370="Yes",L370&lt;&gt;""),"Yes","No")</f>
        <v>No</v>
      </c>
      <c r="L371" s="76"/>
      <c r="M371" s="63">
        <f t="shared" si="103"/>
        <v>0</v>
      </c>
      <c r="N371" s="63">
        <v>46</v>
      </c>
      <c r="O371" s="64"/>
      <c r="P371" s="660" t="str">
        <f t="shared" si="56"/>
        <v/>
      </c>
      <c r="Q371" s="52" t="str">
        <f t="shared" si="104"/>
        <v>No</v>
      </c>
      <c r="R371" s="1574" t="str">
        <f t="shared" si="90"/>
        <v/>
      </c>
      <c r="S371" s="52" t="str">
        <f t="shared" si="95"/>
        <v/>
      </c>
      <c r="T371" s="52" t="str">
        <f t="shared" si="96"/>
        <v/>
      </c>
      <c r="U371" s="52" t="str">
        <f t="shared" si="91"/>
        <v/>
      </c>
      <c r="V371" s="52" t="str">
        <f t="shared" si="97"/>
        <v/>
      </c>
      <c r="W371" s="1578"/>
      <c r="X371" s="52" t="str">
        <f t="shared" si="98"/>
        <v/>
      </c>
      <c r="Y371" s="52" t="str">
        <f t="shared" si="99"/>
        <v/>
      </c>
      <c r="AA371" s="52" t="str">
        <f t="shared" si="100"/>
        <v/>
      </c>
    </row>
    <row r="372" spans="2:27" ht="65">
      <c r="B372" s="1532" t="str">
        <f t="shared" si="93"/>
        <v>Cunning Strategist</v>
      </c>
      <c r="C372" s="1795"/>
      <c r="D372" s="920"/>
      <c r="E372" s="61"/>
      <c r="F372" s="61"/>
      <c r="G372" s="61" t="s">
        <v>2764</v>
      </c>
      <c r="H372" s="61"/>
      <c r="I372" s="61"/>
      <c r="J372" s="1687" t="s">
        <v>4885</v>
      </c>
      <c r="K372" s="63" t="str">
        <f>IF(AND(Q371="Yes",L371&lt;&gt;""),"Yes","No")</f>
        <v>No</v>
      </c>
      <c r="L372" s="76"/>
      <c r="M372" s="63">
        <f t="shared" si="103"/>
        <v>0</v>
      </c>
      <c r="N372" s="63" t="s">
        <v>2746</v>
      </c>
      <c r="O372" s="64"/>
      <c r="P372" s="660" t="str">
        <f t="shared" si="56"/>
        <v/>
      </c>
      <c r="Q372" s="52" t="str">
        <f t="shared" si="104"/>
        <v>No</v>
      </c>
      <c r="R372" s="1574" t="str">
        <f t="shared" si="90"/>
        <v/>
      </c>
      <c r="S372" s="52" t="str">
        <f t="shared" si="95"/>
        <v/>
      </c>
      <c r="T372" s="52" t="str">
        <f t="shared" si="96"/>
        <v/>
      </c>
      <c r="U372" s="52" t="str">
        <f t="shared" si="91"/>
        <v/>
      </c>
      <c r="V372" s="52" t="str">
        <f t="shared" si="97"/>
        <v/>
      </c>
      <c r="W372" s="1578"/>
      <c r="X372" s="52" t="str">
        <f t="shared" si="98"/>
        <v/>
      </c>
      <c r="Y372" s="52" t="str">
        <f t="shared" si="99"/>
        <v/>
      </c>
      <c r="AA372" s="52" t="str">
        <f t="shared" si="100"/>
        <v/>
      </c>
    </row>
    <row r="373" spans="2:27" ht="26">
      <c r="B373" s="1532" t="str">
        <f t="shared" si="93"/>
        <v>Hesitate</v>
      </c>
      <c r="C373" s="1795"/>
      <c r="D373" s="920"/>
      <c r="E373" s="61" t="s">
        <v>2765</v>
      </c>
      <c r="F373" s="61"/>
      <c r="G373" s="61"/>
      <c r="H373" s="61"/>
      <c r="I373" s="61"/>
      <c r="J373" s="1687" t="s">
        <v>4886</v>
      </c>
      <c r="K373" s="63" t="str">
        <f t="shared" si="102"/>
        <v>No</v>
      </c>
      <c r="L373" s="76"/>
      <c r="M373" s="63">
        <f t="shared" si="103"/>
        <v>0</v>
      </c>
      <c r="N373" s="63" t="s">
        <v>2746</v>
      </c>
      <c r="O373" s="64"/>
      <c r="P373" s="660" t="str">
        <f t="shared" si="56"/>
        <v/>
      </c>
      <c r="Q373" s="52" t="str">
        <f t="shared" si="104"/>
        <v>No</v>
      </c>
      <c r="R373" s="1574" t="str">
        <f t="shared" si="90"/>
        <v/>
      </c>
      <c r="S373" s="52" t="str">
        <f t="shared" si="95"/>
        <v/>
      </c>
      <c r="T373" s="52" t="str">
        <f t="shared" si="96"/>
        <v/>
      </c>
      <c r="U373" s="52" t="str">
        <f t="shared" si="91"/>
        <v/>
      </c>
      <c r="V373" s="52" t="str">
        <f t="shared" si="97"/>
        <v/>
      </c>
      <c r="W373" s="1578"/>
      <c r="X373" s="52" t="str">
        <f t="shared" si="98"/>
        <v/>
      </c>
      <c r="Y373" s="52" t="str">
        <f t="shared" si="99"/>
        <v/>
      </c>
      <c r="AA373" s="52" t="str">
        <f t="shared" si="100"/>
        <v/>
      </c>
    </row>
    <row r="374" spans="2:27" ht="26">
      <c r="B374" s="1532" t="str">
        <f t="shared" si="93"/>
        <v>Sow Confusion</v>
      </c>
      <c r="C374" s="1795"/>
      <c r="D374" s="920"/>
      <c r="E374" s="61"/>
      <c r="F374" s="61" t="s">
        <v>2766</v>
      </c>
      <c r="G374" s="61"/>
      <c r="H374" s="61"/>
      <c r="I374" s="61"/>
      <c r="J374" s="1687" t="s">
        <v>6176</v>
      </c>
      <c r="K374" s="63" t="str">
        <f>IF(AND(Q373="Yes",L373&lt;&gt;""),"Yes","No")</f>
        <v>No</v>
      </c>
      <c r="L374" s="76"/>
      <c r="M374" s="63">
        <f t="shared" si="103"/>
        <v>0</v>
      </c>
      <c r="N374" s="63" t="s">
        <v>2746</v>
      </c>
      <c r="O374" s="64"/>
      <c r="P374" s="660" t="str">
        <f t="shared" si="56"/>
        <v/>
      </c>
      <c r="Q374" s="52" t="str">
        <f t="shared" si="104"/>
        <v>No</v>
      </c>
      <c r="R374" s="1574" t="str">
        <f t="shared" si="90"/>
        <v/>
      </c>
      <c r="S374" s="52" t="str">
        <f t="shared" si="95"/>
        <v/>
      </c>
      <c r="T374" s="52" t="str">
        <f t="shared" si="96"/>
        <v/>
      </c>
      <c r="U374" s="52" t="str">
        <f t="shared" si="91"/>
        <v/>
      </c>
      <c r="V374" s="52" t="str">
        <f t="shared" si="97"/>
        <v/>
      </c>
      <c r="W374" s="1578"/>
      <c r="X374" s="52" t="str">
        <f t="shared" si="98"/>
        <v/>
      </c>
      <c r="Y374" s="52" t="str">
        <f t="shared" si="99"/>
        <v/>
      </c>
      <c r="AA374" s="52" t="str">
        <f t="shared" si="100"/>
        <v/>
      </c>
    </row>
    <row r="375" spans="2:27">
      <c r="B375" s="1532" t="str">
        <f t="shared" si="93"/>
        <v>Seducer</v>
      </c>
      <c r="C375" s="1795"/>
      <c r="D375" s="920"/>
      <c r="E375" s="61" t="s">
        <v>2767</v>
      </c>
      <c r="F375" s="61"/>
      <c r="G375" s="61"/>
      <c r="H375" s="61"/>
      <c r="I375" s="61"/>
      <c r="J375" s="1687" t="s">
        <v>6177</v>
      </c>
      <c r="K375" s="63" t="str">
        <f t="shared" si="102"/>
        <v>No</v>
      </c>
      <c r="L375" s="76"/>
      <c r="M375" s="63">
        <f t="shared" si="103"/>
        <v>0</v>
      </c>
      <c r="N375" s="63" t="s">
        <v>2768</v>
      </c>
      <c r="O375" s="64"/>
      <c r="P375" s="660" t="str">
        <f t="shared" si="56"/>
        <v/>
      </c>
      <c r="Q375" s="52" t="str">
        <f t="shared" si="104"/>
        <v>No</v>
      </c>
      <c r="R375" s="1574" t="str">
        <f t="shared" si="90"/>
        <v/>
      </c>
      <c r="S375" s="52" t="str">
        <f t="shared" si="95"/>
        <v/>
      </c>
      <c r="T375" s="52" t="str">
        <f t="shared" si="96"/>
        <v/>
      </c>
      <c r="U375" s="52" t="str">
        <f t="shared" si="91"/>
        <v/>
      </c>
      <c r="V375" s="52" t="str">
        <f t="shared" si="97"/>
        <v/>
      </c>
      <c r="W375" s="1578"/>
      <c r="X375" s="52" t="str">
        <f t="shared" si="98"/>
        <v/>
      </c>
      <c r="Y375" s="52" t="str">
        <f t="shared" si="99"/>
        <v/>
      </c>
      <c r="AA375" s="52" t="str">
        <f t="shared" si="100"/>
        <v/>
      </c>
    </row>
    <row r="376" spans="2:27" ht="26">
      <c r="B376" s="1532" t="str">
        <f t="shared" ref="B376:B392" si="105">IF(E376&lt;&gt;"",E376,IF(F376&lt;&gt;"",F376,IF(G376&lt;&gt;"",G376,IF(H376&lt;&gt;"",H376))))</f>
        <v>Seize Object</v>
      </c>
      <c r="C376" s="1795"/>
      <c r="D376" s="920"/>
      <c r="E376" s="61" t="s">
        <v>2769</v>
      </c>
      <c r="F376" s="61"/>
      <c r="G376" s="61"/>
      <c r="H376" s="61"/>
      <c r="I376" s="61"/>
      <c r="J376" s="1687" t="s">
        <v>6178</v>
      </c>
      <c r="K376" s="63" t="str">
        <f t="shared" si="102"/>
        <v>No</v>
      </c>
      <c r="L376" s="76"/>
      <c r="M376" s="63">
        <f t="shared" si="103"/>
        <v>0</v>
      </c>
      <c r="N376" s="63" t="s">
        <v>2768</v>
      </c>
      <c r="O376" s="64"/>
      <c r="P376" s="660" t="str">
        <f t="shared" si="56"/>
        <v/>
      </c>
      <c r="Q376" s="52" t="str">
        <f t="shared" si="104"/>
        <v>No</v>
      </c>
      <c r="R376" s="1574" t="str">
        <f t="shared" si="90"/>
        <v/>
      </c>
      <c r="S376" s="52" t="str">
        <f t="shared" si="95"/>
        <v/>
      </c>
      <c r="T376" s="52" t="str">
        <f t="shared" si="96"/>
        <v/>
      </c>
      <c r="U376" s="52" t="str">
        <f t="shared" si="91"/>
        <v/>
      </c>
      <c r="V376" s="52" t="str">
        <f t="shared" si="97"/>
        <v/>
      </c>
      <c r="W376" s="1578"/>
      <c r="X376" s="52" t="str">
        <f t="shared" si="98"/>
        <v/>
      </c>
      <c r="Y376" s="52" t="str">
        <f t="shared" si="99"/>
        <v/>
      </c>
      <c r="AA376" s="52" t="str">
        <f t="shared" ref="AA376:AA468" si="106">IF(U376&lt;&gt;"",IF(Z376="Defenses",U376&amp;IF(AA377&lt;&gt;"",", ",""),"")&amp;AA377,AA377)</f>
        <v/>
      </c>
    </row>
    <row r="377" spans="2:27" ht="26">
      <c r="B377" s="1532" t="str">
        <f t="shared" si="105"/>
        <v>Skirmisher</v>
      </c>
      <c r="C377" s="1795"/>
      <c r="D377" s="920"/>
      <c r="E377" s="61" t="s">
        <v>2770</v>
      </c>
      <c r="F377" s="61"/>
      <c r="G377" s="61"/>
      <c r="H377" s="61"/>
      <c r="I377" s="61"/>
      <c r="J377" s="1687" t="s">
        <v>4887</v>
      </c>
      <c r="K377" s="63" t="str">
        <f t="shared" si="102"/>
        <v>No</v>
      </c>
      <c r="L377" s="76"/>
      <c r="M377" s="63">
        <f t="shared" si="103"/>
        <v>0</v>
      </c>
      <c r="N377" s="63">
        <v>46</v>
      </c>
      <c r="O377" s="64"/>
      <c r="P377" s="660" t="str">
        <f t="shared" si="56"/>
        <v/>
      </c>
      <c r="Q377" s="52" t="str">
        <f t="shared" si="104"/>
        <v>No</v>
      </c>
      <c r="R377" s="1574" t="str">
        <f t="shared" si="90"/>
        <v/>
      </c>
      <c r="S377" s="52" t="str">
        <f t="shared" si="95"/>
        <v/>
      </c>
      <c r="T377" s="52" t="str">
        <f t="shared" si="96"/>
        <v/>
      </c>
      <c r="U377" s="52" t="str">
        <f t="shared" si="91"/>
        <v/>
      </c>
      <c r="V377" s="52" t="str">
        <f t="shared" si="97"/>
        <v/>
      </c>
      <c r="W377" s="1578"/>
      <c r="X377" s="52" t="str">
        <f t="shared" si="98"/>
        <v/>
      </c>
      <c r="Y377" s="52" t="str">
        <f t="shared" si="99"/>
        <v/>
      </c>
      <c r="AA377" s="52" t="str">
        <f t="shared" si="106"/>
        <v/>
      </c>
    </row>
    <row r="378" spans="2:27" ht="26">
      <c r="B378" s="1532" t="str">
        <f t="shared" si="105"/>
        <v>Improved Skirmisher</v>
      </c>
      <c r="C378" s="1795"/>
      <c r="D378" s="920"/>
      <c r="E378" s="61"/>
      <c r="F378" s="61" t="s">
        <v>2771</v>
      </c>
      <c r="G378" s="61"/>
      <c r="H378" s="61"/>
      <c r="I378" s="61"/>
      <c r="J378" s="1687" t="s">
        <v>4888</v>
      </c>
      <c r="K378" s="63" t="str">
        <f>IF(AND(Q377="Yes",L377&lt;&gt;""),"Yes","No")</f>
        <v>No</v>
      </c>
      <c r="L378" s="76"/>
      <c r="M378" s="63">
        <f t="shared" si="103"/>
        <v>0</v>
      </c>
      <c r="N378" s="63" t="s">
        <v>2746</v>
      </c>
      <c r="O378" s="64"/>
      <c r="P378" s="660" t="str">
        <f t="shared" si="56"/>
        <v/>
      </c>
      <c r="Q378" s="52" t="str">
        <f t="shared" si="104"/>
        <v>No</v>
      </c>
      <c r="R378" s="1574" t="str">
        <f t="shared" si="90"/>
        <v/>
      </c>
      <c r="S378" s="52" t="str">
        <f t="shared" si="95"/>
        <v/>
      </c>
      <c r="T378" s="52" t="str">
        <f t="shared" si="96"/>
        <v/>
      </c>
      <c r="U378" s="52" t="str">
        <f t="shared" si="91"/>
        <v/>
      </c>
      <c r="V378" s="52" t="str">
        <f t="shared" si="97"/>
        <v/>
      </c>
      <c r="W378" s="1578"/>
      <c r="X378" s="52" t="str">
        <f t="shared" si="98"/>
        <v/>
      </c>
      <c r="Y378" s="52" t="str">
        <f t="shared" si="99"/>
        <v/>
      </c>
      <c r="AA378" s="52" t="str">
        <f t="shared" si="106"/>
        <v/>
      </c>
    </row>
    <row r="379" spans="2:27" ht="39">
      <c r="B379" s="1532" t="str">
        <f t="shared" si="105"/>
        <v>Sneak Attack</v>
      </c>
      <c r="C379" s="1795"/>
      <c r="D379" s="920"/>
      <c r="E379" s="61" t="s">
        <v>2058</v>
      </c>
      <c r="F379" s="61"/>
      <c r="G379" s="61"/>
      <c r="H379" s="61"/>
      <c r="I379" s="61"/>
      <c r="J379" s="1687" t="s">
        <v>4889</v>
      </c>
      <c r="K379" s="63" t="str">
        <f t="shared" si="102"/>
        <v>No</v>
      </c>
      <c r="L379" s="76"/>
      <c r="M379" s="63">
        <f>IF(L379&lt;&gt;"",L379,0)</f>
        <v>0</v>
      </c>
      <c r="N379" s="63">
        <v>46</v>
      </c>
      <c r="O379" s="64"/>
      <c r="P379" s="660" t="str">
        <f t="shared" si="56"/>
        <v/>
      </c>
      <c r="Q379" s="52" t="str">
        <f t="shared" si="104"/>
        <v>No</v>
      </c>
      <c r="R379" s="1574" t="str">
        <f t="shared" si="90"/>
        <v/>
      </c>
      <c r="S379" s="52" t="str">
        <f t="shared" si="95"/>
        <v/>
      </c>
      <c r="T379" s="52" t="str">
        <f t="shared" si="96"/>
        <v/>
      </c>
      <c r="U379" s="52" t="str">
        <f t="shared" si="91"/>
        <v/>
      </c>
      <c r="V379" s="52" t="str">
        <f t="shared" si="97"/>
        <v/>
      </c>
      <c r="W379" s="1578"/>
      <c r="X379" s="52" t="str">
        <f t="shared" si="98"/>
        <v/>
      </c>
      <c r="Y379" s="52" t="str">
        <f t="shared" si="99"/>
        <v/>
      </c>
      <c r="AA379" s="52" t="str">
        <f>IF(U379&lt;&gt;"",IF(Z379="Defenses",U379&amp;IF(AA380&lt;&gt;"",", ",""),"")&amp;AA380,AA380)</f>
        <v/>
      </c>
    </row>
    <row r="380" spans="2:27" ht="26">
      <c r="B380" s="1532" t="str">
        <f t="shared" si="105"/>
        <v>Backstabber</v>
      </c>
      <c r="C380" s="1795"/>
      <c r="D380" s="920"/>
      <c r="E380" s="61"/>
      <c r="F380" s="61" t="s">
        <v>6841</v>
      </c>
      <c r="G380" s="61"/>
      <c r="H380" s="61"/>
      <c r="I380" s="61"/>
      <c r="J380" s="1687" t="s">
        <v>6842</v>
      </c>
      <c r="K380" s="63" t="str">
        <f>IF(AND(Q380="Yes",L379&lt;&gt;""),"Yes","No")</f>
        <v>No</v>
      </c>
      <c r="L380" s="76"/>
      <c r="M380" s="63">
        <f t="shared" ref="M380:M405" si="107">IF(L380&lt;&gt;"",1,0)</f>
        <v>0</v>
      </c>
      <c r="N380" s="63" t="s">
        <v>6845</v>
      </c>
      <c r="O380" s="64"/>
      <c r="P380" s="660" t="str">
        <f t="shared" si="56"/>
        <v/>
      </c>
      <c r="Q380" s="52" t="str">
        <f t="shared" si="104"/>
        <v>No</v>
      </c>
      <c r="R380" s="1574" t="str">
        <f t="shared" si="90"/>
        <v/>
      </c>
      <c r="S380" s="52" t="str">
        <f t="shared" si="95"/>
        <v/>
      </c>
      <c r="T380" s="52" t="str">
        <f t="shared" si="96"/>
        <v/>
      </c>
      <c r="U380" s="52" t="str">
        <f t="shared" si="91"/>
        <v/>
      </c>
      <c r="V380" s="52" t="str">
        <f t="shared" si="97"/>
        <v/>
      </c>
      <c r="W380" s="1578"/>
      <c r="X380" s="52" t="str">
        <f t="shared" si="98"/>
        <v/>
      </c>
      <c r="Y380" s="52" t="str">
        <f t="shared" si="99"/>
        <v/>
      </c>
      <c r="AA380" s="52" t="str">
        <f>IF(U380&lt;&gt;"",IF(Z380="Defenses",U380&amp;IF(AA381&lt;&gt;"",", ",""),"")&amp;AA381,AA381)</f>
        <v/>
      </c>
    </row>
    <row r="381" spans="2:27" ht="26">
      <c r="B381" s="1532" t="str">
        <f t="shared" si="105"/>
        <v>Improved Sneak Attack</v>
      </c>
      <c r="C381" s="1795"/>
      <c r="D381" s="920"/>
      <c r="E381" s="61"/>
      <c r="F381" s="61" t="s">
        <v>6843</v>
      </c>
      <c r="G381" s="61"/>
      <c r="H381" s="61"/>
      <c r="I381" s="61"/>
      <c r="J381" s="1687" t="s">
        <v>6844</v>
      </c>
      <c r="K381" s="63" t="str">
        <f>IF(AND(Q381="Yes",L379&lt;&gt;""),"Yes","No")</f>
        <v>No</v>
      </c>
      <c r="L381" s="76"/>
      <c r="M381" s="63">
        <f t="shared" si="107"/>
        <v>0</v>
      </c>
      <c r="N381" s="63" t="s">
        <v>6845</v>
      </c>
      <c r="O381" s="64"/>
      <c r="P381" s="660" t="str">
        <f t="shared" si="56"/>
        <v/>
      </c>
      <c r="Q381" s="52" t="str">
        <f t="shared" si="104"/>
        <v>No</v>
      </c>
      <c r="R381" s="1574" t="str">
        <f t="shared" si="90"/>
        <v/>
      </c>
      <c r="S381" s="52" t="str">
        <f t="shared" si="95"/>
        <v/>
      </c>
      <c r="T381" s="52" t="str">
        <f t="shared" si="96"/>
        <v/>
      </c>
      <c r="U381" s="52" t="str">
        <f t="shared" si="91"/>
        <v/>
      </c>
      <c r="V381" s="52" t="str">
        <f t="shared" si="97"/>
        <v/>
      </c>
      <c r="W381" s="1578"/>
      <c r="X381" s="52" t="str">
        <f t="shared" si="98"/>
        <v/>
      </c>
      <c r="Y381" s="52" t="str">
        <f t="shared" si="99"/>
        <v/>
      </c>
      <c r="AA381" s="52" t="str">
        <f>IF(U381&lt;&gt;"",IF(Z381="Defenses",U381&amp;IF(AA382&lt;&gt;"",", ",""),"")&amp;AA382,AA382)</f>
        <v/>
      </c>
    </row>
    <row r="382" spans="2:27" ht="26">
      <c r="B382" s="1532" t="str">
        <f t="shared" si="105"/>
        <v>Sudden Strike</v>
      </c>
      <c r="C382" s="1795"/>
      <c r="D382" s="920"/>
      <c r="E382" s="61"/>
      <c r="F382" s="61" t="s">
        <v>2772</v>
      </c>
      <c r="G382" s="61"/>
      <c r="H382" s="61"/>
      <c r="I382" s="61"/>
      <c r="J382" s="1687" t="s">
        <v>4890</v>
      </c>
      <c r="K382" s="63" t="str">
        <f>IF(AND(Q382="Yes",L379&lt;&gt;""),"Yes","No")</f>
        <v>No</v>
      </c>
      <c r="L382" s="76"/>
      <c r="M382" s="63">
        <f t="shared" si="107"/>
        <v>0</v>
      </c>
      <c r="N382" s="63" t="s">
        <v>2746</v>
      </c>
      <c r="O382" s="64"/>
      <c r="P382" s="660" t="str">
        <f t="shared" si="56"/>
        <v/>
      </c>
      <c r="Q382" s="52" t="str">
        <f t="shared" si="104"/>
        <v>No</v>
      </c>
      <c r="R382" s="1574" t="str">
        <f t="shared" si="90"/>
        <v/>
      </c>
      <c r="S382" s="52" t="str">
        <f t="shared" si="95"/>
        <v/>
      </c>
      <c r="T382" s="52" t="str">
        <f t="shared" si="96"/>
        <v/>
      </c>
      <c r="U382" s="52" t="str">
        <f t="shared" si="91"/>
        <v/>
      </c>
      <c r="V382" s="52" t="str">
        <f t="shared" si="97"/>
        <v/>
      </c>
      <c r="W382" s="1578"/>
      <c r="X382" s="52" t="str">
        <f t="shared" si="98"/>
        <v/>
      </c>
      <c r="Y382" s="52" t="str">
        <f t="shared" si="99"/>
        <v/>
      </c>
      <c r="AA382" s="52" t="str">
        <f t="shared" si="106"/>
        <v/>
      </c>
    </row>
    <row r="383" spans="2:27" ht="26">
      <c r="B383" s="1532" t="str">
        <f t="shared" si="105"/>
        <v>Stymie</v>
      </c>
      <c r="C383" s="1795"/>
      <c r="D383" s="920"/>
      <c r="E383" s="61" t="s">
        <v>2773</v>
      </c>
      <c r="F383" s="61"/>
      <c r="G383" s="61"/>
      <c r="H383" s="61"/>
      <c r="I383" s="61"/>
      <c r="J383" s="1687" t="s">
        <v>4891</v>
      </c>
      <c r="K383" s="63" t="str">
        <f t="shared" si="102"/>
        <v>No</v>
      </c>
      <c r="L383" s="76"/>
      <c r="M383" s="63">
        <f t="shared" si="107"/>
        <v>0</v>
      </c>
      <c r="N383" s="63" t="s">
        <v>2774</v>
      </c>
      <c r="O383" s="64"/>
      <c r="P383" s="660" t="str">
        <f t="shared" si="56"/>
        <v/>
      </c>
      <c r="Q383" s="52" t="str">
        <f t="shared" si="104"/>
        <v>No</v>
      </c>
      <c r="R383" s="1574" t="str">
        <f t="shared" si="90"/>
        <v/>
      </c>
      <c r="S383" s="52" t="str">
        <f t="shared" si="95"/>
        <v/>
      </c>
      <c r="T383" s="52" t="str">
        <f t="shared" si="96"/>
        <v/>
      </c>
      <c r="U383" s="52" t="str">
        <f t="shared" si="91"/>
        <v/>
      </c>
      <c r="V383" s="52" t="str">
        <f t="shared" si="97"/>
        <v/>
      </c>
      <c r="W383" s="1578"/>
      <c r="X383" s="52" t="str">
        <f t="shared" si="98"/>
        <v/>
      </c>
      <c r="Y383" s="52" t="str">
        <f t="shared" si="99"/>
        <v/>
      </c>
      <c r="AA383" s="52" t="str">
        <f t="shared" si="106"/>
        <v/>
      </c>
    </row>
    <row r="384" spans="2:27" ht="26">
      <c r="B384" s="1532" t="str">
        <f t="shared" si="105"/>
        <v>Advantageous Opening</v>
      </c>
      <c r="C384" s="1795"/>
      <c r="D384" s="920" t="s">
        <v>2775</v>
      </c>
      <c r="E384" s="61" t="s">
        <v>2776</v>
      </c>
      <c r="F384" s="61"/>
      <c r="G384" s="61"/>
      <c r="H384" s="61"/>
      <c r="I384" s="61"/>
      <c r="J384" s="1687" t="s">
        <v>4892</v>
      </c>
      <c r="K384" s="63" t="str">
        <f t="shared" si="102"/>
        <v>No</v>
      </c>
      <c r="L384" s="76"/>
      <c r="M384" s="63">
        <f t="shared" si="107"/>
        <v>0</v>
      </c>
      <c r="N384" s="63" t="s">
        <v>2774</v>
      </c>
      <c r="O384" s="64"/>
      <c r="P384" s="660" t="str">
        <f t="shared" ref="P384:P447" si="108">IF(ShowTalentTrees,IF(D384&lt;&gt;"",D384,P383),"")</f>
        <v/>
      </c>
      <c r="Q384" s="52" t="str">
        <f>IF(OR($AD$45&gt;0,$AD$9&gt;0),"Yes","No")</f>
        <v>No</v>
      </c>
      <c r="R384" s="1574" t="str">
        <f t="shared" si="90"/>
        <v/>
      </c>
      <c r="S384" s="52" t="str">
        <f t="shared" si="95"/>
        <v/>
      </c>
      <c r="T384" s="52" t="str">
        <f t="shared" si="96"/>
        <v/>
      </c>
      <c r="U384" s="52" t="str">
        <f t="shared" si="91"/>
        <v/>
      </c>
      <c r="V384" s="52" t="str">
        <f t="shared" si="97"/>
        <v/>
      </c>
      <c r="W384" s="1578"/>
      <c r="X384" s="52" t="str">
        <f t="shared" ref="X384:X447" si="109">IF(U384&lt;&gt;"",IF(W384="Special Actions",U384&amp;IF(X385&lt;&gt;"",", ",""),"")&amp;X385,X385)</f>
        <v/>
      </c>
      <c r="Y384" s="52" t="str">
        <f t="shared" si="99"/>
        <v/>
      </c>
      <c r="AA384" s="52" t="str">
        <f t="shared" si="106"/>
        <v/>
      </c>
    </row>
    <row r="385" spans="2:27" ht="26">
      <c r="B385" s="1532" t="str">
        <f t="shared" si="105"/>
        <v>Thrive on Chaos</v>
      </c>
      <c r="C385" s="1795"/>
      <c r="D385" s="920"/>
      <c r="E385" s="61"/>
      <c r="F385" s="61" t="s">
        <v>2777</v>
      </c>
      <c r="G385" s="61"/>
      <c r="H385" s="61"/>
      <c r="I385" s="61"/>
      <c r="J385" s="1687" t="s">
        <v>4893</v>
      </c>
      <c r="K385" s="63" t="str">
        <f>IF(AND(Q384="Yes",L384&lt;&gt;""),"Yes","No")</f>
        <v>No</v>
      </c>
      <c r="L385" s="76"/>
      <c r="M385" s="63">
        <f t="shared" si="107"/>
        <v>0</v>
      </c>
      <c r="N385" s="63" t="s">
        <v>2774</v>
      </c>
      <c r="O385" s="64"/>
      <c r="P385" s="660" t="str">
        <f t="shared" si="108"/>
        <v/>
      </c>
      <c r="Q385" s="52" t="str">
        <f t="shared" si="101"/>
        <v>No</v>
      </c>
      <c r="R385" s="1574" t="str">
        <f t="shared" si="90"/>
        <v/>
      </c>
      <c r="S385" s="52" t="str">
        <f t="shared" ref="S385:S448" si="110">IF(R385&lt;&gt;"",R385&amp;";"&amp;S386,S386)</f>
        <v/>
      </c>
      <c r="T385" s="52" t="str">
        <f t="shared" ref="T385:T448" si="111">IF(R385&lt;&gt;"",N385&amp;";"&amp;T386,T386)</f>
        <v/>
      </c>
      <c r="U385" s="52" t="str">
        <f t="shared" si="91"/>
        <v/>
      </c>
      <c r="V385" s="52" t="str">
        <f t="shared" ref="V385:V448" si="112">IF(U385&lt;&gt;"",U385&amp;";"&amp;V386,V386)</f>
        <v/>
      </c>
      <c r="W385" s="1578"/>
      <c r="X385" s="52" t="str">
        <f t="shared" si="109"/>
        <v/>
      </c>
      <c r="Y385" s="52" t="str">
        <f t="shared" si="99"/>
        <v/>
      </c>
      <c r="AA385" s="52" t="str">
        <f t="shared" si="106"/>
        <v/>
      </c>
    </row>
    <row r="386" spans="2:27" ht="26">
      <c r="B386" s="1532" t="str">
        <f t="shared" si="105"/>
        <v>Retribution</v>
      </c>
      <c r="C386" s="1795"/>
      <c r="D386" s="920"/>
      <c r="E386" s="61" t="s">
        <v>2778</v>
      </c>
      <c r="F386" s="61"/>
      <c r="G386" s="61"/>
      <c r="H386" s="61"/>
      <c r="I386" s="61"/>
      <c r="J386" s="1687" t="s">
        <v>4894</v>
      </c>
      <c r="K386" s="63" t="str">
        <f t="shared" si="102"/>
        <v>No</v>
      </c>
      <c r="L386" s="76"/>
      <c r="M386" s="63">
        <f t="shared" si="107"/>
        <v>0</v>
      </c>
      <c r="N386" s="63" t="s">
        <v>2774</v>
      </c>
      <c r="O386" s="64"/>
      <c r="P386" s="660" t="str">
        <f t="shared" si="108"/>
        <v/>
      </c>
      <c r="Q386" s="52" t="str">
        <f t="shared" si="101"/>
        <v>No</v>
      </c>
      <c r="R386" s="1574" t="str">
        <f t="shared" si="90"/>
        <v/>
      </c>
      <c r="S386" s="52" t="str">
        <f t="shared" si="110"/>
        <v/>
      </c>
      <c r="T386" s="52" t="str">
        <f t="shared" si="111"/>
        <v/>
      </c>
      <c r="U386" s="52" t="str">
        <f t="shared" si="91"/>
        <v/>
      </c>
      <c r="V386" s="52" t="str">
        <f t="shared" si="112"/>
        <v/>
      </c>
      <c r="W386" s="1578"/>
      <c r="X386" s="52" t="str">
        <f t="shared" si="109"/>
        <v/>
      </c>
      <c r="Y386" s="52" t="str">
        <f t="shared" si="99"/>
        <v/>
      </c>
      <c r="AA386" s="52" t="str">
        <f t="shared" si="106"/>
        <v/>
      </c>
    </row>
    <row r="387" spans="2:27" ht="26">
      <c r="B387" s="1532" t="str">
        <f t="shared" si="105"/>
        <v>Vindication</v>
      </c>
      <c r="C387" s="1795"/>
      <c r="D387" s="920"/>
      <c r="E387" s="61"/>
      <c r="F387" s="61" t="s">
        <v>2779</v>
      </c>
      <c r="G387" s="61"/>
      <c r="H387" s="61"/>
      <c r="I387" s="61"/>
      <c r="J387" s="1687" t="s">
        <v>4895</v>
      </c>
      <c r="K387" s="63" t="str">
        <f>IF(AND(Q386="Yes",L386&lt;&gt;""),"Yes","No")</f>
        <v>No</v>
      </c>
      <c r="L387" s="76"/>
      <c r="M387" s="63">
        <f t="shared" si="107"/>
        <v>0</v>
      </c>
      <c r="N387" s="63" t="s">
        <v>2774</v>
      </c>
      <c r="O387" s="64"/>
      <c r="P387" s="660" t="str">
        <f t="shared" si="108"/>
        <v/>
      </c>
      <c r="Q387" s="52" t="str">
        <f t="shared" si="101"/>
        <v>No</v>
      </c>
      <c r="R387" s="1574" t="str">
        <f t="shared" si="90"/>
        <v/>
      </c>
      <c r="S387" s="52" t="str">
        <f t="shared" si="110"/>
        <v/>
      </c>
      <c r="T387" s="52" t="str">
        <f t="shared" si="111"/>
        <v/>
      </c>
      <c r="U387" s="52" t="str">
        <f t="shared" si="91"/>
        <v/>
      </c>
      <c r="V387" s="52" t="str">
        <f t="shared" si="112"/>
        <v/>
      </c>
      <c r="W387" s="1578"/>
      <c r="X387" s="52" t="str">
        <f t="shared" si="109"/>
        <v/>
      </c>
      <c r="Y387" s="52" t="str">
        <f t="shared" si="99"/>
        <v/>
      </c>
      <c r="AA387" s="52" t="str">
        <f t="shared" si="106"/>
        <v/>
      </c>
    </row>
    <row r="388" spans="2:27" ht="26">
      <c r="B388" s="1532" t="str">
        <f t="shared" si="105"/>
        <v>Slip By</v>
      </c>
      <c r="C388" s="1795"/>
      <c r="D388" s="920"/>
      <c r="E388" s="61" t="s">
        <v>2780</v>
      </c>
      <c r="F388" s="61"/>
      <c r="G388" s="61"/>
      <c r="H388" s="61"/>
      <c r="I388" s="61"/>
      <c r="J388" s="1687" t="s">
        <v>4896</v>
      </c>
      <c r="K388" s="63" t="str">
        <f t="shared" si="102"/>
        <v>No</v>
      </c>
      <c r="L388" s="76"/>
      <c r="M388" s="63">
        <f t="shared" si="107"/>
        <v>0</v>
      </c>
      <c r="N388" s="63" t="s">
        <v>2774</v>
      </c>
      <c r="O388" s="64"/>
      <c r="P388" s="660" t="str">
        <f t="shared" si="108"/>
        <v/>
      </c>
      <c r="Q388" s="52" t="str">
        <f t="shared" si="101"/>
        <v>No</v>
      </c>
      <c r="R388" s="1574" t="str">
        <f t="shared" si="90"/>
        <v/>
      </c>
      <c r="S388" s="52" t="str">
        <f t="shared" si="110"/>
        <v/>
      </c>
      <c r="T388" s="52" t="str">
        <f t="shared" si="111"/>
        <v/>
      </c>
      <c r="U388" s="52" t="str">
        <f t="shared" si="91"/>
        <v/>
      </c>
      <c r="V388" s="52" t="str">
        <f t="shared" si="112"/>
        <v/>
      </c>
      <c r="W388" s="1578"/>
      <c r="X388" s="52" t="str">
        <f t="shared" si="109"/>
        <v/>
      </c>
      <c r="Y388" s="52" t="str">
        <f t="shared" si="99"/>
        <v/>
      </c>
      <c r="AA388" s="52" t="str">
        <f t="shared" si="106"/>
        <v/>
      </c>
    </row>
    <row r="389" spans="2:27">
      <c r="B389" s="1532" t="str">
        <f t="shared" si="105"/>
        <v>Fast Repairs</v>
      </c>
      <c r="C389" s="1795"/>
      <c r="D389" s="920" t="s">
        <v>2781</v>
      </c>
      <c r="E389" s="61" t="s">
        <v>2782</v>
      </c>
      <c r="F389" s="61"/>
      <c r="G389" s="61"/>
      <c r="H389" s="61"/>
      <c r="I389" s="61"/>
      <c r="J389" s="1687" t="s">
        <v>4897</v>
      </c>
      <c r="K389" s="63" t="str">
        <f t="shared" si="102"/>
        <v>No</v>
      </c>
      <c r="L389" s="76"/>
      <c r="M389" s="63">
        <f t="shared" si="107"/>
        <v>0</v>
      </c>
      <c r="N389" s="63" t="s">
        <v>2660</v>
      </c>
      <c r="O389" s="64"/>
      <c r="P389" s="660" t="str">
        <f t="shared" si="108"/>
        <v/>
      </c>
      <c r="Q389" s="52" t="str">
        <f>IF(OR($AD$45&gt;0,$AD$9&gt;0,$AD$43),"Yes","No")</f>
        <v>No</v>
      </c>
      <c r="R389" s="1574" t="str">
        <f t="shared" si="90"/>
        <v/>
      </c>
      <c r="S389" s="52" t="str">
        <f t="shared" si="110"/>
        <v/>
      </c>
      <c r="T389" s="52" t="str">
        <f t="shared" si="111"/>
        <v/>
      </c>
      <c r="U389" s="52" t="str">
        <f t="shared" si="91"/>
        <v/>
      </c>
      <c r="V389" s="52" t="str">
        <f t="shared" si="112"/>
        <v/>
      </c>
      <c r="W389" s="1578"/>
      <c r="X389" s="52" t="str">
        <f t="shared" si="109"/>
        <v/>
      </c>
      <c r="Y389" s="52" t="str">
        <f t="shared" si="99"/>
        <v/>
      </c>
      <c r="AA389" s="52" t="str">
        <f t="shared" si="106"/>
        <v/>
      </c>
    </row>
    <row r="390" spans="2:27" ht="26">
      <c r="B390" s="1532" t="str">
        <f t="shared" si="105"/>
        <v>Hotwire</v>
      </c>
      <c r="C390" s="1795"/>
      <c r="D390" s="920"/>
      <c r="E390" s="61" t="s">
        <v>2783</v>
      </c>
      <c r="F390" s="61"/>
      <c r="G390" s="61"/>
      <c r="H390" s="61"/>
      <c r="I390" s="61"/>
      <c r="J390" s="1687" t="s">
        <v>4898</v>
      </c>
      <c r="K390" s="63" t="str">
        <f t="shared" si="102"/>
        <v>No</v>
      </c>
      <c r="L390" s="76"/>
      <c r="M390" s="63">
        <f t="shared" si="107"/>
        <v>0</v>
      </c>
      <c r="N390" s="63" t="s">
        <v>2660</v>
      </c>
      <c r="O390" s="64"/>
      <c r="P390" s="660" t="str">
        <f t="shared" si="108"/>
        <v/>
      </c>
      <c r="Q390" s="52" t="str">
        <f t="shared" si="101"/>
        <v>No</v>
      </c>
      <c r="R390" s="1574" t="str">
        <f t="shared" si="90"/>
        <v/>
      </c>
      <c r="S390" s="52" t="str">
        <f t="shared" si="110"/>
        <v/>
      </c>
      <c r="T390" s="52" t="str">
        <f t="shared" si="111"/>
        <v/>
      </c>
      <c r="U390" s="52" t="str">
        <f t="shared" si="91"/>
        <v/>
      </c>
      <c r="V390" s="52" t="str">
        <f t="shared" si="112"/>
        <v/>
      </c>
      <c r="W390" s="1578"/>
      <c r="X390" s="52" t="str">
        <f t="shared" si="109"/>
        <v/>
      </c>
      <c r="Y390" s="52" t="str">
        <f t="shared" si="99"/>
        <v/>
      </c>
      <c r="AA390" s="52" t="str">
        <f t="shared" si="106"/>
        <v/>
      </c>
    </row>
    <row r="391" spans="2:27">
      <c r="B391" s="1532" t="str">
        <f t="shared" si="105"/>
        <v>Quick Fix</v>
      </c>
      <c r="C391" s="1795"/>
      <c r="D391" s="920"/>
      <c r="E391" s="61" t="s">
        <v>2784</v>
      </c>
      <c r="F391" s="61"/>
      <c r="G391" s="61"/>
      <c r="H391" s="61"/>
      <c r="I391" s="61"/>
      <c r="J391" s="1687" t="s">
        <v>4899</v>
      </c>
      <c r="K391" s="63" t="str">
        <f t="shared" si="102"/>
        <v>No</v>
      </c>
      <c r="L391" s="76"/>
      <c r="M391" s="63">
        <f t="shared" si="107"/>
        <v>0</v>
      </c>
      <c r="N391" s="63" t="s">
        <v>2785</v>
      </c>
      <c r="O391" s="64"/>
      <c r="P391" s="660" t="str">
        <f t="shared" si="108"/>
        <v/>
      </c>
      <c r="Q391" s="52" t="str">
        <f t="shared" si="101"/>
        <v>No</v>
      </c>
      <c r="R391" s="1574" t="str">
        <f t="shared" si="90"/>
        <v/>
      </c>
      <c r="S391" s="52" t="str">
        <f t="shared" si="110"/>
        <v/>
      </c>
      <c r="T391" s="52" t="str">
        <f t="shared" si="111"/>
        <v/>
      </c>
      <c r="U391" s="52" t="str">
        <f t="shared" si="91"/>
        <v/>
      </c>
      <c r="V391" s="52" t="str">
        <f t="shared" si="112"/>
        <v/>
      </c>
      <c r="W391" s="1578"/>
      <c r="X391" s="52" t="str">
        <f t="shared" si="109"/>
        <v/>
      </c>
      <c r="Y391" s="52" t="str">
        <f t="shared" si="99"/>
        <v/>
      </c>
      <c r="AA391" s="52" t="str">
        <f t="shared" si="106"/>
        <v/>
      </c>
    </row>
    <row r="392" spans="2:27" ht="26">
      <c r="B392" s="1532" t="str">
        <f t="shared" si="105"/>
        <v>Personalized Modifications</v>
      </c>
      <c r="C392" s="1795"/>
      <c r="D392" s="920"/>
      <c r="E392" s="61" t="s">
        <v>2786</v>
      </c>
      <c r="F392" s="61"/>
      <c r="G392" s="61"/>
      <c r="H392" s="61"/>
      <c r="I392" s="61"/>
      <c r="J392" s="1687" t="s">
        <v>4900</v>
      </c>
      <c r="K392" s="63" t="str">
        <f t="shared" si="102"/>
        <v>No</v>
      </c>
      <c r="L392" s="76"/>
      <c r="M392" s="63">
        <f t="shared" si="107"/>
        <v>0</v>
      </c>
      <c r="N392" s="63" t="s">
        <v>2785</v>
      </c>
      <c r="O392" s="64"/>
      <c r="P392" s="660" t="str">
        <f t="shared" si="108"/>
        <v/>
      </c>
      <c r="Q392" s="52" t="str">
        <f t="shared" si="101"/>
        <v>No</v>
      </c>
      <c r="R392" s="1574" t="str">
        <f t="shared" si="90"/>
        <v/>
      </c>
      <c r="S392" s="52" t="str">
        <f t="shared" si="110"/>
        <v/>
      </c>
      <c r="T392" s="52" t="str">
        <f t="shared" si="111"/>
        <v/>
      </c>
      <c r="U392" s="52" t="str">
        <f t="shared" si="91"/>
        <v/>
      </c>
      <c r="V392" s="52" t="str">
        <f t="shared" si="112"/>
        <v/>
      </c>
      <c r="W392" s="1578"/>
      <c r="X392" s="52" t="str">
        <f t="shared" si="109"/>
        <v/>
      </c>
      <c r="Y392" s="52" t="str">
        <f t="shared" si="99"/>
        <v/>
      </c>
      <c r="AA392" s="52" t="str">
        <f>IF(U392&lt;&gt;"",IF(Z392="Defenses",U392&amp;IF(AA397&lt;&gt;"",", ",""),"")&amp;AA397,AA397)</f>
        <v/>
      </c>
    </row>
    <row r="393" spans="2:27">
      <c r="B393" s="1575"/>
      <c r="C393" s="1795"/>
      <c r="D393" s="920" t="s">
        <v>8428</v>
      </c>
      <c r="E393" s="61" t="s">
        <v>8429</v>
      </c>
      <c r="F393" s="61"/>
      <c r="G393" s="61"/>
      <c r="H393" s="61"/>
      <c r="I393" s="61"/>
      <c r="J393" s="1687" t="s">
        <v>8430</v>
      </c>
      <c r="K393" s="63" t="str">
        <f t="shared" si="102"/>
        <v>No</v>
      </c>
      <c r="L393" s="76"/>
      <c r="M393" s="63">
        <f t="shared" si="107"/>
        <v>0</v>
      </c>
      <c r="N393" s="63" t="s">
        <v>8385</v>
      </c>
      <c r="O393" s="64"/>
      <c r="P393" s="660" t="str">
        <f t="shared" si="108"/>
        <v/>
      </c>
      <c r="Q393" s="52" t="str">
        <f t="shared" si="101"/>
        <v>No</v>
      </c>
      <c r="R393" s="1574" t="str">
        <f t="shared" si="90"/>
        <v/>
      </c>
      <c r="S393" s="52" t="str">
        <f t="shared" si="110"/>
        <v/>
      </c>
      <c r="T393" s="52" t="str">
        <f t="shared" si="111"/>
        <v/>
      </c>
      <c r="U393" s="52" t="str">
        <f t="shared" si="91"/>
        <v/>
      </c>
      <c r="V393" s="52" t="str">
        <f t="shared" si="112"/>
        <v/>
      </c>
      <c r="W393" s="1578"/>
      <c r="X393" s="52" t="str">
        <f t="shared" si="109"/>
        <v/>
      </c>
      <c r="Y393" s="52" t="str">
        <f t="shared" si="99"/>
        <v/>
      </c>
    </row>
    <row r="394" spans="2:27" ht="26">
      <c r="B394" s="1575"/>
      <c r="C394" s="1795"/>
      <c r="D394" s="920"/>
      <c r="E394" s="61" t="s">
        <v>8431</v>
      </c>
      <c r="F394" s="61"/>
      <c r="G394" s="61"/>
      <c r="H394" s="61"/>
      <c r="I394" s="61"/>
      <c r="J394" s="1687" t="s">
        <v>8432</v>
      </c>
      <c r="K394" s="63" t="str">
        <f t="shared" si="102"/>
        <v>No</v>
      </c>
      <c r="L394" s="76"/>
      <c r="M394" s="63">
        <f t="shared" si="107"/>
        <v>0</v>
      </c>
      <c r="N394" s="63" t="s">
        <v>8385</v>
      </c>
      <c r="O394" s="64"/>
      <c r="P394" s="660" t="str">
        <f t="shared" si="108"/>
        <v/>
      </c>
      <c r="Q394" s="52" t="str">
        <f t="shared" si="101"/>
        <v>No</v>
      </c>
      <c r="R394" s="1574" t="str">
        <f t="shared" si="90"/>
        <v/>
      </c>
      <c r="S394" s="52" t="str">
        <f t="shared" si="110"/>
        <v/>
      </c>
      <c r="T394" s="52" t="str">
        <f t="shared" si="111"/>
        <v/>
      </c>
      <c r="U394" s="52" t="str">
        <f t="shared" si="91"/>
        <v/>
      </c>
      <c r="V394" s="52" t="str">
        <f t="shared" si="112"/>
        <v/>
      </c>
      <c r="W394" s="1578"/>
      <c r="X394" s="52" t="str">
        <f t="shared" si="109"/>
        <v/>
      </c>
      <c r="Y394" s="52" t="str">
        <f t="shared" si="99"/>
        <v/>
      </c>
    </row>
    <row r="395" spans="2:27" ht="26">
      <c r="B395" s="1575"/>
      <c r="C395" s="1795"/>
      <c r="D395" s="920"/>
      <c r="E395" s="61"/>
      <c r="F395" s="61" t="s">
        <v>8433</v>
      </c>
      <c r="G395" s="61"/>
      <c r="H395" s="61"/>
      <c r="I395" s="61"/>
      <c r="J395" s="1687" t="s">
        <v>8434</v>
      </c>
      <c r="K395" s="63" t="str">
        <f>IF(AND(Q395="Yes",L394&lt;&gt;""),"Yes","No")</f>
        <v>No</v>
      </c>
      <c r="L395" s="76"/>
      <c r="M395" s="63">
        <f t="shared" si="107"/>
        <v>0</v>
      </c>
      <c r="N395" s="63" t="s">
        <v>8435</v>
      </c>
      <c r="O395" s="64"/>
      <c r="P395" s="660" t="str">
        <f t="shared" si="108"/>
        <v/>
      </c>
      <c r="Q395" s="52" t="str">
        <f t="shared" si="101"/>
        <v>No</v>
      </c>
      <c r="R395" s="1574" t="str">
        <f t="shared" si="90"/>
        <v/>
      </c>
      <c r="S395" s="52" t="str">
        <f t="shared" si="110"/>
        <v/>
      </c>
      <c r="T395" s="52" t="str">
        <f t="shared" si="111"/>
        <v/>
      </c>
      <c r="U395" s="52" t="str">
        <f t="shared" si="91"/>
        <v/>
      </c>
      <c r="V395" s="52" t="str">
        <f t="shared" si="112"/>
        <v/>
      </c>
      <c r="W395" s="1578"/>
      <c r="X395" s="52" t="str">
        <f t="shared" si="109"/>
        <v/>
      </c>
      <c r="Y395" s="52" t="str">
        <f t="shared" si="99"/>
        <v/>
      </c>
    </row>
    <row r="396" spans="2:27">
      <c r="B396" s="1575"/>
      <c r="C396" s="1795"/>
      <c r="D396" s="920"/>
      <c r="E396" s="61" t="s">
        <v>8436</v>
      </c>
      <c r="F396" s="61"/>
      <c r="G396" s="61"/>
      <c r="H396" s="61"/>
      <c r="I396" s="61"/>
      <c r="J396" s="1687" t="s">
        <v>8437</v>
      </c>
      <c r="K396" s="63" t="str">
        <f t="shared" si="102"/>
        <v>No</v>
      </c>
      <c r="L396" s="76"/>
      <c r="M396" s="63">
        <f t="shared" si="107"/>
        <v>0</v>
      </c>
      <c r="N396" s="63" t="s">
        <v>8435</v>
      </c>
      <c r="O396" s="64"/>
      <c r="P396" s="660" t="str">
        <f t="shared" si="108"/>
        <v/>
      </c>
      <c r="Q396" s="52" t="str">
        <f t="shared" si="101"/>
        <v>No</v>
      </c>
      <c r="R396" s="1574" t="str">
        <f t="shared" si="90"/>
        <v/>
      </c>
      <c r="S396" s="52" t="str">
        <f t="shared" si="110"/>
        <v/>
      </c>
      <c r="T396" s="52" t="str">
        <f t="shared" si="111"/>
        <v/>
      </c>
      <c r="U396" s="52" t="str">
        <f t="shared" si="91"/>
        <v/>
      </c>
      <c r="V396" s="52" t="str">
        <f t="shared" si="112"/>
        <v/>
      </c>
      <c r="W396" s="1578"/>
      <c r="X396" s="52" t="str">
        <f t="shared" si="109"/>
        <v/>
      </c>
      <c r="Y396" s="52" t="str">
        <f t="shared" si="99"/>
        <v/>
      </c>
    </row>
    <row r="397" spans="2:27">
      <c r="B397" s="1532" t="str">
        <f>IF(E397&lt;&gt;"",E397,IF(F397&lt;&gt;"",F397,IF(G397&lt;&gt;"",G397,IF(H397&lt;&gt;"",H397))))</f>
        <v>Find Openings</v>
      </c>
      <c r="C397" s="1795"/>
      <c r="D397" s="920" t="s">
        <v>6378</v>
      </c>
      <c r="E397" s="61" t="s">
        <v>6379</v>
      </c>
      <c r="F397" s="61"/>
      <c r="G397" s="61"/>
      <c r="H397" s="61"/>
      <c r="I397" s="61"/>
      <c r="J397" s="1687" t="s">
        <v>6387</v>
      </c>
      <c r="K397" s="63" t="str">
        <f t="shared" si="102"/>
        <v>No</v>
      </c>
      <c r="L397" s="76"/>
      <c r="M397" s="63">
        <f t="shared" si="107"/>
        <v>0</v>
      </c>
      <c r="N397" s="63" t="s">
        <v>6484</v>
      </c>
      <c r="O397" s="64"/>
      <c r="P397" s="660" t="str">
        <f t="shared" si="108"/>
        <v/>
      </c>
      <c r="Q397" s="52" t="str">
        <f>IF(OR($AD$45&gt;0,$AD$9&gt;0),"Yes","No")</f>
        <v>No</v>
      </c>
      <c r="R397" s="1574" t="str">
        <f t="shared" si="90"/>
        <v/>
      </c>
      <c r="S397" s="52" t="str">
        <f t="shared" si="110"/>
        <v/>
      </c>
      <c r="T397" s="52" t="str">
        <f t="shared" si="111"/>
        <v/>
      </c>
      <c r="U397" s="52" t="str">
        <f t="shared" si="91"/>
        <v/>
      </c>
      <c r="V397" s="52" t="str">
        <f t="shared" si="112"/>
        <v/>
      </c>
      <c r="W397" s="1578"/>
      <c r="X397" s="52" t="str">
        <f t="shared" si="109"/>
        <v/>
      </c>
      <c r="Y397" s="52" t="str">
        <f t="shared" si="99"/>
        <v/>
      </c>
      <c r="AA397" s="52" t="str">
        <f>IF(U397&lt;&gt;"",IF(Z397="Defenses",U397&amp;IF(AA398&lt;&gt;"",", ",""),"")&amp;AA398,AA398)</f>
        <v/>
      </c>
    </row>
    <row r="398" spans="2:27" ht="39">
      <c r="B398" s="1532" t="str">
        <f>IF(E398&lt;&gt;"",E398,IF(F398&lt;&gt;"",F398,IF(G398&lt;&gt;"",G398,IF(H398&lt;&gt;"",H398))))</f>
        <v>Risk for Reward</v>
      </c>
      <c r="C398" s="1795"/>
      <c r="D398" s="920"/>
      <c r="E398" s="61"/>
      <c r="F398" s="61" t="s">
        <v>6383</v>
      </c>
      <c r="G398" s="61"/>
      <c r="H398" s="61"/>
      <c r="I398" s="61"/>
      <c r="J398" s="1687" t="s">
        <v>6384</v>
      </c>
      <c r="K398" s="63" t="str">
        <f>IF(AND(Q397="Yes",L397&lt;&gt;""),"Yes","No")</f>
        <v>No</v>
      </c>
      <c r="L398" s="76"/>
      <c r="M398" s="63">
        <f t="shared" si="107"/>
        <v>0</v>
      </c>
      <c r="N398" s="63" t="s">
        <v>6484</v>
      </c>
      <c r="O398" s="64"/>
      <c r="P398" s="660" t="str">
        <f t="shared" si="108"/>
        <v/>
      </c>
      <c r="Q398" s="52" t="str">
        <f t="shared" si="101"/>
        <v>No</v>
      </c>
      <c r="R398" s="1574" t="str">
        <f t="shared" si="90"/>
        <v/>
      </c>
      <c r="S398" s="52" t="str">
        <f t="shared" si="110"/>
        <v/>
      </c>
      <c r="T398" s="52" t="str">
        <f t="shared" si="111"/>
        <v/>
      </c>
      <c r="U398" s="52" t="str">
        <f t="shared" si="91"/>
        <v/>
      </c>
      <c r="V398" s="52" t="str">
        <f t="shared" si="112"/>
        <v/>
      </c>
      <c r="W398" s="1578"/>
      <c r="X398" s="52" t="str">
        <f t="shared" si="109"/>
        <v/>
      </c>
      <c r="Y398" s="52" t="str">
        <f t="shared" si="99"/>
        <v/>
      </c>
      <c r="AA398" s="52" t="str">
        <f>IF(U398&lt;&gt;"",IF(Z398="Defenses",U398&amp;IF(AA399&lt;&gt;"",", ",""),"")&amp;AA399,AA399)</f>
        <v/>
      </c>
    </row>
    <row r="399" spans="2:27" ht="26">
      <c r="B399" s="1532" t="str">
        <f>IF(E399&lt;&gt;"",E399,IF(F399&lt;&gt;"",F399,IF(G399&lt;&gt;"",G399,IF(H399&lt;&gt;"",H399))))</f>
        <v>Hit the Deck</v>
      </c>
      <c r="C399" s="1795"/>
      <c r="D399" s="920"/>
      <c r="E399" s="61" t="s">
        <v>6380</v>
      </c>
      <c r="F399" s="61"/>
      <c r="G399" s="61"/>
      <c r="H399" s="61"/>
      <c r="I399" s="61"/>
      <c r="J399" s="1687" t="s">
        <v>6386</v>
      </c>
      <c r="K399" s="63" t="str">
        <f t="shared" si="102"/>
        <v>No</v>
      </c>
      <c r="L399" s="76"/>
      <c r="M399" s="63">
        <f t="shared" si="107"/>
        <v>0</v>
      </c>
      <c r="N399" s="63" t="s">
        <v>6484</v>
      </c>
      <c r="O399" s="64"/>
      <c r="P399" s="660" t="str">
        <f t="shared" si="108"/>
        <v/>
      </c>
      <c r="Q399" s="52" t="str">
        <f t="shared" si="101"/>
        <v>No</v>
      </c>
      <c r="R399" s="1574" t="str">
        <f t="shared" si="90"/>
        <v/>
      </c>
      <c r="S399" s="52" t="str">
        <f t="shared" si="110"/>
        <v/>
      </c>
      <c r="T399" s="52" t="str">
        <f t="shared" si="111"/>
        <v/>
      </c>
      <c r="U399" s="52" t="str">
        <f t="shared" si="91"/>
        <v/>
      </c>
      <c r="V399" s="52" t="str">
        <f t="shared" si="112"/>
        <v/>
      </c>
      <c r="W399" s="1578"/>
      <c r="X399" s="52" t="str">
        <f t="shared" si="109"/>
        <v/>
      </c>
      <c r="Y399" s="52" t="str">
        <f t="shared" si="99"/>
        <v/>
      </c>
      <c r="AA399" s="52" t="str">
        <f>IF(U399&lt;&gt;"",IF(Z399="Defenses",U399&amp;IF(AA400&lt;&gt;"",", ",""),"")&amp;AA400,AA400)</f>
        <v/>
      </c>
    </row>
    <row r="400" spans="2:27" ht="52">
      <c r="B400" s="1532" t="str">
        <f>IF(E400&lt;&gt;"",E400,IF(F400&lt;&gt;"",F400,IF(G400&lt;&gt;"",G400,IF(H400&lt;&gt;"",H400))))</f>
        <v>Trick Step</v>
      </c>
      <c r="C400" s="1795"/>
      <c r="D400" s="920"/>
      <c r="E400" s="61" t="s">
        <v>6381</v>
      </c>
      <c r="F400" s="61"/>
      <c r="G400" s="61"/>
      <c r="H400" s="61"/>
      <c r="I400" s="61"/>
      <c r="J400" s="1687" t="s">
        <v>6388</v>
      </c>
      <c r="K400" s="63" t="str">
        <f t="shared" si="102"/>
        <v>No</v>
      </c>
      <c r="L400" s="76"/>
      <c r="M400" s="63">
        <f t="shared" si="107"/>
        <v>0</v>
      </c>
      <c r="N400" s="63" t="s">
        <v>6485</v>
      </c>
      <c r="O400" s="64"/>
      <c r="P400" s="660" t="str">
        <f t="shared" si="108"/>
        <v/>
      </c>
      <c r="Q400" s="52" t="str">
        <f t="shared" si="101"/>
        <v>No</v>
      </c>
      <c r="R400" s="1574" t="str">
        <f t="shared" ref="R400:R463" si="113">IF(L400&lt;&gt;"",E400&amp;F400&amp;G400&amp;IF(P400&lt;&gt;""," ("&amp;P400&amp;")",""),"")&amp;IF(M400&gt;1," ("&amp;M400&amp;")","")</f>
        <v/>
      </c>
      <c r="S400" s="52" t="str">
        <f t="shared" si="110"/>
        <v/>
      </c>
      <c r="T400" s="52" t="str">
        <f t="shared" si="111"/>
        <v/>
      </c>
      <c r="U400" s="52" t="str">
        <f t="shared" ref="U400:U463" si="114">IF(L400&lt;&gt;"",IF(ISNUMBER(L400),"",E400&amp;F400&amp;G400),"")</f>
        <v/>
      </c>
      <c r="V400" s="52" t="str">
        <f t="shared" si="112"/>
        <v/>
      </c>
      <c r="W400" s="1578"/>
      <c r="X400" s="52" t="str">
        <f t="shared" si="109"/>
        <v/>
      </c>
      <c r="Y400" s="52" t="str">
        <f t="shared" si="99"/>
        <v/>
      </c>
      <c r="AA400" s="52" t="str">
        <f>IF(U400&lt;&gt;"",IF(Z400="Defenses",U400&amp;IF(AA401&lt;&gt;"",", ",""),"")&amp;AA401,AA401)</f>
        <v/>
      </c>
    </row>
    <row r="401" spans="2:27" ht="78">
      <c r="B401" s="1532" t="str">
        <f>IF(E401&lt;&gt;"",E401,IF(F401&lt;&gt;"",F401,IF(G401&lt;&gt;"",G401,IF(H401&lt;&gt;"",H401))))</f>
        <v>Lure Closer</v>
      </c>
      <c r="C401" s="1795"/>
      <c r="D401" s="920"/>
      <c r="E401" s="61"/>
      <c r="F401" s="61" t="s">
        <v>6382</v>
      </c>
      <c r="G401" s="61"/>
      <c r="H401" s="61"/>
      <c r="I401" s="61"/>
      <c r="J401" s="1687" t="s">
        <v>6385</v>
      </c>
      <c r="K401" s="63" t="str">
        <f>IF(AND(Q401="Yes",L400&lt;&gt;""),"Yes","No")</f>
        <v>No</v>
      </c>
      <c r="L401" s="76"/>
      <c r="M401" s="63">
        <f t="shared" si="107"/>
        <v>0</v>
      </c>
      <c r="N401" s="63" t="s">
        <v>6484</v>
      </c>
      <c r="O401" s="64"/>
      <c r="P401" s="660" t="str">
        <f t="shared" si="108"/>
        <v/>
      </c>
      <c r="Q401" s="52" t="str">
        <f t="shared" si="101"/>
        <v>No</v>
      </c>
      <c r="R401" s="1574" t="str">
        <f t="shared" si="113"/>
        <v/>
      </c>
      <c r="S401" s="52" t="str">
        <f t="shared" si="110"/>
        <v/>
      </c>
      <c r="T401" s="52" t="str">
        <f t="shared" si="111"/>
        <v/>
      </c>
      <c r="U401" s="52" t="str">
        <f t="shared" si="114"/>
        <v/>
      </c>
      <c r="V401" s="52" t="str">
        <f t="shared" si="112"/>
        <v/>
      </c>
      <c r="W401" s="1578"/>
      <c r="X401" s="52" t="str">
        <f t="shared" si="109"/>
        <v/>
      </c>
      <c r="Y401" s="52" t="str">
        <f t="shared" si="99"/>
        <v/>
      </c>
      <c r="AA401" s="52" t="str">
        <f>IF(U401&lt;&gt;"",IF(Z401="Defenses",U401&amp;IF(AA406&lt;&gt;"",", ",""),"")&amp;AA406,AA406)</f>
        <v/>
      </c>
    </row>
    <row r="402" spans="2:27">
      <c r="B402" s="1575"/>
      <c r="C402" s="1795"/>
      <c r="D402" s="920" t="s">
        <v>8438</v>
      </c>
      <c r="E402" s="61" t="s">
        <v>8439</v>
      </c>
      <c r="F402" s="61"/>
      <c r="G402" s="61"/>
      <c r="H402" s="61"/>
      <c r="I402" s="61"/>
      <c r="J402" s="1687" t="s">
        <v>8440</v>
      </c>
      <c r="K402" s="63" t="str">
        <f t="shared" si="102"/>
        <v>No</v>
      </c>
      <c r="L402" s="76"/>
      <c r="M402" s="63">
        <f t="shared" si="107"/>
        <v>0</v>
      </c>
      <c r="N402" s="63" t="s">
        <v>8412</v>
      </c>
      <c r="O402" s="64"/>
      <c r="P402" s="660" t="str">
        <f t="shared" si="108"/>
        <v/>
      </c>
      <c r="Q402" s="52" t="str">
        <f t="shared" si="101"/>
        <v>No</v>
      </c>
      <c r="R402" s="1574" t="str">
        <f t="shared" si="113"/>
        <v/>
      </c>
      <c r="S402" s="52" t="str">
        <f t="shared" si="110"/>
        <v/>
      </c>
      <c r="T402" s="52" t="str">
        <f t="shared" si="111"/>
        <v/>
      </c>
      <c r="U402" s="52" t="str">
        <f t="shared" si="114"/>
        <v/>
      </c>
      <c r="V402" s="52" t="str">
        <f t="shared" si="112"/>
        <v/>
      </c>
      <c r="W402" s="1578"/>
      <c r="X402" s="52" t="str">
        <f t="shared" si="109"/>
        <v/>
      </c>
      <c r="Y402" s="52" t="str">
        <f t="shared" si="99"/>
        <v/>
      </c>
    </row>
    <row r="403" spans="2:27">
      <c r="B403" s="1575"/>
      <c r="C403" s="1795"/>
      <c r="D403" s="920"/>
      <c r="E403" s="61" t="s">
        <v>8441</v>
      </c>
      <c r="F403" s="61"/>
      <c r="G403" s="61"/>
      <c r="H403" s="61"/>
      <c r="I403" s="61"/>
      <c r="J403" s="1687" t="s">
        <v>8442</v>
      </c>
      <c r="K403" s="63" t="str">
        <f t="shared" si="102"/>
        <v>No</v>
      </c>
      <c r="L403" s="76"/>
      <c r="M403" s="63">
        <f t="shared" si="107"/>
        <v>0</v>
      </c>
      <c r="N403" s="63" t="s">
        <v>8443</v>
      </c>
      <c r="O403" s="64"/>
      <c r="P403" s="660" t="str">
        <f t="shared" si="108"/>
        <v/>
      </c>
      <c r="Q403" s="52" t="str">
        <f t="shared" si="101"/>
        <v>No</v>
      </c>
      <c r="R403" s="1574" t="str">
        <f t="shared" si="113"/>
        <v/>
      </c>
      <c r="S403" s="52" t="str">
        <f t="shared" si="110"/>
        <v/>
      </c>
      <c r="T403" s="52" t="str">
        <f t="shared" si="111"/>
        <v/>
      </c>
      <c r="U403" s="52" t="str">
        <f t="shared" si="114"/>
        <v/>
      </c>
      <c r="V403" s="52" t="str">
        <f t="shared" si="112"/>
        <v/>
      </c>
      <c r="W403" s="1578"/>
      <c r="X403" s="52" t="str">
        <f t="shared" si="109"/>
        <v/>
      </c>
      <c r="Y403" s="52" t="str">
        <f t="shared" si="99"/>
        <v/>
      </c>
    </row>
    <row r="404" spans="2:27">
      <c r="B404" s="1575"/>
      <c r="C404" s="1795"/>
      <c r="D404" s="920"/>
      <c r="E404" s="61"/>
      <c r="F404" s="61" t="s">
        <v>8444</v>
      </c>
      <c r="G404" s="61"/>
      <c r="H404" s="61"/>
      <c r="I404" s="61"/>
      <c r="J404" s="1687" t="s">
        <v>8445</v>
      </c>
      <c r="K404" s="63" t="str">
        <f>IF(AND(Q404="Yes",L403&lt;&gt;""),"Yes","No")</f>
        <v>No</v>
      </c>
      <c r="L404" s="76"/>
      <c r="M404" s="63">
        <f t="shared" si="107"/>
        <v>0</v>
      </c>
      <c r="N404" s="63" t="s">
        <v>8412</v>
      </c>
      <c r="O404" s="64"/>
      <c r="P404" s="660" t="str">
        <f t="shared" si="108"/>
        <v/>
      </c>
      <c r="Q404" s="52" t="str">
        <f t="shared" si="101"/>
        <v>No</v>
      </c>
      <c r="R404" s="1574" t="str">
        <f t="shared" si="113"/>
        <v/>
      </c>
      <c r="S404" s="52" t="str">
        <f t="shared" si="110"/>
        <v/>
      </c>
      <c r="T404" s="52" t="str">
        <f t="shared" si="111"/>
        <v/>
      </c>
      <c r="U404" s="52" t="str">
        <f t="shared" si="114"/>
        <v/>
      </c>
      <c r="V404" s="52" t="str">
        <f t="shared" si="112"/>
        <v/>
      </c>
      <c r="W404" s="1578"/>
      <c r="X404" s="52" t="str">
        <f t="shared" si="109"/>
        <v/>
      </c>
      <c r="Y404" s="52" t="str">
        <f t="shared" si="99"/>
        <v/>
      </c>
    </row>
    <row r="405" spans="2:27">
      <c r="B405" s="1575"/>
      <c r="C405" s="1795"/>
      <c r="D405" s="920"/>
      <c r="E405" s="61" t="s">
        <v>8446</v>
      </c>
      <c r="F405" s="61"/>
      <c r="G405" s="61"/>
      <c r="H405" s="61"/>
      <c r="I405" s="61"/>
      <c r="J405" s="1687" t="s">
        <v>8447</v>
      </c>
      <c r="K405" s="63" t="str">
        <f t="shared" si="102"/>
        <v>No</v>
      </c>
      <c r="L405" s="76"/>
      <c r="M405" s="63">
        <f t="shared" si="107"/>
        <v>0</v>
      </c>
      <c r="N405" s="63" t="s">
        <v>8443</v>
      </c>
      <c r="O405" s="64"/>
      <c r="P405" s="660" t="str">
        <f t="shared" si="108"/>
        <v/>
      </c>
      <c r="Q405" s="52" t="str">
        <f t="shared" si="101"/>
        <v>No</v>
      </c>
      <c r="R405" s="1574" t="str">
        <f t="shared" si="113"/>
        <v/>
      </c>
      <c r="S405" s="52" t="str">
        <f t="shared" si="110"/>
        <v/>
      </c>
      <c r="T405" s="52" t="str">
        <f t="shared" si="111"/>
        <v/>
      </c>
      <c r="U405" s="52" t="str">
        <f t="shared" si="114"/>
        <v/>
      </c>
      <c r="V405" s="52" t="str">
        <f t="shared" si="112"/>
        <v/>
      </c>
      <c r="W405" s="1578"/>
      <c r="X405" s="52" t="str">
        <f t="shared" si="109"/>
        <v/>
      </c>
      <c r="Y405" s="52" t="str">
        <f t="shared" si="99"/>
        <v/>
      </c>
    </row>
    <row r="406" spans="2:27" ht="26">
      <c r="B406" s="1532" t="str">
        <f t="shared" ref="B406:B426" si="115">IF(E406&lt;&gt;"",E406,IF(F406&lt;&gt;"",F406,IF(G406&lt;&gt;"",G406,IF(H406&lt;&gt;"",H406))))</f>
        <v>Opportunistic Strike</v>
      </c>
      <c r="C406" s="1795"/>
      <c r="D406" s="920" t="s">
        <v>2787</v>
      </c>
      <c r="E406" s="61" t="s">
        <v>2788</v>
      </c>
      <c r="F406" s="61"/>
      <c r="G406" s="61"/>
      <c r="H406" s="61"/>
      <c r="I406" s="61"/>
      <c r="J406" s="1687" t="s">
        <v>4901</v>
      </c>
      <c r="K406" s="63" t="str">
        <f t="shared" si="102"/>
        <v>No</v>
      </c>
      <c r="L406" s="76"/>
      <c r="M406" s="63">
        <f t="shared" ref="M406:M493" si="116">IF(L406&lt;&gt;"",1,0)</f>
        <v>0</v>
      </c>
      <c r="N406" s="63" t="s">
        <v>2680</v>
      </c>
      <c r="O406" s="64"/>
      <c r="P406" s="660" t="str">
        <f t="shared" si="108"/>
        <v/>
      </c>
      <c r="Q406" s="52" t="str">
        <f>IF(OR($AD$45&gt;0,$AD$9&gt;0),"Yes","No")</f>
        <v>No</v>
      </c>
      <c r="R406" s="1574" t="str">
        <f t="shared" si="113"/>
        <v/>
      </c>
      <c r="S406" s="52" t="str">
        <f t="shared" si="110"/>
        <v/>
      </c>
      <c r="T406" s="52" t="str">
        <f t="shared" si="111"/>
        <v/>
      </c>
      <c r="U406" s="52" t="str">
        <f t="shared" si="114"/>
        <v/>
      </c>
      <c r="V406" s="52" t="str">
        <f t="shared" si="112"/>
        <v/>
      </c>
      <c r="W406" s="1578"/>
      <c r="X406" s="52" t="str">
        <f t="shared" si="109"/>
        <v/>
      </c>
      <c r="Y406" s="52" t="str">
        <f t="shared" ref="Y406:Y469" si="117">IF(U406&lt;&gt;"",IF(W406="Att Options",U406&amp;IF(Y407&lt;&gt;"",", ",""),"")&amp;Y407,Y407)</f>
        <v/>
      </c>
      <c r="AA406" s="52" t="str">
        <f t="shared" si="106"/>
        <v/>
      </c>
    </row>
    <row r="407" spans="2:27">
      <c r="B407" s="1532" t="str">
        <f t="shared" si="115"/>
        <v>Cheap Shot</v>
      </c>
      <c r="C407" s="1795"/>
      <c r="D407" s="920"/>
      <c r="E407" s="61"/>
      <c r="F407" s="61" t="s">
        <v>2789</v>
      </c>
      <c r="G407" s="61"/>
      <c r="H407" s="61"/>
      <c r="I407" s="61"/>
      <c r="J407" s="1687" t="s">
        <v>4902</v>
      </c>
      <c r="K407" s="63" t="str">
        <f>IF(AND(Q406="Yes",L406&lt;&gt;""),"Yes","No")</f>
        <v>No</v>
      </c>
      <c r="L407" s="76"/>
      <c r="M407" s="63">
        <f t="shared" si="116"/>
        <v>0</v>
      </c>
      <c r="N407" s="63" t="s">
        <v>2680</v>
      </c>
      <c r="O407" s="64"/>
      <c r="P407" s="660" t="str">
        <f t="shared" si="108"/>
        <v/>
      </c>
      <c r="Q407" s="52" t="str">
        <f t="shared" si="101"/>
        <v>No</v>
      </c>
      <c r="R407" s="1574" t="str">
        <f t="shared" si="113"/>
        <v/>
      </c>
      <c r="S407" s="52" t="str">
        <f t="shared" si="110"/>
        <v/>
      </c>
      <c r="T407" s="52" t="str">
        <f t="shared" si="111"/>
        <v/>
      </c>
      <c r="U407" s="52" t="str">
        <f t="shared" si="114"/>
        <v/>
      </c>
      <c r="V407" s="52" t="str">
        <f t="shared" si="112"/>
        <v/>
      </c>
      <c r="W407" s="1578"/>
      <c r="X407" s="52" t="str">
        <f t="shared" si="109"/>
        <v/>
      </c>
      <c r="Y407" s="52" t="str">
        <f t="shared" si="117"/>
        <v/>
      </c>
      <c r="AA407" s="52" t="str">
        <f t="shared" si="106"/>
        <v/>
      </c>
    </row>
    <row r="408" spans="2:27">
      <c r="B408" s="1532" t="str">
        <f t="shared" si="115"/>
        <v>No Escape</v>
      </c>
      <c r="C408" s="1795"/>
      <c r="D408" s="920"/>
      <c r="E408" s="61"/>
      <c r="F408" s="61" t="s">
        <v>2790</v>
      </c>
      <c r="G408" s="61"/>
      <c r="H408" s="61"/>
      <c r="I408" s="61"/>
      <c r="J408" s="1687" t="s">
        <v>4903</v>
      </c>
      <c r="K408" s="63" t="str">
        <f t="shared" si="102"/>
        <v>No</v>
      </c>
      <c r="L408" s="76"/>
      <c r="M408" s="63">
        <f t="shared" si="116"/>
        <v>0</v>
      </c>
      <c r="N408" s="63" t="s">
        <v>2680</v>
      </c>
      <c r="O408" s="64"/>
      <c r="P408" s="660" t="str">
        <f t="shared" si="108"/>
        <v/>
      </c>
      <c r="Q408" s="52" t="str">
        <f t="shared" si="101"/>
        <v>No</v>
      </c>
      <c r="R408" s="1574" t="str">
        <f t="shared" si="113"/>
        <v/>
      </c>
      <c r="S408" s="52" t="str">
        <f t="shared" si="110"/>
        <v/>
      </c>
      <c r="T408" s="52" t="str">
        <f t="shared" si="111"/>
        <v/>
      </c>
      <c r="U408" s="52" t="str">
        <f t="shared" si="114"/>
        <v/>
      </c>
      <c r="V408" s="52" t="str">
        <f t="shared" si="112"/>
        <v/>
      </c>
      <c r="W408" s="1578"/>
      <c r="X408" s="52" t="str">
        <f t="shared" si="109"/>
        <v/>
      </c>
      <c r="Y408" s="52" t="str">
        <f t="shared" si="117"/>
        <v/>
      </c>
      <c r="AA408" s="52" t="str">
        <f t="shared" si="106"/>
        <v/>
      </c>
    </row>
    <row r="409" spans="2:27">
      <c r="B409" s="1532" t="str">
        <f t="shared" si="115"/>
        <v>Strike and Run</v>
      </c>
      <c r="C409" s="1795"/>
      <c r="D409" s="920"/>
      <c r="E409" s="61" t="s">
        <v>2791</v>
      </c>
      <c r="F409" s="61"/>
      <c r="G409" s="61"/>
      <c r="H409" s="61"/>
      <c r="I409" s="61"/>
      <c r="J409" s="1687" t="s">
        <v>4904</v>
      </c>
      <c r="K409" s="63" t="str">
        <f t="shared" si="102"/>
        <v>No</v>
      </c>
      <c r="L409" s="76"/>
      <c r="M409" s="63">
        <f t="shared" si="116"/>
        <v>0</v>
      </c>
      <c r="N409" s="63" t="s">
        <v>2792</v>
      </c>
      <c r="O409" s="64"/>
      <c r="P409" s="660" t="str">
        <f t="shared" si="108"/>
        <v/>
      </c>
      <c r="Q409" s="52" t="str">
        <f t="shared" si="101"/>
        <v>No</v>
      </c>
      <c r="R409" s="1574" t="str">
        <f t="shared" si="113"/>
        <v/>
      </c>
      <c r="S409" s="52" t="str">
        <f t="shared" si="110"/>
        <v/>
      </c>
      <c r="T409" s="52" t="str">
        <f t="shared" si="111"/>
        <v/>
      </c>
      <c r="U409" s="52" t="str">
        <f t="shared" si="114"/>
        <v/>
      </c>
      <c r="V409" s="52" t="str">
        <f t="shared" si="112"/>
        <v/>
      </c>
      <c r="W409" s="1578"/>
      <c r="X409" s="52" t="str">
        <f t="shared" si="109"/>
        <v/>
      </c>
      <c r="Y409" s="52" t="str">
        <f t="shared" si="117"/>
        <v/>
      </c>
      <c r="AA409" s="52" t="str">
        <f t="shared" si="106"/>
        <v/>
      </c>
    </row>
    <row r="410" spans="2:27">
      <c r="B410" s="1532" t="str">
        <f t="shared" si="115"/>
        <v>Slippery Strike</v>
      </c>
      <c r="C410" s="1795"/>
      <c r="D410" s="920"/>
      <c r="E410" s="61"/>
      <c r="F410" s="61" t="s">
        <v>2793</v>
      </c>
      <c r="G410" s="61"/>
      <c r="H410" s="61"/>
      <c r="I410" s="61"/>
      <c r="J410" s="1687" t="s">
        <v>4905</v>
      </c>
      <c r="K410" s="63" t="str">
        <f>IF(AND(Q409="Yes",L409&lt;&gt;""),"Yes","No")</f>
        <v>No</v>
      </c>
      <c r="L410" s="76"/>
      <c r="M410" s="63">
        <f t="shared" si="116"/>
        <v>0</v>
      </c>
      <c r="N410" s="63" t="s">
        <v>2680</v>
      </c>
      <c r="O410" s="64"/>
      <c r="P410" s="660" t="str">
        <f t="shared" si="108"/>
        <v/>
      </c>
      <c r="Q410" s="52" t="str">
        <f t="shared" si="101"/>
        <v>No</v>
      </c>
      <c r="R410" s="1574" t="str">
        <f t="shared" si="113"/>
        <v/>
      </c>
      <c r="S410" s="52" t="str">
        <f t="shared" si="110"/>
        <v/>
      </c>
      <c r="T410" s="52" t="str">
        <f t="shared" si="111"/>
        <v/>
      </c>
      <c r="U410" s="52" t="str">
        <f t="shared" si="114"/>
        <v/>
      </c>
      <c r="V410" s="52" t="str">
        <f t="shared" si="112"/>
        <v/>
      </c>
      <c r="W410" s="1578"/>
      <c r="X410" s="52" t="str">
        <f t="shared" si="109"/>
        <v/>
      </c>
      <c r="Y410" s="52" t="str">
        <f t="shared" si="117"/>
        <v/>
      </c>
      <c r="AA410" s="52" t="str">
        <f t="shared" si="106"/>
        <v/>
      </c>
    </row>
    <row r="411" spans="2:27">
      <c r="B411" s="1532" t="str">
        <f t="shared" si="115"/>
        <v>Electronic Forgery</v>
      </c>
      <c r="C411" s="1795"/>
      <c r="D411" s="920" t="s">
        <v>2794</v>
      </c>
      <c r="E411" s="61" t="s">
        <v>2795</v>
      </c>
      <c r="F411" s="61"/>
      <c r="G411" s="61"/>
      <c r="H411" s="61"/>
      <c r="I411" s="61"/>
      <c r="J411" s="1687" t="s">
        <v>4906</v>
      </c>
      <c r="K411" s="63" t="str">
        <f t="shared" si="102"/>
        <v>No</v>
      </c>
      <c r="L411" s="76"/>
      <c r="M411" s="63">
        <f t="shared" si="116"/>
        <v>0</v>
      </c>
      <c r="N411" s="63" t="s">
        <v>2796</v>
      </c>
      <c r="O411" s="64"/>
      <c r="P411" s="660" t="str">
        <f t="shared" si="108"/>
        <v/>
      </c>
      <c r="Q411" s="52" t="str">
        <f>IF(OR($AD$45&gt;0,$AD$9&gt;0,$AD$43),"Yes","No")</f>
        <v>No</v>
      </c>
      <c r="R411" s="1574" t="str">
        <f t="shared" si="113"/>
        <v/>
      </c>
      <c r="S411" s="52" t="str">
        <f t="shared" si="110"/>
        <v/>
      </c>
      <c r="T411" s="52" t="str">
        <f t="shared" si="111"/>
        <v/>
      </c>
      <c r="U411" s="52" t="str">
        <f t="shared" si="114"/>
        <v/>
      </c>
      <c r="V411" s="52" t="str">
        <f t="shared" si="112"/>
        <v/>
      </c>
      <c r="W411" s="1578"/>
      <c r="X411" s="52" t="str">
        <f t="shared" si="109"/>
        <v/>
      </c>
      <c r="Y411" s="52" t="str">
        <f t="shared" si="117"/>
        <v/>
      </c>
      <c r="AA411" s="52" t="str">
        <f t="shared" si="106"/>
        <v/>
      </c>
    </row>
    <row r="412" spans="2:27">
      <c r="B412" s="1532" t="str">
        <f t="shared" si="115"/>
        <v>Electronic Sabotage</v>
      </c>
      <c r="C412" s="1795"/>
      <c r="D412" s="920"/>
      <c r="E412" s="61" t="s">
        <v>2797</v>
      </c>
      <c r="F412" s="61"/>
      <c r="G412" s="61"/>
      <c r="H412" s="61"/>
      <c r="I412" s="61"/>
      <c r="J412" s="1687" t="s">
        <v>4907</v>
      </c>
      <c r="K412" s="63" t="str">
        <f t="shared" si="102"/>
        <v>No</v>
      </c>
      <c r="L412" s="76"/>
      <c r="M412" s="63">
        <f t="shared" si="116"/>
        <v>0</v>
      </c>
      <c r="N412" s="63" t="s">
        <v>2796</v>
      </c>
      <c r="O412" s="64"/>
      <c r="P412" s="660" t="str">
        <f t="shared" si="108"/>
        <v/>
      </c>
      <c r="Q412" s="52" t="str">
        <f t="shared" si="101"/>
        <v>No</v>
      </c>
      <c r="R412" s="1574" t="str">
        <f t="shared" si="113"/>
        <v/>
      </c>
      <c r="S412" s="52" t="str">
        <f t="shared" si="110"/>
        <v/>
      </c>
      <c r="T412" s="52" t="str">
        <f t="shared" si="111"/>
        <v/>
      </c>
      <c r="U412" s="52" t="str">
        <f t="shared" si="114"/>
        <v/>
      </c>
      <c r="V412" s="52" t="str">
        <f t="shared" si="112"/>
        <v/>
      </c>
      <c r="W412" s="1578"/>
      <c r="X412" s="52" t="str">
        <f t="shared" si="109"/>
        <v/>
      </c>
      <c r="Y412" s="52" t="str">
        <f t="shared" si="117"/>
        <v/>
      </c>
      <c r="AA412" s="52" t="str">
        <f t="shared" si="106"/>
        <v/>
      </c>
    </row>
    <row r="413" spans="2:27">
      <c r="B413" s="1532" t="str">
        <f t="shared" si="115"/>
        <v>Virus</v>
      </c>
      <c r="C413" s="1795"/>
      <c r="D413" s="920"/>
      <c r="E413" s="61"/>
      <c r="F413" s="61" t="s">
        <v>2798</v>
      </c>
      <c r="G413" s="61"/>
      <c r="H413" s="61"/>
      <c r="I413" s="61"/>
      <c r="J413" s="1687" t="s">
        <v>4908</v>
      </c>
      <c r="K413" s="63" t="str">
        <f>IF(AND(Q412="Yes",L412&lt;&gt;""),"Yes","No")</f>
        <v>No</v>
      </c>
      <c r="L413" s="76"/>
      <c r="M413" s="63">
        <f t="shared" si="116"/>
        <v>0</v>
      </c>
      <c r="N413" s="63" t="s">
        <v>2799</v>
      </c>
      <c r="O413" s="64"/>
      <c r="P413" s="660" t="str">
        <f t="shared" si="108"/>
        <v/>
      </c>
      <c r="Q413" s="52" t="str">
        <f t="shared" si="101"/>
        <v>No</v>
      </c>
      <c r="R413" s="1574" t="str">
        <f t="shared" si="113"/>
        <v/>
      </c>
      <c r="S413" s="52" t="str">
        <f t="shared" si="110"/>
        <v/>
      </c>
      <c r="T413" s="52" t="str">
        <f t="shared" si="111"/>
        <v/>
      </c>
      <c r="U413" s="52" t="str">
        <f t="shared" si="114"/>
        <v/>
      </c>
      <c r="V413" s="52" t="str">
        <f t="shared" si="112"/>
        <v/>
      </c>
      <c r="W413" s="1578"/>
      <c r="X413" s="52" t="str">
        <f t="shared" si="109"/>
        <v/>
      </c>
      <c r="Y413" s="52" t="str">
        <f t="shared" si="117"/>
        <v/>
      </c>
      <c r="AA413" s="52" t="str">
        <f t="shared" si="106"/>
        <v/>
      </c>
    </row>
    <row r="414" spans="2:27">
      <c r="B414" s="1532" t="str">
        <f t="shared" si="115"/>
        <v>Gimmick</v>
      </c>
      <c r="C414" s="1795"/>
      <c r="D414" s="920"/>
      <c r="E414" s="61" t="s">
        <v>2800</v>
      </c>
      <c r="F414" s="61"/>
      <c r="G414" s="61"/>
      <c r="H414" s="61"/>
      <c r="I414" s="61"/>
      <c r="J414" s="1687" t="s">
        <v>4909</v>
      </c>
      <c r="K414" s="63" t="str">
        <f t="shared" si="102"/>
        <v>No</v>
      </c>
      <c r="L414" s="76"/>
      <c r="M414" s="63">
        <f t="shared" si="116"/>
        <v>0</v>
      </c>
      <c r="N414" s="63">
        <v>47</v>
      </c>
      <c r="O414" s="64"/>
      <c r="P414" s="660" t="str">
        <f t="shared" si="108"/>
        <v/>
      </c>
      <c r="Q414" s="52" t="str">
        <f t="shared" si="101"/>
        <v>No</v>
      </c>
      <c r="R414" s="1574" t="str">
        <f t="shared" si="113"/>
        <v/>
      </c>
      <c r="S414" s="52" t="str">
        <f t="shared" si="110"/>
        <v/>
      </c>
      <c r="T414" s="52" t="str">
        <f t="shared" si="111"/>
        <v/>
      </c>
      <c r="U414" s="52" t="str">
        <f t="shared" si="114"/>
        <v/>
      </c>
      <c r="V414" s="52" t="str">
        <f t="shared" si="112"/>
        <v/>
      </c>
      <c r="W414" s="1578"/>
      <c r="X414" s="52" t="str">
        <f t="shared" si="109"/>
        <v/>
      </c>
      <c r="Y414" s="52" t="str">
        <f t="shared" si="117"/>
        <v/>
      </c>
      <c r="AA414" s="52" t="str">
        <f t="shared" si="106"/>
        <v/>
      </c>
    </row>
    <row r="415" spans="2:27">
      <c r="B415" s="1532" t="str">
        <f t="shared" si="115"/>
        <v>Master Slicer</v>
      </c>
      <c r="C415" s="1795"/>
      <c r="D415" s="920"/>
      <c r="E415" s="61"/>
      <c r="F415" s="61" t="s">
        <v>2801</v>
      </c>
      <c r="G415" s="61"/>
      <c r="H415" s="61"/>
      <c r="I415" s="61"/>
      <c r="J415" s="1687" t="s">
        <v>4910</v>
      </c>
      <c r="K415" s="63" t="str">
        <f>IF(AND(Q414="Yes",L414&lt;&gt;""),"Yes","No")</f>
        <v>No</v>
      </c>
      <c r="L415" s="76"/>
      <c r="M415" s="63">
        <f t="shared" si="116"/>
        <v>0</v>
      </c>
      <c r="N415" s="63">
        <v>47</v>
      </c>
      <c r="O415" s="64"/>
      <c r="P415" s="660" t="str">
        <f t="shared" si="108"/>
        <v/>
      </c>
      <c r="Q415" s="52" t="str">
        <f t="shared" si="101"/>
        <v>No</v>
      </c>
      <c r="R415" s="1574" t="str">
        <f t="shared" si="113"/>
        <v/>
      </c>
      <c r="S415" s="52" t="str">
        <f t="shared" si="110"/>
        <v/>
      </c>
      <c r="T415" s="52" t="str">
        <f t="shared" si="111"/>
        <v/>
      </c>
      <c r="U415" s="52" t="str">
        <f t="shared" si="114"/>
        <v/>
      </c>
      <c r="V415" s="52" t="str">
        <f t="shared" si="112"/>
        <v/>
      </c>
      <c r="W415" s="1578"/>
      <c r="X415" s="52" t="str">
        <f t="shared" si="109"/>
        <v/>
      </c>
      <c r="Y415" s="52" t="str">
        <f t="shared" si="117"/>
        <v/>
      </c>
      <c r="AA415" s="52" t="str">
        <f t="shared" si="106"/>
        <v/>
      </c>
    </row>
    <row r="416" spans="2:27">
      <c r="B416" s="1532" t="str">
        <f t="shared" si="115"/>
        <v>Security Slicer</v>
      </c>
      <c r="C416" s="1795"/>
      <c r="D416" s="920"/>
      <c r="E416" s="61" t="s">
        <v>2802</v>
      </c>
      <c r="F416" s="61"/>
      <c r="G416" s="61"/>
      <c r="H416" s="61"/>
      <c r="I416" s="61"/>
      <c r="J416" s="1687" t="s">
        <v>4911</v>
      </c>
      <c r="K416" s="63" t="str">
        <f t="shared" si="102"/>
        <v>No</v>
      </c>
      <c r="L416" s="76"/>
      <c r="M416" s="63">
        <f t="shared" si="116"/>
        <v>0</v>
      </c>
      <c r="N416" s="63" t="s">
        <v>2796</v>
      </c>
      <c r="O416" s="64"/>
      <c r="P416" s="660" t="str">
        <f t="shared" si="108"/>
        <v/>
      </c>
      <c r="Q416" s="52" t="str">
        <f t="shared" si="101"/>
        <v>No</v>
      </c>
      <c r="R416" s="1574" t="str">
        <f t="shared" si="113"/>
        <v/>
      </c>
      <c r="S416" s="52" t="str">
        <f t="shared" si="110"/>
        <v/>
      </c>
      <c r="T416" s="52" t="str">
        <f t="shared" si="111"/>
        <v/>
      </c>
      <c r="U416" s="52" t="str">
        <f t="shared" si="114"/>
        <v/>
      </c>
      <c r="V416" s="52" t="str">
        <f t="shared" si="112"/>
        <v/>
      </c>
      <c r="W416" s="1578"/>
      <c r="X416" s="52" t="str">
        <f t="shared" si="109"/>
        <v/>
      </c>
      <c r="Y416" s="52" t="str">
        <f t="shared" si="117"/>
        <v/>
      </c>
      <c r="AA416" s="52" t="str">
        <f t="shared" si="106"/>
        <v/>
      </c>
    </row>
    <row r="417" spans="2:27">
      <c r="B417" s="1532" t="str">
        <f t="shared" si="115"/>
        <v>Trace</v>
      </c>
      <c r="C417" s="1795"/>
      <c r="D417" s="920"/>
      <c r="E417" s="61" t="s">
        <v>2803</v>
      </c>
      <c r="F417" s="61"/>
      <c r="G417" s="61"/>
      <c r="H417" s="61"/>
      <c r="I417" s="61"/>
      <c r="J417" s="1687" t="s">
        <v>4912</v>
      </c>
      <c r="K417" s="63" t="str">
        <f t="shared" si="102"/>
        <v>No</v>
      </c>
      <c r="L417" s="76"/>
      <c r="M417" s="63">
        <f t="shared" si="116"/>
        <v>0</v>
      </c>
      <c r="N417" s="63">
        <v>47</v>
      </c>
      <c r="O417" s="64"/>
      <c r="P417" s="660" t="str">
        <f t="shared" si="108"/>
        <v/>
      </c>
      <c r="Q417" s="52" t="str">
        <f t="shared" si="101"/>
        <v>No</v>
      </c>
      <c r="R417" s="1574" t="str">
        <f t="shared" si="113"/>
        <v/>
      </c>
      <c r="S417" s="52" t="str">
        <f t="shared" si="110"/>
        <v/>
      </c>
      <c r="T417" s="52" t="str">
        <f t="shared" si="111"/>
        <v/>
      </c>
      <c r="U417" s="52" t="str">
        <f t="shared" si="114"/>
        <v/>
      </c>
      <c r="V417" s="52" t="str">
        <f t="shared" si="112"/>
        <v/>
      </c>
      <c r="W417" s="1578"/>
      <c r="X417" s="52" t="str">
        <f t="shared" si="109"/>
        <v/>
      </c>
      <c r="Y417" s="52" t="str">
        <f t="shared" si="117"/>
        <v/>
      </c>
      <c r="AA417" s="52" t="str">
        <f t="shared" si="106"/>
        <v/>
      </c>
    </row>
    <row r="418" spans="2:27">
      <c r="B418" s="1532" t="str">
        <f t="shared" si="115"/>
        <v>Art of Concealment</v>
      </c>
      <c r="C418" s="1795"/>
      <c r="D418" s="920" t="s">
        <v>2804</v>
      </c>
      <c r="E418" s="61" t="s">
        <v>2805</v>
      </c>
      <c r="F418" s="61"/>
      <c r="G418" s="61"/>
      <c r="H418" s="61"/>
      <c r="I418" s="61"/>
      <c r="J418" s="1687" t="s">
        <v>4913</v>
      </c>
      <c r="K418" s="63" t="str">
        <f t="shared" si="102"/>
        <v>No</v>
      </c>
      <c r="L418" s="76"/>
      <c r="M418" s="63">
        <f t="shared" si="116"/>
        <v>0</v>
      </c>
      <c r="N418" s="63" t="s">
        <v>2796</v>
      </c>
      <c r="O418" s="64"/>
      <c r="P418" s="660" t="str">
        <f t="shared" si="108"/>
        <v/>
      </c>
      <c r="Q418" s="52" t="str">
        <f>IF(OR($AD$45&gt;0,$AD$9&gt;0),"Yes","No")</f>
        <v>No</v>
      </c>
      <c r="R418" s="1574" t="str">
        <f t="shared" si="113"/>
        <v/>
      </c>
      <c r="S418" s="52" t="str">
        <f t="shared" si="110"/>
        <v/>
      </c>
      <c r="T418" s="52" t="str">
        <f t="shared" si="111"/>
        <v/>
      </c>
      <c r="U418" s="52" t="str">
        <f t="shared" si="114"/>
        <v/>
      </c>
      <c r="V418" s="52" t="str">
        <f t="shared" si="112"/>
        <v/>
      </c>
      <c r="W418" s="1578"/>
      <c r="X418" s="52" t="str">
        <f t="shared" si="109"/>
        <v/>
      </c>
      <c r="Y418" s="52" t="str">
        <f t="shared" si="117"/>
        <v/>
      </c>
      <c r="AA418" s="52" t="str">
        <f t="shared" si="106"/>
        <v/>
      </c>
    </row>
    <row r="419" spans="2:27">
      <c r="B419" s="1532" t="str">
        <f t="shared" si="115"/>
        <v>Fast Talker</v>
      </c>
      <c r="C419" s="1795"/>
      <c r="D419" s="920"/>
      <c r="E419" s="61"/>
      <c r="F419" s="61" t="s">
        <v>2806</v>
      </c>
      <c r="G419" s="61"/>
      <c r="H419" s="61"/>
      <c r="I419" s="61"/>
      <c r="J419" s="1687" t="s">
        <v>4914</v>
      </c>
      <c r="K419" s="63" t="str">
        <f>IF(AND(Q418="Yes",L418&lt;&gt;""),"Yes","No")</f>
        <v>No</v>
      </c>
      <c r="L419" s="76"/>
      <c r="M419" s="63">
        <f t="shared" si="116"/>
        <v>0</v>
      </c>
      <c r="N419" s="63" t="s">
        <v>2796</v>
      </c>
      <c r="O419" s="64"/>
      <c r="P419" s="660" t="str">
        <f t="shared" si="108"/>
        <v/>
      </c>
      <c r="Q419" s="52" t="str">
        <f t="shared" si="101"/>
        <v>No</v>
      </c>
      <c r="R419" s="1574" t="str">
        <f t="shared" si="113"/>
        <v/>
      </c>
      <c r="S419" s="52" t="str">
        <f t="shared" si="110"/>
        <v/>
      </c>
      <c r="T419" s="52" t="str">
        <f t="shared" si="111"/>
        <v/>
      </c>
      <c r="U419" s="52" t="str">
        <f t="shared" si="114"/>
        <v/>
      </c>
      <c r="V419" s="52" t="str">
        <f t="shared" si="112"/>
        <v/>
      </c>
      <c r="W419" s="1578"/>
      <c r="X419" s="52" t="str">
        <f t="shared" si="109"/>
        <v/>
      </c>
      <c r="Y419" s="52" t="str">
        <f t="shared" si="117"/>
        <v/>
      </c>
      <c r="AA419" s="52" t="str">
        <f t="shared" si="106"/>
        <v/>
      </c>
    </row>
    <row r="420" spans="2:27" ht="26">
      <c r="B420" s="1532" t="str">
        <f t="shared" si="115"/>
        <v>Hidden Weapons</v>
      </c>
      <c r="C420" s="1795"/>
      <c r="D420" s="920"/>
      <c r="E420" s="61"/>
      <c r="F420" s="61" t="s">
        <v>2807</v>
      </c>
      <c r="G420" s="61"/>
      <c r="H420" s="61"/>
      <c r="I420" s="61"/>
      <c r="J420" s="1687" t="s">
        <v>4915</v>
      </c>
      <c r="K420" s="63" t="str">
        <f t="shared" si="102"/>
        <v>No</v>
      </c>
      <c r="L420" s="76"/>
      <c r="M420" s="63">
        <f t="shared" si="116"/>
        <v>0</v>
      </c>
      <c r="N420" s="63" t="s">
        <v>2796</v>
      </c>
      <c r="O420" s="64"/>
      <c r="P420" s="660" t="str">
        <f t="shared" si="108"/>
        <v/>
      </c>
      <c r="Q420" s="52" t="str">
        <f t="shared" si="101"/>
        <v>No</v>
      </c>
      <c r="R420" s="1574" t="str">
        <f t="shared" si="113"/>
        <v/>
      </c>
      <c r="S420" s="52" t="str">
        <f t="shared" si="110"/>
        <v/>
      </c>
      <c r="T420" s="52" t="str">
        <f t="shared" si="111"/>
        <v/>
      </c>
      <c r="U420" s="52" t="str">
        <f t="shared" si="114"/>
        <v/>
      </c>
      <c r="V420" s="52" t="str">
        <f t="shared" si="112"/>
        <v/>
      </c>
      <c r="W420" s="1578"/>
      <c r="X420" s="52" t="str">
        <f t="shared" si="109"/>
        <v/>
      </c>
      <c r="Y420" s="52" t="str">
        <f t="shared" si="117"/>
        <v/>
      </c>
      <c r="AA420" s="52" t="str">
        <f t="shared" si="106"/>
        <v/>
      </c>
    </row>
    <row r="421" spans="2:27">
      <c r="B421" s="1532" t="str">
        <f t="shared" si="115"/>
        <v>Illicit Dealings</v>
      </c>
      <c r="C421" s="1795"/>
      <c r="D421" s="920"/>
      <c r="E421" s="61" t="s">
        <v>2808</v>
      </c>
      <c r="F421" s="61"/>
      <c r="G421" s="61"/>
      <c r="H421" s="61"/>
      <c r="I421" s="61"/>
      <c r="J421" s="1687" t="s">
        <v>4916</v>
      </c>
      <c r="K421" s="63" t="str">
        <f t="shared" si="102"/>
        <v>No</v>
      </c>
      <c r="L421" s="76"/>
      <c r="M421" s="63">
        <f t="shared" si="116"/>
        <v>0</v>
      </c>
      <c r="N421" s="63" t="s">
        <v>2796</v>
      </c>
      <c r="O421" s="64"/>
      <c r="P421" s="660" t="str">
        <f t="shared" si="108"/>
        <v/>
      </c>
      <c r="Q421" s="52" t="str">
        <f t="shared" si="101"/>
        <v>No</v>
      </c>
      <c r="R421" s="1574" t="str">
        <f t="shared" si="113"/>
        <v/>
      </c>
      <c r="S421" s="52" t="str">
        <f t="shared" si="110"/>
        <v/>
      </c>
      <c r="T421" s="52" t="str">
        <f t="shared" si="111"/>
        <v/>
      </c>
      <c r="U421" s="52" t="str">
        <f t="shared" si="114"/>
        <v/>
      </c>
      <c r="V421" s="52" t="str">
        <f t="shared" si="112"/>
        <v/>
      </c>
      <c r="W421" s="1578"/>
      <c r="X421" s="52" t="str">
        <f t="shared" si="109"/>
        <v/>
      </c>
      <c r="Y421" s="52" t="str">
        <f t="shared" si="117"/>
        <v/>
      </c>
      <c r="AA421" s="52" t="str">
        <f t="shared" si="106"/>
        <v/>
      </c>
    </row>
    <row r="422" spans="2:27" ht="26">
      <c r="B422" s="1532" t="str">
        <f t="shared" si="115"/>
        <v>Surprise Strike</v>
      </c>
      <c r="C422" s="1795"/>
      <c r="D422" s="920"/>
      <c r="E422" s="61" t="s">
        <v>2809</v>
      </c>
      <c r="F422" s="61"/>
      <c r="G422" s="61"/>
      <c r="H422" s="61"/>
      <c r="I422" s="61"/>
      <c r="J422" s="1687" t="s">
        <v>4917</v>
      </c>
      <c r="K422" s="63" t="str">
        <f t="shared" si="102"/>
        <v>No</v>
      </c>
      <c r="L422" s="76"/>
      <c r="M422" s="63">
        <f t="shared" si="116"/>
        <v>0</v>
      </c>
      <c r="N422" s="63" t="s">
        <v>2796</v>
      </c>
      <c r="O422" s="64"/>
      <c r="P422" s="660" t="str">
        <f t="shared" si="108"/>
        <v/>
      </c>
      <c r="Q422" s="52" t="str">
        <f t="shared" si="101"/>
        <v>No</v>
      </c>
      <c r="R422" s="1574" t="str">
        <f t="shared" si="113"/>
        <v/>
      </c>
      <c r="S422" s="52" t="str">
        <f t="shared" si="110"/>
        <v/>
      </c>
      <c r="T422" s="52" t="str">
        <f t="shared" si="111"/>
        <v/>
      </c>
      <c r="U422" s="52" t="str">
        <f t="shared" si="114"/>
        <v/>
      </c>
      <c r="V422" s="52" t="str">
        <f t="shared" si="112"/>
        <v/>
      </c>
      <c r="W422" s="1578"/>
      <c r="X422" s="52" t="str">
        <f t="shared" si="109"/>
        <v/>
      </c>
      <c r="Y422" s="52" t="str">
        <f t="shared" si="117"/>
        <v/>
      </c>
      <c r="AA422" s="52" t="str">
        <f t="shared" si="106"/>
        <v/>
      </c>
    </row>
    <row r="423" spans="2:27">
      <c r="B423" s="1532" t="str">
        <f t="shared" si="115"/>
        <v>Hyperdriven</v>
      </c>
      <c r="C423" s="1795"/>
      <c r="D423" s="920" t="s">
        <v>2810</v>
      </c>
      <c r="E423" s="61" t="s">
        <v>2811</v>
      </c>
      <c r="F423" s="61"/>
      <c r="G423" s="61"/>
      <c r="H423" s="61"/>
      <c r="I423" s="61"/>
      <c r="J423" s="1687" t="s">
        <v>4918</v>
      </c>
      <c r="K423" s="63" t="str">
        <f t="shared" si="102"/>
        <v>No</v>
      </c>
      <c r="L423" s="76"/>
      <c r="M423" s="63">
        <f t="shared" si="116"/>
        <v>0</v>
      </c>
      <c r="N423" s="63">
        <v>47</v>
      </c>
      <c r="O423" s="64"/>
      <c r="P423" s="660" t="str">
        <f t="shared" si="108"/>
        <v/>
      </c>
      <c r="Q423" s="52" t="str">
        <f>IF(OR($AD$45&gt;0,$AD$9&gt;0,$AD$13&gt;0),"Yes","No")</f>
        <v>No</v>
      </c>
      <c r="R423" s="1574" t="str">
        <f t="shared" si="113"/>
        <v/>
      </c>
      <c r="S423" s="52" t="str">
        <f t="shared" si="110"/>
        <v/>
      </c>
      <c r="T423" s="52" t="str">
        <f t="shared" si="111"/>
        <v/>
      </c>
      <c r="U423" s="52" t="str">
        <f t="shared" si="114"/>
        <v/>
      </c>
      <c r="V423" s="52" t="str">
        <f t="shared" si="112"/>
        <v/>
      </c>
      <c r="W423" s="1578"/>
      <c r="X423" s="52" t="str">
        <f t="shared" si="109"/>
        <v/>
      </c>
      <c r="Y423" s="52" t="str">
        <f t="shared" si="117"/>
        <v/>
      </c>
      <c r="AA423" s="52" t="str">
        <f t="shared" si="106"/>
        <v/>
      </c>
    </row>
    <row r="424" spans="2:27" ht="26">
      <c r="B424" s="1532" t="str">
        <f t="shared" si="115"/>
        <v>Spacehound</v>
      </c>
      <c r="C424" s="1795"/>
      <c r="D424" s="920"/>
      <c r="E424" s="61" t="s">
        <v>2812</v>
      </c>
      <c r="F424" s="61"/>
      <c r="G424" s="61"/>
      <c r="H424" s="61"/>
      <c r="I424" s="61"/>
      <c r="J424" s="1687" t="s">
        <v>4919</v>
      </c>
      <c r="K424" s="63" t="str">
        <f t="shared" si="102"/>
        <v>No</v>
      </c>
      <c r="L424" s="76"/>
      <c r="M424" s="63">
        <f t="shared" si="116"/>
        <v>0</v>
      </c>
      <c r="N424" s="63">
        <v>47</v>
      </c>
      <c r="O424" s="64"/>
      <c r="P424" s="660" t="str">
        <f t="shared" si="108"/>
        <v/>
      </c>
      <c r="Q424" s="52" t="str">
        <f t="shared" si="101"/>
        <v>No</v>
      </c>
      <c r="R424" s="1574" t="str">
        <f t="shared" si="113"/>
        <v/>
      </c>
      <c r="S424" s="52" t="str">
        <f t="shared" si="110"/>
        <v/>
      </c>
      <c r="T424" s="52" t="str">
        <f t="shared" si="111"/>
        <v/>
      </c>
      <c r="U424" s="52" t="str">
        <f t="shared" si="114"/>
        <v/>
      </c>
      <c r="V424" s="52" t="str">
        <f t="shared" si="112"/>
        <v/>
      </c>
      <c r="W424" s="1578"/>
      <c r="X424" s="52" t="str">
        <f t="shared" si="109"/>
        <v/>
      </c>
      <c r="Y424" s="52" t="str">
        <f t="shared" si="117"/>
        <v/>
      </c>
      <c r="AA424" s="52" t="str">
        <f t="shared" si="106"/>
        <v/>
      </c>
    </row>
    <row r="425" spans="2:27">
      <c r="B425" s="1532" t="str">
        <f t="shared" si="115"/>
        <v>Starship Raider</v>
      </c>
      <c r="C425" s="1795"/>
      <c r="D425" s="920"/>
      <c r="E425" s="61"/>
      <c r="F425" s="61" t="s">
        <v>2813</v>
      </c>
      <c r="G425" s="61"/>
      <c r="H425" s="61"/>
      <c r="I425" s="61"/>
      <c r="J425" s="1687" t="s">
        <v>4920</v>
      </c>
      <c r="K425" s="63" t="str">
        <f>IF(AND(Q424="Yes",L424&lt;&gt;""),"Yes","No")</f>
        <v>No</v>
      </c>
      <c r="L425" s="76"/>
      <c r="M425" s="63">
        <f t="shared" si="116"/>
        <v>0</v>
      </c>
      <c r="N425" s="63">
        <v>47</v>
      </c>
      <c r="O425" s="64"/>
      <c r="P425" s="660" t="str">
        <f t="shared" si="108"/>
        <v/>
      </c>
      <c r="Q425" s="52" t="str">
        <f t="shared" si="101"/>
        <v>No</v>
      </c>
      <c r="R425" s="1574" t="str">
        <f t="shared" si="113"/>
        <v/>
      </c>
      <c r="S425" s="52" t="str">
        <f t="shared" si="110"/>
        <v/>
      </c>
      <c r="T425" s="52" t="str">
        <f t="shared" si="111"/>
        <v/>
      </c>
      <c r="U425" s="52" t="str">
        <f t="shared" si="114"/>
        <v/>
      </c>
      <c r="V425" s="52" t="str">
        <f t="shared" si="112"/>
        <v/>
      </c>
      <c r="W425" s="1578"/>
      <c r="X425" s="52" t="str">
        <f t="shared" si="109"/>
        <v/>
      </c>
      <c r="Y425" s="52" t="str">
        <f t="shared" si="117"/>
        <v/>
      </c>
      <c r="AA425" s="52" t="str">
        <f t="shared" si="106"/>
        <v/>
      </c>
    </row>
    <row r="426" spans="2:27">
      <c r="B426" s="1532" t="str">
        <f t="shared" si="115"/>
        <v>Cramped Quarters Fighting</v>
      </c>
      <c r="C426" s="1795"/>
      <c r="D426" s="920"/>
      <c r="E426" s="61"/>
      <c r="F426" s="61"/>
      <c r="G426" s="61" t="s">
        <v>2814</v>
      </c>
      <c r="H426" s="61"/>
      <c r="I426" s="61"/>
      <c r="J426" s="1687" t="s">
        <v>4921</v>
      </c>
      <c r="K426" s="63" t="str">
        <f>IF(AND(Q425="Yes",L425&lt;&gt;""),"Yes","No")</f>
        <v>No</v>
      </c>
      <c r="L426" s="76"/>
      <c r="M426" s="63">
        <f t="shared" si="116"/>
        <v>0</v>
      </c>
      <c r="N426" s="63" t="s">
        <v>2799</v>
      </c>
      <c r="O426" s="64"/>
      <c r="P426" s="660" t="str">
        <f t="shared" si="108"/>
        <v/>
      </c>
      <c r="Q426" s="52" t="str">
        <f t="shared" si="101"/>
        <v>No</v>
      </c>
      <c r="R426" s="1574" t="str">
        <f t="shared" si="113"/>
        <v/>
      </c>
      <c r="S426" s="52" t="str">
        <f t="shared" si="110"/>
        <v/>
      </c>
      <c r="T426" s="52" t="str">
        <f t="shared" si="111"/>
        <v/>
      </c>
      <c r="U426" s="52" t="str">
        <f t="shared" si="114"/>
        <v/>
      </c>
      <c r="V426" s="52" t="str">
        <f t="shared" si="112"/>
        <v/>
      </c>
      <c r="W426" s="1578"/>
      <c r="X426" s="52" t="str">
        <f t="shared" si="109"/>
        <v/>
      </c>
      <c r="Y426" s="52" t="str">
        <f t="shared" si="117"/>
        <v/>
      </c>
      <c r="AA426" s="52" t="str">
        <f>IF(U426&lt;&gt;"",IF(Z426="Defenses",U426&amp;IF(AA428&lt;&gt;"",", ",""),"")&amp;AA428,AA428)</f>
        <v/>
      </c>
    </row>
    <row r="427" spans="2:27" ht="52">
      <c r="B427" s="1575"/>
      <c r="C427" s="1795"/>
      <c r="D427" s="920"/>
      <c r="E427" s="61"/>
      <c r="F427" s="61"/>
      <c r="G427" s="61" t="s">
        <v>8448</v>
      </c>
      <c r="H427" s="61"/>
      <c r="I427" s="61"/>
      <c r="J427" s="1687" t="s">
        <v>8449</v>
      </c>
      <c r="K427" s="63" t="str">
        <f>IF(AND(Q427="Yes",L425&lt;&gt;""),"Yes","No")</f>
        <v>No</v>
      </c>
      <c r="L427" s="76"/>
      <c r="M427" s="63">
        <f t="shared" si="116"/>
        <v>0</v>
      </c>
      <c r="N427" s="63" t="s">
        <v>8435</v>
      </c>
      <c r="O427" s="64"/>
      <c r="P427" s="660" t="str">
        <f t="shared" si="108"/>
        <v/>
      </c>
      <c r="Q427" s="52" t="str">
        <f t="shared" si="101"/>
        <v>No</v>
      </c>
      <c r="R427" s="1574" t="str">
        <f t="shared" si="113"/>
        <v/>
      </c>
      <c r="S427" s="52" t="str">
        <f t="shared" si="110"/>
        <v/>
      </c>
      <c r="T427" s="52" t="str">
        <f t="shared" si="111"/>
        <v/>
      </c>
      <c r="U427" s="52" t="str">
        <f t="shared" si="114"/>
        <v/>
      </c>
      <c r="V427" s="52" t="str">
        <f t="shared" si="112"/>
        <v/>
      </c>
      <c r="W427" s="1578"/>
      <c r="X427" s="52" t="str">
        <f t="shared" si="109"/>
        <v/>
      </c>
      <c r="Y427" s="52" t="str">
        <f t="shared" si="117"/>
        <v/>
      </c>
    </row>
    <row r="428" spans="2:27">
      <c r="B428" s="1532" t="str">
        <f t="shared" ref="B428:B450" si="118">IF(E428&lt;&gt;"",E428,IF(F428&lt;&gt;"",F428,IF(G428&lt;&gt;"",G428,IF(H428&lt;&gt;"",H428))))</f>
        <v>Stellar Warrior</v>
      </c>
      <c r="C428" s="1795"/>
      <c r="D428" s="920"/>
      <c r="E428" s="61"/>
      <c r="F428" s="61" t="s">
        <v>2815</v>
      </c>
      <c r="G428" s="61"/>
      <c r="H428" s="61"/>
      <c r="I428" s="61"/>
      <c r="J428" s="1687" t="s">
        <v>4922</v>
      </c>
      <c r="K428" s="63" t="str">
        <f t="shared" si="102"/>
        <v>No</v>
      </c>
      <c r="L428" s="76"/>
      <c r="M428" s="63">
        <f t="shared" si="116"/>
        <v>0</v>
      </c>
      <c r="N428" s="63">
        <v>47</v>
      </c>
      <c r="O428" s="64"/>
      <c r="P428" s="660" t="str">
        <f t="shared" si="108"/>
        <v/>
      </c>
      <c r="Q428" s="52" t="str">
        <f>Q426</f>
        <v>No</v>
      </c>
      <c r="R428" s="1574" t="str">
        <f t="shared" si="113"/>
        <v/>
      </c>
      <c r="S428" s="52" t="str">
        <f t="shared" si="110"/>
        <v/>
      </c>
      <c r="T428" s="52" t="str">
        <f t="shared" si="111"/>
        <v/>
      </c>
      <c r="U428" s="52" t="str">
        <f t="shared" si="114"/>
        <v/>
      </c>
      <c r="V428" s="52" t="str">
        <f t="shared" si="112"/>
        <v/>
      </c>
      <c r="W428" s="1578"/>
      <c r="X428" s="52" t="str">
        <f t="shared" si="109"/>
        <v/>
      </c>
      <c r="Y428" s="52" t="str">
        <f t="shared" si="117"/>
        <v/>
      </c>
      <c r="AA428" s="52" t="str">
        <f t="shared" si="106"/>
        <v/>
      </c>
    </row>
    <row r="429" spans="2:27" ht="26">
      <c r="B429" s="1532" t="str">
        <f t="shared" si="118"/>
        <v>Make a Break for It</v>
      </c>
      <c r="C429" s="1795"/>
      <c r="D429" s="920"/>
      <c r="E429" s="61"/>
      <c r="F429" s="61"/>
      <c r="G429" s="61" t="s">
        <v>2816</v>
      </c>
      <c r="H429" s="61"/>
      <c r="I429" s="61"/>
      <c r="J429" s="1687" t="s">
        <v>4923</v>
      </c>
      <c r="K429" s="63" t="str">
        <f>IF(AND(Q428="Yes",L428&lt;&gt;""),"Yes","No")</f>
        <v>No</v>
      </c>
      <c r="L429" s="76"/>
      <c r="M429" s="63">
        <f t="shared" si="116"/>
        <v>0</v>
      </c>
      <c r="N429" s="63" t="s">
        <v>2799</v>
      </c>
      <c r="O429" s="64"/>
      <c r="P429" s="660" t="str">
        <f t="shared" si="108"/>
        <v/>
      </c>
      <c r="Q429" s="52" t="str">
        <f t="shared" si="101"/>
        <v>No</v>
      </c>
      <c r="R429" s="1574" t="str">
        <f t="shared" si="113"/>
        <v/>
      </c>
      <c r="S429" s="52" t="str">
        <f t="shared" si="110"/>
        <v/>
      </c>
      <c r="T429" s="52" t="str">
        <f t="shared" si="111"/>
        <v/>
      </c>
      <c r="U429" s="52" t="str">
        <f t="shared" si="114"/>
        <v/>
      </c>
      <c r="V429" s="52" t="str">
        <f t="shared" si="112"/>
        <v/>
      </c>
      <c r="W429" s="1578"/>
      <c r="X429" s="52" t="str">
        <f t="shared" si="109"/>
        <v/>
      </c>
      <c r="Y429" s="52" t="str">
        <f t="shared" si="117"/>
        <v/>
      </c>
      <c r="AA429" s="52" t="str">
        <f t="shared" si="106"/>
        <v/>
      </c>
    </row>
    <row r="430" spans="2:27">
      <c r="B430" s="1532" t="str">
        <f t="shared" si="118"/>
        <v>Biotech Adept</v>
      </c>
      <c r="C430" s="1795"/>
      <c r="D430" s="920" t="s">
        <v>2817</v>
      </c>
      <c r="E430" s="61" t="s">
        <v>2818</v>
      </c>
      <c r="F430" s="61"/>
      <c r="G430" s="61"/>
      <c r="H430" s="61"/>
      <c r="I430" s="61"/>
      <c r="J430" s="1687" t="s">
        <v>4924</v>
      </c>
      <c r="K430" s="63" t="str">
        <f t="shared" si="102"/>
        <v>No</v>
      </c>
      <c r="L430" s="76"/>
      <c r="M430" s="63">
        <f t="shared" si="116"/>
        <v>0</v>
      </c>
      <c r="N430" s="63" t="s">
        <v>2768</v>
      </c>
      <c r="O430" s="64"/>
      <c r="P430" s="660" t="str">
        <f t="shared" si="108"/>
        <v/>
      </c>
      <c r="Q430" s="52" t="str">
        <f>IF(OR($AD$45&gt;0,$AD$9&gt;0),"Yes","No")</f>
        <v>No</v>
      </c>
      <c r="R430" s="1574" t="str">
        <f t="shared" si="113"/>
        <v/>
      </c>
      <c r="S430" s="52" t="str">
        <f t="shared" si="110"/>
        <v/>
      </c>
      <c r="T430" s="52" t="str">
        <f t="shared" si="111"/>
        <v/>
      </c>
      <c r="U430" s="52" t="str">
        <f t="shared" si="114"/>
        <v/>
      </c>
      <c r="V430" s="52" t="str">
        <f t="shared" si="112"/>
        <v/>
      </c>
      <c r="W430" s="1578"/>
      <c r="X430" s="52" t="str">
        <f t="shared" si="109"/>
        <v/>
      </c>
      <c r="Y430" s="52" t="str">
        <f t="shared" si="117"/>
        <v/>
      </c>
      <c r="AA430" s="52" t="str">
        <f t="shared" si="106"/>
        <v/>
      </c>
    </row>
    <row r="431" spans="2:27">
      <c r="B431" s="1532" t="str">
        <f t="shared" si="118"/>
        <v>Bugbite</v>
      </c>
      <c r="C431" s="1795"/>
      <c r="D431" s="920"/>
      <c r="E431" s="61" t="s">
        <v>2819</v>
      </c>
      <c r="F431" s="61"/>
      <c r="G431" s="61"/>
      <c r="H431" s="61"/>
      <c r="I431" s="61"/>
      <c r="J431" s="1687" t="s">
        <v>4925</v>
      </c>
      <c r="K431" s="63" t="str">
        <f t="shared" si="102"/>
        <v>No</v>
      </c>
      <c r="L431" s="76"/>
      <c r="M431" s="63">
        <f t="shared" si="116"/>
        <v>0</v>
      </c>
      <c r="N431" s="63" t="s">
        <v>2768</v>
      </c>
      <c r="O431" s="64"/>
      <c r="P431" s="660" t="str">
        <f t="shared" si="108"/>
        <v/>
      </c>
      <c r="Q431" s="52" t="str">
        <f>Q430</f>
        <v>No</v>
      </c>
      <c r="R431" s="1574" t="str">
        <f t="shared" si="113"/>
        <v/>
      </c>
      <c r="S431" s="52" t="str">
        <f t="shared" si="110"/>
        <v/>
      </c>
      <c r="T431" s="52" t="str">
        <f t="shared" si="111"/>
        <v/>
      </c>
      <c r="U431" s="52" t="str">
        <f t="shared" si="114"/>
        <v/>
      </c>
      <c r="V431" s="52" t="str">
        <f t="shared" si="112"/>
        <v/>
      </c>
      <c r="W431" s="1578"/>
      <c r="X431" s="52" t="str">
        <f t="shared" si="109"/>
        <v/>
      </c>
      <c r="Y431" s="52" t="str">
        <f t="shared" si="117"/>
        <v/>
      </c>
      <c r="AA431" s="52" t="str">
        <f t="shared" si="106"/>
        <v/>
      </c>
    </row>
    <row r="432" spans="2:27">
      <c r="B432" s="1532" t="str">
        <f t="shared" si="118"/>
        <v>Curved Throw</v>
      </c>
      <c r="C432" s="1795"/>
      <c r="D432" s="920"/>
      <c r="E432" s="61"/>
      <c r="F432" s="61" t="s">
        <v>2820</v>
      </c>
      <c r="G432" s="61"/>
      <c r="H432" s="61"/>
      <c r="I432" s="61"/>
      <c r="J432" s="1687" t="s">
        <v>4926</v>
      </c>
      <c r="K432" s="63" t="str">
        <f>IF(AND(Q431="Yes",L431&lt;&gt;""),"Yes","No")</f>
        <v>No</v>
      </c>
      <c r="L432" s="76"/>
      <c r="M432" s="63">
        <f t="shared" si="116"/>
        <v>0</v>
      </c>
      <c r="N432" s="63" t="s">
        <v>2768</v>
      </c>
      <c r="O432" s="64"/>
      <c r="P432" s="660" t="str">
        <f t="shared" si="108"/>
        <v/>
      </c>
      <c r="Q432" s="52" t="str">
        <f>Q431</f>
        <v>No</v>
      </c>
      <c r="R432" s="1574" t="str">
        <f t="shared" si="113"/>
        <v/>
      </c>
      <c r="S432" s="52" t="str">
        <f t="shared" si="110"/>
        <v/>
      </c>
      <c r="T432" s="52" t="str">
        <f t="shared" si="111"/>
        <v/>
      </c>
      <c r="U432" s="52" t="str">
        <f t="shared" si="114"/>
        <v/>
      </c>
      <c r="V432" s="52" t="str">
        <f t="shared" si="112"/>
        <v/>
      </c>
      <c r="W432" s="1578"/>
      <c r="X432" s="52" t="str">
        <f t="shared" si="109"/>
        <v/>
      </c>
      <c r="Y432" s="52" t="str">
        <f t="shared" si="117"/>
        <v/>
      </c>
      <c r="AA432" s="52" t="str">
        <f t="shared" si="106"/>
        <v/>
      </c>
    </row>
    <row r="433" spans="2:27" ht="26">
      <c r="B433" s="1532" t="str">
        <f t="shared" si="118"/>
        <v>Surprising Weapons</v>
      </c>
      <c r="C433" s="1795"/>
      <c r="D433" s="920"/>
      <c r="E433" s="61" t="s">
        <v>2821</v>
      </c>
      <c r="F433" s="61"/>
      <c r="G433" s="61"/>
      <c r="H433" s="61"/>
      <c r="I433" s="61"/>
      <c r="J433" s="1687" t="s">
        <v>4927</v>
      </c>
      <c r="K433" s="63" t="str">
        <f>IF(Q433="Yes","Yes","No")</f>
        <v>No</v>
      </c>
      <c r="L433" s="76"/>
      <c r="M433" s="63">
        <f t="shared" si="116"/>
        <v>0</v>
      </c>
      <c r="N433" s="63" t="s">
        <v>2768</v>
      </c>
      <c r="O433" s="64"/>
      <c r="P433" s="660" t="str">
        <f t="shared" si="108"/>
        <v/>
      </c>
      <c r="Q433" s="52" t="str">
        <f>Q432</f>
        <v>No</v>
      </c>
      <c r="R433" s="1574" t="str">
        <f t="shared" si="113"/>
        <v/>
      </c>
      <c r="S433" s="52" t="str">
        <f t="shared" si="110"/>
        <v/>
      </c>
      <c r="T433" s="52" t="str">
        <f t="shared" si="111"/>
        <v/>
      </c>
      <c r="U433" s="52" t="str">
        <f t="shared" si="114"/>
        <v/>
      </c>
      <c r="V433" s="52" t="str">
        <f t="shared" si="112"/>
        <v/>
      </c>
      <c r="W433" s="1578"/>
      <c r="X433" s="52" t="str">
        <f t="shared" si="109"/>
        <v/>
      </c>
      <c r="Y433" s="52" t="str">
        <f t="shared" si="117"/>
        <v/>
      </c>
      <c r="AA433" s="52" t="str">
        <f t="shared" si="106"/>
        <v/>
      </c>
    </row>
    <row r="434" spans="2:27" ht="26">
      <c r="B434" s="1532" t="str">
        <f t="shared" si="118"/>
        <v>Veiled Biotech</v>
      </c>
      <c r="C434" s="1796"/>
      <c r="D434" s="71"/>
      <c r="E434" s="927" t="s">
        <v>2822</v>
      </c>
      <c r="F434" s="927"/>
      <c r="G434" s="927"/>
      <c r="H434" s="927"/>
      <c r="I434" s="927"/>
      <c r="J434" s="1687" t="s">
        <v>4928</v>
      </c>
      <c r="K434" s="928" t="str">
        <f>IF(Q434="Yes","Yes","No")</f>
        <v>No</v>
      </c>
      <c r="L434" s="929"/>
      <c r="M434" s="928">
        <f t="shared" si="116"/>
        <v>0</v>
      </c>
      <c r="N434" s="928" t="s">
        <v>2768</v>
      </c>
      <c r="O434" s="64"/>
      <c r="P434" s="660" t="str">
        <f t="shared" si="108"/>
        <v/>
      </c>
      <c r="Q434" s="52" t="str">
        <f>Q433</f>
        <v>No</v>
      </c>
      <c r="R434" s="1574" t="str">
        <f t="shared" si="113"/>
        <v/>
      </c>
      <c r="S434" s="52" t="str">
        <f t="shared" si="110"/>
        <v/>
      </c>
      <c r="T434" s="52" t="str">
        <f t="shared" si="111"/>
        <v/>
      </c>
      <c r="U434" s="52" t="str">
        <f t="shared" si="114"/>
        <v/>
      </c>
      <c r="V434" s="52" t="str">
        <f t="shared" si="112"/>
        <v/>
      </c>
      <c r="W434" s="1578"/>
      <c r="X434" s="52" t="str">
        <f t="shared" si="109"/>
        <v/>
      </c>
      <c r="Y434" s="52" t="str">
        <f t="shared" si="117"/>
        <v/>
      </c>
      <c r="AA434" s="52" t="str">
        <f>IF(U434&lt;&gt;"",IF(Z434="Defenses",U434&amp;IF(AA435&lt;&gt;"",", ",""),"")&amp;AA435,AA435)</f>
        <v/>
      </c>
    </row>
    <row r="435" spans="2:27" ht="130">
      <c r="B435" s="1532" t="str">
        <f t="shared" si="118"/>
        <v>Mobile Combatant</v>
      </c>
      <c r="C435" s="1794" t="s">
        <v>317</v>
      </c>
      <c r="D435" s="920" t="s">
        <v>6851</v>
      </c>
      <c r="E435" s="61" t="s">
        <v>2580</v>
      </c>
      <c r="F435" s="61"/>
      <c r="G435" s="61"/>
      <c r="H435" s="61"/>
      <c r="I435" s="61"/>
      <c r="J435" s="1687" t="s">
        <v>6852</v>
      </c>
      <c r="K435" s="63" t="str">
        <f>IF(AND(M437&gt;0,Q437="Yes"),"Yes","No")</f>
        <v>No</v>
      </c>
      <c r="L435" s="76"/>
      <c r="M435" s="63">
        <f t="shared" si="116"/>
        <v>0</v>
      </c>
      <c r="N435" s="63" t="s">
        <v>6845</v>
      </c>
      <c r="O435" s="64"/>
      <c r="P435" s="660" t="str">
        <f t="shared" si="108"/>
        <v/>
      </c>
      <c r="Q435" s="52" t="str">
        <f>IF(OR($AD$45&gt;0,$AD$10&gt;0,$AD$18&gt;0,$AD$27&gt;0),"Yes","No")</f>
        <v>No</v>
      </c>
      <c r="R435" s="1574" t="str">
        <f t="shared" si="113"/>
        <v/>
      </c>
      <c r="S435" s="52" t="str">
        <f t="shared" si="110"/>
        <v/>
      </c>
      <c r="T435" s="52" t="str">
        <f t="shared" si="111"/>
        <v/>
      </c>
      <c r="U435" s="52" t="str">
        <f t="shared" si="114"/>
        <v/>
      </c>
      <c r="V435" s="52" t="str">
        <f t="shared" si="112"/>
        <v/>
      </c>
      <c r="W435" s="1578"/>
      <c r="X435" s="52" t="str">
        <f t="shared" si="109"/>
        <v/>
      </c>
      <c r="Y435" s="52" t="str">
        <f t="shared" si="117"/>
        <v/>
      </c>
      <c r="AA435" s="52" t="str">
        <f>IF(U435&lt;&gt;"",IF(Z435="Defenses",U435&amp;IF(AA436&lt;&gt;"",", ",""),"")&amp;AA436,AA436)</f>
        <v/>
      </c>
    </row>
    <row r="436" spans="2:27" ht="26">
      <c r="B436" s="1532" t="str">
        <f t="shared" si="118"/>
        <v>Trailblazer</v>
      </c>
      <c r="C436" s="1795"/>
      <c r="D436" s="920"/>
      <c r="E436" s="61" t="s">
        <v>6853</v>
      </c>
      <c r="F436" s="61"/>
      <c r="G436" s="61"/>
      <c r="H436" s="61"/>
      <c r="I436" s="61"/>
      <c r="J436" s="1687" t="s">
        <v>6854</v>
      </c>
      <c r="K436" s="63" t="str">
        <f>IF(Q436="Yes","Yes","No")</f>
        <v>No</v>
      </c>
      <c r="L436" s="76"/>
      <c r="M436" s="63">
        <f t="shared" si="116"/>
        <v>0</v>
      </c>
      <c r="N436" s="63" t="s">
        <v>6859</v>
      </c>
      <c r="O436" s="64"/>
      <c r="P436" s="660" t="str">
        <f t="shared" si="108"/>
        <v/>
      </c>
      <c r="Q436" s="52" t="str">
        <f>Q435</f>
        <v>No</v>
      </c>
      <c r="R436" s="1574" t="str">
        <f t="shared" si="113"/>
        <v/>
      </c>
      <c r="S436" s="52" t="str">
        <f t="shared" si="110"/>
        <v/>
      </c>
      <c r="T436" s="52" t="str">
        <f t="shared" si="111"/>
        <v/>
      </c>
      <c r="U436" s="52" t="str">
        <f t="shared" si="114"/>
        <v/>
      </c>
      <c r="V436" s="52" t="str">
        <f t="shared" si="112"/>
        <v/>
      </c>
      <c r="W436" s="1578"/>
      <c r="X436" s="52" t="str">
        <f t="shared" si="109"/>
        <v/>
      </c>
      <c r="Y436" s="52" t="str">
        <f t="shared" si="117"/>
        <v/>
      </c>
      <c r="AA436" s="52" t="str">
        <f>IF(U436&lt;&gt;"",IF(Z436="Defenses",U436&amp;IF(AA437&lt;&gt;"",", ",""),"")&amp;AA437,AA437)</f>
        <v/>
      </c>
    </row>
    <row r="437" spans="2:27" ht="39">
      <c r="B437" s="1532" t="str">
        <f t="shared" si="118"/>
        <v>Watchful Step</v>
      </c>
      <c r="C437" s="1795"/>
      <c r="D437" s="920"/>
      <c r="E437" s="61" t="s">
        <v>6855</v>
      </c>
      <c r="F437" s="61"/>
      <c r="G437" s="61"/>
      <c r="H437" s="61"/>
      <c r="I437" s="61"/>
      <c r="J437" s="1687" t="s">
        <v>6856</v>
      </c>
      <c r="K437" s="63" t="str">
        <f>IF(Q437="Yes","Yes","No")</f>
        <v>No</v>
      </c>
      <c r="L437" s="76"/>
      <c r="M437" s="63">
        <f t="shared" si="116"/>
        <v>0</v>
      </c>
      <c r="N437" s="63" t="s">
        <v>6859</v>
      </c>
      <c r="O437" s="64"/>
      <c r="P437" s="660" t="str">
        <f t="shared" si="108"/>
        <v/>
      </c>
      <c r="Q437" s="52" t="str">
        <f>Q436</f>
        <v>No</v>
      </c>
      <c r="R437" s="1574" t="str">
        <f t="shared" si="113"/>
        <v/>
      </c>
      <c r="S437" s="52" t="str">
        <f t="shared" si="110"/>
        <v/>
      </c>
      <c r="T437" s="52" t="str">
        <f t="shared" si="111"/>
        <v/>
      </c>
      <c r="U437" s="52" t="str">
        <f t="shared" si="114"/>
        <v/>
      </c>
      <c r="V437" s="52" t="str">
        <f t="shared" si="112"/>
        <v/>
      </c>
      <c r="W437" s="1578"/>
      <c r="X437" s="52" t="str">
        <f t="shared" si="109"/>
        <v/>
      </c>
      <c r="Y437" s="52" t="str">
        <f t="shared" si="117"/>
        <v/>
      </c>
      <c r="AA437" s="52" t="str">
        <f>IF(U437&lt;&gt;"",IF(Z437="Defenses",U437&amp;IF(AA438&lt;&gt;"",", ",""),"")&amp;AA438,AA438)</f>
        <v/>
      </c>
    </row>
    <row r="438" spans="2:27" ht="26">
      <c r="B438" s="1532" t="str">
        <f t="shared" si="118"/>
        <v>Forward Patrol</v>
      </c>
      <c r="C438" s="1795"/>
      <c r="D438" s="920"/>
      <c r="E438" s="61"/>
      <c r="F438" s="61" t="s">
        <v>6857</v>
      </c>
      <c r="G438" s="61"/>
      <c r="H438" s="61"/>
      <c r="I438" s="61"/>
      <c r="J438" s="1687" t="s">
        <v>6858</v>
      </c>
      <c r="K438" s="63" t="str">
        <f>IF(AND(M437&gt;0,Q437="Yes"),"Yes","No")</f>
        <v>No</v>
      </c>
      <c r="L438" s="76"/>
      <c r="M438" s="63">
        <f t="shared" si="116"/>
        <v>0</v>
      </c>
      <c r="N438" s="63" t="s">
        <v>6845</v>
      </c>
      <c r="O438" s="64"/>
      <c r="P438" s="660" t="str">
        <f t="shared" si="108"/>
        <v/>
      </c>
      <c r="Q438" s="52" t="str">
        <f>Q437</f>
        <v>No</v>
      </c>
      <c r="R438" s="1574" t="str">
        <f t="shared" si="113"/>
        <v/>
      </c>
      <c r="S438" s="52" t="str">
        <f t="shared" si="110"/>
        <v/>
      </c>
      <c r="T438" s="52" t="str">
        <f t="shared" si="111"/>
        <v/>
      </c>
      <c r="U438" s="52" t="str">
        <f t="shared" si="114"/>
        <v/>
      </c>
      <c r="V438" s="52" t="str">
        <f t="shared" si="112"/>
        <v/>
      </c>
      <c r="W438" s="1578"/>
      <c r="X438" s="52" t="str">
        <f t="shared" si="109"/>
        <v/>
      </c>
      <c r="Y438" s="52" t="str">
        <f t="shared" si="117"/>
        <v/>
      </c>
      <c r="AA438" s="52" t="str">
        <f>IF(U438&lt;&gt;"",IF(Z438="Defenses",U438&amp;IF(AA439&lt;&gt;"",", ",""),"")&amp;AA439,AA439)</f>
        <v/>
      </c>
    </row>
    <row r="439" spans="2:27" ht="14.5" customHeight="1">
      <c r="B439" s="1532" t="str">
        <f t="shared" si="118"/>
        <v>Acute Senses</v>
      </c>
      <c r="C439" s="1795"/>
      <c r="D439" s="920" t="s">
        <v>2823</v>
      </c>
      <c r="E439" s="61" t="s">
        <v>2824</v>
      </c>
      <c r="F439" s="61"/>
      <c r="G439" s="61"/>
      <c r="H439" s="61"/>
      <c r="I439" s="61"/>
      <c r="J439" s="1687" t="s">
        <v>4929</v>
      </c>
      <c r="K439" s="63" t="str">
        <f>IF(Q439="Yes","Yes","No")</f>
        <v>No</v>
      </c>
      <c r="L439" s="76"/>
      <c r="M439" s="63">
        <f t="shared" si="116"/>
        <v>0</v>
      </c>
      <c r="N439" s="63">
        <v>49</v>
      </c>
      <c r="O439" s="64"/>
      <c r="P439" s="660" t="str">
        <f t="shared" si="108"/>
        <v/>
      </c>
      <c r="Q439" s="52" t="str">
        <f>IF(OR($AD$45&gt;0,$AD$10&gt;0,$AD$18&gt;0,$AD$27&gt;0,$AD$44&gt;0),"Yes","No")</f>
        <v>No</v>
      </c>
      <c r="R439" s="1574" t="str">
        <f t="shared" si="113"/>
        <v/>
      </c>
      <c r="S439" s="52" t="str">
        <f t="shared" si="110"/>
        <v/>
      </c>
      <c r="T439" s="52" t="str">
        <f t="shared" si="111"/>
        <v/>
      </c>
      <c r="U439" s="52" t="str">
        <f t="shared" si="114"/>
        <v/>
      </c>
      <c r="V439" s="52" t="str">
        <f t="shared" si="112"/>
        <v/>
      </c>
      <c r="W439" s="1578"/>
      <c r="X439" s="52" t="str">
        <f t="shared" si="109"/>
        <v/>
      </c>
      <c r="Y439" s="52" t="str">
        <f t="shared" si="117"/>
        <v/>
      </c>
      <c r="AA439" s="52" t="str">
        <f t="shared" si="106"/>
        <v/>
      </c>
    </row>
    <row r="440" spans="2:27">
      <c r="B440" s="1532" t="str">
        <f t="shared" si="118"/>
        <v>Expert Tracker</v>
      </c>
      <c r="C440" s="1795"/>
      <c r="D440" s="920"/>
      <c r="E440" s="61"/>
      <c r="F440" s="61" t="s">
        <v>2825</v>
      </c>
      <c r="G440" s="61"/>
      <c r="H440" s="61"/>
      <c r="I440" s="61"/>
      <c r="J440" s="1687" t="s">
        <v>4930</v>
      </c>
      <c r="K440" s="63" t="str">
        <f>IF(AND(Q439="Yes",L439&lt;&gt;""),"Yes","No")</f>
        <v>No</v>
      </c>
      <c r="L440" s="76"/>
      <c r="M440" s="63">
        <f t="shared" si="116"/>
        <v>0</v>
      </c>
      <c r="N440" s="63">
        <v>49</v>
      </c>
      <c r="O440" s="64"/>
      <c r="P440" s="660" t="str">
        <f t="shared" si="108"/>
        <v/>
      </c>
      <c r="Q440" s="52" t="str">
        <f t="shared" ref="Q440:Q514" si="119">Q439</f>
        <v>No</v>
      </c>
      <c r="R440" s="1574" t="str">
        <f t="shared" si="113"/>
        <v/>
      </c>
      <c r="S440" s="52" t="str">
        <f t="shared" si="110"/>
        <v/>
      </c>
      <c r="T440" s="52" t="str">
        <f t="shared" si="111"/>
        <v/>
      </c>
      <c r="U440" s="52" t="str">
        <f t="shared" si="114"/>
        <v/>
      </c>
      <c r="V440" s="52" t="str">
        <f t="shared" si="112"/>
        <v/>
      </c>
      <c r="W440" s="1578"/>
      <c r="X440" s="52" t="str">
        <f t="shared" si="109"/>
        <v/>
      </c>
      <c r="Y440" s="52" t="str">
        <f t="shared" si="117"/>
        <v/>
      </c>
      <c r="AA440" s="52" t="str">
        <f t="shared" si="106"/>
        <v/>
      </c>
    </row>
    <row r="441" spans="2:27">
      <c r="B441" s="1532" t="str">
        <f t="shared" si="118"/>
        <v>Improved Initiative</v>
      </c>
      <c r="C441" s="1795"/>
      <c r="D441" s="920"/>
      <c r="E441" s="61"/>
      <c r="F441" s="61" t="s">
        <v>2826</v>
      </c>
      <c r="G441" s="61"/>
      <c r="H441" s="61"/>
      <c r="I441" s="61"/>
      <c r="J441" s="1687" t="s">
        <v>4931</v>
      </c>
      <c r="K441" s="63" t="str">
        <f>IF(AND(Q440="Yes",L439&lt;&gt;""),"Yes","No")</f>
        <v>No</v>
      </c>
      <c r="L441" s="76"/>
      <c r="M441" s="63">
        <f t="shared" si="116"/>
        <v>0</v>
      </c>
      <c r="N441" s="63">
        <v>49</v>
      </c>
      <c r="O441" s="64"/>
      <c r="P441" s="660" t="str">
        <f t="shared" si="108"/>
        <v/>
      </c>
      <c r="Q441" s="52" t="str">
        <f t="shared" si="119"/>
        <v>No</v>
      </c>
      <c r="R441" s="1574" t="str">
        <f t="shared" si="113"/>
        <v/>
      </c>
      <c r="S441" s="52" t="str">
        <f t="shared" si="110"/>
        <v/>
      </c>
      <c r="T441" s="52" t="str">
        <f t="shared" si="111"/>
        <v/>
      </c>
      <c r="U441" s="52" t="str">
        <f t="shared" si="114"/>
        <v/>
      </c>
      <c r="V441" s="52" t="str">
        <f t="shared" si="112"/>
        <v/>
      </c>
      <c r="W441" s="1578"/>
      <c r="X441" s="52" t="str">
        <f t="shared" si="109"/>
        <v/>
      </c>
      <c r="Y441" s="52" t="str">
        <f t="shared" si="117"/>
        <v/>
      </c>
      <c r="AA441" s="52" t="str">
        <f t="shared" si="106"/>
        <v/>
      </c>
    </row>
    <row r="442" spans="2:27">
      <c r="B442" s="1532" t="str">
        <f t="shared" si="118"/>
        <v>Reset Initiative</v>
      </c>
      <c r="C442" s="1795"/>
      <c r="D442" s="920"/>
      <c r="E442" s="61"/>
      <c r="F442" s="61"/>
      <c r="G442" s="61" t="s">
        <v>2827</v>
      </c>
      <c r="H442" s="61"/>
      <c r="I442" s="61"/>
      <c r="J442" s="1687" t="s">
        <v>4932</v>
      </c>
      <c r="K442" s="63" t="str">
        <f>IF(AND(Q441="Yes",L441&lt;&gt;""),"Yes","No")</f>
        <v>No</v>
      </c>
      <c r="L442" s="76"/>
      <c r="M442" s="63">
        <f t="shared" si="116"/>
        <v>0</v>
      </c>
      <c r="N442" s="63" t="s">
        <v>2828</v>
      </c>
      <c r="O442" s="64"/>
      <c r="P442" s="660" t="str">
        <f t="shared" si="108"/>
        <v/>
      </c>
      <c r="Q442" s="52" t="str">
        <f t="shared" si="119"/>
        <v>No</v>
      </c>
      <c r="R442" s="1574" t="str">
        <f t="shared" si="113"/>
        <v/>
      </c>
      <c r="S442" s="52" t="str">
        <f t="shared" si="110"/>
        <v/>
      </c>
      <c r="T442" s="52" t="str">
        <f t="shared" si="111"/>
        <v/>
      </c>
      <c r="U442" s="52" t="str">
        <f t="shared" si="114"/>
        <v/>
      </c>
      <c r="V442" s="52" t="str">
        <f t="shared" si="112"/>
        <v/>
      </c>
      <c r="W442" s="1578"/>
      <c r="X442" s="52" t="str">
        <f t="shared" si="109"/>
        <v/>
      </c>
      <c r="Y442" s="52" t="str">
        <f t="shared" si="117"/>
        <v/>
      </c>
      <c r="AA442" s="52" t="str">
        <f t="shared" si="106"/>
        <v/>
      </c>
    </row>
    <row r="443" spans="2:27">
      <c r="B443" s="1532" t="str">
        <f t="shared" si="118"/>
        <v>Uncanny Dodge I</v>
      </c>
      <c r="C443" s="1795"/>
      <c r="D443" s="920"/>
      <c r="E443" s="61"/>
      <c r="F443" s="61"/>
      <c r="G443" s="61" t="s">
        <v>2829</v>
      </c>
      <c r="H443" s="61"/>
      <c r="I443" s="61"/>
      <c r="J443" s="1687" t="s">
        <v>4933</v>
      </c>
      <c r="K443" s="63" t="str">
        <f>IF(AND(Q442="Yes",L441&lt;&gt;""),"Yes","No")</f>
        <v>No</v>
      </c>
      <c r="L443" s="76"/>
      <c r="M443" s="63">
        <f t="shared" si="116"/>
        <v>0</v>
      </c>
      <c r="N443" s="63">
        <v>49</v>
      </c>
      <c r="O443" s="64"/>
      <c r="P443" s="660" t="str">
        <f t="shared" si="108"/>
        <v/>
      </c>
      <c r="Q443" s="52" t="str">
        <f t="shared" si="119"/>
        <v>No</v>
      </c>
      <c r="R443" s="1574" t="str">
        <f t="shared" si="113"/>
        <v/>
      </c>
      <c r="S443" s="52" t="str">
        <f t="shared" si="110"/>
        <v/>
      </c>
      <c r="T443" s="52" t="str">
        <f t="shared" si="111"/>
        <v/>
      </c>
      <c r="U443" s="52" t="str">
        <f t="shared" si="114"/>
        <v/>
      </c>
      <c r="V443" s="52" t="str">
        <f t="shared" si="112"/>
        <v/>
      </c>
      <c r="W443" s="1578"/>
      <c r="X443" s="52" t="str">
        <f t="shared" si="109"/>
        <v/>
      </c>
      <c r="Y443" s="52" t="str">
        <f t="shared" si="117"/>
        <v/>
      </c>
      <c r="AA443" s="52" t="str">
        <f t="shared" si="106"/>
        <v/>
      </c>
    </row>
    <row r="444" spans="2:27">
      <c r="B444" s="1532" t="str">
        <f t="shared" si="118"/>
        <v>Uncanny Dodge II</v>
      </c>
      <c r="C444" s="1795"/>
      <c r="D444" s="920"/>
      <c r="E444" s="61"/>
      <c r="F444" s="61"/>
      <c r="G444" s="61"/>
      <c r="H444" s="61" t="s">
        <v>2830</v>
      </c>
      <c r="I444" s="61"/>
      <c r="J444" s="1687" t="s">
        <v>4934</v>
      </c>
      <c r="K444" s="63" t="str">
        <f>IF(AND(Q443="Yes",L443&lt;&gt;""),"Yes","No")</f>
        <v>No</v>
      </c>
      <c r="L444" s="76"/>
      <c r="M444" s="63">
        <f t="shared" si="116"/>
        <v>0</v>
      </c>
      <c r="N444" s="63">
        <v>49</v>
      </c>
      <c r="O444" s="64"/>
      <c r="P444" s="660" t="str">
        <f t="shared" si="108"/>
        <v/>
      </c>
      <c r="Q444" s="52" t="str">
        <f t="shared" si="119"/>
        <v>No</v>
      </c>
      <c r="R444" s="1574" t="str">
        <f t="shared" si="113"/>
        <v/>
      </c>
      <c r="S444" s="52" t="str">
        <f t="shared" si="110"/>
        <v/>
      </c>
      <c r="T444" s="52" t="str">
        <f t="shared" si="111"/>
        <v/>
      </c>
      <c r="U444" s="52" t="str">
        <f t="shared" si="114"/>
        <v/>
      </c>
      <c r="V444" s="52" t="str">
        <f t="shared" si="112"/>
        <v/>
      </c>
      <c r="W444" s="1578"/>
      <c r="X444" s="52" t="str">
        <f t="shared" si="109"/>
        <v/>
      </c>
      <c r="Y444" s="52" t="str">
        <f t="shared" si="117"/>
        <v/>
      </c>
      <c r="AA444" s="52" t="str">
        <f t="shared" si="106"/>
        <v/>
      </c>
    </row>
    <row r="445" spans="2:27">
      <c r="B445" s="1532" t="str">
        <f t="shared" si="118"/>
        <v>Keen Shot</v>
      </c>
      <c r="C445" s="1795"/>
      <c r="D445" s="920"/>
      <c r="E445" s="61"/>
      <c r="F445" s="61" t="s">
        <v>2831</v>
      </c>
      <c r="G445" s="61"/>
      <c r="H445" s="61"/>
      <c r="I445" s="61"/>
      <c r="J445" s="1687" t="s">
        <v>4935</v>
      </c>
      <c r="K445" s="63" t="str">
        <f>IF(AND(Q444="Yes",L439&lt;&gt;""),"Yes","No")</f>
        <v>No</v>
      </c>
      <c r="L445" s="76"/>
      <c r="M445" s="63">
        <f t="shared" si="116"/>
        <v>0</v>
      </c>
      <c r="N445" s="63">
        <v>49</v>
      </c>
      <c r="O445" s="64"/>
      <c r="P445" s="660" t="str">
        <f t="shared" si="108"/>
        <v/>
      </c>
      <c r="Q445" s="52" t="str">
        <f t="shared" si="119"/>
        <v>No</v>
      </c>
      <c r="R445" s="1574" t="str">
        <f t="shared" si="113"/>
        <v/>
      </c>
      <c r="S445" s="52" t="str">
        <f t="shared" si="110"/>
        <v/>
      </c>
      <c r="T445" s="52" t="str">
        <f t="shared" si="111"/>
        <v/>
      </c>
      <c r="U445" s="52" t="str">
        <f t="shared" si="114"/>
        <v/>
      </c>
      <c r="V445" s="52" t="str">
        <f t="shared" si="112"/>
        <v/>
      </c>
      <c r="W445" s="1578"/>
      <c r="X445" s="52" t="str">
        <f t="shared" si="109"/>
        <v/>
      </c>
      <c r="Y445" s="52" t="str">
        <f t="shared" si="117"/>
        <v/>
      </c>
      <c r="AA445" s="52" t="str">
        <f t="shared" si="106"/>
        <v/>
      </c>
    </row>
    <row r="446" spans="2:27">
      <c r="B446" s="1532" t="str">
        <f t="shared" si="118"/>
        <v>Weak Point</v>
      </c>
      <c r="C446" s="1795"/>
      <c r="D446" s="920"/>
      <c r="E446" s="61"/>
      <c r="F446" s="61"/>
      <c r="G446" s="61" t="s">
        <v>2832</v>
      </c>
      <c r="H446" s="61"/>
      <c r="I446" s="61"/>
      <c r="J446" s="1687" t="s">
        <v>4936</v>
      </c>
      <c r="K446" s="63" t="str">
        <f>IF(AND(Q445="Yes",L445&lt;&gt;""),"Yes","No")</f>
        <v>No</v>
      </c>
      <c r="L446" s="76"/>
      <c r="M446" s="63">
        <f t="shared" si="116"/>
        <v>0</v>
      </c>
      <c r="N446" s="63" t="s">
        <v>2792</v>
      </c>
      <c r="O446" s="64"/>
      <c r="P446" s="660" t="str">
        <f t="shared" si="108"/>
        <v/>
      </c>
      <c r="Q446" s="52" t="str">
        <f t="shared" si="119"/>
        <v>No</v>
      </c>
      <c r="R446" s="1574" t="str">
        <f t="shared" si="113"/>
        <v/>
      </c>
      <c r="S446" s="52" t="str">
        <f t="shared" si="110"/>
        <v/>
      </c>
      <c r="T446" s="52" t="str">
        <f t="shared" si="111"/>
        <v/>
      </c>
      <c r="U446" s="52" t="str">
        <f t="shared" si="114"/>
        <v/>
      </c>
      <c r="V446" s="52" t="str">
        <f t="shared" si="112"/>
        <v/>
      </c>
      <c r="W446" s="1578"/>
      <c r="X446" s="52" t="str">
        <f t="shared" si="109"/>
        <v/>
      </c>
      <c r="Y446" s="52" t="str">
        <f t="shared" si="117"/>
        <v/>
      </c>
      <c r="AA446" s="52" t="str">
        <f>IF(U446&lt;&gt;"",IF(Z446="Defenses",U446&amp;IF(AA447&lt;&gt;"",", ",""),"")&amp;AA447,AA447)</f>
        <v/>
      </c>
    </row>
    <row r="447" spans="2:27">
      <c r="B447" s="1532" t="str">
        <f t="shared" si="118"/>
        <v>Hunker Down</v>
      </c>
      <c r="C447" s="1795"/>
      <c r="D447" s="920" t="s">
        <v>732</v>
      </c>
      <c r="E447" s="61" t="s">
        <v>2833</v>
      </c>
      <c r="F447" s="61"/>
      <c r="G447" s="61"/>
      <c r="H447" s="61"/>
      <c r="I447" s="61"/>
      <c r="J447" s="1687" t="s">
        <v>4937</v>
      </c>
      <c r="K447" s="63" t="str">
        <f>IF(Q447="Yes","Yes","No")</f>
        <v>No</v>
      </c>
      <c r="L447" s="76"/>
      <c r="M447" s="63">
        <f t="shared" si="116"/>
        <v>0</v>
      </c>
      <c r="N447" s="63" t="s">
        <v>2799</v>
      </c>
      <c r="O447" s="64"/>
      <c r="P447" s="660" t="str">
        <f t="shared" si="108"/>
        <v/>
      </c>
      <c r="Q447" s="52" t="str">
        <f>IF(OR($AD$45&gt;0,$AD$10&gt;0,$AD$16&gt;0,$AD$44&gt;0),"Yes","No")</f>
        <v>No</v>
      </c>
      <c r="R447" s="1574" t="str">
        <f t="shared" si="113"/>
        <v/>
      </c>
      <c r="S447" s="52" t="str">
        <f t="shared" si="110"/>
        <v/>
      </c>
      <c r="T447" s="52" t="str">
        <f t="shared" si="111"/>
        <v/>
      </c>
      <c r="U447" s="52" t="str">
        <f t="shared" si="114"/>
        <v/>
      </c>
      <c r="V447" s="52" t="str">
        <f t="shared" si="112"/>
        <v/>
      </c>
      <c r="W447" s="1578"/>
      <c r="X447" s="52" t="str">
        <f t="shared" si="109"/>
        <v/>
      </c>
      <c r="Y447" s="52" t="str">
        <f t="shared" si="117"/>
        <v/>
      </c>
      <c r="AA447" s="52" t="str">
        <f t="shared" ref="AA447:AA455" si="120">IF(U447&lt;&gt;"",IF(Z447="Defenses",U447&amp;IF(AA448&lt;&gt;"",", ",""),"")&amp;AA448,AA448)</f>
        <v/>
      </c>
    </row>
    <row r="448" spans="2:27" ht="26">
      <c r="B448" s="1532" t="str">
        <f t="shared" si="118"/>
        <v>Dig In</v>
      </c>
      <c r="C448" s="1795"/>
      <c r="D448" s="920"/>
      <c r="E448" s="61" t="s">
        <v>6846</v>
      </c>
      <c r="F448" s="61"/>
      <c r="G448" s="61"/>
      <c r="H448" s="61"/>
      <c r="I448" s="61"/>
      <c r="J448" s="1687" t="s">
        <v>6847</v>
      </c>
      <c r="K448" s="63" t="str">
        <f>IF(Q448="Yes","Yes","No")</f>
        <v>No</v>
      </c>
      <c r="L448" s="76"/>
      <c r="M448" s="63">
        <f t="shared" si="116"/>
        <v>0</v>
      </c>
      <c r="N448" s="63" t="s">
        <v>6845</v>
      </c>
      <c r="O448" s="64"/>
      <c r="P448" s="660" t="str">
        <f t="shared" ref="P448:P511" si="121">IF(ShowTalentTrees,IF(D448&lt;&gt;"",D448,P447),"")</f>
        <v/>
      </c>
      <c r="Q448" s="52" t="str">
        <f t="shared" si="119"/>
        <v>No</v>
      </c>
      <c r="R448" s="1574" t="str">
        <f t="shared" si="113"/>
        <v/>
      </c>
      <c r="S448" s="52" t="str">
        <f t="shared" si="110"/>
        <v/>
      </c>
      <c r="T448" s="52" t="str">
        <f t="shared" si="111"/>
        <v/>
      </c>
      <c r="U448" s="52" t="str">
        <f t="shared" si="114"/>
        <v/>
      </c>
      <c r="V448" s="52" t="str">
        <f t="shared" si="112"/>
        <v/>
      </c>
      <c r="W448" s="1578"/>
      <c r="X448" s="52" t="str">
        <f t="shared" ref="X448:X511" si="122">IF(U448&lt;&gt;"",IF(W448="Special Actions",U448&amp;IF(X449&lt;&gt;"",", ",""),"")&amp;X449,X449)</f>
        <v/>
      </c>
      <c r="Y448" s="52" t="str">
        <f t="shared" si="117"/>
        <v/>
      </c>
      <c r="AA448" s="52" t="str">
        <f t="shared" si="120"/>
        <v/>
      </c>
    </row>
    <row r="449" spans="2:27" ht="39">
      <c r="B449" s="1532" t="str">
        <f t="shared" si="118"/>
        <v>Ghost Assailant</v>
      </c>
      <c r="C449" s="1795"/>
      <c r="D449" s="920"/>
      <c r="E449" s="61" t="s">
        <v>6848</v>
      </c>
      <c r="F449" s="61"/>
      <c r="G449" s="61"/>
      <c r="H449" s="61"/>
      <c r="I449" s="61"/>
      <c r="J449" s="1687" t="s">
        <v>6849</v>
      </c>
      <c r="K449" s="63" t="str">
        <f>IF(Q449="Yes","Yes","No")</f>
        <v>No</v>
      </c>
      <c r="L449" s="76"/>
      <c r="M449" s="63">
        <f t="shared" si="116"/>
        <v>0</v>
      </c>
      <c r="N449" s="63" t="s">
        <v>6845</v>
      </c>
      <c r="O449" s="64"/>
      <c r="P449" s="660" t="str">
        <f t="shared" si="121"/>
        <v/>
      </c>
      <c r="Q449" s="52" t="str">
        <f t="shared" si="119"/>
        <v>No</v>
      </c>
      <c r="R449" s="1574" t="str">
        <f t="shared" si="113"/>
        <v/>
      </c>
      <c r="S449" s="52" t="str">
        <f t="shared" ref="S449:S512" si="123">IF(R449&lt;&gt;"",R449&amp;";"&amp;S450,S450)</f>
        <v/>
      </c>
      <c r="T449" s="52" t="str">
        <f t="shared" ref="T449:T512" si="124">IF(R449&lt;&gt;"",N449&amp;";"&amp;T450,T450)</f>
        <v/>
      </c>
      <c r="U449" s="52" t="str">
        <f t="shared" si="114"/>
        <v/>
      </c>
      <c r="V449" s="52" t="str">
        <f t="shared" ref="V449:V512" si="125">IF(U449&lt;&gt;"",U449&amp;";"&amp;V450,V450)</f>
        <v/>
      </c>
      <c r="W449" s="1578"/>
      <c r="X449" s="52" t="str">
        <f t="shared" si="122"/>
        <v/>
      </c>
      <c r="Y449" s="52" t="str">
        <f t="shared" si="117"/>
        <v/>
      </c>
      <c r="AA449" s="52" t="str">
        <f t="shared" si="120"/>
        <v/>
      </c>
    </row>
    <row r="450" spans="2:27">
      <c r="B450" s="1532" t="str">
        <f t="shared" si="118"/>
        <v>Improved Stealth</v>
      </c>
      <c r="C450" s="1795"/>
      <c r="D450" s="920"/>
      <c r="E450" s="61" t="s">
        <v>2834</v>
      </c>
      <c r="F450" s="61"/>
      <c r="G450" s="61"/>
      <c r="H450" s="61"/>
      <c r="I450" s="61"/>
      <c r="J450" s="1687" t="s">
        <v>4938</v>
      </c>
      <c r="K450" s="63" t="str">
        <f>IF(Q450="Yes","Yes","No")</f>
        <v>No</v>
      </c>
      <c r="L450" s="76"/>
      <c r="M450" s="63">
        <f t="shared" si="116"/>
        <v>0</v>
      </c>
      <c r="N450" s="63">
        <v>49</v>
      </c>
      <c r="O450" s="64"/>
      <c r="P450" s="660" t="str">
        <f t="shared" si="121"/>
        <v/>
      </c>
      <c r="Q450" s="52" t="str">
        <f t="shared" si="119"/>
        <v>No</v>
      </c>
      <c r="R450" s="1574" t="str">
        <f t="shared" si="113"/>
        <v/>
      </c>
      <c r="S450" s="52" t="str">
        <f t="shared" si="123"/>
        <v/>
      </c>
      <c r="T450" s="52" t="str">
        <f t="shared" si="124"/>
        <v/>
      </c>
      <c r="U450" s="52" t="str">
        <f t="shared" si="114"/>
        <v/>
      </c>
      <c r="V450" s="52" t="str">
        <f t="shared" si="125"/>
        <v/>
      </c>
      <c r="W450" s="1578"/>
      <c r="X450" s="52" t="str">
        <f t="shared" si="122"/>
        <v/>
      </c>
      <c r="Y450" s="52" t="str">
        <f t="shared" si="117"/>
        <v/>
      </c>
      <c r="AA450" s="52" t="str">
        <f>IF(U450&lt;&gt;"",IF(Z450="Defenses",U450&amp;IF(AA452&lt;&gt;"",", ",""),"")&amp;AA452,AA452)</f>
        <v/>
      </c>
    </row>
    <row r="451" spans="2:27">
      <c r="B451" s="1575"/>
      <c r="C451" s="1795"/>
      <c r="D451" s="920"/>
      <c r="E451" s="61"/>
      <c r="F451" s="61" t="s">
        <v>8450</v>
      </c>
      <c r="G451" s="61"/>
      <c r="H451" s="61"/>
      <c r="I451" s="61"/>
      <c r="J451" s="1687" t="s">
        <v>8451</v>
      </c>
      <c r="K451" s="63" t="str">
        <f>IF(AND(Q451="Yes",L450&lt;&gt;""),"Yes","No")</f>
        <v>No</v>
      </c>
      <c r="L451" s="76"/>
      <c r="M451" s="63">
        <f t="shared" si="116"/>
        <v>0</v>
      </c>
      <c r="N451" s="63" t="s">
        <v>8435</v>
      </c>
      <c r="O451" s="64"/>
      <c r="P451" s="660" t="str">
        <f t="shared" si="121"/>
        <v/>
      </c>
      <c r="Q451" s="52" t="str">
        <f t="shared" si="119"/>
        <v>No</v>
      </c>
      <c r="R451" s="1574" t="str">
        <f t="shared" si="113"/>
        <v/>
      </c>
      <c r="S451" s="52" t="str">
        <f t="shared" si="123"/>
        <v/>
      </c>
      <c r="T451" s="52" t="str">
        <f t="shared" si="124"/>
        <v/>
      </c>
      <c r="U451" s="52" t="str">
        <f t="shared" si="114"/>
        <v/>
      </c>
      <c r="V451" s="52" t="str">
        <f t="shared" si="125"/>
        <v/>
      </c>
      <c r="W451" s="1578"/>
      <c r="X451" s="52" t="str">
        <f t="shared" si="122"/>
        <v/>
      </c>
      <c r="Y451" s="52" t="str">
        <f t="shared" si="117"/>
        <v/>
      </c>
    </row>
    <row r="452" spans="2:27">
      <c r="B452" s="1532" t="str">
        <f>IF(E452&lt;&gt;"",E452,IF(F452&lt;&gt;"",F452,IF(G452&lt;&gt;"",G452,IF(H452&lt;&gt;"",H452))))</f>
        <v>Hidden Movement</v>
      </c>
      <c r="C452" s="1795"/>
      <c r="D452" s="920"/>
      <c r="E452" s="61"/>
      <c r="F452" s="61" t="s">
        <v>2835</v>
      </c>
      <c r="G452" s="61"/>
      <c r="H452" s="61"/>
      <c r="I452" s="61"/>
      <c r="J452" s="1687" t="s">
        <v>4939</v>
      </c>
      <c r="K452" s="63" t="str">
        <f>IF(AND(Q450="Yes",L450&lt;&gt;""),"Yes","No")</f>
        <v>No</v>
      </c>
      <c r="L452" s="76"/>
      <c r="M452" s="63">
        <f t="shared" si="116"/>
        <v>0</v>
      </c>
      <c r="N452" s="63">
        <v>49</v>
      </c>
      <c r="O452" s="64"/>
      <c r="P452" s="660" t="str">
        <f t="shared" si="121"/>
        <v/>
      </c>
      <c r="Q452" s="52" t="str">
        <f>Q450</f>
        <v>No</v>
      </c>
      <c r="R452" s="1574" t="str">
        <f t="shared" si="113"/>
        <v/>
      </c>
      <c r="S452" s="52" t="str">
        <f t="shared" si="123"/>
        <v/>
      </c>
      <c r="T452" s="52" t="str">
        <f t="shared" si="124"/>
        <v/>
      </c>
      <c r="U452" s="52" t="str">
        <f t="shared" si="114"/>
        <v/>
      </c>
      <c r="V452" s="52" t="str">
        <f t="shared" si="125"/>
        <v/>
      </c>
      <c r="W452" s="1578"/>
      <c r="X452" s="52" t="str">
        <f t="shared" si="122"/>
        <v/>
      </c>
      <c r="Y452" s="52" t="str">
        <f t="shared" si="117"/>
        <v/>
      </c>
      <c r="AA452" s="52" t="str">
        <f t="shared" si="120"/>
        <v/>
      </c>
    </row>
    <row r="453" spans="2:27" ht="26">
      <c r="B453" s="1532" t="str">
        <f>IF(E453&lt;&gt;"",E453,IF(F453&lt;&gt;"",F453,IF(G453&lt;&gt;"",G453,IF(H453&lt;&gt;"",H453))))</f>
        <v>Hide in Plain Sight</v>
      </c>
      <c r="C453" s="1795"/>
      <c r="D453" s="920"/>
      <c r="E453" s="61"/>
      <c r="F453" s="61"/>
      <c r="G453" s="61" t="s">
        <v>2836</v>
      </c>
      <c r="H453" s="61"/>
      <c r="I453" s="61"/>
      <c r="J453" s="1687" t="s">
        <v>4940</v>
      </c>
      <c r="K453" s="63" t="str">
        <f>IF(AND(Q452="Yes",L452&lt;&gt;""),"Yes","No")</f>
        <v>No</v>
      </c>
      <c r="L453" s="76"/>
      <c r="M453" s="63">
        <f t="shared" si="116"/>
        <v>0</v>
      </c>
      <c r="N453" s="63" t="s">
        <v>2799</v>
      </c>
      <c r="O453" s="64"/>
      <c r="P453" s="660" t="str">
        <f t="shared" si="121"/>
        <v/>
      </c>
      <c r="Q453" s="52" t="str">
        <f t="shared" si="119"/>
        <v>No</v>
      </c>
      <c r="R453" s="1574" t="str">
        <f t="shared" si="113"/>
        <v/>
      </c>
      <c r="S453" s="52" t="str">
        <f t="shared" si="123"/>
        <v/>
      </c>
      <c r="T453" s="52" t="str">
        <f t="shared" si="124"/>
        <v/>
      </c>
      <c r="U453" s="52" t="str">
        <f t="shared" si="114"/>
        <v/>
      </c>
      <c r="V453" s="52" t="str">
        <f t="shared" si="125"/>
        <v/>
      </c>
      <c r="W453" s="1578"/>
      <c r="X453" s="52" t="str">
        <f t="shared" si="122"/>
        <v/>
      </c>
      <c r="Y453" s="52" t="str">
        <f t="shared" si="117"/>
        <v/>
      </c>
      <c r="AA453" s="52" t="str">
        <f t="shared" si="120"/>
        <v/>
      </c>
    </row>
    <row r="454" spans="2:27" ht="65">
      <c r="B454" s="1532" t="str">
        <f>IF(E454&lt;&gt;"",E454,IF(F454&lt;&gt;"",F454,IF(G454&lt;&gt;"",G454,IF(H454&lt;&gt;"",H454))))</f>
        <v>Shadow Striker</v>
      </c>
      <c r="C454" s="1795"/>
      <c r="D454" s="920"/>
      <c r="E454" s="61"/>
      <c r="F454" s="61"/>
      <c r="G454" s="61" t="s">
        <v>2837</v>
      </c>
      <c r="H454" s="61"/>
      <c r="I454" s="61"/>
      <c r="J454" s="1687" t="s">
        <v>4941</v>
      </c>
      <c r="K454" s="63" t="str">
        <f>IF(AND(Q453="Yes",L452&lt;&gt;""),"Yes","No")</f>
        <v>No</v>
      </c>
      <c r="L454" s="76"/>
      <c r="M454" s="63">
        <f t="shared" si="116"/>
        <v>0</v>
      </c>
      <c r="N454" s="63" t="s">
        <v>2799</v>
      </c>
      <c r="O454" s="64"/>
      <c r="P454" s="660" t="str">
        <f t="shared" si="121"/>
        <v/>
      </c>
      <c r="Q454" s="52" t="str">
        <f t="shared" si="119"/>
        <v>No</v>
      </c>
      <c r="R454" s="1574" t="str">
        <f t="shared" si="113"/>
        <v/>
      </c>
      <c r="S454" s="52" t="str">
        <f t="shared" si="123"/>
        <v/>
      </c>
      <c r="T454" s="52" t="str">
        <f t="shared" si="124"/>
        <v/>
      </c>
      <c r="U454" s="52" t="str">
        <f t="shared" si="114"/>
        <v/>
      </c>
      <c r="V454" s="52" t="str">
        <f t="shared" si="125"/>
        <v/>
      </c>
      <c r="W454" s="1578"/>
      <c r="X454" s="52" t="str">
        <f t="shared" si="122"/>
        <v/>
      </c>
      <c r="Y454" s="52" t="str">
        <f t="shared" si="117"/>
        <v/>
      </c>
      <c r="AA454" s="52" t="str">
        <f t="shared" si="120"/>
        <v/>
      </c>
    </row>
    <row r="455" spans="2:27">
      <c r="B455" s="1532" t="str">
        <f>IF(E455&lt;&gt;"",E455,IF(F455&lt;&gt;"",F455,IF(G455&lt;&gt;"",G455,IF(H455&lt;&gt;"",H455))))</f>
        <v>Total Concealment</v>
      </c>
      <c r="C455" s="1795"/>
      <c r="D455" s="920"/>
      <c r="E455" s="61"/>
      <c r="F455" s="61"/>
      <c r="G455" s="61" t="s">
        <v>2838</v>
      </c>
      <c r="H455" s="61"/>
      <c r="I455" s="61"/>
      <c r="J455" s="1687" t="s">
        <v>4942</v>
      </c>
      <c r="K455" s="63" t="str">
        <f>IF(AND(Q454="Yes",L452&lt;&gt;""),"Yes","No")</f>
        <v>No</v>
      </c>
      <c r="L455" s="76"/>
      <c r="M455" s="63">
        <f t="shared" si="116"/>
        <v>0</v>
      </c>
      <c r="N455" s="63">
        <v>49</v>
      </c>
      <c r="O455" s="64"/>
      <c r="P455" s="660" t="str">
        <f t="shared" si="121"/>
        <v/>
      </c>
      <c r="Q455" s="52" t="str">
        <f t="shared" si="119"/>
        <v>No</v>
      </c>
      <c r="R455" s="1574" t="str">
        <f t="shared" si="113"/>
        <v/>
      </c>
      <c r="S455" s="52" t="str">
        <f t="shared" si="123"/>
        <v/>
      </c>
      <c r="T455" s="52" t="str">
        <f t="shared" si="124"/>
        <v/>
      </c>
      <c r="U455" s="52" t="str">
        <f t="shared" si="114"/>
        <v/>
      </c>
      <c r="V455" s="52" t="str">
        <f t="shared" si="125"/>
        <v/>
      </c>
      <c r="W455" s="1578"/>
      <c r="X455" s="52" t="str">
        <f t="shared" si="122"/>
        <v/>
      </c>
      <c r="Y455" s="52" t="str">
        <f t="shared" si="117"/>
        <v/>
      </c>
      <c r="AA455" s="52" t="str">
        <f t="shared" si="120"/>
        <v/>
      </c>
    </row>
    <row r="456" spans="2:27" ht="29">
      <c r="B456" s="1532" t="str">
        <f>IF(E456&lt;&gt;"",E456,IF(F456&lt;&gt;"",F456,IF(G456&lt;&gt;"",G456,IF(H456&lt;&gt;"",H456))))</f>
        <v>Slip By</v>
      </c>
      <c r="C456" s="1795"/>
      <c r="D456" s="920"/>
      <c r="E456" s="1364" t="s">
        <v>2780</v>
      </c>
      <c r="F456" s="1364"/>
      <c r="G456" s="1364"/>
      <c r="H456" s="1364"/>
      <c r="I456" s="1364"/>
      <c r="J456" s="1688" t="s">
        <v>6850</v>
      </c>
      <c r="K456" s="63" t="str">
        <f t="shared" ref="K456:K461" si="126">IF(AND(Q455="Yes",L452&lt;&gt;""),"Yes","No")</f>
        <v>No</v>
      </c>
      <c r="L456" s="76"/>
      <c r="M456" s="63">
        <f t="shared" si="116"/>
        <v>0</v>
      </c>
      <c r="N456" s="63" t="s">
        <v>6845</v>
      </c>
      <c r="O456" s="64"/>
      <c r="P456" s="660" t="str">
        <f t="shared" si="121"/>
        <v/>
      </c>
      <c r="Q456" s="52" t="str">
        <f t="shared" si="119"/>
        <v>No</v>
      </c>
      <c r="R456" s="1574" t="str">
        <f t="shared" si="113"/>
        <v/>
      </c>
      <c r="S456" s="52" t="str">
        <f t="shared" si="123"/>
        <v/>
      </c>
      <c r="T456" s="52" t="str">
        <f t="shared" si="124"/>
        <v/>
      </c>
      <c r="U456" s="52" t="str">
        <f t="shared" si="114"/>
        <v/>
      </c>
      <c r="V456" s="52" t="str">
        <f t="shared" si="125"/>
        <v/>
      </c>
      <c r="W456" s="1578"/>
      <c r="X456" s="52" t="str">
        <f t="shared" si="122"/>
        <v/>
      </c>
      <c r="Y456" s="52" t="str">
        <f t="shared" si="117"/>
        <v/>
      </c>
      <c r="AA456" s="52" t="str">
        <f>IF(U456&lt;&gt;"",IF(Z456="Defenses",U456&amp;IF(AA462&lt;&gt;"",", ",""),"")&amp;AA462,AA462)</f>
        <v/>
      </c>
    </row>
    <row r="457" spans="2:27">
      <c r="B457" s="1575"/>
      <c r="C457" s="1795"/>
      <c r="D457" s="920" t="s">
        <v>8452</v>
      </c>
      <c r="E457" s="1552" t="s">
        <v>8453</v>
      </c>
      <c r="F457" s="1552"/>
      <c r="G457" s="1552"/>
      <c r="H457" s="1552"/>
      <c r="I457" s="1552"/>
      <c r="J457" s="1688" t="s">
        <v>8454</v>
      </c>
      <c r="K457" s="63" t="str">
        <f t="shared" si="126"/>
        <v>No</v>
      </c>
      <c r="L457" s="76"/>
      <c r="M457" s="63">
        <f t="shared" si="116"/>
        <v>0</v>
      </c>
      <c r="N457" s="63" t="s">
        <v>8443</v>
      </c>
      <c r="O457" s="64"/>
      <c r="P457" s="660" t="str">
        <f t="shared" si="121"/>
        <v/>
      </c>
      <c r="Q457" s="52" t="str">
        <f t="shared" si="119"/>
        <v>No</v>
      </c>
      <c r="R457" s="1574" t="str">
        <f t="shared" si="113"/>
        <v/>
      </c>
      <c r="S457" s="52" t="str">
        <f t="shared" si="123"/>
        <v/>
      </c>
      <c r="T457" s="52" t="str">
        <f t="shared" si="124"/>
        <v/>
      </c>
      <c r="U457" s="52" t="str">
        <f t="shared" si="114"/>
        <v/>
      </c>
      <c r="V457" s="52" t="str">
        <f t="shared" si="125"/>
        <v/>
      </c>
      <c r="W457" s="1578"/>
      <c r="X457" s="52" t="str">
        <f t="shared" si="122"/>
        <v/>
      </c>
      <c r="Y457" s="52" t="str">
        <f t="shared" si="117"/>
        <v/>
      </c>
    </row>
    <row r="458" spans="2:27">
      <c r="B458" s="1575"/>
      <c r="C458" s="1795"/>
      <c r="D458" s="920"/>
      <c r="E458" s="1552" t="s">
        <v>8455</v>
      </c>
      <c r="F458" s="1552"/>
      <c r="G458" s="1552"/>
      <c r="H458" s="1552"/>
      <c r="I458" s="1552"/>
      <c r="J458" s="1688" t="s">
        <v>8456</v>
      </c>
      <c r="K458" s="63" t="str">
        <f t="shared" si="126"/>
        <v>No</v>
      </c>
      <c r="L458" s="76"/>
      <c r="M458" s="63">
        <f t="shared" si="116"/>
        <v>0</v>
      </c>
      <c r="N458" s="63" t="s">
        <v>8443</v>
      </c>
      <c r="O458" s="64"/>
      <c r="P458" s="660" t="str">
        <f t="shared" si="121"/>
        <v/>
      </c>
      <c r="Q458" s="52" t="str">
        <f t="shared" si="119"/>
        <v>No</v>
      </c>
      <c r="R458" s="1574" t="str">
        <f t="shared" si="113"/>
        <v/>
      </c>
      <c r="S458" s="52" t="str">
        <f t="shared" si="123"/>
        <v/>
      </c>
      <c r="T458" s="52" t="str">
        <f t="shared" si="124"/>
        <v/>
      </c>
      <c r="U458" s="52" t="str">
        <f t="shared" si="114"/>
        <v/>
      </c>
      <c r="V458" s="52" t="str">
        <f t="shared" si="125"/>
        <v/>
      </c>
      <c r="W458" s="1578"/>
      <c r="X458" s="52" t="str">
        <f t="shared" si="122"/>
        <v/>
      </c>
      <c r="Y458" s="52" t="str">
        <f t="shared" si="117"/>
        <v/>
      </c>
    </row>
    <row r="459" spans="2:27">
      <c r="B459" s="1575"/>
      <c r="C459" s="1795"/>
      <c r="D459" s="920"/>
      <c r="E459" s="1552" t="s">
        <v>8457</v>
      </c>
      <c r="F459" s="1552"/>
      <c r="G459" s="1552"/>
      <c r="H459" s="1552"/>
      <c r="I459" s="1552"/>
      <c r="J459" s="1688" t="s">
        <v>8458</v>
      </c>
      <c r="K459" s="63" t="str">
        <f t="shared" si="126"/>
        <v>No</v>
      </c>
      <c r="L459" s="76"/>
      <c r="M459" s="63">
        <f t="shared" si="116"/>
        <v>0</v>
      </c>
      <c r="N459" s="63" t="s">
        <v>8443</v>
      </c>
      <c r="O459" s="64"/>
      <c r="P459" s="660" t="str">
        <f t="shared" si="121"/>
        <v/>
      </c>
      <c r="Q459" s="52" t="str">
        <f t="shared" si="119"/>
        <v>No</v>
      </c>
      <c r="R459" s="1574" t="str">
        <f t="shared" si="113"/>
        <v/>
      </c>
      <c r="S459" s="52" t="str">
        <f t="shared" si="123"/>
        <v/>
      </c>
      <c r="T459" s="52" t="str">
        <f t="shared" si="124"/>
        <v/>
      </c>
      <c r="U459" s="52" t="str">
        <f t="shared" si="114"/>
        <v/>
      </c>
      <c r="V459" s="52" t="str">
        <f t="shared" si="125"/>
        <v/>
      </c>
      <c r="W459" s="1578"/>
      <c r="X459" s="52" t="str">
        <f t="shared" si="122"/>
        <v/>
      </c>
      <c r="Y459" s="52" t="str">
        <f t="shared" si="117"/>
        <v/>
      </c>
    </row>
    <row r="460" spans="2:27">
      <c r="B460" s="1575"/>
      <c r="C460" s="1795"/>
      <c r="D460" s="920"/>
      <c r="E460" s="1552" t="s">
        <v>8459</v>
      </c>
      <c r="F460" s="1552"/>
      <c r="G460" s="1552"/>
      <c r="H460" s="1552"/>
      <c r="I460" s="1552"/>
      <c r="J460" s="1688" t="s">
        <v>8460</v>
      </c>
      <c r="K460" s="63" t="str">
        <f t="shared" si="126"/>
        <v>No</v>
      </c>
      <c r="L460" s="76"/>
      <c r="M460" s="63">
        <f t="shared" si="116"/>
        <v>0</v>
      </c>
      <c r="N460" s="63" t="s">
        <v>8443</v>
      </c>
      <c r="O460" s="64"/>
      <c r="P460" s="660" t="str">
        <f t="shared" si="121"/>
        <v/>
      </c>
      <c r="Q460" s="52" t="str">
        <f t="shared" si="119"/>
        <v>No</v>
      </c>
      <c r="R460" s="1574" t="str">
        <f t="shared" si="113"/>
        <v/>
      </c>
      <c r="S460" s="52" t="str">
        <f t="shared" si="123"/>
        <v/>
      </c>
      <c r="T460" s="52" t="str">
        <f t="shared" si="124"/>
        <v/>
      </c>
      <c r="U460" s="52" t="str">
        <f t="shared" si="114"/>
        <v/>
      </c>
      <c r="V460" s="52" t="str">
        <f t="shared" si="125"/>
        <v/>
      </c>
      <c r="W460" s="1578"/>
      <c r="X460" s="52" t="str">
        <f t="shared" si="122"/>
        <v/>
      </c>
      <c r="Y460" s="52" t="str">
        <f t="shared" si="117"/>
        <v/>
      </c>
    </row>
    <row r="461" spans="2:27">
      <c r="B461" s="1575"/>
      <c r="C461" s="1795"/>
      <c r="D461" s="920"/>
      <c r="E461" s="1552" t="s">
        <v>8461</v>
      </c>
      <c r="F461" s="1552"/>
      <c r="G461" s="1552"/>
      <c r="H461" s="1552"/>
      <c r="I461" s="1552"/>
      <c r="J461" s="1688" t="s">
        <v>8462</v>
      </c>
      <c r="K461" s="63" t="str">
        <f t="shared" si="126"/>
        <v>No</v>
      </c>
      <c r="L461" s="76"/>
      <c r="M461" s="63">
        <f t="shared" si="116"/>
        <v>0</v>
      </c>
      <c r="N461" s="63" t="s">
        <v>8463</v>
      </c>
      <c r="O461" s="64"/>
      <c r="P461" s="660" t="str">
        <f t="shared" si="121"/>
        <v/>
      </c>
      <c r="Q461" s="52" t="str">
        <f t="shared" si="119"/>
        <v>No</v>
      </c>
      <c r="R461" s="1574" t="str">
        <f t="shared" si="113"/>
        <v/>
      </c>
      <c r="S461" s="52" t="str">
        <f t="shared" si="123"/>
        <v/>
      </c>
      <c r="T461" s="52" t="str">
        <f t="shared" si="124"/>
        <v/>
      </c>
      <c r="U461" s="52" t="str">
        <f t="shared" si="114"/>
        <v/>
      </c>
      <c r="V461" s="52" t="str">
        <f t="shared" si="125"/>
        <v/>
      </c>
      <c r="W461" s="1578"/>
      <c r="X461" s="52" t="str">
        <f t="shared" si="122"/>
        <v/>
      </c>
      <c r="Y461" s="52" t="str">
        <f t="shared" si="117"/>
        <v/>
      </c>
    </row>
    <row r="462" spans="2:27">
      <c r="B462" s="1532" t="str">
        <f t="shared" ref="B462:B474" si="127">IF(E462&lt;&gt;"",E462,IF(F462&lt;&gt;"",F462,IF(G462&lt;&gt;"",G462,IF(H462&lt;&gt;"",H462))))</f>
        <v>Barter</v>
      </c>
      <c r="C462" s="1795"/>
      <c r="D462" s="920" t="s">
        <v>2839</v>
      </c>
      <c r="E462" s="61" t="s">
        <v>2840</v>
      </c>
      <c r="F462" s="61"/>
      <c r="G462" s="61"/>
      <c r="H462" s="61"/>
      <c r="I462" s="61"/>
      <c r="J462" s="1687" t="s">
        <v>4943</v>
      </c>
      <c r="K462" s="63" t="str">
        <f>IF(Q462="Yes","Yes","No")</f>
        <v>No</v>
      </c>
      <c r="L462" s="76"/>
      <c r="M462" s="63">
        <f t="shared" si="116"/>
        <v>0</v>
      </c>
      <c r="N462" s="63">
        <v>49</v>
      </c>
      <c r="O462" s="64"/>
      <c r="P462" s="660" t="str">
        <f t="shared" si="121"/>
        <v/>
      </c>
      <c r="Q462" s="52" t="str">
        <f>IF(OR($AD$45&gt;0,$AD$10&gt;0),"Yes","No")</f>
        <v>No</v>
      </c>
      <c r="R462" s="1574" t="str">
        <f t="shared" si="113"/>
        <v/>
      </c>
      <c r="S462" s="52" t="str">
        <f t="shared" si="123"/>
        <v/>
      </c>
      <c r="T462" s="52" t="str">
        <f t="shared" si="124"/>
        <v/>
      </c>
      <c r="U462" s="52" t="str">
        <f t="shared" si="114"/>
        <v/>
      </c>
      <c r="V462" s="52" t="str">
        <f t="shared" si="125"/>
        <v/>
      </c>
      <c r="W462" s="1578"/>
      <c r="X462" s="52" t="str">
        <f t="shared" si="122"/>
        <v/>
      </c>
      <c r="Y462" s="52" t="str">
        <f t="shared" si="117"/>
        <v/>
      </c>
      <c r="AA462" s="52" t="str">
        <f t="shared" si="106"/>
        <v/>
      </c>
    </row>
    <row r="463" spans="2:27">
      <c r="B463" s="1532" t="str">
        <f t="shared" si="127"/>
        <v>Fringe Savant</v>
      </c>
      <c r="C463" s="1795"/>
      <c r="D463" s="920"/>
      <c r="E463" s="61" t="s">
        <v>2841</v>
      </c>
      <c r="F463" s="61"/>
      <c r="G463" s="61"/>
      <c r="H463" s="61"/>
      <c r="I463" s="61"/>
      <c r="J463" s="1687" t="s">
        <v>4944</v>
      </c>
      <c r="K463" s="63" t="str">
        <f>IF(Q463="Yes","Yes","No")</f>
        <v>No</v>
      </c>
      <c r="L463" s="76"/>
      <c r="M463" s="63">
        <f t="shared" si="116"/>
        <v>0</v>
      </c>
      <c r="N463" s="63">
        <v>50</v>
      </c>
      <c r="O463" s="64"/>
      <c r="P463" s="660" t="str">
        <f t="shared" si="121"/>
        <v/>
      </c>
      <c r="Q463" s="52" t="str">
        <f t="shared" si="119"/>
        <v>No</v>
      </c>
      <c r="R463" s="1574" t="str">
        <f t="shared" si="113"/>
        <v/>
      </c>
      <c r="S463" s="52" t="str">
        <f t="shared" si="123"/>
        <v/>
      </c>
      <c r="T463" s="52" t="str">
        <f t="shared" si="124"/>
        <v/>
      </c>
      <c r="U463" s="52" t="str">
        <f t="shared" si="114"/>
        <v/>
      </c>
      <c r="V463" s="52" t="str">
        <f t="shared" si="125"/>
        <v/>
      </c>
      <c r="W463" s="1578"/>
      <c r="X463" s="52" t="str">
        <f t="shared" si="122"/>
        <v/>
      </c>
      <c r="Y463" s="52" t="str">
        <f t="shared" si="117"/>
        <v/>
      </c>
      <c r="AA463" s="52" t="str">
        <f t="shared" si="106"/>
        <v/>
      </c>
    </row>
    <row r="464" spans="2:27">
      <c r="B464" s="1532" t="str">
        <f t="shared" si="127"/>
        <v>Long Stride</v>
      </c>
      <c r="C464" s="1795"/>
      <c r="D464" s="920"/>
      <c r="E464" s="61" t="s">
        <v>2842</v>
      </c>
      <c r="F464" s="61"/>
      <c r="G464" s="61"/>
      <c r="H464" s="61"/>
      <c r="I464" s="61"/>
      <c r="J464" s="1687" t="s">
        <v>4945</v>
      </c>
      <c r="K464" s="63" t="str">
        <f>IF(Q464="Yes","Yes","No")</f>
        <v>No</v>
      </c>
      <c r="L464" s="76"/>
      <c r="M464" s="63">
        <f t="shared" si="116"/>
        <v>0</v>
      </c>
      <c r="N464" s="63">
        <v>50</v>
      </c>
      <c r="O464" s="64"/>
      <c r="P464" s="660" t="str">
        <f t="shared" si="121"/>
        <v/>
      </c>
      <c r="Q464" s="52" t="str">
        <f t="shared" si="119"/>
        <v>No</v>
      </c>
      <c r="R464" s="1574" t="str">
        <f t="shared" ref="R464:R527" si="128">IF(L464&lt;&gt;"",E464&amp;F464&amp;G464&amp;IF(P464&lt;&gt;""," ("&amp;P464&amp;")",""),"")&amp;IF(M464&gt;1," ("&amp;M464&amp;")","")</f>
        <v/>
      </c>
      <c r="S464" s="52" t="str">
        <f t="shared" si="123"/>
        <v/>
      </c>
      <c r="T464" s="52" t="str">
        <f t="shared" si="124"/>
        <v/>
      </c>
      <c r="U464" s="52" t="str">
        <f t="shared" ref="U464:U527" si="129">IF(L464&lt;&gt;"",IF(ISNUMBER(L464),"",E464&amp;F464&amp;G464),"")</f>
        <v/>
      </c>
      <c r="V464" s="52" t="str">
        <f t="shared" si="125"/>
        <v/>
      </c>
      <c r="W464" s="1578"/>
      <c r="X464" s="52" t="str">
        <f t="shared" si="122"/>
        <v/>
      </c>
      <c r="Y464" s="52" t="str">
        <f t="shared" si="117"/>
        <v/>
      </c>
      <c r="AA464" s="52" t="str">
        <f t="shared" si="106"/>
        <v/>
      </c>
    </row>
    <row r="465" spans="2:27" ht="26">
      <c r="B465" s="1532" t="str">
        <f t="shared" si="127"/>
        <v>Flee</v>
      </c>
      <c r="C465" s="1795"/>
      <c r="D465" s="920"/>
      <c r="E465" s="61"/>
      <c r="F465" s="61" t="s">
        <v>2843</v>
      </c>
      <c r="G465" s="61"/>
      <c r="H465" s="61"/>
      <c r="I465" s="61"/>
      <c r="J465" s="1687" t="s">
        <v>4946</v>
      </c>
      <c r="K465" s="63" t="str">
        <f>IF(AND(Q464="Yes",L464&lt;&gt;""),"Yes","No")</f>
        <v>No</v>
      </c>
      <c r="L465" s="76"/>
      <c r="M465" s="63">
        <f t="shared" si="116"/>
        <v>0</v>
      </c>
      <c r="N465" s="63" t="s">
        <v>2844</v>
      </c>
      <c r="O465" s="64"/>
      <c r="P465" s="660" t="str">
        <f t="shared" si="121"/>
        <v/>
      </c>
      <c r="Q465" s="52" t="str">
        <f t="shared" si="119"/>
        <v>No</v>
      </c>
      <c r="R465" s="1574" t="str">
        <f t="shared" si="128"/>
        <v/>
      </c>
      <c r="S465" s="52" t="str">
        <f t="shared" si="123"/>
        <v/>
      </c>
      <c r="T465" s="52" t="str">
        <f t="shared" si="124"/>
        <v/>
      </c>
      <c r="U465" s="52" t="str">
        <f t="shared" si="129"/>
        <v/>
      </c>
      <c r="V465" s="52" t="str">
        <f t="shared" si="125"/>
        <v/>
      </c>
      <c r="W465" s="1578"/>
      <c r="X465" s="52" t="str">
        <f t="shared" si="122"/>
        <v/>
      </c>
      <c r="Y465" s="52" t="str">
        <f t="shared" si="117"/>
        <v/>
      </c>
      <c r="AA465" s="52" t="str">
        <f t="shared" si="106"/>
        <v/>
      </c>
    </row>
    <row r="466" spans="2:27" ht="26">
      <c r="B466" s="1532" t="str">
        <f t="shared" si="127"/>
        <v>Sidestep</v>
      </c>
      <c r="C466" s="1795"/>
      <c r="D466" s="920"/>
      <c r="E466" s="61"/>
      <c r="F466" s="61" t="s">
        <v>2845</v>
      </c>
      <c r="G466" s="61"/>
      <c r="H466" s="61"/>
      <c r="I466" s="61"/>
      <c r="J466" s="1687" t="s">
        <v>4947</v>
      </c>
      <c r="K466" s="63" t="str">
        <f>IF(AND(Q465="Yes",L464&lt;&gt;""),"Yes","No")</f>
        <v>No</v>
      </c>
      <c r="L466" s="76"/>
      <c r="M466" s="63">
        <f t="shared" si="116"/>
        <v>0</v>
      </c>
      <c r="N466" s="63" t="s">
        <v>2844</v>
      </c>
      <c r="O466" s="64"/>
      <c r="P466" s="660" t="str">
        <f t="shared" si="121"/>
        <v/>
      </c>
      <c r="Q466" s="52" t="str">
        <f t="shared" si="119"/>
        <v>No</v>
      </c>
      <c r="R466" s="1574" t="str">
        <f t="shared" si="128"/>
        <v/>
      </c>
      <c r="S466" s="52" t="str">
        <f t="shared" si="123"/>
        <v/>
      </c>
      <c r="T466" s="52" t="str">
        <f t="shared" si="124"/>
        <v/>
      </c>
      <c r="U466" s="52" t="str">
        <f t="shared" si="129"/>
        <v/>
      </c>
      <c r="V466" s="52" t="str">
        <f t="shared" si="125"/>
        <v/>
      </c>
      <c r="W466" s="1578"/>
      <c r="X466" s="52" t="str">
        <f t="shared" si="122"/>
        <v/>
      </c>
      <c r="Y466" s="52" t="str">
        <f t="shared" si="117"/>
        <v/>
      </c>
      <c r="AA466" s="52" t="str">
        <f t="shared" si="106"/>
        <v/>
      </c>
    </row>
    <row r="467" spans="2:27" ht="65">
      <c r="B467" s="1532" t="str">
        <f t="shared" si="127"/>
        <v>Swift Strider</v>
      </c>
      <c r="C467" s="1795"/>
      <c r="D467" s="920"/>
      <c r="E467" s="61"/>
      <c r="F467" s="61"/>
      <c r="G467" s="61" t="s">
        <v>2846</v>
      </c>
      <c r="H467" s="61"/>
      <c r="I467" s="61"/>
      <c r="J467" s="1687" t="s">
        <v>4948</v>
      </c>
      <c r="K467" s="63" t="str">
        <f>IF(AND(Q466="Yes",L466&lt;&gt;""),"Yes","No")</f>
        <v>No</v>
      </c>
      <c r="L467" s="76"/>
      <c r="M467" s="63">
        <f t="shared" si="116"/>
        <v>0</v>
      </c>
      <c r="N467" s="63" t="s">
        <v>2844</v>
      </c>
      <c r="O467" s="64"/>
      <c r="P467" s="660" t="str">
        <f t="shared" si="121"/>
        <v/>
      </c>
      <c r="Q467" s="52" t="str">
        <f t="shared" si="119"/>
        <v>No</v>
      </c>
      <c r="R467" s="1574" t="str">
        <f t="shared" si="128"/>
        <v/>
      </c>
      <c r="S467" s="52" t="str">
        <f t="shared" si="123"/>
        <v/>
      </c>
      <c r="T467" s="52" t="str">
        <f t="shared" si="124"/>
        <v/>
      </c>
      <c r="U467" s="52" t="str">
        <f t="shared" si="129"/>
        <v/>
      </c>
      <c r="V467" s="52" t="str">
        <f t="shared" si="125"/>
        <v/>
      </c>
      <c r="W467" s="1578"/>
      <c r="X467" s="52" t="str">
        <f t="shared" si="122"/>
        <v/>
      </c>
      <c r="Y467" s="52" t="str">
        <f t="shared" si="117"/>
        <v/>
      </c>
      <c r="AA467" s="52" t="str">
        <f t="shared" si="106"/>
        <v/>
      </c>
    </row>
    <row r="468" spans="2:27">
      <c r="B468" s="1532" t="str">
        <f t="shared" si="127"/>
        <v>Surge</v>
      </c>
      <c r="C468" s="1795"/>
      <c r="D468" s="920"/>
      <c r="E468" s="61"/>
      <c r="F468" s="61" t="s">
        <v>2847</v>
      </c>
      <c r="G468" s="61"/>
      <c r="H468" s="61"/>
      <c r="I468" s="61"/>
      <c r="J468" s="1687" t="s">
        <v>4949</v>
      </c>
      <c r="K468" s="63" t="str">
        <f>IF(AND(Q467="Yes",L466&lt;&gt;""),"Yes","No")</f>
        <v>No</v>
      </c>
      <c r="L468" s="76"/>
      <c r="M468" s="63">
        <f t="shared" si="116"/>
        <v>0</v>
      </c>
      <c r="N468" s="63" t="s">
        <v>2844</v>
      </c>
      <c r="O468" s="64"/>
      <c r="P468" s="660" t="str">
        <f t="shared" si="121"/>
        <v/>
      </c>
      <c r="Q468" s="52" t="str">
        <f t="shared" si="119"/>
        <v>No</v>
      </c>
      <c r="R468" s="1574" t="str">
        <f t="shared" si="128"/>
        <v/>
      </c>
      <c r="S468" s="52" t="str">
        <f t="shared" si="123"/>
        <v/>
      </c>
      <c r="T468" s="52" t="str">
        <f t="shared" si="124"/>
        <v/>
      </c>
      <c r="U468" s="52" t="str">
        <f t="shared" si="129"/>
        <v/>
      </c>
      <c r="V468" s="52" t="str">
        <f t="shared" si="125"/>
        <v/>
      </c>
      <c r="W468" s="1578"/>
      <c r="X468" s="52" t="str">
        <f t="shared" si="122"/>
        <v/>
      </c>
      <c r="Y468" s="52" t="str">
        <f t="shared" si="117"/>
        <v/>
      </c>
      <c r="AA468" s="52" t="str">
        <f t="shared" si="106"/>
        <v/>
      </c>
    </row>
    <row r="469" spans="2:27">
      <c r="B469" s="1532" t="str">
        <f t="shared" si="127"/>
        <v>Jury Rigger</v>
      </c>
      <c r="C469" s="1795"/>
      <c r="D469" s="920"/>
      <c r="E469" s="61" t="s">
        <v>2848</v>
      </c>
      <c r="F469" s="61"/>
      <c r="G469" s="61"/>
      <c r="H469" s="61"/>
      <c r="I469" s="61"/>
      <c r="J469" s="1687" t="s">
        <v>4950</v>
      </c>
      <c r="K469" s="63" t="str">
        <f>IF(Q469="Yes","Yes","No")</f>
        <v>No</v>
      </c>
      <c r="L469" s="76"/>
      <c r="M469" s="63">
        <f t="shared" si="116"/>
        <v>0</v>
      </c>
      <c r="N469" s="63">
        <v>50</v>
      </c>
      <c r="O469" s="64"/>
      <c r="P469" s="660" t="str">
        <f t="shared" si="121"/>
        <v/>
      </c>
      <c r="Q469" s="52" t="str">
        <f t="shared" si="119"/>
        <v>No</v>
      </c>
      <c r="R469" s="1574" t="str">
        <f t="shared" si="128"/>
        <v/>
      </c>
      <c r="S469" s="52" t="str">
        <f t="shared" si="123"/>
        <v/>
      </c>
      <c r="T469" s="52" t="str">
        <f t="shared" si="124"/>
        <v/>
      </c>
      <c r="U469" s="52" t="str">
        <f t="shared" si="129"/>
        <v/>
      </c>
      <c r="V469" s="52" t="str">
        <f t="shared" si="125"/>
        <v/>
      </c>
      <c r="W469" s="1578"/>
      <c r="X469" s="52" t="str">
        <f t="shared" si="122"/>
        <v/>
      </c>
      <c r="Y469" s="52" t="str">
        <f t="shared" si="117"/>
        <v/>
      </c>
      <c r="AA469" s="52" t="str">
        <f t="shared" ref="AA469:AA558" si="130">IF(U469&lt;&gt;"",IF(Z469="Defenses",U469&amp;IF(AA470&lt;&gt;"",", ",""),"")&amp;AA470,AA470)</f>
        <v/>
      </c>
    </row>
    <row r="470" spans="2:27" ht="26">
      <c r="B470" s="1532" t="str">
        <f t="shared" si="127"/>
        <v>Keep it Together</v>
      </c>
      <c r="C470" s="1795"/>
      <c r="D470" s="920"/>
      <c r="E470" s="61"/>
      <c r="F470" s="61" t="s">
        <v>2849</v>
      </c>
      <c r="G470" s="61"/>
      <c r="H470" s="61"/>
      <c r="I470" s="61"/>
      <c r="J470" s="1687" t="s">
        <v>4951</v>
      </c>
      <c r="K470" s="63" t="str">
        <f>IF(AND(Q469="Yes",L469&lt;&gt;""),"Yes","No")</f>
        <v>No</v>
      </c>
      <c r="L470" s="76"/>
      <c r="M470" s="63">
        <f t="shared" si="116"/>
        <v>0</v>
      </c>
      <c r="N470" s="63">
        <v>207</v>
      </c>
      <c r="O470" s="64"/>
      <c r="P470" s="660" t="str">
        <f t="shared" si="121"/>
        <v/>
      </c>
      <c r="Q470" s="52" t="str">
        <f t="shared" si="119"/>
        <v>No</v>
      </c>
      <c r="R470" s="1574" t="str">
        <f t="shared" si="128"/>
        <v/>
      </c>
      <c r="S470" s="52" t="str">
        <f t="shared" si="123"/>
        <v/>
      </c>
      <c r="T470" s="52" t="str">
        <f t="shared" si="124"/>
        <v/>
      </c>
      <c r="U470" s="52" t="str">
        <f t="shared" si="129"/>
        <v/>
      </c>
      <c r="V470" s="52" t="str">
        <f t="shared" si="125"/>
        <v/>
      </c>
      <c r="W470" s="1578"/>
      <c r="X470" s="52" t="str">
        <f t="shared" si="122"/>
        <v/>
      </c>
      <c r="Y470" s="52" t="str">
        <f t="shared" ref="Y470:Y533" si="131">IF(U470&lt;&gt;"",IF(W470="Att Options",U470&amp;IF(Y471&lt;&gt;"",", ",""),"")&amp;Y471,Y471)</f>
        <v/>
      </c>
      <c r="AA470" s="52" t="str">
        <f t="shared" si="130"/>
        <v/>
      </c>
    </row>
    <row r="471" spans="2:27">
      <c r="B471" s="1532" t="str">
        <f t="shared" si="127"/>
        <v>Deep-Space Gambit</v>
      </c>
      <c r="C471" s="1795"/>
      <c r="D471" s="920" t="s">
        <v>2850</v>
      </c>
      <c r="E471" s="61" t="s">
        <v>2851</v>
      </c>
      <c r="F471" s="61"/>
      <c r="G471" s="61"/>
      <c r="H471" s="61"/>
      <c r="I471" s="61"/>
      <c r="J471" s="1687" t="s">
        <v>4952</v>
      </c>
      <c r="K471" s="63" t="str">
        <f>IF(Q471="Yes","Yes","No")</f>
        <v>No</v>
      </c>
      <c r="L471" s="76"/>
      <c r="M471" s="63">
        <f t="shared" si="116"/>
        <v>0</v>
      </c>
      <c r="N471" s="63" t="s">
        <v>2792</v>
      </c>
      <c r="O471" s="64"/>
      <c r="P471" s="660" t="str">
        <f t="shared" si="121"/>
        <v/>
      </c>
      <c r="Q471" s="52" t="str">
        <f>IF(OR($AD$45&gt;0,$AD$10&gt;0),"Yes","No")</f>
        <v>No</v>
      </c>
      <c r="R471" s="1574" t="str">
        <f t="shared" si="128"/>
        <v/>
      </c>
      <c r="S471" s="52" t="str">
        <f t="shared" si="123"/>
        <v/>
      </c>
      <c r="T471" s="52" t="str">
        <f t="shared" si="124"/>
        <v/>
      </c>
      <c r="U471" s="52" t="str">
        <f t="shared" si="129"/>
        <v/>
      </c>
      <c r="V471" s="52" t="str">
        <f t="shared" si="125"/>
        <v/>
      </c>
      <c r="W471" s="1578"/>
      <c r="X471" s="52" t="str">
        <f t="shared" si="122"/>
        <v/>
      </c>
      <c r="Y471" s="52" t="str">
        <f t="shared" si="131"/>
        <v/>
      </c>
      <c r="AA471" s="52" t="str">
        <f t="shared" si="130"/>
        <v/>
      </c>
    </row>
    <row r="472" spans="2:27">
      <c r="B472" s="1532" t="str">
        <f t="shared" si="127"/>
        <v>Guidance</v>
      </c>
      <c r="C472" s="1795"/>
      <c r="D472" s="920"/>
      <c r="E472" s="61" t="s">
        <v>2852</v>
      </c>
      <c r="F472" s="61"/>
      <c r="G472" s="61"/>
      <c r="H472" s="61"/>
      <c r="I472" s="61"/>
      <c r="J472" s="1687" t="s">
        <v>4953</v>
      </c>
      <c r="K472" s="63" t="str">
        <f>IF(AND(Q472="Yes",OR(TPerception="Yes",FPerception="Yes",ForcePerception)),"Yes","No")</f>
        <v>No</v>
      </c>
      <c r="L472" s="76"/>
      <c r="M472" s="63">
        <f t="shared" si="116"/>
        <v>0</v>
      </c>
      <c r="N472" s="63" t="s">
        <v>2792</v>
      </c>
      <c r="O472" s="64"/>
      <c r="P472" s="660" t="str">
        <f t="shared" si="121"/>
        <v/>
      </c>
      <c r="Q472" s="52" t="str">
        <f t="shared" si="119"/>
        <v>No</v>
      </c>
      <c r="R472" s="1574" t="str">
        <f t="shared" si="128"/>
        <v/>
      </c>
      <c r="S472" s="52" t="str">
        <f t="shared" si="123"/>
        <v/>
      </c>
      <c r="T472" s="52" t="str">
        <f t="shared" si="124"/>
        <v/>
      </c>
      <c r="U472" s="52" t="str">
        <f t="shared" si="129"/>
        <v/>
      </c>
      <c r="V472" s="52" t="str">
        <f t="shared" si="125"/>
        <v/>
      </c>
      <c r="W472" s="1578"/>
      <c r="X472" s="52" t="str">
        <f t="shared" si="122"/>
        <v/>
      </c>
      <c r="Y472" s="52" t="str">
        <f t="shared" si="131"/>
        <v/>
      </c>
      <c r="AA472" s="52" t="str">
        <f t="shared" si="130"/>
        <v/>
      </c>
    </row>
    <row r="473" spans="2:27">
      <c r="B473" s="1532" t="str">
        <f t="shared" si="127"/>
        <v>Hidden Attacker</v>
      </c>
      <c r="C473" s="1795"/>
      <c r="D473" s="920"/>
      <c r="E473" s="61" t="s">
        <v>2853</v>
      </c>
      <c r="F473" s="61"/>
      <c r="G473" s="61"/>
      <c r="H473" s="61"/>
      <c r="I473" s="61"/>
      <c r="J473" s="1687" t="s">
        <v>4954</v>
      </c>
      <c r="K473" s="63" t="str">
        <f>IF(AND(Q473="Yes",OR(TStealth="Yes",FStealth="Yes",ForceStealth)),"Yes","No")</f>
        <v>No</v>
      </c>
      <c r="L473" s="76"/>
      <c r="M473" s="63">
        <f t="shared" si="116"/>
        <v>0</v>
      </c>
      <c r="N473" s="63" t="s">
        <v>2854</v>
      </c>
      <c r="O473" s="64"/>
      <c r="P473" s="660" t="str">
        <f t="shared" si="121"/>
        <v/>
      </c>
      <c r="Q473" s="52" t="str">
        <f t="shared" si="119"/>
        <v>No</v>
      </c>
      <c r="R473" s="1574" t="str">
        <f t="shared" si="128"/>
        <v/>
      </c>
      <c r="S473" s="52" t="str">
        <f t="shared" si="123"/>
        <v/>
      </c>
      <c r="T473" s="52" t="str">
        <f t="shared" si="124"/>
        <v/>
      </c>
      <c r="U473" s="52" t="str">
        <f t="shared" si="129"/>
        <v/>
      </c>
      <c r="V473" s="52" t="str">
        <f t="shared" si="125"/>
        <v/>
      </c>
      <c r="W473" s="1578"/>
      <c r="X473" s="52" t="str">
        <f t="shared" si="122"/>
        <v/>
      </c>
      <c r="Y473" s="52" t="str">
        <f t="shared" si="131"/>
        <v/>
      </c>
      <c r="AA473" s="52" t="str">
        <f t="shared" si="130"/>
        <v/>
      </c>
    </row>
    <row r="474" spans="2:27">
      <c r="B474" s="1532" t="str">
        <f t="shared" si="127"/>
        <v>Hyperspace Savant</v>
      </c>
      <c r="C474" s="1795"/>
      <c r="D474" s="920"/>
      <c r="E474" s="61" t="s">
        <v>2855</v>
      </c>
      <c r="F474" s="61"/>
      <c r="G474" s="61"/>
      <c r="H474" s="61"/>
      <c r="I474" s="61"/>
      <c r="J474" s="1687" t="s">
        <v>4955</v>
      </c>
      <c r="K474" s="63" t="str">
        <f>IF(AND(Q474="Yes",OR(TPilot="Yes",FPilot="Yes",ForcePilot)),"Yes","No")</f>
        <v>No</v>
      </c>
      <c r="L474" s="76"/>
      <c r="M474" s="63">
        <f t="shared" si="116"/>
        <v>0</v>
      </c>
      <c r="N474" s="63" t="s">
        <v>2854</v>
      </c>
      <c r="O474" s="64"/>
      <c r="P474" s="660" t="str">
        <f t="shared" si="121"/>
        <v/>
      </c>
      <c r="Q474" s="52" t="str">
        <f t="shared" si="119"/>
        <v>No</v>
      </c>
      <c r="R474" s="1574" t="str">
        <f t="shared" si="128"/>
        <v/>
      </c>
      <c r="S474" s="52" t="str">
        <f t="shared" si="123"/>
        <v/>
      </c>
      <c r="T474" s="52" t="str">
        <f t="shared" si="124"/>
        <v/>
      </c>
      <c r="U474" s="52" t="str">
        <f t="shared" si="129"/>
        <v/>
      </c>
      <c r="V474" s="52" t="str">
        <f t="shared" si="125"/>
        <v/>
      </c>
      <c r="W474" s="1578"/>
      <c r="X474" s="52" t="str">
        <f t="shared" si="122"/>
        <v/>
      </c>
      <c r="Y474" s="52" t="str">
        <f t="shared" si="131"/>
        <v/>
      </c>
      <c r="AA474" s="52" t="str">
        <f>IF(U474&lt;&gt;"",IF(Z474="Defenses",U474&amp;IF(AA476&lt;&gt;"",", ",""),"")&amp;AA476,AA476)</f>
        <v/>
      </c>
    </row>
    <row r="475" spans="2:27">
      <c r="B475" s="1575"/>
      <c r="C475" s="1795"/>
      <c r="D475" s="920"/>
      <c r="E475" s="61" t="s">
        <v>8464</v>
      </c>
      <c r="F475" s="61"/>
      <c r="G475" s="61"/>
      <c r="H475" s="61"/>
      <c r="I475" s="61"/>
      <c r="J475" s="1687" t="s">
        <v>8849</v>
      </c>
      <c r="K475" s="63" t="str">
        <f>IF(AND(Q475="Yes",OR(TStealth="Yes",FStealth="Yes",ForceStealth)),"Yes","No")</f>
        <v>No</v>
      </c>
      <c r="L475" s="76"/>
      <c r="M475" s="63">
        <f t="shared" si="116"/>
        <v>0</v>
      </c>
      <c r="N475" s="63" t="s">
        <v>8435</v>
      </c>
      <c r="O475" s="64"/>
      <c r="P475" s="660" t="str">
        <f t="shared" si="121"/>
        <v/>
      </c>
      <c r="Q475" s="52" t="str">
        <f t="shared" si="119"/>
        <v>No</v>
      </c>
      <c r="R475" s="1574" t="str">
        <f t="shared" si="128"/>
        <v/>
      </c>
      <c r="S475" s="52" t="str">
        <f t="shared" si="123"/>
        <v/>
      </c>
      <c r="T475" s="52" t="str">
        <f t="shared" si="124"/>
        <v/>
      </c>
      <c r="U475" s="52" t="str">
        <f t="shared" si="129"/>
        <v/>
      </c>
      <c r="V475" s="52" t="str">
        <f t="shared" si="125"/>
        <v/>
      </c>
      <c r="W475" s="1578"/>
      <c r="X475" s="52" t="str">
        <f t="shared" si="122"/>
        <v/>
      </c>
      <c r="Y475" s="52" t="str">
        <f t="shared" si="131"/>
        <v/>
      </c>
    </row>
    <row r="476" spans="2:27">
      <c r="B476" s="1532" t="str">
        <f>IF(E476&lt;&gt;"",E476,IF(F476&lt;&gt;"",F476,IF(G476&lt;&gt;"",G476,IF(H476&lt;&gt;"",H476))))</f>
        <v>Vehicle Sneak</v>
      </c>
      <c r="C476" s="1795"/>
      <c r="D476" s="920"/>
      <c r="E476" s="61" t="s">
        <v>2856</v>
      </c>
      <c r="F476" s="61"/>
      <c r="G476" s="61"/>
      <c r="H476" s="61"/>
      <c r="I476" s="61"/>
      <c r="J476" s="1687" t="s">
        <v>4956</v>
      </c>
      <c r="K476" s="63" t="str">
        <f>IF(AND(Q476="Yes",OR(TPilot="Yes",FPilot="Yes",ForcePilot)),"Yes","No")</f>
        <v>No</v>
      </c>
      <c r="L476" s="76"/>
      <c r="M476" s="63">
        <f t="shared" si="116"/>
        <v>0</v>
      </c>
      <c r="N476" s="63" t="s">
        <v>2854</v>
      </c>
      <c r="O476" s="64"/>
      <c r="P476" s="660" t="str">
        <f t="shared" si="121"/>
        <v/>
      </c>
      <c r="Q476" s="52" t="str">
        <f>Q474</f>
        <v>No</v>
      </c>
      <c r="R476" s="1574" t="str">
        <f t="shared" si="128"/>
        <v/>
      </c>
      <c r="S476" s="52" t="str">
        <f t="shared" si="123"/>
        <v/>
      </c>
      <c r="T476" s="52" t="str">
        <f t="shared" si="124"/>
        <v/>
      </c>
      <c r="U476" s="52" t="str">
        <f t="shared" si="129"/>
        <v/>
      </c>
      <c r="V476" s="52" t="str">
        <f t="shared" si="125"/>
        <v/>
      </c>
      <c r="W476" s="1578"/>
      <c r="X476" s="52" t="str">
        <f t="shared" si="122"/>
        <v/>
      </c>
      <c r="Y476" s="52" t="str">
        <f t="shared" si="131"/>
        <v/>
      </c>
      <c r="AA476" s="52" t="str">
        <f>IF(U476&lt;&gt;"",IF(Z476="Defenses",U476&amp;IF(AA486&lt;&gt;"",", ",""),"")&amp;AA486,AA486)</f>
        <v/>
      </c>
    </row>
    <row r="477" spans="2:27" ht="39">
      <c r="B477" s="1575"/>
      <c r="C477" s="1795"/>
      <c r="D477" s="920" t="s">
        <v>8476</v>
      </c>
      <c r="E477" s="61" t="s">
        <v>8477</v>
      </c>
      <c r="F477" s="61"/>
      <c r="G477" s="61"/>
      <c r="H477" s="61"/>
      <c r="I477" s="61"/>
      <c r="J477" s="1687" t="s">
        <v>8478</v>
      </c>
      <c r="K477" s="63" t="str">
        <f>IF(AND(Q477="Yes",L439&lt;&gt;"",L445&lt;&gt;""),"Yes","No")</f>
        <v>No</v>
      </c>
      <c r="L477" s="76"/>
      <c r="M477" s="63">
        <f t="shared" si="116"/>
        <v>0</v>
      </c>
      <c r="N477" s="63" t="s">
        <v>8435</v>
      </c>
      <c r="O477" s="64"/>
      <c r="P477" s="660" t="str">
        <f t="shared" si="121"/>
        <v/>
      </c>
      <c r="Q477" s="52" t="str">
        <f t="shared" ref="Q477:Q485" si="132">Q475</f>
        <v>No</v>
      </c>
      <c r="R477" s="1574" t="str">
        <f t="shared" si="128"/>
        <v/>
      </c>
      <c r="S477" s="52" t="str">
        <f t="shared" si="123"/>
        <v/>
      </c>
      <c r="T477" s="52" t="str">
        <f t="shared" si="124"/>
        <v/>
      </c>
      <c r="U477" s="52" t="str">
        <f t="shared" si="129"/>
        <v/>
      </c>
      <c r="V477" s="52" t="str">
        <f t="shared" si="125"/>
        <v/>
      </c>
      <c r="W477" s="1578"/>
      <c r="X477" s="52" t="str">
        <f t="shared" si="122"/>
        <v/>
      </c>
      <c r="Y477" s="52" t="str">
        <f t="shared" si="131"/>
        <v/>
      </c>
    </row>
    <row r="478" spans="2:27">
      <c r="B478" s="1575"/>
      <c r="C478" s="1795"/>
      <c r="D478" s="920"/>
      <c r="E478" s="61" t="s">
        <v>8479</v>
      </c>
      <c r="F478" s="61"/>
      <c r="G478" s="61"/>
      <c r="H478" s="61"/>
      <c r="I478" s="61"/>
      <c r="J478" s="1687" t="s">
        <v>8850</v>
      </c>
      <c r="K478" s="63" t="str">
        <f>IF(AND(Q478="Yes",L464&lt;&gt;""),"Yes","No")</f>
        <v>No</v>
      </c>
      <c r="L478" s="76"/>
      <c r="M478" s="63">
        <f t="shared" si="116"/>
        <v>0</v>
      </c>
      <c r="N478" s="63" t="s">
        <v>8468</v>
      </c>
      <c r="O478" s="64"/>
      <c r="P478" s="660" t="str">
        <f t="shared" si="121"/>
        <v/>
      </c>
      <c r="Q478" s="52" t="str">
        <f t="shared" si="132"/>
        <v>No</v>
      </c>
      <c r="R478" s="1574" t="str">
        <f t="shared" si="128"/>
        <v/>
      </c>
      <c r="S478" s="52" t="str">
        <f t="shared" si="123"/>
        <v/>
      </c>
      <c r="T478" s="52" t="str">
        <f t="shared" si="124"/>
        <v/>
      </c>
      <c r="U478" s="52" t="str">
        <f t="shared" si="129"/>
        <v/>
      </c>
      <c r="V478" s="52" t="str">
        <f t="shared" si="125"/>
        <v/>
      </c>
      <c r="W478" s="1578"/>
      <c r="X478" s="52" t="str">
        <f t="shared" si="122"/>
        <v/>
      </c>
      <c r="Y478" s="52" t="str">
        <f t="shared" si="131"/>
        <v/>
      </c>
    </row>
    <row r="479" spans="2:27">
      <c r="B479" s="1575"/>
      <c r="C479" s="1795"/>
      <c r="D479" s="920"/>
      <c r="E479" s="61" t="s">
        <v>8480</v>
      </c>
      <c r="F479" s="61"/>
      <c r="G479" s="61"/>
      <c r="H479" s="61"/>
      <c r="I479" s="61"/>
      <c r="J479" s="1687" t="s">
        <v>8481</v>
      </c>
      <c r="K479" s="63" t="str">
        <f>IF(Q479="Yes","Yes","No")</f>
        <v>No</v>
      </c>
      <c r="L479" s="76"/>
      <c r="M479" s="63">
        <f t="shared" si="116"/>
        <v>0</v>
      </c>
      <c r="N479" s="63" t="s">
        <v>8468</v>
      </c>
      <c r="O479" s="64"/>
      <c r="P479" s="660" t="str">
        <f t="shared" si="121"/>
        <v/>
      </c>
      <c r="Q479" s="52" t="str">
        <f t="shared" si="132"/>
        <v>No</v>
      </c>
      <c r="R479" s="1574" t="str">
        <f t="shared" si="128"/>
        <v/>
      </c>
      <c r="S479" s="52" t="str">
        <f t="shared" si="123"/>
        <v/>
      </c>
      <c r="T479" s="52" t="str">
        <f t="shared" si="124"/>
        <v/>
      </c>
      <c r="U479" s="52" t="str">
        <f t="shared" si="129"/>
        <v/>
      </c>
      <c r="V479" s="52" t="str">
        <f t="shared" si="125"/>
        <v/>
      </c>
      <c r="W479" s="1578"/>
      <c r="X479" s="52" t="str">
        <f t="shared" si="122"/>
        <v/>
      </c>
      <c r="Y479" s="52" t="str">
        <f t="shared" si="131"/>
        <v/>
      </c>
    </row>
    <row r="480" spans="2:27" ht="26">
      <c r="B480" s="1575"/>
      <c r="C480" s="1795"/>
      <c r="D480" s="920"/>
      <c r="E480" s="61" t="s">
        <v>8482</v>
      </c>
      <c r="F480" s="61"/>
      <c r="G480" s="61"/>
      <c r="H480" s="61"/>
      <c r="I480" s="61"/>
      <c r="J480" s="1687" t="s">
        <v>8851</v>
      </c>
      <c r="K480" s="63" t="str">
        <f>IF(AND(Q480="Yes",L469&lt;&gt;""),"Yes","No")</f>
        <v>No</v>
      </c>
      <c r="L480" s="76"/>
      <c r="M480" s="63">
        <f t="shared" si="116"/>
        <v>0</v>
      </c>
      <c r="N480" s="63" t="s">
        <v>8468</v>
      </c>
      <c r="O480" s="64"/>
      <c r="P480" s="660" t="str">
        <f t="shared" si="121"/>
        <v/>
      </c>
      <c r="Q480" s="52" t="str">
        <f t="shared" si="132"/>
        <v>No</v>
      </c>
      <c r="R480" s="1574" t="str">
        <f t="shared" si="128"/>
        <v/>
      </c>
      <c r="S480" s="52" t="str">
        <f t="shared" si="123"/>
        <v/>
      </c>
      <c r="T480" s="52" t="str">
        <f t="shared" si="124"/>
        <v/>
      </c>
      <c r="U480" s="52" t="str">
        <f t="shared" si="129"/>
        <v/>
      </c>
      <c r="V480" s="52" t="str">
        <f t="shared" si="125"/>
        <v/>
      </c>
      <c r="W480" s="1578"/>
      <c r="X480" s="52" t="str">
        <f t="shared" si="122"/>
        <v/>
      </c>
      <c r="Y480" s="52" t="str">
        <f t="shared" si="131"/>
        <v/>
      </c>
    </row>
    <row r="481" spans="2:27">
      <c r="B481" s="1575"/>
      <c r="C481" s="1795"/>
      <c r="D481" s="920"/>
      <c r="E481" s="61"/>
      <c r="F481" s="61" t="s">
        <v>8483</v>
      </c>
      <c r="G481" s="61"/>
      <c r="H481" s="61"/>
      <c r="I481" s="61"/>
      <c r="J481" s="1687" t="s">
        <v>8484</v>
      </c>
      <c r="K481" s="63" t="str">
        <f>IF(AND(Q481="Yes",L480&lt;&gt;""),"Yes","No")</f>
        <v>No</v>
      </c>
      <c r="L481" s="76"/>
      <c r="M481" s="63">
        <f t="shared" si="116"/>
        <v>0</v>
      </c>
      <c r="N481" s="63" t="s">
        <v>8468</v>
      </c>
      <c r="O481" s="64"/>
      <c r="P481" s="660" t="str">
        <f t="shared" si="121"/>
        <v/>
      </c>
      <c r="Q481" s="52" t="str">
        <f t="shared" si="132"/>
        <v>No</v>
      </c>
      <c r="R481" s="1574" t="str">
        <f t="shared" si="128"/>
        <v/>
      </c>
      <c r="S481" s="52" t="str">
        <f t="shared" si="123"/>
        <v/>
      </c>
      <c r="T481" s="52" t="str">
        <f t="shared" si="124"/>
        <v/>
      </c>
      <c r="U481" s="52" t="str">
        <f t="shared" si="129"/>
        <v/>
      </c>
      <c r="V481" s="52" t="str">
        <f t="shared" si="125"/>
        <v/>
      </c>
      <c r="W481" s="1578"/>
      <c r="X481" s="52" t="str">
        <f t="shared" si="122"/>
        <v/>
      </c>
      <c r="Y481" s="52" t="str">
        <f t="shared" si="131"/>
        <v/>
      </c>
    </row>
    <row r="482" spans="2:27" ht="26">
      <c r="B482" s="1575"/>
      <c r="C482" s="1795"/>
      <c r="D482" s="920" t="s">
        <v>8465</v>
      </c>
      <c r="E482" s="61" t="s">
        <v>8466</v>
      </c>
      <c r="F482" s="61"/>
      <c r="G482" s="61"/>
      <c r="H482" s="61"/>
      <c r="I482" s="61"/>
      <c r="J482" s="1687" t="s">
        <v>8467</v>
      </c>
      <c r="K482" s="63" t="str">
        <f t="shared" ref="K482:K487" si="133">IF(Q482="Yes","Yes","No")</f>
        <v>No</v>
      </c>
      <c r="L482" s="76"/>
      <c r="M482" s="63">
        <f t="shared" si="116"/>
        <v>0</v>
      </c>
      <c r="N482" s="63" t="s">
        <v>8468</v>
      </c>
      <c r="O482" s="64"/>
      <c r="P482" s="660" t="str">
        <f t="shared" si="121"/>
        <v/>
      </c>
      <c r="Q482" s="52" t="str">
        <f t="shared" si="132"/>
        <v>No</v>
      </c>
      <c r="R482" s="1574" t="str">
        <f t="shared" si="128"/>
        <v/>
      </c>
      <c r="S482" s="52" t="str">
        <f t="shared" si="123"/>
        <v/>
      </c>
      <c r="T482" s="52" t="str">
        <f t="shared" si="124"/>
        <v/>
      </c>
      <c r="U482" s="52" t="str">
        <f t="shared" si="129"/>
        <v/>
      </c>
      <c r="V482" s="52" t="str">
        <f t="shared" si="125"/>
        <v/>
      </c>
      <c r="W482" s="1578"/>
      <c r="X482" s="52" t="str">
        <f t="shared" si="122"/>
        <v/>
      </c>
      <c r="Y482" s="52" t="str">
        <f t="shared" si="131"/>
        <v/>
      </c>
    </row>
    <row r="483" spans="2:27">
      <c r="B483" s="1575"/>
      <c r="C483" s="1795"/>
      <c r="D483" s="920"/>
      <c r="E483" s="61" t="s">
        <v>8469</v>
      </c>
      <c r="F483" s="61"/>
      <c r="G483" s="61"/>
      <c r="H483" s="61"/>
      <c r="I483" s="61"/>
      <c r="J483" s="1687" t="s">
        <v>8470</v>
      </c>
      <c r="K483" s="63" t="str">
        <f t="shared" si="133"/>
        <v>No</v>
      </c>
      <c r="L483" s="76"/>
      <c r="M483" s="63">
        <f t="shared" si="116"/>
        <v>0</v>
      </c>
      <c r="N483" s="63" t="s">
        <v>8471</v>
      </c>
      <c r="O483" s="64"/>
      <c r="P483" s="660" t="str">
        <f t="shared" si="121"/>
        <v/>
      </c>
      <c r="Q483" s="52" t="str">
        <f t="shared" si="132"/>
        <v>No</v>
      </c>
      <c r="R483" s="1574" t="str">
        <f t="shared" si="128"/>
        <v/>
      </c>
      <c r="S483" s="52" t="str">
        <f t="shared" si="123"/>
        <v/>
      </c>
      <c r="T483" s="52" t="str">
        <f t="shared" si="124"/>
        <v/>
      </c>
      <c r="U483" s="52" t="str">
        <f t="shared" si="129"/>
        <v/>
      </c>
      <c r="V483" s="52" t="str">
        <f t="shared" si="125"/>
        <v/>
      </c>
      <c r="W483" s="1578"/>
      <c r="X483" s="52" t="str">
        <f t="shared" si="122"/>
        <v/>
      </c>
      <c r="Y483" s="52" t="str">
        <f t="shared" si="131"/>
        <v/>
      </c>
    </row>
    <row r="484" spans="2:27">
      <c r="B484" s="1575"/>
      <c r="C484" s="1795"/>
      <c r="D484" s="920"/>
      <c r="E484" s="61" t="s">
        <v>8472</v>
      </c>
      <c r="F484" s="61"/>
      <c r="G484" s="61"/>
      <c r="H484" s="61"/>
      <c r="I484" s="61"/>
      <c r="J484" s="1687" t="s">
        <v>8473</v>
      </c>
      <c r="K484" s="63" t="str">
        <f t="shared" si="133"/>
        <v>No</v>
      </c>
      <c r="L484" s="76"/>
      <c r="M484" s="63">
        <f t="shared" si="116"/>
        <v>0</v>
      </c>
      <c r="N484" s="63" t="s">
        <v>8471</v>
      </c>
      <c r="O484" s="64"/>
      <c r="P484" s="660" t="str">
        <f t="shared" si="121"/>
        <v/>
      </c>
      <c r="Q484" s="52" t="str">
        <f t="shared" si="132"/>
        <v>No</v>
      </c>
      <c r="R484" s="1574" t="str">
        <f t="shared" si="128"/>
        <v/>
      </c>
      <c r="S484" s="52" t="str">
        <f t="shared" si="123"/>
        <v/>
      </c>
      <c r="T484" s="52" t="str">
        <f t="shared" si="124"/>
        <v/>
      </c>
      <c r="U484" s="52" t="str">
        <f t="shared" si="129"/>
        <v/>
      </c>
      <c r="V484" s="52" t="str">
        <f t="shared" si="125"/>
        <v/>
      </c>
      <c r="W484" s="1578"/>
      <c r="X484" s="52" t="str">
        <f t="shared" si="122"/>
        <v/>
      </c>
      <c r="Y484" s="52" t="str">
        <f t="shared" si="131"/>
        <v/>
      </c>
    </row>
    <row r="485" spans="2:27">
      <c r="B485" s="1575"/>
      <c r="C485" s="1795"/>
      <c r="D485" s="920"/>
      <c r="E485" s="61" t="s">
        <v>8474</v>
      </c>
      <c r="F485" s="61"/>
      <c r="G485" s="61"/>
      <c r="H485" s="61"/>
      <c r="I485" s="61"/>
      <c r="J485" s="1687" t="s">
        <v>8475</v>
      </c>
      <c r="K485" s="63" t="str">
        <f t="shared" si="133"/>
        <v>No</v>
      </c>
      <c r="L485" s="76"/>
      <c r="M485" s="63">
        <f t="shared" si="116"/>
        <v>0</v>
      </c>
      <c r="N485" s="63" t="s">
        <v>8471</v>
      </c>
      <c r="O485" s="64"/>
      <c r="P485" s="660" t="str">
        <f t="shared" si="121"/>
        <v/>
      </c>
      <c r="Q485" s="52" t="str">
        <f t="shared" si="132"/>
        <v>No</v>
      </c>
      <c r="R485" s="1574" t="str">
        <f t="shared" si="128"/>
        <v/>
      </c>
      <c r="S485" s="52" t="str">
        <f t="shared" si="123"/>
        <v/>
      </c>
      <c r="T485" s="52" t="str">
        <f t="shared" si="124"/>
        <v/>
      </c>
      <c r="U485" s="52" t="str">
        <f t="shared" si="129"/>
        <v/>
      </c>
      <c r="V485" s="52" t="str">
        <f t="shared" si="125"/>
        <v/>
      </c>
      <c r="W485" s="1578"/>
      <c r="X485" s="52" t="str">
        <f t="shared" si="122"/>
        <v/>
      </c>
      <c r="Y485" s="52" t="str">
        <f t="shared" si="131"/>
        <v/>
      </c>
    </row>
    <row r="486" spans="2:27">
      <c r="B486" s="1532" t="str">
        <f t="shared" ref="B486:B529" si="134">IF(E486&lt;&gt;"",E486,IF(F486&lt;&gt;"",F486,IF(G486&lt;&gt;"",G486,IF(H486&lt;&gt;"",H486))))</f>
        <v>Get Into Position</v>
      </c>
      <c r="C486" s="1795"/>
      <c r="D486" s="920" t="s">
        <v>2857</v>
      </c>
      <c r="E486" s="61" t="s">
        <v>2858</v>
      </c>
      <c r="F486" s="61"/>
      <c r="G486" s="61"/>
      <c r="H486" s="61"/>
      <c r="I486" s="61"/>
      <c r="J486" s="1687" t="s">
        <v>4957</v>
      </c>
      <c r="K486" s="63" t="str">
        <f t="shared" si="133"/>
        <v>No</v>
      </c>
      <c r="L486" s="76"/>
      <c r="M486" s="63">
        <f t="shared" si="116"/>
        <v>0</v>
      </c>
      <c r="N486" s="63" t="s">
        <v>2859</v>
      </c>
      <c r="O486" s="64"/>
      <c r="P486" s="660" t="str">
        <f t="shared" si="121"/>
        <v/>
      </c>
      <c r="Q486" s="52" t="str">
        <f>IF(OR($AD$45&gt;0,$AD$10&gt;0),"Yes","No")</f>
        <v>No</v>
      </c>
      <c r="R486" s="1574" t="str">
        <f t="shared" si="128"/>
        <v/>
      </c>
      <c r="S486" s="52" t="str">
        <f t="shared" si="123"/>
        <v/>
      </c>
      <c r="T486" s="52" t="str">
        <f t="shared" si="124"/>
        <v/>
      </c>
      <c r="U486" s="52" t="str">
        <f t="shared" si="129"/>
        <v/>
      </c>
      <c r="V486" s="52" t="str">
        <f t="shared" si="125"/>
        <v/>
      </c>
      <c r="W486" s="1578"/>
      <c r="X486" s="52" t="str">
        <f t="shared" si="122"/>
        <v/>
      </c>
      <c r="Y486" s="52" t="str">
        <f t="shared" si="131"/>
        <v/>
      </c>
      <c r="AA486" s="52" t="str">
        <f t="shared" si="130"/>
        <v/>
      </c>
    </row>
    <row r="487" spans="2:27" ht="26">
      <c r="B487" s="1532" t="str">
        <f t="shared" si="134"/>
        <v>Reconnaissance Team Leader</v>
      </c>
      <c r="C487" s="1795"/>
      <c r="D487" s="920"/>
      <c r="E487" s="61" t="s">
        <v>2860</v>
      </c>
      <c r="F487" s="61"/>
      <c r="G487" s="61"/>
      <c r="H487" s="61"/>
      <c r="I487" s="61"/>
      <c r="J487" s="1687" t="s">
        <v>4958</v>
      </c>
      <c r="K487" s="63" t="str">
        <f t="shared" si="133"/>
        <v>No</v>
      </c>
      <c r="L487" s="76"/>
      <c r="M487" s="63">
        <f t="shared" si="116"/>
        <v>0</v>
      </c>
      <c r="N487" s="63" t="s">
        <v>2859</v>
      </c>
      <c r="O487" s="64"/>
      <c r="P487" s="660" t="str">
        <f t="shared" si="121"/>
        <v/>
      </c>
      <c r="Q487" s="52" t="str">
        <f t="shared" si="119"/>
        <v>No</v>
      </c>
      <c r="R487" s="1574" t="str">
        <f t="shared" si="128"/>
        <v/>
      </c>
      <c r="S487" s="52" t="str">
        <f t="shared" si="123"/>
        <v/>
      </c>
      <c r="T487" s="52" t="str">
        <f t="shared" si="124"/>
        <v/>
      </c>
      <c r="U487" s="52" t="str">
        <f t="shared" si="129"/>
        <v/>
      </c>
      <c r="V487" s="52" t="str">
        <f t="shared" si="125"/>
        <v/>
      </c>
      <c r="W487" s="1578"/>
      <c r="X487" s="52" t="str">
        <f t="shared" si="122"/>
        <v/>
      </c>
      <c r="Y487" s="52" t="str">
        <f t="shared" si="131"/>
        <v/>
      </c>
      <c r="AA487" s="52" t="str">
        <f t="shared" si="130"/>
        <v/>
      </c>
    </row>
    <row r="488" spans="2:27">
      <c r="B488" s="1532" t="str">
        <f t="shared" si="134"/>
        <v>Close-Combat Assault</v>
      </c>
      <c r="C488" s="1795"/>
      <c r="D488" s="920"/>
      <c r="E488" s="61"/>
      <c r="F488" s="61" t="s">
        <v>2861</v>
      </c>
      <c r="G488" s="61"/>
      <c r="H488" s="61"/>
      <c r="I488" s="61"/>
      <c r="J488" s="1687" t="s">
        <v>4959</v>
      </c>
      <c r="K488" s="63" t="str">
        <f>IF(AND(Q487="Yes",L487&lt;&gt;""),"Yes","No")</f>
        <v>No</v>
      </c>
      <c r="L488" s="76"/>
      <c r="M488" s="63">
        <f t="shared" si="116"/>
        <v>0</v>
      </c>
      <c r="N488" s="63" t="s">
        <v>2859</v>
      </c>
      <c r="O488" s="64"/>
      <c r="P488" s="660" t="str">
        <f t="shared" si="121"/>
        <v/>
      </c>
      <c r="Q488" s="52" t="str">
        <f t="shared" si="119"/>
        <v>No</v>
      </c>
      <c r="R488" s="1574" t="str">
        <f t="shared" si="128"/>
        <v/>
      </c>
      <c r="S488" s="52" t="str">
        <f t="shared" si="123"/>
        <v/>
      </c>
      <c r="T488" s="52" t="str">
        <f t="shared" si="124"/>
        <v/>
      </c>
      <c r="U488" s="52" t="str">
        <f t="shared" si="129"/>
        <v/>
      </c>
      <c r="V488" s="52" t="str">
        <f t="shared" si="125"/>
        <v/>
      </c>
      <c r="W488" s="1578"/>
      <c r="X488" s="52" t="str">
        <f t="shared" si="122"/>
        <v/>
      </c>
      <c r="Y488" s="52" t="str">
        <f t="shared" si="131"/>
        <v/>
      </c>
      <c r="AA488" s="52" t="str">
        <f t="shared" si="130"/>
        <v/>
      </c>
    </row>
    <row r="489" spans="2:27" ht="52">
      <c r="B489" s="1532" t="str">
        <f t="shared" si="134"/>
        <v>Reconnaissance Actions</v>
      </c>
      <c r="C489" s="1795"/>
      <c r="D489" s="920"/>
      <c r="E489" s="61"/>
      <c r="F489" s="61" t="s">
        <v>2862</v>
      </c>
      <c r="G489" s="61"/>
      <c r="H489" s="61"/>
      <c r="I489" s="61"/>
      <c r="J489" s="1687" t="s">
        <v>4960</v>
      </c>
      <c r="K489" s="63" t="str">
        <f>IF(AND(Q488="Yes",L487&lt;&gt;""),"Yes","No")</f>
        <v>No</v>
      </c>
      <c r="L489" s="76"/>
      <c r="M489" s="63">
        <f t="shared" si="116"/>
        <v>0</v>
      </c>
      <c r="N489" s="63" t="s">
        <v>2859</v>
      </c>
      <c r="O489" s="64"/>
      <c r="P489" s="660" t="str">
        <f t="shared" si="121"/>
        <v/>
      </c>
      <c r="Q489" s="52" t="str">
        <f t="shared" si="119"/>
        <v>No</v>
      </c>
      <c r="R489" s="1574" t="str">
        <f t="shared" si="128"/>
        <v/>
      </c>
      <c r="S489" s="52" t="str">
        <f t="shared" si="123"/>
        <v/>
      </c>
      <c r="T489" s="52" t="str">
        <f t="shared" si="124"/>
        <v/>
      </c>
      <c r="U489" s="52" t="str">
        <f t="shared" si="129"/>
        <v/>
      </c>
      <c r="V489" s="52" t="str">
        <f t="shared" si="125"/>
        <v/>
      </c>
      <c r="W489" s="1578"/>
      <c r="X489" s="52" t="str">
        <f t="shared" si="122"/>
        <v/>
      </c>
      <c r="Y489" s="52" t="str">
        <f t="shared" si="131"/>
        <v/>
      </c>
      <c r="AA489" s="52" t="str">
        <f t="shared" si="130"/>
        <v/>
      </c>
    </row>
    <row r="490" spans="2:27">
      <c r="B490" s="1532" t="str">
        <f t="shared" si="134"/>
        <v>Blend In</v>
      </c>
      <c r="C490" s="1795"/>
      <c r="D490" s="920" t="s">
        <v>2863</v>
      </c>
      <c r="E490" s="61" t="s">
        <v>2864</v>
      </c>
      <c r="F490" s="61"/>
      <c r="G490" s="61"/>
      <c r="H490" s="61"/>
      <c r="I490" s="61"/>
      <c r="J490" s="1687" t="s">
        <v>4961</v>
      </c>
      <c r="K490" s="63" t="str">
        <f>IF(Q490="Yes","Yes","No")</f>
        <v>No</v>
      </c>
      <c r="L490" s="76"/>
      <c r="M490" s="63">
        <f t="shared" si="116"/>
        <v>0</v>
      </c>
      <c r="N490" s="63" t="s">
        <v>2828</v>
      </c>
      <c r="O490" s="64"/>
      <c r="P490" s="660" t="str">
        <f t="shared" si="121"/>
        <v/>
      </c>
      <c r="Q490" s="52" t="str">
        <f>IF(OR($AD$45&gt;0,$AD$10&gt;0),"Yes","No")</f>
        <v>No</v>
      </c>
      <c r="R490" s="1574" t="str">
        <f t="shared" si="128"/>
        <v/>
      </c>
      <c r="S490" s="52" t="str">
        <f t="shared" si="123"/>
        <v/>
      </c>
      <c r="T490" s="52" t="str">
        <f t="shared" si="124"/>
        <v/>
      </c>
      <c r="U490" s="52" t="str">
        <f t="shared" si="129"/>
        <v/>
      </c>
      <c r="V490" s="52" t="str">
        <f t="shared" si="125"/>
        <v/>
      </c>
      <c r="W490" s="1578"/>
      <c r="X490" s="52" t="str">
        <f t="shared" si="122"/>
        <v/>
      </c>
      <c r="Y490" s="52" t="str">
        <f t="shared" si="131"/>
        <v/>
      </c>
      <c r="AA490" s="52" t="str">
        <f t="shared" si="130"/>
        <v/>
      </c>
    </row>
    <row r="491" spans="2:27">
      <c r="B491" s="1532" t="str">
        <f t="shared" si="134"/>
        <v>Incognito</v>
      </c>
      <c r="C491" s="1795"/>
      <c r="D491" s="920"/>
      <c r="E491" s="61"/>
      <c r="F491" s="61" t="s">
        <v>2865</v>
      </c>
      <c r="G491" s="61"/>
      <c r="H491" s="61"/>
      <c r="I491" s="61"/>
      <c r="J491" s="1687" t="s">
        <v>4962</v>
      </c>
      <c r="K491" s="63" t="str">
        <f>IF(AND(Q490="Yes",L490&lt;&gt;""),"Yes","No")</f>
        <v>No</v>
      </c>
      <c r="L491" s="76"/>
      <c r="M491" s="63">
        <f t="shared" si="116"/>
        <v>0</v>
      </c>
      <c r="N491" s="63" t="s">
        <v>2828</v>
      </c>
      <c r="O491" s="64"/>
      <c r="P491" s="660" t="str">
        <f t="shared" si="121"/>
        <v/>
      </c>
      <c r="Q491" s="52" t="str">
        <f t="shared" si="119"/>
        <v>No</v>
      </c>
      <c r="R491" s="1574" t="str">
        <f t="shared" si="128"/>
        <v/>
      </c>
      <c r="S491" s="52" t="str">
        <f t="shared" si="123"/>
        <v/>
      </c>
      <c r="T491" s="52" t="str">
        <f t="shared" si="124"/>
        <v/>
      </c>
      <c r="U491" s="52" t="str">
        <f t="shared" si="129"/>
        <v/>
      </c>
      <c r="V491" s="52" t="str">
        <f t="shared" si="125"/>
        <v/>
      </c>
      <c r="W491" s="1578"/>
      <c r="X491" s="52" t="str">
        <f t="shared" si="122"/>
        <v/>
      </c>
      <c r="Y491" s="52" t="str">
        <f t="shared" si="131"/>
        <v/>
      </c>
      <c r="AA491" s="52" t="str">
        <f t="shared" si="130"/>
        <v/>
      </c>
    </row>
    <row r="492" spans="2:27" ht="26">
      <c r="B492" s="1532" t="str">
        <f t="shared" si="134"/>
        <v>Surveillance</v>
      </c>
      <c r="C492" s="1795"/>
      <c r="D492" s="920"/>
      <c r="E492" s="61" t="s">
        <v>2866</v>
      </c>
      <c r="F492" s="61"/>
      <c r="G492" s="61"/>
      <c r="H492" s="61"/>
      <c r="I492" s="61"/>
      <c r="J492" s="1687" t="s">
        <v>4963</v>
      </c>
      <c r="K492" s="63" t="str">
        <f>IF(Q492="Yes","Yes","No")</f>
        <v>No</v>
      </c>
      <c r="L492" s="76"/>
      <c r="M492" s="63">
        <f t="shared" si="116"/>
        <v>0</v>
      </c>
      <c r="N492" s="63" t="s">
        <v>2828</v>
      </c>
      <c r="O492" s="64"/>
      <c r="P492" s="660" t="str">
        <f t="shared" si="121"/>
        <v/>
      </c>
      <c r="Q492" s="52" t="str">
        <f t="shared" si="119"/>
        <v>No</v>
      </c>
      <c r="R492" s="1574" t="str">
        <f t="shared" si="128"/>
        <v/>
      </c>
      <c r="S492" s="52" t="str">
        <f t="shared" si="123"/>
        <v/>
      </c>
      <c r="T492" s="52" t="str">
        <f t="shared" si="124"/>
        <v/>
      </c>
      <c r="U492" s="52" t="str">
        <f t="shared" si="129"/>
        <v/>
      </c>
      <c r="V492" s="52" t="str">
        <f t="shared" si="125"/>
        <v/>
      </c>
      <c r="W492" s="1578"/>
      <c r="X492" s="52" t="str">
        <f t="shared" si="122"/>
        <v/>
      </c>
      <c r="Y492" s="52" t="str">
        <f t="shared" si="131"/>
        <v/>
      </c>
      <c r="AA492" s="52" t="str">
        <f t="shared" si="130"/>
        <v/>
      </c>
    </row>
    <row r="493" spans="2:27">
      <c r="B493" s="1532" t="str">
        <f t="shared" si="134"/>
        <v>Improved Surveillance</v>
      </c>
      <c r="C493" s="1795"/>
      <c r="D493" s="920"/>
      <c r="E493" s="61"/>
      <c r="F493" s="61" t="s">
        <v>2867</v>
      </c>
      <c r="G493" s="61"/>
      <c r="H493" s="61"/>
      <c r="I493" s="61"/>
      <c r="J493" s="1687" t="s">
        <v>4964</v>
      </c>
      <c r="K493" s="63" t="str">
        <f>IF(AND(Q492="Yes",L492&lt;&gt;""),"Yes","No")</f>
        <v>No</v>
      </c>
      <c r="L493" s="76"/>
      <c r="M493" s="63">
        <f t="shared" si="116"/>
        <v>0</v>
      </c>
      <c r="N493" s="63" t="s">
        <v>2828</v>
      </c>
      <c r="O493" s="64"/>
      <c r="P493" s="660" t="str">
        <f t="shared" si="121"/>
        <v/>
      </c>
      <c r="Q493" s="52" t="str">
        <f t="shared" si="119"/>
        <v>No</v>
      </c>
      <c r="R493" s="1574" t="str">
        <f t="shared" si="128"/>
        <v/>
      </c>
      <c r="S493" s="52" t="str">
        <f t="shared" si="123"/>
        <v/>
      </c>
      <c r="T493" s="52" t="str">
        <f t="shared" si="124"/>
        <v/>
      </c>
      <c r="U493" s="52" t="str">
        <f t="shared" si="129"/>
        <v/>
      </c>
      <c r="V493" s="52" t="str">
        <f t="shared" si="125"/>
        <v/>
      </c>
      <c r="W493" s="1578"/>
      <c r="X493" s="52" t="str">
        <f t="shared" si="122"/>
        <v/>
      </c>
      <c r="Y493" s="52" t="str">
        <f t="shared" si="131"/>
        <v/>
      </c>
      <c r="AA493" s="52" t="str">
        <f t="shared" si="130"/>
        <v/>
      </c>
    </row>
    <row r="494" spans="2:27" ht="26">
      <c r="B494" s="1532" t="str">
        <f t="shared" si="134"/>
        <v>Intimate Knowledge</v>
      </c>
      <c r="C494" s="1795"/>
      <c r="D494" s="920"/>
      <c r="E494" s="61"/>
      <c r="F494" s="61" t="s">
        <v>2868</v>
      </c>
      <c r="G494" s="61"/>
      <c r="H494" s="61"/>
      <c r="I494" s="61"/>
      <c r="J494" s="1687" t="s">
        <v>4965</v>
      </c>
      <c r="K494" s="63" t="str">
        <f>IF(AND(Q493="Yes",L492&lt;&gt;""),"Yes","No")</f>
        <v>No</v>
      </c>
      <c r="L494" s="76"/>
      <c r="M494" s="63">
        <f t="shared" ref="M494:M577" si="135">IF(L494&lt;&gt;"",1,0)</f>
        <v>0</v>
      </c>
      <c r="N494" s="63" t="s">
        <v>2828</v>
      </c>
      <c r="O494" s="64"/>
      <c r="P494" s="660" t="str">
        <f t="shared" si="121"/>
        <v/>
      </c>
      <c r="Q494" s="52" t="str">
        <f t="shared" si="119"/>
        <v>No</v>
      </c>
      <c r="R494" s="1574" t="str">
        <f t="shared" si="128"/>
        <v/>
      </c>
      <c r="S494" s="52" t="str">
        <f t="shared" si="123"/>
        <v/>
      </c>
      <c r="T494" s="52" t="str">
        <f t="shared" si="124"/>
        <v/>
      </c>
      <c r="U494" s="52" t="str">
        <f t="shared" si="129"/>
        <v/>
      </c>
      <c r="V494" s="52" t="str">
        <f t="shared" si="125"/>
        <v/>
      </c>
      <c r="W494" s="1578"/>
      <c r="X494" s="52" t="str">
        <f t="shared" si="122"/>
        <v/>
      </c>
      <c r="Y494" s="52" t="str">
        <f t="shared" si="131"/>
        <v/>
      </c>
      <c r="AA494" s="52" t="str">
        <f t="shared" si="130"/>
        <v/>
      </c>
    </row>
    <row r="495" spans="2:27">
      <c r="B495" s="1532" t="str">
        <f t="shared" si="134"/>
        <v>Traceless Tampering</v>
      </c>
      <c r="C495" s="1795"/>
      <c r="D495" s="920"/>
      <c r="E495" s="61" t="s">
        <v>2869</v>
      </c>
      <c r="F495" s="61"/>
      <c r="G495" s="61"/>
      <c r="H495" s="61"/>
      <c r="I495" s="61"/>
      <c r="J495" s="1687" t="s">
        <v>4966</v>
      </c>
      <c r="K495" s="63" t="str">
        <f>IF(Q495="Yes","Yes","No")</f>
        <v>No</v>
      </c>
      <c r="L495" s="76"/>
      <c r="M495" s="63">
        <f t="shared" si="135"/>
        <v>0</v>
      </c>
      <c r="N495" s="63" t="s">
        <v>2828</v>
      </c>
      <c r="O495" s="64"/>
      <c r="P495" s="660" t="str">
        <f t="shared" si="121"/>
        <v/>
      </c>
      <c r="Q495" s="52" t="str">
        <f t="shared" si="119"/>
        <v>No</v>
      </c>
      <c r="R495" s="1574" t="str">
        <f t="shared" si="128"/>
        <v/>
      </c>
      <c r="S495" s="52" t="str">
        <f t="shared" si="123"/>
        <v/>
      </c>
      <c r="T495" s="52" t="str">
        <f t="shared" si="124"/>
        <v/>
      </c>
      <c r="U495" s="52" t="str">
        <f t="shared" si="129"/>
        <v/>
      </c>
      <c r="V495" s="52" t="str">
        <f t="shared" si="125"/>
        <v/>
      </c>
      <c r="W495" s="1578"/>
      <c r="X495" s="52" t="str">
        <f t="shared" si="122"/>
        <v/>
      </c>
      <c r="Y495" s="52" t="str">
        <f t="shared" si="131"/>
        <v/>
      </c>
      <c r="AA495" s="52" t="str">
        <f t="shared" si="130"/>
        <v/>
      </c>
    </row>
    <row r="496" spans="2:27">
      <c r="B496" s="1532" t="str">
        <f t="shared" si="134"/>
        <v>Hidden Eyes</v>
      </c>
      <c r="C496" s="1795"/>
      <c r="D496" s="920" t="s">
        <v>2866</v>
      </c>
      <c r="E496" s="61" t="s">
        <v>2870</v>
      </c>
      <c r="F496" s="61"/>
      <c r="G496" s="61"/>
      <c r="H496" s="61"/>
      <c r="I496" s="61"/>
      <c r="J496" s="1687" t="s">
        <v>4967</v>
      </c>
      <c r="K496" s="63" t="str">
        <f>IF(Q496="Yes","Yes","No")</f>
        <v>No</v>
      </c>
      <c r="L496" s="76"/>
      <c r="M496" s="63">
        <f t="shared" si="135"/>
        <v>0</v>
      </c>
      <c r="N496" s="63" t="s">
        <v>2859</v>
      </c>
      <c r="O496" s="64"/>
      <c r="P496" s="660" t="str">
        <f t="shared" si="121"/>
        <v/>
      </c>
      <c r="Q496" s="52" t="str">
        <f>IF(OR($AD$45&gt;0,$AD$10&gt;0),"Yes","No")</f>
        <v>No</v>
      </c>
      <c r="R496" s="1574" t="str">
        <f t="shared" si="128"/>
        <v/>
      </c>
      <c r="S496" s="52" t="str">
        <f t="shared" si="123"/>
        <v/>
      </c>
      <c r="T496" s="52" t="str">
        <f t="shared" si="124"/>
        <v/>
      </c>
      <c r="U496" s="52" t="str">
        <f t="shared" si="129"/>
        <v/>
      </c>
      <c r="V496" s="52" t="str">
        <f t="shared" si="125"/>
        <v/>
      </c>
      <c r="W496" s="1578"/>
      <c r="X496" s="52" t="str">
        <f t="shared" si="122"/>
        <v/>
      </c>
      <c r="Y496" s="52" t="str">
        <f t="shared" si="131"/>
        <v/>
      </c>
      <c r="AA496" s="52" t="str">
        <f t="shared" si="130"/>
        <v/>
      </c>
    </row>
    <row r="497" spans="2:27" ht="26">
      <c r="B497" s="1532" t="str">
        <f t="shared" si="134"/>
        <v>Seek and Destroy</v>
      </c>
      <c r="C497" s="1795"/>
      <c r="D497" s="920"/>
      <c r="E497" s="61"/>
      <c r="F497" s="61" t="s">
        <v>2871</v>
      </c>
      <c r="G497" s="61"/>
      <c r="H497" s="61"/>
      <c r="I497" s="61"/>
      <c r="J497" s="1687" t="s">
        <v>4968</v>
      </c>
      <c r="K497" s="63" t="str">
        <f>IF(AND(Q496="Yes",L496&lt;&gt;""),"Yes","No")</f>
        <v>No</v>
      </c>
      <c r="L497" s="76"/>
      <c r="M497" s="63">
        <f t="shared" si="135"/>
        <v>0</v>
      </c>
      <c r="N497" s="63" t="s">
        <v>2859</v>
      </c>
      <c r="O497" s="64"/>
      <c r="P497" s="660" t="str">
        <f t="shared" si="121"/>
        <v/>
      </c>
      <c r="Q497" s="52" t="str">
        <f t="shared" si="119"/>
        <v>No</v>
      </c>
      <c r="R497" s="1574" t="str">
        <f t="shared" si="128"/>
        <v/>
      </c>
      <c r="S497" s="52" t="str">
        <f t="shared" si="123"/>
        <v/>
      </c>
      <c r="T497" s="52" t="str">
        <f t="shared" si="124"/>
        <v/>
      </c>
      <c r="U497" s="52" t="str">
        <f t="shared" si="129"/>
        <v/>
      </c>
      <c r="V497" s="52" t="str">
        <f t="shared" si="125"/>
        <v/>
      </c>
      <c r="W497" s="1578"/>
      <c r="X497" s="52" t="str">
        <f t="shared" si="122"/>
        <v/>
      </c>
      <c r="Y497" s="52" t="str">
        <f t="shared" si="131"/>
        <v/>
      </c>
      <c r="AA497" s="52" t="str">
        <f t="shared" si="130"/>
        <v/>
      </c>
    </row>
    <row r="498" spans="2:27" ht="26">
      <c r="B498" s="1532" t="str">
        <f t="shared" si="134"/>
        <v>Hunt the Hunter</v>
      </c>
      <c r="C498" s="1795"/>
      <c r="D498" s="920"/>
      <c r="E498" s="61" t="s">
        <v>2872</v>
      </c>
      <c r="F498" s="61"/>
      <c r="G498" s="61"/>
      <c r="H498" s="61"/>
      <c r="I498" s="61"/>
      <c r="J498" s="1687" t="s">
        <v>4969</v>
      </c>
      <c r="K498" s="63" t="str">
        <f>IF(Q498="Yes","Yes","No")</f>
        <v>No</v>
      </c>
      <c r="L498" s="76"/>
      <c r="M498" s="63">
        <f t="shared" si="135"/>
        <v>0</v>
      </c>
      <c r="N498" s="63" t="s">
        <v>2859</v>
      </c>
      <c r="O498" s="64"/>
      <c r="P498" s="660" t="str">
        <f t="shared" si="121"/>
        <v/>
      </c>
      <c r="Q498" s="52" t="str">
        <f t="shared" si="119"/>
        <v>No</v>
      </c>
      <c r="R498" s="1574" t="str">
        <f t="shared" si="128"/>
        <v/>
      </c>
      <c r="S498" s="52" t="str">
        <f t="shared" si="123"/>
        <v/>
      </c>
      <c r="T498" s="52" t="str">
        <f t="shared" si="124"/>
        <v/>
      </c>
      <c r="U498" s="52" t="str">
        <f t="shared" si="129"/>
        <v/>
      </c>
      <c r="V498" s="52" t="str">
        <f t="shared" si="125"/>
        <v/>
      </c>
      <c r="W498" s="1578"/>
      <c r="X498" s="52" t="str">
        <f t="shared" si="122"/>
        <v/>
      </c>
      <c r="Y498" s="52" t="str">
        <f t="shared" si="131"/>
        <v/>
      </c>
      <c r="AA498" s="52" t="str">
        <f t="shared" si="130"/>
        <v/>
      </c>
    </row>
    <row r="499" spans="2:27" ht="26">
      <c r="B499" s="1532" t="str">
        <f t="shared" si="134"/>
        <v>Spotter</v>
      </c>
      <c r="C499" s="1795"/>
      <c r="D499" s="920"/>
      <c r="E499" s="61" t="s">
        <v>2873</v>
      </c>
      <c r="F499" s="61"/>
      <c r="G499" s="61"/>
      <c r="H499" s="61"/>
      <c r="I499" s="61"/>
      <c r="J499" s="1687" t="s">
        <v>4970</v>
      </c>
      <c r="K499" s="63" t="str">
        <f>IF(Q499="Yes","Yes","No")</f>
        <v>No</v>
      </c>
      <c r="L499" s="76"/>
      <c r="M499" s="63">
        <f t="shared" si="135"/>
        <v>0</v>
      </c>
      <c r="N499" s="63" t="s">
        <v>2859</v>
      </c>
      <c r="O499" s="64"/>
      <c r="P499" s="660" t="str">
        <f t="shared" si="121"/>
        <v/>
      </c>
      <c r="Q499" s="52" t="str">
        <f t="shared" si="119"/>
        <v>No</v>
      </c>
      <c r="R499" s="1574" t="str">
        <f t="shared" si="128"/>
        <v/>
      </c>
      <c r="S499" s="52" t="str">
        <f t="shared" si="123"/>
        <v/>
      </c>
      <c r="T499" s="52" t="str">
        <f t="shared" si="124"/>
        <v/>
      </c>
      <c r="U499" s="52" t="str">
        <f t="shared" si="129"/>
        <v/>
      </c>
      <c r="V499" s="52" t="str">
        <f t="shared" si="125"/>
        <v/>
      </c>
      <c r="W499" s="1578"/>
      <c r="X499" s="52" t="str">
        <f t="shared" si="122"/>
        <v/>
      </c>
      <c r="Y499" s="52" t="str">
        <f t="shared" si="131"/>
        <v/>
      </c>
      <c r="AA499" s="52" t="str">
        <f t="shared" si="130"/>
        <v/>
      </c>
    </row>
    <row r="500" spans="2:27" ht="26">
      <c r="B500" s="1532" t="str">
        <f t="shared" si="134"/>
        <v>Advanced Intel</v>
      </c>
      <c r="C500" s="1795"/>
      <c r="D500" s="920"/>
      <c r="E500" s="61"/>
      <c r="F500" s="61" t="s">
        <v>2874</v>
      </c>
      <c r="G500" s="61"/>
      <c r="H500" s="61"/>
      <c r="I500" s="61"/>
      <c r="J500" s="1687" t="s">
        <v>4971</v>
      </c>
      <c r="K500" s="63" t="str">
        <f>IF(AND(Q499="Yes",L499&lt;&gt;""),"Yes","No")</f>
        <v>No</v>
      </c>
      <c r="L500" s="76"/>
      <c r="M500" s="63">
        <f t="shared" si="135"/>
        <v>0</v>
      </c>
      <c r="N500" s="63" t="s">
        <v>2859</v>
      </c>
      <c r="O500" s="64"/>
      <c r="P500" s="660" t="str">
        <f t="shared" si="121"/>
        <v/>
      </c>
      <c r="Q500" s="52" t="str">
        <f t="shared" si="119"/>
        <v>No</v>
      </c>
      <c r="R500" s="1574" t="str">
        <f t="shared" si="128"/>
        <v/>
      </c>
      <c r="S500" s="52" t="str">
        <f t="shared" si="123"/>
        <v/>
      </c>
      <c r="T500" s="52" t="str">
        <f t="shared" si="124"/>
        <v/>
      </c>
      <c r="U500" s="52" t="str">
        <f t="shared" si="129"/>
        <v/>
      </c>
      <c r="V500" s="52" t="str">
        <f t="shared" si="125"/>
        <v/>
      </c>
      <c r="W500" s="1578"/>
      <c r="X500" s="52" t="str">
        <f t="shared" si="122"/>
        <v/>
      </c>
      <c r="Y500" s="52" t="str">
        <f t="shared" si="131"/>
        <v/>
      </c>
      <c r="AA500" s="52" t="str">
        <f t="shared" si="130"/>
        <v/>
      </c>
    </row>
    <row r="501" spans="2:27">
      <c r="B501" s="1532" t="str">
        <f t="shared" si="134"/>
        <v>Evasion</v>
      </c>
      <c r="C501" s="1795"/>
      <c r="D501" s="920" t="s">
        <v>2875</v>
      </c>
      <c r="E501" s="61" t="s">
        <v>2876</v>
      </c>
      <c r="F501" s="61"/>
      <c r="G501" s="61"/>
      <c r="H501" s="61"/>
      <c r="I501" s="61"/>
      <c r="J501" s="1687" t="s">
        <v>4972</v>
      </c>
      <c r="K501" s="63" t="str">
        <f t="shared" ref="K501:K506" si="136">IF(Q501="Yes","Yes","No")</f>
        <v>No</v>
      </c>
      <c r="L501" s="76"/>
      <c r="M501" s="63">
        <f t="shared" si="135"/>
        <v>0</v>
      </c>
      <c r="N501" s="63">
        <v>50</v>
      </c>
      <c r="O501" s="64"/>
      <c r="P501" s="660" t="str">
        <f t="shared" si="121"/>
        <v/>
      </c>
      <c r="Q501" s="52" t="str">
        <f>IF(OR($AD$45&gt;0,$AD$10&gt;0,$AD$44&gt;0),"Yes","No")</f>
        <v>No</v>
      </c>
      <c r="R501" s="1574" t="str">
        <f t="shared" si="128"/>
        <v/>
      </c>
      <c r="S501" s="52" t="str">
        <f t="shared" si="123"/>
        <v/>
      </c>
      <c r="T501" s="52" t="str">
        <f t="shared" si="124"/>
        <v/>
      </c>
      <c r="U501" s="52" t="str">
        <f t="shared" si="129"/>
        <v/>
      </c>
      <c r="V501" s="52" t="str">
        <f t="shared" si="125"/>
        <v/>
      </c>
      <c r="W501" s="1578"/>
      <c r="X501" s="52" t="str">
        <f t="shared" si="122"/>
        <v/>
      </c>
      <c r="Y501" s="52" t="str">
        <f t="shared" si="131"/>
        <v/>
      </c>
      <c r="AA501" s="52" t="str">
        <f t="shared" si="130"/>
        <v/>
      </c>
    </row>
    <row r="502" spans="2:27">
      <c r="B502" s="1532" t="str">
        <f t="shared" si="134"/>
        <v>Extreme Effort</v>
      </c>
      <c r="C502" s="1795"/>
      <c r="D502" s="920"/>
      <c r="E502" s="61" t="s">
        <v>2877</v>
      </c>
      <c r="F502" s="61"/>
      <c r="G502" s="61"/>
      <c r="H502" s="61"/>
      <c r="I502" s="61"/>
      <c r="J502" s="1687" t="s">
        <v>4973</v>
      </c>
      <c r="K502" s="63" t="str">
        <f t="shared" si="136"/>
        <v>No</v>
      </c>
      <c r="L502" s="76"/>
      <c r="M502" s="63">
        <f t="shared" si="135"/>
        <v>0</v>
      </c>
      <c r="N502" s="63">
        <v>50</v>
      </c>
      <c r="O502" s="64"/>
      <c r="P502" s="660" t="str">
        <f t="shared" si="121"/>
        <v/>
      </c>
      <c r="Q502" s="52" t="str">
        <f t="shared" si="119"/>
        <v>No</v>
      </c>
      <c r="R502" s="1574" t="str">
        <f t="shared" si="128"/>
        <v/>
      </c>
      <c r="S502" s="52" t="str">
        <f t="shared" si="123"/>
        <v/>
      </c>
      <c r="T502" s="52" t="str">
        <f t="shared" si="124"/>
        <v/>
      </c>
      <c r="U502" s="52" t="str">
        <f t="shared" si="129"/>
        <v/>
      </c>
      <c r="V502" s="52" t="str">
        <f t="shared" si="125"/>
        <v/>
      </c>
      <c r="W502" s="1578"/>
      <c r="X502" s="52" t="str">
        <f t="shared" si="122"/>
        <v/>
      </c>
      <c r="Y502" s="52" t="str">
        <f t="shared" si="131"/>
        <v/>
      </c>
      <c r="AA502" s="52" t="str">
        <f t="shared" si="130"/>
        <v/>
      </c>
    </row>
    <row r="503" spans="2:27">
      <c r="B503" s="1532" t="str">
        <f t="shared" si="134"/>
        <v>Sprint</v>
      </c>
      <c r="C503" s="1795"/>
      <c r="D503" s="920"/>
      <c r="E503" s="61" t="s">
        <v>2878</v>
      </c>
      <c r="F503" s="61"/>
      <c r="G503" s="61"/>
      <c r="H503" s="61"/>
      <c r="I503" s="61"/>
      <c r="J503" s="1687" t="s">
        <v>4974</v>
      </c>
      <c r="K503" s="63" t="str">
        <f t="shared" si="136"/>
        <v>No</v>
      </c>
      <c r="L503" s="76"/>
      <c r="M503" s="63">
        <f t="shared" si="135"/>
        <v>0</v>
      </c>
      <c r="N503" s="63">
        <v>50</v>
      </c>
      <c r="O503" s="64"/>
      <c r="P503" s="660" t="str">
        <f t="shared" si="121"/>
        <v/>
      </c>
      <c r="Q503" s="52" t="str">
        <f t="shared" si="119"/>
        <v>No</v>
      </c>
      <c r="R503" s="1574" t="str">
        <f t="shared" si="128"/>
        <v/>
      </c>
      <c r="S503" s="52" t="str">
        <f t="shared" si="123"/>
        <v/>
      </c>
      <c r="T503" s="52" t="str">
        <f t="shared" si="124"/>
        <v/>
      </c>
      <c r="U503" s="52" t="str">
        <f t="shared" si="129"/>
        <v/>
      </c>
      <c r="V503" s="52" t="str">
        <f t="shared" si="125"/>
        <v/>
      </c>
      <c r="W503" s="1578"/>
      <c r="X503" s="52" t="str">
        <f t="shared" si="122"/>
        <v/>
      </c>
      <c r="Y503" s="52" t="str">
        <f t="shared" si="131"/>
        <v/>
      </c>
      <c r="AA503" s="52" t="str">
        <f t="shared" ref="AA503:AA509" si="137">IF(U503&lt;&gt;"",IF(Z503="Defenses",U503&amp;IF(AA504&lt;&gt;"",", ",""),"")&amp;AA504,AA504)</f>
        <v/>
      </c>
    </row>
    <row r="504" spans="2:27">
      <c r="B504" s="1532" t="str">
        <f t="shared" si="134"/>
        <v>Surefooted</v>
      </c>
      <c r="C504" s="1795"/>
      <c r="D504" s="920"/>
      <c r="E504" s="61" t="s">
        <v>2879</v>
      </c>
      <c r="F504" s="61"/>
      <c r="G504" s="61"/>
      <c r="H504" s="61"/>
      <c r="I504" s="61"/>
      <c r="J504" s="1687" t="s">
        <v>4975</v>
      </c>
      <c r="K504" s="63" t="str">
        <f t="shared" si="136"/>
        <v>No</v>
      </c>
      <c r="L504" s="76"/>
      <c r="M504" s="63">
        <f t="shared" si="135"/>
        <v>0</v>
      </c>
      <c r="N504" s="63">
        <v>50</v>
      </c>
      <c r="O504" s="64"/>
      <c r="P504" s="660" t="str">
        <f t="shared" si="121"/>
        <v/>
      </c>
      <c r="Q504" s="52" t="str">
        <f t="shared" si="119"/>
        <v>No</v>
      </c>
      <c r="R504" s="1574" t="str">
        <f t="shared" si="128"/>
        <v/>
      </c>
      <c r="S504" s="52" t="str">
        <f t="shared" si="123"/>
        <v/>
      </c>
      <c r="T504" s="52" t="str">
        <f t="shared" si="124"/>
        <v/>
      </c>
      <c r="U504" s="52" t="str">
        <f t="shared" si="129"/>
        <v/>
      </c>
      <c r="V504" s="52" t="str">
        <f t="shared" si="125"/>
        <v/>
      </c>
      <c r="W504" s="1578"/>
      <c r="X504" s="52" t="str">
        <f t="shared" si="122"/>
        <v/>
      </c>
      <c r="Y504" s="52" t="str">
        <f t="shared" si="131"/>
        <v/>
      </c>
      <c r="AA504" s="52" t="str">
        <f t="shared" si="137"/>
        <v/>
      </c>
    </row>
    <row r="505" spans="2:27" ht="26">
      <c r="B505" s="1532" t="str">
        <f t="shared" si="134"/>
        <v>Aggressive Surge</v>
      </c>
      <c r="C505" s="1795"/>
      <c r="D505" s="920" t="s">
        <v>6389</v>
      </c>
      <c r="E505" s="61" t="s">
        <v>6390</v>
      </c>
      <c r="F505" s="61"/>
      <c r="G505" s="61"/>
      <c r="H505" s="61"/>
      <c r="I505" s="61"/>
      <c r="J505" s="1687" t="s">
        <v>6391</v>
      </c>
      <c r="K505" s="63" t="str">
        <f t="shared" si="136"/>
        <v>No</v>
      </c>
      <c r="L505" s="76"/>
      <c r="M505" s="63">
        <f>IF(L505&lt;&gt;"",1,0)</f>
        <v>0</v>
      </c>
      <c r="N505" s="63" t="s">
        <v>6485</v>
      </c>
      <c r="O505" s="64"/>
      <c r="P505" s="660" t="str">
        <f t="shared" si="121"/>
        <v/>
      </c>
      <c r="Q505" s="52" t="str">
        <f>IF(OR($AD$45&gt;0,$AD$10&gt;0),"Yes","No")</f>
        <v>No</v>
      </c>
      <c r="R505" s="1574" t="str">
        <f t="shared" si="128"/>
        <v/>
      </c>
      <c r="S505" s="52" t="str">
        <f t="shared" si="123"/>
        <v/>
      </c>
      <c r="T505" s="52" t="str">
        <f t="shared" si="124"/>
        <v/>
      </c>
      <c r="U505" s="52" t="str">
        <f t="shared" si="129"/>
        <v/>
      </c>
      <c r="V505" s="52" t="str">
        <f t="shared" si="125"/>
        <v/>
      </c>
      <c r="W505" s="1578"/>
      <c r="X505" s="52" t="str">
        <f t="shared" si="122"/>
        <v/>
      </c>
      <c r="Y505" s="52" t="str">
        <f t="shared" si="131"/>
        <v/>
      </c>
      <c r="AA505" s="52" t="str">
        <f t="shared" si="137"/>
        <v/>
      </c>
    </row>
    <row r="506" spans="2:27" ht="39">
      <c r="B506" s="1532" t="str">
        <f t="shared" si="134"/>
        <v>Blast Back</v>
      </c>
      <c r="C506" s="1795"/>
      <c r="D506" s="920"/>
      <c r="E506" s="61" t="s">
        <v>6392</v>
      </c>
      <c r="F506" s="61"/>
      <c r="G506" s="61"/>
      <c r="H506" s="61"/>
      <c r="I506" s="61"/>
      <c r="J506" s="1687" t="s">
        <v>6393</v>
      </c>
      <c r="K506" s="63" t="str">
        <f t="shared" si="136"/>
        <v>No</v>
      </c>
      <c r="L506" s="76"/>
      <c r="M506" s="63">
        <f>IF(L506&lt;&gt;"",1,0)</f>
        <v>0</v>
      </c>
      <c r="N506" s="63" t="s">
        <v>6485</v>
      </c>
      <c r="O506" s="64"/>
      <c r="P506" s="660" t="str">
        <f t="shared" si="121"/>
        <v/>
      </c>
      <c r="Q506" s="52" t="str">
        <f t="shared" si="119"/>
        <v>No</v>
      </c>
      <c r="R506" s="1574" t="str">
        <f t="shared" si="128"/>
        <v/>
      </c>
      <c r="S506" s="52" t="str">
        <f t="shared" si="123"/>
        <v/>
      </c>
      <c r="T506" s="52" t="str">
        <f t="shared" si="124"/>
        <v/>
      </c>
      <c r="U506" s="52" t="str">
        <f t="shared" si="129"/>
        <v/>
      </c>
      <c r="V506" s="52" t="str">
        <f t="shared" si="125"/>
        <v/>
      </c>
      <c r="W506" s="1578"/>
      <c r="X506" s="52" t="str">
        <f t="shared" si="122"/>
        <v/>
      </c>
      <c r="Y506" s="52" t="str">
        <f t="shared" si="131"/>
        <v/>
      </c>
      <c r="AA506" s="52" t="str">
        <f t="shared" si="137"/>
        <v/>
      </c>
    </row>
    <row r="507" spans="2:27" ht="65">
      <c r="B507" s="1532" t="str">
        <f t="shared" si="134"/>
        <v>Second Strike</v>
      </c>
      <c r="C507" s="1795"/>
      <c r="D507" s="920"/>
      <c r="E507" s="61"/>
      <c r="F507" s="61" t="s">
        <v>6461</v>
      </c>
      <c r="G507" s="61"/>
      <c r="H507" s="61"/>
      <c r="I507" s="61"/>
      <c r="J507" s="1687" t="s">
        <v>6460</v>
      </c>
      <c r="K507" s="63" t="str">
        <f>IF(AND(Q506="Yes",L506&lt;&gt;""),"Yes","No")</f>
        <v>No</v>
      </c>
      <c r="L507" s="76"/>
      <c r="M507" s="63">
        <f>IF(L507&lt;&gt;"",1,0)</f>
        <v>0</v>
      </c>
      <c r="N507" s="63" t="s">
        <v>6485</v>
      </c>
      <c r="O507" s="64"/>
      <c r="P507" s="660" t="str">
        <f t="shared" si="121"/>
        <v/>
      </c>
      <c r="Q507" s="52" t="str">
        <f>Q506</f>
        <v>No</v>
      </c>
      <c r="R507" s="1574" t="str">
        <f t="shared" si="128"/>
        <v/>
      </c>
      <c r="S507" s="52" t="str">
        <f t="shared" si="123"/>
        <v/>
      </c>
      <c r="T507" s="52" t="str">
        <f t="shared" si="124"/>
        <v/>
      </c>
      <c r="U507" s="52" t="str">
        <f t="shared" si="129"/>
        <v/>
      </c>
      <c r="V507" s="52" t="str">
        <f t="shared" si="125"/>
        <v/>
      </c>
      <c r="W507" s="1578"/>
      <c r="X507" s="52" t="str">
        <f t="shared" si="122"/>
        <v/>
      </c>
      <c r="Y507" s="52" t="str">
        <f t="shared" si="131"/>
        <v/>
      </c>
      <c r="AA507" s="52" t="str">
        <f t="shared" si="137"/>
        <v/>
      </c>
    </row>
    <row r="508" spans="2:27" ht="26">
      <c r="B508" s="1532" t="str">
        <f t="shared" si="134"/>
        <v>Fade Away</v>
      </c>
      <c r="C508" s="1795"/>
      <c r="D508" s="920"/>
      <c r="E508" s="61" t="s">
        <v>6394</v>
      </c>
      <c r="F508" s="61"/>
      <c r="G508" s="61"/>
      <c r="H508" s="61"/>
      <c r="I508" s="61"/>
      <c r="J508" s="1687" t="s">
        <v>6459</v>
      </c>
      <c r="K508" s="63" t="str">
        <f>IF(Q508="Yes","Yes","No")</f>
        <v>No</v>
      </c>
      <c r="L508" s="76"/>
      <c r="M508" s="63">
        <f>IF(L508&lt;&gt;"",1,0)</f>
        <v>0</v>
      </c>
      <c r="N508" s="63" t="s">
        <v>6485</v>
      </c>
      <c r="O508" s="64"/>
      <c r="P508" s="660" t="str">
        <f t="shared" si="121"/>
        <v/>
      </c>
      <c r="Q508" s="52" t="str">
        <f>Q507</f>
        <v>No</v>
      </c>
      <c r="R508" s="1574" t="str">
        <f t="shared" si="128"/>
        <v/>
      </c>
      <c r="S508" s="52" t="str">
        <f t="shared" si="123"/>
        <v/>
      </c>
      <c r="T508" s="52" t="str">
        <f t="shared" si="124"/>
        <v/>
      </c>
      <c r="U508" s="52" t="str">
        <f t="shared" si="129"/>
        <v/>
      </c>
      <c r="V508" s="52" t="str">
        <f t="shared" si="125"/>
        <v/>
      </c>
      <c r="W508" s="1578"/>
      <c r="X508" s="52" t="str">
        <f t="shared" si="122"/>
        <v/>
      </c>
      <c r="Y508" s="52" t="str">
        <f t="shared" si="131"/>
        <v/>
      </c>
      <c r="AA508" s="52" t="str">
        <f t="shared" si="137"/>
        <v/>
      </c>
    </row>
    <row r="509" spans="2:27" ht="65">
      <c r="B509" s="1532" t="str">
        <f t="shared" si="134"/>
        <v>Swerve</v>
      </c>
      <c r="C509" s="1795"/>
      <c r="D509" s="920"/>
      <c r="E509" s="61"/>
      <c r="F509" s="61" t="s">
        <v>6395</v>
      </c>
      <c r="G509" s="61"/>
      <c r="H509" s="61"/>
      <c r="I509" s="61"/>
      <c r="J509" s="1687" t="s">
        <v>6396</v>
      </c>
      <c r="K509" s="63" t="str">
        <f>IF(AND(Q508="Yes",L508&lt;&gt;""),"Yes","No")</f>
        <v>No</v>
      </c>
      <c r="L509" s="76"/>
      <c r="M509" s="63">
        <f>IF(L509&lt;&gt;"",1,0)</f>
        <v>0</v>
      </c>
      <c r="N509" s="63" t="s">
        <v>6485</v>
      </c>
      <c r="O509" s="64"/>
      <c r="P509" s="660" t="str">
        <f t="shared" si="121"/>
        <v/>
      </c>
      <c r="Q509" s="52" t="str">
        <f>Q508</f>
        <v>No</v>
      </c>
      <c r="R509" s="1574" t="str">
        <f t="shared" si="128"/>
        <v/>
      </c>
      <c r="S509" s="52" t="str">
        <f t="shared" si="123"/>
        <v/>
      </c>
      <c r="T509" s="52" t="str">
        <f t="shared" si="124"/>
        <v/>
      </c>
      <c r="U509" s="52" t="str">
        <f t="shared" si="129"/>
        <v/>
      </c>
      <c r="V509" s="52" t="str">
        <f t="shared" si="125"/>
        <v/>
      </c>
      <c r="W509" s="1578"/>
      <c r="X509" s="52" t="str">
        <f t="shared" si="122"/>
        <v/>
      </c>
      <c r="Y509" s="52" t="str">
        <f t="shared" si="131"/>
        <v/>
      </c>
      <c r="AA509" s="52" t="str">
        <f t="shared" si="137"/>
        <v/>
      </c>
    </row>
    <row r="510" spans="2:27">
      <c r="B510" s="1532" t="str">
        <f t="shared" si="134"/>
        <v>Adapt and Survive</v>
      </c>
      <c r="C510" s="1795"/>
      <c r="D510" s="920" t="s">
        <v>2880</v>
      </c>
      <c r="E510" s="61" t="s">
        <v>2881</v>
      </c>
      <c r="F510" s="61"/>
      <c r="G510" s="61"/>
      <c r="H510" s="61"/>
      <c r="I510" s="61"/>
      <c r="J510" s="1687" t="s">
        <v>4976</v>
      </c>
      <c r="K510" s="63" t="str">
        <f>IF(Q510="Yes","Yes","No")</f>
        <v>No</v>
      </c>
      <c r="L510" s="76"/>
      <c r="M510" s="63">
        <f t="shared" si="135"/>
        <v>0</v>
      </c>
      <c r="N510" s="63" t="s">
        <v>2882</v>
      </c>
      <c r="O510" s="64"/>
      <c r="P510" s="660" t="str">
        <f t="shared" si="121"/>
        <v/>
      </c>
      <c r="Q510" s="52" t="str">
        <f>IF(OR($AD$45&gt;0,$AD$10&gt;0),"Yes","No")</f>
        <v>No</v>
      </c>
      <c r="R510" s="1574" t="str">
        <f t="shared" si="128"/>
        <v/>
      </c>
      <c r="S510" s="52" t="str">
        <f t="shared" si="123"/>
        <v/>
      </c>
      <c r="T510" s="52" t="str">
        <f t="shared" si="124"/>
        <v/>
      </c>
      <c r="U510" s="52" t="str">
        <f t="shared" si="129"/>
        <v/>
      </c>
      <c r="V510" s="52" t="str">
        <f t="shared" si="125"/>
        <v/>
      </c>
      <c r="W510" s="1578"/>
      <c r="X510" s="52" t="str">
        <f t="shared" si="122"/>
        <v/>
      </c>
      <c r="Y510" s="52" t="str">
        <f t="shared" si="131"/>
        <v/>
      </c>
      <c r="AA510" s="52" t="str">
        <f t="shared" si="130"/>
        <v/>
      </c>
    </row>
    <row r="511" spans="2:27">
      <c r="B511" s="1532" t="str">
        <f t="shared" si="134"/>
        <v>Unbalancing Adaptation</v>
      </c>
      <c r="C511" s="1795"/>
      <c r="D511" s="920"/>
      <c r="E511" s="61"/>
      <c r="F511" s="61" t="s">
        <v>2883</v>
      </c>
      <c r="G511" s="61"/>
      <c r="H511" s="61"/>
      <c r="I511" s="61"/>
      <c r="J511" s="1687" t="s">
        <v>4977</v>
      </c>
      <c r="K511" s="63" t="str">
        <f>IF(AND(Q510="Yes",L510&lt;&gt;""),"Yes","No")</f>
        <v>No</v>
      </c>
      <c r="L511" s="76"/>
      <c r="M511" s="63">
        <f t="shared" si="135"/>
        <v>0</v>
      </c>
      <c r="N511" s="63" t="s">
        <v>2882</v>
      </c>
      <c r="O511" s="64"/>
      <c r="P511" s="660" t="str">
        <f t="shared" si="121"/>
        <v/>
      </c>
      <c r="Q511" s="52" t="str">
        <f t="shared" si="119"/>
        <v>No</v>
      </c>
      <c r="R511" s="1574" t="str">
        <f t="shared" si="128"/>
        <v/>
      </c>
      <c r="S511" s="52" t="str">
        <f t="shared" si="123"/>
        <v/>
      </c>
      <c r="T511" s="52" t="str">
        <f t="shared" si="124"/>
        <v/>
      </c>
      <c r="U511" s="52" t="str">
        <f t="shared" si="129"/>
        <v/>
      </c>
      <c r="V511" s="52" t="str">
        <f t="shared" si="125"/>
        <v/>
      </c>
      <c r="W511" s="1578"/>
      <c r="X511" s="52" t="str">
        <f t="shared" si="122"/>
        <v/>
      </c>
      <c r="Y511" s="52" t="str">
        <f t="shared" si="131"/>
        <v/>
      </c>
      <c r="AA511" s="52" t="str">
        <f t="shared" si="130"/>
        <v/>
      </c>
    </row>
    <row r="512" spans="2:27">
      <c r="B512" s="1532" t="str">
        <f t="shared" si="134"/>
        <v>Defensive Protection</v>
      </c>
      <c r="C512" s="1795"/>
      <c r="D512" s="920"/>
      <c r="E512" s="61" t="s">
        <v>2884</v>
      </c>
      <c r="F512" s="61"/>
      <c r="G512" s="61"/>
      <c r="H512" s="61"/>
      <c r="I512" s="61"/>
      <c r="J512" s="1687" t="s">
        <v>4978</v>
      </c>
      <c r="K512" s="63" t="str">
        <f>IF(Q512="Yes","Yes","No")</f>
        <v>No</v>
      </c>
      <c r="L512" s="76"/>
      <c r="M512" s="63">
        <f t="shared" si="135"/>
        <v>0</v>
      </c>
      <c r="N512" s="63" t="s">
        <v>2882</v>
      </c>
      <c r="O512" s="64"/>
      <c r="P512" s="660" t="str">
        <f t="shared" ref="P512:P575" si="138">IF(ShowTalentTrees,IF(D512&lt;&gt;"",D512,P511),"")</f>
        <v/>
      </c>
      <c r="Q512" s="52" t="str">
        <f t="shared" si="119"/>
        <v>No</v>
      </c>
      <c r="R512" s="1574" t="str">
        <f t="shared" si="128"/>
        <v/>
      </c>
      <c r="S512" s="52" t="str">
        <f t="shared" si="123"/>
        <v/>
      </c>
      <c r="T512" s="52" t="str">
        <f t="shared" si="124"/>
        <v/>
      </c>
      <c r="U512" s="52" t="str">
        <f t="shared" si="129"/>
        <v/>
      </c>
      <c r="V512" s="52" t="str">
        <f t="shared" si="125"/>
        <v/>
      </c>
      <c r="W512" s="1578"/>
      <c r="X512" s="52" t="str">
        <f t="shared" ref="X512:X575" si="139">IF(U512&lt;&gt;"",IF(W512="Special Actions",U512&amp;IF(X513&lt;&gt;"",", ",""),"")&amp;X513,X513)</f>
        <v/>
      </c>
      <c r="Y512" s="52" t="str">
        <f t="shared" si="131"/>
        <v/>
      </c>
      <c r="AA512" s="52" t="str">
        <f t="shared" si="130"/>
        <v/>
      </c>
    </row>
    <row r="513" spans="2:27">
      <c r="B513" s="1532" t="str">
        <f t="shared" si="134"/>
        <v>Quick on Your Feet</v>
      </c>
      <c r="C513" s="1795"/>
      <c r="D513" s="920"/>
      <c r="E513" s="61" t="s">
        <v>2885</v>
      </c>
      <c r="F513" s="61"/>
      <c r="G513" s="61"/>
      <c r="H513" s="61"/>
      <c r="I513" s="61"/>
      <c r="J513" s="1687" t="s">
        <v>4979</v>
      </c>
      <c r="K513" s="63" t="str">
        <f>IF(Q513="Yes","Yes","No")</f>
        <v>No</v>
      </c>
      <c r="L513" s="76"/>
      <c r="M513" s="63">
        <f t="shared" si="135"/>
        <v>0</v>
      </c>
      <c r="N513" s="63" t="s">
        <v>2882</v>
      </c>
      <c r="O513" s="64"/>
      <c r="P513" s="660" t="str">
        <f t="shared" si="138"/>
        <v/>
      </c>
      <c r="Q513" s="52" t="str">
        <f t="shared" si="119"/>
        <v>No</v>
      </c>
      <c r="R513" s="1574" t="str">
        <f t="shared" si="128"/>
        <v/>
      </c>
      <c r="S513" s="52" t="str">
        <f t="shared" ref="S513:S576" si="140">IF(R513&lt;&gt;"",R513&amp;";"&amp;S514,S514)</f>
        <v/>
      </c>
      <c r="T513" s="52" t="str">
        <f t="shared" ref="T513:T576" si="141">IF(R513&lt;&gt;"",N513&amp;";"&amp;T514,T514)</f>
        <v/>
      </c>
      <c r="U513" s="52" t="str">
        <f t="shared" si="129"/>
        <v/>
      </c>
      <c r="V513" s="52" t="str">
        <f t="shared" ref="V513:V576" si="142">IF(U513&lt;&gt;"",U513&amp;";"&amp;V514,V514)</f>
        <v/>
      </c>
      <c r="W513" s="1578"/>
      <c r="X513" s="52" t="str">
        <f t="shared" si="139"/>
        <v/>
      </c>
      <c r="Y513" s="52" t="str">
        <f t="shared" si="131"/>
        <v/>
      </c>
      <c r="AA513" s="52" t="str">
        <f t="shared" si="130"/>
        <v/>
      </c>
    </row>
    <row r="514" spans="2:27">
      <c r="B514" s="1532" t="str">
        <f t="shared" si="134"/>
        <v>Ready and Willing</v>
      </c>
      <c r="C514" s="1796"/>
      <c r="D514" s="71"/>
      <c r="E514" s="927" t="s">
        <v>2886</v>
      </c>
      <c r="F514" s="927"/>
      <c r="G514" s="927"/>
      <c r="H514" s="927"/>
      <c r="I514" s="927"/>
      <c r="J514" s="1687" t="s">
        <v>4980</v>
      </c>
      <c r="K514" s="928" t="str">
        <f>IF(Q514="Yes","Yes","No")</f>
        <v>No</v>
      </c>
      <c r="L514" s="929"/>
      <c r="M514" s="928">
        <f t="shared" si="135"/>
        <v>0</v>
      </c>
      <c r="N514" s="928" t="s">
        <v>2882</v>
      </c>
      <c r="O514" s="64"/>
      <c r="P514" s="660" t="str">
        <f t="shared" si="138"/>
        <v/>
      </c>
      <c r="Q514" s="52" t="str">
        <f t="shared" si="119"/>
        <v>No</v>
      </c>
      <c r="R514" s="1574" t="str">
        <f t="shared" si="128"/>
        <v/>
      </c>
      <c r="S514" s="52" t="str">
        <f t="shared" si="140"/>
        <v/>
      </c>
      <c r="T514" s="52" t="str">
        <f t="shared" si="141"/>
        <v/>
      </c>
      <c r="U514" s="52" t="str">
        <f t="shared" si="129"/>
        <v/>
      </c>
      <c r="V514" s="52" t="str">
        <f t="shared" si="142"/>
        <v/>
      </c>
      <c r="W514" s="1578"/>
      <c r="X514" s="52" t="str">
        <f t="shared" si="139"/>
        <v/>
      </c>
      <c r="Y514" s="52" t="str">
        <f t="shared" si="131"/>
        <v/>
      </c>
      <c r="AA514" s="52" t="str">
        <f t="shared" si="130"/>
        <v/>
      </c>
    </row>
    <row r="515" spans="2:27" ht="15" customHeight="1">
      <c r="B515" s="1532" t="str">
        <f t="shared" si="134"/>
        <v>Armored Defense</v>
      </c>
      <c r="C515" s="1794" t="s">
        <v>350</v>
      </c>
      <c r="D515" s="922" t="s">
        <v>2887</v>
      </c>
      <c r="E515" s="923" t="s">
        <v>2888</v>
      </c>
      <c r="F515" s="923"/>
      <c r="G515" s="923"/>
      <c r="H515" s="923"/>
      <c r="I515" s="923"/>
      <c r="J515" s="1687" t="s">
        <v>4981</v>
      </c>
      <c r="K515" s="63" t="str">
        <f>IF(Q515="Yes","Yes","No")</f>
        <v>No</v>
      </c>
      <c r="L515" s="76"/>
      <c r="M515" s="63">
        <f t="shared" si="135"/>
        <v>0</v>
      </c>
      <c r="N515" s="924">
        <v>52</v>
      </c>
      <c r="O515" s="64"/>
      <c r="P515" s="660" t="str">
        <f t="shared" si="138"/>
        <v/>
      </c>
      <c r="Q515" s="52" t="str">
        <f>IF(OR($AD$45&gt;0,$AD$11&gt;0,$AD$41&gt;0,$AD$19&gt;0,$AD$27&gt;0,$AD$21&gt;0),"Yes","No")</f>
        <v>No</v>
      </c>
      <c r="R515" s="1574" t="str">
        <f t="shared" si="128"/>
        <v/>
      </c>
      <c r="S515" s="52" t="str">
        <f t="shared" si="140"/>
        <v/>
      </c>
      <c r="T515" s="52" t="str">
        <f t="shared" si="141"/>
        <v/>
      </c>
      <c r="U515" s="52" t="str">
        <f t="shared" si="129"/>
        <v/>
      </c>
      <c r="V515" s="52" t="str">
        <f t="shared" si="142"/>
        <v/>
      </c>
      <c r="W515" s="1578"/>
      <c r="X515" s="52" t="str">
        <f t="shared" si="139"/>
        <v/>
      </c>
      <c r="Y515" s="52" t="str">
        <f t="shared" si="131"/>
        <v/>
      </c>
      <c r="AA515" s="52" t="str">
        <f t="shared" si="130"/>
        <v/>
      </c>
    </row>
    <row r="516" spans="2:27">
      <c r="B516" s="1532" t="str">
        <f t="shared" si="134"/>
        <v>Armor Mastery</v>
      </c>
      <c r="C516" s="1795"/>
      <c r="D516" s="920"/>
      <c r="E516" s="61"/>
      <c r="F516" s="61" t="s">
        <v>2889</v>
      </c>
      <c r="G516" s="61"/>
      <c r="H516" s="61"/>
      <c r="I516" s="61"/>
      <c r="J516" s="1687" t="s">
        <v>4982</v>
      </c>
      <c r="K516" s="63" t="str">
        <f>IF(AND(Q515="Yes",L515&lt;&gt;""),"Yes","No")</f>
        <v>No</v>
      </c>
      <c r="L516" s="76"/>
      <c r="M516" s="63">
        <f t="shared" si="135"/>
        <v>0</v>
      </c>
      <c r="N516" s="63">
        <v>51</v>
      </c>
      <c r="O516" s="64"/>
      <c r="P516" s="660" t="str">
        <f t="shared" si="138"/>
        <v/>
      </c>
      <c r="Q516" s="52" t="str">
        <f>Q515</f>
        <v>No</v>
      </c>
      <c r="R516" s="1574" t="str">
        <f t="shared" si="128"/>
        <v/>
      </c>
      <c r="S516" s="52" t="str">
        <f t="shared" si="140"/>
        <v/>
      </c>
      <c r="T516" s="52" t="str">
        <f t="shared" si="141"/>
        <v/>
      </c>
      <c r="U516" s="52" t="str">
        <f t="shared" si="129"/>
        <v/>
      </c>
      <c r="V516" s="52" t="str">
        <f t="shared" si="142"/>
        <v/>
      </c>
      <c r="W516" s="1578"/>
      <c r="X516" s="52" t="str">
        <f t="shared" si="139"/>
        <v/>
      </c>
      <c r="Y516" s="52" t="str">
        <f t="shared" si="131"/>
        <v/>
      </c>
      <c r="AA516" s="52" t="str">
        <f t="shared" si="130"/>
        <v/>
      </c>
    </row>
    <row r="517" spans="2:27">
      <c r="B517" s="1532" t="str">
        <f t="shared" si="134"/>
        <v>Improved Armor Defense</v>
      </c>
      <c r="C517" s="1795"/>
      <c r="D517" s="920"/>
      <c r="E517" s="61"/>
      <c r="F517" s="61" t="s">
        <v>2890</v>
      </c>
      <c r="G517" s="61"/>
      <c r="H517" s="61"/>
      <c r="I517" s="61"/>
      <c r="J517" s="1687" t="s">
        <v>4983</v>
      </c>
      <c r="K517" s="63" t="str">
        <f>IF(AND(Q516="Yes",L515&lt;&gt;""),"Yes","No")</f>
        <v>No</v>
      </c>
      <c r="L517" s="76"/>
      <c r="M517" s="63">
        <f t="shared" si="135"/>
        <v>0</v>
      </c>
      <c r="N517" s="63">
        <v>52</v>
      </c>
      <c r="O517" s="64"/>
      <c r="P517" s="660" t="str">
        <f t="shared" si="138"/>
        <v/>
      </c>
      <c r="Q517" s="52" t="str">
        <f t="shared" ref="Q517:Q605" si="143">Q516</f>
        <v>No</v>
      </c>
      <c r="R517" s="1574" t="str">
        <f t="shared" si="128"/>
        <v/>
      </c>
      <c r="S517" s="52" t="str">
        <f t="shared" si="140"/>
        <v/>
      </c>
      <c r="T517" s="52" t="str">
        <f t="shared" si="141"/>
        <v/>
      </c>
      <c r="U517" s="52" t="str">
        <f t="shared" si="129"/>
        <v/>
      </c>
      <c r="V517" s="52" t="str">
        <f t="shared" si="142"/>
        <v/>
      </c>
      <c r="W517" s="1578"/>
      <c r="X517" s="52" t="str">
        <f t="shared" si="139"/>
        <v/>
      </c>
      <c r="Y517" s="52" t="str">
        <f t="shared" si="131"/>
        <v/>
      </c>
      <c r="AA517" s="52" t="str">
        <f t="shared" si="130"/>
        <v/>
      </c>
    </row>
    <row r="518" spans="2:27">
      <c r="B518" s="1532" t="str">
        <f t="shared" si="134"/>
        <v>Juggernaut</v>
      </c>
      <c r="C518" s="1795"/>
      <c r="D518" s="920"/>
      <c r="E518" s="61"/>
      <c r="F518" s="61" t="s">
        <v>2891</v>
      </c>
      <c r="G518" s="61"/>
      <c r="H518" s="61"/>
      <c r="I518" s="61"/>
      <c r="J518" s="1687" t="s">
        <v>8882</v>
      </c>
      <c r="K518" s="63" t="str">
        <f>IF(AND(Q517="Yes",L515&lt;&gt;""),"Yes","No")</f>
        <v>No</v>
      </c>
      <c r="L518" s="76"/>
      <c r="M518" s="63">
        <f t="shared" si="135"/>
        <v>0</v>
      </c>
      <c r="N518" s="63">
        <v>52</v>
      </c>
      <c r="O518" s="64"/>
      <c r="P518" s="660" t="str">
        <f t="shared" si="138"/>
        <v/>
      </c>
      <c r="Q518" s="52" t="str">
        <f t="shared" si="143"/>
        <v>No</v>
      </c>
      <c r="R518" s="1574" t="str">
        <f t="shared" si="128"/>
        <v/>
      </c>
      <c r="S518" s="52" t="str">
        <f t="shared" si="140"/>
        <v/>
      </c>
      <c r="T518" s="52" t="str">
        <f t="shared" si="141"/>
        <v/>
      </c>
      <c r="U518" s="52" t="str">
        <f t="shared" si="129"/>
        <v/>
      </c>
      <c r="V518" s="52" t="str">
        <f t="shared" si="142"/>
        <v/>
      </c>
      <c r="W518" s="1578"/>
      <c r="X518" s="52" t="str">
        <f t="shared" si="139"/>
        <v/>
      </c>
      <c r="Y518" s="52" t="str">
        <f t="shared" si="131"/>
        <v/>
      </c>
      <c r="AA518" s="52" t="str">
        <f t="shared" si="130"/>
        <v/>
      </c>
    </row>
    <row r="519" spans="2:27">
      <c r="B519" s="1532" t="str">
        <f t="shared" si="134"/>
        <v>Second Skin</v>
      </c>
      <c r="C519" s="1795"/>
      <c r="D519" s="920"/>
      <c r="E519" s="61"/>
      <c r="F519" s="61" t="s">
        <v>2892</v>
      </c>
      <c r="G519" s="61"/>
      <c r="H519" s="61"/>
      <c r="I519" s="61"/>
      <c r="J519" s="1687" t="s">
        <v>4984</v>
      </c>
      <c r="K519" s="63" t="str">
        <f>IF(AND(Q518="Yes",L515&lt;&gt;""),"Yes","No")</f>
        <v>No</v>
      </c>
      <c r="L519" s="76"/>
      <c r="M519" s="63">
        <f t="shared" si="135"/>
        <v>0</v>
      </c>
      <c r="N519" s="63">
        <v>52</v>
      </c>
      <c r="O519" s="64"/>
      <c r="P519" s="660" t="str">
        <f t="shared" si="138"/>
        <v/>
      </c>
      <c r="Q519" s="52" t="str">
        <f t="shared" si="143"/>
        <v>No</v>
      </c>
      <c r="R519" s="1574" t="str">
        <f t="shared" si="128"/>
        <v/>
      </c>
      <c r="S519" s="52" t="str">
        <f t="shared" si="140"/>
        <v/>
      </c>
      <c r="T519" s="52" t="str">
        <f t="shared" si="141"/>
        <v/>
      </c>
      <c r="U519" s="52" t="str">
        <f t="shared" si="129"/>
        <v/>
      </c>
      <c r="V519" s="52" t="str">
        <f t="shared" si="142"/>
        <v/>
      </c>
      <c r="W519" s="1578"/>
      <c r="X519" s="52" t="str">
        <f t="shared" si="139"/>
        <v/>
      </c>
      <c r="Y519" s="52" t="str">
        <f t="shared" si="131"/>
        <v/>
      </c>
      <c r="AA519" s="52" t="str">
        <f t="shared" si="130"/>
        <v/>
      </c>
    </row>
    <row r="520" spans="2:27">
      <c r="B520" s="1532" t="str">
        <f t="shared" si="134"/>
        <v>Shield Expert</v>
      </c>
      <c r="C520" s="1795"/>
      <c r="D520" s="920"/>
      <c r="E520" s="61" t="s">
        <v>2893</v>
      </c>
      <c r="F520" s="61"/>
      <c r="G520" s="61"/>
      <c r="H520" s="61"/>
      <c r="I520" s="61"/>
      <c r="J520" s="1687" t="s">
        <v>4985</v>
      </c>
      <c r="K520" s="63" t="str">
        <f t="shared" ref="K520:K604" si="144">IF(Q520="Yes","Yes","No")</f>
        <v>No</v>
      </c>
      <c r="L520" s="76"/>
      <c r="M520" s="63">
        <f t="shared" si="135"/>
        <v>0</v>
      </c>
      <c r="N520" s="63" t="s">
        <v>2854</v>
      </c>
      <c r="O520" s="64"/>
      <c r="P520" s="660" t="str">
        <f t="shared" si="138"/>
        <v/>
      </c>
      <c r="Q520" s="52" t="str">
        <f t="shared" si="143"/>
        <v>No</v>
      </c>
      <c r="R520" s="1574" t="str">
        <f t="shared" si="128"/>
        <v/>
      </c>
      <c r="S520" s="52" t="str">
        <f t="shared" si="140"/>
        <v/>
      </c>
      <c r="T520" s="52" t="str">
        <f t="shared" si="141"/>
        <v/>
      </c>
      <c r="U520" s="52" t="str">
        <f t="shared" si="129"/>
        <v/>
      </c>
      <c r="V520" s="52" t="str">
        <f t="shared" si="142"/>
        <v/>
      </c>
      <c r="W520" s="1578"/>
      <c r="X520" s="52" t="str">
        <f t="shared" si="139"/>
        <v/>
      </c>
      <c r="Y520" s="52" t="str">
        <f t="shared" si="131"/>
        <v/>
      </c>
      <c r="AA520" s="52" t="str">
        <f>IF(U520&lt;&gt;"",IF(Z520="Defenses",U520&amp;IF(AA527&lt;&gt;"",", ",""),"")&amp;AA527,AA527)</f>
        <v/>
      </c>
    </row>
    <row r="521" spans="2:27" ht="52">
      <c r="B521" s="1532" t="str">
        <f t="shared" si="134"/>
        <v>Ambush Specialist</v>
      </c>
      <c r="C521" s="1795"/>
      <c r="D521" s="920" t="s">
        <v>6397</v>
      </c>
      <c r="E521" s="61" t="s">
        <v>6398</v>
      </c>
      <c r="F521" s="61"/>
      <c r="G521" s="61"/>
      <c r="H521" s="61"/>
      <c r="I521" s="61"/>
      <c r="J521" s="1687" t="s">
        <v>6399</v>
      </c>
      <c r="K521" s="63" t="str">
        <f>IF(Q521="Yes","Yes","No")</f>
        <v>No</v>
      </c>
      <c r="L521" s="76"/>
      <c r="M521" s="63">
        <f t="shared" ref="M521:M526" si="145">IF(L521&lt;&gt;"",1,0)</f>
        <v>0</v>
      </c>
      <c r="N521" s="63" t="s">
        <v>6462</v>
      </c>
      <c r="O521" s="64"/>
      <c r="P521" s="660" t="str">
        <f t="shared" si="138"/>
        <v/>
      </c>
      <c r="Q521" s="52" t="str">
        <f t="shared" si="143"/>
        <v>No</v>
      </c>
      <c r="R521" s="1574" t="str">
        <f t="shared" si="128"/>
        <v/>
      </c>
      <c r="S521" s="52" t="str">
        <f t="shared" si="140"/>
        <v/>
      </c>
      <c r="T521" s="52" t="str">
        <f t="shared" si="141"/>
        <v/>
      </c>
      <c r="U521" s="52" t="str">
        <f t="shared" si="129"/>
        <v/>
      </c>
      <c r="V521" s="52" t="str">
        <f t="shared" si="142"/>
        <v/>
      </c>
      <c r="W521" s="1578"/>
      <c r="X521" s="52" t="str">
        <f t="shared" si="139"/>
        <v/>
      </c>
      <c r="Y521" s="52" t="str">
        <f t="shared" si="131"/>
        <v/>
      </c>
    </row>
    <row r="522" spans="2:27" ht="26">
      <c r="B522" s="1532" t="str">
        <f t="shared" si="134"/>
        <v>Destructive Ambusher</v>
      </c>
      <c r="C522" s="1795"/>
      <c r="D522" s="920"/>
      <c r="E522" s="61"/>
      <c r="F522" s="61" t="s">
        <v>6400</v>
      </c>
      <c r="G522" s="61"/>
      <c r="H522" s="61"/>
      <c r="I522" s="61"/>
      <c r="J522" s="1687" t="s">
        <v>6404</v>
      </c>
      <c r="K522" s="63" t="str">
        <f>IF(AND(Q521="Yes",L521&lt;&gt;""),"Yes","No")</f>
        <v>No</v>
      </c>
      <c r="L522" s="76"/>
      <c r="M522" s="63">
        <f t="shared" si="145"/>
        <v>0</v>
      </c>
      <c r="N522" s="63" t="s">
        <v>6462</v>
      </c>
      <c r="O522" s="64"/>
      <c r="P522" s="660" t="str">
        <f t="shared" si="138"/>
        <v/>
      </c>
      <c r="Q522" s="52" t="str">
        <f t="shared" si="143"/>
        <v>No</v>
      </c>
      <c r="R522" s="1574" t="str">
        <f t="shared" si="128"/>
        <v/>
      </c>
      <c r="S522" s="52" t="str">
        <f t="shared" si="140"/>
        <v/>
      </c>
      <c r="T522" s="52" t="str">
        <f t="shared" si="141"/>
        <v/>
      </c>
      <c r="U522" s="52" t="str">
        <f t="shared" si="129"/>
        <v/>
      </c>
      <c r="V522" s="52" t="str">
        <f t="shared" si="142"/>
        <v/>
      </c>
      <c r="W522" s="1578"/>
      <c r="X522" s="52" t="str">
        <f t="shared" si="139"/>
        <v/>
      </c>
      <c r="Y522" s="52" t="str">
        <f t="shared" si="131"/>
        <v/>
      </c>
    </row>
    <row r="523" spans="2:27" ht="39">
      <c r="B523" s="1532" t="str">
        <f t="shared" si="134"/>
        <v>Keep It Going</v>
      </c>
      <c r="C523" s="1795"/>
      <c r="D523" s="920"/>
      <c r="E523" s="61"/>
      <c r="F523" s="61" t="s">
        <v>6401</v>
      </c>
      <c r="G523" s="61"/>
      <c r="H523" s="61"/>
      <c r="I523" s="61"/>
      <c r="J523" s="1687" t="s">
        <v>6405</v>
      </c>
      <c r="K523" s="63" t="str">
        <f>IF(AND(Q522="Yes",L521&lt;&gt;""),"Yes","No")</f>
        <v>No</v>
      </c>
      <c r="L523" s="76"/>
      <c r="M523" s="63">
        <f t="shared" si="145"/>
        <v>0</v>
      </c>
      <c r="N523" s="63" t="s">
        <v>6462</v>
      </c>
      <c r="O523" s="64"/>
      <c r="P523" s="660" t="str">
        <f t="shared" si="138"/>
        <v/>
      </c>
      <c r="Q523" s="52" t="str">
        <f t="shared" si="143"/>
        <v>No</v>
      </c>
      <c r="R523" s="1574" t="str">
        <f t="shared" si="128"/>
        <v/>
      </c>
      <c r="S523" s="52" t="str">
        <f t="shared" si="140"/>
        <v/>
      </c>
      <c r="T523" s="52" t="str">
        <f t="shared" si="141"/>
        <v/>
      </c>
      <c r="U523" s="52" t="str">
        <f t="shared" si="129"/>
        <v/>
      </c>
      <c r="V523" s="52" t="str">
        <f t="shared" si="142"/>
        <v/>
      </c>
      <c r="W523" s="1578"/>
      <c r="X523" s="52" t="str">
        <f t="shared" si="139"/>
        <v/>
      </c>
      <c r="Y523" s="52" t="str">
        <f t="shared" si="131"/>
        <v/>
      </c>
    </row>
    <row r="524" spans="2:27" ht="52">
      <c r="B524" s="1532" t="str">
        <f t="shared" si="134"/>
        <v>Keep Them Reeling</v>
      </c>
      <c r="C524" s="1795"/>
      <c r="D524" s="920"/>
      <c r="E524" s="61"/>
      <c r="F524" s="61" t="s">
        <v>3430</v>
      </c>
      <c r="G524" s="61"/>
      <c r="H524" s="61"/>
      <c r="I524" s="61"/>
      <c r="J524" s="1687" t="s">
        <v>6406</v>
      </c>
      <c r="K524" s="63" t="str">
        <f>IF(AND(Q523="Yes",L521&lt;&gt;""),"Yes","No")</f>
        <v>No</v>
      </c>
      <c r="L524" s="76"/>
      <c r="M524" s="63">
        <f t="shared" si="145"/>
        <v>0</v>
      </c>
      <c r="N524" s="63" t="s">
        <v>6462</v>
      </c>
      <c r="O524" s="64"/>
      <c r="P524" s="660" t="str">
        <f t="shared" si="138"/>
        <v/>
      </c>
      <c r="Q524" s="52" t="str">
        <f t="shared" si="143"/>
        <v>No</v>
      </c>
      <c r="R524" s="1574" t="str">
        <f t="shared" si="128"/>
        <v/>
      </c>
      <c r="S524" s="52" t="str">
        <f t="shared" si="140"/>
        <v/>
      </c>
      <c r="T524" s="52" t="str">
        <f t="shared" si="141"/>
        <v/>
      </c>
      <c r="U524" s="52" t="str">
        <f t="shared" si="129"/>
        <v/>
      </c>
      <c r="V524" s="52" t="str">
        <f t="shared" si="142"/>
        <v/>
      </c>
      <c r="W524" s="1578"/>
      <c r="X524" s="52" t="str">
        <f t="shared" si="139"/>
        <v/>
      </c>
      <c r="Y524" s="52" t="str">
        <f t="shared" si="131"/>
        <v/>
      </c>
    </row>
    <row r="525" spans="2:27" ht="39">
      <c r="B525" s="1532" t="str">
        <f t="shared" si="134"/>
        <v>Perceptive Ambusher</v>
      </c>
      <c r="C525" s="1795"/>
      <c r="D525" s="920"/>
      <c r="E525" s="61"/>
      <c r="F525" s="61" t="s">
        <v>6402</v>
      </c>
      <c r="G525" s="61"/>
      <c r="H525" s="61"/>
      <c r="I525" s="61"/>
      <c r="J525" s="1687" t="s">
        <v>6407</v>
      </c>
      <c r="K525" s="63" t="str">
        <f>IF(AND(Q524="Yes",L521&lt;&gt;""),"Yes","No")</f>
        <v>No</v>
      </c>
      <c r="L525" s="76"/>
      <c r="M525" s="63">
        <f t="shared" si="145"/>
        <v>0</v>
      </c>
      <c r="N525" s="63" t="s">
        <v>6462</v>
      </c>
      <c r="O525" s="64"/>
      <c r="P525" s="660" t="str">
        <f t="shared" si="138"/>
        <v/>
      </c>
      <c r="Q525" s="52" t="str">
        <f t="shared" si="143"/>
        <v>No</v>
      </c>
      <c r="R525" s="1574" t="str">
        <f t="shared" si="128"/>
        <v/>
      </c>
      <c r="S525" s="52" t="str">
        <f t="shared" si="140"/>
        <v/>
      </c>
      <c r="T525" s="52" t="str">
        <f t="shared" si="141"/>
        <v/>
      </c>
      <c r="U525" s="52" t="str">
        <f t="shared" si="129"/>
        <v/>
      </c>
      <c r="V525" s="52" t="str">
        <f t="shared" si="142"/>
        <v/>
      </c>
      <c r="W525" s="1578"/>
      <c r="X525" s="52" t="str">
        <f t="shared" si="139"/>
        <v/>
      </c>
      <c r="Y525" s="52" t="str">
        <f t="shared" si="131"/>
        <v/>
      </c>
    </row>
    <row r="526" spans="2:27" ht="26">
      <c r="B526" s="1532" t="str">
        <f t="shared" si="134"/>
        <v>Spring the Trap</v>
      </c>
      <c r="C526" s="1795"/>
      <c r="D526" s="920"/>
      <c r="E526" s="61" t="s">
        <v>6403</v>
      </c>
      <c r="F526" s="61"/>
      <c r="G526" s="61"/>
      <c r="H526" s="61"/>
      <c r="I526" s="61"/>
      <c r="J526" s="1687" t="s">
        <v>6408</v>
      </c>
      <c r="K526" s="63" t="str">
        <f t="shared" si="144"/>
        <v>No</v>
      </c>
      <c r="L526" s="76"/>
      <c r="M526" s="63">
        <f t="shared" si="145"/>
        <v>0</v>
      </c>
      <c r="N526" s="63" t="s">
        <v>6462</v>
      </c>
      <c r="O526" s="64"/>
      <c r="P526" s="660" t="str">
        <f t="shared" si="138"/>
        <v/>
      </c>
      <c r="Q526" s="52" t="str">
        <f t="shared" si="143"/>
        <v>No</v>
      </c>
      <c r="R526" s="1574" t="str">
        <f t="shared" si="128"/>
        <v/>
      </c>
      <c r="S526" s="52" t="str">
        <f t="shared" si="140"/>
        <v/>
      </c>
      <c r="T526" s="52" t="str">
        <f t="shared" si="141"/>
        <v/>
      </c>
      <c r="U526" s="52" t="str">
        <f t="shared" si="129"/>
        <v/>
      </c>
      <c r="V526" s="52" t="str">
        <f t="shared" si="142"/>
        <v/>
      </c>
      <c r="W526" s="1578"/>
      <c r="X526" s="52" t="str">
        <f t="shared" si="139"/>
        <v/>
      </c>
      <c r="Y526" s="52" t="str">
        <f t="shared" si="131"/>
        <v/>
      </c>
    </row>
    <row r="527" spans="2:27">
      <c r="B527" s="1532" t="str">
        <f t="shared" si="134"/>
        <v>Cantina Brawler</v>
      </c>
      <c r="C527" s="1795"/>
      <c r="D527" s="920" t="s">
        <v>2894</v>
      </c>
      <c r="E527" s="61" t="s">
        <v>2895</v>
      </c>
      <c r="F527" s="61"/>
      <c r="G527" s="61"/>
      <c r="H527" s="61"/>
      <c r="I527" s="61"/>
      <c r="J527" s="1687" t="s">
        <v>4986</v>
      </c>
      <c r="K527" s="63" t="str">
        <f t="shared" si="144"/>
        <v>No</v>
      </c>
      <c r="L527" s="76"/>
      <c r="M527" s="63">
        <f t="shared" si="135"/>
        <v>0</v>
      </c>
      <c r="N527" s="63" t="s">
        <v>2844</v>
      </c>
      <c r="O527" s="64"/>
      <c r="P527" s="660" t="str">
        <f t="shared" si="138"/>
        <v/>
      </c>
      <c r="Q527" s="52" t="str">
        <f>IF(OR($AD$45&gt;0,$AD$11&gt;0),"Yes","No")</f>
        <v>No</v>
      </c>
      <c r="R527" s="1574" t="str">
        <f t="shared" si="128"/>
        <v/>
      </c>
      <c r="S527" s="52" t="str">
        <f t="shared" si="140"/>
        <v/>
      </c>
      <c r="T527" s="52" t="str">
        <f t="shared" si="141"/>
        <v/>
      </c>
      <c r="U527" s="52" t="str">
        <f t="shared" si="129"/>
        <v/>
      </c>
      <c r="V527" s="52" t="str">
        <f t="shared" si="142"/>
        <v/>
      </c>
      <c r="W527" s="1578"/>
      <c r="X527" s="52" t="str">
        <f t="shared" si="139"/>
        <v/>
      </c>
      <c r="Y527" s="52" t="str">
        <f t="shared" si="131"/>
        <v/>
      </c>
      <c r="AA527" s="52" t="str">
        <f t="shared" si="130"/>
        <v/>
      </c>
    </row>
    <row r="528" spans="2:27" ht="26">
      <c r="B528" s="1532" t="str">
        <f t="shared" si="134"/>
        <v>Pick a Fight</v>
      </c>
      <c r="C528" s="1795"/>
      <c r="D528" s="920"/>
      <c r="E528" s="61"/>
      <c r="F528" s="61" t="s">
        <v>2896</v>
      </c>
      <c r="G528" s="61"/>
      <c r="H528" s="61"/>
      <c r="I528" s="61"/>
      <c r="J528" s="1687" t="s">
        <v>4987</v>
      </c>
      <c r="K528" s="63" t="str">
        <f>IF(AND(Q527="Yes",L527&lt;&gt;""),"Yes","No")</f>
        <v>No</v>
      </c>
      <c r="L528" s="76"/>
      <c r="M528" s="63">
        <f t="shared" si="135"/>
        <v>0</v>
      </c>
      <c r="N528" s="63" t="s">
        <v>2897</v>
      </c>
      <c r="O528" s="64"/>
      <c r="P528" s="660" t="str">
        <f t="shared" si="138"/>
        <v/>
      </c>
      <c r="Q528" s="52" t="str">
        <f t="shared" si="143"/>
        <v>No</v>
      </c>
      <c r="R528" s="1574" t="str">
        <f t="shared" ref="R528:R591" si="146">IF(L528&lt;&gt;"",E528&amp;F528&amp;G528&amp;IF(P528&lt;&gt;""," ("&amp;P528&amp;")",""),"")&amp;IF(M528&gt;1," ("&amp;M528&amp;")","")</f>
        <v/>
      </c>
      <c r="S528" s="52" t="str">
        <f t="shared" si="140"/>
        <v/>
      </c>
      <c r="T528" s="52" t="str">
        <f t="shared" si="141"/>
        <v/>
      </c>
      <c r="U528" s="52" t="str">
        <f t="shared" ref="U528:U591" si="147">IF(L528&lt;&gt;"",IF(ISNUMBER(L528),"",E528&amp;F528&amp;G528),"")</f>
        <v/>
      </c>
      <c r="V528" s="52" t="str">
        <f t="shared" si="142"/>
        <v/>
      </c>
      <c r="W528" s="1578"/>
      <c r="X528" s="52" t="str">
        <f t="shared" si="139"/>
        <v/>
      </c>
      <c r="Y528" s="52" t="str">
        <f t="shared" si="131"/>
        <v/>
      </c>
      <c r="AA528" s="52" t="str">
        <f t="shared" si="130"/>
        <v/>
      </c>
    </row>
    <row r="529" spans="2:27">
      <c r="B529" s="1532" t="str">
        <f t="shared" si="134"/>
        <v>Counterpunch</v>
      </c>
      <c r="C529" s="1795"/>
      <c r="D529" s="920"/>
      <c r="E529" s="61" t="s">
        <v>2898</v>
      </c>
      <c r="F529" s="61"/>
      <c r="G529" s="61"/>
      <c r="H529" s="61"/>
      <c r="I529" s="61"/>
      <c r="J529" s="1687" t="s">
        <v>4988</v>
      </c>
      <c r="K529" s="63" t="str">
        <f t="shared" si="144"/>
        <v>No</v>
      </c>
      <c r="L529" s="76"/>
      <c r="M529" s="63">
        <f>IF(L529&lt;&gt;"",1,0)</f>
        <v>0</v>
      </c>
      <c r="N529" s="63" t="s">
        <v>2897</v>
      </c>
      <c r="O529" s="64"/>
      <c r="P529" s="660" t="str">
        <f t="shared" si="138"/>
        <v/>
      </c>
      <c r="Q529" s="52" t="str">
        <f t="shared" si="143"/>
        <v>No</v>
      </c>
      <c r="R529" s="1574" t="str">
        <f t="shared" si="146"/>
        <v/>
      </c>
      <c r="S529" s="52" t="str">
        <f t="shared" si="140"/>
        <v/>
      </c>
      <c r="T529" s="52" t="str">
        <f t="shared" si="141"/>
        <v/>
      </c>
      <c r="U529" s="52" t="str">
        <f t="shared" si="147"/>
        <v/>
      </c>
      <c r="V529" s="52" t="str">
        <f t="shared" si="142"/>
        <v/>
      </c>
      <c r="W529" s="1578"/>
      <c r="X529" s="52" t="str">
        <f t="shared" si="139"/>
        <v/>
      </c>
      <c r="Y529" s="52" t="str">
        <f t="shared" si="131"/>
        <v/>
      </c>
      <c r="AA529" s="52" t="str">
        <f>IF(U529&lt;&gt;"",IF(Z529="Defenses",U529&amp;IF(AA533&lt;&gt;"",", ",""),"")&amp;AA533,AA533)</f>
        <v/>
      </c>
    </row>
    <row r="530" spans="2:27">
      <c r="B530" s="1575"/>
      <c r="C530" s="1795"/>
      <c r="D530" s="920"/>
      <c r="E530" s="61" t="s">
        <v>8485</v>
      </c>
      <c r="F530" s="61"/>
      <c r="G530" s="61"/>
      <c r="H530" s="61"/>
      <c r="I530" s="61"/>
      <c r="J530" s="1687" t="s">
        <v>8486</v>
      </c>
      <c r="K530" s="63" t="str">
        <f t="shared" si="144"/>
        <v>No</v>
      </c>
      <c r="L530" s="76"/>
      <c r="M530" s="63">
        <f>IF(L530&lt;&gt;"",1,0)</f>
        <v>0</v>
      </c>
      <c r="N530" s="63" t="s">
        <v>8463</v>
      </c>
      <c r="O530" s="64"/>
      <c r="P530" s="660" t="str">
        <f t="shared" si="138"/>
        <v/>
      </c>
      <c r="Q530" s="52" t="str">
        <f t="shared" si="143"/>
        <v>No</v>
      </c>
      <c r="R530" s="1574" t="str">
        <f t="shared" si="146"/>
        <v/>
      </c>
      <c r="S530" s="52" t="str">
        <f t="shared" si="140"/>
        <v/>
      </c>
      <c r="T530" s="52" t="str">
        <f t="shared" si="141"/>
        <v/>
      </c>
      <c r="U530" s="52" t="str">
        <f t="shared" si="147"/>
        <v/>
      </c>
      <c r="V530" s="52" t="str">
        <f t="shared" si="142"/>
        <v/>
      </c>
      <c r="W530" s="1578"/>
      <c r="X530" s="52" t="str">
        <f t="shared" si="139"/>
        <v/>
      </c>
      <c r="Y530" s="52" t="str">
        <f t="shared" si="131"/>
        <v/>
      </c>
    </row>
    <row r="531" spans="2:27">
      <c r="B531" s="1575"/>
      <c r="C531" s="1795"/>
      <c r="D531" s="920"/>
      <c r="E531" s="61" t="s">
        <v>8487</v>
      </c>
      <c r="F531" s="61"/>
      <c r="G531" s="61"/>
      <c r="H531" s="61"/>
      <c r="I531" s="61"/>
      <c r="J531" s="1687" t="s">
        <v>8488</v>
      </c>
      <c r="K531" s="63" t="str">
        <f t="shared" si="144"/>
        <v>No</v>
      </c>
      <c r="L531" s="76"/>
      <c r="M531" s="63">
        <f>IF(L531&lt;&gt;"",1,0)</f>
        <v>0</v>
      </c>
      <c r="N531" s="63" t="s">
        <v>8463</v>
      </c>
      <c r="O531" s="64"/>
      <c r="P531" s="660" t="str">
        <f t="shared" si="138"/>
        <v/>
      </c>
      <c r="Q531" s="52" t="str">
        <f t="shared" si="143"/>
        <v>No</v>
      </c>
      <c r="R531" s="1574" t="str">
        <f t="shared" si="146"/>
        <v/>
      </c>
      <c r="S531" s="52" t="str">
        <f t="shared" si="140"/>
        <v/>
      </c>
      <c r="T531" s="52" t="str">
        <f t="shared" si="141"/>
        <v/>
      </c>
      <c r="U531" s="52" t="str">
        <f t="shared" si="147"/>
        <v/>
      </c>
      <c r="V531" s="52" t="str">
        <f t="shared" si="142"/>
        <v/>
      </c>
      <c r="W531" s="1578"/>
      <c r="X531" s="52" t="str">
        <f t="shared" si="139"/>
        <v/>
      </c>
      <c r="Y531" s="52" t="str">
        <f t="shared" si="131"/>
        <v/>
      </c>
    </row>
    <row r="532" spans="2:27">
      <c r="B532" s="1575"/>
      <c r="C532" s="1795"/>
      <c r="D532" s="920"/>
      <c r="E532" s="61"/>
      <c r="F532" s="61" t="s">
        <v>8489</v>
      </c>
      <c r="G532" s="61"/>
      <c r="H532" s="61"/>
      <c r="I532" s="61"/>
      <c r="J532" s="1687" t="s">
        <v>8490</v>
      </c>
      <c r="K532" s="63" t="str">
        <f>IF(AND(Q532="Yes",L531&lt;&gt;""),"Yes","No")</f>
        <v>No</v>
      </c>
      <c r="L532" s="76"/>
      <c r="M532" s="63">
        <f>IF(L532&lt;&gt;"",1,0)</f>
        <v>0</v>
      </c>
      <c r="N532" s="63" t="s">
        <v>8463</v>
      </c>
      <c r="O532" s="64"/>
      <c r="P532" s="660" t="str">
        <f t="shared" si="138"/>
        <v/>
      </c>
      <c r="Q532" s="52" t="str">
        <f t="shared" si="143"/>
        <v>No</v>
      </c>
      <c r="R532" s="1574" t="str">
        <f t="shared" si="146"/>
        <v/>
      </c>
      <c r="S532" s="52" t="str">
        <f t="shared" si="140"/>
        <v/>
      </c>
      <c r="T532" s="52" t="str">
        <f t="shared" si="141"/>
        <v/>
      </c>
      <c r="U532" s="52" t="str">
        <f t="shared" si="147"/>
        <v/>
      </c>
      <c r="V532" s="52" t="str">
        <f t="shared" si="142"/>
        <v/>
      </c>
      <c r="W532" s="1578"/>
      <c r="X532" s="52" t="str">
        <f t="shared" si="139"/>
        <v/>
      </c>
      <c r="Y532" s="52" t="str">
        <f t="shared" si="131"/>
        <v/>
      </c>
    </row>
    <row r="533" spans="2:27">
      <c r="B533" s="1532" t="str">
        <f t="shared" ref="B533:B545" si="148">IF(E533&lt;&gt;"",E533,IF(F533&lt;&gt;"",F533,IF(G533&lt;&gt;"",G533,IF(H533&lt;&gt;"",H533))))</f>
        <v>Expert Grappler</v>
      </c>
      <c r="C533" s="1795"/>
      <c r="D533" s="920"/>
      <c r="E533" s="61" t="s">
        <v>2899</v>
      </c>
      <c r="F533" s="61"/>
      <c r="G533" s="61"/>
      <c r="H533" s="61"/>
      <c r="I533" s="61"/>
      <c r="J533" s="1687" t="s">
        <v>4989</v>
      </c>
      <c r="K533" s="63" t="str">
        <f t="shared" si="144"/>
        <v>No</v>
      </c>
      <c r="L533" s="76"/>
      <c r="M533" s="63">
        <f t="shared" si="135"/>
        <v>0</v>
      </c>
      <c r="N533" s="63">
        <v>52</v>
      </c>
      <c r="O533" s="64"/>
      <c r="P533" s="660" t="str">
        <f t="shared" si="138"/>
        <v/>
      </c>
      <c r="Q533" s="52" t="str">
        <f>Q529</f>
        <v>No</v>
      </c>
      <c r="R533" s="1574" t="str">
        <f t="shared" si="146"/>
        <v/>
      </c>
      <c r="S533" s="52" t="str">
        <f t="shared" si="140"/>
        <v/>
      </c>
      <c r="T533" s="52" t="str">
        <f t="shared" si="141"/>
        <v/>
      </c>
      <c r="U533" s="52" t="str">
        <f t="shared" si="147"/>
        <v/>
      </c>
      <c r="V533" s="52" t="str">
        <f t="shared" si="142"/>
        <v/>
      </c>
      <c r="W533" s="1578"/>
      <c r="X533" s="52" t="str">
        <f t="shared" si="139"/>
        <v/>
      </c>
      <c r="Y533" s="52" t="str">
        <f t="shared" si="131"/>
        <v/>
      </c>
      <c r="AA533" s="52" t="str">
        <f t="shared" si="130"/>
        <v/>
      </c>
    </row>
    <row r="534" spans="2:27">
      <c r="B534" s="1532" t="str">
        <f t="shared" si="148"/>
        <v>Unbalance Opponent</v>
      </c>
      <c r="C534" s="1795"/>
      <c r="D534" s="920"/>
      <c r="E534" s="61"/>
      <c r="F534" s="61" t="s">
        <v>2900</v>
      </c>
      <c r="G534" s="61"/>
      <c r="H534" s="61"/>
      <c r="I534" s="61"/>
      <c r="J534" s="1687" t="s">
        <v>4990</v>
      </c>
      <c r="K534" s="63" t="str">
        <f>IF(AND(Q533="Yes",L533&lt;&gt;""),"Yes","No")</f>
        <v>No</v>
      </c>
      <c r="L534" s="76"/>
      <c r="M534" s="63">
        <f t="shared" si="135"/>
        <v>0</v>
      </c>
      <c r="N534" s="63">
        <v>52</v>
      </c>
      <c r="O534" s="64"/>
      <c r="P534" s="660" t="str">
        <f t="shared" si="138"/>
        <v/>
      </c>
      <c r="Q534" s="52" t="str">
        <f t="shared" si="143"/>
        <v>No</v>
      </c>
      <c r="R534" s="1574" t="str">
        <f t="shared" si="146"/>
        <v/>
      </c>
      <c r="S534" s="52" t="str">
        <f t="shared" si="140"/>
        <v/>
      </c>
      <c r="T534" s="52" t="str">
        <f t="shared" si="141"/>
        <v/>
      </c>
      <c r="U534" s="52" t="str">
        <f t="shared" si="147"/>
        <v/>
      </c>
      <c r="V534" s="52" t="str">
        <f t="shared" si="142"/>
        <v/>
      </c>
      <c r="W534" s="1578"/>
      <c r="X534" s="52" t="str">
        <f t="shared" si="139"/>
        <v/>
      </c>
      <c r="Y534" s="52" t="str">
        <f t="shared" ref="Y534:Y597" si="149">IF(U534&lt;&gt;"",IF(W534="Att Options",U534&amp;IF(Y535&lt;&gt;"",", ",""),"")&amp;Y535,Y535)</f>
        <v/>
      </c>
      <c r="AA534" s="52" t="str">
        <f t="shared" si="130"/>
        <v/>
      </c>
    </row>
    <row r="535" spans="2:27">
      <c r="B535" s="1532" t="str">
        <f t="shared" si="148"/>
        <v>Grabber</v>
      </c>
      <c r="C535" s="1795"/>
      <c r="D535" s="920"/>
      <c r="E535" s="61" t="s">
        <v>2901</v>
      </c>
      <c r="F535" s="61"/>
      <c r="G535" s="61"/>
      <c r="H535" s="61"/>
      <c r="I535" s="61"/>
      <c r="J535" s="1687" t="s">
        <v>4991</v>
      </c>
      <c r="K535" s="63" t="str">
        <f t="shared" si="144"/>
        <v>No</v>
      </c>
      <c r="L535" s="76"/>
      <c r="M535" s="63">
        <f t="shared" si="135"/>
        <v>0</v>
      </c>
      <c r="N535" s="63" t="s">
        <v>2902</v>
      </c>
      <c r="O535" s="64"/>
      <c r="P535" s="660" t="str">
        <f t="shared" si="138"/>
        <v/>
      </c>
      <c r="Q535" s="52" t="str">
        <f t="shared" si="143"/>
        <v>No</v>
      </c>
      <c r="R535" s="1574" t="str">
        <f t="shared" si="146"/>
        <v/>
      </c>
      <c r="S535" s="52" t="str">
        <f t="shared" si="140"/>
        <v/>
      </c>
      <c r="T535" s="52" t="str">
        <f t="shared" si="141"/>
        <v/>
      </c>
      <c r="U535" s="52" t="str">
        <f t="shared" si="147"/>
        <v/>
      </c>
      <c r="V535" s="52" t="str">
        <f t="shared" si="142"/>
        <v/>
      </c>
      <c r="W535" s="1578"/>
      <c r="X535" s="52" t="str">
        <f t="shared" si="139"/>
        <v/>
      </c>
      <c r="Y535" s="52" t="str">
        <f t="shared" si="149"/>
        <v/>
      </c>
      <c r="AA535" s="52" t="str">
        <f t="shared" si="130"/>
        <v/>
      </c>
    </row>
    <row r="536" spans="2:27">
      <c r="B536" s="1532" t="str">
        <f t="shared" si="148"/>
        <v>Gun Club</v>
      </c>
      <c r="C536" s="1795"/>
      <c r="D536" s="920"/>
      <c r="E536" s="61" t="s">
        <v>2903</v>
      </c>
      <c r="F536" s="61"/>
      <c r="G536" s="61"/>
      <c r="H536" s="61"/>
      <c r="I536" s="61"/>
      <c r="J536" s="1687" t="s">
        <v>4992</v>
      </c>
      <c r="K536" s="63" t="str">
        <f t="shared" si="144"/>
        <v>No</v>
      </c>
      <c r="L536" s="76"/>
      <c r="M536" s="63">
        <f t="shared" si="135"/>
        <v>0</v>
      </c>
      <c r="N536" s="63">
        <v>52</v>
      </c>
      <c r="O536" s="64"/>
      <c r="P536" s="660" t="str">
        <f t="shared" si="138"/>
        <v/>
      </c>
      <c r="Q536" s="52" t="str">
        <f t="shared" si="143"/>
        <v>No</v>
      </c>
      <c r="R536" s="1574" t="str">
        <f t="shared" si="146"/>
        <v/>
      </c>
      <c r="S536" s="52" t="str">
        <f t="shared" si="140"/>
        <v/>
      </c>
      <c r="T536" s="52" t="str">
        <f t="shared" si="141"/>
        <v/>
      </c>
      <c r="U536" s="52" t="str">
        <f t="shared" si="147"/>
        <v/>
      </c>
      <c r="V536" s="52" t="str">
        <f t="shared" si="142"/>
        <v/>
      </c>
      <c r="W536" s="1578"/>
      <c r="X536" s="52" t="str">
        <f t="shared" si="139"/>
        <v/>
      </c>
      <c r="Y536" s="52" t="str">
        <f t="shared" si="149"/>
        <v/>
      </c>
      <c r="AA536" s="52" t="str">
        <f t="shared" si="130"/>
        <v/>
      </c>
    </row>
    <row r="537" spans="2:27" ht="26">
      <c r="B537" s="1532" t="str">
        <f t="shared" si="148"/>
        <v>Bayonet Master</v>
      </c>
      <c r="C537" s="1795"/>
      <c r="D537" s="920"/>
      <c r="E537" s="61"/>
      <c r="F537" s="61" t="s">
        <v>2904</v>
      </c>
      <c r="G537" s="61"/>
      <c r="H537" s="61"/>
      <c r="I537" s="61"/>
      <c r="J537" s="1687" t="s">
        <v>4993</v>
      </c>
      <c r="K537" s="63" t="str">
        <f>IF(AND(Q536="Yes",L536&lt;&gt;""),"Yes","No")</f>
        <v>No</v>
      </c>
      <c r="L537" s="76"/>
      <c r="M537" s="63">
        <f t="shared" si="135"/>
        <v>0</v>
      </c>
      <c r="N537" s="63" t="s">
        <v>2905</v>
      </c>
      <c r="O537" s="64"/>
      <c r="P537" s="660" t="str">
        <f t="shared" si="138"/>
        <v/>
      </c>
      <c r="Q537" s="52" t="str">
        <f t="shared" si="143"/>
        <v>No</v>
      </c>
      <c r="R537" s="1574" t="str">
        <f t="shared" si="146"/>
        <v/>
      </c>
      <c r="S537" s="52" t="str">
        <f t="shared" si="140"/>
        <v/>
      </c>
      <c r="T537" s="52" t="str">
        <f t="shared" si="141"/>
        <v/>
      </c>
      <c r="U537" s="52" t="str">
        <f t="shared" si="147"/>
        <v/>
      </c>
      <c r="V537" s="52" t="str">
        <f t="shared" si="142"/>
        <v/>
      </c>
      <c r="W537" s="1578"/>
      <c r="X537" s="52" t="str">
        <f t="shared" si="139"/>
        <v/>
      </c>
      <c r="Y537" s="52" t="str">
        <f t="shared" si="149"/>
        <v/>
      </c>
      <c r="AA537" s="52" t="str">
        <f t="shared" si="130"/>
        <v/>
      </c>
    </row>
    <row r="538" spans="2:27">
      <c r="B538" s="1532" t="str">
        <f t="shared" si="148"/>
        <v>Hammerblow</v>
      </c>
      <c r="C538" s="1795"/>
      <c r="D538" s="920"/>
      <c r="E538" s="61" t="s">
        <v>2906</v>
      </c>
      <c r="F538" s="61"/>
      <c r="G538" s="61"/>
      <c r="H538" s="61"/>
      <c r="I538" s="61"/>
      <c r="J538" s="1687" t="s">
        <v>8924</v>
      </c>
      <c r="K538" s="63" t="str">
        <f t="shared" si="144"/>
        <v>No</v>
      </c>
      <c r="L538" s="76"/>
      <c r="M538" s="63">
        <f t="shared" si="135"/>
        <v>0</v>
      </c>
      <c r="N538" s="63" t="s">
        <v>2902</v>
      </c>
      <c r="O538" s="64"/>
      <c r="P538" s="660" t="str">
        <f t="shared" si="138"/>
        <v/>
      </c>
      <c r="Q538" s="52" t="str">
        <f t="shared" si="143"/>
        <v>No</v>
      </c>
      <c r="R538" s="1574" t="str">
        <f t="shared" si="146"/>
        <v/>
      </c>
      <c r="S538" s="52" t="str">
        <f t="shared" si="140"/>
        <v/>
      </c>
      <c r="T538" s="52" t="str">
        <f t="shared" si="141"/>
        <v/>
      </c>
      <c r="U538" s="52" t="str">
        <f t="shared" si="147"/>
        <v/>
      </c>
      <c r="V538" s="52" t="str">
        <f t="shared" si="142"/>
        <v/>
      </c>
      <c r="W538" s="1578"/>
      <c r="X538" s="52" t="str">
        <f t="shared" si="139"/>
        <v/>
      </c>
      <c r="Y538" s="52" t="str">
        <f t="shared" si="149"/>
        <v/>
      </c>
      <c r="AA538" s="52" t="str">
        <f t="shared" si="130"/>
        <v/>
      </c>
    </row>
    <row r="539" spans="2:27">
      <c r="B539" s="1532" t="str">
        <f t="shared" si="148"/>
        <v>Make Do</v>
      </c>
      <c r="C539" s="1795"/>
      <c r="D539" s="920"/>
      <c r="E539" s="61" t="s">
        <v>2907</v>
      </c>
      <c r="F539" s="61"/>
      <c r="G539" s="61"/>
      <c r="H539" s="61"/>
      <c r="I539" s="61"/>
      <c r="J539" s="1687" t="s">
        <v>4994</v>
      </c>
      <c r="K539" s="63" t="str">
        <f t="shared" si="144"/>
        <v>No</v>
      </c>
      <c r="L539" s="76"/>
      <c r="M539" s="63">
        <f t="shared" si="135"/>
        <v>0</v>
      </c>
      <c r="N539" s="63" t="s">
        <v>2897</v>
      </c>
      <c r="O539" s="64"/>
      <c r="P539" s="660" t="str">
        <f t="shared" si="138"/>
        <v/>
      </c>
      <c r="Q539" s="52" t="str">
        <f t="shared" si="143"/>
        <v>No</v>
      </c>
      <c r="R539" s="1574" t="str">
        <f t="shared" si="146"/>
        <v/>
      </c>
      <c r="S539" s="52" t="str">
        <f t="shared" si="140"/>
        <v/>
      </c>
      <c r="T539" s="52" t="str">
        <f t="shared" si="141"/>
        <v/>
      </c>
      <c r="U539" s="52" t="str">
        <f t="shared" si="147"/>
        <v/>
      </c>
      <c r="V539" s="52" t="str">
        <f t="shared" si="142"/>
        <v/>
      </c>
      <c r="W539" s="1578"/>
      <c r="X539" s="52" t="str">
        <f t="shared" si="139"/>
        <v/>
      </c>
      <c r="Y539" s="52" t="str">
        <f t="shared" si="149"/>
        <v/>
      </c>
      <c r="AA539" s="52" t="str">
        <f t="shared" si="130"/>
        <v/>
      </c>
    </row>
    <row r="540" spans="2:27" ht="26">
      <c r="B540" s="1532" t="str">
        <f t="shared" si="148"/>
        <v>Man Down</v>
      </c>
      <c r="C540" s="1795"/>
      <c r="D540" s="920"/>
      <c r="E540" s="61" t="s">
        <v>2908</v>
      </c>
      <c r="F540" s="61"/>
      <c r="G540" s="61"/>
      <c r="H540" s="61"/>
      <c r="I540" s="61"/>
      <c r="J540" s="1687" t="s">
        <v>4995</v>
      </c>
      <c r="K540" s="63" t="str">
        <f t="shared" si="144"/>
        <v>No</v>
      </c>
      <c r="L540" s="76"/>
      <c r="M540" s="63">
        <f t="shared" si="135"/>
        <v>0</v>
      </c>
      <c r="N540" s="63" t="s">
        <v>2897</v>
      </c>
      <c r="O540" s="64"/>
      <c r="P540" s="660" t="str">
        <f t="shared" si="138"/>
        <v/>
      </c>
      <c r="Q540" s="52" t="str">
        <f t="shared" si="143"/>
        <v>No</v>
      </c>
      <c r="R540" s="1574" t="str">
        <f t="shared" si="146"/>
        <v/>
      </c>
      <c r="S540" s="52" t="str">
        <f t="shared" si="140"/>
        <v/>
      </c>
      <c r="T540" s="52" t="str">
        <f t="shared" si="141"/>
        <v/>
      </c>
      <c r="U540" s="52" t="str">
        <f t="shared" si="147"/>
        <v/>
      </c>
      <c r="V540" s="52" t="str">
        <f t="shared" si="142"/>
        <v/>
      </c>
      <c r="W540" s="1578"/>
      <c r="X540" s="52" t="str">
        <f t="shared" si="139"/>
        <v/>
      </c>
      <c r="Y540" s="52" t="str">
        <f t="shared" si="149"/>
        <v/>
      </c>
      <c r="AA540" s="52" t="str">
        <f t="shared" si="130"/>
        <v/>
      </c>
    </row>
    <row r="541" spans="2:27">
      <c r="B541" s="1532" t="str">
        <f t="shared" si="148"/>
        <v>Melee Smash</v>
      </c>
      <c r="C541" s="1795"/>
      <c r="D541" s="920"/>
      <c r="E541" s="61" t="s">
        <v>2909</v>
      </c>
      <c r="F541" s="61"/>
      <c r="G541" s="61"/>
      <c r="H541" s="61"/>
      <c r="I541" s="61"/>
      <c r="J541" s="1687" t="s">
        <v>4996</v>
      </c>
      <c r="K541" s="63" t="str">
        <f t="shared" si="144"/>
        <v>No</v>
      </c>
      <c r="L541" s="76"/>
      <c r="M541" s="63">
        <f t="shared" si="135"/>
        <v>0</v>
      </c>
      <c r="N541" s="63">
        <v>52</v>
      </c>
      <c r="O541" s="64"/>
      <c r="P541" s="660" t="str">
        <f t="shared" si="138"/>
        <v/>
      </c>
      <c r="Q541" s="52" t="str">
        <f t="shared" si="143"/>
        <v>No</v>
      </c>
      <c r="R541" s="1574" t="str">
        <f t="shared" si="146"/>
        <v/>
      </c>
      <c r="S541" s="52" t="str">
        <f t="shared" si="140"/>
        <v/>
      </c>
      <c r="T541" s="52" t="str">
        <f t="shared" si="141"/>
        <v/>
      </c>
      <c r="U541" s="52" t="str">
        <f t="shared" si="147"/>
        <v/>
      </c>
      <c r="V541" s="52" t="str">
        <f t="shared" si="142"/>
        <v/>
      </c>
      <c r="W541" s="1578"/>
      <c r="X541" s="52" t="str">
        <f t="shared" si="139"/>
        <v/>
      </c>
      <c r="Y541" s="52" t="str">
        <f t="shared" si="149"/>
        <v/>
      </c>
      <c r="AA541" s="52" t="str">
        <f t="shared" si="130"/>
        <v/>
      </c>
    </row>
    <row r="542" spans="2:27">
      <c r="B542" s="1532" t="str">
        <f t="shared" si="148"/>
        <v>Devastating Melee Smash</v>
      </c>
      <c r="C542" s="1795"/>
      <c r="D542" s="920"/>
      <c r="E542" s="61"/>
      <c r="F542" s="61" t="s">
        <v>2910</v>
      </c>
      <c r="G542" s="61"/>
      <c r="H542" s="61"/>
      <c r="I542" s="61"/>
      <c r="J542" s="1687" t="s">
        <v>4997</v>
      </c>
      <c r="K542" s="63" t="str">
        <f>IF(AND(Q541="Yes",L541&lt;&gt;""),"Yes","No")</f>
        <v>No</v>
      </c>
      <c r="L542" s="76"/>
      <c r="M542" s="63">
        <f t="shared" si="135"/>
        <v>0</v>
      </c>
      <c r="N542" s="63" t="s">
        <v>2854</v>
      </c>
      <c r="O542" s="64"/>
      <c r="P542" s="660" t="str">
        <f t="shared" si="138"/>
        <v/>
      </c>
      <c r="Q542" s="52" t="str">
        <f t="shared" si="143"/>
        <v>No</v>
      </c>
      <c r="R542" s="1574" t="str">
        <f t="shared" si="146"/>
        <v/>
      </c>
      <c r="S542" s="52" t="str">
        <f t="shared" si="140"/>
        <v/>
      </c>
      <c r="T542" s="52" t="str">
        <f t="shared" si="141"/>
        <v/>
      </c>
      <c r="U542" s="52" t="str">
        <f t="shared" si="147"/>
        <v/>
      </c>
      <c r="V542" s="52" t="str">
        <f t="shared" si="142"/>
        <v/>
      </c>
      <c r="W542" s="1578"/>
      <c r="X542" s="52" t="str">
        <f t="shared" si="139"/>
        <v/>
      </c>
      <c r="Y542" s="52" t="str">
        <f t="shared" si="149"/>
        <v/>
      </c>
      <c r="AA542" s="52" t="str">
        <f t="shared" si="130"/>
        <v/>
      </c>
    </row>
    <row r="543" spans="2:27" ht="26">
      <c r="B543" s="1532" t="str">
        <f t="shared" si="148"/>
        <v>Stunning Strike</v>
      </c>
      <c r="C543" s="1795"/>
      <c r="D543" s="920"/>
      <c r="E543" s="61"/>
      <c r="F543" s="61" t="s">
        <v>2911</v>
      </c>
      <c r="G543" s="61"/>
      <c r="H543" s="61"/>
      <c r="I543" s="61"/>
      <c r="J543" s="1687" t="s">
        <v>4998</v>
      </c>
      <c r="K543" s="63" t="str">
        <f>IF(AND(Q542="Yes",L541&lt;&gt;""),"Yes","No")</f>
        <v>No</v>
      </c>
      <c r="L543" s="76"/>
      <c r="M543" s="63">
        <f t="shared" si="135"/>
        <v>0</v>
      </c>
      <c r="N543" s="63">
        <v>52</v>
      </c>
      <c r="O543" s="64"/>
      <c r="P543" s="660" t="str">
        <f t="shared" si="138"/>
        <v/>
      </c>
      <c r="Q543" s="52" t="str">
        <f t="shared" si="143"/>
        <v>No</v>
      </c>
      <c r="R543" s="1574" t="str">
        <f t="shared" si="146"/>
        <v/>
      </c>
      <c r="S543" s="52" t="str">
        <f t="shared" si="140"/>
        <v/>
      </c>
      <c r="T543" s="52" t="str">
        <f t="shared" si="141"/>
        <v/>
      </c>
      <c r="U543" s="52" t="str">
        <f t="shared" si="147"/>
        <v/>
      </c>
      <c r="V543" s="52" t="str">
        <f t="shared" si="142"/>
        <v/>
      </c>
      <c r="W543" s="1578"/>
      <c r="X543" s="52" t="str">
        <f t="shared" si="139"/>
        <v/>
      </c>
      <c r="Y543" s="52" t="str">
        <f t="shared" si="149"/>
        <v/>
      </c>
      <c r="AA543" s="52" t="str">
        <f t="shared" si="130"/>
        <v/>
      </c>
    </row>
    <row r="544" spans="2:27" ht="65">
      <c r="B544" s="1532" t="str">
        <f t="shared" si="148"/>
        <v>Experienced Brawler</v>
      </c>
      <c r="C544" s="1795"/>
      <c r="D544" s="920"/>
      <c r="E544" s="61"/>
      <c r="F544" s="61"/>
      <c r="G544" s="61" t="s">
        <v>2912</v>
      </c>
      <c r="H544" s="61"/>
      <c r="I544" s="61"/>
      <c r="J544" s="1687" t="s">
        <v>4999</v>
      </c>
      <c r="K544" s="63" t="str">
        <f>IF(AND(Q543="Yes",L543&lt;&gt;""),"Yes","No")</f>
        <v>No</v>
      </c>
      <c r="L544" s="76"/>
      <c r="M544" s="63">
        <f t="shared" si="135"/>
        <v>0</v>
      </c>
      <c r="N544" s="63" t="s">
        <v>2897</v>
      </c>
      <c r="O544" s="64"/>
      <c r="P544" s="660" t="str">
        <f t="shared" si="138"/>
        <v/>
      </c>
      <c r="Q544" s="52" t="str">
        <f t="shared" si="143"/>
        <v>No</v>
      </c>
      <c r="R544" s="1574" t="str">
        <f t="shared" si="146"/>
        <v/>
      </c>
      <c r="S544" s="52" t="str">
        <f t="shared" si="140"/>
        <v/>
      </c>
      <c r="T544" s="52" t="str">
        <f t="shared" si="141"/>
        <v/>
      </c>
      <c r="U544" s="52" t="str">
        <f t="shared" si="147"/>
        <v/>
      </c>
      <c r="V544" s="52" t="str">
        <f t="shared" si="142"/>
        <v/>
      </c>
      <c r="W544" s="1578"/>
      <c r="X544" s="52" t="str">
        <f t="shared" si="139"/>
        <v/>
      </c>
      <c r="Y544" s="52" t="str">
        <f t="shared" si="149"/>
        <v/>
      </c>
      <c r="AA544" s="52" t="str">
        <f t="shared" si="130"/>
        <v/>
      </c>
    </row>
    <row r="545" spans="2:27" ht="26">
      <c r="B545" s="1532" t="str">
        <f t="shared" si="148"/>
        <v>Unrelenting Assault</v>
      </c>
      <c r="C545" s="1795"/>
      <c r="D545" s="920"/>
      <c r="E545" s="61"/>
      <c r="F545" s="61" t="s">
        <v>2913</v>
      </c>
      <c r="G545" s="61"/>
      <c r="H545" s="61"/>
      <c r="I545" s="61"/>
      <c r="J545" s="1687" t="s">
        <v>5000</v>
      </c>
      <c r="K545" s="63" t="str">
        <f>IF(AND(Q544="Yes",L541&lt;&gt;""),"Yes","No")</f>
        <v>No</v>
      </c>
      <c r="L545" s="76"/>
      <c r="M545" s="63">
        <f t="shared" si="135"/>
        <v>0</v>
      </c>
      <c r="N545" s="63" t="s">
        <v>2905</v>
      </c>
      <c r="O545" s="64"/>
      <c r="P545" s="660" t="str">
        <f t="shared" si="138"/>
        <v/>
      </c>
      <c r="Q545" s="52" t="str">
        <f t="shared" si="143"/>
        <v>No</v>
      </c>
      <c r="R545" s="1574" t="str">
        <f t="shared" si="146"/>
        <v/>
      </c>
      <c r="S545" s="52" t="str">
        <f t="shared" si="140"/>
        <v/>
      </c>
      <c r="T545" s="52" t="str">
        <f t="shared" si="141"/>
        <v/>
      </c>
      <c r="U545" s="52" t="str">
        <f t="shared" si="147"/>
        <v/>
      </c>
      <c r="V545" s="52" t="str">
        <f t="shared" si="142"/>
        <v/>
      </c>
      <c r="W545" s="1578"/>
      <c r="X545" s="52" t="str">
        <f t="shared" si="139"/>
        <v/>
      </c>
      <c r="Y545" s="52" t="str">
        <f t="shared" si="149"/>
        <v/>
      </c>
      <c r="AA545" s="52" t="str">
        <f>IF(U545&lt;&gt;"",IF(Z545="Defenses",U545&amp;IF(AA547&lt;&gt;"",", ",""),"")&amp;AA547,AA547)</f>
        <v/>
      </c>
    </row>
    <row r="546" spans="2:27">
      <c r="B546" s="1575"/>
      <c r="C546" s="1795"/>
      <c r="D546" s="920"/>
      <c r="E546" s="61" t="s">
        <v>8491</v>
      </c>
      <c r="F546" s="61"/>
      <c r="G546" s="61"/>
      <c r="H546" s="61"/>
      <c r="I546" s="61"/>
      <c r="J546" s="1687" t="s">
        <v>8492</v>
      </c>
      <c r="K546" s="63" t="str">
        <f t="shared" si="144"/>
        <v>No</v>
      </c>
      <c r="L546" s="76"/>
      <c r="M546" s="63">
        <f t="shared" si="135"/>
        <v>0</v>
      </c>
      <c r="N546" s="63" t="s">
        <v>8463</v>
      </c>
      <c r="O546" s="64"/>
      <c r="P546" s="660" t="str">
        <f t="shared" si="138"/>
        <v/>
      </c>
      <c r="Q546" s="52" t="str">
        <f t="shared" si="143"/>
        <v>No</v>
      </c>
      <c r="R546" s="1574" t="str">
        <f t="shared" si="146"/>
        <v/>
      </c>
      <c r="S546" s="52" t="str">
        <f t="shared" si="140"/>
        <v/>
      </c>
      <c r="T546" s="52" t="str">
        <f t="shared" si="141"/>
        <v/>
      </c>
      <c r="U546" s="52" t="str">
        <f t="shared" si="147"/>
        <v/>
      </c>
      <c r="V546" s="52" t="str">
        <f t="shared" si="142"/>
        <v/>
      </c>
      <c r="W546" s="1578"/>
      <c r="X546" s="52" t="str">
        <f t="shared" si="139"/>
        <v/>
      </c>
      <c r="Y546" s="52" t="str">
        <f t="shared" si="149"/>
        <v/>
      </c>
    </row>
    <row r="547" spans="2:27">
      <c r="B547" s="1532" t="str">
        <f t="shared" ref="B547:B560" si="150">IF(E547&lt;&gt;"",E547,IF(F547&lt;&gt;"",F547,IF(G547&lt;&gt;"",G547,IF(H547&lt;&gt;"",H547))))</f>
        <v>Strong Grab</v>
      </c>
      <c r="C547" s="1795"/>
      <c r="D547" s="920"/>
      <c r="E547" s="61" t="s">
        <v>2914</v>
      </c>
      <c r="F547" s="61"/>
      <c r="G547" s="61"/>
      <c r="H547" s="61"/>
      <c r="I547" s="61"/>
      <c r="J547" s="1687" t="s">
        <v>5001</v>
      </c>
      <c r="K547" s="63" t="str">
        <f t="shared" si="144"/>
        <v>No</v>
      </c>
      <c r="L547" s="76"/>
      <c r="M547" s="63">
        <f t="shared" si="135"/>
        <v>0</v>
      </c>
      <c r="N547" s="63" t="s">
        <v>2902</v>
      </c>
      <c r="O547" s="64"/>
      <c r="P547" s="660" t="str">
        <f t="shared" si="138"/>
        <v/>
      </c>
      <c r="Q547" s="52" t="str">
        <f>Q545</f>
        <v>No</v>
      </c>
      <c r="R547" s="1574" t="str">
        <f t="shared" si="146"/>
        <v/>
      </c>
      <c r="S547" s="52" t="str">
        <f t="shared" si="140"/>
        <v/>
      </c>
      <c r="T547" s="52" t="str">
        <f t="shared" si="141"/>
        <v/>
      </c>
      <c r="U547" s="52" t="str">
        <f t="shared" si="147"/>
        <v/>
      </c>
      <c r="V547" s="52" t="str">
        <f t="shared" si="142"/>
        <v/>
      </c>
      <c r="W547" s="1578"/>
      <c r="X547" s="52" t="str">
        <f t="shared" si="139"/>
        <v/>
      </c>
      <c r="Y547" s="52" t="str">
        <f t="shared" si="149"/>
        <v/>
      </c>
      <c r="AA547" s="52" t="str">
        <f t="shared" si="130"/>
        <v/>
      </c>
    </row>
    <row r="548" spans="2:27" ht="26">
      <c r="B548" s="1532" t="str">
        <f t="shared" si="150"/>
        <v>Sucker Punch</v>
      </c>
      <c r="C548" s="1795"/>
      <c r="D548" s="920"/>
      <c r="E548" s="61" t="s">
        <v>2915</v>
      </c>
      <c r="F548" s="61"/>
      <c r="G548" s="61"/>
      <c r="H548" s="61"/>
      <c r="I548" s="61"/>
      <c r="J548" s="1687" t="s">
        <v>5002</v>
      </c>
      <c r="K548" s="63" t="str">
        <f t="shared" si="144"/>
        <v>No</v>
      </c>
      <c r="L548" s="76"/>
      <c r="M548" s="63">
        <f t="shared" si="135"/>
        <v>0</v>
      </c>
      <c r="N548" s="63" t="s">
        <v>2897</v>
      </c>
      <c r="O548" s="64"/>
      <c r="P548" s="660" t="str">
        <f t="shared" si="138"/>
        <v/>
      </c>
      <c r="Q548" s="52" t="str">
        <f t="shared" si="143"/>
        <v>No</v>
      </c>
      <c r="R548" s="1574" t="str">
        <f t="shared" si="146"/>
        <v/>
      </c>
      <c r="S548" s="52" t="str">
        <f t="shared" si="140"/>
        <v/>
      </c>
      <c r="T548" s="52" t="str">
        <f t="shared" si="141"/>
        <v/>
      </c>
      <c r="U548" s="52" t="str">
        <f t="shared" si="147"/>
        <v/>
      </c>
      <c r="V548" s="52" t="str">
        <f t="shared" si="142"/>
        <v/>
      </c>
      <c r="W548" s="1578"/>
      <c r="X548" s="52" t="str">
        <f t="shared" si="139"/>
        <v/>
      </c>
      <c r="Y548" s="52" t="str">
        <f t="shared" si="149"/>
        <v/>
      </c>
      <c r="AA548" s="52" t="str">
        <f t="shared" si="130"/>
        <v/>
      </c>
    </row>
    <row r="549" spans="2:27">
      <c r="B549" s="1532" t="str">
        <f t="shared" si="150"/>
        <v>Gang Leader</v>
      </c>
      <c r="C549" s="1795"/>
      <c r="D549" s="920" t="s">
        <v>2916</v>
      </c>
      <c r="E549" s="61" t="s">
        <v>2917</v>
      </c>
      <c r="F549" s="61"/>
      <c r="G549" s="61"/>
      <c r="H549" s="61"/>
      <c r="I549" s="61"/>
      <c r="J549" s="1687" t="s">
        <v>5003</v>
      </c>
      <c r="K549" s="63" t="str">
        <f t="shared" si="144"/>
        <v>No</v>
      </c>
      <c r="L549" s="76"/>
      <c r="M549" s="63">
        <f t="shared" si="135"/>
        <v>0</v>
      </c>
      <c r="N549" s="63" t="s">
        <v>2882</v>
      </c>
      <c r="O549" s="64"/>
      <c r="P549" s="660" t="str">
        <f t="shared" si="138"/>
        <v/>
      </c>
      <c r="Q549" s="52" t="str">
        <f>IF(OR(AD45&gt;0,AD11&gt;0),"Yes","No")</f>
        <v>No</v>
      </c>
      <c r="R549" s="1574" t="str">
        <f t="shared" si="146"/>
        <v/>
      </c>
      <c r="S549" s="52" t="str">
        <f t="shared" si="140"/>
        <v/>
      </c>
      <c r="T549" s="52" t="str">
        <f t="shared" si="141"/>
        <v/>
      </c>
      <c r="U549" s="52" t="str">
        <f t="shared" si="147"/>
        <v/>
      </c>
      <c r="V549" s="52" t="str">
        <f t="shared" si="142"/>
        <v/>
      </c>
      <c r="W549" s="1578"/>
      <c r="X549" s="52" t="str">
        <f t="shared" si="139"/>
        <v/>
      </c>
      <c r="Y549" s="52" t="str">
        <f t="shared" si="149"/>
        <v/>
      </c>
      <c r="AA549" s="52" t="str">
        <f t="shared" si="130"/>
        <v/>
      </c>
    </row>
    <row r="550" spans="2:27">
      <c r="B550" s="1532" t="str">
        <f t="shared" si="150"/>
        <v>Melee Assault</v>
      </c>
      <c r="C550" s="1795"/>
      <c r="D550" s="920"/>
      <c r="E550" s="61" t="s">
        <v>2918</v>
      </c>
      <c r="F550" s="61"/>
      <c r="G550" s="61"/>
      <c r="H550" s="61"/>
      <c r="I550" s="61"/>
      <c r="J550" s="1687" t="s">
        <v>5004</v>
      </c>
      <c r="K550" s="63" t="str">
        <f t="shared" si="144"/>
        <v>No</v>
      </c>
      <c r="L550" s="76"/>
      <c r="M550" s="63">
        <f t="shared" si="135"/>
        <v>0</v>
      </c>
      <c r="N550" s="63" t="s">
        <v>2902</v>
      </c>
      <c r="O550" s="64"/>
      <c r="P550" s="660" t="str">
        <f t="shared" si="138"/>
        <v/>
      </c>
      <c r="Q550" s="52" t="str">
        <f t="shared" si="143"/>
        <v>No</v>
      </c>
      <c r="R550" s="1574" t="str">
        <f t="shared" si="146"/>
        <v/>
      </c>
      <c r="S550" s="52" t="str">
        <f t="shared" si="140"/>
        <v/>
      </c>
      <c r="T550" s="52" t="str">
        <f t="shared" si="141"/>
        <v/>
      </c>
      <c r="U550" s="52" t="str">
        <f t="shared" si="147"/>
        <v/>
      </c>
      <c r="V550" s="52" t="str">
        <f t="shared" si="142"/>
        <v/>
      </c>
      <c r="W550" s="1578"/>
      <c r="X550" s="52" t="str">
        <f t="shared" si="139"/>
        <v/>
      </c>
      <c r="Y550" s="52" t="str">
        <f t="shared" si="149"/>
        <v/>
      </c>
      <c r="AA550" s="52" t="str">
        <f t="shared" si="130"/>
        <v/>
      </c>
    </row>
    <row r="551" spans="2:27">
      <c r="B551" s="1532" t="str">
        <f t="shared" si="150"/>
        <v>Melee Brute</v>
      </c>
      <c r="C551" s="1795"/>
      <c r="D551" s="920"/>
      <c r="E551" s="61" t="s">
        <v>2919</v>
      </c>
      <c r="F551" s="61"/>
      <c r="G551" s="61"/>
      <c r="H551" s="61"/>
      <c r="I551" s="61"/>
      <c r="J551" s="1687" t="s">
        <v>5005</v>
      </c>
      <c r="K551" s="63" t="str">
        <f t="shared" si="144"/>
        <v>No</v>
      </c>
      <c r="L551" s="76"/>
      <c r="M551" s="63">
        <f t="shared" si="135"/>
        <v>0</v>
      </c>
      <c r="N551" s="63" t="s">
        <v>2902</v>
      </c>
      <c r="O551" s="64"/>
      <c r="P551" s="660" t="str">
        <f t="shared" si="138"/>
        <v/>
      </c>
      <c r="Q551" s="52" t="str">
        <f t="shared" si="143"/>
        <v>No</v>
      </c>
      <c r="R551" s="1574" t="str">
        <f t="shared" si="146"/>
        <v/>
      </c>
      <c r="S551" s="52" t="str">
        <f t="shared" si="140"/>
        <v/>
      </c>
      <c r="T551" s="52" t="str">
        <f t="shared" si="141"/>
        <v/>
      </c>
      <c r="U551" s="52" t="str">
        <f t="shared" si="147"/>
        <v/>
      </c>
      <c r="V551" s="52" t="str">
        <f t="shared" si="142"/>
        <v/>
      </c>
      <c r="W551" s="1578"/>
      <c r="X551" s="52" t="str">
        <f t="shared" si="139"/>
        <v/>
      </c>
      <c r="Y551" s="52" t="str">
        <f t="shared" si="149"/>
        <v/>
      </c>
      <c r="AA551" s="52" t="str">
        <f t="shared" si="130"/>
        <v/>
      </c>
    </row>
    <row r="552" spans="2:27">
      <c r="B552" s="1532" t="str">
        <f t="shared" si="150"/>
        <v>Melee Opportunist</v>
      </c>
      <c r="C552" s="1795"/>
      <c r="D552" s="920"/>
      <c r="E552" s="61" t="s">
        <v>2920</v>
      </c>
      <c r="F552" s="61"/>
      <c r="G552" s="61"/>
      <c r="H552" s="61"/>
      <c r="I552" s="61"/>
      <c r="J552" s="1687" t="s">
        <v>5006</v>
      </c>
      <c r="K552" s="63" t="str">
        <f t="shared" si="144"/>
        <v>No</v>
      </c>
      <c r="L552" s="76"/>
      <c r="M552" s="63">
        <f t="shared" si="135"/>
        <v>0</v>
      </c>
      <c r="N552" s="63" t="s">
        <v>2902</v>
      </c>
      <c r="O552" s="64"/>
      <c r="P552" s="660" t="str">
        <f t="shared" si="138"/>
        <v/>
      </c>
      <c r="Q552" s="52" t="str">
        <f t="shared" si="143"/>
        <v>No</v>
      </c>
      <c r="R552" s="1574" t="str">
        <f t="shared" si="146"/>
        <v/>
      </c>
      <c r="S552" s="52" t="str">
        <f t="shared" si="140"/>
        <v/>
      </c>
      <c r="T552" s="52" t="str">
        <f t="shared" si="141"/>
        <v/>
      </c>
      <c r="U552" s="52" t="str">
        <f t="shared" si="147"/>
        <v/>
      </c>
      <c r="V552" s="52" t="str">
        <f t="shared" si="142"/>
        <v/>
      </c>
      <c r="W552" s="1578"/>
      <c r="X552" s="52" t="str">
        <f t="shared" si="139"/>
        <v/>
      </c>
      <c r="Y552" s="52" t="str">
        <f t="shared" si="149"/>
        <v/>
      </c>
      <c r="AA552" s="52" t="str">
        <f t="shared" si="130"/>
        <v/>
      </c>
    </row>
    <row r="553" spans="2:27">
      <c r="B553" s="1532" t="str">
        <f t="shared" si="150"/>
        <v>Squad Brutality</v>
      </c>
      <c r="C553" s="1795"/>
      <c r="D553" s="920"/>
      <c r="E553" s="61" t="s">
        <v>2921</v>
      </c>
      <c r="F553" s="61"/>
      <c r="G553" s="61"/>
      <c r="H553" s="61"/>
      <c r="I553" s="61"/>
      <c r="J553" s="1687" t="s">
        <v>5007</v>
      </c>
      <c r="K553" s="63" t="str">
        <f t="shared" si="144"/>
        <v>No</v>
      </c>
      <c r="L553" s="76"/>
      <c r="M553" s="63">
        <f t="shared" si="135"/>
        <v>0</v>
      </c>
      <c r="N553" s="63" t="s">
        <v>2902</v>
      </c>
      <c r="O553" s="64"/>
      <c r="P553" s="660" t="str">
        <f t="shared" si="138"/>
        <v/>
      </c>
      <c r="Q553" s="52" t="str">
        <f t="shared" si="143"/>
        <v>No</v>
      </c>
      <c r="R553" s="1574" t="str">
        <f t="shared" si="146"/>
        <v/>
      </c>
      <c r="S553" s="52" t="str">
        <f t="shared" si="140"/>
        <v/>
      </c>
      <c r="T553" s="52" t="str">
        <f t="shared" si="141"/>
        <v/>
      </c>
      <c r="U553" s="52" t="str">
        <f t="shared" si="147"/>
        <v/>
      </c>
      <c r="V553" s="52" t="str">
        <f t="shared" si="142"/>
        <v/>
      </c>
      <c r="W553" s="1578"/>
      <c r="X553" s="52" t="str">
        <f t="shared" si="139"/>
        <v/>
      </c>
      <c r="Y553" s="52" t="str">
        <f t="shared" si="149"/>
        <v/>
      </c>
      <c r="AA553" s="52" t="str">
        <f t="shared" si="130"/>
        <v/>
      </c>
    </row>
    <row r="554" spans="2:27">
      <c r="B554" s="1532" t="str">
        <f t="shared" si="150"/>
        <v>Squad Superiority</v>
      </c>
      <c r="C554" s="1795"/>
      <c r="D554" s="920"/>
      <c r="E554" s="61" t="s">
        <v>2922</v>
      </c>
      <c r="F554" s="61"/>
      <c r="G554" s="61"/>
      <c r="H554" s="61"/>
      <c r="I554" s="61"/>
      <c r="J554" s="1687" t="s">
        <v>5008</v>
      </c>
      <c r="K554" s="63" t="str">
        <f t="shared" si="144"/>
        <v>No</v>
      </c>
      <c r="L554" s="76"/>
      <c r="M554" s="63">
        <f t="shared" si="135"/>
        <v>0</v>
      </c>
      <c r="N554" s="63" t="s">
        <v>2902</v>
      </c>
      <c r="O554" s="64"/>
      <c r="P554" s="660" t="str">
        <f t="shared" si="138"/>
        <v/>
      </c>
      <c r="Q554" s="52" t="str">
        <f t="shared" si="143"/>
        <v>No</v>
      </c>
      <c r="R554" s="1574" t="str">
        <f t="shared" si="146"/>
        <v/>
      </c>
      <c r="S554" s="52" t="str">
        <f t="shared" si="140"/>
        <v/>
      </c>
      <c r="T554" s="52" t="str">
        <f t="shared" si="141"/>
        <v/>
      </c>
      <c r="U554" s="52" t="str">
        <f t="shared" si="147"/>
        <v/>
      </c>
      <c r="V554" s="52" t="str">
        <f t="shared" si="142"/>
        <v/>
      </c>
      <c r="W554" s="1578"/>
      <c r="X554" s="52" t="str">
        <f t="shared" si="139"/>
        <v/>
      </c>
      <c r="Y554" s="52" t="str">
        <f t="shared" si="149"/>
        <v/>
      </c>
      <c r="AA554" s="52" t="str">
        <f t="shared" si="130"/>
        <v/>
      </c>
    </row>
    <row r="555" spans="2:27">
      <c r="B555" s="1532" t="str">
        <f t="shared" si="150"/>
        <v>Battle Analysis</v>
      </c>
      <c r="C555" s="1795"/>
      <c r="D555" s="920" t="s">
        <v>2923</v>
      </c>
      <c r="E555" s="61" t="s">
        <v>2924</v>
      </c>
      <c r="F555" s="61"/>
      <c r="G555" s="61"/>
      <c r="H555" s="61"/>
      <c r="I555" s="61"/>
      <c r="J555" s="1687" t="s">
        <v>5009</v>
      </c>
      <c r="K555" s="63" t="str">
        <f t="shared" si="144"/>
        <v>No</v>
      </c>
      <c r="L555" s="76"/>
      <c r="M555" s="63">
        <f t="shared" si="135"/>
        <v>0</v>
      </c>
      <c r="N555" s="63">
        <v>52</v>
      </c>
      <c r="O555" s="64"/>
      <c r="P555" s="660" t="str">
        <f t="shared" si="138"/>
        <v/>
      </c>
      <c r="Q555" s="52" t="str">
        <f>IF(OR($AD$45&gt;0,$AD$11&gt;0,$AD$20&gt;0),"Yes","No")</f>
        <v>No</v>
      </c>
      <c r="R555" s="1574" t="str">
        <f t="shared" si="146"/>
        <v/>
      </c>
      <c r="S555" s="52" t="str">
        <f t="shared" si="140"/>
        <v/>
      </c>
      <c r="T555" s="52" t="str">
        <f t="shared" si="141"/>
        <v/>
      </c>
      <c r="U555" s="52" t="str">
        <f t="shared" si="147"/>
        <v/>
      </c>
      <c r="V555" s="52" t="str">
        <f t="shared" si="142"/>
        <v/>
      </c>
      <c r="W555" s="1578"/>
      <c r="X555" s="52" t="str">
        <f t="shared" si="139"/>
        <v/>
      </c>
      <c r="Y555" s="52" t="str">
        <f t="shared" si="149"/>
        <v/>
      </c>
      <c r="AA555" s="52" t="str">
        <f t="shared" si="130"/>
        <v/>
      </c>
    </row>
    <row r="556" spans="2:27" ht="26">
      <c r="B556" s="1532" t="str">
        <f t="shared" si="150"/>
        <v>Cover Fire</v>
      </c>
      <c r="C556" s="1795"/>
      <c r="D556" s="920"/>
      <c r="E556" s="61"/>
      <c r="F556" s="61" t="s">
        <v>2925</v>
      </c>
      <c r="G556" s="61"/>
      <c r="H556" s="61"/>
      <c r="I556" s="61"/>
      <c r="J556" s="1687" t="s">
        <v>5010</v>
      </c>
      <c r="K556" s="63" t="str">
        <f>IF(AND(Q555="Yes",L555&lt;&gt;""),"Yes","No")</f>
        <v>No</v>
      </c>
      <c r="L556" s="76"/>
      <c r="M556" s="63">
        <f t="shared" si="135"/>
        <v>0</v>
      </c>
      <c r="N556" s="63">
        <v>52</v>
      </c>
      <c r="O556" s="64"/>
      <c r="P556" s="660" t="str">
        <f t="shared" si="138"/>
        <v/>
      </c>
      <c r="Q556" s="52" t="str">
        <f t="shared" si="143"/>
        <v>No</v>
      </c>
      <c r="R556" s="1574" t="str">
        <f t="shared" si="146"/>
        <v/>
      </c>
      <c r="S556" s="52" t="str">
        <f t="shared" si="140"/>
        <v/>
      </c>
      <c r="T556" s="52" t="str">
        <f t="shared" si="141"/>
        <v/>
      </c>
      <c r="U556" s="52" t="str">
        <f t="shared" si="147"/>
        <v/>
      </c>
      <c r="V556" s="52" t="str">
        <f t="shared" si="142"/>
        <v/>
      </c>
      <c r="W556" s="1578"/>
      <c r="X556" s="52" t="str">
        <f t="shared" si="139"/>
        <v/>
      </c>
      <c r="Y556" s="52" t="str">
        <f t="shared" si="149"/>
        <v/>
      </c>
      <c r="AA556" s="52" t="str">
        <f>IF(U556&lt;&gt;"",IF(Z556="Defenses",U556&amp;IF(AA557&lt;&gt;"",", ",""),"")&amp;AA557,AA557)</f>
        <v/>
      </c>
    </row>
    <row r="557" spans="2:27" ht="26">
      <c r="B557" s="1532" t="str">
        <f t="shared" si="150"/>
        <v>Defensive Position</v>
      </c>
      <c r="C557" s="1795"/>
      <c r="D557" s="920"/>
      <c r="E557" s="61"/>
      <c r="F557" s="61" t="s">
        <v>6860</v>
      </c>
      <c r="G557" s="61"/>
      <c r="H557" s="61"/>
      <c r="I557" s="61"/>
      <c r="J557" s="1687" t="s">
        <v>6861</v>
      </c>
      <c r="K557" s="63" t="str">
        <f>IF(AND(Q557="Yes",L555&lt;&gt;""),"Yes","No")</f>
        <v>No</v>
      </c>
      <c r="L557" s="76"/>
      <c r="M557" s="63">
        <f t="shared" si="135"/>
        <v>0</v>
      </c>
      <c r="N557" s="63" t="s">
        <v>6859</v>
      </c>
      <c r="O557" s="64"/>
      <c r="P557" s="660" t="str">
        <f t="shared" si="138"/>
        <v/>
      </c>
      <c r="Q557" s="52" t="str">
        <f t="shared" si="143"/>
        <v>No</v>
      </c>
      <c r="R557" s="1574" t="str">
        <f t="shared" si="146"/>
        <v/>
      </c>
      <c r="S557" s="52" t="str">
        <f t="shared" si="140"/>
        <v/>
      </c>
      <c r="T557" s="52" t="str">
        <f t="shared" si="141"/>
        <v/>
      </c>
      <c r="U557" s="52" t="str">
        <f t="shared" si="147"/>
        <v/>
      </c>
      <c r="V557" s="52" t="str">
        <f t="shared" si="142"/>
        <v/>
      </c>
      <c r="W557" s="1578"/>
      <c r="X557" s="52" t="str">
        <f t="shared" si="139"/>
        <v/>
      </c>
      <c r="Y557" s="52" t="str">
        <f t="shared" si="149"/>
        <v/>
      </c>
      <c r="AA557" s="52" t="str">
        <f>IF(U557&lt;&gt;"",IF(Z557="Defenses",U557&amp;IF(AA558&lt;&gt;"",", ",""),"")&amp;AA558,AA558)</f>
        <v/>
      </c>
    </row>
    <row r="558" spans="2:27" ht="39">
      <c r="B558" s="1532" t="str">
        <f t="shared" si="150"/>
        <v>Demolitionist</v>
      </c>
      <c r="C558" s="1795"/>
      <c r="D558" s="920"/>
      <c r="E558" s="61" t="s">
        <v>2926</v>
      </c>
      <c r="F558" s="61"/>
      <c r="G558" s="61"/>
      <c r="H558" s="61"/>
      <c r="I558" s="61"/>
      <c r="J558" s="1687" t="s">
        <v>5011</v>
      </c>
      <c r="K558" s="63" t="str">
        <f t="shared" si="144"/>
        <v>No</v>
      </c>
      <c r="L558" s="76"/>
      <c r="M558" s="63">
        <f>IF(L558&lt;&gt;"",L558,0)</f>
        <v>0</v>
      </c>
      <c r="N558" s="63">
        <v>52</v>
      </c>
      <c r="O558" s="64"/>
      <c r="P558" s="660" t="str">
        <f t="shared" si="138"/>
        <v/>
      </c>
      <c r="Q558" s="52" t="str">
        <f>Q556</f>
        <v>No</v>
      </c>
      <c r="R558" s="1574" t="str">
        <f t="shared" si="146"/>
        <v/>
      </c>
      <c r="S558" s="52" t="str">
        <f t="shared" si="140"/>
        <v/>
      </c>
      <c r="T558" s="52" t="str">
        <f t="shared" si="141"/>
        <v/>
      </c>
      <c r="U558" s="52" t="str">
        <f t="shared" si="147"/>
        <v/>
      </c>
      <c r="V558" s="52" t="str">
        <f t="shared" si="142"/>
        <v/>
      </c>
      <c r="W558" s="1578"/>
      <c r="X558" s="52" t="str">
        <f t="shared" si="139"/>
        <v/>
      </c>
      <c r="Y558" s="52" t="str">
        <f t="shared" si="149"/>
        <v/>
      </c>
      <c r="AA558" s="52" t="str">
        <f t="shared" si="130"/>
        <v/>
      </c>
    </row>
    <row r="559" spans="2:27" ht="26">
      <c r="B559" s="1532" t="str">
        <f t="shared" si="150"/>
        <v>Draw Fire</v>
      </c>
      <c r="C559" s="1795"/>
      <c r="D559" s="920"/>
      <c r="E559" s="61" t="s">
        <v>2927</v>
      </c>
      <c r="F559" s="61"/>
      <c r="G559" s="61"/>
      <c r="H559" s="61"/>
      <c r="I559" s="61"/>
      <c r="J559" s="1687" t="s">
        <v>5012</v>
      </c>
      <c r="K559" s="63" t="str">
        <f t="shared" si="144"/>
        <v>No</v>
      </c>
      <c r="L559" s="76"/>
      <c r="M559" s="63">
        <f t="shared" si="135"/>
        <v>0</v>
      </c>
      <c r="N559" s="63">
        <v>52</v>
      </c>
      <c r="O559" s="64"/>
      <c r="P559" s="660" t="str">
        <f t="shared" si="138"/>
        <v/>
      </c>
      <c r="Q559" s="52" t="str">
        <f t="shared" si="143"/>
        <v>No</v>
      </c>
      <c r="R559" s="1574" t="str">
        <f t="shared" si="146"/>
        <v/>
      </c>
      <c r="S559" s="52" t="str">
        <f t="shared" si="140"/>
        <v/>
      </c>
      <c r="T559" s="52" t="str">
        <f t="shared" si="141"/>
        <v/>
      </c>
      <c r="U559" s="52" t="str">
        <f t="shared" si="147"/>
        <v/>
      </c>
      <c r="V559" s="52" t="str">
        <f t="shared" si="142"/>
        <v/>
      </c>
      <c r="W559" s="1578"/>
      <c r="X559" s="52" t="str">
        <f t="shared" si="139"/>
        <v/>
      </c>
      <c r="Y559" s="52" t="str">
        <f t="shared" si="149"/>
        <v/>
      </c>
      <c r="AA559" s="52" t="str">
        <f t="shared" ref="AA559:AA646" si="151">IF(U559&lt;&gt;"",IF(Z559="Defenses",U559&amp;IF(AA560&lt;&gt;"",", ",""),"")&amp;AA560,AA560)</f>
        <v/>
      </c>
    </row>
    <row r="560" spans="2:27">
      <c r="B560" s="1532" t="str">
        <f t="shared" si="150"/>
        <v>Harm's Way</v>
      </c>
      <c r="C560" s="1795"/>
      <c r="D560" s="920"/>
      <c r="E560" s="61" t="s">
        <v>2928</v>
      </c>
      <c r="F560" s="61"/>
      <c r="G560" s="61"/>
      <c r="H560" s="61"/>
      <c r="I560" s="61"/>
      <c r="J560" s="1687" t="s">
        <v>5013</v>
      </c>
      <c r="K560" s="63" t="str">
        <f t="shared" si="144"/>
        <v>No</v>
      </c>
      <c r="L560" s="76"/>
      <c r="M560" s="63">
        <f t="shared" si="135"/>
        <v>0</v>
      </c>
      <c r="N560" s="63">
        <v>52</v>
      </c>
      <c r="O560" s="64"/>
      <c r="P560" s="660" t="str">
        <f t="shared" si="138"/>
        <v/>
      </c>
      <c r="Q560" s="52" t="str">
        <f t="shared" si="143"/>
        <v>No</v>
      </c>
      <c r="R560" s="1574" t="str">
        <f t="shared" si="146"/>
        <v/>
      </c>
      <c r="S560" s="52" t="str">
        <f t="shared" si="140"/>
        <v/>
      </c>
      <c r="T560" s="52" t="str">
        <f t="shared" si="141"/>
        <v/>
      </c>
      <c r="U560" s="52" t="str">
        <f t="shared" si="147"/>
        <v/>
      </c>
      <c r="V560" s="52" t="str">
        <f t="shared" si="142"/>
        <v/>
      </c>
      <c r="W560" s="1578"/>
      <c r="X560" s="52" t="str">
        <f t="shared" si="139"/>
        <v/>
      </c>
      <c r="Y560" s="52" t="str">
        <f t="shared" si="149"/>
        <v/>
      </c>
      <c r="AA560" s="52" t="str">
        <f>IF(U560&lt;&gt;"",IF(Z560="Defenses",U560&amp;IF(AA565&lt;&gt;"",", ",""),"")&amp;AA565,AA565)</f>
        <v/>
      </c>
    </row>
    <row r="561" spans="2:27">
      <c r="B561" s="1575"/>
      <c r="C561" s="1795"/>
      <c r="D561" s="920"/>
      <c r="E561" s="61"/>
      <c r="F561" s="61" t="s">
        <v>8493</v>
      </c>
      <c r="G561" s="61"/>
      <c r="H561" s="61"/>
      <c r="I561" s="61"/>
      <c r="J561" s="1687" t="s">
        <v>8494</v>
      </c>
      <c r="K561" s="63" t="str">
        <f>IF(AND(Q561="Yes",L560&lt;&gt;""),"Yes","No")</f>
        <v>No</v>
      </c>
      <c r="L561" s="76"/>
      <c r="M561" s="63">
        <f t="shared" si="135"/>
        <v>0</v>
      </c>
      <c r="N561" s="63" t="s">
        <v>8309</v>
      </c>
      <c r="O561" s="64"/>
      <c r="P561" s="660" t="str">
        <f t="shared" si="138"/>
        <v/>
      </c>
      <c r="Q561" s="52" t="str">
        <f t="shared" si="143"/>
        <v>No</v>
      </c>
      <c r="R561" s="1574" t="str">
        <f t="shared" si="146"/>
        <v/>
      </c>
      <c r="S561" s="52" t="str">
        <f t="shared" si="140"/>
        <v/>
      </c>
      <c r="T561" s="52" t="str">
        <f t="shared" si="141"/>
        <v/>
      </c>
      <c r="U561" s="52" t="str">
        <f t="shared" si="147"/>
        <v/>
      </c>
      <c r="V561" s="52" t="str">
        <f t="shared" si="142"/>
        <v/>
      </c>
      <c r="W561" s="1578"/>
      <c r="X561" s="52" t="str">
        <f t="shared" si="139"/>
        <v/>
      </c>
      <c r="Y561" s="52" t="str">
        <f t="shared" si="149"/>
        <v/>
      </c>
    </row>
    <row r="562" spans="2:27">
      <c r="B562" s="1575"/>
      <c r="C562" s="1795"/>
      <c r="D562" s="920"/>
      <c r="E562" s="61"/>
      <c r="F562" s="61"/>
      <c r="G562" s="61" t="s">
        <v>8495</v>
      </c>
      <c r="H562" s="61"/>
      <c r="I562" s="61"/>
      <c r="J562" s="1687" t="s">
        <v>8496</v>
      </c>
      <c r="K562" s="63" t="str">
        <f>IF(AND(Q562="Yes",L561&lt;&gt;""),"Yes","No")</f>
        <v>No</v>
      </c>
      <c r="L562" s="76"/>
      <c r="M562" s="63">
        <f t="shared" si="135"/>
        <v>0</v>
      </c>
      <c r="N562" s="63" t="s">
        <v>8463</v>
      </c>
      <c r="O562" s="64"/>
      <c r="P562" s="660" t="str">
        <f t="shared" si="138"/>
        <v/>
      </c>
      <c r="Q562" s="52" t="str">
        <f t="shared" si="143"/>
        <v>No</v>
      </c>
      <c r="R562" s="1574" t="str">
        <f t="shared" si="146"/>
        <v/>
      </c>
      <c r="S562" s="52" t="str">
        <f t="shared" si="140"/>
        <v/>
      </c>
      <c r="T562" s="52" t="str">
        <f t="shared" si="141"/>
        <v/>
      </c>
      <c r="U562" s="52" t="str">
        <f t="shared" si="147"/>
        <v/>
      </c>
      <c r="V562" s="52" t="str">
        <f t="shared" si="142"/>
        <v/>
      </c>
      <c r="W562" s="1578"/>
      <c r="X562" s="52" t="str">
        <f t="shared" si="139"/>
        <v/>
      </c>
      <c r="Y562" s="52" t="str">
        <f t="shared" si="149"/>
        <v/>
      </c>
    </row>
    <row r="563" spans="2:27" ht="26">
      <c r="B563" s="1575"/>
      <c r="C563" s="1795"/>
      <c r="D563" s="920"/>
      <c r="E563" s="61"/>
      <c r="F563" s="61"/>
      <c r="G563" s="61" t="s">
        <v>8497</v>
      </c>
      <c r="H563" s="61"/>
      <c r="I563" s="61"/>
      <c r="J563" s="1687" t="s">
        <v>8498</v>
      </c>
      <c r="K563" s="63" t="str">
        <f>IF(AND(Q563="Yes",L561&lt;&gt;""),"Yes","No")</f>
        <v>No</v>
      </c>
      <c r="L563" s="76"/>
      <c r="M563" s="63">
        <f t="shared" si="135"/>
        <v>0</v>
      </c>
      <c r="N563" s="63" t="s">
        <v>8309</v>
      </c>
      <c r="O563" s="64"/>
      <c r="P563" s="660" t="str">
        <f t="shared" si="138"/>
        <v/>
      </c>
      <c r="Q563" s="52" t="str">
        <f t="shared" si="143"/>
        <v>No</v>
      </c>
      <c r="R563" s="1574" t="str">
        <f t="shared" si="146"/>
        <v/>
      </c>
      <c r="S563" s="52" t="str">
        <f t="shared" si="140"/>
        <v/>
      </c>
      <c r="T563" s="52" t="str">
        <f t="shared" si="141"/>
        <v/>
      </c>
      <c r="U563" s="52" t="str">
        <f t="shared" si="147"/>
        <v/>
      </c>
      <c r="V563" s="52" t="str">
        <f t="shared" si="142"/>
        <v/>
      </c>
      <c r="W563" s="1578"/>
      <c r="X563" s="52" t="str">
        <f t="shared" si="139"/>
        <v/>
      </c>
      <c r="Y563" s="52" t="str">
        <f t="shared" si="149"/>
        <v/>
      </c>
    </row>
    <row r="564" spans="2:27">
      <c r="B564" s="1575"/>
      <c r="C564" s="1795"/>
      <c r="D564" s="920"/>
      <c r="E564" s="61"/>
      <c r="F564" s="61" t="s">
        <v>3237</v>
      </c>
      <c r="G564" s="61"/>
      <c r="H564" s="61"/>
      <c r="I564" s="61"/>
      <c r="J564" s="1687" t="s">
        <v>8499</v>
      </c>
      <c r="K564" s="63" t="str">
        <f>IF(AND(Q564="Yes",L560&lt;&gt;""),"Yes","No")</f>
        <v>No</v>
      </c>
      <c r="L564" s="76"/>
      <c r="M564" s="63">
        <f t="shared" si="135"/>
        <v>0</v>
      </c>
      <c r="N564" s="63" t="s">
        <v>8471</v>
      </c>
      <c r="O564" s="64"/>
      <c r="P564" s="660" t="str">
        <f t="shared" si="138"/>
        <v/>
      </c>
      <c r="Q564" s="52" t="str">
        <f t="shared" si="143"/>
        <v>No</v>
      </c>
      <c r="R564" s="1574" t="str">
        <f t="shared" si="146"/>
        <v/>
      </c>
      <c r="S564" s="52" t="str">
        <f t="shared" si="140"/>
        <v/>
      </c>
      <c r="T564" s="52" t="str">
        <f t="shared" si="141"/>
        <v/>
      </c>
      <c r="U564" s="52" t="str">
        <f t="shared" si="147"/>
        <v/>
      </c>
      <c r="V564" s="52" t="str">
        <f t="shared" si="142"/>
        <v/>
      </c>
      <c r="W564" s="1578"/>
      <c r="X564" s="52" t="str">
        <f t="shared" si="139"/>
        <v/>
      </c>
      <c r="Y564" s="52" t="str">
        <f t="shared" si="149"/>
        <v/>
      </c>
    </row>
    <row r="565" spans="2:27" ht="39">
      <c r="B565" s="1532" t="str">
        <f t="shared" ref="B565:B608" si="152">IF(E565&lt;&gt;"",E565,IF(F565&lt;&gt;"",F565,IF(G565&lt;&gt;"",G565,IF(H565&lt;&gt;"",H565))))</f>
        <v>Indomitable</v>
      </c>
      <c r="C565" s="1795"/>
      <c r="D565" s="920"/>
      <c r="E565" s="61" t="s">
        <v>352</v>
      </c>
      <c r="F565" s="61"/>
      <c r="G565" s="61"/>
      <c r="H565" s="61"/>
      <c r="I565" s="61"/>
      <c r="J565" s="1687" t="s">
        <v>5014</v>
      </c>
      <c r="K565" s="63" t="str">
        <f t="shared" si="144"/>
        <v>No</v>
      </c>
      <c r="L565" s="76"/>
      <c r="M565" s="63">
        <f>IF(L565&lt;&gt;"",L565,0)</f>
        <v>0</v>
      </c>
      <c r="N565" s="63">
        <v>52</v>
      </c>
      <c r="O565" s="64"/>
      <c r="P565" s="660" t="str">
        <f t="shared" si="138"/>
        <v/>
      </c>
      <c r="Q565" s="52" t="str">
        <f>Q560</f>
        <v>No</v>
      </c>
      <c r="R565" s="1574" t="str">
        <f t="shared" si="146"/>
        <v/>
      </c>
      <c r="S565" s="52" t="str">
        <f t="shared" si="140"/>
        <v/>
      </c>
      <c r="T565" s="52" t="str">
        <f t="shared" si="141"/>
        <v/>
      </c>
      <c r="U565" s="52" t="str">
        <f t="shared" si="147"/>
        <v/>
      </c>
      <c r="V565" s="52" t="str">
        <f t="shared" si="142"/>
        <v/>
      </c>
      <c r="W565" s="1578"/>
      <c r="X565" s="52" t="str">
        <f t="shared" si="139"/>
        <v/>
      </c>
      <c r="Y565" s="52" t="str">
        <f t="shared" si="149"/>
        <v/>
      </c>
      <c r="AA565" s="52" t="str">
        <f t="shared" si="151"/>
        <v/>
      </c>
    </row>
    <row r="566" spans="2:27" ht="26">
      <c r="B566" s="1532" t="str">
        <f t="shared" si="152"/>
        <v>Keep Them at Bay</v>
      </c>
      <c r="C566" s="1795"/>
      <c r="D566" s="920"/>
      <c r="E566" s="61" t="s">
        <v>2929</v>
      </c>
      <c r="F566" s="61"/>
      <c r="G566" s="61"/>
      <c r="H566" s="61"/>
      <c r="I566" s="61"/>
      <c r="J566" s="1687" t="s">
        <v>5015</v>
      </c>
      <c r="K566" s="63" t="str">
        <f t="shared" si="144"/>
        <v>No</v>
      </c>
      <c r="L566" s="76"/>
      <c r="M566" s="63">
        <f t="shared" si="135"/>
        <v>0</v>
      </c>
      <c r="N566" s="63" t="s">
        <v>2905</v>
      </c>
      <c r="O566" s="64"/>
      <c r="P566" s="660" t="str">
        <f t="shared" si="138"/>
        <v/>
      </c>
      <c r="Q566" s="52" t="str">
        <f t="shared" si="143"/>
        <v>No</v>
      </c>
      <c r="R566" s="1574" t="str">
        <f t="shared" si="146"/>
        <v/>
      </c>
      <c r="S566" s="52" t="str">
        <f t="shared" si="140"/>
        <v/>
      </c>
      <c r="T566" s="52" t="str">
        <f t="shared" si="141"/>
        <v/>
      </c>
      <c r="U566" s="52" t="str">
        <f t="shared" si="147"/>
        <v/>
      </c>
      <c r="V566" s="52" t="str">
        <f t="shared" si="142"/>
        <v/>
      </c>
      <c r="W566" s="1578"/>
      <c r="X566" s="52" t="str">
        <f t="shared" si="139"/>
        <v/>
      </c>
      <c r="Y566" s="52" t="str">
        <f t="shared" si="149"/>
        <v/>
      </c>
      <c r="AA566" s="52" t="str">
        <f t="shared" si="151"/>
        <v/>
      </c>
    </row>
    <row r="567" spans="2:27">
      <c r="B567" s="1532" t="str">
        <f t="shared" si="152"/>
        <v>Tough as Nails</v>
      </c>
      <c r="C567" s="1795"/>
      <c r="D567" s="920"/>
      <c r="E567" s="61" t="s">
        <v>2930</v>
      </c>
      <c r="F567" s="61"/>
      <c r="G567" s="61"/>
      <c r="H567" s="61"/>
      <c r="I567" s="61"/>
      <c r="J567" s="1687" t="s">
        <v>5016</v>
      </c>
      <c r="K567" s="63" t="str">
        <f t="shared" si="144"/>
        <v>No</v>
      </c>
      <c r="L567" s="76"/>
      <c r="M567" s="63">
        <f t="shared" si="135"/>
        <v>0</v>
      </c>
      <c r="N567" s="63">
        <v>53</v>
      </c>
      <c r="O567" s="64"/>
      <c r="P567" s="660" t="str">
        <f t="shared" si="138"/>
        <v/>
      </c>
      <c r="Q567" s="52" t="str">
        <f t="shared" si="143"/>
        <v>No</v>
      </c>
      <c r="R567" s="1574" t="str">
        <f t="shared" si="146"/>
        <v/>
      </c>
      <c r="S567" s="52" t="str">
        <f t="shared" si="140"/>
        <v/>
      </c>
      <c r="T567" s="52" t="str">
        <f t="shared" si="141"/>
        <v/>
      </c>
      <c r="U567" s="52" t="str">
        <f t="shared" si="147"/>
        <v/>
      </c>
      <c r="V567" s="52" t="str">
        <f t="shared" si="142"/>
        <v/>
      </c>
      <c r="W567" s="1578"/>
      <c r="X567" s="52" t="str">
        <f t="shared" si="139"/>
        <v/>
      </c>
      <c r="Y567" s="52" t="str">
        <f t="shared" si="149"/>
        <v/>
      </c>
      <c r="AA567" s="52" t="str">
        <f t="shared" si="151"/>
        <v/>
      </c>
    </row>
    <row r="568" spans="2:27">
      <c r="B568" s="1532" t="str">
        <f t="shared" si="152"/>
        <v>Hard Target</v>
      </c>
      <c r="C568" s="1795"/>
      <c r="D568" s="920"/>
      <c r="E568" s="61"/>
      <c r="F568" s="61" t="s">
        <v>2931</v>
      </c>
      <c r="G568" s="61"/>
      <c r="H568" s="61"/>
      <c r="I568" s="61"/>
      <c r="J568" s="1687" t="s">
        <v>5017</v>
      </c>
      <c r="K568" s="63" t="str">
        <f>IF(AND(Q567="Yes",L567&lt;&gt;""),"Yes","No")</f>
        <v>No</v>
      </c>
      <c r="L568" s="76"/>
      <c r="M568" s="63">
        <f t="shared" si="135"/>
        <v>0</v>
      </c>
      <c r="N568" s="63" t="s">
        <v>2932</v>
      </c>
      <c r="O568" s="64"/>
      <c r="P568" s="660" t="str">
        <f t="shared" si="138"/>
        <v/>
      </c>
      <c r="Q568" s="52" t="str">
        <f t="shared" si="143"/>
        <v>No</v>
      </c>
      <c r="R568" s="1574" t="str">
        <f t="shared" si="146"/>
        <v/>
      </c>
      <c r="S568" s="52" t="str">
        <f t="shared" si="140"/>
        <v/>
      </c>
      <c r="T568" s="52" t="str">
        <f t="shared" si="141"/>
        <v/>
      </c>
      <c r="U568" s="52" t="str">
        <f t="shared" si="147"/>
        <v/>
      </c>
      <c r="V568" s="52" t="str">
        <f t="shared" si="142"/>
        <v/>
      </c>
      <c r="W568" s="1578"/>
      <c r="X568" s="52" t="str">
        <f t="shared" si="139"/>
        <v/>
      </c>
      <c r="Y568" s="52" t="str">
        <f t="shared" si="149"/>
        <v/>
      </c>
      <c r="AA568" s="52" t="str">
        <f t="shared" si="151"/>
        <v/>
      </c>
    </row>
    <row r="569" spans="2:27">
      <c r="B569" s="1532" t="str">
        <f t="shared" si="152"/>
        <v>Combined Fire</v>
      </c>
      <c r="C569" s="1795"/>
      <c r="D569" s="920" t="s">
        <v>2933</v>
      </c>
      <c r="E569" s="61" t="s">
        <v>2934</v>
      </c>
      <c r="F569" s="61"/>
      <c r="G569" s="61"/>
      <c r="H569" s="61"/>
      <c r="I569" s="61"/>
      <c r="J569" s="1687" t="s">
        <v>5018</v>
      </c>
      <c r="K569" s="63" t="str">
        <f t="shared" si="144"/>
        <v>No</v>
      </c>
      <c r="L569" s="76"/>
      <c r="M569" s="63">
        <f t="shared" si="135"/>
        <v>0</v>
      </c>
      <c r="N569" s="63" t="s">
        <v>2935</v>
      </c>
      <c r="O569" s="64"/>
      <c r="P569" s="660" t="str">
        <f t="shared" si="138"/>
        <v/>
      </c>
      <c r="Q569" s="52" t="str">
        <f>IF(OR(AD45&gt;0,AD11&gt;0),"Yes","No")</f>
        <v>No</v>
      </c>
      <c r="R569" s="1574" t="str">
        <f t="shared" si="146"/>
        <v/>
      </c>
      <c r="S569" s="52" t="str">
        <f t="shared" si="140"/>
        <v/>
      </c>
      <c r="T569" s="52" t="str">
        <f t="shared" si="141"/>
        <v/>
      </c>
      <c r="U569" s="52" t="str">
        <f t="shared" si="147"/>
        <v/>
      </c>
      <c r="V569" s="52" t="str">
        <f t="shared" si="142"/>
        <v/>
      </c>
      <c r="W569" s="1578"/>
      <c r="X569" s="52" t="str">
        <f t="shared" si="139"/>
        <v/>
      </c>
      <c r="Y569" s="52" t="str">
        <f t="shared" si="149"/>
        <v/>
      </c>
      <c r="AA569" s="52" t="str">
        <f t="shared" si="151"/>
        <v/>
      </c>
    </row>
    <row r="570" spans="2:27">
      <c r="B570" s="1532" t="str">
        <f t="shared" si="152"/>
        <v>Mercenary's Teamwork</v>
      </c>
      <c r="C570" s="1795"/>
      <c r="D570" s="920"/>
      <c r="E570" s="61"/>
      <c r="F570" s="61" t="s">
        <v>2936</v>
      </c>
      <c r="G570" s="61"/>
      <c r="H570" s="61"/>
      <c r="I570" s="61"/>
      <c r="J570" s="1687" t="s">
        <v>5019</v>
      </c>
      <c r="K570" s="63" t="str">
        <f>IF(AND(Q569="Yes",L569&lt;&gt;""),"Yes","No")</f>
        <v>No</v>
      </c>
      <c r="L570" s="76"/>
      <c r="M570" s="63">
        <f t="shared" si="135"/>
        <v>0</v>
      </c>
      <c r="N570" s="63" t="s">
        <v>2935</v>
      </c>
      <c r="O570" s="64"/>
      <c r="P570" s="660" t="str">
        <f t="shared" si="138"/>
        <v/>
      </c>
      <c r="Q570" s="52" t="str">
        <f t="shared" si="143"/>
        <v>No</v>
      </c>
      <c r="R570" s="1574" t="str">
        <f t="shared" si="146"/>
        <v/>
      </c>
      <c r="S570" s="52" t="str">
        <f t="shared" si="140"/>
        <v/>
      </c>
      <c r="T570" s="52" t="str">
        <f t="shared" si="141"/>
        <v/>
      </c>
      <c r="U570" s="52" t="str">
        <f t="shared" si="147"/>
        <v/>
      </c>
      <c r="V570" s="52" t="str">
        <f t="shared" si="142"/>
        <v/>
      </c>
      <c r="W570" s="1578"/>
      <c r="X570" s="52" t="str">
        <f t="shared" si="139"/>
        <v/>
      </c>
      <c r="Y570" s="52" t="str">
        <f t="shared" si="149"/>
        <v/>
      </c>
      <c r="AA570" s="52" t="str">
        <f t="shared" si="151"/>
        <v/>
      </c>
    </row>
    <row r="571" spans="2:27" ht="39">
      <c r="B571" s="1532" t="str">
        <f t="shared" si="152"/>
        <v>Commanding Presence</v>
      </c>
      <c r="C571" s="1795"/>
      <c r="D571" s="920"/>
      <c r="E571" s="61" t="s">
        <v>2937</v>
      </c>
      <c r="F571" s="61"/>
      <c r="G571" s="61"/>
      <c r="H571" s="61"/>
      <c r="I571" s="61"/>
      <c r="J571" s="1687" t="s">
        <v>5020</v>
      </c>
      <c r="K571" s="63" t="str">
        <f t="shared" si="144"/>
        <v>No</v>
      </c>
      <c r="L571" s="76"/>
      <c r="M571" s="63">
        <f t="shared" si="135"/>
        <v>0</v>
      </c>
      <c r="N571" s="63" t="s">
        <v>2828</v>
      </c>
      <c r="O571" s="64"/>
      <c r="P571" s="660" t="str">
        <f t="shared" si="138"/>
        <v/>
      </c>
      <c r="Q571" s="52" t="str">
        <f t="shared" si="143"/>
        <v>No</v>
      </c>
      <c r="R571" s="1574" t="str">
        <f t="shared" si="146"/>
        <v/>
      </c>
      <c r="S571" s="52" t="str">
        <f t="shared" si="140"/>
        <v/>
      </c>
      <c r="T571" s="52" t="str">
        <f t="shared" si="141"/>
        <v/>
      </c>
      <c r="U571" s="52" t="str">
        <f t="shared" si="147"/>
        <v/>
      </c>
      <c r="V571" s="52" t="str">
        <f t="shared" si="142"/>
        <v/>
      </c>
      <c r="W571" s="1578"/>
      <c r="X571" s="52" t="str">
        <f t="shared" si="139"/>
        <v/>
      </c>
      <c r="Y571" s="52" t="str">
        <f t="shared" si="149"/>
        <v/>
      </c>
      <c r="AA571" s="52" t="str">
        <f t="shared" si="151"/>
        <v/>
      </c>
    </row>
    <row r="572" spans="2:27" ht="26">
      <c r="B572" s="1532" t="str">
        <f t="shared" si="152"/>
        <v>Feared Warrior</v>
      </c>
      <c r="C572" s="1795"/>
      <c r="D572" s="920"/>
      <c r="E572" s="61"/>
      <c r="F572" s="61" t="s">
        <v>2938</v>
      </c>
      <c r="G572" s="61"/>
      <c r="H572" s="61"/>
      <c r="I572" s="61"/>
      <c r="J572" s="1687" t="s">
        <v>5021</v>
      </c>
      <c r="K572" s="63" t="str">
        <f>IF(AND(Q571="Yes",L571&lt;&gt;""),"Yes","No")</f>
        <v>No</v>
      </c>
      <c r="L572" s="76"/>
      <c r="M572" s="63">
        <f t="shared" si="135"/>
        <v>0</v>
      </c>
      <c r="N572" s="63" t="s">
        <v>2939</v>
      </c>
      <c r="O572" s="64"/>
      <c r="P572" s="660" t="str">
        <f t="shared" si="138"/>
        <v/>
      </c>
      <c r="Q572" s="52" t="str">
        <f t="shared" si="143"/>
        <v>No</v>
      </c>
      <c r="R572" s="1574" t="str">
        <f t="shared" si="146"/>
        <v/>
      </c>
      <c r="S572" s="52" t="str">
        <f t="shared" si="140"/>
        <v/>
      </c>
      <c r="T572" s="52" t="str">
        <f t="shared" si="141"/>
        <v/>
      </c>
      <c r="U572" s="52" t="str">
        <f t="shared" si="147"/>
        <v/>
      </c>
      <c r="V572" s="52" t="str">
        <f t="shared" si="142"/>
        <v/>
      </c>
      <c r="W572" s="1578"/>
      <c r="X572" s="52" t="str">
        <f t="shared" si="139"/>
        <v/>
      </c>
      <c r="Y572" s="52" t="str">
        <f t="shared" si="149"/>
        <v/>
      </c>
      <c r="AA572" s="52" t="str">
        <f t="shared" si="151"/>
        <v/>
      </c>
    </row>
    <row r="573" spans="2:27" ht="26">
      <c r="B573" s="1532" t="str">
        <f t="shared" si="152"/>
        <v>Dirty Fighting</v>
      </c>
      <c r="C573" s="1795"/>
      <c r="D573" s="920"/>
      <c r="E573" s="61" t="s">
        <v>2940</v>
      </c>
      <c r="F573" s="61"/>
      <c r="G573" s="61"/>
      <c r="H573" s="61"/>
      <c r="I573" s="61"/>
      <c r="J573" s="1687" t="s">
        <v>5022</v>
      </c>
      <c r="K573" s="63" t="str">
        <f t="shared" si="144"/>
        <v>No</v>
      </c>
      <c r="L573" s="76"/>
      <c r="M573" s="63">
        <f t="shared" si="135"/>
        <v>0</v>
      </c>
      <c r="N573" s="63" t="s">
        <v>2828</v>
      </c>
      <c r="O573" s="64"/>
      <c r="P573" s="660" t="str">
        <f t="shared" si="138"/>
        <v/>
      </c>
      <c r="Q573" s="52" t="str">
        <f t="shared" si="143"/>
        <v>No</v>
      </c>
      <c r="R573" s="1574" t="str">
        <f t="shared" si="146"/>
        <v/>
      </c>
      <c r="S573" s="52" t="str">
        <f t="shared" si="140"/>
        <v/>
      </c>
      <c r="T573" s="52" t="str">
        <f t="shared" si="141"/>
        <v/>
      </c>
      <c r="U573" s="52" t="str">
        <f t="shared" si="147"/>
        <v/>
      </c>
      <c r="V573" s="52" t="str">
        <f t="shared" si="142"/>
        <v/>
      </c>
      <c r="W573" s="1578"/>
      <c r="X573" s="52" t="str">
        <f t="shared" si="139"/>
        <v/>
      </c>
      <c r="Y573" s="52" t="str">
        <f t="shared" si="149"/>
        <v/>
      </c>
      <c r="AA573" s="52" t="str">
        <f t="shared" si="151"/>
        <v/>
      </c>
    </row>
    <row r="574" spans="2:27" ht="26">
      <c r="B574" s="1532" t="str">
        <f t="shared" si="152"/>
        <v>Ruthless</v>
      </c>
      <c r="C574" s="1795"/>
      <c r="D574" s="920"/>
      <c r="E574" s="61"/>
      <c r="F574" s="61" t="s">
        <v>2941</v>
      </c>
      <c r="G574" s="61"/>
      <c r="H574" s="61"/>
      <c r="I574" s="61"/>
      <c r="J574" s="1687" t="s">
        <v>5023</v>
      </c>
      <c r="K574" s="63" t="str">
        <f>IF(AND(Q573="Yes",L573&lt;&gt;""),"Yes","No")</f>
        <v>No</v>
      </c>
      <c r="L574" s="76"/>
      <c r="M574" s="63">
        <f t="shared" si="135"/>
        <v>0</v>
      </c>
      <c r="N574" s="63" t="s">
        <v>2939</v>
      </c>
      <c r="O574" s="64"/>
      <c r="P574" s="660" t="str">
        <f t="shared" si="138"/>
        <v/>
      </c>
      <c r="Q574" s="52" t="str">
        <f t="shared" si="143"/>
        <v>No</v>
      </c>
      <c r="R574" s="1574" t="str">
        <f t="shared" si="146"/>
        <v/>
      </c>
      <c r="S574" s="52" t="str">
        <f t="shared" si="140"/>
        <v/>
      </c>
      <c r="T574" s="52" t="str">
        <f t="shared" si="141"/>
        <v/>
      </c>
      <c r="U574" s="52" t="str">
        <f t="shared" si="147"/>
        <v/>
      </c>
      <c r="V574" s="52" t="str">
        <f t="shared" si="142"/>
        <v/>
      </c>
      <c r="W574" s="1578"/>
      <c r="X574" s="52" t="str">
        <f t="shared" si="139"/>
        <v/>
      </c>
      <c r="Y574" s="52" t="str">
        <f t="shared" si="149"/>
        <v/>
      </c>
      <c r="AA574" s="52" t="str">
        <f t="shared" si="151"/>
        <v/>
      </c>
    </row>
    <row r="575" spans="2:27">
      <c r="B575" s="1532" t="str">
        <f t="shared" si="152"/>
        <v>Focused Warrior</v>
      </c>
      <c r="C575" s="1795"/>
      <c r="D575" s="920"/>
      <c r="E575" s="61" t="s">
        <v>2942</v>
      </c>
      <c r="F575" s="61"/>
      <c r="G575" s="61"/>
      <c r="H575" s="61"/>
      <c r="I575" s="61"/>
      <c r="J575" s="1687" t="s">
        <v>5024</v>
      </c>
      <c r="K575" s="63" t="str">
        <f t="shared" si="144"/>
        <v>No</v>
      </c>
      <c r="L575" s="76"/>
      <c r="M575" s="63">
        <f t="shared" si="135"/>
        <v>0</v>
      </c>
      <c r="N575" s="63" t="s">
        <v>2939</v>
      </c>
      <c r="O575" s="64"/>
      <c r="P575" s="660" t="str">
        <f t="shared" si="138"/>
        <v/>
      </c>
      <c r="Q575" s="52" t="str">
        <f t="shared" si="143"/>
        <v>No</v>
      </c>
      <c r="R575" s="1574" t="str">
        <f t="shared" si="146"/>
        <v/>
      </c>
      <c r="S575" s="52" t="str">
        <f t="shared" si="140"/>
        <v/>
      </c>
      <c r="T575" s="52" t="str">
        <f t="shared" si="141"/>
        <v/>
      </c>
      <c r="U575" s="52" t="str">
        <f t="shared" si="147"/>
        <v/>
      </c>
      <c r="V575" s="52" t="str">
        <f t="shared" si="142"/>
        <v/>
      </c>
      <c r="W575" s="1578"/>
      <c r="X575" s="52" t="str">
        <f t="shared" si="139"/>
        <v/>
      </c>
      <c r="Y575" s="52" t="str">
        <f t="shared" si="149"/>
        <v/>
      </c>
      <c r="AA575" s="52" t="str">
        <f t="shared" si="151"/>
        <v/>
      </c>
    </row>
    <row r="576" spans="2:27">
      <c r="B576" s="1532" t="str">
        <f t="shared" si="152"/>
        <v>Mercenary's Grit</v>
      </c>
      <c r="C576" s="1795"/>
      <c r="D576" s="920"/>
      <c r="E576" s="61" t="s">
        <v>2943</v>
      </c>
      <c r="F576" s="61"/>
      <c r="G576" s="61"/>
      <c r="H576" s="61"/>
      <c r="I576" s="61"/>
      <c r="J576" s="1687" t="s">
        <v>5025</v>
      </c>
      <c r="K576" s="63" t="str">
        <f t="shared" si="144"/>
        <v>No</v>
      </c>
      <c r="L576" s="76"/>
      <c r="M576" s="63">
        <f t="shared" si="135"/>
        <v>0</v>
      </c>
      <c r="N576" s="63" t="s">
        <v>2935</v>
      </c>
      <c r="O576" s="64"/>
      <c r="P576" s="660" t="str">
        <f t="shared" ref="P576:P639" si="153">IF(ShowTalentTrees,IF(D576&lt;&gt;"",D576,P575),"")</f>
        <v/>
      </c>
      <c r="Q576" s="52" t="str">
        <f t="shared" si="143"/>
        <v>No</v>
      </c>
      <c r="R576" s="1574" t="str">
        <f t="shared" si="146"/>
        <v/>
      </c>
      <c r="S576" s="52" t="str">
        <f t="shared" si="140"/>
        <v/>
      </c>
      <c r="T576" s="52" t="str">
        <f t="shared" si="141"/>
        <v/>
      </c>
      <c r="U576" s="52" t="str">
        <f t="shared" si="147"/>
        <v/>
      </c>
      <c r="V576" s="52" t="str">
        <f t="shared" si="142"/>
        <v/>
      </c>
      <c r="W576" s="1578"/>
      <c r="X576" s="52" t="str">
        <f t="shared" ref="X576:X639" si="154">IF(U576&lt;&gt;"",IF(W576="Special Actions",U576&amp;IF(X577&lt;&gt;"",", ",""),"")&amp;X577,X577)</f>
        <v/>
      </c>
      <c r="Y576" s="52" t="str">
        <f t="shared" si="149"/>
        <v/>
      </c>
      <c r="AA576" s="52" t="str">
        <f t="shared" si="151"/>
        <v/>
      </c>
    </row>
    <row r="577" spans="2:27">
      <c r="B577" s="1532" t="str">
        <f t="shared" si="152"/>
        <v>Mercenary's Determination</v>
      </c>
      <c r="C577" s="1795"/>
      <c r="D577" s="920"/>
      <c r="E577" s="61"/>
      <c r="F577" s="61" t="s">
        <v>2944</v>
      </c>
      <c r="G577" s="61"/>
      <c r="H577" s="61"/>
      <c r="I577" s="61"/>
      <c r="J577" s="1687" t="s">
        <v>5026</v>
      </c>
      <c r="K577" s="63" t="str">
        <f>IF(AND(Q576="Yes",L576&lt;&gt;""),"Yes","No")</f>
        <v>No</v>
      </c>
      <c r="L577" s="76"/>
      <c r="M577" s="63">
        <f t="shared" si="135"/>
        <v>0</v>
      </c>
      <c r="N577" s="63" t="s">
        <v>2935</v>
      </c>
      <c r="O577" s="64"/>
      <c r="P577" s="660" t="str">
        <f t="shared" si="153"/>
        <v/>
      </c>
      <c r="Q577" s="52" t="str">
        <f t="shared" si="143"/>
        <v>No</v>
      </c>
      <c r="R577" s="1574" t="str">
        <f t="shared" si="146"/>
        <v/>
      </c>
      <c r="S577" s="52" t="str">
        <f t="shared" ref="S577:S604" si="155">IF(R577&lt;&gt;"",R577&amp;";"&amp;S578,S578)</f>
        <v/>
      </c>
      <c r="T577" s="52" t="str">
        <f t="shared" ref="T577:T604" si="156">IF(R577&lt;&gt;"",N577&amp;";"&amp;T578,T578)</f>
        <v/>
      </c>
      <c r="U577" s="52" t="str">
        <f t="shared" si="147"/>
        <v/>
      </c>
      <c r="V577" s="52" t="str">
        <f t="shared" ref="V577:V604" si="157">IF(U577&lt;&gt;"",U577&amp;";"&amp;V578,V578)</f>
        <v/>
      </c>
      <c r="W577" s="1578"/>
      <c r="X577" s="52" t="str">
        <f t="shared" si="154"/>
        <v/>
      </c>
      <c r="Y577" s="52" t="str">
        <f t="shared" si="149"/>
        <v/>
      </c>
      <c r="AA577" s="52" t="str">
        <f t="shared" si="151"/>
        <v/>
      </c>
    </row>
    <row r="578" spans="2:27">
      <c r="B578" s="1532" t="str">
        <f t="shared" si="152"/>
        <v>Jet Pack Training</v>
      </c>
      <c r="C578" s="1795"/>
      <c r="D578" s="920" t="s">
        <v>2945</v>
      </c>
      <c r="E578" s="61" t="s">
        <v>2946</v>
      </c>
      <c r="F578" s="61"/>
      <c r="G578" s="61"/>
      <c r="H578" s="61"/>
      <c r="I578" s="61"/>
      <c r="J578" s="1687" t="s">
        <v>5027</v>
      </c>
      <c r="K578" s="63" t="str">
        <f t="shared" si="144"/>
        <v>No</v>
      </c>
      <c r="L578" s="76"/>
      <c r="M578" s="63">
        <f t="shared" ref="M578:M615" si="158">IF(L578&lt;&gt;"",1,0)</f>
        <v>0</v>
      </c>
      <c r="N578" s="63" t="s">
        <v>2947</v>
      </c>
      <c r="O578" s="64"/>
      <c r="P578" s="660" t="str">
        <f t="shared" si="153"/>
        <v/>
      </c>
      <c r="Q578" s="52" t="str">
        <f>IF(OR(AD45&gt;0,AD11&gt;0),"Yes","No")</f>
        <v>No</v>
      </c>
      <c r="R578" s="1574" t="str">
        <f t="shared" si="146"/>
        <v/>
      </c>
      <c r="S578" s="52" t="str">
        <f t="shared" si="155"/>
        <v/>
      </c>
      <c r="T578" s="52" t="str">
        <f t="shared" si="156"/>
        <v/>
      </c>
      <c r="U578" s="52" t="str">
        <f t="shared" si="147"/>
        <v/>
      </c>
      <c r="V578" s="52" t="str">
        <f t="shared" si="157"/>
        <v/>
      </c>
      <c r="W578" s="1578"/>
      <c r="X578" s="52" t="str">
        <f t="shared" si="154"/>
        <v/>
      </c>
      <c r="Y578" s="52" t="str">
        <f t="shared" si="149"/>
        <v/>
      </c>
      <c r="AA578" s="52" t="str">
        <f t="shared" si="151"/>
        <v/>
      </c>
    </row>
    <row r="579" spans="2:27">
      <c r="B579" s="1532" t="str">
        <f t="shared" si="152"/>
        <v>Burning Assault</v>
      </c>
      <c r="C579" s="1795"/>
      <c r="D579" s="920"/>
      <c r="E579" s="61"/>
      <c r="F579" s="61" t="s">
        <v>2948</v>
      </c>
      <c r="G579" s="61"/>
      <c r="H579" s="61"/>
      <c r="I579" s="61"/>
      <c r="J579" s="1687" t="s">
        <v>5028</v>
      </c>
      <c r="K579" s="63" t="str">
        <f>IF(AND(Q578="Yes",L578&lt;&gt;""),"Yes","No")</f>
        <v>No</v>
      </c>
      <c r="L579" s="76"/>
      <c r="M579" s="63">
        <f t="shared" si="158"/>
        <v>0</v>
      </c>
      <c r="N579" s="63" t="s">
        <v>2947</v>
      </c>
      <c r="O579" s="64"/>
      <c r="P579" s="660" t="str">
        <f t="shared" si="153"/>
        <v/>
      </c>
      <c r="Q579" s="52" t="str">
        <f t="shared" si="143"/>
        <v>No</v>
      </c>
      <c r="R579" s="1574" t="str">
        <f t="shared" si="146"/>
        <v/>
      </c>
      <c r="S579" s="52" t="str">
        <f t="shared" si="155"/>
        <v/>
      </c>
      <c r="T579" s="52" t="str">
        <f t="shared" si="156"/>
        <v/>
      </c>
      <c r="U579" s="52" t="str">
        <f t="shared" si="147"/>
        <v/>
      </c>
      <c r="V579" s="52" t="str">
        <f t="shared" si="157"/>
        <v/>
      </c>
      <c r="W579" s="1578"/>
      <c r="X579" s="52" t="str">
        <f t="shared" si="154"/>
        <v/>
      </c>
      <c r="Y579" s="52" t="str">
        <f t="shared" si="149"/>
        <v/>
      </c>
      <c r="AA579" s="52" t="str">
        <f t="shared" si="151"/>
        <v/>
      </c>
    </row>
    <row r="580" spans="2:27">
      <c r="B580" s="1532" t="str">
        <f t="shared" si="152"/>
        <v>Improved Trajectory</v>
      </c>
      <c r="C580" s="1795"/>
      <c r="D580" s="920"/>
      <c r="E580" s="61"/>
      <c r="F580" s="61" t="s">
        <v>2949</v>
      </c>
      <c r="G580" s="61"/>
      <c r="H580" s="61"/>
      <c r="I580" s="61"/>
      <c r="J580" s="1687" t="s">
        <v>5029</v>
      </c>
      <c r="K580" s="63" t="str">
        <f>IF(AND(Q579="Yes",L578&lt;&gt;""),"Yes","No")</f>
        <v>No</v>
      </c>
      <c r="L580" s="76"/>
      <c r="M580" s="63">
        <f t="shared" si="158"/>
        <v>0</v>
      </c>
      <c r="N580" s="63" t="s">
        <v>2947</v>
      </c>
      <c r="O580" s="64"/>
      <c r="P580" s="660" t="str">
        <f t="shared" si="153"/>
        <v/>
      </c>
      <c r="Q580" s="52" t="str">
        <f t="shared" si="143"/>
        <v>No</v>
      </c>
      <c r="R580" s="1574" t="str">
        <f t="shared" si="146"/>
        <v/>
      </c>
      <c r="S580" s="52" t="str">
        <f t="shared" si="155"/>
        <v/>
      </c>
      <c r="T580" s="52" t="str">
        <f t="shared" si="156"/>
        <v/>
      </c>
      <c r="U580" s="52" t="str">
        <f t="shared" si="147"/>
        <v/>
      </c>
      <c r="V580" s="52" t="str">
        <f t="shared" si="157"/>
        <v/>
      </c>
      <c r="W580" s="1578"/>
      <c r="X580" s="52" t="str">
        <f t="shared" si="154"/>
        <v/>
      </c>
      <c r="Y580" s="52" t="str">
        <f t="shared" si="149"/>
        <v/>
      </c>
      <c r="AA580" s="52" t="str">
        <f t="shared" si="151"/>
        <v/>
      </c>
    </row>
    <row r="581" spans="2:27">
      <c r="B581" s="1532" t="str">
        <f t="shared" si="152"/>
        <v>Jet Pack Withdraw</v>
      </c>
      <c r="C581" s="1795"/>
      <c r="D581" s="920"/>
      <c r="E581" s="61"/>
      <c r="F581" s="61" t="s">
        <v>2950</v>
      </c>
      <c r="G581" s="61"/>
      <c r="H581" s="61"/>
      <c r="I581" s="61"/>
      <c r="J581" s="1687" t="s">
        <v>5030</v>
      </c>
      <c r="K581" s="63" t="str">
        <f>IF(AND(Q580="Yes",L578&lt;&gt;""),"Yes","No")</f>
        <v>No</v>
      </c>
      <c r="L581" s="76"/>
      <c r="M581" s="63">
        <f t="shared" si="158"/>
        <v>0</v>
      </c>
      <c r="N581" s="63" t="s">
        <v>2947</v>
      </c>
      <c r="O581" s="64"/>
      <c r="P581" s="660" t="str">
        <f t="shared" si="153"/>
        <v/>
      </c>
      <c r="Q581" s="52" t="str">
        <f t="shared" si="143"/>
        <v>No</v>
      </c>
      <c r="R581" s="1574" t="str">
        <f t="shared" si="146"/>
        <v/>
      </c>
      <c r="S581" s="52" t="str">
        <f t="shared" si="155"/>
        <v/>
      </c>
      <c r="T581" s="52" t="str">
        <f t="shared" si="156"/>
        <v/>
      </c>
      <c r="U581" s="52" t="str">
        <f t="shared" si="147"/>
        <v/>
      </c>
      <c r="V581" s="52" t="str">
        <f t="shared" si="157"/>
        <v/>
      </c>
      <c r="W581" s="1578"/>
      <c r="X581" s="52" t="str">
        <f t="shared" si="154"/>
        <v/>
      </c>
      <c r="Y581" s="52" t="str">
        <f t="shared" si="149"/>
        <v/>
      </c>
      <c r="AA581" s="52" t="str">
        <f t="shared" si="151"/>
        <v/>
      </c>
    </row>
    <row r="582" spans="2:27">
      <c r="B582" s="1532" t="str">
        <f t="shared" si="152"/>
        <v>Comrades in Arms</v>
      </c>
      <c r="C582" s="1795"/>
      <c r="D582" s="920" t="s">
        <v>2951</v>
      </c>
      <c r="E582" s="61" t="s">
        <v>2952</v>
      </c>
      <c r="F582" s="61"/>
      <c r="G582" s="61"/>
      <c r="H582" s="61"/>
      <c r="I582" s="61"/>
      <c r="J582" s="1687" t="s">
        <v>5031</v>
      </c>
      <c r="K582" s="63" t="str">
        <f t="shared" si="144"/>
        <v>No</v>
      </c>
      <c r="L582" s="76"/>
      <c r="M582" s="63">
        <f t="shared" si="158"/>
        <v>0</v>
      </c>
      <c r="N582" s="63" t="s">
        <v>2905</v>
      </c>
      <c r="O582" s="64"/>
      <c r="P582" s="660" t="str">
        <f t="shared" si="153"/>
        <v/>
      </c>
      <c r="Q582" s="52" t="str">
        <f>IF(OR(AD45&gt;0,AD11&gt;0),"Yes","No")</f>
        <v>No</v>
      </c>
      <c r="R582" s="1574" t="str">
        <f t="shared" si="146"/>
        <v/>
      </c>
      <c r="S582" s="52" t="str">
        <f t="shared" si="155"/>
        <v/>
      </c>
      <c r="T582" s="52" t="str">
        <f t="shared" si="156"/>
        <v/>
      </c>
      <c r="U582" s="52" t="str">
        <f t="shared" si="147"/>
        <v/>
      </c>
      <c r="V582" s="52" t="str">
        <f t="shared" si="157"/>
        <v/>
      </c>
      <c r="W582" s="1578"/>
      <c r="X582" s="52" t="str">
        <f t="shared" si="154"/>
        <v/>
      </c>
      <c r="Y582" s="52" t="str">
        <f t="shared" si="149"/>
        <v/>
      </c>
      <c r="AA582" s="52" t="str">
        <f t="shared" si="151"/>
        <v/>
      </c>
    </row>
    <row r="583" spans="2:27" ht="26">
      <c r="B583" s="1532" t="str">
        <f t="shared" si="152"/>
        <v>Focused Targeting</v>
      </c>
      <c r="C583" s="1795"/>
      <c r="D583" s="920"/>
      <c r="E583" s="61"/>
      <c r="F583" s="61" t="s">
        <v>2953</v>
      </c>
      <c r="G583" s="61"/>
      <c r="H583" s="61"/>
      <c r="I583" s="61"/>
      <c r="J583" s="1687" t="s">
        <v>5032</v>
      </c>
      <c r="K583" s="63" t="str">
        <f>IF(AND(Q582="Yes",L582&lt;&gt;""),"Yes","No")</f>
        <v>No</v>
      </c>
      <c r="L583" s="76"/>
      <c r="M583" s="63">
        <f t="shared" si="158"/>
        <v>0</v>
      </c>
      <c r="N583" s="63" t="s">
        <v>2905</v>
      </c>
      <c r="O583" s="64"/>
      <c r="P583" s="660" t="str">
        <f t="shared" si="153"/>
        <v/>
      </c>
      <c r="Q583" s="52" t="str">
        <f t="shared" si="143"/>
        <v>No</v>
      </c>
      <c r="R583" s="1574" t="str">
        <f t="shared" si="146"/>
        <v/>
      </c>
      <c r="S583" s="52" t="str">
        <f t="shared" si="155"/>
        <v/>
      </c>
      <c r="T583" s="52" t="str">
        <f t="shared" si="156"/>
        <v/>
      </c>
      <c r="U583" s="52" t="str">
        <f t="shared" si="147"/>
        <v/>
      </c>
      <c r="V583" s="52" t="str">
        <f t="shared" si="157"/>
        <v/>
      </c>
      <c r="W583" s="1578"/>
      <c r="X583" s="52" t="str">
        <f t="shared" si="154"/>
        <v/>
      </c>
      <c r="Y583" s="52" t="str">
        <f t="shared" si="149"/>
        <v/>
      </c>
      <c r="AA583" s="52" t="str">
        <f t="shared" si="151"/>
        <v/>
      </c>
    </row>
    <row r="584" spans="2:27" ht="26">
      <c r="B584" s="1532" t="str">
        <f t="shared" si="152"/>
        <v>Stick Together</v>
      </c>
      <c r="C584" s="1795"/>
      <c r="D584" s="920"/>
      <c r="E584" s="61"/>
      <c r="F584" s="61" t="s">
        <v>2954</v>
      </c>
      <c r="G584" s="61"/>
      <c r="H584" s="61"/>
      <c r="I584" s="61"/>
      <c r="J584" s="1687" t="s">
        <v>5033</v>
      </c>
      <c r="K584" s="63" t="str">
        <f t="shared" si="144"/>
        <v>No</v>
      </c>
      <c r="L584" s="76"/>
      <c r="M584" s="63">
        <f t="shared" si="158"/>
        <v>0</v>
      </c>
      <c r="N584" s="63" t="s">
        <v>2905</v>
      </c>
      <c r="O584" s="64"/>
      <c r="P584" s="660" t="str">
        <f t="shared" si="153"/>
        <v/>
      </c>
      <c r="Q584" s="52" t="str">
        <f t="shared" si="143"/>
        <v>No</v>
      </c>
      <c r="R584" s="1574" t="str">
        <f t="shared" si="146"/>
        <v/>
      </c>
      <c r="S584" s="52" t="str">
        <f t="shared" si="155"/>
        <v/>
      </c>
      <c r="T584" s="52" t="str">
        <f t="shared" si="156"/>
        <v/>
      </c>
      <c r="U584" s="52" t="str">
        <f t="shared" si="147"/>
        <v/>
      </c>
      <c r="V584" s="52" t="str">
        <f t="shared" si="157"/>
        <v/>
      </c>
      <c r="W584" s="1578"/>
      <c r="X584" s="52" t="str">
        <f t="shared" si="154"/>
        <v/>
      </c>
      <c r="Y584" s="52" t="str">
        <f t="shared" si="149"/>
        <v/>
      </c>
      <c r="AA584" s="52" t="str">
        <f t="shared" si="151"/>
        <v/>
      </c>
    </row>
    <row r="585" spans="2:27">
      <c r="B585" s="1532" t="str">
        <f t="shared" si="152"/>
        <v>Watch Your Back</v>
      </c>
      <c r="C585" s="1795"/>
      <c r="D585" s="920"/>
      <c r="E585" s="61" t="s">
        <v>2955</v>
      </c>
      <c r="F585" s="61"/>
      <c r="G585" s="61"/>
      <c r="H585" s="61"/>
      <c r="I585" s="61"/>
      <c r="J585" s="1687" t="s">
        <v>5034</v>
      </c>
      <c r="K585" s="63" t="str">
        <f t="shared" si="144"/>
        <v>No</v>
      </c>
      <c r="L585" s="76"/>
      <c r="M585" s="63">
        <f t="shared" si="158"/>
        <v>0</v>
      </c>
      <c r="N585" s="63" t="s">
        <v>2905</v>
      </c>
      <c r="O585" s="64"/>
      <c r="P585" s="660" t="str">
        <f t="shared" si="153"/>
        <v/>
      </c>
      <c r="Q585" s="52" t="str">
        <f t="shared" si="143"/>
        <v>No</v>
      </c>
      <c r="R585" s="1574" t="str">
        <f t="shared" si="146"/>
        <v/>
      </c>
      <c r="S585" s="52" t="str">
        <f t="shared" si="155"/>
        <v/>
      </c>
      <c r="T585" s="52" t="str">
        <f t="shared" si="156"/>
        <v/>
      </c>
      <c r="U585" s="52" t="str">
        <f t="shared" si="147"/>
        <v/>
      </c>
      <c r="V585" s="52" t="str">
        <f t="shared" si="157"/>
        <v/>
      </c>
      <c r="W585" s="1578"/>
      <c r="X585" s="52" t="str">
        <f t="shared" si="154"/>
        <v/>
      </c>
      <c r="Y585" s="52" t="str">
        <f t="shared" si="149"/>
        <v/>
      </c>
      <c r="AA585" s="52" t="str">
        <f t="shared" si="151"/>
        <v/>
      </c>
    </row>
    <row r="586" spans="2:27">
      <c r="B586" s="1532" t="str">
        <f t="shared" si="152"/>
        <v>Phalanx</v>
      </c>
      <c r="C586" s="1795"/>
      <c r="D586" s="920"/>
      <c r="E586" s="61"/>
      <c r="F586" s="61" t="s">
        <v>2956</v>
      </c>
      <c r="G586" s="61"/>
      <c r="H586" s="61"/>
      <c r="I586" s="61"/>
      <c r="J586" s="1687" t="s">
        <v>5035</v>
      </c>
      <c r="K586" s="63" t="str">
        <f>IF(AND(Q586="Yes",L585&lt;&gt;""),"Yes","No")</f>
        <v>No</v>
      </c>
      <c r="L586" s="76"/>
      <c r="M586" s="63">
        <f t="shared" si="158"/>
        <v>0</v>
      </c>
      <c r="N586" s="63" t="s">
        <v>2905</v>
      </c>
      <c r="O586" s="64"/>
      <c r="P586" s="660" t="str">
        <f t="shared" si="153"/>
        <v/>
      </c>
      <c r="Q586" s="52" t="str">
        <f t="shared" si="143"/>
        <v>No</v>
      </c>
      <c r="R586" s="1574" t="str">
        <f t="shared" si="146"/>
        <v/>
      </c>
      <c r="S586" s="52" t="str">
        <f t="shared" si="155"/>
        <v/>
      </c>
      <c r="T586" s="52" t="str">
        <f t="shared" si="156"/>
        <v/>
      </c>
      <c r="U586" s="52" t="str">
        <f t="shared" si="147"/>
        <v/>
      </c>
      <c r="V586" s="52" t="str">
        <f t="shared" si="157"/>
        <v/>
      </c>
      <c r="W586" s="1578"/>
      <c r="X586" s="52" t="str">
        <f t="shared" si="154"/>
        <v/>
      </c>
      <c r="Y586" s="52" t="str">
        <f t="shared" si="149"/>
        <v/>
      </c>
      <c r="AA586" s="52" t="str">
        <f t="shared" ref="AA586:AA591" si="159">IF(U586&lt;&gt;"",IF(Z586="Defenses",U586&amp;IF(AA587&lt;&gt;"",", ",""),"")&amp;AA587,AA587)</f>
        <v/>
      </c>
    </row>
    <row r="587" spans="2:27" ht="26">
      <c r="B587" s="1532" t="str">
        <f t="shared" si="152"/>
        <v>Retaliation Jab</v>
      </c>
      <c r="C587" s="1795"/>
      <c r="D587" s="920" t="s">
        <v>6872</v>
      </c>
      <c r="E587" s="61" t="s">
        <v>6862</v>
      </c>
      <c r="F587" s="61"/>
      <c r="G587" s="61"/>
      <c r="H587" s="61"/>
      <c r="I587" s="61"/>
      <c r="J587" s="1687" t="s">
        <v>6863</v>
      </c>
      <c r="K587" s="63" t="str">
        <f t="shared" si="144"/>
        <v>No</v>
      </c>
      <c r="L587" s="76"/>
      <c r="M587" s="63">
        <f t="shared" si="158"/>
        <v>0</v>
      </c>
      <c r="N587" s="63" t="s">
        <v>6859</v>
      </c>
      <c r="O587" s="64"/>
      <c r="P587" s="660" t="str">
        <f t="shared" si="153"/>
        <v/>
      </c>
      <c r="Q587" s="52" t="str">
        <f t="shared" si="143"/>
        <v>No</v>
      </c>
      <c r="R587" s="1574" t="str">
        <f t="shared" si="146"/>
        <v/>
      </c>
      <c r="S587" s="52" t="str">
        <f t="shared" si="155"/>
        <v/>
      </c>
      <c r="T587" s="52" t="str">
        <f t="shared" si="156"/>
        <v/>
      </c>
      <c r="U587" s="52" t="str">
        <f t="shared" si="147"/>
        <v/>
      </c>
      <c r="V587" s="52" t="str">
        <f t="shared" si="157"/>
        <v/>
      </c>
      <c r="W587" s="1578"/>
      <c r="X587" s="52" t="str">
        <f t="shared" si="154"/>
        <v/>
      </c>
      <c r="Y587" s="52" t="str">
        <f t="shared" si="149"/>
        <v/>
      </c>
      <c r="AA587" s="52" t="str">
        <f t="shared" si="159"/>
        <v/>
      </c>
    </row>
    <row r="588" spans="2:27" ht="26">
      <c r="B588" s="1532" t="str">
        <f t="shared" si="152"/>
        <v>Defensive Jab</v>
      </c>
      <c r="C588" s="1795"/>
      <c r="D588" s="920"/>
      <c r="E588" s="61"/>
      <c r="F588" s="61" t="s">
        <v>6864</v>
      </c>
      <c r="G588" s="61"/>
      <c r="H588" s="61"/>
      <c r="I588" s="61"/>
      <c r="J588" s="1687" t="s">
        <v>6865</v>
      </c>
      <c r="K588" s="63" t="str">
        <f>IF(AND(Q588="Yes",L587&lt;&gt;""),"Yes","No")</f>
        <v>No</v>
      </c>
      <c r="L588" s="76"/>
      <c r="M588" s="63">
        <f t="shared" si="158"/>
        <v>0</v>
      </c>
      <c r="N588" s="63" t="s">
        <v>6859</v>
      </c>
      <c r="O588" s="64"/>
      <c r="P588" s="660" t="str">
        <f t="shared" si="153"/>
        <v/>
      </c>
      <c r="Q588" s="52" t="str">
        <f t="shared" si="143"/>
        <v>No</v>
      </c>
      <c r="R588" s="1574" t="str">
        <f t="shared" si="146"/>
        <v/>
      </c>
      <c r="S588" s="52" t="str">
        <f t="shared" si="155"/>
        <v/>
      </c>
      <c r="T588" s="52" t="str">
        <f t="shared" si="156"/>
        <v/>
      </c>
      <c r="U588" s="52" t="str">
        <f t="shared" si="147"/>
        <v/>
      </c>
      <c r="V588" s="52" t="str">
        <f t="shared" si="157"/>
        <v/>
      </c>
      <c r="W588" s="1578"/>
      <c r="X588" s="52" t="str">
        <f t="shared" si="154"/>
        <v/>
      </c>
      <c r="Y588" s="52" t="str">
        <f t="shared" si="149"/>
        <v/>
      </c>
      <c r="AA588" s="52" t="str">
        <f t="shared" si="159"/>
        <v/>
      </c>
    </row>
    <row r="589" spans="2:27" ht="26">
      <c r="B589" s="1532" t="str">
        <f t="shared" si="152"/>
        <v>Nibble dodge</v>
      </c>
      <c r="C589" s="1795"/>
      <c r="D589" s="920"/>
      <c r="E589" s="61" t="s">
        <v>6866</v>
      </c>
      <c r="F589" s="61"/>
      <c r="G589" s="61"/>
      <c r="H589" s="61"/>
      <c r="I589" s="61"/>
      <c r="J589" s="1687" t="s">
        <v>6867</v>
      </c>
      <c r="K589" s="63" t="str">
        <f t="shared" si="144"/>
        <v>No</v>
      </c>
      <c r="L589" s="76"/>
      <c r="M589" s="63">
        <f t="shared" si="158"/>
        <v>0</v>
      </c>
      <c r="N589" s="63" t="s">
        <v>6859</v>
      </c>
      <c r="O589" s="64"/>
      <c r="P589" s="660" t="str">
        <f t="shared" si="153"/>
        <v/>
      </c>
      <c r="Q589" s="52" t="str">
        <f t="shared" si="143"/>
        <v>No</v>
      </c>
      <c r="R589" s="1574" t="str">
        <f t="shared" si="146"/>
        <v/>
      </c>
      <c r="S589" s="52" t="str">
        <f t="shared" si="155"/>
        <v/>
      </c>
      <c r="T589" s="52" t="str">
        <f t="shared" si="156"/>
        <v/>
      </c>
      <c r="U589" s="52" t="str">
        <f t="shared" si="147"/>
        <v/>
      </c>
      <c r="V589" s="52" t="str">
        <f t="shared" si="157"/>
        <v/>
      </c>
      <c r="W589" s="1578"/>
      <c r="X589" s="52" t="str">
        <f t="shared" si="154"/>
        <v/>
      </c>
      <c r="Y589" s="52" t="str">
        <f t="shared" si="149"/>
        <v/>
      </c>
      <c r="AA589" s="52" t="str">
        <f t="shared" si="159"/>
        <v/>
      </c>
    </row>
    <row r="590" spans="2:27" ht="26">
      <c r="B590" s="1532" t="str">
        <f t="shared" si="152"/>
        <v>Stinging Jab</v>
      </c>
      <c r="C590" s="1795"/>
      <c r="D590" s="920"/>
      <c r="E590" s="61" t="s">
        <v>6868</v>
      </c>
      <c r="F590" s="61"/>
      <c r="G590" s="61"/>
      <c r="H590" s="61"/>
      <c r="I590" s="61"/>
      <c r="J590" s="1687" t="s">
        <v>6869</v>
      </c>
      <c r="K590" s="63" t="str">
        <f t="shared" si="144"/>
        <v>No</v>
      </c>
      <c r="L590" s="76"/>
      <c r="M590" s="63">
        <f t="shared" si="158"/>
        <v>0</v>
      </c>
      <c r="N590" s="63" t="s">
        <v>6859</v>
      </c>
      <c r="O590" s="64"/>
      <c r="P590" s="660" t="str">
        <f t="shared" si="153"/>
        <v/>
      </c>
      <c r="Q590" s="52" t="str">
        <f t="shared" si="143"/>
        <v>No</v>
      </c>
      <c r="R590" s="1574" t="str">
        <f t="shared" si="146"/>
        <v/>
      </c>
      <c r="S590" s="52" t="str">
        <f t="shared" si="155"/>
        <v/>
      </c>
      <c r="T590" s="52" t="str">
        <f t="shared" si="156"/>
        <v/>
      </c>
      <c r="U590" s="52" t="str">
        <f t="shared" si="147"/>
        <v/>
      </c>
      <c r="V590" s="52" t="str">
        <f t="shared" si="157"/>
        <v/>
      </c>
      <c r="W590" s="1578"/>
      <c r="X590" s="52" t="str">
        <f t="shared" si="154"/>
        <v/>
      </c>
      <c r="Y590" s="52" t="str">
        <f t="shared" si="149"/>
        <v/>
      </c>
      <c r="AA590" s="52" t="str">
        <f t="shared" si="159"/>
        <v/>
      </c>
    </row>
    <row r="591" spans="2:27" ht="26">
      <c r="B591" s="1532" t="str">
        <f t="shared" si="152"/>
        <v>Stunning Shockboxer</v>
      </c>
      <c r="C591" s="1795"/>
      <c r="D591" s="920"/>
      <c r="E591" s="61"/>
      <c r="F591" s="61" t="s">
        <v>6870</v>
      </c>
      <c r="G591" s="61"/>
      <c r="H591" s="61"/>
      <c r="I591" s="61"/>
      <c r="J591" s="1687" t="s">
        <v>6871</v>
      </c>
      <c r="K591" s="63" t="str">
        <f>IF(AND(Q591="Yes",L590&lt;&gt;""),"Yes","No")</f>
        <v>No</v>
      </c>
      <c r="L591" s="76"/>
      <c r="M591" s="63">
        <f t="shared" si="158"/>
        <v>0</v>
      </c>
      <c r="N591" s="63" t="s">
        <v>6859</v>
      </c>
      <c r="O591" s="64"/>
      <c r="P591" s="660" t="str">
        <f t="shared" si="153"/>
        <v/>
      </c>
      <c r="Q591" s="52" t="str">
        <f t="shared" si="143"/>
        <v>No</v>
      </c>
      <c r="R591" s="1574" t="str">
        <f t="shared" si="146"/>
        <v/>
      </c>
      <c r="S591" s="52" t="str">
        <f t="shared" si="155"/>
        <v/>
      </c>
      <c r="T591" s="52" t="str">
        <f t="shared" si="156"/>
        <v/>
      </c>
      <c r="U591" s="52" t="str">
        <f t="shared" si="147"/>
        <v/>
      </c>
      <c r="V591" s="52" t="str">
        <f t="shared" si="157"/>
        <v/>
      </c>
      <c r="W591" s="1578"/>
      <c r="X591" s="52" t="str">
        <f t="shared" si="154"/>
        <v/>
      </c>
      <c r="Y591" s="52" t="str">
        <f t="shared" si="149"/>
        <v/>
      </c>
      <c r="AA591" s="52" t="str">
        <f t="shared" si="159"/>
        <v/>
      </c>
    </row>
    <row r="592" spans="2:27" ht="26">
      <c r="B592" s="1532" t="str">
        <f t="shared" si="152"/>
        <v>Commanding Officer</v>
      </c>
      <c r="C592" s="1795"/>
      <c r="D592" s="920" t="s">
        <v>2957</v>
      </c>
      <c r="E592" s="61" t="s">
        <v>2958</v>
      </c>
      <c r="F592" s="61"/>
      <c r="G592" s="61"/>
      <c r="H592" s="61"/>
      <c r="I592" s="61"/>
      <c r="J592" s="1687" t="s">
        <v>5036</v>
      </c>
      <c r="K592" s="63" t="str">
        <f t="shared" si="144"/>
        <v>No</v>
      </c>
      <c r="L592" s="76"/>
      <c r="M592" s="63">
        <f t="shared" si="158"/>
        <v>0</v>
      </c>
      <c r="N592" s="63" t="s">
        <v>2905</v>
      </c>
      <c r="O592" s="64"/>
      <c r="P592" s="660" t="str">
        <f t="shared" si="153"/>
        <v/>
      </c>
      <c r="Q592" s="52" t="str">
        <f>IF(OR(AD45&gt;0,AD11&gt;0),"Yes","No")</f>
        <v>No</v>
      </c>
      <c r="R592" s="1574" t="str">
        <f t="shared" ref="R592:R601" si="160">IF(L592&lt;&gt;"",E592&amp;F592&amp;G592&amp;IF(P592&lt;&gt;""," ("&amp;P592&amp;")",""),"")&amp;IF(M592&gt;1," ("&amp;M592&amp;")","")</f>
        <v/>
      </c>
      <c r="S592" s="52" t="str">
        <f t="shared" si="155"/>
        <v/>
      </c>
      <c r="T592" s="52" t="str">
        <f t="shared" si="156"/>
        <v/>
      </c>
      <c r="U592" s="52" t="str">
        <f t="shared" ref="U592:U655" si="161">IF(L592&lt;&gt;"",IF(ISNUMBER(L592),"",E592&amp;F592&amp;G592),"")</f>
        <v/>
      </c>
      <c r="V592" s="52" t="str">
        <f t="shared" si="157"/>
        <v/>
      </c>
      <c r="W592" s="1578"/>
      <c r="X592" s="52" t="str">
        <f t="shared" si="154"/>
        <v/>
      </c>
      <c r="Y592" s="52" t="str">
        <f t="shared" si="149"/>
        <v/>
      </c>
      <c r="AA592" s="52" t="str">
        <f t="shared" si="151"/>
        <v/>
      </c>
    </row>
    <row r="593" spans="2:27" ht="26">
      <c r="B593" s="1532" t="str">
        <f t="shared" si="152"/>
        <v>Coordinated Tactics</v>
      </c>
      <c r="C593" s="1795"/>
      <c r="D593" s="920"/>
      <c r="E593" s="61"/>
      <c r="F593" s="61" t="s">
        <v>2959</v>
      </c>
      <c r="G593" s="61"/>
      <c r="H593" s="61"/>
      <c r="I593" s="61"/>
      <c r="J593" s="1687" t="s">
        <v>5037</v>
      </c>
      <c r="K593" s="63" t="str">
        <f>IF(AND(Q592="Yes",L592&lt;&gt;""),"Yes","No")</f>
        <v>No</v>
      </c>
      <c r="L593" s="76"/>
      <c r="M593" s="63">
        <f t="shared" si="158"/>
        <v>0</v>
      </c>
      <c r="N593" s="63" t="s">
        <v>2905</v>
      </c>
      <c r="O593" s="64"/>
      <c r="P593" s="660" t="str">
        <f t="shared" si="153"/>
        <v/>
      </c>
      <c r="Q593" s="52" t="str">
        <f t="shared" si="143"/>
        <v>No</v>
      </c>
      <c r="R593" s="1574" t="str">
        <f t="shared" si="160"/>
        <v/>
      </c>
      <c r="S593" s="52" t="str">
        <f t="shared" si="155"/>
        <v/>
      </c>
      <c r="T593" s="52" t="str">
        <f t="shared" si="156"/>
        <v/>
      </c>
      <c r="U593" s="52" t="str">
        <f t="shared" si="161"/>
        <v/>
      </c>
      <c r="V593" s="52" t="str">
        <f t="shared" si="157"/>
        <v/>
      </c>
      <c r="W593" s="1578"/>
      <c r="X593" s="52" t="str">
        <f t="shared" si="154"/>
        <v/>
      </c>
      <c r="Y593" s="52" t="str">
        <f t="shared" si="149"/>
        <v/>
      </c>
      <c r="AA593" s="52" t="str">
        <f t="shared" si="151"/>
        <v/>
      </c>
    </row>
    <row r="594" spans="2:27" ht="26">
      <c r="B594" s="1532" t="str">
        <f t="shared" si="152"/>
        <v>Fire at Will</v>
      </c>
      <c r="C594" s="1795"/>
      <c r="D594" s="920"/>
      <c r="E594" s="61"/>
      <c r="F594" s="61" t="s">
        <v>2960</v>
      </c>
      <c r="G594" s="61"/>
      <c r="H594" s="61"/>
      <c r="I594" s="61"/>
      <c r="J594" s="1687" t="s">
        <v>5038</v>
      </c>
      <c r="K594" s="63" t="str">
        <f>IF(AND(Q593="Yes",L592&lt;&gt;""),"Yes","No")</f>
        <v>No</v>
      </c>
      <c r="L594" s="76"/>
      <c r="M594" s="63">
        <f t="shared" si="158"/>
        <v>0</v>
      </c>
      <c r="N594" s="63" t="s">
        <v>2905</v>
      </c>
      <c r="O594" s="64"/>
      <c r="P594" s="660" t="str">
        <f t="shared" si="153"/>
        <v/>
      </c>
      <c r="Q594" s="52" t="str">
        <f t="shared" si="143"/>
        <v>No</v>
      </c>
      <c r="R594" s="1574" t="str">
        <f t="shared" si="160"/>
        <v/>
      </c>
      <c r="S594" s="52" t="str">
        <f t="shared" si="155"/>
        <v/>
      </c>
      <c r="T594" s="52" t="str">
        <f t="shared" si="156"/>
        <v/>
      </c>
      <c r="U594" s="52" t="str">
        <f t="shared" si="161"/>
        <v/>
      </c>
      <c r="V594" s="52" t="str">
        <f t="shared" si="157"/>
        <v/>
      </c>
      <c r="W594" s="1578"/>
      <c r="X594" s="52" t="str">
        <f t="shared" si="154"/>
        <v/>
      </c>
      <c r="Y594" s="52" t="str">
        <f t="shared" si="149"/>
        <v/>
      </c>
      <c r="AA594" s="52" t="str">
        <f t="shared" si="151"/>
        <v/>
      </c>
    </row>
    <row r="595" spans="2:27" ht="52">
      <c r="B595" s="1532" t="str">
        <f t="shared" si="152"/>
        <v>Squad Actions</v>
      </c>
      <c r="C595" s="1795"/>
      <c r="D595" s="920"/>
      <c r="E595" s="61"/>
      <c r="F595" s="61" t="s">
        <v>2961</v>
      </c>
      <c r="G595" s="61"/>
      <c r="H595" s="61"/>
      <c r="I595" s="61"/>
      <c r="J595" s="1687" t="s">
        <v>5039</v>
      </c>
      <c r="K595" s="63" t="str">
        <f>IF(AND(Q594="Yes",L592&lt;&gt;""),"Yes","No")</f>
        <v>No</v>
      </c>
      <c r="L595" s="76"/>
      <c r="M595" s="63">
        <f t="shared" si="158"/>
        <v>0</v>
      </c>
      <c r="N595" s="63" t="s">
        <v>2905</v>
      </c>
      <c r="O595" s="64"/>
      <c r="P595" s="660" t="str">
        <f t="shared" si="153"/>
        <v/>
      </c>
      <c r="Q595" s="52" t="str">
        <f t="shared" si="143"/>
        <v>No</v>
      </c>
      <c r="R595" s="1574" t="str">
        <f t="shared" si="160"/>
        <v/>
      </c>
      <c r="S595" s="52" t="str">
        <f t="shared" si="155"/>
        <v/>
      </c>
      <c r="T595" s="52" t="str">
        <f t="shared" si="156"/>
        <v/>
      </c>
      <c r="U595" s="52" t="str">
        <f t="shared" si="161"/>
        <v/>
      </c>
      <c r="V595" s="52" t="str">
        <f t="shared" si="157"/>
        <v/>
      </c>
      <c r="W595" s="1578"/>
      <c r="X595" s="52" t="str">
        <f t="shared" si="154"/>
        <v/>
      </c>
      <c r="Y595" s="52" t="str">
        <f t="shared" si="149"/>
        <v/>
      </c>
      <c r="AA595" s="52" t="str">
        <f>IF(U595&lt;&gt;"",IF(Z595="Defenses",U595&amp;IF(AA596&lt;&gt;"",", ",""),"")&amp;AA596,AA596)</f>
        <v/>
      </c>
    </row>
    <row r="596" spans="2:27" ht="26">
      <c r="B596" s="1532" t="str">
        <f t="shared" si="152"/>
        <v>Battlefield Remedy</v>
      </c>
      <c r="C596" s="1795"/>
      <c r="D596" s="920" t="s">
        <v>6896</v>
      </c>
      <c r="E596" s="61" t="s">
        <v>6873</v>
      </c>
      <c r="F596" s="61"/>
      <c r="G596" s="61"/>
      <c r="H596" s="61"/>
      <c r="I596" s="61"/>
      <c r="J596" s="1687" t="s">
        <v>6874</v>
      </c>
      <c r="K596" s="63" t="str">
        <f t="shared" si="144"/>
        <v>No</v>
      </c>
      <c r="L596" s="76"/>
      <c r="M596" s="63">
        <f t="shared" ref="M596:M601" si="162">IF(L596&lt;&gt;"",1,0)</f>
        <v>0</v>
      </c>
      <c r="N596" s="63" t="s">
        <v>6859</v>
      </c>
      <c r="O596" s="64"/>
      <c r="P596" s="660" t="str">
        <f t="shared" si="153"/>
        <v/>
      </c>
      <c r="Q596" s="52" t="str">
        <f>IF(OR(AD45&gt;0,AD11&gt;0),"Yes","No")</f>
        <v>No</v>
      </c>
      <c r="R596" s="1574" t="str">
        <f t="shared" si="160"/>
        <v/>
      </c>
      <c r="S596" s="52" t="str">
        <f t="shared" si="155"/>
        <v/>
      </c>
      <c r="T596" s="52" t="str">
        <f t="shared" si="156"/>
        <v/>
      </c>
      <c r="U596" s="52" t="str">
        <f t="shared" si="161"/>
        <v/>
      </c>
      <c r="V596" s="52" t="str">
        <f t="shared" si="157"/>
        <v/>
      </c>
      <c r="W596" s="1578"/>
      <c r="X596" s="52" t="str">
        <f t="shared" si="154"/>
        <v/>
      </c>
      <c r="Y596" s="52" t="str">
        <f t="shared" si="149"/>
        <v/>
      </c>
      <c r="AA596" s="52" t="str">
        <f>IF(U596&lt;&gt;"",IF(Z596="Defenses",U596&amp;IF(AA597&lt;&gt;"",", ",""),"")&amp;AA597,AA597)</f>
        <v/>
      </c>
    </row>
    <row r="597" spans="2:27" ht="39">
      <c r="B597" s="1532" t="str">
        <f t="shared" si="152"/>
        <v>Seen It All</v>
      </c>
      <c r="C597" s="1795"/>
      <c r="D597" s="920"/>
      <c r="E597" s="61" t="s">
        <v>6875</v>
      </c>
      <c r="F597" s="61"/>
      <c r="G597" s="61"/>
      <c r="H597" s="61"/>
      <c r="I597" s="61"/>
      <c r="J597" s="1687" t="s">
        <v>6876</v>
      </c>
      <c r="K597" s="63" t="str">
        <f t="shared" si="144"/>
        <v>No</v>
      </c>
      <c r="L597" s="76"/>
      <c r="M597" s="63">
        <f t="shared" si="162"/>
        <v>0</v>
      </c>
      <c r="N597" s="63" t="s">
        <v>6658</v>
      </c>
      <c r="O597" s="64"/>
      <c r="P597" s="660" t="str">
        <f t="shared" si="153"/>
        <v/>
      </c>
      <c r="Q597" s="52" t="str">
        <f t="shared" si="143"/>
        <v>No</v>
      </c>
      <c r="R597" s="1574" t="str">
        <f t="shared" si="160"/>
        <v/>
      </c>
      <c r="S597" s="52" t="str">
        <f t="shared" si="155"/>
        <v/>
      </c>
      <c r="T597" s="52" t="str">
        <f t="shared" si="156"/>
        <v/>
      </c>
      <c r="U597" s="52" t="str">
        <f t="shared" si="161"/>
        <v/>
      </c>
      <c r="V597" s="52" t="str">
        <f t="shared" si="157"/>
        <v/>
      </c>
      <c r="W597" s="1578"/>
      <c r="X597" s="52" t="str">
        <f t="shared" si="154"/>
        <v/>
      </c>
      <c r="Y597" s="52" t="str">
        <f t="shared" si="149"/>
        <v/>
      </c>
      <c r="AA597" s="52" t="str">
        <f>IF(U597&lt;&gt;"",IF(Z597="Defenses",U597&amp;IF(AA598&lt;&gt;"",", ",""),"")&amp;AA598,AA598)</f>
        <v/>
      </c>
    </row>
    <row r="598" spans="2:27" ht="26">
      <c r="B598" s="1532" t="str">
        <f t="shared" si="152"/>
        <v>Tested in Battle</v>
      </c>
      <c r="C598" s="1795"/>
      <c r="D598" s="920"/>
      <c r="E598" s="61" t="s">
        <v>6877</v>
      </c>
      <c r="F598" s="61"/>
      <c r="G598" s="61"/>
      <c r="H598" s="61"/>
      <c r="I598" s="61"/>
      <c r="J598" s="1687" t="s">
        <v>6878</v>
      </c>
      <c r="K598" s="63" t="str">
        <f t="shared" si="144"/>
        <v>No</v>
      </c>
      <c r="L598" s="76"/>
      <c r="M598" s="63">
        <f t="shared" si="162"/>
        <v>0</v>
      </c>
      <c r="N598" s="63" t="s">
        <v>6658</v>
      </c>
      <c r="O598" s="64"/>
      <c r="P598" s="660" t="str">
        <f t="shared" si="153"/>
        <v/>
      </c>
      <c r="Q598" s="52" t="str">
        <f t="shared" si="143"/>
        <v>No</v>
      </c>
      <c r="R598" s="1574" t="str">
        <f t="shared" si="160"/>
        <v/>
      </c>
      <c r="S598" s="52" t="str">
        <f t="shared" si="155"/>
        <v/>
      </c>
      <c r="T598" s="52" t="str">
        <f t="shared" si="156"/>
        <v/>
      </c>
      <c r="U598" s="52" t="str">
        <f t="shared" si="161"/>
        <v/>
      </c>
      <c r="V598" s="52" t="str">
        <f t="shared" si="157"/>
        <v/>
      </c>
      <c r="W598" s="1578"/>
      <c r="X598" s="52" t="str">
        <f t="shared" si="154"/>
        <v/>
      </c>
      <c r="Y598" s="52" t="str">
        <f t="shared" ref="Y598:Y661" si="163">IF(U598&lt;&gt;"",IF(W598="Att Options",U598&amp;IF(Y599&lt;&gt;"",", ",""),"")&amp;Y599,Y599)</f>
        <v/>
      </c>
      <c r="AA598" s="52" t="str">
        <f>IF(U598&lt;&gt;"",IF(Z598="Defenses",U598&amp;IF(AA599&lt;&gt;"",", ",""),"")&amp;AA599,AA599)</f>
        <v/>
      </c>
    </row>
    <row r="599" spans="2:27" ht="117">
      <c r="B599" s="1532" t="str">
        <f t="shared" si="152"/>
        <v>Grizzled Warrlor</v>
      </c>
      <c r="C599" s="1795"/>
      <c r="D599" s="920"/>
      <c r="E599" s="61"/>
      <c r="F599" s="61" t="s">
        <v>6879</v>
      </c>
      <c r="G599" s="61"/>
      <c r="H599" s="61"/>
      <c r="I599" s="61"/>
      <c r="J599" s="1687" t="s">
        <v>6880</v>
      </c>
      <c r="K599" s="63" t="str">
        <f>IF(AND(Q598="Yes",L598&lt;&gt;""),"Yes","No")</f>
        <v>No</v>
      </c>
      <c r="L599" s="76"/>
      <c r="M599" s="63">
        <f t="shared" si="162"/>
        <v>0</v>
      </c>
      <c r="N599" s="63" t="s">
        <v>6859</v>
      </c>
      <c r="O599" s="64"/>
      <c r="P599" s="660" t="str">
        <f t="shared" si="153"/>
        <v/>
      </c>
      <c r="Q599" s="52" t="str">
        <f t="shared" si="143"/>
        <v>No</v>
      </c>
      <c r="R599" s="1574" t="str">
        <f t="shared" si="160"/>
        <v/>
      </c>
      <c r="S599" s="52" t="str">
        <f t="shared" si="155"/>
        <v/>
      </c>
      <c r="T599" s="52" t="str">
        <f t="shared" si="156"/>
        <v/>
      </c>
      <c r="U599" s="52" t="str">
        <f t="shared" si="161"/>
        <v/>
      </c>
      <c r="V599" s="52" t="str">
        <f t="shared" si="157"/>
        <v/>
      </c>
      <c r="W599" s="1578"/>
      <c r="X599" s="52" t="str">
        <f t="shared" si="154"/>
        <v/>
      </c>
      <c r="Y599" s="52" t="str">
        <f t="shared" si="163"/>
        <v/>
      </c>
      <c r="AA599" s="52" t="str">
        <f>IF(U599&lt;&gt;"",IF(Z599="Defenses",U599&amp;IF(AA600&lt;&gt;"",", ",""),"")&amp;AA600,AA600)</f>
        <v/>
      </c>
    </row>
    <row r="600" spans="2:27" ht="39">
      <c r="B600" s="1532" t="str">
        <f t="shared" si="152"/>
        <v>Reckless</v>
      </c>
      <c r="C600" s="1795"/>
      <c r="D600" s="920"/>
      <c r="E600" s="61"/>
      <c r="F600" s="61" t="s">
        <v>6881</v>
      </c>
      <c r="G600" s="61"/>
      <c r="H600" s="61"/>
      <c r="I600" s="61"/>
      <c r="J600" s="1687" t="s">
        <v>6882</v>
      </c>
      <c r="K600" s="63" t="str">
        <f>IF(AND(Q599="Yes",L598&lt;&gt;""),"Yes","No")</f>
        <v>No</v>
      </c>
      <c r="L600" s="76"/>
      <c r="M600" s="63">
        <f t="shared" si="162"/>
        <v>0</v>
      </c>
      <c r="N600" s="63" t="s">
        <v>6658</v>
      </c>
      <c r="O600" s="64"/>
      <c r="P600" s="660" t="str">
        <f t="shared" si="153"/>
        <v/>
      </c>
      <c r="Q600" s="52" t="str">
        <f t="shared" si="143"/>
        <v>No</v>
      </c>
      <c r="R600" s="1574" t="str">
        <f t="shared" si="160"/>
        <v/>
      </c>
      <c r="S600" s="52" t="str">
        <f t="shared" si="155"/>
        <v/>
      </c>
      <c r="T600" s="52" t="str">
        <f t="shared" si="156"/>
        <v/>
      </c>
      <c r="U600" s="52" t="str">
        <f t="shared" si="161"/>
        <v/>
      </c>
      <c r="V600" s="52" t="str">
        <f t="shared" si="157"/>
        <v/>
      </c>
      <c r="W600" s="1578"/>
      <c r="X600" s="52" t="str">
        <f t="shared" si="154"/>
        <v/>
      </c>
      <c r="Y600" s="52" t="str">
        <f t="shared" si="163"/>
        <v/>
      </c>
      <c r="AA600" s="52" t="str">
        <f>IF(U600&lt;&gt;"",IF(Z600="Defenses",U600&amp;IF(AA602&lt;&gt;"",", ",""),"")&amp;AA602,AA602)</f>
        <v/>
      </c>
    </row>
    <row r="601" spans="2:27">
      <c r="B601" s="1532" t="str">
        <f t="shared" si="152"/>
        <v>Autofire Assault</v>
      </c>
      <c r="C601" s="1795"/>
      <c r="D601" s="920" t="s">
        <v>2962</v>
      </c>
      <c r="E601" s="61" t="s">
        <v>2289</v>
      </c>
      <c r="F601" s="61"/>
      <c r="G601" s="61"/>
      <c r="H601" s="61"/>
      <c r="I601" s="61"/>
      <c r="J601" s="1687" t="s">
        <v>6897</v>
      </c>
      <c r="K601" s="63" t="str">
        <f t="shared" si="144"/>
        <v>No</v>
      </c>
      <c r="L601" s="76"/>
      <c r="M601" s="63">
        <f t="shared" si="162"/>
        <v>0</v>
      </c>
      <c r="N601" s="63" t="s">
        <v>6658</v>
      </c>
      <c r="O601" s="64"/>
      <c r="P601" s="660" t="str">
        <f t="shared" si="153"/>
        <v/>
      </c>
      <c r="Q601" s="52" t="str">
        <f>IF(OR(AD45&gt;0,AD11&gt;0),"Yes","No")</f>
        <v>No</v>
      </c>
      <c r="R601" s="1574" t="str">
        <f t="shared" si="160"/>
        <v/>
      </c>
      <c r="S601" s="52" t="str">
        <f t="shared" si="155"/>
        <v/>
      </c>
      <c r="T601" s="52" t="str">
        <f t="shared" si="156"/>
        <v/>
      </c>
      <c r="U601" s="52" t="str">
        <f t="shared" si="161"/>
        <v/>
      </c>
      <c r="V601" s="52" t="str">
        <f t="shared" si="157"/>
        <v/>
      </c>
      <c r="W601" s="1578"/>
      <c r="X601" s="52" t="str">
        <f t="shared" si="154"/>
        <v/>
      </c>
      <c r="Y601" s="52" t="str">
        <f t="shared" si="163"/>
        <v/>
      </c>
    </row>
    <row r="602" spans="2:27" ht="39">
      <c r="B602" s="1532" t="str">
        <f t="shared" si="152"/>
        <v>Devastating Attack</v>
      </c>
      <c r="C602" s="1795"/>
      <c r="D602" s="920"/>
      <c r="E602" s="61" t="s">
        <v>2963</v>
      </c>
      <c r="F602" s="61"/>
      <c r="G602" s="61"/>
      <c r="H602" s="61"/>
      <c r="I602" s="61"/>
      <c r="J602" s="1687" t="s">
        <v>5998</v>
      </c>
      <c r="K602" s="63" t="str">
        <f t="shared" si="144"/>
        <v>No</v>
      </c>
      <c r="L602" s="76"/>
      <c r="M602" s="63">
        <f>IF(L602&lt;&gt;"",L602,0)</f>
        <v>0</v>
      </c>
      <c r="N602" s="63">
        <v>53</v>
      </c>
      <c r="O602" s="64"/>
      <c r="P602" s="660" t="str">
        <f t="shared" si="153"/>
        <v/>
      </c>
      <c r="Q602" s="52" t="str">
        <f>Q601</f>
        <v>No</v>
      </c>
      <c r="S602" s="52" t="str">
        <f t="shared" si="155"/>
        <v/>
      </c>
      <c r="T602" s="52" t="str">
        <f t="shared" si="156"/>
        <v/>
      </c>
      <c r="U602" s="52" t="str">
        <f t="shared" si="161"/>
        <v/>
      </c>
      <c r="V602" s="52" t="str">
        <f t="shared" si="157"/>
        <v/>
      </c>
      <c r="W602" s="1578"/>
      <c r="X602" s="52" t="str">
        <f t="shared" si="154"/>
        <v/>
      </c>
      <c r="Y602" s="52" t="str">
        <f t="shared" si="163"/>
        <v/>
      </c>
      <c r="AA602" s="52" t="str">
        <f t="shared" si="151"/>
        <v/>
      </c>
    </row>
    <row r="603" spans="2:27">
      <c r="B603" s="1532" t="str">
        <f t="shared" si="152"/>
        <v>Improved Suppression Fire</v>
      </c>
      <c r="C603" s="1795"/>
      <c r="D603" s="920"/>
      <c r="E603" s="61" t="s">
        <v>2964</v>
      </c>
      <c r="F603" s="61"/>
      <c r="G603" s="61"/>
      <c r="H603" s="61"/>
      <c r="I603" s="61"/>
      <c r="J603" s="1687" t="s">
        <v>5040</v>
      </c>
      <c r="K603" s="63" t="str">
        <f t="shared" si="144"/>
        <v>No</v>
      </c>
      <c r="L603" s="76"/>
      <c r="M603" s="63">
        <f t="shared" si="158"/>
        <v>0</v>
      </c>
      <c r="N603" s="63" t="s">
        <v>2902</v>
      </c>
      <c r="O603" s="64"/>
      <c r="P603" s="660" t="str">
        <f t="shared" si="153"/>
        <v/>
      </c>
      <c r="Q603" s="52" t="str">
        <f t="shared" si="143"/>
        <v>No</v>
      </c>
      <c r="R603" s="1574" t="str">
        <f>IF(L603&lt;&gt;"",E603&amp;F603&amp;G603&amp;IF(P603&lt;&gt;""," ("&amp;P603&amp;")",""),"")&amp;IF(M603&gt;1," ("&amp;M603&amp;")","")</f>
        <v/>
      </c>
      <c r="S603" s="52" t="str">
        <f t="shared" si="155"/>
        <v/>
      </c>
      <c r="T603" s="52" t="str">
        <f t="shared" si="156"/>
        <v/>
      </c>
      <c r="U603" s="52" t="str">
        <f t="shared" si="161"/>
        <v/>
      </c>
      <c r="V603" s="52" t="str">
        <f t="shared" si="157"/>
        <v/>
      </c>
      <c r="W603" s="1578"/>
      <c r="X603" s="52" t="str">
        <f t="shared" si="154"/>
        <v/>
      </c>
      <c r="Y603" s="52" t="str">
        <f t="shared" si="163"/>
        <v/>
      </c>
      <c r="AA603" s="52" t="str">
        <f t="shared" si="151"/>
        <v/>
      </c>
    </row>
    <row r="604" spans="2:27" ht="39">
      <c r="B604" s="1532" t="str">
        <f t="shared" si="152"/>
        <v>Penetrating Attack</v>
      </c>
      <c r="C604" s="1795"/>
      <c r="D604" s="920"/>
      <c r="E604" s="61" t="s">
        <v>2965</v>
      </c>
      <c r="F604" s="61"/>
      <c r="G604" s="61"/>
      <c r="H604" s="61"/>
      <c r="I604" s="61"/>
      <c r="J604" s="1687" t="s">
        <v>5999</v>
      </c>
      <c r="K604" s="63" t="str">
        <f t="shared" si="144"/>
        <v>No</v>
      </c>
      <c r="L604" s="76"/>
      <c r="M604" s="63">
        <f>IF(L604&lt;&gt;"",L604,0)</f>
        <v>0</v>
      </c>
      <c r="N604" s="63">
        <v>53</v>
      </c>
      <c r="O604" s="64"/>
      <c r="P604" s="660" t="str">
        <f t="shared" si="153"/>
        <v/>
      </c>
      <c r="Q604" s="52" t="str">
        <f t="shared" si="143"/>
        <v>No</v>
      </c>
      <c r="S604" s="52" t="str">
        <f t="shared" si="155"/>
        <v/>
      </c>
      <c r="T604" s="52" t="str">
        <f t="shared" si="156"/>
        <v/>
      </c>
      <c r="U604" s="52" t="str">
        <f t="shared" si="161"/>
        <v/>
      </c>
      <c r="V604" s="52" t="str">
        <f t="shared" si="157"/>
        <v/>
      </c>
      <c r="W604" s="1578"/>
      <c r="X604" s="52" t="str">
        <f t="shared" si="154"/>
        <v/>
      </c>
      <c r="Y604" s="52" t="str">
        <f t="shared" si="163"/>
        <v/>
      </c>
      <c r="AA604" s="52" t="str">
        <f t="shared" si="151"/>
        <v/>
      </c>
    </row>
    <row r="605" spans="2:27" ht="39">
      <c r="B605" s="1532" t="str">
        <f t="shared" si="152"/>
        <v>Weapon Specialization</v>
      </c>
      <c r="C605" s="1795"/>
      <c r="D605" s="920"/>
      <c r="E605" s="61" t="s">
        <v>2966</v>
      </c>
      <c r="F605" s="61"/>
      <c r="G605" s="61"/>
      <c r="H605" s="61"/>
      <c r="I605" s="61"/>
      <c r="J605" s="1687" t="s">
        <v>6000</v>
      </c>
      <c r="K605" s="63" t="str">
        <f>IF(Q605="Yes","Yes","No")</f>
        <v>No</v>
      </c>
      <c r="L605" s="76"/>
      <c r="M605" s="63">
        <f>IF(L605&lt;&gt;"",L605,0)</f>
        <v>0</v>
      </c>
      <c r="N605" s="63">
        <v>41</v>
      </c>
      <c r="O605" s="64"/>
      <c r="P605" s="660" t="str">
        <f t="shared" si="153"/>
        <v/>
      </c>
      <c r="Q605" s="52" t="str">
        <f t="shared" si="143"/>
        <v>No</v>
      </c>
      <c r="S605" s="52" t="str">
        <f>IF(R605&lt;&gt;"",R605&amp;";"&amp;S606,S606)</f>
        <v/>
      </c>
      <c r="T605" s="52" t="str">
        <f>IF(R605&lt;&gt;"",N605&amp;";"&amp;T606,T606)</f>
        <v/>
      </c>
      <c r="U605" s="52" t="str">
        <f t="shared" si="161"/>
        <v/>
      </c>
      <c r="V605" s="52" t="str">
        <f>IF(U605&lt;&gt;"",U605&amp;";"&amp;V606,V606)</f>
        <v/>
      </c>
      <c r="W605" s="1578"/>
      <c r="X605" s="52" t="str">
        <f t="shared" si="154"/>
        <v/>
      </c>
      <c r="Y605" s="52" t="str">
        <f t="shared" si="163"/>
        <v/>
      </c>
      <c r="AA605" s="52" t="str">
        <f t="shared" si="151"/>
        <v/>
      </c>
    </row>
    <row r="606" spans="2:27" ht="52">
      <c r="B606" s="1532" t="str">
        <f t="shared" si="152"/>
        <v>Crushing Assault</v>
      </c>
      <c r="C606" s="1795"/>
      <c r="D606" s="920"/>
      <c r="E606" s="61"/>
      <c r="F606" s="61" t="s">
        <v>2967</v>
      </c>
      <c r="G606" s="61"/>
      <c r="H606" s="61"/>
      <c r="I606" s="61"/>
      <c r="J606" s="1687" t="s">
        <v>6001</v>
      </c>
      <c r="K606" s="63" t="str">
        <f>IF(AND(Q605="Yes",L605&lt;&gt;""),"Yes","No")</f>
        <v>No</v>
      </c>
      <c r="L606" s="76"/>
      <c r="M606" s="63">
        <f>IF(L606&lt;&gt;"",L606,0)</f>
        <v>0</v>
      </c>
      <c r="N606" s="63" t="s">
        <v>2897</v>
      </c>
      <c r="O606" s="64"/>
      <c r="P606" s="660" t="str">
        <f t="shared" si="153"/>
        <v/>
      </c>
      <c r="Q606" s="52" t="str">
        <f t="shared" ref="Q606:Q613" si="164">Q605</f>
        <v>No</v>
      </c>
      <c r="S606" s="52" t="str">
        <f t="shared" ref="S606:S669" si="165">IF(R606&lt;&gt;"",R606&amp;";"&amp;S607,S607)</f>
        <v/>
      </c>
      <c r="T606" s="52" t="str">
        <f t="shared" ref="T606:T669" si="166">IF(R606&lt;&gt;"",N606&amp;";"&amp;T607,T607)</f>
        <v/>
      </c>
      <c r="U606" s="52" t="str">
        <f t="shared" si="161"/>
        <v/>
      </c>
      <c r="V606" s="52" t="str">
        <f t="shared" ref="V606:V669" si="167">IF(U606&lt;&gt;"",U606&amp;";"&amp;V607,V607)</f>
        <v/>
      </c>
      <c r="W606" s="1578"/>
      <c r="X606" s="52" t="str">
        <f t="shared" si="154"/>
        <v/>
      </c>
      <c r="Y606" s="52" t="str">
        <f t="shared" si="163"/>
        <v/>
      </c>
      <c r="AA606" s="52" t="str">
        <f t="shared" si="151"/>
        <v/>
      </c>
    </row>
    <row r="607" spans="2:27" ht="52">
      <c r="B607" s="1532" t="str">
        <f t="shared" si="152"/>
        <v>Disarming Attack</v>
      </c>
      <c r="C607" s="1795"/>
      <c r="D607" s="920"/>
      <c r="E607" s="61"/>
      <c r="F607" s="61" t="s">
        <v>2968</v>
      </c>
      <c r="G607" s="61"/>
      <c r="H607" s="61"/>
      <c r="I607" s="61"/>
      <c r="J607" s="1687" t="s">
        <v>6002</v>
      </c>
      <c r="K607" s="63" t="str">
        <f>IF(AND(Q606="Yes",L605&lt;&gt;""),"Yes","No")</f>
        <v>No</v>
      </c>
      <c r="L607" s="76"/>
      <c r="M607" s="63">
        <f>IF(L607&lt;&gt;"",L607,0)</f>
        <v>0</v>
      </c>
      <c r="N607" s="63" t="s">
        <v>2854</v>
      </c>
      <c r="O607" s="64"/>
      <c r="P607" s="660" t="str">
        <f t="shared" si="153"/>
        <v/>
      </c>
      <c r="Q607" s="52" t="str">
        <f t="shared" si="164"/>
        <v>No</v>
      </c>
      <c r="S607" s="52" t="str">
        <f t="shared" si="165"/>
        <v/>
      </c>
      <c r="T607" s="52" t="str">
        <f t="shared" si="166"/>
        <v/>
      </c>
      <c r="U607" s="52" t="str">
        <f t="shared" si="161"/>
        <v/>
      </c>
      <c r="V607" s="52" t="str">
        <f t="shared" si="167"/>
        <v/>
      </c>
      <c r="W607" s="1578"/>
      <c r="X607" s="52" t="str">
        <f t="shared" si="154"/>
        <v/>
      </c>
      <c r="Y607" s="52" t="str">
        <f t="shared" si="163"/>
        <v/>
      </c>
      <c r="AA607" s="52" t="str">
        <f t="shared" si="151"/>
        <v/>
      </c>
    </row>
    <row r="608" spans="2:27" ht="52">
      <c r="B608" s="1532" t="str">
        <f t="shared" si="152"/>
        <v>Impailing Assault</v>
      </c>
      <c r="C608" s="1795"/>
      <c r="D608" s="920"/>
      <c r="E608" s="61"/>
      <c r="F608" s="61" t="s">
        <v>2969</v>
      </c>
      <c r="G608" s="61"/>
      <c r="H608" s="61"/>
      <c r="I608" s="61"/>
      <c r="J608" s="1687" t="s">
        <v>6003</v>
      </c>
      <c r="K608" s="63" t="str">
        <f>IF(AND(Q607="Yes",L605&lt;&gt;""),"Yes","No")</f>
        <v>No</v>
      </c>
      <c r="L608" s="76"/>
      <c r="M608" s="63">
        <f>IF(L608&lt;&gt;"",L608,0)</f>
        <v>0</v>
      </c>
      <c r="N608" s="63" t="s">
        <v>2897</v>
      </c>
      <c r="O608" s="64"/>
      <c r="P608" s="660" t="str">
        <f t="shared" si="153"/>
        <v/>
      </c>
      <c r="Q608" s="52" t="str">
        <f t="shared" si="164"/>
        <v>No</v>
      </c>
      <c r="S608" s="52" t="str">
        <f t="shared" si="165"/>
        <v/>
      </c>
      <c r="T608" s="52" t="str">
        <f t="shared" si="166"/>
        <v/>
      </c>
      <c r="U608" s="52" t="str">
        <f t="shared" si="161"/>
        <v/>
      </c>
      <c r="V608" s="52" t="str">
        <f t="shared" si="167"/>
        <v/>
      </c>
      <c r="W608" s="1578"/>
      <c r="X608" s="52" t="str">
        <f t="shared" si="154"/>
        <v/>
      </c>
      <c r="Y608" s="52" t="str">
        <f t="shared" si="163"/>
        <v/>
      </c>
      <c r="AA608" s="52" t="str">
        <f>IF(U608&lt;&gt;"",IF(Z608="Defenses",U608&amp;IF(AA614&lt;&gt;"",", ",""),"")&amp;AA614,AA614)</f>
        <v/>
      </c>
    </row>
    <row r="609" spans="2:27" ht="52">
      <c r="B609" s="1575"/>
      <c r="C609" s="1795"/>
      <c r="D609" s="920"/>
      <c r="E609" s="61"/>
      <c r="F609" s="61" t="s">
        <v>2970</v>
      </c>
      <c r="G609" s="61"/>
      <c r="H609" s="61"/>
      <c r="I609" s="61"/>
      <c r="J609" s="1687" t="s">
        <v>6004</v>
      </c>
      <c r="K609" s="63" t="str">
        <f>IF(AND(Q608="Yes",L605&lt;&gt;""),"Yes","No")</f>
        <v>No</v>
      </c>
      <c r="L609" s="76"/>
      <c r="M609" s="63">
        <v>0</v>
      </c>
      <c r="N609" s="63" t="s">
        <v>2897</v>
      </c>
      <c r="O609" s="64"/>
      <c r="P609" s="660" t="str">
        <f t="shared" si="153"/>
        <v/>
      </c>
      <c r="Q609" s="52" t="str">
        <f t="shared" si="164"/>
        <v>No</v>
      </c>
      <c r="S609" s="52" t="str">
        <f t="shared" si="165"/>
        <v/>
      </c>
      <c r="T609" s="52" t="str">
        <f t="shared" si="166"/>
        <v/>
      </c>
      <c r="U609" s="52" t="str">
        <f t="shared" si="161"/>
        <v/>
      </c>
      <c r="V609" s="52" t="str">
        <f t="shared" si="167"/>
        <v/>
      </c>
      <c r="W609" s="1578"/>
      <c r="X609" s="52" t="str">
        <f t="shared" si="154"/>
        <v/>
      </c>
      <c r="Y609" s="52" t="str">
        <f t="shared" si="163"/>
        <v/>
      </c>
    </row>
    <row r="610" spans="2:27">
      <c r="B610" s="1575"/>
      <c r="C610" s="1795"/>
      <c r="D610" s="920" t="s">
        <v>8500</v>
      </c>
      <c r="E610" s="61" t="s">
        <v>8501</v>
      </c>
      <c r="F610" s="61"/>
      <c r="G610" s="61"/>
      <c r="H610" s="61"/>
      <c r="I610" s="61"/>
      <c r="J610" s="1687" t="s">
        <v>8502</v>
      </c>
      <c r="K610" s="63" t="str">
        <f>IF(Q610="Yes","Yes","No")</f>
        <v>No</v>
      </c>
      <c r="L610" s="76"/>
      <c r="M610" s="63">
        <f t="shared" si="158"/>
        <v>0</v>
      </c>
      <c r="N610" s="63" t="s">
        <v>8471</v>
      </c>
      <c r="O610" s="64"/>
      <c r="P610" s="660" t="str">
        <f t="shared" si="153"/>
        <v/>
      </c>
      <c r="Q610" s="52" t="str">
        <f t="shared" si="164"/>
        <v>No</v>
      </c>
      <c r="R610" s="1574" t="str">
        <f t="shared" ref="R610:R673" si="168">IF(L610&lt;&gt;"",E610&amp;F610&amp;G610&amp;IF(P610&lt;&gt;""," ("&amp;P610&amp;")",""),"")&amp;IF(M610&gt;1," ("&amp;M610&amp;")","")</f>
        <v/>
      </c>
      <c r="S610" s="52" t="str">
        <f t="shared" si="165"/>
        <v/>
      </c>
      <c r="T610" s="52" t="str">
        <f t="shared" si="166"/>
        <v/>
      </c>
      <c r="U610" s="52" t="str">
        <f t="shared" si="161"/>
        <v/>
      </c>
      <c r="V610" s="52" t="str">
        <f t="shared" si="167"/>
        <v/>
      </c>
      <c r="W610" s="1578"/>
      <c r="X610" s="52" t="str">
        <f t="shared" si="154"/>
        <v/>
      </c>
      <c r="Y610" s="52" t="str">
        <f t="shared" si="163"/>
        <v/>
      </c>
    </row>
    <row r="611" spans="2:27" ht="26">
      <c r="B611" s="1575"/>
      <c r="C611" s="1795"/>
      <c r="D611" s="920"/>
      <c r="E611" s="61" t="s">
        <v>1651</v>
      </c>
      <c r="F611" s="61"/>
      <c r="G611" s="61"/>
      <c r="H611" s="61"/>
      <c r="I611" s="61"/>
      <c r="J611" s="1687" t="s">
        <v>8503</v>
      </c>
      <c r="K611" s="63" t="str">
        <f>IF(Q611="Yes","Yes","No")</f>
        <v>No</v>
      </c>
      <c r="L611" s="76"/>
      <c r="M611" s="63">
        <f t="shared" si="158"/>
        <v>0</v>
      </c>
      <c r="N611" s="63" t="s">
        <v>8471</v>
      </c>
      <c r="O611" s="64"/>
      <c r="P611" s="660" t="str">
        <f t="shared" si="153"/>
        <v/>
      </c>
      <c r="Q611" s="52" t="str">
        <f t="shared" si="164"/>
        <v>No</v>
      </c>
      <c r="R611" s="1574" t="str">
        <f t="shared" si="168"/>
        <v/>
      </c>
      <c r="S611" s="52" t="str">
        <f t="shared" si="165"/>
        <v/>
      </c>
      <c r="T611" s="52" t="str">
        <f t="shared" si="166"/>
        <v/>
      </c>
      <c r="U611" s="52" t="str">
        <f t="shared" si="161"/>
        <v/>
      </c>
      <c r="V611" s="52" t="str">
        <f t="shared" si="167"/>
        <v/>
      </c>
      <c r="W611" s="1578"/>
      <c r="X611" s="52" t="str">
        <f t="shared" si="154"/>
        <v/>
      </c>
      <c r="Y611" s="52" t="str">
        <f t="shared" si="163"/>
        <v/>
      </c>
    </row>
    <row r="612" spans="2:27" ht="26">
      <c r="B612" s="1575"/>
      <c r="C612" s="1795"/>
      <c r="D612" s="920"/>
      <c r="E612" s="61"/>
      <c r="F612" s="61" t="s">
        <v>3978</v>
      </c>
      <c r="G612" s="61"/>
      <c r="H612" s="61"/>
      <c r="I612" s="61"/>
      <c r="J612" s="1687" t="s">
        <v>8504</v>
      </c>
      <c r="K612" s="63" t="str">
        <f>IF(AND(Q612="Yes",L611&lt;&gt;""),"Yes","No")</f>
        <v>No</v>
      </c>
      <c r="L612" s="76"/>
      <c r="M612" s="63">
        <f t="shared" si="158"/>
        <v>0</v>
      </c>
      <c r="N612" s="63" t="s">
        <v>8471</v>
      </c>
      <c r="O612" s="64"/>
      <c r="P612" s="660" t="str">
        <f t="shared" si="153"/>
        <v/>
      </c>
      <c r="Q612" s="52" t="str">
        <f t="shared" si="164"/>
        <v>No</v>
      </c>
      <c r="R612" s="1574" t="str">
        <f t="shared" si="168"/>
        <v/>
      </c>
      <c r="S612" s="52" t="str">
        <f t="shared" si="165"/>
        <v/>
      </c>
      <c r="T612" s="52" t="str">
        <f t="shared" si="166"/>
        <v/>
      </c>
      <c r="U612" s="52" t="str">
        <f t="shared" si="161"/>
        <v/>
      </c>
      <c r="V612" s="52" t="str">
        <f t="shared" si="167"/>
        <v/>
      </c>
      <c r="W612" s="1578"/>
      <c r="X612" s="52" t="str">
        <f t="shared" si="154"/>
        <v/>
      </c>
      <c r="Y612" s="52" t="str">
        <f t="shared" si="163"/>
        <v/>
      </c>
    </row>
    <row r="613" spans="2:27">
      <c r="B613" s="1575"/>
      <c r="C613" s="1795"/>
      <c r="D613" s="920"/>
      <c r="E613" s="61"/>
      <c r="F613" s="61" t="s">
        <v>8505</v>
      </c>
      <c r="G613" s="61"/>
      <c r="H613" s="61"/>
      <c r="I613" s="61"/>
      <c r="J613" s="1687" t="s">
        <v>8506</v>
      </c>
      <c r="K613" s="63" t="str">
        <f>IF(AND(Q613="Yes",L611&lt;&gt;""),"Yes","No")</f>
        <v>No</v>
      </c>
      <c r="L613" s="76"/>
      <c r="M613" s="63">
        <f t="shared" si="158"/>
        <v>0</v>
      </c>
      <c r="N613" s="63" t="s">
        <v>8471</v>
      </c>
      <c r="O613" s="64"/>
      <c r="P613" s="660" t="str">
        <f t="shared" si="153"/>
        <v/>
      </c>
      <c r="Q613" s="52" t="str">
        <f t="shared" si="164"/>
        <v>No</v>
      </c>
      <c r="R613" s="1574" t="str">
        <f t="shared" si="168"/>
        <v/>
      </c>
      <c r="S613" s="52" t="str">
        <f t="shared" si="165"/>
        <v/>
      </c>
      <c r="T613" s="52" t="str">
        <f t="shared" si="166"/>
        <v/>
      </c>
      <c r="U613" s="52" t="str">
        <f t="shared" si="161"/>
        <v/>
      </c>
      <c r="V613" s="52" t="str">
        <f t="shared" si="167"/>
        <v/>
      </c>
      <c r="W613" s="1578"/>
      <c r="X613" s="52" t="str">
        <f t="shared" si="154"/>
        <v/>
      </c>
      <c r="Y613" s="52" t="str">
        <f t="shared" si="163"/>
        <v/>
      </c>
    </row>
    <row r="614" spans="2:27">
      <c r="B614" s="1532" t="str">
        <f t="shared" ref="B614:B637" si="169">IF(E614&lt;&gt;"",E614,IF(F614&lt;&gt;"",F614,IF(G614&lt;&gt;"",G614,IF(H614&lt;&gt;"",H614))))</f>
        <v>Warrior's Determination</v>
      </c>
      <c r="C614" s="1796"/>
      <c r="D614" s="71"/>
      <c r="E614" s="927" t="s">
        <v>8507</v>
      </c>
      <c r="F614" s="927"/>
      <c r="G614" s="927"/>
      <c r="H614" s="927"/>
      <c r="I614" s="927"/>
      <c r="J614" s="1687" t="s">
        <v>8508</v>
      </c>
      <c r="K614" s="928" t="str">
        <f>IF(Q614="Yes","Yes","No")</f>
        <v>No</v>
      </c>
      <c r="L614" s="929"/>
      <c r="M614" s="928">
        <f t="shared" si="158"/>
        <v>0</v>
      </c>
      <c r="N614" s="928" t="s">
        <v>8471</v>
      </c>
      <c r="O614" s="64"/>
      <c r="P614" s="660" t="str">
        <f t="shared" si="153"/>
        <v/>
      </c>
      <c r="Q614" s="52" t="str">
        <f>Q608</f>
        <v>No</v>
      </c>
      <c r="R614" s="1574" t="str">
        <f t="shared" si="168"/>
        <v/>
      </c>
      <c r="S614" s="52" t="str">
        <f t="shared" si="165"/>
        <v/>
      </c>
      <c r="T614" s="52" t="str">
        <f t="shared" si="166"/>
        <v/>
      </c>
      <c r="U614" s="52" t="str">
        <f t="shared" si="161"/>
        <v/>
      </c>
      <c r="V614" s="52" t="str">
        <f t="shared" si="167"/>
        <v/>
      </c>
      <c r="W614" s="1578"/>
      <c r="X614" s="52" t="str">
        <f t="shared" si="154"/>
        <v/>
      </c>
      <c r="Y614" s="52" t="str">
        <f t="shared" si="163"/>
        <v/>
      </c>
      <c r="AA614" s="52" t="str">
        <f t="shared" si="151"/>
        <v/>
      </c>
    </row>
    <row r="615" spans="2:27" ht="15" customHeight="1">
      <c r="B615" s="1532" t="str">
        <f t="shared" si="169"/>
        <v>Buried Presence</v>
      </c>
      <c r="C615" s="1794" t="s">
        <v>2971</v>
      </c>
      <c r="D615" s="922" t="s">
        <v>2972</v>
      </c>
      <c r="E615" s="923" t="s">
        <v>2973</v>
      </c>
      <c r="F615" s="923"/>
      <c r="G615" s="923"/>
      <c r="H615" s="923"/>
      <c r="I615" s="923"/>
      <c r="J615" s="1687" t="s">
        <v>5041</v>
      </c>
      <c r="K615" s="924" t="str">
        <f ca="1">IF(ForceSensitive="Yes","Yes","No")</f>
        <v>No</v>
      </c>
      <c r="L615" s="76"/>
      <c r="M615" s="63">
        <f t="shared" si="158"/>
        <v>0</v>
      </c>
      <c r="N615" s="924" t="s">
        <v>2974</v>
      </c>
      <c r="O615" s="64"/>
      <c r="P615" s="660" t="str">
        <f t="shared" si="153"/>
        <v/>
      </c>
      <c r="Q615" s="52" t="str">
        <f ca="1">IF(AND(ForceSensitive="Yes",SUM(AD$7:AD$42)&gt;0),"Yes","No")</f>
        <v>No</v>
      </c>
      <c r="R615" s="1574" t="str">
        <f t="shared" si="168"/>
        <v/>
      </c>
      <c r="S615" s="52" t="str">
        <f t="shared" si="165"/>
        <v/>
      </c>
      <c r="T615" s="52" t="str">
        <f t="shared" si="166"/>
        <v/>
      </c>
      <c r="U615" s="52" t="str">
        <f t="shared" si="161"/>
        <v/>
      </c>
      <c r="V615" s="52" t="str">
        <f t="shared" si="167"/>
        <v/>
      </c>
      <c r="W615" s="1578"/>
      <c r="X615" s="52" t="str">
        <f t="shared" si="154"/>
        <v/>
      </c>
      <c r="Y615" s="52" t="str">
        <f t="shared" si="163"/>
        <v/>
      </c>
      <c r="AA615" s="52" t="str">
        <f t="shared" si="151"/>
        <v/>
      </c>
    </row>
    <row r="616" spans="2:27" ht="39">
      <c r="B616" s="1532" t="str">
        <f t="shared" si="169"/>
        <v>Conceal Other</v>
      </c>
      <c r="C616" s="1795"/>
      <c r="D616" s="920"/>
      <c r="E616" s="61"/>
      <c r="F616" s="61" t="s">
        <v>2975</v>
      </c>
      <c r="G616" s="61"/>
      <c r="H616" s="61"/>
      <c r="I616" s="61"/>
      <c r="J616" s="1687" t="s">
        <v>5042</v>
      </c>
      <c r="K616" s="63" t="str">
        <f ca="1">IF(AND(Q615="Yes",L615&lt;&gt;""),"Yes","No")</f>
        <v>No</v>
      </c>
      <c r="L616" s="76"/>
      <c r="M616" s="63">
        <f>IF(L616&lt;&gt;"",L616,0)</f>
        <v>0</v>
      </c>
      <c r="N616" s="63" t="s">
        <v>2974</v>
      </c>
      <c r="O616" s="64"/>
      <c r="P616" s="660" t="str">
        <f t="shared" si="153"/>
        <v/>
      </c>
      <c r="Q616" s="52" t="str">
        <f ca="1">Q615</f>
        <v>No</v>
      </c>
      <c r="R616" s="1574" t="str">
        <f t="shared" si="168"/>
        <v/>
      </c>
      <c r="S616" s="52" t="str">
        <f t="shared" si="165"/>
        <v/>
      </c>
      <c r="T616" s="52" t="str">
        <f t="shared" si="166"/>
        <v/>
      </c>
      <c r="U616" s="52" t="str">
        <f t="shared" si="161"/>
        <v/>
      </c>
      <c r="V616" s="52" t="str">
        <f t="shared" si="167"/>
        <v/>
      </c>
      <c r="W616" s="1578"/>
      <c r="X616" s="52" t="str">
        <f t="shared" si="154"/>
        <v/>
      </c>
      <c r="Y616" s="52" t="str">
        <f t="shared" si="163"/>
        <v/>
      </c>
      <c r="AA616" s="52" t="str">
        <f t="shared" si="151"/>
        <v/>
      </c>
    </row>
    <row r="617" spans="2:27">
      <c r="B617" s="1532" t="str">
        <f t="shared" si="169"/>
        <v>Insightful Aim</v>
      </c>
      <c r="C617" s="1795"/>
      <c r="D617" s="920"/>
      <c r="E617" s="61" t="s">
        <v>2976</v>
      </c>
      <c r="F617" s="61"/>
      <c r="G617" s="61"/>
      <c r="H617" s="61"/>
      <c r="I617" s="61"/>
      <c r="J617" s="1687" t="s">
        <v>5043</v>
      </c>
      <c r="K617" s="63" t="str">
        <f t="shared" ref="K617:K667" ca="1" si="170">IF(ForceSensitive="Yes","Yes","No")</f>
        <v>No</v>
      </c>
      <c r="L617" s="76"/>
      <c r="M617" s="63">
        <f t="shared" ref="M617:M749" si="171">IF(L617&lt;&gt;"",1,0)</f>
        <v>0</v>
      </c>
      <c r="N617" s="63" t="s">
        <v>2974</v>
      </c>
      <c r="O617" s="64"/>
      <c r="P617" s="660" t="str">
        <f t="shared" si="153"/>
        <v/>
      </c>
      <c r="Q617" s="52" t="str">
        <f t="shared" ref="Q617:Q749" ca="1" si="172">Q616</f>
        <v>No</v>
      </c>
      <c r="R617" s="1574" t="str">
        <f t="shared" si="168"/>
        <v/>
      </c>
      <c r="S617" s="52" t="str">
        <f t="shared" si="165"/>
        <v/>
      </c>
      <c r="T617" s="52" t="str">
        <f t="shared" si="166"/>
        <v/>
      </c>
      <c r="U617" s="52" t="str">
        <f t="shared" si="161"/>
        <v/>
      </c>
      <c r="V617" s="52" t="str">
        <f t="shared" si="167"/>
        <v/>
      </c>
      <c r="W617" s="1578"/>
      <c r="X617" s="52" t="str">
        <f t="shared" si="154"/>
        <v/>
      </c>
      <c r="Y617" s="52" t="str">
        <f t="shared" si="163"/>
        <v/>
      </c>
      <c r="AA617" s="52" t="str">
        <f t="shared" si="151"/>
        <v/>
      </c>
    </row>
    <row r="618" spans="2:27">
      <c r="B618" s="1532" t="str">
        <f t="shared" si="169"/>
        <v>Vanish</v>
      </c>
      <c r="C618" s="1795"/>
      <c r="D618" s="920"/>
      <c r="E618" s="61" t="s">
        <v>2977</v>
      </c>
      <c r="F618" s="61"/>
      <c r="G618" s="61"/>
      <c r="H618" s="61"/>
      <c r="I618" s="61"/>
      <c r="J618" s="1687" t="s">
        <v>5044</v>
      </c>
      <c r="K618" s="63" t="str">
        <f t="shared" ca="1" si="170"/>
        <v>No</v>
      </c>
      <c r="L618" s="76"/>
      <c r="M618" s="63">
        <f t="shared" si="171"/>
        <v>0</v>
      </c>
      <c r="N618" s="63" t="s">
        <v>2974</v>
      </c>
      <c r="O618" s="64"/>
      <c r="P618" s="660" t="str">
        <f t="shared" si="153"/>
        <v/>
      </c>
      <c r="Q618" s="52" t="str">
        <f t="shared" ca="1" si="172"/>
        <v>No</v>
      </c>
      <c r="R618" s="1574" t="str">
        <f t="shared" si="168"/>
        <v/>
      </c>
      <c r="S618" s="52" t="str">
        <f t="shared" si="165"/>
        <v/>
      </c>
      <c r="T618" s="52" t="str">
        <f t="shared" si="166"/>
        <v/>
      </c>
      <c r="U618" s="52" t="str">
        <f t="shared" si="161"/>
        <v/>
      </c>
      <c r="V618" s="52" t="str">
        <f t="shared" si="167"/>
        <v/>
      </c>
      <c r="W618" s="1578"/>
      <c r="X618" s="52" t="str">
        <f t="shared" si="154"/>
        <v/>
      </c>
      <c r="Y618" s="52" t="str">
        <f t="shared" si="163"/>
        <v/>
      </c>
      <c r="AA618" s="52" t="str">
        <f t="shared" si="151"/>
        <v/>
      </c>
    </row>
    <row r="619" spans="2:27">
      <c r="B619" s="1532" t="str">
        <f t="shared" si="169"/>
        <v>Aura of Freedom</v>
      </c>
      <c r="C619" s="1795"/>
      <c r="D619" s="920" t="s">
        <v>4644</v>
      </c>
      <c r="E619" s="61" t="s">
        <v>4645</v>
      </c>
      <c r="F619" s="61"/>
      <c r="G619" s="61"/>
      <c r="H619" s="61"/>
      <c r="I619" s="61"/>
      <c r="J619" s="1687" t="s">
        <v>5850</v>
      </c>
      <c r="K619" s="63" t="str">
        <f ca="1">IF(ForceSensitive="Yes","Yes","No")</f>
        <v>No</v>
      </c>
      <c r="L619" s="76"/>
      <c r="M619" s="63">
        <f t="shared" si="171"/>
        <v>0</v>
      </c>
      <c r="N619" s="63" t="s">
        <v>4650</v>
      </c>
      <c r="O619" s="64"/>
      <c r="P619" s="660" t="str">
        <f t="shared" si="153"/>
        <v/>
      </c>
      <c r="Q619" s="52" t="str">
        <f t="shared" ca="1" si="172"/>
        <v>No</v>
      </c>
      <c r="R619" s="1574" t="str">
        <f t="shared" si="168"/>
        <v/>
      </c>
      <c r="S619" s="52" t="str">
        <f t="shared" si="165"/>
        <v/>
      </c>
      <c r="T619" s="52" t="str">
        <f t="shared" si="166"/>
        <v/>
      </c>
      <c r="U619" s="52" t="str">
        <f t="shared" si="161"/>
        <v/>
      </c>
      <c r="V619" s="52" t="str">
        <f t="shared" si="167"/>
        <v/>
      </c>
      <c r="W619" s="1578"/>
      <c r="X619" s="52" t="str">
        <f t="shared" si="154"/>
        <v/>
      </c>
      <c r="Y619" s="52" t="str">
        <f t="shared" si="163"/>
        <v/>
      </c>
      <c r="AA619" s="52" t="str">
        <f t="shared" si="151"/>
        <v/>
      </c>
    </row>
    <row r="620" spans="2:27">
      <c r="B620" s="1532" t="str">
        <f t="shared" si="169"/>
        <v>Liberate</v>
      </c>
      <c r="C620" s="1795"/>
      <c r="D620" s="920"/>
      <c r="E620" s="61"/>
      <c r="F620" s="61" t="s">
        <v>4646</v>
      </c>
      <c r="G620" s="61"/>
      <c r="H620" s="61"/>
      <c r="I620" s="61"/>
      <c r="J620" s="1687" t="s">
        <v>5851</v>
      </c>
      <c r="K620" s="63" t="str">
        <f ca="1">IF(AND(Q619="Yes",L619&lt;&gt;""),"Yes","No")</f>
        <v>No</v>
      </c>
      <c r="L620" s="76"/>
      <c r="M620" s="63">
        <f>IF(L620&lt;&gt;"",1,0)</f>
        <v>0</v>
      </c>
      <c r="N620" s="63" t="s">
        <v>4650</v>
      </c>
      <c r="O620" s="64"/>
      <c r="P620" s="660" t="str">
        <f t="shared" si="153"/>
        <v/>
      </c>
      <c r="Q620" s="52" t="str">
        <f t="shared" ca="1" si="172"/>
        <v>No</v>
      </c>
      <c r="R620" s="1574" t="str">
        <f t="shared" si="168"/>
        <v/>
      </c>
      <c r="S620" s="52" t="str">
        <f t="shared" si="165"/>
        <v/>
      </c>
      <c r="T620" s="52" t="str">
        <f t="shared" si="166"/>
        <v/>
      </c>
      <c r="U620" s="52" t="str">
        <f t="shared" si="161"/>
        <v/>
      </c>
      <c r="V620" s="52" t="str">
        <f t="shared" si="167"/>
        <v/>
      </c>
      <c r="W620" s="1578"/>
      <c r="X620" s="52" t="str">
        <f t="shared" si="154"/>
        <v/>
      </c>
      <c r="Y620" s="52" t="str">
        <f t="shared" si="163"/>
        <v/>
      </c>
      <c r="AA620" s="52" t="str">
        <f t="shared" si="151"/>
        <v/>
      </c>
    </row>
    <row r="621" spans="2:27">
      <c r="B621" s="1532" t="str">
        <f t="shared" si="169"/>
        <v>Folded Space Mastery</v>
      </c>
      <c r="C621" s="1795"/>
      <c r="D621" s="920"/>
      <c r="E621" s="61" t="s">
        <v>4647</v>
      </c>
      <c r="F621" s="61"/>
      <c r="G621" s="61"/>
      <c r="H621" s="61"/>
      <c r="I621" s="61"/>
      <c r="J621" s="1687" t="s">
        <v>5851</v>
      </c>
      <c r="K621" s="63" t="str">
        <f ca="1">IF(ForceSensitive="Yes","Yes","No")</f>
        <v>No</v>
      </c>
      <c r="L621" s="76"/>
      <c r="M621" s="63">
        <f>IF(L621&lt;&gt;"",1,0)</f>
        <v>0</v>
      </c>
      <c r="N621" s="63" t="s">
        <v>4650</v>
      </c>
      <c r="O621" s="64"/>
      <c r="P621" s="660" t="str">
        <f t="shared" si="153"/>
        <v/>
      </c>
      <c r="Q621" s="52" t="str">
        <f t="shared" ca="1" si="172"/>
        <v>No</v>
      </c>
      <c r="R621" s="1574" t="str">
        <f t="shared" si="168"/>
        <v/>
      </c>
      <c r="S621" s="52" t="str">
        <f t="shared" si="165"/>
        <v/>
      </c>
      <c r="T621" s="52" t="str">
        <f t="shared" si="166"/>
        <v/>
      </c>
      <c r="U621" s="52" t="str">
        <f t="shared" si="161"/>
        <v/>
      </c>
      <c r="V621" s="52" t="str">
        <f t="shared" si="167"/>
        <v/>
      </c>
      <c r="W621" s="1578"/>
      <c r="X621" s="52" t="str">
        <f t="shared" si="154"/>
        <v/>
      </c>
      <c r="Y621" s="52" t="str">
        <f t="shared" si="163"/>
        <v/>
      </c>
      <c r="AA621" s="52" t="str">
        <f t="shared" si="151"/>
        <v/>
      </c>
    </row>
    <row r="622" spans="2:27">
      <c r="B622" s="1532" t="str">
        <f t="shared" si="169"/>
        <v>Many Shades of the Force</v>
      </c>
      <c r="C622" s="1795"/>
      <c r="D622" s="920"/>
      <c r="E622" s="61" t="s">
        <v>4648</v>
      </c>
      <c r="F622" s="61"/>
      <c r="G622" s="61"/>
      <c r="H622" s="61"/>
      <c r="I622" s="61"/>
      <c r="J622" s="1687" t="s">
        <v>5853</v>
      </c>
      <c r="K622" s="63" t="str">
        <f ca="1">IF(ForceSensitive="Yes","Yes","No")</f>
        <v>No</v>
      </c>
      <c r="L622" s="76"/>
      <c r="M622" s="63">
        <f>IF(L622&lt;&gt;"",1,0)</f>
        <v>0</v>
      </c>
      <c r="N622" s="63" t="s">
        <v>4650</v>
      </c>
      <c r="O622" s="64"/>
      <c r="P622" s="660" t="str">
        <f t="shared" si="153"/>
        <v/>
      </c>
      <c r="Q622" s="52" t="str">
        <f t="shared" ca="1" si="172"/>
        <v>No</v>
      </c>
      <c r="R622" s="1574" t="str">
        <f t="shared" si="168"/>
        <v/>
      </c>
      <c r="S622" s="52" t="str">
        <f t="shared" si="165"/>
        <v/>
      </c>
      <c r="T622" s="52" t="str">
        <f t="shared" si="166"/>
        <v/>
      </c>
      <c r="U622" s="52" t="str">
        <f t="shared" si="161"/>
        <v/>
      </c>
      <c r="V622" s="52" t="str">
        <f t="shared" si="167"/>
        <v/>
      </c>
      <c r="W622" s="1578"/>
      <c r="X622" s="52" t="str">
        <f t="shared" si="154"/>
        <v/>
      </c>
      <c r="Y622" s="52" t="str">
        <f t="shared" si="163"/>
        <v/>
      </c>
      <c r="AA622" s="52" t="str">
        <f t="shared" si="151"/>
        <v/>
      </c>
    </row>
    <row r="623" spans="2:27">
      <c r="B623" s="1532" t="str">
        <f t="shared" si="169"/>
        <v>Spatial Integrity</v>
      </c>
      <c r="C623" s="1795"/>
      <c r="D623" s="920"/>
      <c r="E623" s="61" t="s">
        <v>4649</v>
      </c>
      <c r="F623" s="61"/>
      <c r="G623" s="61"/>
      <c r="H623" s="61"/>
      <c r="I623" s="61"/>
      <c r="J623" s="1687" t="s">
        <v>5852</v>
      </c>
      <c r="K623" s="63" t="str">
        <f ca="1">IF(ForceSensitive="Yes","Yes","No")</f>
        <v>No</v>
      </c>
      <c r="L623" s="76"/>
      <c r="M623" s="63">
        <f>IF(L623&lt;&gt;"",1,0)</f>
        <v>0</v>
      </c>
      <c r="N623" s="63" t="s">
        <v>4650</v>
      </c>
      <c r="O623" s="64"/>
      <c r="P623" s="660" t="str">
        <f t="shared" si="153"/>
        <v/>
      </c>
      <c r="Q623" s="52" t="str">
        <f t="shared" ca="1" si="172"/>
        <v>No</v>
      </c>
      <c r="R623" s="1574" t="str">
        <f t="shared" si="168"/>
        <v/>
      </c>
      <c r="S623" s="52" t="str">
        <f t="shared" si="165"/>
        <v/>
      </c>
      <c r="T623" s="52" t="str">
        <f t="shared" si="166"/>
        <v/>
      </c>
      <c r="U623" s="52" t="str">
        <f t="shared" si="161"/>
        <v/>
      </c>
      <c r="V623" s="52" t="str">
        <f t="shared" si="167"/>
        <v/>
      </c>
      <c r="W623" s="1578"/>
      <c r="X623" s="52" t="str">
        <f t="shared" si="154"/>
        <v/>
      </c>
      <c r="Y623" s="52" t="str">
        <f t="shared" si="163"/>
        <v/>
      </c>
      <c r="AA623" s="52" t="str">
        <f t="shared" si="151"/>
        <v/>
      </c>
    </row>
    <row r="624" spans="2:27">
      <c r="B624" s="1532" t="str">
        <f t="shared" si="169"/>
        <v>Bando Goro Surge</v>
      </c>
      <c r="C624" s="1795"/>
      <c r="D624" s="920" t="s">
        <v>2978</v>
      </c>
      <c r="E624" s="61" t="s">
        <v>2979</v>
      </c>
      <c r="F624" s="61"/>
      <c r="G624" s="61"/>
      <c r="H624" s="61"/>
      <c r="I624" s="61"/>
      <c r="J624" s="1687" t="s">
        <v>5045</v>
      </c>
      <c r="K624" s="63" t="str">
        <f t="shared" ca="1" si="170"/>
        <v>No</v>
      </c>
      <c r="L624" s="76"/>
      <c r="M624" s="63">
        <f t="shared" si="171"/>
        <v>0</v>
      </c>
      <c r="N624" s="63" t="s">
        <v>2980</v>
      </c>
      <c r="O624" s="64"/>
      <c r="P624" s="660" t="str">
        <f t="shared" si="153"/>
        <v/>
      </c>
      <c r="Q624" s="52" t="str">
        <f t="shared" ca="1" si="172"/>
        <v>No</v>
      </c>
      <c r="R624" s="1574" t="str">
        <f t="shared" si="168"/>
        <v/>
      </c>
      <c r="S624" s="52" t="str">
        <f t="shared" si="165"/>
        <v/>
      </c>
      <c r="T624" s="52" t="str">
        <f t="shared" si="166"/>
        <v/>
      </c>
      <c r="U624" s="52" t="str">
        <f t="shared" si="161"/>
        <v/>
      </c>
      <c r="V624" s="52" t="str">
        <f t="shared" si="167"/>
        <v/>
      </c>
      <c r="W624" s="1578"/>
      <c r="X624" s="52" t="str">
        <f t="shared" si="154"/>
        <v/>
      </c>
      <c r="Y624" s="52" t="str">
        <f t="shared" si="163"/>
        <v/>
      </c>
      <c r="AA624" s="52" t="str">
        <f t="shared" si="151"/>
        <v/>
      </c>
    </row>
    <row r="625" spans="2:27">
      <c r="B625" s="1532" t="str">
        <f t="shared" si="169"/>
        <v>Force Fighter</v>
      </c>
      <c r="C625" s="1795"/>
      <c r="D625" s="920"/>
      <c r="E625" s="61" t="s">
        <v>2981</v>
      </c>
      <c r="F625" s="61"/>
      <c r="G625" s="61"/>
      <c r="H625" s="61"/>
      <c r="I625" s="61"/>
      <c r="J625" s="1687" t="s">
        <v>5046</v>
      </c>
      <c r="K625" s="63" t="str">
        <f t="shared" ca="1" si="170"/>
        <v>No</v>
      </c>
      <c r="L625" s="76"/>
      <c r="M625" s="63">
        <f t="shared" si="171"/>
        <v>0</v>
      </c>
      <c r="N625" s="63" t="s">
        <v>2982</v>
      </c>
      <c r="O625" s="64"/>
      <c r="P625" s="660" t="str">
        <f t="shared" si="153"/>
        <v/>
      </c>
      <c r="Q625" s="52" t="str">
        <f t="shared" ca="1" si="172"/>
        <v>No</v>
      </c>
      <c r="R625" s="1574" t="str">
        <f t="shared" si="168"/>
        <v/>
      </c>
      <c r="S625" s="52" t="str">
        <f t="shared" si="165"/>
        <v/>
      </c>
      <c r="T625" s="52" t="str">
        <f t="shared" si="166"/>
        <v/>
      </c>
      <c r="U625" s="52" t="str">
        <f t="shared" si="161"/>
        <v/>
      </c>
      <c r="V625" s="52" t="str">
        <f t="shared" si="167"/>
        <v/>
      </c>
      <c r="W625" s="1578"/>
      <c r="X625" s="52" t="str">
        <f t="shared" si="154"/>
        <v/>
      </c>
      <c r="Y625" s="52" t="str">
        <f t="shared" si="163"/>
        <v/>
      </c>
      <c r="AA625" s="52" t="str">
        <f t="shared" si="151"/>
        <v/>
      </c>
    </row>
    <row r="626" spans="2:27">
      <c r="B626" s="1532" t="str">
        <f t="shared" si="169"/>
        <v>Resist Enervation</v>
      </c>
      <c r="C626" s="1795"/>
      <c r="D626" s="920"/>
      <c r="E626" s="61" t="s">
        <v>2983</v>
      </c>
      <c r="F626" s="61"/>
      <c r="G626" s="61"/>
      <c r="H626" s="61"/>
      <c r="I626" s="61"/>
      <c r="J626" s="1687" t="s">
        <v>5047</v>
      </c>
      <c r="K626" s="63" t="str">
        <f t="shared" ca="1" si="170"/>
        <v>No</v>
      </c>
      <c r="L626" s="76"/>
      <c r="M626" s="63">
        <f t="shared" si="171"/>
        <v>0</v>
      </c>
      <c r="N626" s="63" t="s">
        <v>2982</v>
      </c>
      <c r="O626" s="64"/>
      <c r="P626" s="660" t="str">
        <f t="shared" si="153"/>
        <v/>
      </c>
      <c r="Q626" s="52" t="str">
        <f t="shared" ca="1" si="172"/>
        <v>No</v>
      </c>
      <c r="R626" s="1574" t="str">
        <f t="shared" si="168"/>
        <v/>
      </c>
      <c r="S626" s="52" t="str">
        <f t="shared" si="165"/>
        <v/>
      </c>
      <c r="T626" s="52" t="str">
        <f t="shared" si="166"/>
        <v/>
      </c>
      <c r="U626" s="52" t="str">
        <f t="shared" si="161"/>
        <v/>
      </c>
      <c r="V626" s="52" t="str">
        <f t="shared" si="167"/>
        <v/>
      </c>
      <c r="W626" s="1578"/>
      <c r="X626" s="52" t="str">
        <f t="shared" si="154"/>
        <v/>
      </c>
      <c r="Y626" s="52" t="str">
        <f t="shared" si="163"/>
        <v/>
      </c>
      <c r="AA626" s="52" t="str">
        <f t="shared" si="151"/>
        <v/>
      </c>
    </row>
    <row r="627" spans="2:27">
      <c r="B627" s="1532" t="str">
        <f t="shared" si="169"/>
        <v>Victorious Force Mastery</v>
      </c>
      <c r="C627" s="1795"/>
      <c r="D627" s="920"/>
      <c r="E627" s="61" t="s">
        <v>2984</v>
      </c>
      <c r="F627" s="61"/>
      <c r="G627" s="61"/>
      <c r="H627" s="61"/>
      <c r="I627" s="61"/>
      <c r="J627" s="1687" t="s">
        <v>5048</v>
      </c>
      <c r="K627" s="63" t="str">
        <f t="shared" ca="1" si="170"/>
        <v>No</v>
      </c>
      <c r="L627" s="76"/>
      <c r="M627" s="63">
        <f t="shared" si="171"/>
        <v>0</v>
      </c>
      <c r="N627" s="63" t="s">
        <v>2982</v>
      </c>
      <c r="O627" s="64"/>
      <c r="P627" s="660" t="str">
        <f t="shared" si="153"/>
        <v/>
      </c>
      <c r="Q627" s="52" t="str">
        <f t="shared" ca="1" si="172"/>
        <v>No</v>
      </c>
      <c r="R627" s="1574" t="str">
        <f t="shared" si="168"/>
        <v/>
      </c>
      <c r="S627" s="52" t="str">
        <f t="shared" si="165"/>
        <v/>
      </c>
      <c r="T627" s="52" t="str">
        <f t="shared" si="166"/>
        <v/>
      </c>
      <c r="U627" s="52" t="str">
        <f t="shared" si="161"/>
        <v/>
      </c>
      <c r="V627" s="52" t="str">
        <f t="shared" si="167"/>
        <v/>
      </c>
      <c r="W627" s="1578"/>
      <c r="X627" s="52" t="str">
        <f t="shared" si="154"/>
        <v/>
      </c>
      <c r="Y627" s="52" t="str">
        <f t="shared" si="163"/>
        <v/>
      </c>
      <c r="AA627" s="52" t="str">
        <f t="shared" si="151"/>
        <v/>
      </c>
    </row>
    <row r="628" spans="2:27">
      <c r="B628" s="1532" t="str">
        <f t="shared" si="169"/>
        <v>Enhanced Danger Sense</v>
      </c>
      <c r="C628" s="1795"/>
      <c r="D628" s="920" t="s">
        <v>4651</v>
      </c>
      <c r="E628" s="61" t="s">
        <v>4652</v>
      </c>
      <c r="F628" s="61"/>
      <c r="G628" s="61"/>
      <c r="H628" s="61"/>
      <c r="I628" s="61"/>
      <c r="J628" s="1687" t="s">
        <v>5854</v>
      </c>
      <c r="K628" s="63" t="str">
        <f ca="1">IF(ForceSensitive="Yes","Yes","No")</f>
        <v>No</v>
      </c>
      <c r="L628" s="76"/>
      <c r="M628" s="63">
        <f>IF(L628&lt;&gt;"",1,0)</f>
        <v>0</v>
      </c>
      <c r="N628" s="63" t="s">
        <v>4657</v>
      </c>
      <c r="O628" s="64"/>
      <c r="P628" s="660" t="str">
        <f t="shared" si="153"/>
        <v/>
      </c>
      <c r="Q628" s="52" t="str">
        <f t="shared" ca="1" si="172"/>
        <v>No</v>
      </c>
      <c r="R628" s="1574" t="str">
        <f t="shared" si="168"/>
        <v/>
      </c>
      <c r="S628" s="52" t="str">
        <f t="shared" si="165"/>
        <v/>
      </c>
      <c r="T628" s="52" t="str">
        <f t="shared" si="166"/>
        <v/>
      </c>
      <c r="U628" s="52" t="str">
        <f t="shared" si="161"/>
        <v/>
      </c>
      <c r="V628" s="52" t="str">
        <f t="shared" si="167"/>
        <v/>
      </c>
      <c r="W628" s="1578"/>
      <c r="X628" s="52" t="str">
        <f t="shared" si="154"/>
        <v/>
      </c>
      <c r="Y628" s="52" t="str">
        <f t="shared" si="163"/>
        <v/>
      </c>
      <c r="AA628" s="52" t="str">
        <f t="shared" si="151"/>
        <v/>
      </c>
    </row>
    <row r="629" spans="2:27">
      <c r="B629" s="1532" t="str">
        <f t="shared" si="169"/>
        <v>Knowledge and Defense</v>
      </c>
      <c r="C629" s="1795"/>
      <c r="D629" s="920"/>
      <c r="E629" s="61"/>
      <c r="F629" s="61" t="s">
        <v>4654</v>
      </c>
      <c r="G629" s="61"/>
      <c r="H629" s="61"/>
      <c r="I629" s="61"/>
      <c r="J629" s="1687" t="s">
        <v>5855</v>
      </c>
      <c r="K629" s="63" t="str">
        <f ca="1">IF(AND(Q628="Yes",L628&lt;&gt;""),"Yes","No")</f>
        <v>No</v>
      </c>
      <c r="L629" s="76"/>
      <c r="M629" s="63">
        <f>IF(L629&lt;&gt;"",1,0)</f>
        <v>0</v>
      </c>
      <c r="N629" s="63" t="s">
        <v>4657</v>
      </c>
      <c r="O629" s="64"/>
      <c r="P629" s="660" t="str">
        <f t="shared" si="153"/>
        <v/>
      </c>
      <c r="Q629" s="52" t="str">
        <f t="shared" ca="1" si="172"/>
        <v>No</v>
      </c>
      <c r="R629" s="1574" t="str">
        <f t="shared" si="168"/>
        <v/>
      </c>
      <c r="S629" s="52" t="str">
        <f t="shared" si="165"/>
        <v/>
      </c>
      <c r="T629" s="52" t="str">
        <f t="shared" si="166"/>
        <v/>
      </c>
      <c r="U629" s="52" t="str">
        <f t="shared" si="161"/>
        <v/>
      </c>
      <c r="V629" s="52" t="str">
        <f t="shared" si="167"/>
        <v/>
      </c>
      <c r="W629" s="1578"/>
      <c r="X629" s="52" t="str">
        <f t="shared" si="154"/>
        <v/>
      </c>
      <c r="Y629" s="52" t="str">
        <f t="shared" si="163"/>
        <v/>
      </c>
      <c r="AA629" s="52" t="str">
        <f t="shared" si="151"/>
        <v/>
      </c>
    </row>
    <row r="630" spans="2:27">
      <c r="B630" s="1532" t="str">
        <f t="shared" si="169"/>
        <v>Expanded Horizon</v>
      </c>
      <c r="C630" s="1795"/>
      <c r="D630" s="920"/>
      <c r="E630" s="61" t="s">
        <v>4653</v>
      </c>
      <c r="F630" s="61"/>
      <c r="G630" s="61"/>
      <c r="H630" s="61"/>
      <c r="I630" s="61"/>
      <c r="J630" s="1687" t="s">
        <v>5856</v>
      </c>
      <c r="K630" s="63" t="str">
        <f ca="1">IF(ForceSensitive="Yes","Yes","No")</f>
        <v>No</v>
      </c>
      <c r="L630" s="76"/>
      <c r="M630" s="63">
        <f>IF(L630&lt;&gt;"",1,0)</f>
        <v>0</v>
      </c>
      <c r="N630" s="63" t="s">
        <v>4657</v>
      </c>
      <c r="O630" s="64"/>
      <c r="P630" s="660" t="str">
        <f t="shared" si="153"/>
        <v/>
      </c>
      <c r="Q630" s="52" t="str">
        <f t="shared" ca="1" si="172"/>
        <v>No</v>
      </c>
      <c r="R630" s="1574" t="str">
        <f t="shared" si="168"/>
        <v/>
      </c>
      <c r="S630" s="52" t="str">
        <f t="shared" si="165"/>
        <v/>
      </c>
      <c r="T630" s="52" t="str">
        <f t="shared" si="166"/>
        <v/>
      </c>
      <c r="U630" s="52" t="str">
        <f t="shared" si="161"/>
        <v/>
      </c>
      <c r="V630" s="52" t="str">
        <f t="shared" si="167"/>
        <v/>
      </c>
      <c r="W630" s="1578"/>
      <c r="X630" s="52" t="str">
        <f t="shared" si="154"/>
        <v/>
      </c>
      <c r="Y630" s="52" t="str">
        <f t="shared" si="163"/>
        <v/>
      </c>
      <c r="AA630" s="52" t="str">
        <f t="shared" si="151"/>
        <v/>
      </c>
    </row>
    <row r="631" spans="2:27" ht="26">
      <c r="B631" s="1532" t="str">
        <f t="shared" si="169"/>
        <v>Planetary Attunement</v>
      </c>
      <c r="C631" s="1795"/>
      <c r="D631" s="920"/>
      <c r="E631" s="61" t="s">
        <v>4655</v>
      </c>
      <c r="F631" s="61"/>
      <c r="G631" s="61"/>
      <c r="H631" s="61"/>
      <c r="I631" s="61"/>
      <c r="J631" s="1687" t="s">
        <v>5857</v>
      </c>
      <c r="K631" s="63" t="str">
        <f ca="1">IF(ForceSensitive="Yes","Yes","No")</f>
        <v>No</v>
      </c>
      <c r="L631" s="76"/>
      <c r="M631" s="63">
        <f>IF(L631&lt;&gt;"",1,0)</f>
        <v>0</v>
      </c>
      <c r="N631" s="63" t="s">
        <v>4657</v>
      </c>
      <c r="O631" s="64"/>
      <c r="P631" s="660" t="str">
        <f t="shared" si="153"/>
        <v/>
      </c>
      <c r="Q631" s="52" t="str">
        <f t="shared" ca="1" si="172"/>
        <v>No</v>
      </c>
      <c r="R631" s="1574" t="str">
        <f t="shared" si="168"/>
        <v/>
      </c>
      <c r="S631" s="52" t="str">
        <f t="shared" si="165"/>
        <v/>
      </c>
      <c r="T631" s="52" t="str">
        <f t="shared" si="166"/>
        <v/>
      </c>
      <c r="U631" s="52" t="str">
        <f t="shared" si="161"/>
        <v/>
      </c>
      <c r="V631" s="52" t="str">
        <f t="shared" si="167"/>
        <v/>
      </c>
      <c r="W631" s="1578"/>
      <c r="X631" s="52" t="str">
        <f t="shared" si="154"/>
        <v/>
      </c>
      <c r="Y631" s="52" t="str">
        <f t="shared" si="163"/>
        <v/>
      </c>
      <c r="AA631" s="52" t="str">
        <f t="shared" si="151"/>
        <v/>
      </c>
    </row>
    <row r="632" spans="2:27">
      <c r="B632" s="1532" t="str">
        <f t="shared" si="169"/>
        <v>Precognitive Meditation</v>
      </c>
      <c r="C632" s="1795"/>
      <c r="D632" s="920"/>
      <c r="E632" s="61" t="s">
        <v>4656</v>
      </c>
      <c r="F632" s="61"/>
      <c r="G632" s="61"/>
      <c r="H632" s="61"/>
      <c r="I632" s="61"/>
      <c r="J632" s="1687" t="s">
        <v>5858</v>
      </c>
      <c r="K632" s="63" t="str">
        <f ca="1">IF(ForceSensitive="Yes","Yes","No")</f>
        <v>No</v>
      </c>
      <c r="L632" s="76"/>
      <c r="M632" s="63">
        <f>IF(L632&lt;&gt;"",1,0)</f>
        <v>0</v>
      </c>
      <c r="N632" s="63" t="s">
        <v>4657</v>
      </c>
      <c r="O632" s="64"/>
      <c r="P632" s="660" t="str">
        <f t="shared" si="153"/>
        <v/>
      </c>
      <c r="Q632" s="52" t="str">
        <f t="shared" ca="1" si="172"/>
        <v>No</v>
      </c>
      <c r="R632" s="1574" t="str">
        <f t="shared" si="168"/>
        <v/>
      </c>
      <c r="S632" s="52" t="str">
        <f t="shared" si="165"/>
        <v/>
      </c>
      <c r="T632" s="52" t="str">
        <f t="shared" si="166"/>
        <v/>
      </c>
      <c r="U632" s="52" t="str">
        <f t="shared" si="161"/>
        <v/>
      </c>
      <c r="V632" s="52" t="str">
        <f t="shared" si="167"/>
        <v/>
      </c>
      <c r="W632" s="1578"/>
      <c r="X632" s="52" t="str">
        <f t="shared" si="154"/>
        <v/>
      </c>
      <c r="Y632" s="52" t="str">
        <f t="shared" si="163"/>
        <v/>
      </c>
      <c r="AA632" s="52" t="str">
        <f t="shared" si="151"/>
        <v/>
      </c>
    </row>
    <row r="633" spans="2:27" ht="26">
      <c r="B633" s="1532" t="str">
        <f t="shared" si="169"/>
        <v>Believer Intuition</v>
      </c>
      <c r="C633" s="1795"/>
      <c r="D633" s="920" t="s">
        <v>2985</v>
      </c>
      <c r="E633" s="61" t="s">
        <v>2986</v>
      </c>
      <c r="F633" s="61"/>
      <c r="G633" s="61"/>
      <c r="H633" s="61"/>
      <c r="I633" s="61"/>
      <c r="J633" s="1687" t="s">
        <v>5049</v>
      </c>
      <c r="K633" s="63" t="str">
        <f t="shared" ca="1" si="170"/>
        <v>No</v>
      </c>
      <c r="L633" s="76"/>
      <c r="M633" s="63">
        <f t="shared" si="171"/>
        <v>0</v>
      </c>
      <c r="N633" s="63" t="s">
        <v>2982</v>
      </c>
      <c r="O633" s="64"/>
      <c r="P633" s="660" t="str">
        <f t="shared" si="153"/>
        <v/>
      </c>
      <c r="Q633" s="52" t="str">
        <f t="shared" ca="1" si="172"/>
        <v>No</v>
      </c>
      <c r="R633" s="1574" t="str">
        <f t="shared" si="168"/>
        <v/>
      </c>
      <c r="S633" s="52" t="str">
        <f t="shared" si="165"/>
        <v/>
      </c>
      <c r="T633" s="52" t="str">
        <f t="shared" si="166"/>
        <v/>
      </c>
      <c r="U633" s="52" t="str">
        <f t="shared" si="161"/>
        <v/>
      </c>
      <c r="V633" s="52" t="str">
        <f t="shared" si="167"/>
        <v/>
      </c>
      <c r="W633" s="1578"/>
      <c r="X633" s="52" t="str">
        <f t="shared" si="154"/>
        <v/>
      </c>
      <c r="Y633" s="52" t="str">
        <f t="shared" si="163"/>
        <v/>
      </c>
      <c r="AA633" s="52" t="str">
        <f t="shared" si="151"/>
        <v/>
      </c>
    </row>
    <row r="634" spans="2:27" ht="26">
      <c r="B634" s="1532" t="str">
        <f t="shared" si="169"/>
        <v>Defense Boost</v>
      </c>
      <c r="C634" s="1795"/>
      <c r="D634" s="920"/>
      <c r="E634" s="61" t="s">
        <v>2987</v>
      </c>
      <c r="F634" s="61"/>
      <c r="G634" s="61"/>
      <c r="H634" s="61"/>
      <c r="I634" s="61"/>
      <c r="J634" s="1687" t="s">
        <v>5050</v>
      </c>
      <c r="K634" s="63" t="str">
        <f t="shared" ca="1" si="170"/>
        <v>No</v>
      </c>
      <c r="L634" s="76"/>
      <c r="M634" s="63">
        <f t="shared" si="171"/>
        <v>0</v>
      </c>
      <c r="N634" s="63" t="s">
        <v>2982</v>
      </c>
      <c r="O634" s="64"/>
      <c r="P634" s="660" t="str">
        <f t="shared" si="153"/>
        <v/>
      </c>
      <c r="Q634" s="52" t="str">
        <f t="shared" ca="1" si="172"/>
        <v>No</v>
      </c>
      <c r="R634" s="1574" t="str">
        <f t="shared" si="168"/>
        <v/>
      </c>
      <c r="S634" s="52" t="str">
        <f t="shared" si="165"/>
        <v/>
      </c>
      <c r="T634" s="52" t="str">
        <f t="shared" si="166"/>
        <v/>
      </c>
      <c r="U634" s="52" t="str">
        <f t="shared" si="161"/>
        <v/>
      </c>
      <c r="V634" s="52" t="str">
        <f t="shared" si="167"/>
        <v/>
      </c>
      <c r="W634" s="1578"/>
      <c r="X634" s="52" t="str">
        <f t="shared" si="154"/>
        <v/>
      </c>
      <c r="Y634" s="52" t="str">
        <f t="shared" si="163"/>
        <v/>
      </c>
      <c r="AA634" s="52" t="str">
        <f t="shared" si="151"/>
        <v/>
      </c>
    </row>
    <row r="635" spans="2:27">
      <c r="B635" s="1532" t="str">
        <f t="shared" si="169"/>
        <v>Hardiness</v>
      </c>
      <c r="C635" s="1795"/>
      <c r="D635" s="920"/>
      <c r="E635" s="61" t="s">
        <v>2988</v>
      </c>
      <c r="F635" s="61"/>
      <c r="G635" s="61"/>
      <c r="H635" s="61"/>
      <c r="I635" s="61"/>
      <c r="J635" s="1687" t="s">
        <v>5051</v>
      </c>
      <c r="K635" s="63" t="str">
        <f t="shared" ca="1" si="170"/>
        <v>No</v>
      </c>
      <c r="L635" s="76"/>
      <c r="M635" s="63">
        <f t="shared" si="171"/>
        <v>0</v>
      </c>
      <c r="N635" s="63" t="s">
        <v>2982</v>
      </c>
      <c r="O635" s="64"/>
      <c r="P635" s="660" t="str">
        <f t="shared" si="153"/>
        <v/>
      </c>
      <c r="Q635" s="52" t="str">
        <f t="shared" ca="1" si="172"/>
        <v>No</v>
      </c>
      <c r="R635" s="1574" t="str">
        <f t="shared" si="168"/>
        <v/>
      </c>
      <c r="S635" s="52" t="str">
        <f t="shared" si="165"/>
        <v/>
      </c>
      <c r="T635" s="52" t="str">
        <f t="shared" si="166"/>
        <v/>
      </c>
      <c r="U635" s="52" t="str">
        <f t="shared" si="161"/>
        <v/>
      </c>
      <c r="V635" s="52" t="str">
        <f t="shared" si="167"/>
        <v/>
      </c>
      <c r="W635" s="1578"/>
      <c r="X635" s="52" t="str">
        <f t="shared" si="154"/>
        <v/>
      </c>
      <c r="Y635" s="52" t="str">
        <f t="shared" si="163"/>
        <v/>
      </c>
      <c r="AA635" s="52" t="str">
        <f t="shared" si="151"/>
        <v/>
      </c>
    </row>
    <row r="636" spans="2:27" ht="26">
      <c r="B636" s="1532" t="str">
        <f t="shared" si="169"/>
        <v>High Impact</v>
      </c>
      <c r="C636" s="1795"/>
      <c r="D636" s="920"/>
      <c r="E636" s="61" t="s">
        <v>2989</v>
      </c>
      <c r="F636" s="61"/>
      <c r="G636" s="61"/>
      <c r="H636" s="61"/>
      <c r="I636" s="61"/>
      <c r="J636" s="1687" t="s">
        <v>5052</v>
      </c>
      <c r="K636" s="63" t="str">
        <f t="shared" ca="1" si="170"/>
        <v>No</v>
      </c>
      <c r="L636" s="76"/>
      <c r="M636" s="63">
        <f t="shared" si="171"/>
        <v>0</v>
      </c>
      <c r="N636" s="63" t="s">
        <v>2982</v>
      </c>
      <c r="O636" s="64"/>
      <c r="P636" s="660" t="str">
        <f t="shared" si="153"/>
        <v/>
      </c>
      <c r="Q636" s="52" t="str">
        <f t="shared" ca="1" si="172"/>
        <v>No</v>
      </c>
      <c r="R636" s="1574" t="str">
        <f t="shared" si="168"/>
        <v/>
      </c>
      <c r="S636" s="52" t="str">
        <f t="shared" si="165"/>
        <v/>
      </c>
      <c r="T636" s="52" t="str">
        <f t="shared" si="166"/>
        <v/>
      </c>
      <c r="U636" s="52" t="str">
        <f t="shared" si="161"/>
        <v/>
      </c>
      <c r="V636" s="52" t="str">
        <f t="shared" si="167"/>
        <v/>
      </c>
      <c r="W636" s="1578"/>
      <c r="X636" s="52" t="str">
        <f t="shared" si="154"/>
        <v/>
      </c>
      <c r="Y636" s="52" t="str">
        <f t="shared" si="163"/>
        <v/>
      </c>
      <c r="AA636" s="52" t="str">
        <f t="shared" si="151"/>
        <v/>
      </c>
    </row>
    <row r="637" spans="2:27" ht="26">
      <c r="B637" s="1532" t="str">
        <f t="shared" si="169"/>
        <v>Sith Reverence</v>
      </c>
      <c r="C637" s="1795"/>
      <c r="D637" s="920"/>
      <c r="E637" s="61" t="s">
        <v>2990</v>
      </c>
      <c r="F637" s="61"/>
      <c r="G637" s="61"/>
      <c r="H637" s="61"/>
      <c r="I637" s="61"/>
      <c r="J637" s="1687" t="s">
        <v>5053</v>
      </c>
      <c r="K637" s="63" t="str">
        <f t="shared" ca="1" si="170"/>
        <v>No</v>
      </c>
      <c r="L637" s="76"/>
      <c r="M637" s="63">
        <f t="shared" si="171"/>
        <v>0</v>
      </c>
      <c r="N637" s="63" t="s">
        <v>2982</v>
      </c>
      <c r="O637" s="64"/>
      <c r="P637" s="660" t="str">
        <f t="shared" si="153"/>
        <v/>
      </c>
      <c r="Q637" s="52" t="str">
        <f t="shared" ca="1" si="172"/>
        <v>No</v>
      </c>
      <c r="R637" s="1574" t="str">
        <f t="shared" si="168"/>
        <v/>
      </c>
      <c r="S637" s="52" t="str">
        <f t="shared" si="165"/>
        <v/>
      </c>
      <c r="T637" s="52" t="str">
        <f t="shared" si="166"/>
        <v/>
      </c>
      <c r="U637" s="52" t="str">
        <f t="shared" si="161"/>
        <v/>
      </c>
      <c r="V637" s="52" t="str">
        <f t="shared" si="167"/>
        <v/>
      </c>
      <c r="W637" s="1578"/>
      <c r="X637" s="52" t="str">
        <f t="shared" si="154"/>
        <v/>
      </c>
      <c r="Y637" s="52" t="str">
        <f t="shared" si="163"/>
        <v/>
      </c>
      <c r="AA637" s="52" t="str">
        <f>IF(U637&lt;&gt;"",IF(Z637="Defenses",U637&amp;IF(AA642&lt;&gt;"",", ",""),"")&amp;AA642,AA642)</f>
        <v/>
      </c>
    </row>
    <row r="638" spans="2:27">
      <c r="B638" s="1575"/>
      <c r="C638" s="1795"/>
      <c r="D638" s="920" t="s">
        <v>8352</v>
      </c>
      <c r="E638" s="61" t="s">
        <v>8353</v>
      </c>
      <c r="F638" s="61"/>
      <c r="G638" s="61"/>
      <c r="H638" s="61"/>
      <c r="I638" s="61"/>
      <c r="J638" s="1687" t="s">
        <v>8354</v>
      </c>
      <c r="K638" s="63" t="str">
        <f t="shared" ca="1" si="170"/>
        <v>No</v>
      </c>
      <c r="L638" s="76"/>
      <c r="M638" s="63">
        <f t="shared" si="171"/>
        <v>0</v>
      </c>
      <c r="N638" s="63" t="s">
        <v>8355</v>
      </c>
      <c r="O638" s="64"/>
      <c r="P638" s="660" t="str">
        <f t="shared" si="153"/>
        <v/>
      </c>
      <c r="Q638" s="52" t="str">
        <f t="shared" ca="1" si="172"/>
        <v>No</v>
      </c>
      <c r="R638" s="1574" t="str">
        <f t="shared" si="168"/>
        <v/>
      </c>
      <c r="S638" s="52" t="str">
        <f t="shared" si="165"/>
        <v/>
      </c>
      <c r="T638" s="52" t="str">
        <f t="shared" si="166"/>
        <v/>
      </c>
      <c r="U638" s="52" t="str">
        <f t="shared" si="161"/>
        <v/>
      </c>
      <c r="V638" s="52" t="str">
        <f t="shared" si="167"/>
        <v/>
      </c>
      <c r="W638" s="1578"/>
      <c r="X638" s="52" t="str">
        <f t="shared" si="154"/>
        <v/>
      </c>
      <c r="Y638" s="52" t="str">
        <f t="shared" si="163"/>
        <v/>
      </c>
    </row>
    <row r="639" spans="2:27">
      <c r="B639" s="1575"/>
      <c r="C639" s="1795"/>
      <c r="D639" s="920"/>
      <c r="E639" s="61" t="s">
        <v>8356</v>
      </c>
      <c r="F639" s="61"/>
      <c r="G639" s="61"/>
      <c r="H639" s="61"/>
      <c r="I639" s="61"/>
      <c r="J639" s="1687" t="s">
        <v>8357</v>
      </c>
      <c r="K639" s="63" t="str">
        <f t="shared" ca="1" si="170"/>
        <v>No</v>
      </c>
      <c r="L639" s="76"/>
      <c r="M639" s="63">
        <f t="shared" si="171"/>
        <v>0</v>
      </c>
      <c r="N639" s="63" t="s">
        <v>8355</v>
      </c>
      <c r="O639" s="64"/>
      <c r="P639" s="660" t="str">
        <f t="shared" si="153"/>
        <v/>
      </c>
      <c r="Q639" s="52" t="str">
        <f t="shared" ca="1" si="172"/>
        <v>No</v>
      </c>
      <c r="R639" s="1574" t="str">
        <f t="shared" si="168"/>
        <v/>
      </c>
      <c r="S639" s="52" t="str">
        <f t="shared" si="165"/>
        <v/>
      </c>
      <c r="T639" s="52" t="str">
        <f t="shared" si="166"/>
        <v/>
      </c>
      <c r="U639" s="52" t="str">
        <f t="shared" si="161"/>
        <v/>
      </c>
      <c r="V639" s="52" t="str">
        <f t="shared" si="167"/>
        <v/>
      </c>
      <c r="W639" s="1578"/>
      <c r="X639" s="52" t="str">
        <f t="shared" si="154"/>
        <v/>
      </c>
      <c r="Y639" s="52" t="str">
        <f t="shared" si="163"/>
        <v/>
      </c>
    </row>
    <row r="640" spans="2:27">
      <c r="B640" s="1575"/>
      <c r="C640" s="1795"/>
      <c r="D640" s="920"/>
      <c r="E640" s="61" t="s">
        <v>8358</v>
      </c>
      <c r="F640" s="61"/>
      <c r="G640" s="61"/>
      <c r="H640" s="61"/>
      <c r="I640" s="61"/>
      <c r="J640" s="1687" t="s">
        <v>8359</v>
      </c>
      <c r="K640" s="63" t="str">
        <f t="shared" ca="1" si="170"/>
        <v>No</v>
      </c>
      <c r="L640" s="76"/>
      <c r="M640" s="63">
        <f t="shared" si="171"/>
        <v>0</v>
      </c>
      <c r="N640" s="63" t="s">
        <v>8355</v>
      </c>
      <c r="O640" s="64"/>
      <c r="P640" s="660" t="str">
        <f t="shared" ref="P640:P703" si="173">IF(ShowTalentTrees,IF(D640&lt;&gt;"",D640,P639),"")</f>
        <v/>
      </c>
      <c r="Q640" s="52" t="str">
        <f t="shared" ca="1" si="172"/>
        <v>No</v>
      </c>
      <c r="R640" s="1574" t="str">
        <f t="shared" si="168"/>
        <v/>
      </c>
      <c r="S640" s="52" t="str">
        <f t="shared" si="165"/>
        <v/>
      </c>
      <c r="T640" s="52" t="str">
        <f t="shared" si="166"/>
        <v/>
      </c>
      <c r="U640" s="52" t="str">
        <f t="shared" si="161"/>
        <v/>
      </c>
      <c r="V640" s="52" t="str">
        <f t="shared" si="167"/>
        <v/>
      </c>
      <c r="W640" s="1578"/>
      <c r="X640" s="52" t="str">
        <f t="shared" ref="X640:X703" si="174">IF(U640&lt;&gt;"",IF(W640="Special Actions",U640&amp;IF(X641&lt;&gt;"",", ",""),"")&amp;X641,X641)</f>
        <v/>
      </c>
      <c r="Y640" s="52" t="str">
        <f t="shared" si="163"/>
        <v/>
      </c>
    </row>
    <row r="641" spans="2:27" ht="26">
      <c r="B641" s="1575"/>
      <c r="C641" s="1795"/>
      <c r="D641" s="920"/>
      <c r="E641" s="61" t="s">
        <v>8360</v>
      </c>
      <c r="F641" s="61"/>
      <c r="G641" s="61"/>
      <c r="H641" s="61"/>
      <c r="I641" s="61"/>
      <c r="J641" s="1687" t="s">
        <v>8361</v>
      </c>
      <c r="K641" s="63" t="str">
        <f t="shared" ca="1" si="170"/>
        <v>No</v>
      </c>
      <c r="L641" s="76"/>
      <c r="M641" s="63">
        <f t="shared" si="171"/>
        <v>0</v>
      </c>
      <c r="N641" s="63" t="s">
        <v>8355</v>
      </c>
      <c r="O641" s="64"/>
      <c r="P641" s="660" t="str">
        <f t="shared" si="173"/>
        <v/>
      </c>
      <c r="Q641" s="52" t="str">
        <f t="shared" ca="1" si="172"/>
        <v>No</v>
      </c>
      <c r="R641" s="1574" t="str">
        <f t="shared" si="168"/>
        <v/>
      </c>
      <c r="S641" s="52" t="str">
        <f t="shared" si="165"/>
        <v/>
      </c>
      <c r="T641" s="52" t="str">
        <f t="shared" si="166"/>
        <v/>
      </c>
      <c r="U641" s="52" t="str">
        <f t="shared" si="161"/>
        <v/>
      </c>
      <c r="V641" s="52" t="str">
        <f t="shared" si="167"/>
        <v/>
      </c>
      <c r="W641" s="1578"/>
      <c r="X641" s="52" t="str">
        <f t="shared" si="174"/>
        <v/>
      </c>
      <c r="Y641" s="52" t="str">
        <f t="shared" si="163"/>
        <v/>
      </c>
    </row>
    <row r="642" spans="2:27" ht="26">
      <c r="B642" s="1532" t="str">
        <f t="shared" ref="B642:B673" si="175">IF(E642&lt;&gt;"",E642,IF(F642&lt;&gt;"",F642,IF(G642&lt;&gt;"",G642,IF(H642&lt;&gt;"",H642))))</f>
        <v>Adept Spellcaster</v>
      </c>
      <c r="C642" s="1795"/>
      <c r="D642" s="920" t="s">
        <v>2991</v>
      </c>
      <c r="E642" s="61" t="s">
        <v>2992</v>
      </c>
      <c r="F642" s="61"/>
      <c r="G642" s="61"/>
      <c r="H642" s="61"/>
      <c r="I642" s="61"/>
      <c r="J642" s="1687" t="s">
        <v>5054</v>
      </c>
      <c r="K642" s="63" t="str">
        <f t="shared" ca="1" si="170"/>
        <v>No</v>
      </c>
      <c r="L642" s="76"/>
      <c r="M642" s="63">
        <f t="shared" si="171"/>
        <v>0</v>
      </c>
      <c r="N642" s="63">
        <v>107</v>
      </c>
      <c r="O642" s="64"/>
      <c r="P642" s="660" t="str">
        <f t="shared" si="173"/>
        <v/>
      </c>
      <c r="Q642" s="52" t="str">
        <f ca="1">Q637</f>
        <v>No</v>
      </c>
      <c r="R642" s="1574" t="str">
        <f t="shared" si="168"/>
        <v/>
      </c>
      <c r="S642" s="52" t="str">
        <f t="shared" si="165"/>
        <v/>
      </c>
      <c r="T642" s="52" t="str">
        <f t="shared" si="166"/>
        <v/>
      </c>
      <c r="U642" s="52" t="str">
        <f t="shared" si="161"/>
        <v/>
      </c>
      <c r="V642" s="52" t="str">
        <f t="shared" si="167"/>
        <v/>
      </c>
      <c r="W642" s="1578"/>
      <c r="X642" s="52" t="str">
        <f t="shared" si="174"/>
        <v/>
      </c>
      <c r="Y642" s="52" t="str">
        <f t="shared" si="163"/>
        <v/>
      </c>
      <c r="AA642" s="52" t="str">
        <f t="shared" si="151"/>
        <v/>
      </c>
    </row>
    <row r="643" spans="2:27" ht="26">
      <c r="B643" s="1532" t="str">
        <f t="shared" si="175"/>
        <v>Flight</v>
      </c>
      <c r="C643" s="1795"/>
      <c r="D643" s="920"/>
      <c r="E643" s="61"/>
      <c r="F643" s="61" t="s">
        <v>1453</v>
      </c>
      <c r="G643" s="61"/>
      <c r="H643" s="61"/>
      <c r="I643" s="61"/>
      <c r="J643" s="1687" t="s">
        <v>5055</v>
      </c>
      <c r="K643" s="63" t="str">
        <f ca="1">IF(AND(Q642="Yes",L642&lt;&gt;""),"Yes","No")</f>
        <v>No</v>
      </c>
      <c r="L643" s="76"/>
      <c r="M643" s="63">
        <f t="shared" si="171"/>
        <v>0</v>
      </c>
      <c r="N643" s="63">
        <v>107</v>
      </c>
      <c r="O643" s="64"/>
      <c r="P643" s="660" t="str">
        <f t="shared" si="173"/>
        <v/>
      </c>
      <c r="Q643" s="52" t="str">
        <f t="shared" ca="1" si="172"/>
        <v>No</v>
      </c>
      <c r="R643" s="1574" t="str">
        <f t="shared" si="168"/>
        <v/>
      </c>
      <c r="S643" s="52" t="str">
        <f t="shared" si="165"/>
        <v/>
      </c>
      <c r="T643" s="52" t="str">
        <f t="shared" si="166"/>
        <v/>
      </c>
      <c r="U643" s="52" t="str">
        <f t="shared" si="161"/>
        <v/>
      </c>
      <c r="V643" s="52" t="str">
        <f t="shared" si="167"/>
        <v/>
      </c>
      <c r="W643" s="1578"/>
      <c r="X643" s="52" t="str">
        <f t="shared" si="174"/>
        <v/>
      </c>
      <c r="Y643" s="52" t="str">
        <f t="shared" si="163"/>
        <v/>
      </c>
      <c r="AA643" s="52" t="str">
        <f t="shared" si="151"/>
        <v/>
      </c>
    </row>
    <row r="644" spans="2:27" ht="26">
      <c r="B644" s="1532" t="str">
        <f t="shared" si="175"/>
        <v>Charm Beast</v>
      </c>
      <c r="C644" s="1795"/>
      <c r="D644" s="920"/>
      <c r="E644" s="61" t="s">
        <v>2993</v>
      </c>
      <c r="F644" s="61"/>
      <c r="G644" s="61"/>
      <c r="H644" s="61"/>
      <c r="I644" s="61"/>
      <c r="J644" s="1687" t="s">
        <v>5056</v>
      </c>
      <c r="K644" s="63" t="str">
        <f t="shared" ca="1" si="170"/>
        <v>No</v>
      </c>
      <c r="L644" s="76"/>
      <c r="M644" s="63">
        <f t="shared" si="171"/>
        <v>0</v>
      </c>
      <c r="N644" s="63">
        <v>107</v>
      </c>
      <c r="O644" s="64"/>
      <c r="P644" s="660" t="str">
        <f t="shared" si="173"/>
        <v/>
      </c>
      <c r="Q644" s="52" t="str">
        <f t="shared" ca="1" si="172"/>
        <v>No</v>
      </c>
      <c r="R644" s="1574" t="str">
        <f t="shared" si="168"/>
        <v/>
      </c>
      <c r="S644" s="52" t="str">
        <f t="shared" si="165"/>
        <v/>
      </c>
      <c r="T644" s="52" t="str">
        <f t="shared" si="166"/>
        <v/>
      </c>
      <c r="U644" s="52" t="str">
        <f t="shared" si="161"/>
        <v/>
      </c>
      <c r="V644" s="52" t="str">
        <f t="shared" si="167"/>
        <v/>
      </c>
      <c r="W644" s="1578"/>
      <c r="X644" s="52" t="str">
        <f t="shared" si="174"/>
        <v/>
      </c>
      <c r="Y644" s="52" t="str">
        <f t="shared" si="163"/>
        <v/>
      </c>
      <c r="AA644" s="52" t="str">
        <f t="shared" si="151"/>
        <v/>
      </c>
    </row>
    <row r="645" spans="2:27" ht="26">
      <c r="B645" s="1532" t="str">
        <f t="shared" si="175"/>
        <v>Command Beast</v>
      </c>
      <c r="C645" s="1795"/>
      <c r="D645" s="920"/>
      <c r="E645" s="61"/>
      <c r="F645" s="61" t="s">
        <v>2994</v>
      </c>
      <c r="G645" s="61"/>
      <c r="H645" s="61"/>
      <c r="I645" s="61"/>
      <c r="J645" s="1687" t="s">
        <v>5057</v>
      </c>
      <c r="K645" s="63" t="str">
        <f ca="1">IF(AND(Q644="Yes",L644&lt;&gt;""),"Yes","No")</f>
        <v>No</v>
      </c>
      <c r="L645" s="76"/>
      <c r="M645" s="63">
        <f t="shared" si="171"/>
        <v>0</v>
      </c>
      <c r="N645" s="63">
        <v>107</v>
      </c>
      <c r="O645" s="64"/>
      <c r="P645" s="660" t="str">
        <f t="shared" si="173"/>
        <v/>
      </c>
      <c r="Q645" s="52" t="str">
        <f t="shared" ca="1" si="172"/>
        <v>No</v>
      </c>
      <c r="R645" s="1574" t="str">
        <f t="shared" si="168"/>
        <v/>
      </c>
      <c r="S645" s="52" t="str">
        <f t="shared" si="165"/>
        <v/>
      </c>
      <c r="T645" s="52" t="str">
        <f t="shared" si="166"/>
        <v/>
      </c>
      <c r="U645" s="52" t="str">
        <f t="shared" si="161"/>
        <v/>
      </c>
      <c r="V645" s="52" t="str">
        <f t="shared" si="167"/>
        <v/>
      </c>
      <c r="W645" s="1578"/>
      <c r="X645" s="52" t="str">
        <f t="shared" si="174"/>
        <v/>
      </c>
      <c r="Y645" s="52" t="str">
        <f t="shared" si="163"/>
        <v/>
      </c>
      <c r="AA645" s="52" t="str">
        <f t="shared" si="151"/>
        <v/>
      </c>
    </row>
    <row r="646" spans="2:27">
      <c r="B646" s="1532" t="str">
        <f t="shared" si="175"/>
        <v>Cloak of Shadow</v>
      </c>
      <c r="C646" s="1795"/>
      <c r="D646" s="920" t="s">
        <v>2995</v>
      </c>
      <c r="E646" s="61" t="s">
        <v>2996</v>
      </c>
      <c r="F646" s="61"/>
      <c r="G646" s="61"/>
      <c r="H646" s="61"/>
      <c r="I646" s="61"/>
      <c r="J646" s="1687" t="s">
        <v>5058</v>
      </c>
      <c r="K646" s="63" t="str">
        <f t="shared" ca="1" si="170"/>
        <v>No</v>
      </c>
      <c r="L646" s="76"/>
      <c r="M646" s="63">
        <f t="shared" si="171"/>
        <v>0</v>
      </c>
      <c r="N646" s="63" t="s">
        <v>2997</v>
      </c>
      <c r="O646" s="64"/>
      <c r="P646" s="660" t="str">
        <f t="shared" si="173"/>
        <v/>
      </c>
      <c r="Q646" s="52" t="str">
        <f t="shared" ca="1" si="172"/>
        <v>No</v>
      </c>
      <c r="R646" s="1574" t="str">
        <f t="shared" si="168"/>
        <v/>
      </c>
      <c r="S646" s="52" t="str">
        <f t="shared" si="165"/>
        <v/>
      </c>
      <c r="T646" s="52" t="str">
        <f t="shared" si="166"/>
        <v/>
      </c>
      <c r="U646" s="52" t="str">
        <f t="shared" si="161"/>
        <v/>
      </c>
      <c r="V646" s="52" t="str">
        <f t="shared" si="167"/>
        <v/>
      </c>
      <c r="W646" s="1578"/>
      <c r="X646" s="52" t="str">
        <f t="shared" si="174"/>
        <v/>
      </c>
      <c r="Y646" s="52" t="str">
        <f t="shared" si="163"/>
        <v/>
      </c>
      <c r="AA646" s="52" t="str">
        <f t="shared" si="151"/>
        <v/>
      </c>
    </row>
    <row r="647" spans="2:27">
      <c r="B647" s="1532" t="str">
        <f t="shared" si="175"/>
        <v>Shadow Armour</v>
      </c>
      <c r="C647" s="1795"/>
      <c r="D647" s="920"/>
      <c r="E647" s="61"/>
      <c r="F647" s="61" t="s">
        <v>2998</v>
      </c>
      <c r="G647" s="61"/>
      <c r="H647" s="61"/>
      <c r="I647" s="61"/>
      <c r="J647" s="1687" t="s">
        <v>5059</v>
      </c>
      <c r="K647" s="63" t="str">
        <f ca="1">IF(AND(Q646="Yes",L646&lt;&gt;""),"Yes","No")</f>
        <v>No</v>
      </c>
      <c r="L647" s="76"/>
      <c r="M647" s="63">
        <f t="shared" si="171"/>
        <v>0</v>
      </c>
      <c r="N647" s="63" t="s">
        <v>2999</v>
      </c>
      <c r="O647" s="64"/>
      <c r="P647" s="660" t="str">
        <f t="shared" si="173"/>
        <v/>
      </c>
      <c r="Q647" s="52" t="str">
        <f t="shared" ca="1" si="172"/>
        <v>No</v>
      </c>
      <c r="R647" s="1574" t="str">
        <f t="shared" si="168"/>
        <v/>
      </c>
      <c r="S647" s="52" t="str">
        <f t="shared" si="165"/>
        <v/>
      </c>
      <c r="T647" s="52" t="str">
        <f t="shared" si="166"/>
        <v/>
      </c>
      <c r="U647" s="52" t="str">
        <f t="shared" si="161"/>
        <v/>
      </c>
      <c r="V647" s="52" t="str">
        <f t="shared" si="167"/>
        <v/>
      </c>
      <c r="W647" s="1578"/>
      <c r="X647" s="52" t="str">
        <f t="shared" si="174"/>
        <v/>
      </c>
      <c r="Y647" s="52" t="str">
        <f t="shared" si="163"/>
        <v/>
      </c>
      <c r="AA647" s="52" t="str">
        <f t="shared" ref="AA647:AA715" si="176">IF(U647&lt;&gt;"",IF(Z647="Defenses",U647&amp;IF(AA648&lt;&gt;"",", ",""),"")&amp;AA648,AA648)</f>
        <v/>
      </c>
    </row>
    <row r="648" spans="2:27">
      <c r="B648" s="1532" t="str">
        <f t="shared" si="175"/>
        <v>Phantasm</v>
      </c>
      <c r="C648" s="1795"/>
      <c r="D648" s="920"/>
      <c r="E648" s="61" t="s">
        <v>3000</v>
      </c>
      <c r="F648" s="61"/>
      <c r="G648" s="61"/>
      <c r="H648" s="61"/>
      <c r="I648" s="61"/>
      <c r="J648" s="1687" t="s">
        <v>5060</v>
      </c>
      <c r="K648" s="63" t="str">
        <f t="shared" ca="1" si="170"/>
        <v>No</v>
      </c>
      <c r="L648" s="76"/>
      <c r="M648" s="63">
        <f t="shared" si="171"/>
        <v>0</v>
      </c>
      <c r="N648" s="63" t="s">
        <v>2997</v>
      </c>
      <c r="O648" s="64"/>
      <c r="P648" s="660" t="str">
        <f t="shared" si="173"/>
        <v/>
      </c>
      <c r="Q648" s="52" t="str">
        <f t="shared" ca="1" si="172"/>
        <v>No</v>
      </c>
      <c r="R648" s="1574" t="str">
        <f t="shared" si="168"/>
        <v/>
      </c>
      <c r="S648" s="52" t="str">
        <f t="shared" si="165"/>
        <v/>
      </c>
      <c r="T648" s="52" t="str">
        <f t="shared" si="166"/>
        <v/>
      </c>
      <c r="U648" s="52" t="str">
        <f t="shared" si="161"/>
        <v/>
      </c>
      <c r="V648" s="52" t="str">
        <f t="shared" si="167"/>
        <v/>
      </c>
      <c r="W648" s="1578"/>
      <c r="X648" s="52" t="str">
        <f t="shared" si="174"/>
        <v/>
      </c>
      <c r="Y648" s="52" t="str">
        <f t="shared" si="163"/>
        <v/>
      </c>
      <c r="AA648" s="52" t="str">
        <f t="shared" si="176"/>
        <v/>
      </c>
    </row>
    <row r="649" spans="2:27">
      <c r="B649" s="1532" t="str">
        <f t="shared" si="175"/>
        <v>Revelation</v>
      </c>
      <c r="C649" s="1795"/>
      <c r="D649" s="920"/>
      <c r="E649" s="61" t="s">
        <v>3001</v>
      </c>
      <c r="F649" s="61"/>
      <c r="G649" s="61"/>
      <c r="H649" s="61"/>
      <c r="I649" s="61"/>
      <c r="J649" s="1687" t="s">
        <v>5061</v>
      </c>
      <c r="K649" s="63" t="str">
        <f t="shared" ca="1" si="170"/>
        <v>No</v>
      </c>
      <c r="L649" s="76"/>
      <c r="M649" s="63">
        <f t="shared" si="171"/>
        <v>0</v>
      </c>
      <c r="N649" s="63" t="s">
        <v>2999</v>
      </c>
      <c r="O649" s="64"/>
      <c r="P649" s="660" t="str">
        <f t="shared" si="173"/>
        <v/>
      </c>
      <c r="Q649" s="52" t="str">
        <f t="shared" ca="1" si="172"/>
        <v>No</v>
      </c>
      <c r="R649" s="1574" t="str">
        <f t="shared" si="168"/>
        <v/>
      </c>
      <c r="S649" s="52" t="str">
        <f t="shared" si="165"/>
        <v/>
      </c>
      <c r="T649" s="52" t="str">
        <f t="shared" si="166"/>
        <v/>
      </c>
      <c r="U649" s="52" t="str">
        <f t="shared" si="161"/>
        <v/>
      </c>
      <c r="V649" s="52" t="str">
        <f t="shared" si="167"/>
        <v/>
      </c>
      <c r="W649" s="1578"/>
      <c r="X649" s="52" t="str">
        <f t="shared" si="174"/>
        <v/>
      </c>
      <c r="Y649" s="52" t="str">
        <f t="shared" si="163"/>
        <v/>
      </c>
      <c r="AA649" s="52" t="str">
        <f t="shared" si="176"/>
        <v/>
      </c>
    </row>
    <row r="650" spans="2:27">
      <c r="B650" s="1532" t="str">
        <f t="shared" si="175"/>
        <v>Shadow Vision</v>
      </c>
      <c r="C650" s="1795"/>
      <c r="D650" s="920"/>
      <c r="E650" s="61" t="s">
        <v>3002</v>
      </c>
      <c r="F650" s="61"/>
      <c r="G650" s="61"/>
      <c r="H650" s="61"/>
      <c r="I650" s="61"/>
      <c r="J650" s="1687" t="s">
        <v>5062</v>
      </c>
      <c r="K650" s="63" t="str">
        <f t="shared" ca="1" si="170"/>
        <v>No</v>
      </c>
      <c r="L650" s="76"/>
      <c r="M650" s="63">
        <f t="shared" si="171"/>
        <v>0</v>
      </c>
      <c r="N650" s="63" t="s">
        <v>2999</v>
      </c>
      <c r="O650" s="64"/>
      <c r="P650" s="660" t="str">
        <f t="shared" si="173"/>
        <v/>
      </c>
      <c r="Q650" s="52" t="str">
        <f t="shared" ca="1" si="172"/>
        <v>No</v>
      </c>
      <c r="R650" s="1574" t="str">
        <f t="shared" si="168"/>
        <v/>
      </c>
      <c r="S650" s="52" t="str">
        <f t="shared" si="165"/>
        <v/>
      </c>
      <c r="T650" s="52" t="str">
        <f t="shared" si="166"/>
        <v/>
      </c>
      <c r="U650" s="52" t="str">
        <f t="shared" si="161"/>
        <v/>
      </c>
      <c r="V650" s="52" t="str">
        <f t="shared" si="167"/>
        <v/>
      </c>
      <c r="W650" s="1578"/>
      <c r="X650" s="52" t="str">
        <f t="shared" si="174"/>
        <v/>
      </c>
      <c r="Y650" s="52" t="str">
        <f t="shared" si="163"/>
        <v/>
      </c>
      <c r="AA650" s="52" t="str">
        <f t="shared" si="176"/>
        <v/>
      </c>
    </row>
    <row r="651" spans="2:27">
      <c r="B651" s="1532" t="str">
        <f t="shared" si="175"/>
        <v>Initiate of Vahl</v>
      </c>
      <c r="C651" s="1795"/>
      <c r="D651" s="920" t="s">
        <v>3003</v>
      </c>
      <c r="E651" s="61" t="s">
        <v>3004</v>
      </c>
      <c r="F651" s="61"/>
      <c r="G651" s="61"/>
      <c r="H651" s="61"/>
      <c r="I651" s="61"/>
      <c r="J651" s="1687" t="s">
        <v>5063</v>
      </c>
      <c r="K651" s="63" t="str">
        <f t="shared" ca="1" si="170"/>
        <v>No</v>
      </c>
      <c r="L651" s="76"/>
      <c r="M651" s="63">
        <f t="shared" si="171"/>
        <v>0</v>
      </c>
      <c r="N651" s="63" t="s">
        <v>3005</v>
      </c>
      <c r="O651" s="64"/>
      <c r="P651" s="660" t="str">
        <f t="shared" si="173"/>
        <v/>
      </c>
      <c r="Q651" s="52" t="str">
        <f t="shared" ca="1" si="172"/>
        <v>No</v>
      </c>
      <c r="R651" s="1574" t="str">
        <f t="shared" si="168"/>
        <v/>
      </c>
      <c r="S651" s="52" t="str">
        <f t="shared" si="165"/>
        <v/>
      </c>
      <c r="T651" s="52" t="str">
        <f t="shared" si="166"/>
        <v/>
      </c>
      <c r="U651" s="52" t="str">
        <f t="shared" si="161"/>
        <v/>
      </c>
      <c r="V651" s="52" t="str">
        <f t="shared" si="167"/>
        <v/>
      </c>
      <c r="W651" s="1578"/>
      <c r="X651" s="52" t="str">
        <f t="shared" si="174"/>
        <v/>
      </c>
      <c r="Y651" s="52" t="str">
        <f t="shared" si="163"/>
        <v/>
      </c>
      <c r="AA651" s="52" t="str">
        <f t="shared" si="176"/>
        <v/>
      </c>
    </row>
    <row r="652" spans="2:27">
      <c r="B652" s="1532" t="str">
        <f t="shared" si="175"/>
        <v>Reading the Flame</v>
      </c>
      <c r="C652" s="1795"/>
      <c r="D652" s="920"/>
      <c r="E652" s="61"/>
      <c r="F652" s="61" t="s">
        <v>3006</v>
      </c>
      <c r="G652" s="61"/>
      <c r="H652" s="61"/>
      <c r="I652" s="61"/>
      <c r="J652" s="1687" t="s">
        <v>5064</v>
      </c>
      <c r="K652" s="63" t="str">
        <f ca="1">IF(AND(Q651="Yes",L651&lt;&gt;""),"Yes","No")</f>
        <v>No</v>
      </c>
      <c r="L652" s="76"/>
      <c r="M652" s="63">
        <f t="shared" si="171"/>
        <v>0</v>
      </c>
      <c r="N652" s="63" t="s">
        <v>3005</v>
      </c>
      <c r="O652" s="64"/>
      <c r="P652" s="660" t="str">
        <f t="shared" si="173"/>
        <v/>
      </c>
      <c r="Q652" s="52" t="str">
        <f t="shared" ca="1" si="172"/>
        <v>No</v>
      </c>
      <c r="R652" s="1574" t="str">
        <f t="shared" si="168"/>
        <v/>
      </c>
      <c r="S652" s="52" t="str">
        <f t="shared" si="165"/>
        <v/>
      </c>
      <c r="T652" s="52" t="str">
        <f t="shared" si="166"/>
        <v/>
      </c>
      <c r="U652" s="52" t="str">
        <f t="shared" si="161"/>
        <v/>
      </c>
      <c r="V652" s="52" t="str">
        <f t="shared" si="167"/>
        <v/>
      </c>
      <c r="W652" s="1578"/>
      <c r="X652" s="52" t="str">
        <f t="shared" si="174"/>
        <v/>
      </c>
      <c r="Y652" s="52" t="str">
        <f t="shared" si="163"/>
        <v/>
      </c>
      <c r="AA652" s="52" t="str">
        <f t="shared" si="176"/>
        <v/>
      </c>
    </row>
    <row r="653" spans="2:27">
      <c r="B653" s="1532" t="str">
        <f t="shared" si="175"/>
        <v>Sword of Vahl</v>
      </c>
      <c r="C653" s="1795"/>
      <c r="D653" s="920"/>
      <c r="E653" s="61"/>
      <c r="F653" s="61" t="s">
        <v>3007</v>
      </c>
      <c r="G653" s="61"/>
      <c r="H653" s="61"/>
      <c r="I653" s="61"/>
      <c r="J653" s="1687" t="s">
        <v>5065</v>
      </c>
      <c r="K653" s="63" t="str">
        <f ca="1">IF(AND(Q652="Yes",L651&lt;&gt;""),"Yes","No")</f>
        <v>No</v>
      </c>
      <c r="L653" s="76"/>
      <c r="M653" s="63">
        <f t="shared" si="171"/>
        <v>0</v>
      </c>
      <c r="N653" s="63" t="s">
        <v>3005</v>
      </c>
      <c r="O653" s="64"/>
      <c r="P653" s="660" t="str">
        <f t="shared" si="173"/>
        <v/>
      </c>
      <c r="Q653" s="52" t="str">
        <f t="shared" ca="1" si="172"/>
        <v>No</v>
      </c>
      <c r="R653" s="1574" t="str">
        <f t="shared" si="168"/>
        <v/>
      </c>
      <c r="S653" s="52" t="str">
        <f t="shared" si="165"/>
        <v/>
      </c>
      <c r="T653" s="52" t="str">
        <f t="shared" si="166"/>
        <v/>
      </c>
      <c r="U653" s="52" t="str">
        <f t="shared" si="161"/>
        <v/>
      </c>
      <c r="V653" s="52" t="str">
        <f t="shared" si="167"/>
        <v/>
      </c>
      <c r="W653" s="1578"/>
      <c r="X653" s="52" t="str">
        <f t="shared" si="174"/>
        <v/>
      </c>
      <c r="Y653" s="52" t="str">
        <f t="shared" si="163"/>
        <v/>
      </c>
      <c r="AA653" s="52" t="str">
        <f t="shared" si="176"/>
        <v/>
      </c>
    </row>
    <row r="654" spans="2:27">
      <c r="B654" s="1532" t="str">
        <f t="shared" si="175"/>
        <v>Vahl's Flame</v>
      </c>
      <c r="C654" s="1795"/>
      <c r="D654" s="920"/>
      <c r="E654" s="61"/>
      <c r="F654" s="61" t="s">
        <v>3008</v>
      </c>
      <c r="G654" s="61"/>
      <c r="H654" s="61"/>
      <c r="I654" s="61"/>
      <c r="J654" s="1687" t="s">
        <v>5066</v>
      </c>
      <c r="K654" s="63" t="str">
        <f ca="1">IF(AND(Q653="Yes",L651&lt;&gt;""),"Yes","No")</f>
        <v>No</v>
      </c>
      <c r="L654" s="76"/>
      <c r="M654" s="63">
        <f t="shared" si="171"/>
        <v>0</v>
      </c>
      <c r="N654" s="63" t="s">
        <v>3005</v>
      </c>
      <c r="O654" s="64"/>
      <c r="P654" s="660" t="str">
        <f t="shared" si="173"/>
        <v/>
      </c>
      <c r="Q654" s="52" t="str">
        <f t="shared" ca="1" si="172"/>
        <v>No</v>
      </c>
      <c r="R654" s="1574" t="str">
        <f t="shared" si="168"/>
        <v/>
      </c>
      <c r="S654" s="52" t="str">
        <f t="shared" si="165"/>
        <v/>
      </c>
      <c r="T654" s="52" t="str">
        <f t="shared" si="166"/>
        <v/>
      </c>
      <c r="U654" s="52" t="str">
        <f t="shared" si="161"/>
        <v/>
      </c>
      <c r="V654" s="52" t="str">
        <f t="shared" si="167"/>
        <v/>
      </c>
      <c r="W654" s="1578"/>
      <c r="X654" s="52" t="str">
        <f t="shared" si="174"/>
        <v/>
      </c>
      <c r="Y654" s="52" t="str">
        <f t="shared" si="163"/>
        <v/>
      </c>
      <c r="AA654" s="52" t="str">
        <f t="shared" si="176"/>
        <v/>
      </c>
    </row>
    <row r="655" spans="2:27">
      <c r="B655" s="1532" t="str">
        <f t="shared" si="175"/>
        <v>Vahl's Weapon</v>
      </c>
      <c r="C655" s="1795"/>
      <c r="D655" s="920"/>
      <c r="E655" s="61" t="s">
        <v>3009</v>
      </c>
      <c r="F655" s="61"/>
      <c r="G655" s="61"/>
      <c r="H655" s="61"/>
      <c r="I655" s="61"/>
      <c r="J655" s="1687" t="s">
        <v>5067</v>
      </c>
      <c r="K655" s="63" t="str">
        <f t="shared" ca="1" si="170"/>
        <v>No</v>
      </c>
      <c r="L655" s="76"/>
      <c r="M655" s="63">
        <f t="shared" si="171"/>
        <v>0</v>
      </c>
      <c r="N655" s="63" t="s">
        <v>3005</v>
      </c>
      <c r="O655" s="64"/>
      <c r="P655" s="660" t="str">
        <f t="shared" si="173"/>
        <v/>
      </c>
      <c r="Q655" s="52" t="str">
        <f t="shared" ca="1" si="172"/>
        <v>No</v>
      </c>
      <c r="R655" s="1574" t="str">
        <f t="shared" si="168"/>
        <v/>
      </c>
      <c r="S655" s="52" t="str">
        <f t="shared" si="165"/>
        <v/>
      </c>
      <c r="T655" s="52" t="str">
        <f t="shared" si="166"/>
        <v/>
      </c>
      <c r="U655" s="52" t="str">
        <f t="shared" si="161"/>
        <v/>
      </c>
      <c r="V655" s="52" t="str">
        <f t="shared" si="167"/>
        <v/>
      </c>
      <c r="W655" s="1578"/>
      <c r="X655" s="52" t="str">
        <f t="shared" si="174"/>
        <v/>
      </c>
      <c r="Y655" s="52" t="str">
        <f t="shared" si="163"/>
        <v/>
      </c>
      <c r="AA655" s="52" t="str">
        <f t="shared" si="176"/>
        <v/>
      </c>
    </row>
    <row r="656" spans="2:27">
      <c r="B656" s="1532" t="str">
        <f t="shared" si="175"/>
        <v>Detonate</v>
      </c>
      <c r="C656" s="1795"/>
      <c r="D656" s="920" t="s">
        <v>3010</v>
      </c>
      <c r="E656" s="61" t="s">
        <v>3011</v>
      </c>
      <c r="F656" s="61"/>
      <c r="G656" s="61"/>
      <c r="H656" s="61"/>
      <c r="I656" s="61"/>
      <c r="J656" s="1687" t="s">
        <v>5068</v>
      </c>
      <c r="K656" s="63" t="str">
        <f t="shared" ca="1" si="170"/>
        <v>No</v>
      </c>
      <c r="L656" s="76"/>
      <c r="M656" s="63">
        <f t="shared" si="171"/>
        <v>0</v>
      </c>
      <c r="N656" s="63" t="s">
        <v>3012</v>
      </c>
      <c r="O656" s="64"/>
      <c r="P656" s="660" t="str">
        <f t="shared" si="173"/>
        <v/>
      </c>
      <c r="Q656" s="52" t="str">
        <f t="shared" ca="1" si="172"/>
        <v>No</v>
      </c>
      <c r="R656" s="1574" t="str">
        <f t="shared" si="168"/>
        <v/>
      </c>
      <c r="S656" s="52" t="str">
        <f t="shared" si="165"/>
        <v/>
      </c>
      <c r="T656" s="52" t="str">
        <f t="shared" si="166"/>
        <v/>
      </c>
      <c r="U656" s="52" t="str">
        <f t="shared" ref="U656:U719" si="177">IF(L656&lt;&gt;"",IF(ISNUMBER(L656),"",E656&amp;F656&amp;G656),"")</f>
        <v/>
      </c>
      <c r="V656" s="52" t="str">
        <f t="shared" si="167"/>
        <v/>
      </c>
      <c r="W656" s="1578"/>
      <c r="X656" s="52" t="str">
        <f t="shared" si="174"/>
        <v/>
      </c>
      <c r="Y656" s="52" t="str">
        <f t="shared" si="163"/>
        <v/>
      </c>
      <c r="AA656" s="52" t="str">
        <f t="shared" si="176"/>
        <v/>
      </c>
    </row>
    <row r="657" spans="2:27">
      <c r="B657" s="1532" t="str">
        <f t="shared" si="175"/>
        <v>Hive Mind</v>
      </c>
      <c r="C657" s="1795"/>
      <c r="D657" s="920"/>
      <c r="E657" s="61" t="s">
        <v>685</v>
      </c>
      <c r="F657" s="61"/>
      <c r="G657" s="61"/>
      <c r="H657" s="61"/>
      <c r="I657" s="61"/>
      <c r="J657" s="1687" t="s">
        <v>5069</v>
      </c>
      <c r="K657" s="63" t="str">
        <f t="shared" ca="1" si="170"/>
        <v>No</v>
      </c>
      <c r="L657" s="76"/>
      <c r="M657" s="63">
        <f t="shared" si="171"/>
        <v>0</v>
      </c>
      <c r="N657" s="63" t="s">
        <v>3012</v>
      </c>
      <c r="O657" s="64"/>
      <c r="P657" s="660" t="str">
        <f t="shared" si="173"/>
        <v/>
      </c>
      <c r="Q657" s="52" t="str">
        <f t="shared" ca="1" si="172"/>
        <v>No</v>
      </c>
      <c r="R657" s="1574" t="str">
        <f t="shared" si="168"/>
        <v/>
      </c>
      <c r="S657" s="52" t="str">
        <f t="shared" si="165"/>
        <v/>
      </c>
      <c r="T657" s="52" t="str">
        <f t="shared" si="166"/>
        <v/>
      </c>
      <c r="U657" s="52" t="str">
        <f t="shared" si="177"/>
        <v/>
      </c>
      <c r="V657" s="52" t="str">
        <f t="shared" si="167"/>
        <v/>
      </c>
      <c r="W657" s="1578"/>
      <c r="X657" s="52" t="str">
        <f t="shared" si="174"/>
        <v/>
      </c>
      <c r="Y657" s="52" t="str">
        <f t="shared" si="163"/>
        <v/>
      </c>
      <c r="AA657" s="52" t="str">
        <f t="shared" si="176"/>
        <v/>
      </c>
    </row>
    <row r="658" spans="2:27" ht="26">
      <c r="B658" s="1532" t="str">
        <f t="shared" si="175"/>
        <v>Infuse Weapon</v>
      </c>
      <c r="C658" s="1795"/>
      <c r="D658" s="920"/>
      <c r="E658" s="61" t="s">
        <v>3013</v>
      </c>
      <c r="F658" s="61"/>
      <c r="G658" s="61"/>
      <c r="H658" s="61"/>
      <c r="I658" s="61"/>
      <c r="J658" s="1687" t="s">
        <v>5070</v>
      </c>
      <c r="K658" s="63" t="str">
        <f t="shared" ca="1" si="170"/>
        <v>No</v>
      </c>
      <c r="L658" s="76"/>
      <c r="M658" s="63">
        <f t="shared" si="171"/>
        <v>0</v>
      </c>
      <c r="N658" s="63" t="s">
        <v>3012</v>
      </c>
      <c r="O658" s="64"/>
      <c r="P658" s="660" t="str">
        <f t="shared" si="173"/>
        <v/>
      </c>
      <c r="Q658" s="52" t="str">
        <f t="shared" ca="1" si="172"/>
        <v>No</v>
      </c>
      <c r="R658" s="1574" t="str">
        <f t="shared" si="168"/>
        <v/>
      </c>
      <c r="S658" s="52" t="str">
        <f t="shared" si="165"/>
        <v/>
      </c>
      <c r="T658" s="52" t="str">
        <f t="shared" si="166"/>
        <v/>
      </c>
      <c r="U658" s="52" t="str">
        <f t="shared" si="177"/>
        <v/>
      </c>
      <c r="V658" s="52" t="str">
        <f t="shared" si="167"/>
        <v/>
      </c>
      <c r="W658" s="1578"/>
      <c r="X658" s="52" t="str">
        <f t="shared" si="174"/>
        <v/>
      </c>
      <c r="Y658" s="52" t="str">
        <f t="shared" si="163"/>
        <v/>
      </c>
      <c r="AA658" s="52" t="str">
        <f t="shared" si="176"/>
        <v/>
      </c>
    </row>
    <row r="659" spans="2:27" ht="26">
      <c r="B659" s="1532" t="str">
        <f t="shared" si="175"/>
        <v>Sickening Blast</v>
      </c>
      <c r="C659" s="1795"/>
      <c r="D659" s="920"/>
      <c r="E659" s="61" t="s">
        <v>3014</v>
      </c>
      <c r="F659" s="61"/>
      <c r="G659" s="61"/>
      <c r="H659" s="61"/>
      <c r="I659" s="61"/>
      <c r="J659" s="1687" t="s">
        <v>5071</v>
      </c>
      <c r="K659" s="63" t="str">
        <f t="shared" ca="1" si="170"/>
        <v>No</v>
      </c>
      <c r="L659" s="76"/>
      <c r="M659" s="63">
        <f t="shared" si="171"/>
        <v>0</v>
      </c>
      <c r="N659" s="63" t="s">
        <v>3012</v>
      </c>
      <c r="O659" s="64"/>
      <c r="P659" s="660" t="str">
        <f t="shared" si="173"/>
        <v/>
      </c>
      <c r="Q659" s="52" t="str">
        <f t="shared" ca="1" si="172"/>
        <v>No</v>
      </c>
      <c r="R659" s="1574" t="str">
        <f t="shared" si="168"/>
        <v/>
      </c>
      <c r="S659" s="52" t="str">
        <f t="shared" si="165"/>
        <v/>
      </c>
      <c r="T659" s="52" t="str">
        <f t="shared" si="166"/>
        <v/>
      </c>
      <c r="U659" s="52" t="str">
        <f t="shared" si="177"/>
        <v/>
      </c>
      <c r="V659" s="52" t="str">
        <f t="shared" si="167"/>
        <v/>
      </c>
      <c r="W659" s="1578"/>
      <c r="X659" s="52" t="str">
        <f t="shared" si="174"/>
        <v/>
      </c>
      <c r="Y659" s="52" t="str">
        <f t="shared" si="163"/>
        <v/>
      </c>
      <c r="AA659" s="52" t="str">
        <f t="shared" si="176"/>
        <v/>
      </c>
    </row>
    <row r="660" spans="2:27">
      <c r="B660" s="1532" t="str">
        <f t="shared" si="175"/>
        <v>Droid Duelist</v>
      </c>
      <c r="C660" s="1795"/>
      <c r="D660" s="920" t="s">
        <v>4664</v>
      </c>
      <c r="E660" s="61" t="s">
        <v>4665</v>
      </c>
      <c r="F660" s="61"/>
      <c r="G660" s="61"/>
      <c r="H660" s="61"/>
      <c r="I660" s="61"/>
      <c r="J660" s="1687" t="s">
        <v>5859</v>
      </c>
      <c r="K660" s="63" t="str">
        <f t="shared" ca="1" si="170"/>
        <v>No</v>
      </c>
      <c r="L660" s="76"/>
      <c r="M660" s="63">
        <f>IF(L660&lt;&gt;"",1,0)</f>
        <v>0</v>
      </c>
      <c r="N660" s="63" t="s">
        <v>4670</v>
      </c>
      <c r="O660" s="64"/>
      <c r="P660" s="660" t="str">
        <f t="shared" si="173"/>
        <v/>
      </c>
      <c r="Q660" s="52" t="str">
        <f t="shared" ca="1" si="172"/>
        <v>No</v>
      </c>
      <c r="R660" s="1574" t="str">
        <f t="shared" si="168"/>
        <v/>
      </c>
      <c r="S660" s="52" t="str">
        <f t="shared" si="165"/>
        <v/>
      </c>
      <c r="T660" s="52" t="str">
        <f t="shared" si="166"/>
        <v/>
      </c>
      <c r="U660" s="52" t="str">
        <f t="shared" si="177"/>
        <v/>
      </c>
      <c r="V660" s="52" t="str">
        <f t="shared" si="167"/>
        <v/>
      </c>
      <c r="W660" s="1578"/>
      <c r="X660" s="52" t="str">
        <f t="shared" si="174"/>
        <v/>
      </c>
      <c r="Y660" s="52" t="str">
        <f t="shared" si="163"/>
        <v/>
      </c>
      <c r="AA660" s="52" t="str">
        <f t="shared" si="176"/>
        <v/>
      </c>
    </row>
    <row r="661" spans="2:27">
      <c r="B661" s="1532" t="str">
        <f t="shared" si="175"/>
        <v>Force Repair</v>
      </c>
      <c r="C661" s="1795"/>
      <c r="D661" s="920"/>
      <c r="E661" s="61" t="s">
        <v>4666</v>
      </c>
      <c r="F661" s="61"/>
      <c r="G661" s="61"/>
      <c r="H661" s="61"/>
      <c r="I661" s="61"/>
      <c r="J661" s="1687" t="s">
        <v>5860</v>
      </c>
      <c r="K661" s="63" t="str">
        <f t="shared" ca="1" si="170"/>
        <v>No</v>
      </c>
      <c r="L661" s="76"/>
      <c r="M661" s="63">
        <f>IF(L661&lt;&gt;"",1,0)</f>
        <v>0</v>
      </c>
      <c r="N661" s="63" t="s">
        <v>4670</v>
      </c>
      <c r="O661" s="64"/>
      <c r="P661" s="660" t="str">
        <f t="shared" si="173"/>
        <v/>
      </c>
      <c r="Q661" s="52" t="str">
        <f t="shared" ca="1" si="172"/>
        <v>No</v>
      </c>
      <c r="R661" s="1574" t="str">
        <f t="shared" si="168"/>
        <v/>
      </c>
      <c r="S661" s="52" t="str">
        <f t="shared" si="165"/>
        <v/>
      </c>
      <c r="T661" s="52" t="str">
        <f t="shared" si="166"/>
        <v/>
      </c>
      <c r="U661" s="52" t="str">
        <f t="shared" si="177"/>
        <v/>
      </c>
      <c r="V661" s="52" t="str">
        <f t="shared" si="167"/>
        <v/>
      </c>
      <c r="W661" s="1578"/>
      <c r="X661" s="52" t="str">
        <f t="shared" si="174"/>
        <v/>
      </c>
      <c r="Y661" s="52" t="str">
        <f t="shared" si="163"/>
        <v/>
      </c>
      <c r="AA661" s="52" t="str">
        <f t="shared" si="176"/>
        <v/>
      </c>
    </row>
    <row r="662" spans="2:27">
      <c r="B662" s="1532" t="str">
        <f t="shared" si="175"/>
        <v>Heal Droid</v>
      </c>
      <c r="C662" s="1795"/>
      <c r="D662" s="920"/>
      <c r="E662" s="61" t="s">
        <v>4667</v>
      </c>
      <c r="F662" s="61"/>
      <c r="G662" s="61"/>
      <c r="H662" s="61"/>
      <c r="I662" s="61"/>
      <c r="J662" s="1687" t="s">
        <v>5861</v>
      </c>
      <c r="K662" s="63" t="str">
        <f t="shared" ca="1" si="170"/>
        <v>No</v>
      </c>
      <c r="L662" s="76"/>
      <c r="M662" s="63">
        <f>IF(L662&lt;&gt;"",1,0)</f>
        <v>0</v>
      </c>
      <c r="N662" s="63" t="s">
        <v>4670</v>
      </c>
      <c r="O662" s="64"/>
      <c r="P662" s="660" t="str">
        <f t="shared" si="173"/>
        <v/>
      </c>
      <c r="Q662" s="52" t="str">
        <f t="shared" ca="1" si="172"/>
        <v>No</v>
      </c>
      <c r="R662" s="1574" t="str">
        <f t="shared" si="168"/>
        <v/>
      </c>
      <c r="S662" s="52" t="str">
        <f t="shared" si="165"/>
        <v/>
      </c>
      <c r="T662" s="52" t="str">
        <f t="shared" si="166"/>
        <v/>
      </c>
      <c r="U662" s="52" t="str">
        <f t="shared" si="177"/>
        <v/>
      </c>
      <c r="V662" s="52" t="str">
        <f t="shared" si="167"/>
        <v/>
      </c>
      <c r="W662" s="1578"/>
      <c r="X662" s="52" t="str">
        <f t="shared" si="174"/>
        <v/>
      </c>
      <c r="Y662" s="52" t="str">
        <f t="shared" ref="Y662:Y725" si="178">IF(U662&lt;&gt;"",IF(W662="Att Options",U662&amp;IF(Y663&lt;&gt;"",", ",""),"")&amp;Y663,Y663)</f>
        <v/>
      </c>
      <c r="AA662" s="52" t="str">
        <f t="shared" si="176"/>
        <v/>
      </c>
    </row>
    <row r="663" spans="2:27">
      <c r="B663" s="1532" t="str">
        <f t="shared" si="175"/>
        <v>Mask Presence</v>
      </c>
      <c r="C663" s="1795"/>
      <c r="D663" s="920"/>
      <c r="E663" s="61" t="s">
        <v>4668</v>
      </c>
      <c r="F663" s="61"/>
      <c r="G663" s="61"/>
      <c r="H663" s="61"/>
      <c r="I663" s="61"/>
      <c r="J663" s="1687" t="s">
        <v>5862</v>
      </c>
      <c r="K663" s="63" t="str">
        <f t="shared" ca="1" si="170"/>
        <v>No</v>
      </c>
      <c r="L663" s="76"/>
      <c r="M663" s="63">
        <f>IF(L663&lt;&gt;"",1,0)</f>
        <v>0</v>
      </c>
      <c r="N663" s="63" t="s">
        <v>4670</v>
      </c>
      <c r="O663" s="64"/>
      <c r="P663" s="660" t="str">
        <f t="shared" si="173"/>
        <v/>
      </c>
      <c r="Q663" s="52" t="str">
        <f t="shared" ca="1" si="172"/>
        <v>No</v>
      </c>
      <c r="R663" s="1574" t="str">
        <f t="shared" si="168"/>
        <v/>
      </c>
      <c r="S663" s="52" t="str">
        <f t="shared" si="165"/>
        <v/>
      </c>
      <c r="T663" s="52" t="str">
        <f t="shared" si="166"/>
        <v/>
      </c>
      <c r="U663" s="52" t="str">
        <f t="shared" si="177"/>
        <v/>
      </c>
      <c r="V663" s="52" t="str">
        <f t="shared" si="167"/>
        <v/>
      </c>
      <c r="W663" s="1578"/>
      <c r="X663" s="52" t="str">
        <f t="shared" si="174"/>
        <v/>
      </c>
      <c r="Y663" s="52" t="str">
        <f t="shared" si="178"/>
        <v/>
      </c>
      <c r="AA663" s="52" t="str">
        <f t="shared" si="176"/>
        <v/>
      </c>
    </row>
    <row r="664" spans="2:27">
      <c r="B664" s="1532" t="str">
        <f t="shared" si="175"/>
        <v>Silicon Mind</v>
      </c>
      <c r="C664" s="1795"/>
      <c r="D664" s="920"/>
      <c r="E664" s="61" t="s">
        <v>4669</v>
      </c>
      <c r="F664" s="61"/>
      <c r="G664" s="61"/>
      <c r="H664" s="61"/>
      <c r="I664" s="61"/>
      <c r="J664" s="1687" t="s">
        <v>5863</v>
      </c>
      <c r="K664" s="63" t="str">
        <f t="shared" ca="1" si="170"/>
        <v>No</v>
      </c>
      <c r="L664" s="76"/>
      <c r="M664" s="63">
        <f>IF(L664&lt;&gt;"",1,0)</f>
        <v>0</v>
      </c>
      <c r="N664" s="63" t="s">
        <v>4670</v>
      </c>
      <c r="O664" s="64"/>
      <c r="P664" s="660" t="str">
        <f t="shared" si="173"/>
        <v/>
      </c>
      <c r="Q664" s="52" t="str">
        <f t="shared" ca="1" si="172"/>
        <v>No</v>
      </c>
      <c r="R664" s="1574" t="str">
        <f t="shared" si="168"/>
        <v/>
      </c>
      <c r="S664" s="52" t="str">
        <f t="shared" si="165"/>
        <v/>
      </c>
      <c r="T664" s="52" t="str">
        <f t="shared" si="166"/>
        <v/>
      </c>
      <c r="U664" s="52" t="str">
        <f t="shared" si="177"/>
        <v/>
      </c>
      <c r="V664" s="52" t="str">
        <f t="shared" si="167"/>
        <v/>
      </c>
      <c r="W664" s="1578"/>
      <c r="X664" s="52" t="str">
        <f t="shared" si="174"/>
        <v/>
      </c>
      <c r="Y664" s="52" t="str">
        <f t="shared" si="178"/>
        <v/>
      </c>
      <c r="AA664" s="52" t="str">
        <f t="shared" si="176"/>
        <v/>
      </c>
    </row>
    <row r="665" spans="2:27" ht="26">
      <c r="B665" s="1532" t="str">
        <f t="shared" si="175"/>
        <v>Force Delay</v>
      </c>
      <c r="C665" s="1795"/>
      <c r="D665" s="920" t="s">
        <v>3015</v>
      </c>
      <c r="E665" s="61" t="s">
        <v>3016</v>
      </c>
      <c r="F665" s="61"/>
      <c r="G665" s="61"/>
      <c r="H665" s="61"/>
      <c r="I665" s="61"/>
      <c r="J665" s="1687" t="s">
        <v>5072</v>
      </c>
      <c r="K665" s="63" t="str">
        <f t="shared" ca="1" si="170"/>
        <v>No</v>
      </c>
      <c r="L665" s="76"/>
      <c r="M665" s="63">
        <f t="shared" si="171"/>
        <v>0</v>
      </c>
      <c r="N665" s="63" t="s">
        <v>3017</v>
      </c>
      <c r="O665" s="64"/>
      <c r="P665" s="660" t="str">
        <f t="shared" si="173"/>
        <v/>
      </c>
      <c r="Q665" s="52" t="str">
        <f t="shared" ca="1" si="172"/>
        <v>No</v>
      </c>
      <c r="R665" s="1574" t="str">
        <f t="shared" si="168"/>
        <v/>
      </c>
      <c r="S665" s="52" t="str">
        <f t="shared" si="165"/>
        <v/>
      </c>
      <c r="T665" s="52" t="str">
        <f t="shared" si="166"/>
        <v/>
      </c>
      <c r="U665" s="52" t="str">
        <f t="shared" si="177"/>
        <v/>
      </c>
      <c r="V665" s="52" t="str">
        <f t="shared" si="167"/>
        <v/>
      </c>
      <c r="W665" s="1578"/>
      <c r="X665" s="52" t="str">
        <f t="shared" si="174"/>
        <v/>
      </c>
      <c r="Y665" s="52" t="str">
        <f t="shared" si="178"/>
        <v/>
      </c>
      <c r="AA665" s="52" t="str">
        <f t="shared" si="176"/>
        <v/>
      </c>
    </row>
    <row r="666" spans="2:27">
      <c r="B666" s="1532" t="str">
        <f t="shared" si="175"/>
        <v>Action Exchange</v>
      </c>
      <c r="C666" s="1795"/>
      <c r="D666" s="920"/>
      <c r="E666" s="61"/>
      <c r="F666" s="61" t="s">
        <v>3018</v>
      </c>
      <c r="G666" s="61"/>
      <c r="H666" s="61"/>
      <c r="I666" s="61"/>
      <c r="J666" s="1687" t="s">
        <v>5073</v>
      </c>
      <c r="K666" s="63" t="str">
        <f ca="1">IF(AND(Q665="Yes",L665&lt;&gt;""),"Yes","No")</f>
        <v>No</v>
      </c>
      <c r="L666" s="76"/>
      <c r="M666" s="63">
        <f t="shared" si="171"/>
        <v>0</v>
      </c>
      <c r="N666" s="63" t="s">
        <v>3017</v>
      </c>
      <c r="O666" s="64"/>
      <c r="P666" s="660" t="str">
        <f t="shared" si="173"/>
        <v/>
      </c>
      <c r="Q666" s="52" t="str">
        <f t="shared" ca="1" si="172"/>
        <v>No</v>
      </c>
      <c r="R666" s="1574" t="str">
        <f t="shared" si="168"/>
        <v/>
      </c>
      <c r="S666" s="52" t="str">
        <f t="shared" si="165"/>
        <v/>
      </c>
      <c r="T666" s="52" t="str">
        <f t="shared" si="166"/>
        <v/>
      </c>
      <c r="U666" s="52" t="str">
        <f t="shared" si="177"/>
        <v/>
      </c>
      <c r="V666" s="52" t="str">
        <f t="shared" si="167"/>
        <v/>
      </c>
      <c r="W666" s="1578"/>
      <c r="X666" s="52" t="str">
        <f t="shared" si="174"/>
        <v/>
      </c>
      <c r="Y666" s="52" t="str">
        <f t="shared" si="178"/>
        <v/>
      </c>
      <c r="AA666" s="52" t="str">
        <f t="shared" si="176"/>
        <v/>
      </c>
    </row>
    <row r="667" spans="2:27">
      <c r="B667" s="1532" t="str">
        <f t="shared" si="175"/>
        <v>Imbue Item</v>
      </c>
      <c r="C667" s="1795"/>
      <c r="D667" s="920"/>
      <c r="E667" s="61" t="s">
        <v>3019</v>
      </c>
      <c r="F667" s="61"/>
      <c r="G667" s="61"/>
      <c r="H667" s="61"/>
      <c r="I667" s="61"/>
      <c r="J667" s="1687" t="s">
        <v>5074</v>
      </c>
      <c r="K667" s="63" t="str">
        <f t="shared" ca="1" si="170"/>
        <v>No</v>
      </c>
      <c r="L667" s="76"/>
      <c r="M667" s="63">
        <f t="shared" si="171"/>
        <v>0</v>
      </c>
      <c r="N667" s="63" t="s">
        <v>3020</v>
      </c>
      <c r="O667" s="64"/>
      <c r="P667" s="660" t="str">
        <f t="shared" si="173"/>
        <v/>
      </c>
      <c r="Q667" s="52" t="str">
        <f t="shared" ca="1" si="172"/>
        <v>No</v>
      </c>
      <c r="R667" s="1574" t="str">
        <f t="shared" si="168"/>
        <v/>
      </c>
      <c r="S667" s="52" t="str">
        <f t="shared" si="165"/>
        <v/>
      </c>
      <c r="T667" s="52" t="str">
        <f t="shared" si="166"/>
        <v/>
      </c>
      <c r="U667" s="52" t="str">
        <f t="shared" si="177"/>
        <v/>
      </c>
      <c r="V667" s="52" t="str">
        <f t="shared" si="167"/>
        <v/>
      </c>
      <c r="W667" s="1578"/>
      <c r="X667" s="52" t="str">
        <f t="shared" si="174"/>
        <v/>
      </c>
      <c r="Y667" s="52" t="str">
        <f t="shared" si="178"/>
        <v/>
      </c>
      <c r="AA667" s="52" t="str">
        <f t="shared" si="176"/>
        <v/>
      </c>
    </row>
    <row r="668" spans="2:27">
      <c r="B668" s="1532" t="str">
        <f t="shared" si="175"/>
        <v>Knowledge of the Force</v>
      </c>
      <c r="C668" s="1795"/>
      <c r="D668" s="920"/>
      <c r="E668" s="61" t="s">
        <v>3021</v>
      </c>
      <c r="F668" s="61"/>
      <c r="G668" s="61"/>
      <c r="H668" s="61"/>
      <c r="I668" s="61"/>
      <c r="J668" s="1687" t="s">
        <v>5075</v>
      </c>
      <c r="K668" s="63" t="str">
        <f t="shared" ref="K668:K726" ca="1" si="179">IF(ForceSensitive="Yes","Yes","No")</f>
        <v>No</v>
      </c>
      <c r="L668" s="76"/>
      <c r="M668" s="63">
        <f t="shared" si="171"/>
        <v>0</v>
      </c>
      <c r="N668" s="63" t="s">
        <v>3020</v>
      </c>
      <c r="O668" s="64"/>
      <c r="P668" s="660" t="str">
        <f t="shared" si="173"/>
        <v/>
      </c>
      <c r="Q668" s="52" t="str">
        <f t="shared" ca="1" si="172"/>
        <v>No</v>
      </c>
      <c r="R668" s="1574" t="str">
        <f t="shared" si="168"/>
        <v/>
      </c>
      <c r="S668" s="52" t="str">
        <f t="shared" si="165"/>
        <v/>
      </c>
      <c r="T668" s="52" t="str">
        <f t="shared" si="166"/>
        <v/>
      </c>
      <c r="U668" s="52" t="str">
        <f t="shared" si="177"/>
        <v/>
      </c>
      <c r="V668" s="52" t="str">
        <f t="shared" si="167"/>
        <v/>
      </c>
      <c r="W668" s="1578"/>
      <c r="X668" s="52" t="str">
        <f t="shared" si="174"/>
        <v/>
      </c>
      <c r="Y668" s="52" t="str">
        <f t="shared" si="178"/>
        <v/>
      </c>
      <c r="AA668" s="52" t="str">
        <f t="shared" si="176"/>
        <v/>
      </c>
    </row>
    <row r="669" spans="2:27">
      <c r="B669" s="1532" t="str">
        <f t="shared" si="175"/>
        <v>Attune Armor</v>
      </c>
      <c r="C669" s="1795"/>
      <c r="D669" s="920" t="s">
        <v>3022</v>
      </c>
      <c r="E669" s="61" t="s">
        <v>3023</v>
      </c>
      <c r="F669" s="61"/>
      <c r="G669" s="61"/>
      <c r="H669" s="61"/>
      <c r="I669" s="61"/>
      <c r="J669" s="1687" t="s">
        <v>5076</v>
      </c>
      <c r="K669" s="63" t="str">
        <f t="shared" ca="1" si="179"/>
        <v>No</v>
      </c>
      <c r="L669" s="76"/>
      <c r="M669" s="63">
        <f t="shared" si="171"/>
        <v>0</v>
      </c>
      <c r="N669" s="63">
        <v>107</v>
      </c>
      <c r="O669" s="64"/>
      <c r="P669" s="660" t="str">
        <f t="shared" si="173"/>
        <v/>
      </c>
      <c r="Q669" s="52" t="str">
        <f t="shared" ca="1" si="172"/>
        <v>No</v>
      </c>
      <c r="R669" s="1574" t="str">
        <f t="shared" si="168"/>
        <v/>
      </c>
      <c r="S669" s="52" t="str">
        <f t="shared" si="165"/>
        <v/>
      </c>
      <c r="T669" s="52" t="str">
        <f t="shared" si="166"/>
        <v/>
      </c>
      <c r="U669" s="52" t="str">
        <f t="shared" si="177"/>
        <v/>
      </c>
      <c r="V669" s="52" t="str">
        <f t="shared" si="167"/>
        <v/>
      </c>
      <c r="W669" s="1578"/>
      <c r="X669" s="52" t="str">
        <f t="shared" si="174"/>
        <v/>
      </c>
      <c r="Y669" s="52" t="str">
        <f t="shared" si="178"/>
        <v/>
      </c>
      <c r="AA669" s="52" t="str">
        <f t="shared" si="176"/>
        <v/>
      </c>
    </row>
    <row r="670" spans="2:27" ht="26">
      <c r="B670" s="1532" t="str">
        <f t="shared" si="175"/>
        <v>Force Cloak</v>
      </c>
      <c r="C670" s="1795"/>
      <c r="D670" s="920"/>
      <c r="E670" s="61" t="s">
        <v>3024</v>
      </c>
      <c r="F670" s="61"/>
      <c r="G670" s="61"/>
      <c r="H670" s="61"/>
      <c r="I670" s="61"/>
      <c r="J670" s="1687" t="s">
        <v>5077</v>
      </c>
      <c r="K670" s="63" t="str">
        <f t="shared" ca="1" si="179"/>
        <v>No</v>
      </c>
      <c r="L670" s="76"/>
      <c r="M670" s="63">
        <f t="shared" si="171"/>
        <v>0</v>
      </c>
      <c r="N670" s="63">
        <v>107</v>
      </c>
      <c r="O670" s="64"/>
      <c r="P670" s="660" t="str">
        <f t="shared" si="173"/>
        <v/>
      </c>
      <c r="Q670" s="52" t="str">
        <f t="shared" ca="1" si="172"/>
        <v>No</v>
      </c>
      <c r="R670" s="1574" t="str">
        <f t="shared" si="168"/>
        <v/>
      </c>
      <c r="S670" s="52" t="str">
        <f t="shared" ref="S670:S733" si="180">IF(R670&lt;&gt;"",R670&amp;";"&amp;S671,S671)</f>
        <v/>
      </c>
      <c r="T670" s="52" t="str">
        <f t="shared" ref="T670:T733" si="181">IF(R670&lt;&gt;"",N670&amp;";"&amp;T671,T671)</f>
        <v/>
      </c>
      <c r="U670" s="52" t="str">
        <f t="shared" si="177"/>
        <v/>
      </c>
      <c r="V670" s="52" t="str">
        <f t="shared" ref="V670:V733" si="182">IF(U670&lt;&gt;"",U670&amp;";"&amp;V671,V671)</f>
        <v/>
      </c>
      <c r="W670" s="1578"/>
      <c r="X670" s="52" t="str">
        <f t="shared" si="174"/>
        <v/>
      </c>
      <c r="Y670" s="52" t="str">
        <f t="shared" si="178"/>
        <v/>
      </c>
      <c r="AA670" s="52" t="str">
        <f t="shared" si="176"/>
        <v/>
      </c>
    </row>
    <row r="671" spans="2:27">
      <c r="B671" s="1532" t="str">
        <f t="shared" si="175"/>
        <v>Force Cloak Mastery</v>
      </c>
      <c r="C671" s="1795"/>
      <c r="D671" s="920"/>
      <c r="E671" s="61"/>
      <c r="F671" s="61" t="s">
        <v>3025</v>
      </c>
      <c r="G671" s="61"/>
      <c r="H671" s="61"/>
      <c r="I671" s="61"/>
      <c r="J671" s="1687" t="s">
        <v>5078</v>
      </c>
      <c r="K671" s="63" t="str">
        <f ca="1">IF(AND(Q670="Yes",L670&lt;&gt;""),"Yes","No")</f>
        <v>No</v>
      </c>
      <c r="L671" s="76"/>
      <c r="M671" s="63">
        <f t="shared" si="171"/>
        <v>0</v>
      </c>
      <c r="N671" s="63">
        <v>107</v>
      </c>
      <c r="O671" s="64"/>
      <c r="P671" s="660" t="str">
        <f t="shared" si="173"/>
        <v/>
      </c>
      <c r="Q671" s="52" t="str">
        <f t="shared" ca="1" si="172"/>
        <v>No</v>
      </c>
      <c r="R671" s="1574" t="str">
        <f t="shared" si="168"/>
        <v/>
      </c>
      <c r="S671" s="52" t="str">
        <f t="shared" si="180"/>
        <v/>
      </c>
      <c r="T671" s="52" t="str">
        <f t="shared" si="181"/>
        <v/>
      </c>
      <c r="U671" s="52" t="str">
        <f t="shared" si="177"/>
        <v/>
      </c>
      <c r="V671" s="52" t="str">
        <f t="shared" si="182"/>
        <v/>
      </c>
      <c r="W671" s="1578"/>
      <c r="X671" s="52" t="str">
        <f t="shared" si="174"/>
        <v/>
      </c>
      <c r="Y671" s="52" t="str">
        <f t="shared" si="178"/>
        <v/>
      </c>
      <c r="AA671" s="52" t="str">
        <f t="shared" si="176"/>
        <v/>
      </c>
    </row>
    <row r="672" spans="2:27" ht="26">
      <c r="B672" s="1532" t="str">
        <f t="shared" si="175"/>
        <v>Linked Defense</v>
      </c>
      <c r="C672" s="1795"/>
      <c r="D672" s="920"/>
      <c r="E672" s="61" t="s">
        <v>3026</v>
      </c>
      <c r="F672" s="61"/>
      <c r="G672" s="61"/>
      <c r="H672" s="61"/>
      <c r="I672" s="61"/>
      <c r="J672" s="1687" t="s">
        <v>5079</v>
      </c>
      <c r="K672" s="63" t="str">
        <f t="shared" ca="1" si="179"/>
        <v>No</v>
      </c>
      <c r="L672" s="76"/>
      <c r="M672" s="63">
        <f t="shared" si="171"/>
        <v>0</v>
      </c>
      <c r="N672" s="63">
        <v>107</v>
      </c>
      <c r="O672" s="64"/>
      <c r="P672" s="660" t="str">
        <f t="shared" si="173"/>
        <v/>
      </c>
      <c r="Q672" s="52" t="str">
        <f t="shared" ca="1" si="172"/>
        <v>No</v>
      </c>
      <c r="R672" s="1574" t="str">
        <f t="shared" si="168"/>
        <v/>
      </c>
      <c r="S672" s="52" t="str">
        <f t="shared" si="180"/>
        <v/>
      </c>
      <c r="T672" s="52" t="str">
        <f t="shared" si="181"/>
        <v/>
      </c>
      <c r="U672" s="52" t="str">
        <f t="shared" si="177"/>
        <v/>
      </c>
      <c r="V672" s="52" t="str">
        <f t="shared" si="182"/>
        <v/>
      </c>
      <c r="W672" s="1578"/>
      <c r="X672" s="52" t="str">
        <f t="shared" si="174"/>
        <v/>
      </c>
      <c r="Y672" s="52" t="str">
        <f t="shared" si="178"/>
        <v/>
      </c>
      <c r="AA672" s="52" t="str">
        <f t="shared" si="176"/>
        <v/>
      </c>
    </row>
    <row r="673" spans="2:27">
      <c r="B673" s="1532" t="str">
        <f t="shared" si="175"/>
        <v>Conceal Force Use</v>
      </c>
      <c r="C673" s="1795"/>
      <c r="D673" s="920" t="s">
        <v>3027</v>
      </c>
      <c r="E673" s="61" t="s">
        <v>3028</v>
      </c>
      <c r="F673" s="61"/>
      <c r="G673" s="61"/>
      <c r="H673" s="61"/>
      <c r="I673" s="61"/>
      <c r="J673" s="1687" t="s">
        <v>5080</v>
      </c>
      <c r="K673" s="63" t="str">
        <f t="shared" ca="1" si="179"/>
        <v>No</v>
      </c>
      <c r="L673" s="76"/>
      <c r="M673" s="63">
        <f t="shared" si="171"/>
        <v>0</v>
      </c>
      <c r="N673" s="63" t="s">
        <v>3020</v>
      </c>
      <c r="O673" s="64"/>
      <c r="P673" s="660" t="str">
        <f t="shared" si="173"/>
        <v/>
      </c>
      <c r="Q673" s="52" t="str">
        <f t="shared" ca="1" si="172"/>
        <v>No</v>
      </c>
      <c r="R673" s="1574" t="str">
        <f t="shared" si="168"/>
        <v/>
      </c>
      <c r="S673" s="52" t="str">
        <f t="shared" si="180"/>
        <v/>
      </c>
      <c r="T673" s="52" t="str">
        <f t="shared" si="181"/>
        <v/>
      </c>
      <c r="U673" s="52" t="str">
        <f t="shared" si="177"/>
        <v/>
      </c>
      <c r="V673" s="52" t="str">
        <f t="shared" si="182"/>
        <v/>
      </c>
      <c r="W673" s="1578"/>
      <c r="X673" s="52" t="str">
        <f t="shared" si="174"/>
        <v/>
      </c>
      <c r="Y673" s="52" t="str">
        <f t="shared" si="178"/>
        <v/>
      </c>
      <c r="AA673" s="52" t="str">
        <f t="shared" si="176"/>
        <v/>
      </c>
    </row>
    <row r="674" spans="2:27">
      <c r="B674" s="1532" t="str">
        <f t="shared" ref="B674:B705" si="183">IF(E674&lt;&gt;"",E674,IF(F674&lt;&gt;"",F674,IF(G674&lt;&gt;"",G674,IF(H674&lt;&gt;"",H674))))</f>
        <v>Force Direction</v>
      </c>
      <c r="C674" s="1795"/>
      <c r="D674" s="920"/>
      <c r="E674" s="61" t="s">
        <v>3029</v>
      </c>
      <c r="F674" s="61"/>
      <c r="G674" s="61"/>
      <c r="H674" s="61"/>
      <c r="I674" s="61"/>
      <c r="J674" s="1687" t="s">
        <v>5081</v>
      </c>
      <c r="K674" s="63" t="str">
        <f t="shared" ca="1" si="179"/>
        <v>No</v>
      </c>
      <c r="L674" s="76"/>
      <c r="M674" s="63">
        <f t="shared" si="171"/>
        <v>0</v>
      </c>
      <c r="N674" s="63" t="s">
        <v>3020</v>
      </c>
      <c r="O674" s="64"/>
      <c r="P674" s="660" t="str">
        <f t="shared" si="173"/>
        <v/>
      </c>
      <c r="Q674" s="52" t="str">
        <f t="shared" ca="1" si="172"/>
        <v>No</v>
      </c>
      <c r="R674" s="1574" t="str">
        <f t="shared" ref="R674:R737" si="184">IF(L674&lt;&gt;"",E674&amp;F674&amp;G674&amp;IF(P674&lt;&gt;""," ("&amp;P674&amp;")",""),"")&amp;IF(M674&gt;1," ("&amp;M674&amp;")","")</f>
        <v/>
      </c>
      <c r="S674" s="52" t="str">
        <f t="shared" si="180"/>
        <v/>
      </c>
      <c r="T674" s="52" t="str">
        <f t="shared" si="181"/>
        <v/>
      </c>
      <c r="U674" s="52" t="str">
        <f t="shared" si="177"/>
        <v/>
      </c>
      <c r="V674" s="52" t="str">
        <f t="shared" si="182"/>
        <v/>
      </c>
      <c r="W674" s="1578"/>
      <c r="X674" s="52" t="str">
        <f t="shared" si="174"/>
        <v/>
      </c>
      <c r="Y674" s="52" t="str">
        <f t="shared" si="178"/>
        <v/>
      </c>
      <c r="AA674" s="52" t="str">
        <f t="shared" si="176"/>
        <v/>
      </c>
    </row>
    <row r="675" spans="2:27">
      <c r="B675" s="1532" t="str">
        <f t="shared" si="183"/>
        <v>Force Momentum</v>
      </c>
      <c r="C675" s="1795"/>
      <c r="D675" s="920"/>
      <c r="E675" s="61" t="s">
        <v>3030</v>
      </c>
      <c r="F675" s="61"/>
      <c r="G675" s="61"/>
      <c r="H675" s="61"/>
      <c r="I675" s="61"/>
      <c r="J675" s="1687" t="s">
        <v>5082</v>
      </c>
      <c r="K675" s="63" t="str">
        <f t="shared" ca="1" si="179"/>
        <v>No</v>
      </c>
      <c r="L675" s="76"/>
      <c r="M675" s="63">
        <f t="shared" si="171"/>
        <v>0</v>
      </c>
      <c r="N675" s="63" t="s">
        <v>3020</v>
      </c>
      <c r="O675" s="64"/>
      <c r="P675" s="660" t="str">
        <f t="shared" si="173"/>
        <v/>
      </c>
      <c r="Q675" s="52" t="str">
        <f t="shared" ca="1" si="172"/>
        <v>No</v>
      </c>
      <c r="R675" s="1574" t="str">
        <f t="shared" si="184"/>
        <v/>
      </c>
      <c r="S675" s="52" t="str">
        <f t="shared" si="180"/>
        <v/>
      </c>
      <c r="T675" s="52" t="str">
        <f t="shared" si="181"/>
        <v/>
      </c>
      <c r="U675" s="52" t="str">
        <f t="shared" si="177"/>
        <v/>
      </c>
      <c r="V675" s="52" t="str">
        <f t="shared" si="182"/>
        <v/>
      </c>
      <c r="W675" s="1578"/>
      <c r="X675" s="52" t="str">
        <f t="shared" si="174"/>
        <v/>
      </c>
      <c r="Y675" s="52" t="str">
        <f t="shared" si="178"/>
        <v/>
      </c>
      <c r="AA675" s="52" t="str">
        <f t="shared" si="176"/>
        <v/>
      </c>
    </row>
    <row r="676" spans="2:27" ht="26">
      <c r="B676" s="1532" t="str">
        <f t="shared" si="183"/>
        <v>Past Visions</v>
      </c>
      <c r="C676" s="1795"/>
      <c r="D676" s="920"/>
      <c r="E676" s="61" t="s">
        <v>3031</v>
      </c>
      <c r="F676" s="61"/>
      <c r="G676" s="61"/>
      <c r="H676" s="61"/>
      <c r="I676" s="61"/>
      <c r="J676" s="1687" t="s">
        <v>5083</v>
      </c>
      <c r="K676" s="63" t="str">
        <f t="shared" ca="1" si="179"/>
        <v>No</v>
      </c>
      <c r="L676" s="76"/>
      <c r="M676" s="63">
        <f t="shared" si="171"/>
        <v>0</v>
      </c>
      <c r="N676" s="63" t="s">
        <v>3020</v>
      </c>
      <c r="O676" s="64"/>
      <c r="P676" s="660" t="str">
        <f t="shared" si="173"/>
        <v/>
      </c>
      <c r="Q676" s="52" t="str">
        <f t="shared" ca="1" si="172"/>
        <v>No</v>
      </c>
      <c r="R676" s="1574" t="str">
        <f t="shared" si="184"/>
        <v/>
      </c>
      <c r="S676" s="52" t="str">
        <f t="shared" si="180"/>
        <v/>
      </c>
      <c r="T676" s="52" t="str">
        <f t="shared" si="181"/>
        <v/>
      </c>
      <c r="U676" s="52" t="str">
        <f t="shared" si="177"/>
        <v/>
      </c>
      <c r="V676" s="52" t="str">
        <f t="shared" si="182"/>
        <v/>
      </c>
      <c r="W676" s="1578"/>
      <c r="X676" s="52" t="str">
        <f t="shared" si="174"/>
        <v/>
      </c>
      <c r="Y676" s="52" t="str">
        <f t="shared" si="178"/>
        <v/>
      </c>
      <c r="AA676" s="52" t="str">
        <f t="shared" ref="AA676:AA681" si="185">IF(U676&lt;&gt;"",IF(Z676="Defenses",U676&amp;IF(AA677&lt;&gt;"",", ",""),"")&amp;AA677,AA677)</f>
        <v/>
      </c>
    </row>
    <row r="677" spans="2:27" ht="26">
      <c r="B677" s="1532" t="str">
        <f t="shared" si="183"/>
        <v>Shield Gauntlet Defense</v>
      </c>
      <c r="C677" s="1795"/>
      <c r="D677" s="920" t="s">
        <v>6470</v>
      </c>
      <c r="E677" s="61" t="s">
        <v>6472</v>
      </c>
      <c r="F677" s="61"/>
      <c r="G677" s="61"/>
      <c r="H677" s="61"/>
      <c r="I677" s="61"/>
      <c r="J677" s="1687" t="s">
        <v>6473</v>
      </c>
      <c r="K677" s="63" t="str">
        <f t="shared" ca="1" si="179"/>
        <v>No</v>
      </c>
      <c r="L677" s="76"/>
      <c r="M677" s="63">
        <f t="shared" si="171"/>
        <v>0</v>
      </c>
      <c r="N677" s="63" t="s">
        <v>6481</v>
      </c>
      <c r="O677" s="64"/>
      <c r="P677" s="660" t="str">
        <f t="shared" si="173"/>
        <v/>
      </c>
      <c r="Q677" s="52" t="str">
        <f t="shared" ref="Q677:Q682" ca="1" si="186">Q671</f>
        <v>No</v>
      </c>
      <c r="R677" s="1574" t="str">
        <f t="shared" si="184"/>
        <v/>
      </c>
      <c r="S677" s="52" t="str">
        <f t="shared" si="180"/>
        <v/>
      </c>
      <c r="T677" s="52" t="str">
        <f t="shared" si="181"/>
        <v/>
      </c>
      <c r="U677" s="52" t="str">
        <f t="shared" si="177"/>
        <v/>
      </c>
      <c r="V677" s="52" t="str">
        <f t="shared" si="182"/>
        <v/>
      </c>
      <c r="W677" s="1578"/>
      <c r="X677" s="52" t="str">
        <f t="shared" si="174"/>
        <v/>
      </c>
      <c r="Y677" s="52" t="str">
        <f t="shared" si="178"/>
        <v/>
      </c>
      <c r="AA677" s="52" t="str">
        <f t="shared" si="185"/>
        <v/>
      </c>
    </row>
    <row r="678" spans="2:27" ht="91">
      <c r="B678" s="1532" t="str">
        <f t="shared" si="183"/>
        <v>Shield Gauntlet Deflect</v>
      </c>
      <c r="C678" s="1795"/>
      <c r="D678" s="920"/>
      <c r="E678" s="61"/>
      <c r="F678" s="61" t="s">
        <v>6475</v>
      </c>
      <c r="G678" s="61"/>
      <c r="H678" s="61"/>
      <c r="I678" s="61"/>
      <c r="J678" s="1687" t="s">
        <v>6474</v>
      </c>
      <c r="K678" s="63" t="str">
        <f ca="1">IF(AND(Q678="Yes",L677&lt;&gt;""),"Yes","No")</f>
        <v>No</v>
      </c>
      <c r="L678" s="76"/>
      <c r="M678" s="63">
        <f t="shared" si="171"/>
        <v>0</v>
      </c>
      <c r="N678" s="63" t="s">
        <v>6481</v>
      </c>
      <c r="O678" s="64"/>
      <c r="P678" s="660" t="str">
        <f t="shared" si="173"/>
        <v/>
      </c>
      <c r="Q678" s="52" t="str">
        <f t="shared" ca="1" si="186"/>
        <v>No</v>
      </c>
      <c r="R678" s="1574" t="str">
        <f t="shared" si="184"/>
        <v/>
      </c>
      <c r="S678" s="52" t="str">
        <f t="shared" si="180"/>
        <v/>
      </c>
      <c r="T678" s="52" t="str">
        <f t="shared" si="181"/>
        <v/>
      </c>
      <c r="U678" s="52" t="str">
        <f t="shared" si="177"/>
        <v/>
      </c>
      <c r="V678" s="52" t="str">
        <f t="shared" si="182"/>
        <v/>
      </c>
      <c r="W678" s="1578"/>
      <c r="X678" s="52" t="str">
        <f t="shared" si="174"/>
        <v/>
      </c>
      <c r="Y678" s="52" t="str">
        <f t="shared" si="178"/>
        <v/>
      </c>
      <c r="AA678" s="52" t="str">
        <f t="shared" si="185"/>
        <v/>
      </c>
    </row>
    <row r="679" spans="2:27" ht="91">
      <c r="B679" s="1532" t="str">
        <f t="shared" si="183"/>
        <v>Shield Gauntlet Redirect</v>
      </c>
      <c r="C679" s="1795"/>
      <c r="D679" s="920"/>
      <c r="E679" s="61"/>
      <c r="F679" s="61"/>
      <c r="G679" s="61" t="s">
        <v>6476</v>
      </c>
      <c r="H679" s="61"/>
      <c r="I679" s="61"/>
      <c r="J679" s="1687" t="s">
        <v>6477</v>
      </c>
      <c r="K679" s="63" t="str">
        <f ca="1">IF(AND(Q679="Yes",L678&lt;&gt;"",BAB&gt;=5),"Yes","No")</f>
        <v>No</v>
      </c>
      <c r="L679" s="76"/>
      <c r="M679" s="63">
        <f t="shared" si="171"/>
        <v>0</v>
      </c>
      <c r="N679" s="63" t="s">
        <v>6481</v>
      </c>
      <c r="O679" s="64"/>
      <c r="P679" s="660" t="str">
        <f t="shared" si="173"/>
        <v/>
      </c>
      <c r="Q679" s="52" t="str">
        <f t="shared" ca="1" si="186"/>
        <v>No</v>
      </c>
      <c r="R679" s="1574" t="str">
        <f t="shared" si="184"/>
        <v/>
      </c>
      <c r="S679" s="52" t="str">
        <f t="shared" si="180"/>
        <v/>
      </c>
      <c r="T679" s="52" t="str">
        <f t="shared" si="181"/>
        <v/>
      </c>
      <c r="U679" s="52" t="str">
        <f t="shared" si="177"/>
        <v/>
      </c>
      <c r="V679" s="52" t="str">
        <f t="shared" si="182"/>
        <v/>
      </c>
      <c r="W679" s="1578"/>
      <c r="X679" s="52" t="str">
        <f t="shared" si="174"/>
        <v/>
      </c>
      <c r="Y679" s="52" t="str">
        <f t="shared" si="178"/>
        <v/>
      </c>
      <c r="AA679" s="52" t="str">
        <f t="shared" si="185"/>
        <v/>
      </c>
    </row>
    <row r="680" spans="2:27" ht="39">
      <c r="B680" s="1532" t="str">
        <f t="shared" si="183"/>
        <v>Siang Lance Mastery</v>
      </c>
      <c r="C680" s="1795"/>
      <c r="D680" s="920"/>
      <c r="E680" s="61" t="s">
        <v>6478</v>
      </c>
      <c r="F680" s="61"/>
      <c r="G680" s="61"/>
      <c r="H680" s="61"/>
      <c r="I680" s="61"/>
      <c r="J680" s="1687" t="s">
        <v>6479</v>
      </c>
      <c r="K680" s="63" t="str">
        <f t="shared" ca="1" si="179"/>
        <v>No</v>
      </c>
      <c r="L680" s="76"/>
      <c r="M680" s="63">
        <f t="shared" si="171"/>
        <v>0</v>
      </c>
      <c r="N680" s="63" t="s">
        <v>6481</v>
      </c>
      <c r="O680" s="64"/>
      <c r="P680" s="660" t="str">
        <f t="shared" si="173"/>
        <v/>
      </c>
      <c r="Q680" s="52" t="str">
        <f t="shared" ca="1" si="186"/>
        <v>No</v>
      </c>
      <c r="R680" s="1574" t="str">
        <f t="shared" si="184"/>
        <v/>
      </c>
      <c r="S680" s="52" t="str">
        <f t="shared" si="180"/>
        <v/>
      </c>
      <c r="T680" s="52" t="str">
        <f t="shared" si="181"/>
        <v/>
      </c>
      <c r="U680" s="52" t="str">
        <f t="shared" si="177"/>
        <v/>
      </c>
      <c r="V680" s="52" t="str">
        <f t="shared" si="182"/>
        <v/>
      </c>
      <c r="W680" s="1578"/>
      <c r="X680" s="52" t="str">
        <f t="shared" si="174"/>
        <v/>
      </c>
      <c r="Y680" s="52" t="str">
        <f t="shared" si="178"/>
        <v/>
      </c>
      <c r="AA680" s="52" t="str">
        <f t="shared" si="185"/>
        <v/>
      </c>
    </row>
    <row r="681" spans="2:27" ht="39">
      <c r="B681" s="1532" t="str">
        <f t="shared" si="183"/>
        <v>Empower Siang Lance</v>
      </c>
      <c r="C681" s="1795"/>
      <c r="D681" s="920"/>
      <c r="E681" s="61"/>
      <c r="F681" s="61" t="s">
        <v>6471</v>
      </c>
      <c r="G681" s="61"/>
      <c r="H681" s="61"/>
      <c r="I681" s="61"/>
      <c r="J681" s="1687" t="s">
        <v>6480</v>
      </c>
      <c r="K681" s="63" t="str">
        <f ca="1">IF(AND(Q681="Yes",L680&lt;&gt;"",BAB&gt;=7),"Yes","No")</f>
        <v>No</v>
      </c>
      <c r="L681" s="76"/>
      <c r="M681" s="63">
        <f t="shared" si="171"/>
        <v>0</v>
      </c>
      <c r="N681" s="63" t="s">
        <v>6481</v>
      </c>
      <c r="O681" s="64"/>
      <c r="P681" s="660" t="str">
        <f t="shared" si="173"/>
        <v/>
      </c>
      <c r="Q681" s="52" t="str">
        <f t="shared" ca="1" si="186"/>
        <v>No</v>
      </c>
      <c r="R681" s="1574" t="str">
        <f t="shared" si="184"/>
        <v/>
      </c>
      <c r="S681" s="52" t="str">
        <f t="shared" si="180"/>
        <v/>
      </c>
      <c r="T681" s="52" t="str">
        <f t="shared" si="181"/>
        <v/>
      </c>
      <c r="U681" s="52" t="str">
        <f t="shared" si="177"/>
        <v/>
      </c>
      <c r="V681" s="52" t="str">
        <f t="shared" si="182"/>
        <v/>
      </c>
      <c r="W681" s="1578"/>
      <c r="X681" s="52" t="str">
        <f t="shared" si="174"/>
        <v/>
      </c>
      <c r="Y681" s="52" t="str">
        <f t="shared" si="178"/>
        <v/>
      </c>
      <c r="AA681" s="52" t="str">
        <f t="shared" si="185"/>
        <v/>
      </c>
    </row>
    <row r="682" spans="2:27">
      <c r="B682" s="1532" t="str">
        <f t="shared" si="183"/>
        <v>Akk Dog Master</v>
      </c>
      <c r="C682" s="1795"/>
      <c r="D682" s="920" t="s">
        <v>3032</v>
      </c>
      <c r="E682" s="61" t="s">
        <v>3033</v>
      </c>
      <c r="F682" s="61"/>
      <c r="G682" s="61"/>
      <c r="H682" s="61"/>
      <c r="I682" s="61"/>
      <c r="J682" s="1687" t="s">
        <v>5084</v>
      </c>
      <c r="K682" s="63" t="str">
        <f t="shared" ca="1" si="179"/>
        <v>No</v>
      </c>
      <c r="L682" s="76"/>
      <c r="M682" s="63">
        <f t="shared" si="171"/>
        <v>0</v>
      </c>
      <c r="N682" s="63" t="s">
        <v>3034</v>
      </c>
      <c r="O682" s="64"/>
      <c r="P682" s="660" t="str">
        <f t="shared" si="173"/>
        <v/>
      </c>
      <c r="Q682" s="52" t="str">
        <f t="shared" ca="1" si="186"/>
        <v>No</v>
      </c>
      <c r="R682" s="1574" t="str">
        <f t="shared" si="184"/>
        <v/>
      </c>
      <c r="S682" s="52" t="str">
        <f t="shared" si="180"/>
        <v/>
      </c>
      <c r="T682" s="52" t="str">
        <f t="shared" si="181"/>
        <v/>
      </c>
      <c r="U682" s="52" t="str">
        <f t="shared" si="177"/>
        <v/>
      </c>
      <c r="V682" s="52" t="str">
        <f t="shared" si="182"/>
        <v/>
      </c>
      <c r="W682" s="1578"/>
      <c r="X682" s="52" t="str">
        <f t="shared" si="174"/>
        <v/>
      </c>
      <c r="Y682" s="52" t="str">
        <f t="shared" si="178"/>
        <v/>
      </c>
      <c r="AA682" s="52" t="str">
        <f t="shared" si="176"/>
        <v/>
      </c>
    </row>
    <row r="683" spans="2:27" ht="65">
      <c r="B683" s="1532" t="str">
        <f t="shared" si="183"/>
        <v>Akk Dog Trainer's Actions</v>
      </c>
      <c r="C683" s="1795"/>
      <c r="D683" s="920"/>
      <c r="E683" s="61"/>
      <c r="F683" s="61" t="s">
        <v>3035</v>
      </c>
      <c r="G683" s="61"/>
      <c r="H683" s="61"/>
      <c r="I683" s="61"/>
      <c r="J683" s="1687" t="s">
        <v>5085</v>
      </c>
      <c r="K683" s="63" t="str">
        <f ca="1">IF(AND(Q683="Yes",L682&lt;&gt;""),"Yes","No")</f>
        <v>No</v>
      </c>
      <c r="L683" s="76"/>
      <c r="M683" s="63">
        <f t="shared" si="171"/>
        <v>0</v>
      </c>
      <c r="N683" s="63" t="s">
        <v>3034</v>
      </c>
      <c r="O683" s="64"/>
      <c r="P683" s="660" t="str">
        <f t="shared" si="173"/>
        <v/>
      </c>
      <c r="Q683" s="52" t="str">
        <f t="shared" ca="1" si="172"/>
        <v>No</v>
      </c>
      <c r="R683" s="1574" t="str">
        <f t="shared" si="184"/>
        <v/>
      </c>
      <c r="S683" s="52" t="str">
        <f t="shared" si="180"/>
        <v/>
      </c>
      <c r="T683" s="52" t="str">
        <f t="shared" si="181"/>
        <v/>
      </c>
      <c r="U683" s="52" t="str">
        <f t="shared" si="177"/>
        <v/>
      </c>
      <c r="V683" s="52" t="str">
        <f t="shared" si="182"/>
        <v/>
      </c>
      <c r="W683" s="1578"/>
      <c r="X683" s="52" t="str">
        <f t="shared" si="174"/>
        <v/>
      </c>
      <c r="Y683" s="52" t="str">
        <f t="shared" si="178"/>
        <v/>
      </c>
      <c r="AA683" s="52" t="str">
        <f t="shared" si="176"/>
        <v/>
      </c>
    </row>
    <row r="684" spans="2:27">
      <c r="B684" s="1532" t="str">
        <f t="shared" si="183"/>
        <v>Akk Dog Training</v>
      </c>
      <c r="C684" s="1795"/>
      <c r="D684" s="920"/>
      <c r="E684" s="61"/>
      <c r="F684" s="61" t="s">
        <v>3036</v>
      </c>
      <c r="G684" s="61"/>
      <c r="H684" s="61"/>
      <c r="I684" s="61"/>
      <c r="J684" s="1687" t="s">
        <v>5086</v>
      </c>
      <c r="K684" s="63" t="str">
        <f ca="1">IF(AND(Q684="Yes",L682&lt;&gt;""),"Yes","No")</f>
        <v>No</v>
      </c>
      <c r="L684" s="76"/>
      <c r="M684" s="63">
        <f t="shared" si="171"/>
        <v>0</v>
      </c>
      <c r="N684" s="63" t="s">
        <v>3034</v>
      </c>
      <c r="O684" s="64"/>
      <c r="P684" s="660" t="str">
        <f t="shared" si="173"/>
        <v/>
      </c>
      <c r="Q684" s="52" t="str">
        <f t="shared" ca="1" si="172"/>
        <v>No</v>
      </c>
      <c r="R684" s="1574" t="str">
        <f t="shared" si="184"/>
        <v/>
      </c>
      <c r="S684" s="52" t="str">
        <f t="shared" si="180"/>
        <v/>
      </c>
      <c r="T684" s="52" t="str">
        <f t="shared" si="181"/>
        <v/>
      </c>
      <c r="U684" s="52" t="str">
        <f t="shared" si="177"/>
        <v/>
      </c>
      <c r="V684" s="52" t="str">
        <f t="shared" si="182"/>
        <v/>
      </c>
      <c r="W684" s="1578"/>
      <c r="X684" s="52" t="str">
        <f t="shared" si="174"/>
        <v/>
      </c>
      <c r="Y684" s="52" t="str">
        <f t="shared" si="178"/>
        <v/>
      </c>
      <c r="AA684" s="52" t="str">
        <f t="shared" si="176"/>
        <v/>
      </c>
    </row>
    <row r="685" spans="2:27">
      <c r="B685" s="1532" t="str">
        <f t="shared" si="183"/>
        <v>Protective Reaction</v>
      </c>
      <c r="C685" s="1795"/>
      <c r="D685" s="920"/>
      <c r="E685" s="61"/>
      <c r="F685" s="61" t="s">
        <v>3037</v>
      </c>
      <c r="G685" s="61"/>
      <c r="H685" s="61"/>
      <c r="I685" s="61"/>
      <c r="J685" s="1687" t="s">
        <v>5087</v>
      </c>
      <c r="K685" s="63" t="str">
        <f ca="1">IF(AND(Q685="Yes",L682&lt;&gt;""),"Yes","No")</f>
        <v>No</v>
      </c>
      <c r="L685" s="76"/>
      <c r="M685" s="63">
        <f t="shared" si="171"/>
        <v>0</v>
      </c>
      <c r="N685" s="63" t="s">
        <v>3034</v>
      </c>
      <c r="O685" s="64"/>
      <c r="P685" s="660" t="str">
        <f t="shared" si="173"/>
        <v/>
      </c>
      <c r="Q685" s="52" t="str">
        <f t="shared" ca="1" si="172"/>
        <v>No</v>
      </c>
      <c r="R685" s="1574" t="str">
        <f t="shared" si="184"/>
        <v/>
      </c>
      <c r="S685" s="52" t="str">
        <f t="shared" si="180"/>
        <v/>
      </c>
      <c r="T685" s="52" t="str">
        <f t="shared" si="181"/>
        <v/>
      </c>
      <c r="U685" s="52" t="str">
        <f t="shared" si="177"/>
        <v/>
      </c>
      <c r="V685" s="52" t="str">
        <f t="shared" si="182"/>
        <v/>
      </c>
      <c r="W685" s="1578"/>
      <c r="X685" s="52" t="str">
        <f t="shared" si="174"/>
        <v/>
      </c>
      <c r="Y685" s="52" t="str">
        <f t="shared" si="178"/>
        <v/>
      </c>
      <c r="AA685" s="52" t="str">
        <f t="shared" si="176"/>
        <v/>
      </c>
    </row>
    <row r="686" spans="2:27" ht="26">
      <c r="B686" s="1532" t="str">
        <f t="shared" si="183"/>
        <v>Dark Side Manipulation</v>
      </c>
      <c r="C686" s="1795"/>
      <c r="D686" s="920" t="s">
        <v>3038</v>
      </c>
      <c r="E686" s="61" t="s">
        <v>3039</v>
      </c>
      <c r="F686" s="61"/>
      <c r="G686" s="61"/>
      <c r="H686" s="61"/>
      <c r="I686" s="61"/>
      <c r="J686" s="1687" t="s">
        <v>5088</v>
      </c>
      <c r="K686" s="63" t="str">
        <f t="shared" ca="1" si="179"/>
        <v>No</v>
      </c>
      <c r="L686" s="76"/>
      <c r="M686" s="63">
        <f t="shared" si="171"/>
        <v>0</v>
      </c>
      <c r="N686" s="63" t="s">
        <v>3040</v>
      </c>
      <c r="O686" s="64"/>
      <c r="P686" s="660" t="str">
        <f t="shared" si="173"/>
        <v/>
      </c>
      <c r="Q686" s="52" t="str">
        <f t="shared" ca="1" si="172"/>
        <v>No</v>
      </c>
      <c r="R686" s="1574" t="str">
        <f t="shared" si="184"/>
        <v/>
      </c>
      <c r="S686" s="52" t="str">
        <f t="shared" si="180"/>
        <v/>
      </c>
      <c r="T686" s="52" t="str">
        <f t="shared" si="181"/>
        <v/>
      </c>
      <c r="U686" s="52" t="str">
        <f t="shared" si="177"/>
        <v/>
      </c>
      <c r="V686" s="52" t="str">
        <f t="shared" si="182"/>
        <v/>
      </c>
      <c r="W686" s="1578"/>
      <c r="X686" s="52" t="str">
        <f t="shared" si="174"/>
        <v/>
      </c>
      <c r="Y686" s="52" t="str">
        <f t="shared" si="178"/>
        <v/>
      </c>
      <c r="AA686" s="52" t="str">
        <f t="shared" si="176"/>
        <v/>
      </c>
    </row>
    <row r="687" spans="2:27">
      <c r="B687" s="1532" t="str">
        <f t="shared" si="183"/>
        <v>Krath Illusions</v>
      </c>
      <c r="C687" s="1795"/>
      <c r="D687" s="920"/>
      <c r="E687" s="61" t="s">
        <v>3041</v>
      </c>
      <c r="F687" s="61"/>
      <c r="G687" s="61"/>
      <c r="H687" s="61"/>
      <c r="I687" s="61"/>
      <c r="J687" s="1687" t="s">
        <v>5089</v>
      </c>
      <c r="K687" s="63" t="str">
        <f t="shared" ca="1" si="179"/>
        <v>No</v>
      </c>
      <c r="L687" s="76"/>
      <c r="M687" s="63">
        <f t="shared" si="171"/>
        <v>0</v>
      </c>
      <c r="N687" s="63" t="s">
        <v>3042</v>
      </c>
      <c r="O687" s="64"/>
      <c r="P687" s="660" t="str">
        <f t="shared" si="173"/>
        <v/>
      </c>
      <c r="Q687" s="52" t="str">
        <f t="shared" ca="1" si="172"/>
        <v>No</v>
      </c>
      <c r="R687" s="1574" t="str">
        <f t="shared" si="184"/>
        <v/>
      </c>
      <c r="S687" s="52" t="str">
        <f t="shared" si="180"/>
        <v/>
      </c>
      <c r="T687" s="52" t="str">
        <f t="shared" si="181"/>
        <v/>
      </c>
      <c r="U687" s="52" t="str">
        <f t="shared" si="177"/>
        <v/>
      </c>
      <c r="V687" s="52" t="str">
        <f t="shared" si="182"/>
        <v/>
      </c>
      <c r="W687" s="1578"/>
      <c r="X687" s="52" t="str">
        <f t="shared" si="174"/>
        <v/>
      </c>
      <c r="Y687" s="52" t="str">
        <f t="shared" si="178"/>
        <v/>
      </c>
      <c r="AA687" s="52" t="str">
        <f t="shared" si="176"/>
        <v/>
      </c>
    </row>
    <row r="688" spans="2:27">
      <c r="B688" s="1532" t="str">
        <f t="shared" si="183"/>
        <v>Krath Intuition</v>
      </c>
      <c r="C688" s="1795"/>
      <c r="D688" s="920"/>
      <c r="E688" s="61" t="s">
        <v>3043</v>
      </c>
      <c r="F688" s="61"/>
      <c r="G688" s="61"/>
      <c r="H688" s="61"/>
      <c r="I688" s="61"/>
      <c r="J688" s="1687" t="s">
        <v>5090</v>
      </c>
      <c r="K688" s="63" t="str">
        <f t="shared" ca="1" si="179"/>
        <v>No</v>
      </c>
      <c r="L688" s="76"/>
      <c r="M688" s="63">
        <f t="shared" si="171"/>
        <v>0</v>
      </c>
      <c r="N688" s="63" t="s">
        <v>3042</v>
      </c>
      <c r="O688" s="64"/>
      <c r="P688" s="660" t="str">
        <f t="shared" si="173"/>
        <v/>
      </c>
      <c r="Q688" s="52" t="str">
        <f t="shared" ca="1" si="172"/>
        <v>No</v>
      </c>
      <c r="R688" s="1574" t="str">
        <f t="shared" si="184"/>
        <v/>
      </c>
      <c r="S688" s="52" t="str">
        <f t="shared" si="180"/>
        <v/>
      </c>
      <c r="T688" s="52" t="str">
        <f t="shared" si="181"/>
        <v/>
      </c>
      <c r="U688" s="52" t="str">
        <f t="shared" si="177"/>
        <v/>
      </c>
      <c r="V688" s="52" t="str">
        <f t="shared" si="182"/>
        <v/>
      </c>
      <c r="W688" s="1578"/>
      <c r="X688" s="52" t="str">
        <f t="shared" si="174"/>
        <v/>
      </c>
      <c r="Y688" s="52" t="str">
        <f t="shared" si="178"/>
        <v/>
      </c>
      <c r="AA688" s="52" t="str">
        <f t="shared" si="176"/>
        <v/>
      </c>
    </row>
    <row r="689" spans="2:27" ht="26">
      <c r="B689" s="1532" t="str">
        <f t="shared" si="183"/>
        <v>Krath Surge</v>
      </c>
      <c r="C689" s="1795"/>
      <c r="D689" s="920"/>
      <c r="E689" s="61" t="s">
        <v>3044</v>
      </c>
      <c r="F689" s="61"/>
      <c r="G689" s="61"/>
      <c r="H689" s="61"/>
      <c r="I689" s="61"/>
      <c r="J689" s="1687" t="s">
        <v>5091</v>
      </c>
      <c r="K689" s="63" t="str">
        <f t="shared" ca="1" si="179"/>
        <v>No</v>
      </c>
      <c r="L689" s="76"/>
      <c r="M689" s="63">
        <f t="shared" si="171"/>
        <v>0</v>
      </c>
      <c r="N689" s="63" t="s">
        <v>3042</v>
      </c>
      <c r="O689" s="64"/>
      <c r="P689" s="660" t="str">
        <f t="shared" si="173"/>
        <v/>
      </c>
      <c r="Q689" s="52" t="str">
        <f t="shared" ca="1" si="172"/>
        <v>No</v>
      </c>
      <c r="R689" s="1574" t="str">
        <f t="shared" si="184"/>
        <v/>
      </c>
      <c r="S689" s="52" t="str">
        <f t="shared" si="180"/>
        <v/>
      </c>
      <c r="T689" s="52" t="str">
        <f t="shared" si="181"/>
        <v/>
      </c>
      <c r="U689" s="52" t="str">
        <f t="shared" si="177"/>
        <v/>
      </c>
      <c r="V689" s="52" t="str">
        <f t="shared" si="182"/>
        <v/>
      </c>
      <c r="W689" s="1578"/>
      <c r="X689" s="52" t="str">
        <f t="shared" si="174"/>
        <v/>
      </c>
      <c r="Y689" s="52" t="str">
        <f t="shared" si="178"/>
        <v/>
      </c>
      <c r="AA689" s="52" t="str">
        <f t="shared" si="176"/>
        <v/>
      </c>
    </row>
    <row r="690" spans="2:27" ht="26">
      <c r="B690" s="1532" t="str">
        <f t="shared" si="183"/>
        <v>Field Detection</v>
      </c>
      <c r="C690" s="1795"/>
      <c r="D690" s="920" t="s">
        <v>3045</v>
      </c>
      <c r="E690" s="61" t="s">
        <v>3046</v>
      </c>
      <c r="F690" s="61"/>
      <c r="G690" s="61"/>
      <c r="H690" s="61"/>
      <c r="I690" s="61"/>
      <c r="J690" s="1687" t="s">
        <v>5092</v>
      </c>
      <c r="K690" s="63" t="str">
        <f t="shared" ca="1" si="179"/>
        <v>No</v>
      </c>
      <c r="L690" s="76"/>
      <c r="M690" s="63">
        <f t="shared" si="171"/>
        <v>0</v>
      </c>
      <c r="N690" s="63" t="s">
        <v>3042</v>
      </c>
      <c r="O690" s="64"/>
      <c r="P690" s="660" t="str">
        <f t="shared" si="173"/>
        <v/>
      </c>
      <c r="Q690" s="52" t="str">
        <f t="shared" ca="1" si="172"/>
        <v>No</v>
      </c>
      <c r="R690" s="1574" t="str">
        <f t="shared" si="184"/>
        <v/>
      </c>
      <c r="S690" s="52" t="str">
        <f t="shared" si="180"/>
        <v/>
      </c>
      <c r="T690" s="52" t="str">
        <f t="shared" si="181"/>
        <v/>
      </c>
      <c r="U690" s="52" t="str">
        <f t="shared" si="177"/>
        <v/>
      </c>
      <c r="V690" s="52" t="str">
        <f t="shared" si="182"/>
        <v/>
      </c>
      <c r="W690" s="1578"/>
      <c r="X690" s="52" t="str">
        <f t="shared" si="174"/>
        <v/>
      </c>
      <c r="Y690" s="52" t="str">
        <f t="shared" si="178"/>
        <v/>
      </c>
      <c r="AA690" s="52" t="str">
        <f t="shared" si="176"/>
        <v/>
      </c>
    </row>
    <row r="691" spans="2:27" ht="26">
      <c r="B691" s="1532" t="str">
        <f t="shared" si="183"/>
        <v>Luka Sene Master</v>
      </c>
      <c r="C691" s="1795"/>
      <c r="D691" s="920"/>
      <c r="E691" s="61"/>
      <c r="F691" s="61" t="s">
        <v>3047</v>
      </c>
      <c r="G691" s="61"/>
      <c r="H691" s="61"/>
      <c r="I691" s="61"/>
      <c r="J691" s="1687" t="s">
        <v>5093</v>
      </c>
      <c r="K691" s="63" t="str">
        <f ca="1">IF(AND(Q690="Yes",L690&lt;&gt;""),"Yes","No")</f>
        <v>No</v>
      </c>
      <c r="L691" s="76"/>
      <c r="M691" s="63">
        <f t="shared" si="171"/>
        <v>0</v>
      </c>
      <c r="N691" s="63" t="s">
        <v>3042</v>
      </c>
      <c r="O691" s="64"/>
      <c r="P691" s="660" t="str">
        <f t="shared" si="173"/>
        <v/>
      </c>
      <c r="Q691" s="52" t="str">
        <f t="shared" ca="1" si="172"/>
        <v>No</v>
      </c>
      <c r="R691" s="1574" t="str">
        <f t="shared" si="184"/>
        <v/>
      </c>
      <c r="S691" s="52" t="str">
        <f t="shared" si="180"/>
        <v/>
      </c>
      <c r="T691" s="52" t="str">
        <f t="shared" si="181"/>
        <v/>
      </c>
      <c r="U691" s="52" t="str">
        <f t="shared" si="177"/>
        <v/>
      </c>
      <c r="V691" s="52" t="str">
        <f t="shared" si="182"/>
        <v/>
      </c>
      <c r="W691" s="1578"/>
      <c r="X691" s="52" t="str">
        <f t="shared" si="174"/>
        <v/>
      </c>
      <c r="Y691" s="52" t="str">
        <f t="shared" si="178"/>
        <v/>
      </c>
      <c r="AA691" s="52" t="str">
        <f t="shared" si="176"/>
        <v/>
      </c>
    </row>
    <row r="692" spans="2:27">
      <c r="B692" s="1532" t="str">
        <f t="shared" si="183"/>
        <v>Improved Force Sight</v>
      </c>
      <c r="C692" s="1795"/>
      <c r="D692" s="920"/>
      <c r="E692" s="61" t="s">
        <v>3048</v>
      </c>
      <c r="F692" s="61"/>
      <c r="G692" s="61"/>
      <c r="H692" s="61"/>
      <c r="I692" s="61"/>
      <c r="J692" s="1687" t="s">
        <v>5094</v>
      </c>
      <c r="K692" s="63" t="str">
        <f t="shared" ca="1" si="179"/>
        <v>No</v>
      </c>
      <c r="L692" s="76"/>
      <c r="M692" s="63">
        <f t="shared" si="171"/>
        <v>0</v>
      </c>
      <c r="N692" s="63" t="s">
        <v>3042</v>
      </c>
      <c r="O692" s="64"/>
      <c r="P692" s="660" t="str">
        <f t="shared" si="173"/>
        <v/>
      </c>
      <c r="Q692" s="52" t="str">
        <f t="shared" ca="1" si="172"/>
        <v>No</v>
      </c>
      <c r="R692" s="1574" t="str">
        <f t="shared" si="184"/>
        <v/>
      </c>
      <c r="S692" s="52" t="str">
        <f t="shared" si="180"/>
        <v/>
      </c>
      <c r="T692" s="52" t="str">
        <f t="shared" si="181"/>
        <v/>
      </c>
      <c r="U692" s="52" t="str">
        <f t="shared" si="177"/>
        <v/>
      </c>
      <c r="V692" s="52" t="str">
        <f t="shared" si="182"/>
        <v/>
      </c>
      <c r="W692" s="1578"/>
      <c r="X692" s="52" t="str">
        <f t="shared" si="174"/>
        <v/>
      </c>
      <c r="Y692" s="52" t="str">
        <f t="shared" si="178"/>
        <v/>
      </c>
      <c r="AA692" s="52" t="str">
        <f t="shared" si="176"/>
        <v/>
      </c>
    </row>
    <row r="693" spans="2:27" ht="26">
      <c r="B693" s="1532" t="str">
        <f t="shared" si="183"/>
        <v>Quickseeing</v>
      </c>
      <c r="C693" s="1795"/>
      <c r="D693" s="920"/>
      <c r="E693" s="61" t="s">
        <v>3049</v>
      </c>
      <c r="F693" s="61"/>
      <c r="G693" s="61"/>
      <c r="H693" s="61"/>
      <c r="I693" s="61"/>
      <c r="J693" s="1687" t="s">
        <v>5095</v>
      </c>
      <c r="K693" s="63" t="str">
        <f t="shared" ca="1" si="179"/>
        <v>No</v>
      </c>
      <c r="L693" s="76"/>
      <c r="M693" s="63">
        <f t="shared" si="171"/>
        <v>0</v>
      </c>
      <c r="N693" s="63" t="s">
        <v>3042</v>
      </c>
      <c r="O693" s="64"/>
      <c r="P693" s="660" t="str">
        <f t="shared" si="173"/>
        <v/>
      </c>
      <c r="Q693" s="52" t="str">
        <f t="shared" ca="1" si="172"/>
        <v>No</v>
      </c>
      <c r="R693" s="1574" t="str">
        <f t="shared" si="184"/>
        <v/>
      </c>
      <c r="S693" s="52" t="str">
        <f t="shared" si="180"/>
        <v/>
      </c>
      <c r="T693" s="52" t="str">
        <f t="shared" si="181"/>
        <v/>
      </c>
      <c r="U693" s="52" t="str">
        <f t="shared" si="177"/>
        <v/>
      </c>
      <c r="V693" s="52" t="str">
        <f t="shared" si="182"/>
        <v/>
      </c>
      <c r="W693" s="1578"/>
      <c r="X693" s="52" t="str">
        <f t="shared" si="174"/>
        <v/>
      </c>
      <c r="Y693" s="52" t="str">
        <f t="shared" si="178"/>
        <v/>
      </c>
      <c r="AA693" s="52" t="str">
        <f t="shared" si="176"/>
        <v/>
      </c>
    </row>
    <row r="694" spans="2:27">
      <c r="B694" s="1532" t="str">
        <f t="shared" si="183"/>
        <v>Body Control</v>
      </c>
      <c r="C694" s="1795"/>
      <c r="D694" s="920" t="s">
        <v>4671</v>
      </c>
      <c r="E694" s="61" t="s">
        <v>4672</v>
      </c>
      <c r="F694" s="61"/>
      <c r="G694" s="61"/>
      <c r="H694" s="61"/>
      <c r="I694" s="61"/>
      <c r="J694" s="1687" t="s">
        <v>5864</v>
      </c>
      <c r="K694" s="63" t="str">
        <f t="shared" ca="1" si="179"/>
        <v>No</v>
      </c>
      <c r="L694" s="76"/>
      <c r="M694" s="63">
        <f t="shared" ref="M694:M699" si="187">IF(L694&lt;&gt;"",1,0)</f>
        <v>0</v>
      </c>
      <c r="N694" s="63" t="s">
        <v>4678</v>
      </c>
      <c r="O694" s="64"/>
      <c r="P694" s="660" t="str">
        <f t="shared" si="173"/>
        <v/>
      </c>
      <c r="Q694" s="52" t="str">
        <f t="shared" ca="1" si="172"/>
        <v>No</v>
      </c>
      <c r="R694" s="1574" t="str">
        <f t="shared" si="184"/>
        <v/>
      </c>
      <c r="S694" s="52" t="str">
        <f t="shared" si="180"/>
        <v/>
      </c>
      <c r="T694" s="52" t="str">
        <f t="shared" si="181"/>
        <v/>
      </c>
      <c r="U694" s="52" t="str">
        <f t="shared" si="177"/>
        <v/>
      </c>
      <c r="V694" s="52" t="str">
        <f t="shared" si="182"/>
        <v/>
      </c>
      <c r="W694" s="1578"/>
      <c r="X694" s="52" t="str">
        <f t="shared" si="174"/>
        <v/>
      </c>
      <c r="Y694" s="52" t="str">
        <f t="shared" si="178"/>
        <v/>
      </c>
      <c r="AA694" s="52" t="str">
        <f t="shared" si="176"/>
        <v/>
      </c>
    </row>
    <row r="695" spans="2:27">
      <c r="B695" s="1532" t="str">
        <f t="shared" si="183"/>
        <v>Physical Surge</v>
      </c>
      <c r="C695" s="1795"/>
      <c r="D695" s="920"/>
      <c r="E695" s="61" t="s">
        <v>4673</v>
      </c>
      <c r="F695" s="61"/>
      <c r="G695" s="61"/>
      <c r="H695" s="61"/>
      <c r="I695" s="61"/>
      <c r="J695" s="1687" t="s">
        <v>5865</v>
      </c>
      <c r="K695" s="63" t="str">
        <f t="shared" ca="1" si="179"/>
        <v>No</v>
      </c>
      <c r="L695" s="76"/>
      <c r="M695" s="63">
        <f t="shared" si="187"/>
        <v>0</v>
      </c>
      <c r="N695" s="63" t="s">
        <v>4678</v>
      </c>
      <c r="O695" s="64"/>
      <c r="P695" s="660" t="str">
        <f t="shared" si="173"/>
        <v/>
      </c>
      <c r="Q695" s="52" t="str">
        <f t="shared" ca="1" si="172"/>
        <v>No</v>
      </c>
      <c r="R695" s="1574" t="str">
        <f t="shared" si="184"/>
        <v/>
      </c>
      <c r="S695" s="52" t="str">
        <f t="shared" si="180"/>
        <v/>
      </c>
      <c r="T695" s="52" t="str">
        <f t="shared" si="181"/>
        <v/>
      </c>
      <c r="U695" s="52" t="str">
        <f t="shared" si="177"/>
        <v/>
      </c>
      <c r="V695" s="52" t="str">
        <f t="shared" si="182"/>
        <v/>
      </c>
      <c r="W695" s="1578"/>
      <c r="X695" s="52" t="str">
        <f t="shared" si="174"/>
        <v/>
      </c>
      <c r="Y695" s="52" t="str">
        <f t="shared" si="178"/>
        <v/>
      </c>
      <c r="AA695" s="52" t="str">
        <f t="shared" si="176"/>
        <v/>
      </c>
    </row>
    <row r="696" spans="2:27">
      <c r="B696" s="1532" t="str">
        <f t="shared" si="183"/>
        <v>Soft to Solid</v>
      </c>
      <c r="C696" s="1795"/>
      <c r="D696" s="920"/>
      <c r="E696" s="61" t="s">
        <v>4674</v>
      </c>
      <c r="F696" s="61"/>
      <c r="G696" s="61"/>
      <c r="H696" s="61"/>
      <c r="I696" s="61"/>
      <c r="J696" s="1687" t="s">
        <v>5866</v>
      </c>
      <c r="K696" s="63" t="str">
        <f t="shared" ca="1" si="179"/>
        <v>No</v>
      </c>
      <c r="L696" s="76"/>
      <c r="M696" s="63">
        <f t="shared" si="187"/>
        <v>0</v>
      </c>
      <c r="N696" s="63" t="s">
        <v>4678</v>
      </c>
      <c r="O696" s="64"/>
      <c r="P696" s="660" t="str">
        <f t="shared" si="173"/>
        <v/>
      </c>
      <c r="Q696" s="52" t="str">
        <f t="shared" ca="1" si="172"/>
        <v>No</v>
      </c>
      <c r="R696" s="1574" t="str">
        <f t="shared" si="184"/>
        <v/>
      </c>
      <c r="S696" s="52" t="str">
        <f t="shared" si="180"/>
        <v/>
      </c>
      <c r="T696" s="52" t="str">
        <f t="shared" si="181"/>
        <v/>
      </c>
      <c r="U696" s="52" t="str">
        <f t="shared" si="177"/>
        <v/>
      </c>
      <c r="V696" s="52" t="str">
        <f t="shared" si="182"/>
        <v/>
      </c>
      <c r="W696" s="1578"/>
      <c r="X696" s="52" t="str">
        <f t="shared" si="174"/>
        <v/>
      </c>
      <c r="Y696" s="52" t="str">
        <f t="shared" si="178"/>
        <v/>
      </c>
      <c r="AA696" s="52" t="str">
        <f t="shared" si="176"/>
        <v/>
      </c>
    </row>
    <row r="697" spans="2:27">
      <c r="B697" s="1532" t="str">
        <f t="shared" si="183"/>
        <v>Wan-Shen Defense</v>
      </c>
      <c r="C697" s="1795"/>
      <c r="D697" s="920"/>
      <c r="E697" s="61" t="s">
        <v>4675</v>
      </c>
      <c r="F697" s="61"/>
      <c r="G697" s="61"/>
      <c r="H697" s="61"/>
      <c r="I697" s="61"/>
      <c r="J697" s="1687" t="s">
        <v>5867</v>
      </c>
      <c r="K697" s="63" t="str">
        <f t="shared" ca="1" si="179"/>
        <v>No</v>
      </c>
      <c r="L697" s="76"/>
      <c r="M697" s="63">
        <f t="shared" si="187"/>
        <v>0</v>
      </c>
      <c r="N697" s="63" t="s">
        <v>4678</v>
      </c>
      <c r="O697" s="64"/>
      <c r="P697" s="660" t="str">
        <f t="shared" si="173"/>
        <v/>
      </c>
      <c r="Q697" s="52" t="str">
        <f t="shared" ca="1" si="172"/>
        <v>No</v>
      </c>
      <c r="R697" s="1574" t="str">
        <f t="shared" si="184"/>
        <v/>
      </c>
      <c r="S697" s="52" t="str">
        <f t="shared" si="180"/>
        <v/>
      </c>
      <c r="T697" s="52" t="str">
        <f t="shared" si="181"/>
        <v/>
      </c>
      <c r="U697" s="52" t="str">
        <f t="shared" si="177"/>
        <v/>
      </c>
      <c r="V697" s="52" t="str">
        <f t="shared" si="182"/>
        <v/>
      </c>
      <c r="W697" s="1578"/>
      <c r="X697" s="52" t="str">
        <f t="shared" si="174"/>
        <v/>
      </c>
      <c r="Y697" s="52" t="str">
        <f t="shared" si="178"/>
        <v/>
      </c>
      <c r="AA697" s="52" t="str">
        <f t="shared" si="176"/>
        <v/>
      </c>
    </row>
    <row r="698" spans="2:27">
      <c r="B698" s="1532" t="str">
        <f t="shared" si="183"/>
        <v>Wan-Shen Kata</v>
      </c>
      <c r="C698" s="1795"/>
      <c r="D698" s="920"/>
      <c r="E698" s="61" t="s">
        <v>4676</v>
      </c>
      <c r="F698" s="61"/>
      <c r="G698" s="61"/>
      <c r="H698" s="61"/>
      <c r="I698" s="61"/>
      <c r="J698" s="1687" t="s">
        <v>5868</v>
      </c>
      <c r="K698" s="63" t="str">
        <f t="shared" ca="1" si="179"/>
        <v>No</v>
      </c>
      <c r="L698" s="76"/>
      <c r="M698" s="63">
        <f t="shared" si="187"/>
        <v>0</v>
      </c>
      <c r="N698" s="63" t="s">
        <v>4678</v>
      </c>
      <c r="O698" s="64"/>
      <c r="P698" s="660" t="str">
        <f t="shared" si="173"/>
        <v/>
      </c>
      <c r="Q698" s="52" t="str">
        <f t="shared" ca="1" si="172"/>
        <v>No</v>
      </c>
      <c r="R698" s="1574" t="str">
        <f t="shared" si="184"/>
        <v/>
      </c>
      <c r="S698" s="52" t="str">
        <f t="shared" si="180"/>
        <v/>
      </c>
      <c r="T698" s="52" t="str">
        <f t="shared" si="181"/>
        <v/>
      </c>
      <c r="U698" s="52" t="str">
        <f t="shared" si="177"/>
        <v/>
      </c>
      <c r="V698" s="52" t="str">
        <f t="shared" si="182"/>
        <v/>
      </c>
      <c r="W698" s="1578"/>
      <c r="X698" s="52" t="str">
        <f t="shared" si="174"/>
        <v/>
      </c>
      <c r="Y698" s="52" t="str">
        <f t="shared" si="178"/>
        <v/>
      </c>
      <c r="AA698" s="52" t="str">
        <f t="shared" si="176"/>
        <v/>
      </c>
    </row>
    <row r="699" spans="2:27">
      <c r="B699" s="1532" t="str">
        <f t="shared" si="183"/>
        <v>Wan-Shen Mastery</v>
      </c>
      <c r="C699" s="1795"/>
      <c r="D699" s="920"/>
      <c r="E699" s="61"/>
      <c r="F699" s="61" t="s">
        <v>4677</v>
      </c>
      <c r="G699" s="61"/>
      <c r="H699" s="61"/>
      <c r="I699" s="61"/>
      <c r="J699" s="1687" t="s">
        <v>5869</v>
      </c>
      <c r="K699" s="63" t="str">
        <f ca="1">IF(AND(Q699="Yes",L698&lt;&gt;""),"Yes","No")</f>
        <v>No</v>
      </c>
      <c r="L699" s="76"/>
      <c r="M699" s="63">
        <f t="shared" si="187"/>
        <v>0</v>
      </c>
      <c r="N699" s="63" t="s">
        <v>4678</v>
      </c>
      <c r="O699" s="64"/>
      <c r="P699" s="660" t="str">
        <f t="shared" si="173"/>
        <v/>
      </c>
      <c r="Q699" s="52" t="str">
        <f t="shared" ca="1" si="172"/>
        <v>No</v>
      </c>
      <c r="R699" s="1574" t="str">
        <f t="shared" si="184"/>
        <v/>
      </c>
      <c r="S699" s="52" t="str">
        <f t="shared" si="180"/>
        <v/>
      </c>
      <c r="T699" s="52" t="str">
        <f t="shared" si="181"/>
        <v/>
      </c>
      <c r="U699" s="52" t="str">
        <f t="shared" si="177"/>
        <v/>
      </c>
      <c r="V699" s="52" t="str">
        <f t="shared" si="182"/>
        <v/>
      </c>
      <c r="W699" s="1578"/>
      <c r="X699" s="52" t="str">
        <f t="shared" si="174"/>
        <v/>
      </c>
      <c r="Y699" s="52" t="str">
        <f t="shared" si="178"/>
        <v/>
      </c>
      <c r="AA699" s="52" t="str">
        <f t="shared" si="176"/>
        <v/>
      </c>
    </row>
    <row r="700" spans="2:27">
      <c r="B700" s="1532" t="str">
        <f t="shared" si="183"/>
        <v>Deception Awareness</v>
      </c>
      <c r="C700" s="1795"/>
      <c r="D700" s="920" t="s">
        <v>3050</v>
      </c>
      <c r="E700" s="61" t="s">
        <v>3051</v>
      </c>
      <c r="F700" s="61"/>
      <c r="G700" s="61"/>
      <c r="H700" s="61"/>
      <c r="I700" s="61"/>
      <c r="J700" s="1687" t="s">
        <v>5096</v>
      </c>
      <c r="K700" s="63" t="str">
        <f t="shared" ca="1" si="179"/>
        <v>No</v>
      </c>
      <c r="L700" s="76"/>
      <c r="M700" s="63">
        <f t="shared" si="171"/>
        <v>0</v>
      </c>
      <c r="N700" s="63" t="s">
        <v>3052</v>
      </c>
      <c r="O700" s="64"/>
      <c r="P700" s="660" t="str">
        <f t="shared" si="173"/>
        <v/>
      </c>
      <c r="Q700" s="52" t="str">
        <f t="shared" ca="1" si="172"/>
        <v>No</v>
      </c>
      <c r="R700" s="1574" t="str">
        <f t="shared" si="184"/>
        <v/>
      </c>
      <c r="S700" s="52" t="str">
        <f t="shared" si="180"/>
        <v/>
      </c>
      <c r="T700" s="52" t="str">
        <f t="shared" si="181"/>
        <v/>
      </c>
      <c r="U700" s="52" t="str">
        <f t="shared" si="177"/>
        <v/>
      </c>
      <c r="V700" s="52" t="str">
        <f t="shared" si="182"/>
        <v/>
      </c>
      <c r="W700" s="1578"/>
      <c r="X700" s="52" t="str">
        <f t="shared" si="174"/>
        <v/>
      </c>
      <c r="Y700" s="52" t="str">
        <f t="shared" si="178"/>
        <v/>
      </c>
      <c r="AA700" s="52" t="str">
        <f t="shared" si="176"/>
        <v/>
      </c>
    </row>
    <row r="701" spans="2:27">
      <c r="B701" s="1532" t="str">
        <f t="shared" si="183"/>
        <v>Greater Weapon Focus (fira)</v>
      </c>
      <c r="C701" s="1795"/>
      <c r="D701" s="920"/>
      <c r="E701" s="61" t="s">
        <v>3053</v>
      </c>
      <c r="F701" s="61"/>
      <c r="G701" s="61"/>
      <c r="H701" s="61"/>
      <c r="I701" s="61"/>
      <c r="J701" s="1687" t="s">
        <v>5097</v>
      </c>
      <c r="K701" s="63" t="str">
        <f t="shared" ca="1" si="179"/>
        <v>No</v>
      </c>
      <c r="L701" s="76"/>
      <c r="M701" s="63">
        <f t="shared" si="171"/>
        <v>0</v>
      </c>
      <c r="N701" s="63" t="s">
        <v>3052</v>
      </c>
      <c r="O701" s="64"/>
      <c r="P701" s="660" t="str">
        <f t="shared" si="173"/>
        <v/>
      </c>
      <c r="Q701" s="52" t="str">
        <f t="shared" ca="1" si="172"/>
        <v>No</v>
      </c>
      <c r="R701" s="1574" t="str">
        <f t="shared" si="184"/>
        <v/>
      </c>
      <c r="S701" s="52" t="str">
        <f t="shared" si="180"/>
        <v/>
      </c>
      <c r="T701" s="52" t="str">
        <f t="shared" si="181"/>
        <v/>
      </c>
      <c r="U701" s="52" t="str">
        <f t="shared" si="177"/>
        <v/>
      </c>
      <c r="V701" s="52" t="str">
        <f t="shared" si="182"/>
        <v/>
      </c>
      <c r="W701" s="1578"/>
      <c r="X701" s="52" t="str">
        <f t="shared" si="174"/>
        <v/>
      </c>
      <c r="Y701" s="52" t="str">
        <f t="shared" si="178"/>
        <v/>
      </c>
      <c r="AA701" s="52" t="str">
        <f t="shared" si="176"/>
        <v/>
      </c>
    </row>
    <row r="702" spans="2:27" ht="26">
      <c r="B702" s="1532" t="str">
        <f t="shared" si="183"/>
        <v>Progenitor's Call</v>
      </c>
      <c r="C702" s="1795"/>
      <c r="D702" s="920"/>
      <c r="E702" s="61" t="s">
        <v>3054</v>
      </c>
      <c r="F702" s="61"/>
      <c r="G702" s="61"/>
      <c r="H702" s="61"/>
      <c r="I702" s="61"/>
      <c r="J702" s="1687" t="s">
        <v>5098</v>
      </c>
      <c r="K702" s="63" t="str">
        <f t="shared" ca="1" si="179"/>
        <v>No</v>
      </c>
      <c r="L702" s="76"/>
      <c r="M702" s="63">
        <f t="shared" si="171"/>
        <v>0</v>
      </c>
      <c r="N702" s="63" t="s">
        <v>3052</v>
      </c>
      <c r="O702" s="64"/>
      <c r="P702" s="660" t="str">
        <f t="shared" si="173"/>
        <v/>
      </c>
      <c r="Q702" s="52" t="str">
        <f t="shared" ca="1" si="172"/>
        <v>No</v>
      </c>
      <c r="R702" s="1574" t="str">
        <f t="shared" si="184"/>
        <v/>
      </c>
      <c r="S702" s="52" t="str">
        <f t="shared" si="180"/>
        <v/>
      </c>
      <c r="T702" s="52" t="str">
        <f t="shared" si="181"/>
        <v/>
      </c>
      <c r="U702" s="52" t="str">
        <f t="shared" si="177"/>
        <v/>
      </c>
      <c r="V702" s="52" t="str">
        <f t="shared" si="182"/>
        <v/>
      </c>
      <c r="W702" s="1578"/>
      <c r="X702" s="52" t="str">
        <f t="shared" si="174"/>
        <v/>
      </c>
      <c r="Y702" s="52" t="str">
        <f t="shared" si="178"/>
        <v/>
      </c>
      <c r="AA702" s="52" t="str">
        <f t="shared" si="176"/>
        <v/>
      </c>
    </row>
    <row r="703" spans="2:27">
      <c r="B703" s="1532" t="str">
        <f t="shared" si="183"/>
        <v>Waveform</v>
      </c>
      <c r="C703" s="1795"/>
      <c r="D703" s="920"/>
      <c r="E703" s="61" t="s">
        <v>3055</v>
      </c>
      <c r="F703" s="61"/>
      <c r="G703" s="61"/>
      <c r="H703" s="61"/>
      <c r="I703" s="61"/>
      <c r="J703" s="1687" t="s">
        <v>5099</v>
      </c>
      <c r="K703" s="63" t="str">
        <f t="shared" ca="1" si="179"/>
        <v>No</v>
      </c>
      <c r="L703" s="76"/>
      <c r="M703" s="63">
        <f t="shared" si="171"/>
        <v>0</v>
      </c>
      <c r="N703" s="63" t="s">
        <v>3052</v>
      </c>
      <c r="O703" s="64"/>
      <c r="P703" s="660" t="str">
        <f t="shared" si="173"/>
        <v/>
      </c>
      <c r="Q703" s="52" t="str">
        <f t="shared" ca="1" si="172"/>
        <v>No</v>
      </c>
      <c r="R703" s="1574" t="str">
        <f t="shared" si="184"/>
        <v/>
      </c>
      <c r="S703" s="52" t="str">
        <f t="shared" si="180"/>
        <v/>
      </c>
      <c r="T703" s="52" t="str">
        <f t="shared" si="181"/>
        <v/>
      </c>
      <c r="U703" s="52" t="str">
        <f t="shared" si="177"/>
        <v/>
      </c>
      <c r="V703" s="52" t="str">
        <f t="shared" si="182"/>
        <v/>
      </c>
      <c r="W703" s="1578"/>
      <c r="X703" s="52" t="str">
        <f t="shared" si="174"/>
        <v/>
      </c>
      <c r="Y703" s="52" t="str">
        <f t="shared" si="178"/>
        <v/>
      </c>
      <c r="AA703" s="52" t="str">
        <f t="shared" si="176"/>
        <v/>
      </c>
    </row>
    <row r="704" spans="2:27">
      <c r="B704" s="1532" t="str">
        <f t="shared" si="183"/>
        <v>Seyugi Cyclone</v>
      </c>
      <c r="C704" s="1795"/>
      <c r="D704" s="920" t="s">
        <v>4679</v>
      </c>
      <c r="E704" s="61" t="s">
        <v>4680</v>
      </c>
      <c r="F704" s="61"/>
      <c r="G704" s="61"/>
      <c r="H704" s="61"/>
      <c r="I704" s="61"/>
      <c r="J704" s="1687" t="s">
        <v>5870</v>
      </c>
      <c r="K704" s="63" t="str">
        <f t="shared" ca="1" si="179"/>
        <v>No</v>
      </c>
      <c r="L704" s="76"/>
      <c r="M704" s="63">
        <f>IF(L704&lt;&gt;"",1,0)</f>
        <v>0</v>
      </c>
      <c r="N704" s="63" t="s">
        <v>4685</v>
      </c>
      <c r="O704" s="64"/>
      <c r="P704" s="660" t="str">
        <f t="shared" ref="P704:P767" si="188">IF(ShowTalentTrees,IF(D704&lt;&gt;"",D704,P703),"")</f>
        <v/>
      </c>
      <c r="Q704" s="52" t="str">
        <f t="shared" ca="1" si="172"/>
        <v>No</v>
      </c>
      <c r="R704" s="1574" t="str">
        <f t="shared" si="184"/>
        <v/>
      </c>
      <c r="S704" s="52" t="str">
        <f t="shared" si="180"/>
        <v/>
      </c>
      <c r="T704" s="52" t="str">
        <f t="shared" si="181"/>
        <v/>
      </c>
      <c r="U704" s="52" t="str">
        <f t="shared" si="177"/>
        <v/>
      </c>
      <c r="V704" s="52" t="str">
        <f t="shared" si="182"/>
        <v/>
      </c>
      <c r="W704" s="1578"/>
      <c r="X704" s="52" t="str">
        <f t="shared" ref="X704:X767" si="189">IF(U704&lt;&gt;"",IF(W704="Special Actions",U704&amp;IF(X705&lt;&gt;"",", ",""),"")&amp;X705,X705)</f>
        <v/>
      </c>
      <c r="Y704" s="52" t="str">
        <f t="shared" si="178"/>
        <v/>
      </c>
      <c r="AA704" s="52" t="str">
        <f t="shared" si="176"/>
        <v/>
      </c>
    </row>
    <row r="705" spans="2:27">
      <c r="B705" s="1532" t="str">
        <f t="shared" si="183"/>
        <v>Mobile Whirlwind</v>
      </c>
      <c r="C705" s="1795"/>
      <c r="D705" s="920"/>
      <c r="E705" s="61"/>
      <c r="F705" s="61" t="s">
        <v>4681</v>
      </c>
      <c r="G705" s="61"/>
      <c r="H705" s="61"/>
      <c r="I705" s="61"/>
      <c r="J705" s="1687" t="s">
        <v>5871</v>
      </c>
      <c r="K705" s="63" t="str">
        <f ca="1">IF(AND(Q705="Yes",L704&lt;&gt;""),"Yes","No")</f>
        <v>No</v>
      </c>
      <c r="L705" s="76"/>
      <c r="M705" s="63">
        <f>IF(L705&lt;&gt;"",1,0)</f>
        <v>0</v>
      </c>
      <c r="N705" s="63" t="s">
        <v>4685</v>
      </c>
      <c r="O705" s="64"/>
      <c r="P705" s="660" t="str">
        <f t="shared" si="188"/>
        <v/>
      </c>
      <c r="Q705" s="52" t="str">
        <f t="shared" ca="1" si="172"/>
        <v>No</v>
      </c>
      <c r="R705" s="1574" t="str">
        <f t="shared" si="184"/>
        <v/>
      </c>
      <c r="S705" s="52" t="str">
        <f t="shared" si="180"/>
        <v/>
      </c>
      <c r="T705" s="52" t="str">
        <f t="shared" si="181"/>
        <v/>
      </c>
      <c r="U705" s="52" t="str">
        <f t="shared" si="177"/>
        <v/>
      </c>
      <c r="V705" s="52" t="str">
        <f t="shared" si="182"/>
        <v/>
      </c>
      <c r="W705" s="1578"/>
      <c r="X705" s="52" t="str">
        <f t="shared" si="189"/>
        <v/>
      </c>
      <c r="Y705" s="52" t="str">
        <f t="shared" si="178"/>
        <v/>
      </c>
      <c r="AA705" s="52" t="str">
        <f t="shared" si="176"/>
        <v/>
      </c>
    </row>
    <row r="706" spans="2:27">
      <c r="B706" s="1532" t="str">
        <f t="shared" ref="B706:B737" si="190">IF(E706&lt;&gt;"",E706,IF(F706&lt;&gt;"",F706,IF(G706&lt;&gt;"",G706,IF(H706&lt;&gt;"",H706))))</f>
        <v>Repelling Whirlwind</v>
      </c>
      <c r="C706" s="1795"/>
      <c r="D706" s="920"/>
      <c r="E706" s="61"/>
      <c r="F706" s="61" t="s">
        <v>4682</v>
      </c>
      <c r="G706" s="61"/>
      <c r="H706" s="61"/>
      <c r="I706" s="61"/>
      <c r="J706" s="1687" t="s">
        <v>5872</v>
      </c>
      <c r="K706" s="63" t="str">
        <f ca="1">IF(AND(Q706="Yes",L704&lt;&gt;""),"Yes","No")</f>
        <v>No</v>
      </c>
      <c r="L706" s="76"/>
      <c r="M706" s="63">
        <f>IF(L706&lt;&gt;"",1,0)</f>
        <v>0</v>
      </c>
      <c r="N706" s="63" t="s">
        <v>4685</v>
      </c>
      <c r="O706" s="64"/>
      <c r="P706" s="660" t="str">
        <f t="shared" si="188"/>
        <v/>
      </c>
      <c r="Q706" s="52" t="str">
        <f t="shared" ca="1" si="172"/>
        <v>No</v>
      </c>
      <c r="R706" s="1574" t="str">
        <f t="shared" si="184"/>
        <v/>
      </c>
      <c r="S706" s="52" t="str">
        <f t="shared" si="180"/>
        <v/>
      </c>
      <c r="T706" s="52" t="str">
        <f t="shared" si="181"/>
        <v/>
      </c>
      <c r="U706" s="52" t="str">
        <f t="shared" si="177"/>
        <v/>
      </c>
      <c r="V706" s="52" t="str">
        <f t="shared" si="182"/>
        <v/>
      </c>
      <c r="W706" s="1578"/>
      <c r="X706" s="52" t="str">
        <f t="shared" si="189"/>
        <v/>
      </c>
      <c r="Y706" s="52" t="str">
        <f t="shared" si="178"/>
        <v/>
      </c>
      <c r="AA706" s="52" t="str">
        <f t="shared" si="176"/>
        <v/>
      </c>
    </row>
    <row r="707" spans="2:27">
      <c r="B707" s="1532" t="str">
        <f t="shared" si="190"/>
        <v>Sudden Storm</v>
      </c>
      <c r="C707" s="1795"/>
      <c r="D707" s="920"/>
      <c r="E707" s="61"/>
      <c r="F707" s="61" t="s">
        <v>4683</v>
      </c>
      <c r="G707" s="61"/>
      <c r="H707" s="61"/>
      <c r="I707" s="61"/>
      <c r="J707" s="1687" t="s">
        <v>5873</v>
      </c>
      <c r="K707" s="63" t="str">
        <f ca="1">IF(AND(Q707="Yes",L704&lt;&gt;""),"Yes","No")</f>
        <v>No</v>
      </c>
      <c r="L707" s="76"/>
      <c r="M707" s="63">
        <f>IF(L707&lt;&gt;"",1,0)</f>
        <v>0</v>
      </c>
      <c r="N707" s="63" t="s">
        <v>4685</v>
      </c>
      <c r="O707" s="64"/>
      <c r="P707" s="660" t="str">
        <f t="shared" si="188"/>
        <v/>
      </c>
      <c r="Q707" s="52" t="str">
        <f t="shared" ca="1" si="172"/>
        <v>No</v>
      </c>
      <c r="R707" s="1574" t="str">
        <f t="shared" si="184"/>
        <v/>
      </c>
      <c r="S707" s="52" t="str">
        <f t="shared" si="180"/>
        <v/>
      </c>
      <c r="T707" s="52" t="str">
        <f t="shared" si="181"/>
        <v/>
      </c>
      <c r="U707" s="52" t="str">
        <f t="shared" si="177"/>
        <v/>
      </c>
      <c r="V707" s="52" t="str">
        <f t="shared" si="182"/>
        <v/>
      </c>
      <c r="W707" s="1578"/>
      <c r="X707" s="52" t="str">
        <f t="shared" si="189"/>
        <v/>
      </c>
      <c r="Y707" s="52" t="str">
        <f t="shared" si="178"/>
        <v/>
      </c>
      <c r="AA707" s="52" t="str">
        <f t="shared" si="176"/>
        <v/>
      </c>
    </row>
    <row r="708" spans="2:27">
      <c r="B708" s="1532" t="str">
        <f t="shared" si="190"/>
        <v>Tempest Tossed</v>
      </c>
      <c r="C708" s="1795"/>
      <c r="D708" s="920"/>
      <c r="E708" s="61"/>
      <c r="F708" s="61" t="s">
        <v>4684</v>
      </c>
      <c r="G708" s="61"/>
      <c r="H708" s="61"/>
      <c r="I708" s="61"/>
      <c r="J708" s="1687" t="s">
        <v>5874</v>
      </c>
      <c r="K708" s="63" t="str">
        <f ca="1">IF(AND(Q708="Yes",L704&lt;&gt;""),"Yes","No")</f>
        <v>No</v>
      </c>
      <c r="L708" s="76"/>
      <c r="M708" s="63">
        <f t="shared" ref="M708:M713" si="191">IF(L708&lt;&gt;"",1,0)</f>
        <v>0</v>
      </c>
      <c r="N708" s="63" t="s">
        <v>4685</v>
      </c>
      <c r="O708" s="64"/>
      <c r="P708" s="660" t="str">
        <f t="shared" si="188"/>
        <v/>
      </c>
      <c r="Q708" s="52" t="str">
        <f t="shared" ca="1" si="172"/>
        <v>No</v>
      </c>
      <c r="R708" s="1574" t="str">
        <f t="shared" si="184"/>
        <v/>
      </c>
      <c r="S708" s="52" t="str">
        <f t="shared" si="180"/>
        <v/>
      </c>
      <c r="T708" s="52" t="str">
        <f t="shared" si="181"/>
        <v/>
      </c>
      <c r="U708" s="52" t="str">
        <f t="shared" si="177"/>
        <v/>
      </c>
      <c r="V708" s="52" t="str">
        <f t="shared" si="182"/>
        <v/>
      </c>
      <c r="W708" s="1578"/>
      <c r="X708" s="52" t="str">
        <f t="shared" si="189"/>
        <v/>
      </c>
      <c r="Y708" s="52" t="str">
        <f t="shared" si="178"/>
        <v/>
      </c>
      <c r="AA708" s="52" t="str">
        <f t="shared" si="176"/>
        <v/>
      </c>
    </row>
    <row r="709" spans="2:27">
      <c r="B709" s="1532" t="str">
        <f t="shared" si="190"/>
        <v>Combustion</v>
      </c>
      <c r="C709" s="1795"/>
      <c r="D709" s="920" t="s">
        <v>4686</v>
      </c>
      <c r="E709" s="61" t="s">
        <v>3831</v>
      </c>
      <c r="F709" s="61"/>
      <c r="G709" s="61"/>
      <c r="H709" s="61"/>
      <c r="I709" s="61"/>
      <c r="J709" s="1687" t="s">
        <v>5875</v>
      </c>
      <c r="K709" s="63" t="str">
        <f t="shared" ca="1" si="179"/>
        <v>No</v>
      </c>
      <c r="L709" s="76"/>
      <c r="M709" s="63">
        <f t="shared" si="191"/>
        <v>0</v>
      </c>
      <c r="N709" s="63" t="s">
        <v>4691</v>
      </c>
      <c r="O709" s="64"/>
      <c r="P709" s="660" t="str">
        <f t="shared" si="188"/>
        <v/>
      </c>
      <c r="Q709" s="52" t="str">
        <f t="shared" ca="1" si="172"/>
        <v>No</v>
      </c>
      <c r="R709" s="1574" t="str">
        <f t="shared" si="184"/>
        <v/>
      </c>
      <c r="S709" s="52" t="str">
        <f t="shared" si="180"/>
        <v/>
      </c>
      <c r="T709" s="52" t="str">
        <f t="shared" si="181"/>
        <v/>
      </c>
      <c r="U709" s="52" t="str">
        <f t="shared" si="177"/>
        <v/>
      </c>
      <c r="V709" s="52" t="str">
        <f t="shared" si="182"/>
        <v/>
      </c>
      <c r="W709" s="1578"/>
      <c r="X709" s="52" t="str">
        <f t="shared" si="189"/>
        <v/>
      </c>
      <c r="Y709" s="52" t="str">
        <f t="shared" si="178"/>
        <v/>
      </c>
      <c r="AA709" s="52" t="str">
        <f t="shared" si="176"/>
        <v/>
      </c>
    </row>
    <row r="710" spans="2:27">
      <c r="B710" s="1532" t="str">
        <f t="shared" si="190"/>
        <v>Earth Buckle</v>
      </c>
      <c r="C710" s="1795"/>
      <c r="D710" s="920"/>
      <c r="E710" s="61" t="s">
        <v>4687</v>
      </c>
      <c r="F710" s="61"/>
      <c r="G710" s="61"/>
      <c r="H710" s="61"/>
      <c r="I710" s="61"/>
      <c r="J710" s="1687" t="s">
        <v>5876</v>
      </c>
      <c r="K710" s="63" t="str">
        <f t="shared" ca="1" si="179"/>
        <v>No</v>
      </c>
      <c r="L710" s="76"/>
      <c r="M710" s="63">
        <f t="shared" si="191"/>
        <v>0</v>
      </c>
      <c r="N710" s="63" t="s">
        <v>4691</v>
      </c>
      <c r="O710" s="64"/>
      <c r="P710" s="660" t="str">
        <f t="shared" si="188"/>
        <v/>
      </c>
      <c r="Q710" s="52" t="str">
        <f t="shared" ca="1" si="172"/>
        <v>No</v>
      </c>
      <c r="R710" s="1574" t="str">
        <f t="shared" si="184"/>
        <v/>
      </c>
      <c r="S710" s="52" t="str">
        <f t="shared" si="180"/>
        <v/>
      </c>
      <c r="T710" s="52" t="str">
        <f t="shared" si="181"/>
        <v/>
      </c>
      <c r="U710" s="52" t="str">
        <f t="shared" si="177"/>
        <v/>
      </c>
      <c r="V710" s="52" t="str">
        <f t="shared" si="182"/>
        <v/>
      </c>
      <c r="W710" s="1578"/>
      <c r="X710" s="52" t="str">
        <f t="shared" si="189"/>
        <v/>
      </c>
      <c r="Y710" s="52" t="str">
        <f t="shared" si="178"/>
        <v/>
      </c>
      <c r="AA710" s="52" t="str">
        <f t="shared" si="176"/>
        <v/>
      </c>
    </row>
    <row r="711" spans="2:27">
      <c r="B711" s="1532" t="str">
        <f t="shared" si="190"/>
        <v>Fluidity</v>
      </c>
      <c r="C711" s="1795"/>
      <c r="D711" s="920"/>
      <c r="E711" s="61" t="s">
        <v>4688</v>
      </c>
      <c r="F711" s="61"/>
      <c r="G711" s="61"/>
      <c r="H711" s="61"/>
      <c r="I711" s="61"/>
      <c r="J711" s="1687" t="s">
        <v>5877</v>
      </c>
      <c r="K711" s="63" t="str">
        <f t="shared" ca="1" si="179"/>
        <v>No</v>
      </c>
      <c r="L711" s="76"/>
      <c r="M711" s="63">
        <f t="shared" si="191"/>
        <v>0</v>
      </c>
      <c r="N711" s="63" t="s">
        <v>4691</v>
      </c>
      <c r="O711" s="64"/>
      <c r="P711" s="660" t="str">
        <f t="shared" si="188"/>
        <v/>
      </c>
      <c r="Q711" s="52" t="str">
        <f t="shared" ca="1" si="172"/>
        <v>No</v>
      </c>
      <c r="R711" s="1574" t="str">
        <f t="shared" si="184"/>
        <v/>
      </c>
      <c r="S711" s="52" t="str">
        <f t="shared" si="180"/>
        <v/>
      </c>
      <c r="T711" s="52" t="str">
        <f t="shared" si="181"/>
        <v/>
      </c>
      <c r="U711" s="52" t="str">
        <f t="shared" si="177"/>
        <v/>
      </c>
      <c r="V711" s="52" t="str">
        <f t="shared" si="182"/>
        <v/>
      </c>
      <c r="W711" s="1578"/>
      <c r="X711" s="52" t="str">
        <f t="shared" si="189"/>
        <v/>
      </c>
      <c r="Y711" s="52" t="str">
        <f t="shared" si="178"/>
        <v/>
      </c>
      <c r="AA711" s="52" t="str">
        <f t="shared" si="176"/>
        <v/>
      </c>
    </row>
    <row r="712" spans="2:27">
      <c r="B712" s="1532" t="str">
        <f t="shared" si="190"/>
        <v>Thunderclap</v>
      </c>
      <c r="C712" s="1795"/>
      <c r="D712" s="920"/>
      <c r="E712" s="61" t="s">
        <v>4689</v>
      </c>
      <c r="F712" s="61"/>
      <c r="G712" s="61"/>
      <c r="H712" s="61"/>
      <c r="I712" s="61"/>
      <c r="J712" s="1687" t="s">
        <v>5878</v>
      </c>
      <c r="K712" s="63" t="str">
        <f t="shared" ca="1" si="179"/>
        <v>No</v>
      </c>
      <c r="L712" s="76"/>
      <c r="M712" s="63">
        <f t="shared" si="191"/>
        <v>0</v>
      </c>
      <c r="N712" s="63" t="s">
        <v>4691</v>
      </c>
      <c r="O712" s="64"/>
      <c r="P712" s="660" t="str">
        <f t="shared" si="188"/>
        <v/>
      </c>
      <c r="Q712" s="52" t="str">
        <f t="shared" ca="1" si="172"/>
        <v>No</v>
      </c>
      <c r="R712" s="1574" t="str">
        <f t="shared" si="184"/>
        <v/>
      </c>
      <c r="S712" s="52" t="str">
        <f t="shared" si="180"/>
        <v/>
      </c>
      <c r="T712" s="52" t="str">
        <f t="shared" si="181"/>
        <v/>
      </c>
      <c r="U712" s="52" t="str">
        <f t="shared" si="177"/>
        <v/>
      </c>
      <c r="V712" s="52" t="str">
        <f t="shared" si="182"/>
        <v/>
      </c>
      <c r="W712" s="1578"/>
      <c r="X712" s="52" t="str">
        <f t="shared" si="189"/>
        <v/>
      </c>
      <c r="Y712" s="52" t="str">
        <f t="shared" si="178"/>
        <v/>
      </c>
      <c r="AA712" s="52" t="str">
        <f t="shared" si="176"/>
        <v/>
      </c>
    </row>
    <row r="713" spans="2:27">
      <c r="B713" s="1532" t="str">
        <f t="shared" si="190"/>
        <v>Wind Vortex</v>
      </c>
      <c r="C713" s="1795"/>
      <c r="D713" s="920"/>
      <c r="E713" s="61" t="s">
        <v>4690</v>
      </c>
      <c r="F713" s="61"/>
      <c r="G713" s="61"/>
      <c r="H713" s="61"/>
      <c r="I713" s="61"/>
      <c r="J713" s="1687" t="s">
        <v>5879</v>
      </c>
      <c r="K713" s="63" t="str">
        <f t="shared" ca="1" si="179"/>
        <v>No</v>
      </c>
      <c r="L713" s="76"/>
      <c r="M713" s="63">
        <f t="shared" si="191"/>
        <v>0</v>
      </c>
      <c r="N713" s="63" t="s">
        <v>4691</v>
      </c>
      <c r="O713" s="64"/>
      <c r="P713" s="660" t="str">
        <f t="shared" si="188"/>
        <v/>
      </c>
      <c r="Q713" s="52" t="str">
        <f t="shared" ca="1" si="172"/>
        <v>No</v>
      </c>
      <c r="R713" s="1574" t="str">
        <f t="shared" si="184"/>
        <v/>
      </c>
      <c r="S713" s="52" t="str">
        <f t="shared" si="180"/>
        <v/>
      </c>
      <c r="T713" s="52" t="str">
        <f t="shared" si="181"/>
        <v/>
      </c>
      <c r="U713" s="52" t="str">
        <f t="shared" si="177"/>
        <v/>
      </c>
      <c r="V713" s="52" t="str">
        <f t="shared" si="182"/>
        <v/>
      </c>
      <c r="W713" s="1578"/>
      <c r="X713" s="52" t="str">
        <f t="shared" si="189"/>
        <v/>
      </c>
      <c r="Y713" s="52" t="str">
        <f t="shared" si="178"/>
        <v/>
      </c>
      <c r="AA713" s="52" t="str">
        <f t="shared" si="176"/>
        <v/>
      </c>
    </row>
    <row r="714" spans="2:27">
      <c r="B714" s="1532" t="str">
        <f t="shared" si="190"/>
        <v>Repel Discord</v>
      </c>
      <c r="C714" s="1795"/>
      <c r="D714" s="920" t="s">
        <v>4692</v>
      </c>
      <c r="E714" s="61" t="s">
        <v>4693</v>
      </c>
      <c r="F714" s="61"/>
      <c r="G714" s="61"/>
      <c r="H714" s="61"/>
      <c r="I714" s="61"/>
      <c r="J714" s="1687" t="s">
        <v>5847</v>
      </c>
      <c r="K714" s="63" t="str">
        <f t="shared" ca="1" si="179"/>
        <v>No</v>
      </c>
      <c r="L714" s="76"/>
      <c r="M714" s="63">
        <f>IF(L714&lt;&gt;"",1,0)</f>
        <v>0</v>
      </c>
      <c r="N714" s="63" t="s">
        <v>4697</v>
      </c>
      <c r="O714" s="64"/>
      <c r="P714" s="660" t="str">
        <f t="shared" si="188"/>
        <v/>
      </c>
      <c r="Q714" s="52" t="str">
        <f t="shared" ca="1" si="172"/>
        <v>No</v>
      </c>
      <c r="R714" s="1574" t="str">
        <f t="shared" si="184"/>
        <v/>
      </c>
      <c r="S714" s="52" t="str">
        <f t="shared" si="180"/>
        <v/>
      </c>
      <c r="T714" s="52" t="str">
        <f t="shared" si="181"/>
        <v/>
      </c>
      <c r="U714" s="52" t="str">
        <f t="shared" si="177"/>
        <v/>
      </c>
      <c r="V714" s="52" t="str">
        <f t="shared" si="182"/>
        <v/>
      </c>
      <c r="W714" s="1578"/>
      <c r="X714" s="52" t="str">
        <f t="shared" si="189"/>
        <v/>
      </c>
      <c r="Y714" s="52" t="str">
        <f t="shared" si="178"/>
        <v/>
      </c>
      <c r="AA714" s="52" t="str">
        <f t="shared" si="176"/>
        <v/>
      </c>
    </row>
    <row r="715" spans="2:27">
      <c r="B715" s="1532" t="str">
        <f t="shared" si="190"/>
        <v>Stifle Conflict</v>
      </c>
      <c r="C715" s="1795"/>
      <c r="D715" s="920"/>
      <c r="E715" s="61" t="s">
        <v>4694</v>
      </c>
      <c r="F715" s="61"/>
      <c r="G715" s="61"/>
      <c r="H715" s="61"/>
      <c r="I715" s="61"/>
      <c r="J715" s="1687" t="s">
        <v>5845</v>
      </c>
      <c r="K715" s="63" t="str">
        <f t="shared" ca="1" si="179"/>
        <v>No</v>
      </c>
      <c r="L715" s="76"/>
      <c r="M715" s="63">
        <f>IF(L715&lt;&gt;"",1,0)</f>
        <v>0</v>
      </c>
      <c r="N715" s="63" t="s">
        <v>4697</v>
      </c>
      <c r="O715" s="64"/>
      <c r="P715" s="660" t="str">
        <f t="shared" si="188"/>
        <v/>
      </c>
      <c r="Q715" s="52" t="str">
        <f t="shared" ca="1" si="172"/>
        <v>No</v>
      </c>
      <c r="R715" s="1574" t="str">
        <f t="shared" si="184"/>
        <v/>
      </c>
      <c r="S715" s="52" t="str">
        <f t="shared" si="180"/>
        <v/>
      </c>
      <c r="T715" s="52" t="str">
        <f t="shared" si="181"/>
        <v/>
      </c>
      <c r="U715" s="52" t="str">
        <f t="shared" si="177"/>
        <v/>
      </c>
      <c r="V715" s="52" t="str">
        <f t="shared" si="182"/>
        <v/>
      </c>
      <c r="W715" s="1578"/>
      <c r="X715" s="52" t="str">
        <f t="shared" si="189"/>
        <v/>
      </c>
      <c r="Y715" s="52" t="str">
        <f t="shared" si="178"/>
        <v/>
      </c>
      <c r="AA715" s="52" t="str">
        <f t="shared" si="176"/>
        <v/>
      </c>
    </row>
    <row r="716" spans="2:27" ht="26">
      <c r="B716" s="1532" t="str">
        <f t="shared" si="190"/>
        <v>Tyia Adept</v>
      </c>
      <c r="C716" s="1795"/>
      <c r="D716" s="920"/>
      <c r="E716" s="61" t="s">
        <v>4692</v>
      </c>
      <c r="F716" s="61"/>
      <c r="G716" s="61"/>
      <c r="H716" s="61"/>
      <c r="I716" s="61"/>
      <c r="J716" s="1687" t="s">
        <v>5846</v>
      </c>
      <c r="K716" s="63" t="str">
        <f t="shared" ca="1" si="179"/>
        <v>No</v>
      </c>
      <c r="L716" s="76"/>
      <c r="M716" s="63">
        <f t="shared" ref="M716:M721" si="192">IF(L716&lt;&gt;"",1,0)</f>
        <v>0</v>
      </c>
      <c r="N716" s="63" t="s">
        <v>4697</v>
      </c>
      <c r="O716" s="64"/>
      <c r="P716" s="660" t="str">
        <f t="shared" si="188"/>
        <v/>
      </c>
      <c r="Q716" s="52" t="str">
        <f t="shared" ca="1" si="172"/>
        <v>No</v>
      </c>
      <c r="R716" s="1574" t="str">
        <f t="shared" si="184"/>
        <v/>
      </c>
      <c r="S716" s="52" t="str">
        <f t="shared" si="180"/>
        <v/>
      </c>
      <c r="T716" s="52" t="str">
        <f t="shared" si="181"/>
        <v/>
      </c>
      <c r="U716" s="52" t="str">
        <f t="shared" si="177"/>
        <v/>
      </c>
      <c r="V716" s="52" t="str">
        <f t="shared" si="182"/>
        <v/>
      </c>
      <c r="W716" s="1578"/>
      <c r="X716" s="52" t="str">
        <f t="shared" si="189"/>
        <v/>
      </c>
      <c r="Y716" s="52" t="str">
        <f t="shared" si="178"/>
        <v/>
      </c>
      <c r="AA716" s="52" t="str">
        <f t="shared" ref="AA716:AA733" si="193">IF(U716&lt;&gt;"",IF(Z716="Defenses",U716&amp;IF(AA717&lt;&gt;"",", ",""),"")&amp;AA717,AA717)</f>
        <v/>
      </c>
    </row>
    <row r="717" spans="2:27" ht="26">
      <c r="B717" s="1532" t="str">
        <f t="shared" si="190"/>
        <v>Cycle of Harmony</v>
      </c>
      <c r="C717" s="1795"/>
      <c r="D717" s="920"/>
      <c r="E717" s="61"/>
      <c r="F717" s="61" t="s">
        <v>4695</v>
      </c>
      <c r="G717" s="61"/>
      <c r="H717" s="61"/>
      <c r="I717" s="61"/>
      <c r="J717" s="1687" t="s">
        <v>5848</v>
      </c>
      <c r="K717" s="63" t="str">
        <f ca="1">IF(AND(Q717="Yes",L716&lt;&gt;""),"Yes","No")</f>
        <v>No</v>
      </c>
      <c r="L717" s="76"/>
      <c r="M717" s="63">
        <f t="shared" si="192"/>
        <v>0</v>
      </c>
      <c r="N717" s="63" t="s">
        <v>4697</v>
      </c>
      <c r="O717" s="64"/>
      <c r="P717" s="660" t="str">
        <f t="shared" si="188"/>
        <v/>
      </c>
      <c r="Q717" s="52" t="str">
        <f t="shared" ca="1" si="172"/>
        <v>No</v>
      </c>
      <c r="R717" s="1574" t="str">
        <f t="shared" si="184"/>
        <v/>
      </c>
      <c r="S717" s="52" t="str">
        <f t="shared" si="180"/>
        <v/>
      </c>
      <c r="T717" s="52" t="str">
        <f t="shared" si="181"/>
        <v/>
      </c>
      <c r="U717" s="52" t="str">
        <f t="shared" si="177"/>
        <v/>
      </c>
      <c r="V717" s="52" t="str">
        <f t="shared" si="182"/>
        <v/>
      </c>
      <c r="W717" s="1578"/>
      <c r="X717" s="52" t="str">
        <f t="shared" si="189"/>
        <v/>
      </c>
      <c r="Y717" s="52" t="str">
        <f t="shared" si="178"/>
        <v/>
      </c>
      <c r="AA717" s="52" t="str">
        <f t="shared" si="193"/>
        <v/>
      </c>
    </row>
    <row r="718" spans="2:27">
      <c r="B718" s="1532" t="str">
        <f t="shared" si="190"/>
        <v>Force Stabilize</v>
      </c>
      <c r="C718" s="1795"/>
      <c r="D718" s="920"/>
      <c r="E718" s="61"/>
      <c r="F718" s="61" t="s">
        <v>4696</v>
      </c>
      <c r="G718" s="61"/>
      <c r="H718" s="61"/>
      <c r="I718" s="61"/>
      <c r="J718" s="1687" t="s">
        <v>5849</v>
      </c>
      <c r="K718" s="63" t="str">
        <f ca="1">IF(AND(Q718="Yes",L716&lt;&gt;""),"Yes","No")</f>
        <v>No</v>
      </c>
      <c r="L718" s="76"/>
      <c r="M718" s="63">
        <f t="shared" si="192"/>
        <v>0</v>
      </c>
      <c r="N718" s="63" t="s">
        <v>4697</v>
      </c>
      <c r="O718" s="64"/>
      <c r="P718" s="660" t="str">
        <f t="shared" si="188"/>
        <v/>
      </c>
      <c r="Q718" s="52" t="str">
        <f t="shared" ca="1" si="172"/>
        <v>No</v>
      </c>
      <c r="R718" s="1574" t="str">
        <f t="shared" si="184"/>
        <v/>
      </c>
      <c r="S718" s="52" t="str">
        <f t="shared" si="180"/>
        <v/>
      </c>
      <c r="T718" s="52" t="str">
        <f t="shared" si="181"/>
        <v/>
      </c>
      <c r="U718" s="52" t="str">
        <f t="shared" si="177"/>
        <v/>
      </c>
      <c r="V718" s="52" t="str">
        <f t="shared" si="182"/>
        <v/>
      </c>
      <c r="W718" s="1578"/>
      <c r="X718" s="52" t="str">
        <f t="shared" si="189"/>
        <v/>
      </c>
      <c r="Y718" s="52" t="str">
        <f t="shared" si="178"/>
        <v/>
      </c>
      <c r="AA718" s="52" t="str">
        <f t="shared" si="193"/>
        <v/>
      </c>
    </row>
    <row r="719" spans="2:27">
      <c r="B719" s="1532" t="str">
        <f t="shared" si="190"/>
        <v>Martial Resurgence</v>
      </c>
      <c r="C719" s="1795"/>
      <c r="D719" s="920" t="s">
        <v>4698</v>
      </c>
      <c r="E719" s="61" t="s">
        <v>4699</v>
      </c>
      <c r="F719" s="61"/>
      <c r="G719" s="61"/>
      <c r="H719" s="61"/>
      <c r="I719" s="61"/>
      <c r="J719" s="1687" t="s">
        <v>6611</v>
      </c>
      <c r="K719" s="63" t="str">
        <f t="shared" ca="1" si="179"/>
        <v>No</v>
      </c>
      <c r="L719" s="76"/>
      <c r="M719" s="63">
        <f t="shared" si="192"/>
        <v>0</v>
      </c>
      <c r="N719" s="63" t="s">
        <v>4705</v>
      </c>
      <c r="O719" s="64"/>
      <c r="P719" s="660" t="str">
        <f t="shared" si="188"/>
        <v/>
      </c>
      <c r="Q719" s="52" t="str">
        <f t="shared" ca="1" si="172"/>
        <v>No</v>
      </c>
      <c r="R719" s="1574" t="str">
        <f t="shared" si="184"/>
        <v/>
      </c>
      <c r="S719" s="52" t="str">
        <f t="shared" si="180"/>
        <v/>
      </c>
      <c r="T719" s="52" t="str">
        <f t="shared" si="181"/>
        <v/>
      </c>
      <c r="U719" s="52" t="str">
        <f t="shared" si="177"/>
        <v/>
      </c>
      <c r="V719" s="52" t="str">
        <f t="shared" si="182"/>
        <v/>
      </c>
      <c r="W719" s="1578"/>
      <c r="X719" s="52" t="str">
        <f t="shared" si="189"/>
        <v/>
      </c>
      <c r="Y719" s="52" t="str">
        <f t="shared" si="178"/>
        <v/>
      </c>
      <c r="AA719" s="52" t="str">
        <f t="shared" si="193"/>
        <v/>
      </c>
    </row>
    <row r="720" spans="2:27">
      <c r="B720" s="1532" t="str">
        <f t="shared" si="190"/>
        <v>Rebound Leap</v>
      </c>
      <c r="C720" s="1795"/>
      <c r="D720" s="920"/>
      <c r="E720" s="61" t="s">
        <v>4700</v>
      </c>
      <c r="F720" s="61"/>
      <c r="G720" s="61"/>
      <c r="H720" s="61"/>
      <c r="I720" s="61"/>
      <c r="J720" s="1687" t="s">
        <v>6612</v>
      </c>
      <c r="K720" s="63" t="str">
        <f t="shared" ca="1" si="179"/>
        <v>No</v>
      </c>
      <c r="L720" s="76"/>
      <c r="M720" s="63">
        <f t="shared" si="192"/>
        <v>0</v>
      </c>
      <c r="N720" s="63" t="s">
        <v>4705</v>
      </c>
      <c r="O720" s="64"/>
      <c r="P720" s="660" t="str">
        <f t="shared" si="188"/>
        <v/>
      </c>
      <c r="Q720" s="52" t="str">
        <f t="shared" ca="1" si="172"/>
        <v>No</v>
      </c>
      <c r="R720" s="1574" t="str">
        <f t="shared" si="184"/>
        <v/>
      </c>
      <c r="S720" s="52" t="str">
        <f t="shared" si="180"/>
        <v/>
      </c>
      <c r="T720" s="52" t="str">
        <f t="shared" si="181"/>
        <v/>
      </c>
      <c r="U720" s="52" t="str">
        <f t="shared" ref="U720:U783" si="194">IF(L720&lt;&gt;"",IF(ISNUMBER(L720),"",E720&amp;F720&amp;G720),"")</f>
        <v/>
      </c>
      <c r="V720" s="52" t="str">
        <f t="shared" si="182"/>
        <v/>
      </c>
      <c r="W720" s="1578"/>
      <c r="X720" s="52" t="str">
        <f t="shared" si="189"/>
        <v/>
      </c>
      <c r="Y720" s="52" t="str">
        <f t="shared" si="178"/>
        <v/>
      </c>
      <c r="AA720" s="52" t="str">
        <f t="shared" si="193"/>
        <v/>
      </c>
    </row>
    <row r="721" spans="2:27">
      <c r="B721" s="1532" t="str">
        <f t="shared" si="190"/>
        <v>Similatanous Strike</v>
      </c>
      <c r="C721" s="1795"/>
      <c r="D721" s="920"/>
      <c r="E721" s="61" t="s">
        <v>4701</v>
      </c>
      <c r="F721" s="61"/>
      <c r="G721" s="61"/>
      <c r="H721" s="61"/>
      <c r="I721" s="61"/>
      <c r="J721" s="1687" t="s">
        <v>6613</v>
      </c>
      <c r="K721" s="63" t="str">
        <f t="shared" ca="1" si="179"/>
        <v>No</v>
      </c>
      <c r="L721" s="76"/>
      <c r="M721" s="63">
        <f t="shared" si="192"/>
        <v>0</v>
      </c>
      <c r="N721" s="63" t="s">
        <v>4705</v>
      </c>
      <c r="O721" s="64"/>
      <c r="P721" s="660" t="str">
        <f t="shared" si="188"/>
        <v/>
      </c>
      <c r="Q721" s="52" t="str">
        <f t="shared" ca="1" si="172"/>
        <v>No</v>
      </c>
      <c r="R721" s="1574" t="str">
        <f t="shared" si="184"/>
        <v/>
      </c>
      <c r="S721" s="52" t="str">
        <f t="shared" si="180"/>
        <v/>
      </c>
      <c r="T721" s="52" t="str">
        <f t="shared" si="181"/>
        <v/>
      </c>
      <c r="U721" s="52" t="str">
        <f t="shared" si="194"/>
        <v/>
      </c>
      <c r="V721" s="52" t="str">
        <f t="shared" si="182"/>
        <v/>
      </c>
      <c r="W721" s="1578"/>
      <c r="X721" s="52" t="str">
        <f t="shared" si="189"/>
        <v/>
      </c>
      <c r="Y721" s="52" t="str">
        <f t="shared" si="178"/>
        <v/>
      </c>
      <c r="AA721" s="52" t="str">
        <f t="shared" si="193"/>
        <v/>
      </c>
    </row>
    <row r="722" spans="2:27">
      <c r="B722" s="1532" t="str">
        <f t="shared" si="190"/>
        <v>Telekinetic Strike</v>
      </c>
      <c r="C722" s="1795"/>
      <c r="D722" s="920"/>
      <c r="E722" s="61" t="s">
        <v>4702</v>
      </c>
      <c r="F722" s="61"/>
      <c r="G722" s="61"/>
      <c r="H722" s="61"/>
      <c r="I722" s="61"/>
      <c r="J722" s="1687" t="s">
        <v>6614</v>
      </c>
      <c r="K722" s="63" t="str">
        <f t="shared" ca="1" si="179"/>
        <v>No</v>
      </c>
      <c r="L722" s="76"/>
      <c r="M722" s="63">
        <f t="shared" ref="M722:M734" si="195">IF(L722&lt;&gt;"",1,0)</f>
        <v>0</v>
      </c>
      <c r="N722" s="63" t="s">
        <v>4705</v>
      </c>
      <c r="O722" s="64"/>
      <c r="P722" s="660" t="str">
        <f t="shared" si="188"/>
        <v/>
      </c>
      <c r="Q722" s="52" t="str">
        <f t="shared" ca="1" si="172"/>
        <v>No</v>
      </c>
      <c r="R722" s="1574" t="str">
        <f t="shared" si="184"/>
        <v/>
      </c>
      <c r="S722" s="52" t="str">
        <f t="shared" si="180"/>
        <v/>
      </c>
      <c r="T722" s="52" t="str">
        <f t="shared" si="181"/>
        <v/>
      </c>
      <c r="U722" s="52" t="str">
        <f t="shared" si="194"/>
        <v/>
      </c>
      <c r="V722" s="52" t="str">
        <f t="shared" si="182"/>
        <v/>
      </c>
      <c r="W722" s="1578"/>
      <c r="X722" s="52" t="str">
        <f t="shared" si="189"/>
        <v/>
      </c>
      <c r="Y722" s="52" t="str">
        <f t="shared" si="178"/>
        <v/>
      </c>
      <c r="AA722" s="52" t="str">
        <f t="shared" si="193"/>
        <v/>
      </c>
    </row>
    <row r="723" spans="2:27">
      <c r="B723" s="1532" t="str">
        <f t="shared" si="190"/>
        <v>Brutal Unarmed Strike</v>
      </c>
      <c r="C723" s="1795"/>
      <c r="D723" s="920"/>
      <c r="E723" s="61"/>
      <c r="F723" s="61" t="s">
        <v>4703</v>
      </c>
      <c r="G723" s="61"/>
      <c r="H723" s="61"/>
      <c r="I723" s="61"/>
      <c r="J723" s="1687" t="s">
        <v>6610</v>
      </c>
      <c r="K723" s="63" t="str">
        <f ca="1">IF(AND(Q723="Yes",L722&lt;&gt;""),"Yes","No")</f>
        <v>No</v>
      </c>
      <c r="L723" s="76"/>
      <c r="M723" s="63">
        <f t="shared" si="195"/>
        <v>0</v>
      </c>
      <c r="N723" s="63" t="s">
        <v>4705</v>
      </c>
      <c r="O723" s="64"/>
      <c r="P723" s="660" t="str">
        <f t="shared" si="188"/>
        <v/>
      </c>
      <c r="Q723" s="52" t="str">
        <f t="shared" ca="1" si="172"/>
        <v>No</v>
      </c>
      <c r="R723" s="1574" t="str">
        <f t="shared" si="184"/>
        <v/>
      </c>
      <c r="S723" s="52" t="str">
        <f t="shared" si="180"/>
        <v/>
      </c>
      <c r="T723" s="52" t="str">
        <f t="shared" si="181"/>
        <v/>
      </c>
      <c r="U723" s="52" t="str">
        <f t="shared" si="194"/>
        <v/>
      </c>
      <c r="V723" s="52" t="str">
        <f t="shared" si="182"/>
        <v/>
      </c>
      <c r="W723" s="1578"/>
      <c r="X723" s="52" t="str">
        <f t="shared" si="189"/>
        <v/>
      </c>
      <c r="Y723" s="52" t="str">
        <f t="shared" si="178"/>
        <v/>
      </c>
      <c r="AA723" s="52" t="str">
        <f t="shared" si="193"/>
        <v/>
      </c>
    </row>
    <row r="724" spans="2:27">
      <c r="B724" s="1532" t="str">
        <f t="shared" si="190"/>
        <v>Telekinetic Throw</v>
      </c>
      <c r="C724" s="1795"/>
      <c r="D724" s="920"/>
      <c r="E724" s="61" t="s">
        <v>4704</v>
      </c>
      <c r="F724" s="61"/>
      <c r="G724" s="61"/>
      <c r="H724" s="61"/>
      <c r="I724" s="61"/>
      <c r="J724" s="1687" t="s">
        <v>6615</v>
      </c>
      <c r="K724" s="63" t="str">
        <f t="shared" ca="1" si="179"/>
        <v>No</v>
      </c>
      <c r="L724" s="76"/>
      <c r="M724" s="63">
        <f t="shared" si="195"/>
        <v>0</v>
      </c>
      <c r="N724" s="63" t="s">
        <v>4705</v>
      </c>
      <c r="O724" s="64"/>
      <c r="P724" s="660" t="str">
        <f t="shared" si="188"/>
        <v/>
      </c>
      <c r="Q724" s="52" t="str">
        <f t="shared" ca="1" si="172"/>
        <v>No</v>
      </c>
      <c r="R724" s="1574" t="str">
        <f t="shared" si="184"/>
        <v/>
      </c>
      <c r="S724" s="52" t="str">
        <f t="shared" si="180"/>
        <v/>
      </c>
      <c r="T724" s="52" t="str">
        <f t="shared" si="181"/>
        <v/>
      </c>
      <c r="U724" s="52" t="str">
        <f t="shared" si="194"/>
        <v/>
      </c>
      <c r="V724" s="52" t="str">
        <f t="shared" si="182"/>
        <v/>
      </c>
      <c r="W724" s="1578"/>
      <c r="X724" s="52" t="str">
        <f t="shared" si="189"/>
        <v/>
      </c>
      <c r="Y724" s="52" t="str">
        <f t="shared" si="178"/>
        <v/>
      </c>
      <c r="AA724" s="52" t="str">
        <f t="shared" si="193"/>
        <v/>
      </c>
    </row>
    <row r="725" spans="2:27">
      <c r="B725" s="1532" t="str">
        <f t="shared" si="190"/>
        <v>Ride the Current</v>
      </c>
      <c r="C725" s="1795"/>
      <c r="D725" s="920" t="s">
        <v>4658</v>
      </c>
      <c r="E725" s="61" t="s">
        <v>4659</v>
      </c>
      <c r="F725" s="61"/>
      <c r="G725" s="61"/>
      <c r="H725" s="61"/>
      <c r="I725" s="61"/>
      <c r="J725" s="1687" t="s">
        <v>5880</v>
      </c>
      <c r="K725" s="63" t="str">
        <f t="shared" ca="1" si="179"/>
        <v>No</v>
      </c>
      <c r="L725" s="76"/>
      <c r="M725" s="63">
        <f t="shared" si="195"/>
        <v>0</v>
      </c>
      <c r="N725" s="63" t="s">
        <v>4663</v>
      </c>
      <c r="O725" s="64"/>
      <c r="P725" s="660" t="str">
        <f t="shared" si="188"/>
        <v/>
      </c>
      <c r="Q725" s="52" t="str">
        <f t="shared" ca="1" si="172"/>
        <v>No</v>
      </c>
      <c r="R725" s="1574" t="str">
        <f t="shared" si="184"/>
        <v/>
      </c>
      <c r="S725" s="52" t="str">
        <f t="shared" si="180"/>
        <v/>
      </c>
      <c r="T725" s="52" t="str">
        <f t="shared" si="181"/>
        <v/>
      </c>
      <c r="U725" s="52" t="str">
        <f t="shared" si="194"/>
        <v/>
      </c>
      <c r="V725" s="52" t="str">
        <f t="shared" si="182"/>
        <v/>
      </c>
      <c r="W725" s="1578"/>
      <c r="X725" s="52" t="str">
        <f t="shared" si="189"/>
        <v/>
      </c>
      <c r="Y725" s="52" t="str">
        <f t="shared" si="178"/>
        <v/>
      </c>
      <c r="AA725" s="52" t="str">
        <f t="shared" si="193"/>
        <v/>
      </c>
    </row>
    <row r="726" spans="2:27">
      <c r="B726" s="1532" t="str">
        <f t="shared" si="190"/>
        <v>Surrender to the Current</v>
      </c>
      <c r="C726" s="1795"/>
      <c r="D726" s="920"/>
      <c r="E726" s="61" t="s">
        <v>4660</v>
      </c>
      <c r="F726" s="61"/>
      <c r="G726" s="61"/>
      <c r="H726" s="61"/>
      <c r="I726" s="61"/>
      <c r="J726" s="1687" t="s">
        <v>5881</v>
      </c>
      <c r="K726" s="63" t="str">
        <f t="shared" ca="1" si="179"/>
        <v>No</v>
      </c>
      <c r="L726" s="76"/>
      <c r="M726" s="63">
        <f t="shared" si="195"/>
        <v>0</v>
      </c>
      <c r="N726" s="63" t="s">
        <v>4663</v>
      </c>
      <c r="O726" s="64"/>
      <c r="P726" s="660" t="str">
        <f t="shared" si="188"/>
        <v/>
      </c>
      <c r="Q726" s="52" t="str">
        <f t="shared" ca="1" si="172"/>
        <v>No</v>
      </c>
      <c r="R726" s="1574" t="str">
        <f t="shared" si="184"/>
        <v/>
      </c>
      <c r="S726" s="52" t="str">
        <f t="shared" si="180"/>
        <v/>
      </c>
      <c r="T726" s="52" t="str">
        <f t="shared" si="181"/>
        <v/>
      </c>
      <c r="U726" s="52" t="str">
        <f t="shared" si="194"/>
        <v/>
      </c>
      <c r="V726" s="52" t="str">
        <f t="shared" si="182"/>
        <v/>
      </c>
      <c r="W726" s="1578"/>
      <c r="X726" s="52" t="str">
        <f t="shared" si="189"/>
        <v/>
      </c>
      <c r="Y726" s="52" t="str">
        <f t="shared" ref="Y726:Y789" si="196">IF(U726&lt;&gt;"",IF(W726="Att Options",U726&amp;IF(Y727&lt;&gt;"",", ",""),"")&amp;Y727,Y727)</f>
        <v/>
      </c>
      <c r="AA726" s="52" t="str">
        <f t="shared" si="193"/>
        <v/>
      </c>
    </row>
    <row r="727" spans="2:27">
      <c r="B727" s="1532" t="str">
        <f t="shared" si="190"/>
        <v>White Current Adept</v>
      </c>
      <c r="C727" s="1795"/>
      <c r="D727" s="920"/>
      <c r="E727" s="61" t="s">
        <v>4658</v>
      </c>
      <c r="F727" s="61"/>
      <c r="G727" s="61"/>
      <c r="H727" s="61"/>
      <c r="I727" s="61"/>
      <c r="J727" s="1687" t="s">
        <v>5882</v>
      </c>
      <c r="K727" s="63" t="str">
        <f t="shared" ref="K727:K734" ca="1" si="197">IF(ForceSensitive="Yes","Yes","No")</f>
        <v>No</v>
      </c>
      <c r="L727" s="76"/>
      <c r="M727" s="63">
        <f t="shared" si="195"/>
        <v>0</v>
      </c>
      <c r="N727" s="63" t="s">
        <v>4663</v>
      </c>
      <c r="O727" s="64"/>
      <c r="P727" s="660" t="str">
        <f t="shared" si="188"/>
        <v/>
      </c>
      <c r="Q727" s="52" t="str">
        <f t="shared" ca="1" si="172"/>
        <v>No</v>
      </c>
      <c r="R727" s="1574" t="str">
        <f t="shared" si="184"/>
        <v/>
      </c>
      <c r="S727" s="52" t="str">
        <f t="shared" si="180"/>
        <v/>
      </c>
      <c r="T727" s="52" t="str">
        <f t="shared" si="181"/>
        <v/>
      </c>
      <c r="U727" s="52" t="str">
        <f t="shared" si="194"/>
        <v/>
      </c>
      <c r="V727" s="52" t="str">
        <f t="shared" si="182"/>
        <v/>
      </c>
      <c r="W727" s="1578"/>
      <c r="X727" s="52" t="str">
        <f t="shared" si="189"/>
        <v/>
      </c>
      <c r="Y727" s="52" t="str">
        <f t="shared" si="196"/>
        <v/>
      </c>
      <c r="AA727" s="52" t="str">
        <f t="shared" si="193"/>
        <v/>
      </c>
    </row>
    <row r="728" spans="2:27">
      <c r="B728" s="1532" t="str">
        <f t="shared" si="190"/>
        <v>Force Immersion</v>
      </c>
      <c r="C728" s="1795"/>
      <c r="D728" s="920"/>
      <c r="E728" s="61"/>
      <c r="F728" s="61" t="s">
        <v>4661</v>
      </c>
      <c r="G728" s="61"/>
      <c r="H728" s="61"/>
      <c r="I728" s="61"/>
      <c r="J728" s="1687" t="s">
        <v>5883</v>
      </c>
      <c r="K728" s="63" t="str">
        <f ca="1">IF(AND(Q728="Yes",L727&lt;&gt;""),"Yes","No")</f>
        <v>No</v>
      </c>
      <c r="L728" s="76"/>
      <c r="M728" s="63">
        <f t="shared" si="195"/>
        <v>0</v>
      </c>
      <c r="N728" s="63" t="s">
        <v>4663</v>
      </c>
      <c r="O728" s="64"/>
      <c r="P728" s="660" t="str">
        <f t="shared" si="188"/>
        <v/>
      </c>
      <c r="Q728" s="52" t="str">
        <f t="shared" ca="1" si="172"/>
        <v>No</v>
      </c>
      <c r="R728" s="1574" t="str">
        <f t="shared" si="184"/>
        <v/>
      </c>
      <c r="S728" s="52" t="str">
        <f t="shared" si="180"/>
        <v/>
      </c>
      <c r="T728" s="52" t="str">
        <f t="shared" si="181"/>
        <v/>
      </c>
      <c r="U728" s="52" t="str">
        <f t="shared" si="194"/>
        <v/>
      </c>
      <c r="V728" s="52" t="str">
        <f t="shared" si="182"/>
        <v/>
      </c>
      <c r="W728" s="1578"/>
      <c r="X728" s="52" t="str">
        <f t="shared" si="189"/>
        <v/>
      </c>
      <c r="Y728" s="52" t="str">
        <f t="shared" si="196"/>
        <v/>
      </c>
      <c r="AA728" s="52" t="str">
        <f t="shared" si="193"/>
        <v/>
      </c>
    </row>
    <row r="729" spans="2:27">
      <c r="B729" s="1532" t="str">
        <f t="shared" si="190"/>
        <v>Immerse Another</v>
      </c>
      <c r="C729" s="1795"/>
      <c r="D729" s="920"/>
      <c r="E729" s="61"/>
      <c r="F729" s="61" t="s">
        <v>4662</v>
      </c>
      <c r="G729" s="61"/>
      <c r="H729" s="61"/>
      <c r="I729" s="61"/>
      <c r="J729" s="1687" t="s">
        <v>5884</v>
      </c>
      <c r="K729" s="63" t="str">
        <f ca="1">IF(AND(Q729="Yes",L727&lt;&gt;""),"Yes","No")</f>
        <v>No</v>
      </c>
      <c r="L729" s="76"/>
      <c r="M729" s="63">
        <f t="shared" si="195"/>
        <v>0</v>
      </c>
      <c r="N729" s="63" t="s">
        <v>4663</v>
      </c>
      <c r="O729" s="64"/>
      <c r="P729" s="660" t="str">
        <f t="shared" si="188"/>
        <v/>
      </c>
      <c r="Q729" s="52" t="str">
        <f t="shared" ca="1" si="172"/>
        <v>No</v>
      </c>
      <c r="R729" s="1574" t="str">
        <f t="shared" si="184"/>
        <v/>
      </c>
      <c r="S729" s="52" t="str">
        <f t="shared" si="180"/>
        <v/>
      </c>
      <c r="T729" s="52" t="str">
        <f t="shared" si="181"/>
        <v/>
      </c>
      <c r="U729" s="52" t="str">
        <f t="shared" si="194"/>
        <v/>
      </c>
      <c r="V729" s="52" t="str">
        <f t="shared" si="182"/>
        <v/>
      </c>
      <c r="W729" s="1578"/>
      <c r="X729" s="52" t="str">
        <f t="shared" si="189"/>
        <v/>
      </c>
      <c r="Y729" s="52" t="str">
        <f t="shared" si="196"/>
        <v/>
      </c>
      <c r="AA729" s="52" t="str">
        <f t="shared" si="193"/>
        <v/>
      </c>
    </row>
    <row r="730" spans="2:27">
      <c r="B730" s="1532" t="str">
        <f t="shared" si="190"/>
        <v>Discblade Arc</v>
      </c>
      <c r="C730" s="1795"/>
      <c r="D730" s="920" t="s">
        <v>4706</v>
      </c>
      <c r="E730" s="61" t="s">
        <v>4707</v>
      </c>
      <c r="F730" s="61"/>
      <c r="G730" s="61"/>
      <c r="H730" s="61"/>
      <c r="I730" s="61"/>
      <c r="J730" s="1687" t="s">
        <v>5885</v>
      </c>
      <c r="K730" s="63" t="str">
        <f t="shared" ca="1" si="197"/>
        <v>No</v>
      </c>
      <c r="L730" s="76"/>
      <c r="M730" s="63">
        <f t="shared" si="195"/>
        <v>0</v>
      </c>
      <c r="N730" s="63" t="s">
        <v>4712</v>
      </c>
      <c r="O730" s="64"/>
      <c r="P730" s="660" t="str">
        <f t="shared" si="188"/>
        <v/>
      </c>
      <c r="Q730" s="52" t="str">
        <f t="shared" ca="1" si="172"/>
        <v>No</v>
      </c>
      <c r="R730" s="1574" t="str">
        <f t="shared" si="184"/>
        <v/>
      </c>
      <c r="S730" s="52" t="str">
        <f t="shared" si="180"/>
        <v/>
      </c>
      <c r="T730" s="52" t="str">
        <f t="shared" si="181"/>
        <v/>
      </c>
      <c r="U730" s="52" t="str">
        <f t="shared" si="194"/>
        <v/>
      </c>
      <c r="V730" s="52" t="str">
        <f t="shared" si="182"/>
        <v/>
      </c>
      <c r="W730" s="1578"/>
      <c r="X730" s="52" t="str">
        <f t="shared" si="189"/>
        <v/>
      </c>
      <c r="Y730" s="52" t="str">
        <f t="shared" si="196"/>
        <v/>
      </c>
      <c r="AA730" s="52" t="str">
        <f t="shared" si="193"/>
        <v/>
      </c>
    </row>
    <row r="731" spans="2:27">
      <c r="B731" s="1532" t="str">
        <f t="shared" si="190"/>
        <v>Distant Discblade Throw</v>
      </c>
      <c r="C731" s="1795"/>
      <c r="D731" s="920"/>
      <c r="E731" s="61" t="s">
        <v>4708</v>
      </c>
      <c r="F731" s="61"/>
      <c r="G731" s="61"/>
      <c r="H731" s="61"/>
      <c r="I731" s="61"/>
      <c r="J731" s="1687" t="s">
        <v>5886</v>
      </c>
      <c r="K731" s="63" t="str">
        <f t="shared" ca="1" si="197"/>
        <v>No</v>
      </c>
      <c r="L731" s="76"/>
      <c r="M731" s="63">
        <f t="shared" si="195"/>
        <v>0</v>
      </c>
      <c r="N731" s="63" t="s">
        <v>4712</v>
      </c>
      <c r="O731" s="64"/>
      <c r="P731" s="660" t="str">
        <f t="shared" si="188"/>
        <v/>
      </c>
      <c r="Q731" s="52" t="str">
        <f t="shared" ca="1" si="172"/>
        <v>No</v>
      </c>
      <c r="R731" s="1574" t="str">
        <f t="shared" si="184"/>
        <v/>
      </c>
      <c r="S731" s="52" t="str">
        <f t="shared" si="180"/>
        <v/>
      </c>
      <c r="T731" s="52" t="str">
        <f t="shared" si="181"/>
        <v/>
      </c>
      <c r="U731" s="52" t="str">
        <f t="shared" si="194"/>
        <v/>
      </c>
      <c r="V731" s="52" t="str">
        <f t="shared" si="182"/>
        <v/>
      </c>
      <c r="W731" s="1578"/>
      <c r="X731" s="52" t="str">
        <f t="shared" si="189"/>
        <v/>
      </c>
      <c r="Y731" s="52" t="str">
        <f t="shared" si="196"/>
        <v/>
      </c>
      <c r="AA731" s="52" t="str">
        <f t="shared" si="193"/>
        <v/>
      </c>
    </row>
    <row r="732" spans="2:27">
      <c r="B732" s="1532" t="str">
        <f t="shared" si="190"/>
        <v>Recall Discblade</v>
      </c>
      <c r="C732" s="1795"/>
      <c r="D732" s="920"/>
      <c r="E732" s="61" t="s">
        <v>4709</v>
      </c>
      <c r="F732" s="61"/>
      <c r="G732" s="61"/>
      <c r="H732" s="61"/>
      <c r="I732" s="61"/>
      <c r="J732" s="1687" t="s">
        <v>5887</v>
      </c>
      <c r="K732" s="63" t="str">
        <f t="shared" ca="1" si="197"/>
        <v>No</v>
      </c>
      <c r="L732" s="76"/>
      <c r="M732" s="63">
        <f t="shared" si="195"/>
        <v>0</v>
      </c>
      <c r="N732" s="63" t="s">
        <v>4712</v>
      </c>
      <c r="O732" s="64"/>
      <c r="P732" s="660" t="str">
        <f t="shared" si="188"/>
        <v/>
      </c>
      <c r="Q732" s="52" t="str">
        <f t="shared" ca="1" si="172"/>
        <v>No</v>
      </c>
      <c r="R732" s="1574" t="str">
        <f t="shared" si="184"/>
        <v/>
      </c>
      <c r="S732" s="52" t="str">
        <f t="shared" si="180"/>
        <v/>
      </c>
      <c r="T732" s="52" t="str">
        <f t="shared" si="181"/>
        <v/>
      </c>
      <c r="U732" s="52" t="str">
        <f t="shared" si="194"/>
        <v/>
      </c>
      <c r="V732" s="52" t="str">
        <f t="shared" si="182"/>
        <v/>
      </c>
      <c r="W732" s="1578"/>
      <c r="X732" s="52" t="str">
        <f t="shared" si="189"/>
        <v/>
      </c>
      <c r="Y732" s="52" t="str">
        <f t="shared" si="196"/>
        <v/>
      </c>
      <c r="AA732" s="52" t="str">
        <f t="shared" si="193"/>
        <v/>
      </c>
    </row>
    <row r="733" spans="2:27">
      <c r="B733" s="1532" t="str">
        <f t="shared" si="190"/>
        <v>Telekinetic Vigilance</v>
      </c>
      <c r="C733" s="1795"/>
      <c r="D733" s="920"/>
      <c r="E733" s="61" t="s">
        <v>4710</v>
      </c>
      <c r="F733" s="61"/>
      <c r="G733" s="61"/>
      <c r="H733" s="61"/>
      <c r="I733" s="61"/>
      <c r="J733" s="1687" t="s">
        <v>5888</v>
      </c>
      <c r="K733" s="63" t="str">
        <f t="shared" ca="1" si="197"/>
        <v>No</v>
      </c>
      <c r="L733" s="76"/>
      <c r="M733" s="63">
        <f t="shared" si="195"/>
        <v>0</v>
      </c>
      <c r="N733" s="63" t="s">
        <v>4712</v>
      </c>
      <c r="O733" s="64"/>
      <c r="P733" s="660" t="str">
        <f t="shared" si="188"/>
        <v/>
      </c>
      <c r="Q733" s="52" t="str">
        <f t="shared" ca="1" si="172"/>
        <v>No</v>
      </c>
      <c r="R733" s="1574" t="str">
        <f t="shared" si="184"/>
        <v/>
      </c>
      <c r="S733" s="52" t="str">
        <f t="shared" si="180"/>
        <v/>
      </c>
      <c r="T733" s="52" t="str">
        <f t="shared" si="181"/>
        <v/>
      </c>
      <c r="U733" s="52" t="str">
        <f t="shared" si="194"/>
        <v/>
      </c>
      <c r="V733" s="52" t="str">
        <f t="shared" si="182"/>
        <v/>
      </c>
      <c r="W733" s="1578"/>
      <c r="X733" s="52" t="str">
        <f t="shared" si="189"/>
        <v/>
      </c>
      <c r="Y733" s="52" t="str">
        <f t="shared" si="196"/>
        <v/>
      </c>
      <c r="AA733" s="52" t="str">
        <f t="shared" si="193"/>
        <v/>
      </c>
    </row>
    <row r="734" spans="2:27">
      <c r="B734" s="1532" t="str">
        <f t="shared" si="190"/>
        <v>Weapon Specialization (discblade)</v>
      </c>
      <c r="C734" s="1796"/>
      <c r="D734" s="920"/>
      <c r="E734" s="61" t="s">
        <v>4711</v>
      </c>
      <c r="F734" s="61"/>
      <c r="G734" s="61"/>
      <c r="H734" s="61"/>
      <c r="I734" s="61"/>
      <c r="J734" s="1687" t="s">
        <v>5889</v>
      </c>
      <c r="K734" s="928" t="str">
        <f t="shared" ca="1" si="197"/>
        <v>No</v>
      </c>
      <c r="L734" s="929"/>
      <c r="M734" s="928">
        <f t="shared" si="195"/>
        <v>0</v>
      </c>
      <c r="N734" s="928" t="s">
        <v>4712</v>
      </c>
      <c r="O734" s="64"/>
      <c r="P734" s="660" t="str">
        <f t="shared" si="188"/>
        <v/>
      </c>
      <c r="Q734" s="52" t="str">
        <f t="shared" ca="1" si="172"/>
        <v>No</v>
      </c>
      <c r="R734" s="1574" t="str">
        <f t="shared" si="184"/>
        <v/>
      </c>
      <c r="S734" s="52" t="str">
        <f t="shared" ref="S734:S797" si="198">IF(R734&lt;&gt;"",R734&amp;";"&amp;S735,S735)</f>
        <v/>
      </c>
      <c r="T734" s="52" t="str">
        <f t="shared" ref="T734:T797" si="199">IF(R734&lt;&gt;"",N734&amp;";"&amp;T735,T735)</f>
        <v/>
      </c>
      <c r="U734" s="52" t="str">
        <f t="shared" si="194"/>
        <v/>
      </c>
      <c r="V734" s="52" t="str">
        <f t="shared" ref="V734:V797" si="200">IF(U734&lt;&gt;"",U734&amp;";"&amp;V735,V735)</f>
        <v/>
      </c>
      <c r="W734" s="1578"/>
      <c r="X734" s="52" t="str">
        <f t="shared" si="189"/>
        <v/>
      </c>
      <c r="Y734" s="52" t="str">
        <f t="shared" si="196"/>
        <v/>
      </c>
      <c r="AA734" s="52" t="str">
        <f t="shared" ref="AA734:AA741" si="201">IF(U734&lt;&gt;"",IF(Z734="Defenses",U734&amp;IF(AA735&lt;&gt;"",", ",""),"")&amp;AA735,AA735)</f>
        <v/>
      </c>
    </row>
    <row r="735" spans="2:27" ht="15" customHeight="1">
      <c r="B735" s="1532" t="str">
        <f t="shared" si="190"/>
        <v>Interrogator</v>
      </c>
      <c r="C735" s="1794" t="s">
        <v>1284</v>
      </c>
      <c r="D735" s="922" t="s">
        <v>3056</v>
      </c>
      <c r="E735" s="923" t="s">
        <v>3057</v>
      </c>
      <c r="F735" s="923"/>
      <c r="G735" s="923"/>
      <c r="H735" s="923"/>
      <c r="I735" s="923"/>
      <c r="J735" s="1687" t="s">
        <v>5100</v>
      </c>
      <c r="K735" s="63" t="str">
        <f t="shared" ref="K735:K833" si="202">IF(Q735="Yes","Yes","No")</f>
        <v>No</v>
      </c>
      <c r="L735" s="76"/>
      <c r="M735" s="63">
        <f t="shared" si="171"/>
        <v>0</v>
      </c>
      <c r="N735" s="63" t="s">
        <v>3058</v>
      </c>
      <c r="O735" s="64"/>
      <c r="P735" s="660" t="str">
        <f t="shared" si="188"/>
        <v/>
      </c>
      <c r="Q735" s="52" t="str">
        <f>IF(AND(Droid,SUM(AD$7:AD$42)&gt;0),"Yes","No")</f>
        <v>No</v>
      </c>
      <c r="R735" s="1574" t="str">
        <f t="shared" si="184"/>
        <v/>
      </c>
      <c r="S735" s="52" t="str">
        <f t="shared" si="198"/>
        <v/>
      </c>
      <c r="T735" s="52" t="str">
        <f t="shared" si="199"/>
        <v/>
      </c>
      <c r="U735" s="52" t="str">
        <f t="shared" si="194"/>
        <v/>
      </c>
      <c r="V735" s="52" t="str">
        <f t="shared" si="200"/>
        <v/>
      </c>
      <c r="W735" s="1578"/>
      <c r="X735" s="52" t="str">
        <f t="shared" si="189"/>
        <v/>
      </c>
      <c r="Y735" s="52" t="str">
        <f t="shared" si="196"/>
        <v/>
      </c>
      <c r="AA735" s="52" t="str">
        <f t="shared" si="201"/>
        <v/>
      </c>
    </row>
    <row r="736" spans="2:27" ht="15" customHeight="1">
      <c r="B736" s="1532" t="str">
        <f t="shared" si="190"/>
        <v>Known Vulnerability</v>
      </c>
      <c r="C736" s="1795"/>
      <c r="D736" s="920"/>
      <c r="E736" s="1393" t="s">
        <v>7450</v>
      </c>
      <c r="F736" s="1393"/>
      <c r="G736" s="1393"/>
      <c r="H736" s="1393"/>
      <c r="I736" s="1393"/>
      <c r="J736" s="1688" t="s">
        <v>7451</v>
      </c>
      <c r="K736" s="63" t="str">
        <f t="shared" si="202"/>
        <v>No</v>
      </c>
      <c r="L736" s="76"/>
      <c r="M736" s="63">
        <f t="shared" si="171"/>
        <v>0</v>
      </c>
      <c r="N736" s="63" t="s">
        <v>7498</v>
      </c>
      <c r="O736" s="64"/>
      <c r="P736" s="660" t="str">
        <f t="shared" si="188"/>
        <v/>
      </c>
      <c r="Q736" s="52" t="str">
        <f t="shared" si="172"/>
        <v>No</v>
      </c>
      <c r="R736" s="1574" t="str">
        <f t="shared" si="184"/>
        <v/>
      </c>
      <c r="S736" s="52" t="str">
        <f t="shared" si="198"/>
        <v/>
      </c>
      <c r="T736" s="52" t="str">
        <f t="shared" si="199"/>
        <v/>
      </c>
      <c r="U736" s="52" t="str">
        <f t="shared" si="194"/>
        <v/>
      </c>
      <c r="V736" s="52" t="str">
        <f t="shared" si="200"/>
        <v/>
      </c>
      <c r="W736" s="1578"/>
      <c r="X736" s="52" t="str">
        <f t="shared" si="189"/>
        <v/>
      </c>
      <c r="Y736" s="52" t="str">
        <f t="shared" si="196"/>
        <v/>
      </c>
      <c r="AA736" s="52" t="str">
        <f t="shared" si="201"/>
        <v/>
      </c>
    </row>
    <row r="737" spans="2:27" ht="15" customHeight="1">
      <c r="B737" s="1532" t="str">
        <f t="shared" si="190"/>
        <v>Medical Analyzer</v>
      </c>
      <c r="C737" s="1795"/>
      <c r="D737" s="920"/>
      <c r="E737" s="1393" t="s">
        <v>7453</v>
      </c>
      <c r="F737" s="1393"/>
      <c r="G737" s="1393"/>
      <c r="H737" s="1393"/>
      <c r="I737" s="1393"/>
      <c r="J737" s="1688" t="s">
        <v>7454</v>
      </c>
      <c r="K737" s="63" t="str">
        <f t="shared" si="202"/>
        <v>No</v>
      </c>
      <c r="L737" s="76"/>
      <c r="M737" s="63">
        <f t="shared" si="171"/>
        <v>0</v>
      </c>
      <c r="N737" s="63" t="s">
        <v>7498</v>
      </c>
      <c r="O737" s="64"/>
      <c r="P737" s="660" t="str">
        <f t="shared" si="188"/>
        <v/>
      </c>
      <c r="Q737" s="52" t="str">
        <f t="shared" si="172"/>
        <v>No</v>
      </c>
      <c r="R737" s="1574" t="str">
        <f t="shared" si="184"/>
        <v/>
      </c>
      <c r="S737" s="52" t="str">
        <f t="shared" si="198"/>
        <v/>
      </c>
      <c r="T737" s="52" t="str">
        <f t="shared" si="199"/>
        <v/>
      </c>
      <c r="U737" s="52" t="str">
        <f t="shared" si="194"/>
        <v/>
      </c>
      <c r="V737" s="52" t="str">
        <f t="shared" si="200"/>
        <v/>
      </c>
      <c r="W737" s="1578"/>
      <c r="X737" s="52" t="str">
        <f t="shared" si="189"/>
        <v/>
      </c>
      <c r="Y737" s="52" t="str">
        <f t="shared" si="196"/>
        <v/>
      </c>
      <c r="AA737" s="52" t="str">
        <f t="shared" si="201"/>
        <v/>
      </c>
    </row>
    <row r="738" spans="2:27">
      <c r="B738" s="1532" t="str">
        <f t="shared" ref="B738:B769" si="203">IF(E738&lt;&gt;"",E738,IF(F738&lt;&gt;"",F738,IF(G738&lt;&gt;"",G738,IF(H738&lt;&gt;"",H738))))</f>
        <v>Medical Droid</v>
      </c>
      <c r="C738" s="1795"/>
      <c r="D738" s="920"/>
      <c r="E738" s="61" t="s">
        <v>3059</v>
      </c>
      <c r="F738" s="61"/>
      <c r="G738" s="61"/>
      <c r="H738" s="61"/>
      <c r="I738" s="61"/>
      <c r="J738" s="1687" t="s">
        <v>5101</v>
      </c>
      <c r="K738" s="63" t="str">
        <f t="shared" si="202"/>
        <v>No</v>
      </c>
      <c r="L738" s="76"/>
      <c r="M738" s="63">
        <f t="shared" si="171"/>
        <v>0</v>
      </c>
      <c r="N738" s="63" t="s">
        <v>3058</v>
      </c>
      <c r="O738" s="64"/>
      <c r="P738" s="660" t="str">
        <f t="shared" si="188"/>
        <v/>
      </c>
      <c r="Q738" s="52" t="str">
        <f t="shared" si="172"/>
        <v>No</v>
      </c>
      <c r="R738" s="1574" t="str">
        <f t="shared" ref="R738:R801" si="204">IF(L738&lt;&gt;"",E738&amp;F738&amp;G738&amp;IF(P738&lt;&gt;""," ("&amp;P738&amp;")",""),"")&amp;IF(M738&gt;1," ("&amp;M738&amp;")","")</f>
        <v/>
      </c>
      <c r="S738" s="52" t="str">
        <f t="shared" si="198"/>
        <v/>
      </c>
      <c r="T738" s="52" t="str">
        <f t="shared" si="199"/>
        <v/>
      </c>
      <c r="U738" s="52" t="str">
        <f t="shared" si="194"/>
        <v/>
      </c>
      <c r="V738" s="52" t="str">
        <f t="shared" si="200"/>
        <v/>
      </c>
      <c r="W738" s="1578"/>
      <c r="X738" s="52" t="str">
        <f t="shared" si="189"/>
        <v/>
      </c>
      <c r="Y738" s="52" t="str">
        <f t="shared" si="196"/>
        <v/>
      </c>
      <c r="AA738" s="52" t="str">
        <f t="shared" si="201"/>
        <v/>
      </c>
    </row>
    <row r="739" spans="2:27">
      <c r="B739" s="1532" t="str">
        <f t="shared" si="203"/>
        <v>Dull the Pain</v>
      </c>
      <c r="C739" s="1795"/>
      <c r="D739" s="920"/>
      <c r="E739" s="61"/>
      <c r="F739" s="61" t="s">
        <v>3060</v>
      </c>
      <c r="G739" s="61"/>
      <c r="H739" s="61"/>
      <c r="I739" s="61"/>
      <c r="J739" s="1687" t="s">
        <v>5102</v>
      </c>
      <c r="K739" s="63" t="str">
        <f>IF(AND(Q738="Yes",L738&lt;&gt;""),"Yes","No")</f>
        <v>No</v>
      </c>
      <c r="L739" s="76"/>
      <c r="M739" s="63">
        <f t="shared" si="171"/>
        <v>0</v>
      </c>
      <c r="N739" s="63" t="s">
        <v>3058</v>
      </c>
      <c r="O739" s="64"/>
      <c r="P739" s="660" t="str">
        <f t="shared" si="188"/>
        <v/>
      </c>
      <c r="Q739" s="52" t="str">
        <f t="shared" si="172"/>
        <v>No</v>
      </c>
      <c r="R739" s="1574" t="str">
        <f t="shared" si="204"/>
        <v/>
      </c>
      <c r="S739" s="52" t="str">
        <f t="shared" si="198"/>
        <v/>
      </c>
      <c r="T739" s="52" t="str">
        <f t="shared" si="199"/>
        <v/>
      </c>
      <c r="U739" s="52" t="str">
        <f t="shared" si="194"/>
        <v/>
      </c>
      <c r="V739" s="52" t="str">
        <f t="shared" si="200"/>
        <v/>
      </c>
      <c r="W739" s="1578"/>
      <c r="X739" s="52" t="str">
        <f t="shared" si="189"/>
        <v/>
      </c>
      <c r="Y739" s="52" t="str">
        <f t="shared" si="196"/>
        <v/>
      </c>
      <c r="AA739" s="52" t="str">
        <f t="shared" si="201"/>
        <v/>
      </c>
    </row>
    <row r="740" spans="2:27" ht="43.5">
      <c r="B740" s="1532" t="str">
        <f t="shared" si="203"/>
        <v>Science Analyzer</v>
      </c>
      <c r="C740" s="1795"/>
      <c r="D740" s="920"/>
      <c r="E740" s="1393" t="s">
        <v>7455</v>
      </c>
      <c r="F740" s="1393"/>
      <c r="G740" s="1393"/>
      <c r="H740" s="1393"/>
      <c r="I740" s="1393"/>
      <c r="J740" s="1688" t="s">
        <v>7456</v>
      </c>
      <c r="K740" s="63" t="str">
        <f t="shared" si="202"/>
        <v>No</v>
      </c>
      <c r="L740" s="76"/>
      <c r="M740" s="63">
        <f t="shared" si="171"/>
        <v>0</v>
      </c>
      <c r="N740" s="63" t="s">
        <v>7498</v>
      </c>
      <c r="O740" s="64"/>
      <c r="P740" s="660" t="str">
        <f t="shared" si="188"/>
        <v/>
      </c>
      <c r="Q740" s="52" t="str">
        <f t="shared" si="172"/>
        <v>No</v>
      </c>
      <c r="R740" s="1574" t="str">
        <f t="shared" si="204"/>
        <v/>
      </c>
      <c r="S740" s="52" t="str">
        <f t="shared" si="198"/>
        <v/>
      </c>
      <c r="T740" s="52" t="str">
        <f t="shared" si="199"/>
        <v/>
      </c>
      <c r="U740" s="52" t="str">
        <f t="shared" si="194"/>
        <v/>
      </c>
      <c r="V740" s="52" t="str">
        <f t="shared" si="200"/>
        <v/>
      </c>
      <c r="W740" s="1578"/>
      <c r="X740" s="52" t="str">
        <f t="shared" si="189"/>
        <v/>
      </c>
      <c r="Y740" s="52" t="str">
        <f t="shared" si="196"/>
        <v/>
      </c>
      <c r="AA740" s="52" t="str">
        <f t="shared" si="201"/>
        <v/>
      </c>
    </row>
    <row r="741" spans="2:27" ht="58">
      <c r="B741" s="1532" t="str">
        <f t="shared" si="203"/>
        <v>Triage Scan</v>
      </c>
      <c r="C741" s="1795"/>
      <c r="D741" s="920"/>
      <c r="E741" s="1393" t="s">
        <v>7457</v>
      </c>
      <c r="F741" s="1393"/>
      <c r="G741" s="1393"/>
      <c r="H741" s="1393"/>
      <c r="I741" s="1393"/>
      <c r="J741" s="1688" t="s">
        <v>7458</v>
      </c>
      <c r="K741" s="63" t="str">
        <f t="shared" si="202"/>
        <v>No</v>
      </c>
      <c r="L741" s="76"/>
      <c r="M741" s="63">
        <f t="shared" si="171"/>
        <v>0</v>
      </c>
      <c r="N741" s="63" t="s">
        <v>7498</v>
      </c>
      <c r="O741" s="64"/>
      <c r="P741" s="660" t="str">
        <f t="shared" si="188"/>
        <v/>
      </c>
      <c r="Q741" s="52" t="str">
        <f t="shared" si="172"/>
        <v>No</v>
      </c>
      <c r="R741" s="1574" t="str">
        <f t="shared" si="204"/>
        <v/>
      </c>
      <c r="S741" s="52" t="str">
        <f t="shared" si="198"/>
        <v/>
      </c>
      <c r="T741" s="52" t="str">
        <f t="shared" si="199"/>
        <v/>
      </c>
      <c r="U741" s="52" t="str">
        <f t="shared" si="194"/>
        <v/>
      </c>
      <c r="V741" s="52" t="str">
        <f t="shared" si="200"/>
        <v/>
      </c>
      <c r="W741" s="1578"/>
      <c r="X741" s="52" t="str">
        <f t="shared" si="189"/>
        <v/>
      </c>
      <c r="Y741" s="52" t="str">
        <f t="shared" si="196"/>
        <v/>
      </c>
      <c r="AA741" s="52" t="str">
        <f t="shared" si="201"/>
        <v/>
      </c>
    </row>
    <row r="742" spans="2:27">
      <c r="B742" s="1532" t="str">
        <f t="shared" si="203"/>
        <v>Adept Assistant</v>
      </c>
      <c r="C742" s="1795"/>
      <c r="D742" s="920" t="s">
        <v>3061</v>
      </c>
      <c r="E742" s="61" t="s">
        <v>3062</v>
      </c>
      <c r="F742" s="61"/>
      <c r="G742" s="61"/>
      <c r="H742" s="61"/>
      <c r="I742" s="61"/>
      <c r="J742" s="1687" t="s">
        <v>5103</v>
      </c>
      <c r="K742" s="63" t="str">
        <f t="shared" si="202"/>
        <v>No</v>
      </c>
      <c r="L742" s="76"/>
      <c r="M742" s="63">
        <f t="shared" si="171"/>
        <v>0</v>
      </c>
      <c r="N742" s="63" t="s">
        <v>3058</v>
      </c>
      <c r="O742" s="64"/>
      <c r="P742" s="660" t="str">
        <f t="shared" si="188"/>
        <v/>
      </c>
      <c r="Q742" s="52" t="str">
        <f t="shared" si="172"/>
        <v>No</v>
      </c>
      <c r="R742" s="1574" t="str">
        <f t="shared" si="204"/>
        <v/>
      </c>
      <c r="S742" s="52" t="str">
        <f t="shared" si="198"/>
        <v/>
      </c>
      <c r="T742" s="52" t="str">
        <f t="shared" si="199"/>
        <v/>
      </c>
      <c r="U742" s="52" t="str">
        <f t="shared" si="194"/>
        <v/>
      </c>
      <c r="V742" s="52" t="str">
        <f t="shared" si="200"/>
        <v/>
      </c>
      <c r="W742" s="1578"/>
      <c r="X742" s="52" t="str">
        <f t="shared" si="189"/>
        <v/>
      </c>
      <c r="Y742" s="52" t="str">
        <f t="shared" si="196"/>
        <v/>
      </c>
      <c r="AA742" s="52" t="str">
        <f>IF(U742&lt;&gt;"",IF(Z742="Defenses",U742&amp;IF(AA744&lt;&gt;"",", ",""),"")&amp;AA744,AA744)</f>
        <v/>
      </c>
    </row>
    <row r="743" spans="2:27" ht="39">
      <c r="B743" s="1532" t="str">
        <f t="shared" si="203"/>
        <v>Burst Transfer</v>
      </c>
      <c r="C743" s="1795"/>
      <c r="D743" s="920"/>
      <c r="E743" s="61" t="s">
        <v>7459</v>
      </c>
      <c r="F743" s="61"/>
      <c r="G743" s="61"/>
      <c r="H743" s="61"/>
      <c r="I743" s="61"/>
      <c r="J743" s="1687" t="s">
        <v>7460</v>
      </c>
      <c r="K743" s="63" t="str">
        <f t="shared" si="202"/>
        <v>No</v>
      </c>
      <c r="L743" s="76"/>
      <c r="M743" s="63">
        <f t="shared" si="171"/>
        <v>0</v>
      </c>
      <c r="N743" s="63" t="s">
        <v>7498</v>
      </c>
      <c r="O743" s="64"/>
      <c r="P743" s="660" t="str">
        <f t="shared" si="188"/>
        <v/>
      </c>
      <c r="Q743" s="52" t="str">
        <f t="shared" si="172"/>
        <v>No</v>
      </c>
      <c r="R743" s="1574" t="str">
        <f t="shared" si="204"/>
        <v/>
      </c>
      <c r="S743" s="52" t="str">
        <f t="shared" si="198"/>
        <v/>
      </c>
      <c r="T743" s="52" t="str">
        <f t="shared" si="199"/>
        <v/>
      </c>
      <c r="U743" s="52" t="str">
        <f t="shared" si="194"/>
        <v/>
      </c>
      <c r="V743" s="52" t="str">
        <f t="shared" si="200"/>
        <v/>
      </c>
      <c r="W743" s="1578"/>
      <c r="X743" s="52" t="str">
        <f t="shared" si="189"/>
        <v/>
      </c>
      <c r="Y743" s="52" t="str">
        <f t="shared" si="196"/>
        <v/>
      </c>
      <c r="AA743" s="52" t="str">
        <f t="shared" ref="AA743:AA769" si="205">IF(U743&lt;&gt;"",IF(Z743="Defenses",U743&amp;IF(AA745&lt;&gt;"",", ",""),"")&amp;AA745,AA745)</f>
        <v/>
      </c>
    </row>
    <row r="744" spans="2:27">
      <c r="B744" s="1532" t="str">
        <f t="shared" si="203"/>
        <v>Mechanics Mastery</v>
      </c>
      <c r="C744" s="1795"/>
      <c r="D744" s="920"/>
      <c r="E744" s="61" t="s">
        <v>3063</v>
      </c>
      <c r="F744" s="61"/>
      <c r="G744" s="61"/>
      <c r="H744" s="61"/>
      <c r="I744" s="61"/>
      <c r="J744" s="1687" t="s">
        <v>5104</v>
      </c>
      <c r="K744" s="63" t="str">
        <f t="shared" si="202"/>
        <v>No</v>
      </c>
      <c r="L744" s="76"/>
      <c r="M744" s="63">
        <f t="shared" si="171"/>
        <v>0</v>
      </c>
      <c r="N744" s="63" t="s">
        <v>3058</v>
      </c>
      <c r="O744" s="64"/>
      <c r="P744" s="660" t="str">
        <f t="shared" si="188"/>
        <v/>
      </c>
      <c r="Q744" s="52" t="str">
        <f t="shared" si="172"/>
        <v>No</v>
      </c>
      <c r="R744" s="1574" t="str">
        <f t="shared" si="204"/>
        <v/>
      </c>
      <c r="S744" s="52" t="str">
        <f t="shared" si="198"/>
        <v/>
      </c>
      <c r="T744" s="52" t="str">
        <f t="shared" si="199"/>
        <v/>
      </c>
      <c r="U744" s="52" t="str">
        <f t="shared" si="194"/>
        <v/>
      </c>
      <c r="V744" s="52" t="str">
        <f t="shared" si="200"/>
        <v/>
      </c>
      <c r="W744" s="1578"/>
      <c r="X744" s="52" t="str">
        <f t="shared" si="189"/>
        <v/>
      </c>
      <c r="Y744" s="52" t="str">
        <f t="shared" si="196"/>
        <v/>
      </c>
      <c r="AA744" s="52" t="str">
        <f t="shared" si="205"/>
        <v/>
      </c>
    </row>
    <row r="745" spans="2:27" ht="26">
      <c r="B745" s="1532" t="str">
        <f t="shared" si="203"/>
        <v>On-Board System Link</v>
      </c>
      <c r="C745" s="1795"/>
      <c r="D745" s="920"/>
      <c r="E745" s="61" t="s">
        <v>7461</v>
      </c>
      <c r="F745" s="61"/>
      <c r="G745" s="61"/>
      <c r="H745" s="61"/>
      <c r="I745" s="61"/>
      <c r="J745" s="1687" t="s">
        <v>7462</v>
      </c>
      <c r="K745" s="63" t="str">
        <f t="shared" si="202"/>
        <v>No</v>
      </c>
      <c r="L745" s="76"/>
      <c r="M745" s="63">
        <f t="shared" si="171"/>
        <v>0</v>
      </c>
      <c r="N745" s="63" t="s">
        <v>7498</v>
      </c>
      <c r="O745" s="64"/>
      <c r="P745" s="660" t="str">
        <f t="shared" si="188"/>
        <v/>
      </c>
      <c r="Q745" s="52" t="str">
        <f t="shared" si="172"/>
        <v>No</v>
      </c>
      <c r="R745" s="1574" t="str">
        <f t="shared" si="204"/>
        <v/>
      </c>
      <c r="S745" s="52" t="str">
        <f t="shared" si="198"/>
        <v/>
      </c>
      <c r="T745" s="52" t="str">
        <f t="shared" si="199"/>
        <v/>
      </c>
      <c r="U745" s="52" t="str">
        <f t="shared" si="194"/>
        <v/>
      </c>
      <c r="V745" s="52" t="str">
        <f t="shared" si="200"/>
        <v/>
      </c>
      <c r="W745" s="1578"/>
      <c r="X745" s="52" t="str">
        <f t="shared" si="189"/>
        <v/>
      </c>
      <c r="Y745" s="52" t="str">
        <f t="shared" si="196"/>
        <v/>
      </c>
      <c r="AA745" s="52" t="str">
        <f t="shared" si="205"/>
        <v/>
      </c>
    </row>
    <row r="746" spans="2:27" ht="39">
      <c r="B746" s="1532" t="str">
        <f t="shared" si="203"/>
        <v>Quick Astrogation</v>
      </c>
      <c r="C746" s="1795"/>
      <c r="D746" s="920"/>
      <c r="E746" s="61" t="s">
        <v>7463</v>
      </c>
      <c r="F746" s="61"/>
      <c r="G746" s="61"/>
      <c r="H746" s="61"/>
      <c r="I746" s="61"/>
      <c r="J746" s="1687" t="s">
        <v>7464</v>
      </c>
      <c r="K746" s="63" t="str">
        <f t="shared" si="202"/>
        <v>No</v>
      </c>
      <c r="L746" s="76"/>
      <c r="M746" s="63">
        <f t="shared" si="171"/>
        <v>0</v>
      </c>
      <c r="N746" s="63" t="s">
        <v>7498</v>
      </c>
      <c r="O746" s="64"/>
      <c r="P746" s="660" t="str">
        <f t="shared" si="188"/>
        <v/>
      </c>
      <c r="Q746" s="52" t="str">
        <f t="shared" si="172"/>
        <v>No</v>
      </c>
      <c r="R746" s="1574" t="str">
        <f t="shared" si="204"/>
        <v/>
      </c>
      <c r="S746" s="52" t="str">
        <f t="shared" si="198"/>
        <v/>
      </c>
      <c r="T746" s="52" t="str">
        <f t="shared" si="199"/>
        <v/>
      </c>
      <c r="U746" s="52" t="str">
        <f t="shared" si="194"/>
        <v/>
      </c>
      <c r="V746" s="52" t="str">
        <f t="shared" si="200"/>
        <v/>
      </c>
      <c r="W746" s="1578"/>
      <c r="X746" s="52" t="str">
        <f t="shared" si="189"/>
        <v/>
      </c>
      <c r="Y746" s="52" t="str">
        <f t="shared" si="196"/>
        <v/>
      </c>
      <c r="AA746" s="52" t="str">
        <f t="shared" si="205"/>
        <v/>
      </c>
    </row>
    <row r="747" spans="2:27" ht="143">
      <c r="B747" s="1532" t="str">
        <f t="shared" si="203"/>
        <v>Scomp Link Slicer</v>
      </c>
      <c r="C747" s="1795"/>
      <c r="D747" s="920"/>
      <c r="E747" s="61" t="s">
        <v>7465</v>
      </c>
      <c r="F747" s="61"/>
      <c r="G747" s="61"/>
      <c r="H747" s="61"/>
      <c r="I747" s="61"/>
      <c r="J747" s="1687" t="s">
        <v>7466</v>
      </c>
      <c r="K747" s="63" t="str">
        <f t="shared" si="202"/>
        <v>No</v>
      </c>
      <c r="L747" s="76"/>
      <c r="M747" s="63">
        <f t="shared" si="171"/>
        <v>0</v>
      </c>
      <c r="N747" s="63" t="s">
        <v>7498</v>
      </c>
      <c r="O747" s="64"/>
      <c r="P747" s="660" t="str">
        <f t="shared" si="188"/>
        <v/>
      </c>
      <c r="Q747" s="52" t="str">
        <f t="shared" si="172"/>
        <v>No</v>
      </c>
      <c r="R747" s="1574" t="str">
        <f t="shared" si="204"/>
        <v/>
      </c>
      <c r="S747" s="52" t="str">
        <f t="shared" si="198"/>
        <v/>
      </c>
      <c r="T747" s="52" t="str">
        <f t="shared" si="199"/>
        <v/>
      </c>
      <c r="U747" s="52" t="str">
        <f t="shared" si="194"/>
        <v/>
      </c>
      <c r="V747" s="52" t="str">
        <f t="shared" si="200"/>
        <v/>
      </c>
      <c r="W747" s="1578"/>
      <c r="X747" s="52" t="str">
        <f t="shared" si="189"/>
        <v/>
      </c>
      <c r="Y747" s="52" t="str">
        <f t="shared" si="196"/>
        <v/>
      </c>
      <c r="AA747" s="52" t="str">
        <f t="shared" si="205"/>
        <v/>
      </c>
    </row>
    <row r="748" spans="2:27" ht="26">
      <c r="B748" s="1532" t="str">
        <f t="shared" si="203"/>
        <v>Vehicle Mechanic</v>
      </c>
      <c r="C748" s="1795"/>
      <c r="D748" s="920"/>
      <c r="E748" s="61" t="s">
        <v>3064</v>
      </c>
      <c r="F748" s="61"/>
      <c r="G748" s="61"/>
      <c r="H748" s="61"/>
      <c r="I748" s="61"/>
      <c r="J748" s="1687" t="s">
        <v>5105</v>
      </c>
      <c r="K748" s="63" t="str">
        <f t="shared" si="202"/>
        <v>No</v>
      </c>
      <c r="L748" s="76"/>
      <c r="M748" s="63">
        <f t="shared" si="171"/>
        <v>0</v>
      </c>
      <c r="N748" s="63" t="s">
        <v>3058</v>
      </c>
      <c r="O748" s="64"/>
      <c r="P748" s="660" t="str">
        <f t="shared" si="188"/>
        <v/>
      </c>
      <c r="Q748" s="52" t="str">
        <f t="shared" si="172"/>
        <v>No</v>
      </c>
      <c r="R748" s="1574" t="str">
        <f t="shared" si="204"/>
        <v/>
      </c>
      <c r="S748" s="52" t="str">
        <f t="shared" si="198"/>
        <v/>
      </c>
      <c r="T748" s="52" t="str">
        <f t="shared" si="199"/>
        <v/>
      </c>
      <c r="U748" s="52" t="str">
        <f t="shared" si="194"/>
        <v/>
      </c>
      <c r="V748" s="52" t="str">
        <f t="shared" si="200"/>
        <v/>
      </c>
      <c r="W748" s="1578"/>
      <c r="X748" s="52" t="str">
        <f t="shared" si="189"/>
        <v/>
      </c>
      <c r="Y748" s="52" t="str">
        <f t="shared" si="196"/>
        <v/>
      </c>
      <c r="AA748" s="52" t="str">
        <f t="shared" si="205"/>
        <v/>
      </c>
    </row>
    <row r="749" spans="2:27">
      <c r="B749" s="1532" t="str">
        <f t="shared" si="203"/>
        <v>Etiquette</v>
      </c>
      <c r="C749" s="1795"/>
      <c r="D749" s="920" t="s">
        <v>3065</v>
      </c>
      <c r="E749" s="61" t="s">
        <v>3066</v>
      </c>
      <c r="F749" s="61"/>
      <c r="G749" s="61"/>
      <c r="H749" s="61"/>
      <c r="I749" s="61"/>
      <c r="J749" s="1687" t="s">
        <v>5106</v>
      </c>
      <c r="K749" s="63" t="str">
        <f t="shared" si="202"/>
        <v>No</v>
      </c>
      <c r="L749" s="76"/>
      <c r="M749" s="63">
        <f t="shared" si="171"/>
        <v>0</v>
      </c>
      <c r="N749" s="63" t="s">
        <v>3067</v>
      </c>
      <c r="O749" s="64"/>
      <c r="P749" s="660" t="str">
        <f t="shared" si="188"/>
        <v/>
      </c>
      <c r="Q749" s="52" t="str">
        <f t="shared" si="172"/>
        <v>No</v>
      </c>
      <c r="R749" s="1574" t="str">
        <f t="shared" si="204"/>
        <v/>
      </c>
      <c r="S749" s="52" t="str">
        <f t="shared" si="198"/>
        <v/>
      </c>
      <c r="T749" s="52" t="str">
        <f t="shared" si="199"/>
        <v/>
      </c>
      <c r="U749" s="52" t="str">
        <f t="shared" si="194"/>
        <v/>
      </c>
      <c r="V749" s="52" t="str">
        <f t="shared" si="200"/>
        <v/>
      </c>
      <c r="W749" s="1578"/>
      <c r="X749" s="52" t="str">
        <f t="shared" si="189"/>
        <v/>
      </c>
      <c r="Y749" s="52" t="str">
        <f t="shared" si="196"/>
        <v/>
      </c>
      <c r="AA749" s="52" t="str">
        <f t="shared" si="205"/>
        <v/>
      </c>
    </row>
    <row r="750" spans="2:27">
      <c r="B750" s="1532" t="str">
        <f t="shared" si="203"/>
        <v>Helpful</v>
      </c>
      <c r="C750" s="1795"/>
      <c r="D750" s="920"/>
      <c r="E750" s="61" t="s">
        <v>3068</v>
      </c>
      <c r="F750" s="61"/>
      <c r="G750" s="61"/>
      <c r="H750" s="61"/>
      <c r="I750" s="61"/>
      <c r="J750" s="1687" t="s">
        <v>5107</v>
      </c>
      <c r="K750" s="63" t="str">
        <f t="shared" si="202"/>
        <v>No</v>
      </c>
      <c r="L750" s="76"/>
      <c r="M750" s="63">
        <f t="shared" ref="M750:M842" si="206">IF(L750&lt;&gt;"",1,0)</f>
        <v>0</v>
      </c>
      <c r="N750" s="63" t="s">
        <v>3067</v>
      </c>
      <c r="O750" s="64"/>
      <c r="P750" s="660" t="str">
        <f t="shared" si="188"/>
        <v/>
      </c>
      <c r="Q750" s="52" t="str">
        <f t="shared" ref="Q750:Q769" si="207">Q749</f>
        <v>No</v>
      </c>
      <c r="R750" s="1574" t="str">
        <f t="shared" si="204"/>
        <v/>
      </c>
      <c r="S750" s="52" t="str">
        <f t="shared" si="198"/>
        <v/>
      </c>
      <c r="T750" s="52" t="str">
        <f t="shared" si="199"/>
        <v/>
      </c>
      <c r="U750" s="52" t="str">
        <f t="shared" si="194"/>
        <v/>
      </c>
      <c r="V750" s="52" t="str">
        <f t="shared" si="200"/>
        <v/>
      </c>
      <c r="W750" s="1578"/>
      <c r="X750" s="52" t="str">
        <f t="shared" si="189"/>
        <v/>
      </c>
      <c r="Y750" s="52" t="str">
        <f t="shared" si="196"/>
        <v/>
      </c>
      <c r="AA750" s="52" t="str">
        <f t="shared" si="205"/>
        <v/>
      </c>
    </row>
    <row r="751" spans="2:27">
      <c r="B751" s="1532" t="str">
        <f t="shared" si="203"/>
        <v>Nuanced</v>
      </c>
      <c r="C751" s="1795"/>
      <c r="D751" s="920"/>
      <c r="E751" s="61" t="s">
        <v>7467</v>
      </c>
      <c r="F751" s="61"/>
      <c r="G751" s="61"/>
      <c r="H751" s="61"/>
      <c r="I751" s="61"/>
      <c r="J751" s="1687" t="s">
        <v>7468</v>
      </c>
      <c r="K751" s="63" t="str">
        <f t="shared" si="202"/>
        <v>No</v>
      </c>
      <c r="L751" s="76"/>
      <c r="M751" s="63">
        <f t="shared" si="206"/>
        <v>0</v>
      </c>
      <c r="N751" s="63" t="s">
        <v>7498</v>
      </c>
      <c r="O751" s="64"/>
      <c r="P751" s="660" t="str">
        <f t="shared" si="188"/>
        <v/>
      </c>
      <c r="Q751" s="52" t="str">
        <f t="shared" si="207"/>
        <v>No</v>
      </c>
      <c r="R751" s="1574" t="str">
        <f t="shared" si="204"/>
        <v/>
      </c>
      <c r="S751" s="52" t="str">
        <f t="shared" si="198"/>
        <v/>
      </c>
      <c r="T751" s="52" t="str">
        <f t="shared" si="199"/>
        <v/>
      </c>
      <c r="U751" s="52" t="str">
        <f t="shared" si="194"/>
        <v/>
      </c>
      <c r="V751" s="52" t="str">
        <f t="shared" si="200"/>
        <v/>
      </c>
      <c r="W751" s="1578"/>
      <c r="X751" s="52" t="str">
        <f t="shared" si="189"/>
        <v/>
      </c>
      <c r="Y751" s="52" t="str">
        <f t="shared" si="196"/>
        <v/>
      </c>
      <c r="AA751" s="52" t="str">
        <f t="shared" si="205"/>
        <v/>
      </c>
    </row>
    <row r="752" spans="2:27" ht="39">
      <c r="B752" s="1532" t="str">
        <f t="shared" si="203"/>
        <v>Observant</v>
      </c>
      <c r="C752" s="1795"/>
      <c r="D752" s="920"/>
      <c r="E752" s="61" t="s">
        <v>1935</v>
      </c>
      <c r="F752" s="61"/>
      <c r="G752" s="61"/>
      <c r="H752" s="61"/>
      <c r="I752" s="61"/>
      <c r="J752" s="1687" t="s">
        <v>7469</v>
      </c>
      <c r="K752" s="63" t="str">
        <f t="shared" si="202"/>
        <v>No</v>
      </c>
      <c r="L752" s="76"/>
      <c r="M752" s="63">
        <f t="shared" si="206"/>
        <v>0</v>
      </c>
      <c r="N752" s="63" t="s">
        <v>7498</v>
      </c>
      <c r="O752" s="64"/>
      <c r="P752" s="660" t="str">
        <f t="shared" si="188"/>
        <v/>
      </c>
      <c r="Q752" s="52" t="str">
        <f t="shared" si="207"/>
        <v>No</v>
      </c>
      <c r="R752" s="1574" t="str">
        <f t="shared" si="204"/>
        <v/>
      </c>
      <c r="S752" s="52" t="str">
        <f t="shared" si="198"/>
        <v/>
      </c>
      <c r="T752" s="52" t="str">
        <f t="shared" si="199"/>
        <v/>
      </c>
      <c r="U752" s="52" t="str">
        <f t="shared" si="194"/>
        <v/>
      </c>
      <c r="V752" s="52" t="str">
        <f t="shared" si="200"/>
        <v/>
      </c>
      <c r="W752" s="1578"/>
      <c r="X752" s="52" t="str">
        <f t="shared" si="189"/>
        <v/>
      </c>
      <c r="Y752" s="52" t="str">
        <f t="shared" si="196"/>
        <v/>
      </c>
      <c r="AA752" s="52" t="str">
        <f t="shared" si="205"/>
        <v/>
      </c>
    </row>
    <row r="753" spans="2:27">
      <c r="B753" s="1532" t="str">
        <f t="shared" si="203"/>
        <v>Protocol</v>
      </c>
      <c r="C753" s="1795"/>
      <c r="D753" s="920"/>
      <c r="E753" s="61" t="s">
        <v>3069</v>
      </c>
      <c r="F753" s="61"/>
      <c r="G753" s="61"/>
      <c r="H753" s="61"/>
      <c r="I753" s="61"/>
      <c r="J753" s="1687" t="s">
        <v>5108</v>
      </c>
      <c r="K753" s="63" t="str">
        <f t="shared" si="202"/>
        <v>No</v>
      </c>
      <c r="L753" s="76"/>
      <c r="M753" s="63">
        <f t="shared" si="206"/>
        <v>0</v>
      </c>
      <c r="N753" s="63" t="s">
        <v>3067</v>
      </c>
      <c r="O753" s="64"/>
      <c r="P753" s="660" t="str">
        <f t="shared" si="188"/>
        <v/>
      </c>
      <c r="Q753" s="52" t="str">
        <f t="shared" si="207"/>
        <v>No</v>
      </c>
      <c r="R753" s="1574" t="str">
        <f t="shared" si="204"/>
        <v/>
      </c>
      <c r="S753" s="52" t="str">
        <f t="shared" si="198"/>
        <v/>
      </c>
      <c r="T753" s="52" t="str">
        <f t="shared" si="199"/>
        <v/>
      </c>
      <c r="U753" s="52" t="str">
        <f t="shared" si="194"/>
        <v/>
      </c>
      <c r="V753" s="52" t="str">
        <f t="shared" si="200"/>
        <v/>
      </c>
      <c r="W753" s="1578"/>
      <c r="X753" s="52" t="str">
        <f t="shared" si="189"/>
        <v/>
      </c>
      <c r="Y753" s="52" t="str">
        <f t="shared" si="196"/>
        <v/>
      </c>
      <c r="AA753" s="52" t="str">
        <f t="shared" si="205"/>
        <v/>
      </c>
    </row>
    <row r="754" spans="2:27" ht="117">
      <c r="B754" s="1532" t="str">
        <f t="shared" si="203"/>
        <v>Supervising Droid</v>
      </c>
      <c r="C754" s="1795"/>
      <c r="D754" s="920"/>
      <c r="E754" s="61" t="s">
        <v>7470</v>
      </c>
      <c r="F754" s="61"/>
      <c r="G754" s="61"/>
      <c r="H754" s="61"/>
      <c r="I754" s="61"/>
      <c r="J754" s="1687" t="s">
        <v>7471</v>
      </c>
      <c r="K754" s="63" t="str">
        <f t="shared" si="202"/>
        <v>No</v>
      </c>
      <c r="L754" s="76"/>
      <c r="M754" s="63">
        <f t="shared" si="206"/>
        <v>0</v>
      </c>
      <c r="N754" s="63" t="s">
        <v>7498</v>
      </c>
      <c r="O754" s="64"/>
      <c r="P754" s="660" t="str">
        <f t="shared" si="188"/>
        <v/>
      </c>
      <c r="Q754" s="52" t="str">
        <f t="shared" si="207"/>
        <v>No</v>
      </c>
      <c r="R754" s="1574" t="str">
        <f t="shared" si="204"/>
        <v/>
      </c>
      <c r="S754" s="52" t="str">
        <f t="shared" si="198"/>
        <v/>
      </c>
      <c r="T754" s="52" t="str">
        <f t="shared" si="199"/>
        <v/>
      </c>
      <c r="U754" s="52" t="str">
        <f t="shared" si="194"/>
        <v/>
      </c>
      <c r="V754" s="52" t="str">
        <f t="shared" si="200"/>
        <v/>
      </c>
      <c r="W754" s="1578"/>
      <c r="X754" s="52" t="str">
        <f t="shared" si="189"/>
        <v/>
      </c>
      <c r="Y754" s="52" t="str">
        <f t="shared" si="196"/>
        <v/>
      </c>
      <c r="AA754" s="52" t="str">
        <f t="shared" si="205"/>
        <v/>
      </c>
    </row>
    <row r="755" spans="2:27" ht="39">
      <c r="B755" s="1532" t="str">
        <f t="shared" si="203"/>
        <v>Talkdroid</v>
      </c>
      <c r="C755" s="1795"/>
      <c r="D755" s="920"/>
      <c r="E755" s="61" t="s">
        <v>7472</v>
      </c>
      <c r="F755" s="61"/>
      <c r="G755" s="61"/>
      <c r="H755" s="61"/>
      <c r="I755" s="61"/>
      <c r="J755" s="1687" t="s">
        <v>7473</v>
      </c>
      <c r="K755" s="63" t="str">
        <f t="shared" si="202"/>
        <v>No</v>
      </c>
      <c r="L755" s="76"/>
      <c r="M755" s="63">
        <f t="shared" si="206"/>
        <v>0</v>
      </c>
      <c r="N755" s="63" t="s">
        <v>7498</v>
      </c>
      <c r="O755" s="64"/>
      <c r="P755" s="660" t="str">
        <f t="shared" si="188"/>
        <v/>
      </c>
      <c r="Q755" s="52" t="str">
        <f t="shared" si="207"/>
        <v>No</v>
      </c>
      <c r="R755" s="1574" t="str">
        <f t="shared" si="204"/>
        <v/>
      </c>
      <c r="S755" s="52" t="str">
        <f t="shared" si="198"/>
        <v/>
      </c>
      <c r="T755" s="52" t="str">
        <f t="shared" si="199"/>
        <v/>
      </c>
      <c r="U755" s="52" t="str">
        <f t="shared" si="194"/>
        <v/>
      </c>
      <c r="V755" s="52" t="str">
        <f t="shared" si="200"/>
        <v/>
      </c>
      <c r="W755" s="1578"/>
      <c r="X755" s="52" t="str">
        <f t="shared" si="189"/>
        <v/>
      </c>
      <c r="Y755" s="52" t="str">
        <f t="shared" si="196"/>
        <v/>
      </c>
      <c r="AA755" s="52" t="str">
        <f t="shared" si="205"/>
        <v/>
      </c>
    </row>
    <row r="756" spans="2:27">
      <c r="B756" s="1532" t="str">
        <f t="shared" si="203"/>
        <v>Combat Repairs</v>
      </c>
      <c r="C756" s="1795"/>
      <c r="D756" s="920" t="s">
        <v>3070</v>
      </c>
      <c r="E756" s="61" t="s">
        <v>3071</v>
      </c>
      <c r="F756" s="61"/>
      <c r="G756" s="61"/>
      <c r="H756" s="61"/>
      <c r="I756" s="61"/>
      <c r="J756" s="1687" t="s">
        <v>5109</v>
      </c>
      <c r="K756" s="63" t="str">
        <f t="shared" si="202"/>
        <v>No</v>
      </c>
      <c r="L756" s="76"/>
      <c r="M756" s="63">
        <f t="shared" si="206"/>
        <v>0</v>
      </c>
      <c r="N756" s="63" t="s">
        <v>3067</v>
      </c>
      <c r="O756" s="64"/>
      <c r="P756" s="660" t="str">
        <f t="shared" si="188"/>
        <v/>
      </c>
      <c r="Q756" s="52" t="str">
        <f t="shared" si="207"/>
        <v>No</v>
      </c>
      <c r="R756" s="1574" t="str">
        <f t="shared" si="204"/>
        <v/>
      </c>
      <c r="S756" s="52" t="str">
        <f t="shared" si="198"/>
        <v/>
      </c>
      <c r="T756" s="52" t="str">
        <f t="shared" si="199"/>
        <v/>
      </c>
      <c r="U756" s="52" t="str">
        <f t="shared" si="194"/>
        <v/>
      </c>
      <c r="V756" s="52" t="str">
        <f t="shared" si="200"/>
        <v/>
      </c>
      <c r="W756" s="1578"/>
      <c r="X756" s="52" t="str">
        <f t="shared" si="189"/>
        <v/>
      </c>
      <c r="Y756" s="52" t="str">
        <f t="shared" si="196"/>
        <v/>
      </c>
      <c r="AA756" s="52" t="str">
        <f t="shared" si="205"/>
        <v/>
      </c>
    </row>
    <row r="757" spans="2:27">
      <c r="B757" s="1532" t="str">
        <f t="shared" si="203"/>
        <v>Droid Smash</v>
      </c>
      <c r="C757" s="1795"/>
      <c r="D757" s="920"/>
      <c r="E757" s="61" t="s">
        <v>3072</v>
      </c>
      <c r="F757" s="61"/>
      <c r="G757" s="61"/>
      <c r="H757" s="61"/>
      <c r="I757" s="61"/>
      <c r="J757" s="1687" t="s">
        <v>5110</v>
      </c>
      <c r="K757" s="63" t="str">
        <f t="shared" si="202"/>
        <v>No</v>
      </c>
      <c r="L757" s="76"/>
      <c r="M757" s="63">
        <f t="shared" si="206"/>
        <v>0</v>
      </c>
      <c r="N757" s="63" t="s">
        <v>3067</v>
      </c>
      <c r="O757" s="64"/>
      <c r="P757" s="660" t="str">
        <f t="shared" si="188"/>
        <v/>
      </c>
      <c r="Q757" s="52" t="str">
        <f t="shared" si="207"/>
        <v>No</v>
      </c>
      <c r="R757" s="1574" t="str">
        <f t="shared" si="204"/>
        <v/>
      </c>
      <c r="S757" s="52" t="str">
        <f t="shared" si="198"/>
        <v/>
      </c>
      <c r="T757" s="52" t="str">
        <f t="shared" si="199"/>
        <v/>
      </c>
      <c r="U757" s="52" t="str">
        <f t="shared" si="194"/>
        <v/>
      </c>
      <c r="V757" s="52" t="str">
        <f t="shared" si="200"/>
        <v/>
      </c>
      <c r="W757" s="1578"/>
      <c r="X757" s="52" t="str">
        <f t="shared" si="189"/>
        <v/>
      </c>
      <c r="Y757" s="52" t="str">
        <f t="shared" si="196"/>
        <v/>
      </c>
      <c r="AA757" s="52" t="str">
        <f t="shared" si="205"/>
        <v/>
      </c>
    </row>
    <row r="758" spans="2:27" ht="39">
      <c r="B758" s="1532" t="str">
        <f t="shared" si="203"/>
        <v>Just a Scratch</v>
      </c>
      <c r="C758" s="1795"/>
      <c r="D758" s="920"/>
      <c r="E758" s="61" t="s">
        <v>7474</v>
      </c>
      <c r="F758" s="61"/>
      <c r="G758" s="61"/>
      <c r="H758" s="61"/>
      <c r="I758" s="61"/>
      <c r="J758" s="1687" t="s">
        <v>7475</v>
      </c>
      <c r="K758" s="63" t="str">
        <f t="shared" si="202"/>
        <v>No</v>
      </c>
      <c r="L758" s="76"/>
      <c r="M758" s="63">
        <f t="shared" si="206"/>
        <v>0</v>
      </c>
      <c r="N758" s="63" t="s">
        <v>7499</v>
      </c>
      <c r="O758" s="64"/>
      <c r="P758" s="660" t="str">
        <f t="shared" si="188"/>
        <v/>
      </c>
      <c r="Q758" s="52" t="str">
        <f t="shared" si="207"/>
        <v>No</v>
      </c>
      <c r="R758" s="1574" t="str">
        <f t="shared" si="204"/>
        <v/>
      </c>
      <c r="S758" s="52" t="str">
        <f t="shared" si="198"/>
        <v/>
      </c>
      <c r="T758" s="52" t="str">
        <f t="shared" si="199"/>
        <v/>
      </c>
      <c r="U758" s="52" t="str">
        <f t="shared" si="194"/>
        <v/>
      </c>
      <c r="V758" s="52" t="str">
        <f t="shared" si="200"/>
        <v/>
      </c>
      <c r="W758" s="1578"/>
      <c r="X758" s="52" t="str">
        <f t="shared" si="189"/>
        <v/>
      </c>
      <c r="Y758" s="52" t="str">
        <f t="shared" si="196"/>
        <v/>
      </c>
      <c r="AA758" s="52" t="str">
        <f t="shared" si="205"/>
        <v/>
      </c>
    </row>
    <row r="759" spans="2:27" ht="39">
      <c r="B759" s="1532" t="str">
        <f t="shared" si="203"/>
        <v>Target Acquisition</v>
      </c>
      <c r="C759" s="1795"/>
      <c r="D759" s="920"/>
      <c r="E759" s="61" t="s">
        <v>7476</v>
      </c>
      <c r="F759" s="61"/>
      <c r="G759" s="61"/>
      <c r="H759" s="61"/>
      <c r="I759" s="61"/>
      <c r="J759" s="1687" t="s">
        <v>7477</v>
      </c>
      <c r="K759" s="63" t="str">
        <f t="shared" si="202"/>
        <v>No</v>
      </c>
      <c r="L759" s="76"/>
      <c r="M759" s="63">
        <f t="shared" si="206"/>
        <v>0</v>
      </c>
      <c r="N759" s="63" t="s">
        <v>7499</v>
      </c>
      <c r="O759" s="64"/>
      <c r="P759" s="660" t="str">
        <f t="shared" si="188"/>
        <v/>
      </c>
      <c r="Q759" s="52" t="str">
        <f t="shared" si="207"/>
        <v>No</v>
      </c>
      <c r="R759" s="1574" t="str">
        <f t="shared" si="204"/>
        <v/>
      </c>
      <c r="S759" s="52" t="str">
        <f t="shared" si="198"/>
        <v/>
      </c>
      <c r="T759" s="52" t="str">
        <f t="shared" si="199"/>
        <v/>
      </c>
      <c r="U759" s="52" t="str">
        <f t="shared" si="194"/>
        <v/>
      </c>
      <c r="V759" s="52" t="str">
        <f t="shared" si="200"/>
        <v/>
      </c>
      <c r="W759" s="1578"/>
      <c r="X759" s="52" t="str">
        <f t="shared" si="189"/>
        <v/>
      </c>
      <c r="Y759" s="52" t="str">
        <f t="shared" si="196"/>
        <v/>
      </c>
      <c r="AA759" s="52" t="str">
        <f t="shared" si="205"/>
        <v/>
      </c>
    </row>
    <row r="760" spans="2:27" ht="52">
      <c r="B760" s="1532" t="str">
        <f t="shared" si="203"/>
        <v>Target Lock</v>
      </c>
      <c r="C760" s="1795"/>
      <c r="D760" s="920"/>
      <c r="E760" s="61" t="s">
        <v>5766</v>
      </c>
      <c r="F760" s="61"/>
      <c r="G760" s="61"/>
      <c r="H760" s="61"/>
      <c r="I760" s="61"/>
      <c r="J760" s="1687" t="s">
        <v>7478</v>
      </c>
      <c r="K760" s="63" t="str">
        <f t="shared" si="202"/>
        <v>No</v>
      </c>
      <c r="L760" s="76"/>
      <c r="M760" s="63">
        <f t="shared" si="206"/>
        <v>0</v>
      </c>
      <c r="N760" s="63" t="s">
        <v>7499</v>
      </c>
      <c r="O760" s="64"/>
      <c r="P760" s="660" t="str">
        <f t="shared" si="188"/>
        <v/>
      </c>
      <c r="Q760" s="52" t="str">
        <f t="shared" si="207"/>
        <v>No</v>
      </c>
      <c r="R760" s="1574" t="str">
        <f t="shared" si="204"/>
        <v/>
      </c>
      <c r="S760" s="52" t="str">
        <f t="shared" si="198"/>
        <v/>
      </c>
      <c r="T760" s="52" t="str">
        <f t="shared" si="199"/>
        <v/>
      </c>
      <c r="U760" s="52" t="str">
        <f t="shared" si="194"/>
        <v/>
      </c>
      <c r="V760" s="52" t="str">
        <f t="shared" si="200"/>
        <v/>
      </c>
      <c r="W760" s="1578"/>
      <c r="X760" s="52" t="str">
        <f t="shared" si="189"/>
        <v/>
      </c>
      <c r="Y760" s="52" t="str">
        <f t="shared" si="196"/>
        <v/>
      </c>
      <c r="AA760" s="52" t="str">
        <f t="shared" si="205"/>
        <v/>
      </c>
    </row>
    <row r="761" spans="2:27" ht="26">
      <c r="B761" s="1532" t="str">
        <f t="shared" si="203"/>
        <v>Targeting Package</v>
      </c>
      <c r="C761" s="1795"/>
      <c r="D761" s="920"/>
      <c r="E761" s="61" t="s">
        <v>3073</v>
      </c>
      <c r="F761" s="61"/>
      <c r="G761" s="61"/>
      <c r="H761" s="61"/>
      <c r="I761" s="61"/>
      <c r="J761" s="1687" t="s">
        <v>5111</v>
      </c>
      <c r="K761" s="63" t="str">
        <f t="shared" si="202"/>
        <v>No</v>
      </c>
      <c r="L761" s="76"/>
      <c r="M761" s="63">
        <f t="shared" si="206"/>
        <v>0</v>
      </c>
      <c r="N761" s="63" t="s">
        <v>3067</v>
      </c>
      <c r="O761" s="64"/>
      <c r="P761" s="660" t="str">
        <f t="shared" si="188"/>
        <v/>
      </c>
      <c r="Q761" s="52" t="str">
        <f t="shared" si="207"/>
        <v>No</v>
      </c>
      <c r="R761" s="1574" t="str">
        <f t="shared" si="204"/>
        <v/>
      </c>
      <c r="S761" s="52" t="str">
        <f t="shared" si="198"/>
        <v/>
      </c>
      <c r="T761" s="52" t="str">
        <f t="shared" si="199"/>
        <v/>
      </c>
      <c r="U761" s="52" t="str">
        <f t="shared" si="194"/>
        <v/>
      </c>
      <c r="V761" s="52" t="str">
        <f t="shared" si="200"/>
        <v/>
      </c>
      <c r="W761" s="1578"/>
      <c r="X761" s="52" t="str">
        <f t="shared" si="189"/>
        <v/>
      </c>
      <c r="Y761" s="52" t="str">
        <f t="shared" si="196"/>
        <v/>
      </c>
      <c r="AA761" s="52" t="str">
        <f t="shared" si="205"/>
        <v/>
      </c>
    </row>
    <row r="762" spans="2:27" ht="39">
      <c r="B762" s="1532" t="str">
        <f t="shared" si="203"/>
        <v>Weapons Power Surge</v>
      </c>
      <c r="C762" s="1795"/>
      <c r="D762" s="920"/>
      <c r="E762" s="61" t="s">
        <v>7479</v>
      </c>
      <c r="F762" s="61"/>
      <c r="G762" s="61"/>
      <c r="H762" s="61"/>
      <c r="I762" s="61"/>
      <c r="J762" s="1687" t="s">
        <v>7480</v>
      </c>
      <c r="K762" s="63" t="str">
        <f t="shared" si="202"/>
        <v>No</v>
      </c>
      <c r="L762" s="76"/>
      <c r="M762" s="63">
        <f t="shared" si="206"/>
        <v>0</v>
      </c>
      <c r="N762" s="63" t="s">
        <v>7499</v>
      </c>
      <c r="O762" s="64"/>
      <c r="P762" s="660" t="str">
        <f t="shared" si="188"/>
        <v/>
      </c>
      <c r="Q762" s="52" t="str">
        <f t="shared" si="207"/>
        <v>No</v>
      </c>
      <c r="R762" s="1574" t="str">
        <f t="shared" si="204"/>
        <v/>
      </c>
      <c r="S762" s="52" t="str">
        <f t="shared" si="198"/>
        <v/>
      </c>
      <c r="T762" s="52" t="str">
        <f t="shared" si="199"/>
        <v/>
      </c>
      <c r="U762" s="52" t="str">
        <f t="shared" si="194"/>
        <v/>
      </c>
      <c r="V762" s="52" t="str">
        <f t="shared" si="200"/>
        <v/>
      </c>
      <c r="W762" s="1578"/>
      <c r="X762" s="52" t="str">
        <f t="shared" si="189"/>
        <v/>
      </c>
      <c r="Y762" s="52" t="str">
        <f t="shared" si="196"/>
        <v/>
      </c>
      <c r="AA762" s="52" t="str">
        <f t="shared" si="205"/>
        <v/>
      </c>
    </row>
    <row r="763" spans="2:27">
      <c r="B763" s="1532" t="str">
        <f t="shared" si="203"/>
        <v>Cargo Hauler</v>
      </c>
      <c r="C763" s="1795"/>
      <c r="D763" s="920" t="s">
        <v>3074</v>
      </c>
      <c r="E763" s="61" t="s">
        <v>3075</v>
      </c>
      <c r="F763" s="61"/>
      <c r="G763" s="61"/>
      <c r="H763" s="61"/>
      <c r="I763" s="61"/>
      <c r="J763" s="1687" t="s">
        <v>5112</v>
      </c>
      <c r="K763" s="63" t="str">
        <f t="shared" si="202"/>
        <v>No</v>
      </c>
      <c r="L763" s="76"/>
      <c r="M763" s="63">
        <f t="shared" si="206"/>
        <v>0</v>
      </c>
      <c r="N763" s="63" t="s">
        <v>3067</v>
      </c>
      <c r="O763" s="64"/>
      <c r="P763" s="660" t="str">
        <f t="shared" si="188"/>
        <v/>
      </c>
      <c r="Q763" s="52" t="str">
        <f t="shared" si="207"/>
        <v>No</v>
      </c>
      <c r="R763" s="1574" t="str">
        <f t="shared" si="204"/>
        <v/>
      </c>
      <c r="S763" s="52" t="str">
        <f t="shared" si="198"/>
        <v/>
      </c>
      <c r="T763" s="52" t="str">
        <f t="shared" si="199"/>
        <v/>
      </c>
      <c r="U763" s="52" t="str">
        <f t="shared" si="194"/>
        <v/>
      </c>
      <c r="V763" s="52" t="str">
        <f t="shared" si="200"/>
        <v/>
      </c>
      <c r="W763" s="1578"/>
      <c r="X763" s="52" t="str">
        <f t="shared" si="189"/>
        <v/>
      </c>
      <c r="Y763" s="52" t="str">
        <f t="shared" si="196"/>
        <v/>
      </c>
      <c r="AA763" s="52" t="str">
        <f t="shared" si="205"/>
        <v/>
      </c>
    </row>
    <row r="764" spans="2:27" ht="39">
      <c r="B764" s="1532" t="str">
        <f t="shared" si="203"/>
        <v>Durable</v>
      </c>
      <c r="C764" s="1795"/>
      <c r="D764" s="920"/>
      <c r="E764" s="61" t="s">
        <v>7482</v>
      </c>
      <c r="F764" s="61"/>
      <c r="G764" s="61"/>
      <c r="H764" s="61"/>
      <c r="I764" s="61"/>
      <c r="J764" s="1687" t="s">
        <v>7483</v>
      </c>
      <c r="K764" s="63" t="str">
        <f t="shared" si="202"/>
        <v>No</v>
      </c>
      <c r="L764" s="76"/>
      <c r="M764" s="63">
        <f t="shared" si="206"/>
        <v>0</v>
      </c>
      <c r="N764" s="63" t="s">
        <v>7499</v>
      </c>
      <c r="O764" s="64"/>
      <c r="P764" s="660" t="str">
        <f t="shared" si="188"/>
        <v/>
      </c>
      <c r="Q764" s="52" t="str">
        <f t="shared" si="207"/>
        <v>No</v>
      </c>
      <c r="R764" s="1574" t="str">
        <f t="shared" si="204"/>
        <v/>
      </c>
      <c r="S764" s="52" t="str">
        <f t="shared" si="198"/>
        <v/>
      </c>
      <c r="T764" s="52" t="str">
        <f t="shared" si="199"/>
        <v/>
      </c>
      <c r="U764" s="52" t="str">
        <f t="shared" si="194"/>
        <v/>
      </c>
      <c r="V764" s="52" t="str">
        <f t="shared" si="200"/>
        <v/>
      </c>
      <c r="W764" s="1578"/>
      <c r="X764" s="52" t="str">
        <f t="shared" si="189"/>
        <v/>
      </c>
      <c r="Y764" s="52" t="str">
        <f t="shared" si="196"/>
        <v/>
      </c>
      <c r="AA764" s="52" t="str">
        <f t="shared" si="205"/>
        <v/>
      </c>
    </row>
    <row r="765" spans="2:27">
      <c r="B765" s="1532" t="str">
        <f t="shared" si="203"/>
        <v>Environmentally Shielded</v>
      </c>
      <c r="C765" s="1795"/>
      <c r="D765" s="920"/>
      <c r="E765" s="61" t="s">
        <v>3076</v>
      </c>
      <c r="F765" s="61"/>
      <c r="G765" s="61"/>
      <c r="H765" s="61"/>
      <c r="I765" s="61"/>
      <c r="J765" s="1687" t="s">
        <v>5113</v>
      </c>
      <c r="K765" s="63" t="str">
        <f t="shared" si="202"/>
        <v>No</v>
      </c>
      <c r="L765" s="76"/>
      <c r="M765" s="63">
        <f t="shared" si="206"/>
        <v>0</v>
      </c>
      <c r="N765" s="63" t="s">
        <v>3067</v>
      </c>
      <c r="O765" s="64"/>
      <c r="P765" s="660" t="str">
        <f t="shared" si="188"/>
        <v/>
      </c>
      <c r="Q765" s="52" t="str">
        <f t="shared" si="207"/>
        <v>No</v>
      </c>
      <c r="R765" s="1574" t="str">
        <f t="shared" si="204"/>
        <v/>
      </c>
      <c r="S765" s="52" t="str">
        <f t="shared" si="198"/>
        <v/>
      </c>
      <c r="T765" s="52" t="str">
        <f t="shared" si="199"/>
        <v/>
      </c>
      <c r="U765" s="52" t="str">
        <f t="shared" si="194"/>
        <v/>
      </c>
      <c r="V765" s="52" t="str">
        <f t="shared" si="200"/>
        <v/>
      </c>
      <c r="W765" s="1578"/>
      <c r="X765" s="52" t="str">
        <f t="shared" si="189"/>
        <v/>
      </c>
      <c r="Y765" s="52" t="str">
        <f t="shared" si="196"/>
        <v/>
      </c>
      <c r="AA765" s="52" t="str">
        <f t="shared" si="205"/>
        <v/>
      </c>
    </row>
    <row r="766" spans="2:27" ht="26">
      <c r="B766" s="1532" t="str">
        <f t="shared" si="203"/>
        <v>Heavy-Duty Actuators</v>
      </c>
      <c r="C766" s="1795"/>
      <c r="D766" s="920"/>
      <c r="E766" s="61" t="s">
        <v>7484</v>
      </c>
      <c r="F766" s="61"/>
      <c r="G766" s="61"/>
      <c r="H766" s="61"/>
      <c r="I766" s="61"/>
      <c r="J766" s="1687" t="s">
        <v>7485</v>
      </c>
      <c r="K766" s="63" t="str">
        <f t="shared" si="202"/>
        <v>No</v>
      </c>
      <c r="L766" s="76"/>
      <c r="M766" s="63">
        <f t="shared" si="206"/>
        <v>0</v>
      </c>
      <c r="N766" s="63" t="s">
        <v>7499</v>
      </c>
      <c r="O766" s="64"/>
      <c r="P766" s="660" t="str">
        <f t="shared" si="188"/>
        <v/>
      </c>
      <c r="Q766" s="52" t="str">
        <f t="shared" si="207"/>
        <v>No</v>
      </c>
      <c r="R766" s="1574" t="str">
        <f t="shared" si="204"/>
        <v/>
      </c>
      <c r="S766" s="52" t="str">
        <f t="shared" si="198"/>
        <v/>
      </c>
      <c r="T766" s="52" t="str">
        <f t="shared" si="199"/>
        <v/>
      </c>
      <c r="U766" s="52" t="str">
        <f t="shared" si="194"/>
        <v/>
      </c>
      <c r="V766" s="52" t="str">
        <f t="shared" si="200"/>
        <v/>
      </c>
      <c r="W766" s="1578"/>
      <c r="X766" s="52" t="str">
        <f t="shared" si="189"/>
        <v/>
      </c>
      <c r="Y766" s="52" t="str">
        <f t="shared" si="196"/>
        <v/>
      </c>
      <c r="AA766" s="52" t="str">
        <f t="shared" si="205"/>
        <v/>
      </c>
    </row>
    <row r="767" spans="2:27" ht="39">
      <c r="B767" s="1532" t="str">
        <f t="shared" si="203"/>
        <v>Load Launcher</v>
      </c>
      <c r="C767" s="1795"/>
      <c r="D767" s="920"/>
      <c r="E767" s="61" t="s">
        <v>7486</v>
      </c>
      <c r="F767" s="61"/>
      <c r="G767" s="61"/>
      <c r="H767" s="61"/>
      <c r="I767" s="61"/>
      <c r="J767" s="1689" t="s">
        <v>7487</v>
      </c>
      <c r="K767" s="63" t="str">
        <f t="shared" si="202"/>
        <v>No</v>
      </c>
      <c r="L767" s="76"/>
      <c r="M767" s="63">
        <f t="shared" si="206"/>
        <v>0</v>
      </c>
      <c r="N767" s="63" t="s">
        <v>7499</v>
      </c>
      <c r="O767" s="64"/>
      <c r="P767" s="660" t="str">
        <f t="shared" si="188"/>
        <v/>
      </c>
      <c r="Q767" s="52" t="str">
        <f t="shared" si="207"/>
        <v>No</v>
      </c>
      <c r="R767" s="1574" t="str">
        <f t="shared" si="204"/>
        <v/>
      </c>
      <c r="S767" s="52" t="str">
        <f t="shared" si="198"/>
        <v/>
      </c>
      <c r="T767" s="52" t="str">
        <f t="shared" si="199"/>
        <v/>
      </c>
      <c r="U767" s="52" t="str">
        <f t="shared" si="194"/>
        <v/>
      </c>
      <c r="V767" s="52" t="str">
        <f t="shared" si="200"/>
        <v/>
      </c>
      <c r="W767" s="1578"/>
      <c r="X767" s="52" t="str">
        <f t="shared" si="189"/>
        <v/>
      </c>
      <c r="Y767" s="52" t="str">
        <f t="shared" si="196"/>
        <v/>
      </c>
      <c r="AA767" s="52" t="str">
        <f t="shared" si="205"/>
        <v/>
      </c>
    </row>
    <row r="768" spans="2:27">
      <c r="B768" s="1532" t="str">
        <f t="shared" si="203"/>
        <v>Power Supply</v>
      </c>
      <c r="C768" s="1795"/>
      <c r="D768" s="920"/>
      <c r="E768" s="61" t="s">
        <v>3077</v>
      </c>
      <c r="F768" s="61"/>
      <c r="G768" s="61"/>
      <c r="H768" s="61"/>
      <c r="I768" s="61"/>
      <c r="J768" s="1684" t="s">
        <v>5114</v>
      </c>
      <c r="K768" s="63" t="str">
        <f t="shared" si="202"/>
        <v>No</v>
      </c>
      <c r="L768" s="76"/>
      <c r="M768" s="63">
        <f t="shared" si="206"/>
        <v>0</v>
      </c>
      <c r="N768" s="63" t="s">
        <v>3067</v>
      </c>
      <c r="O768" s="64"/>
      <c r="P768" s="660" t="str">
        <f t="shared" ref="P768:P831" si="208">IF(ShowTalentTrees,IF(D768&lt;&gt;"",D768,P767),"")</f>
        <v/>
      </c>
      <c r="Q768" s="52" t="str">
        <f t="shared" si="207"/>
        <v>No</v>
      </c>
      <c r="R768" s="1574" t="str">
        <f t="shared" si="204"/>
        <v/>
      </c>
      <c r="S768" s="52" t="str">
        <f t="shared" si="198"/>
        <v/>
      </c>
      <c r="T768" s="52" t="str">
        <f t="shared" si="199"/>
        <v/>
      </c>
      <c r="U768" s="52" t="str">
        <f t="shared" si="194"/>
        <v/>
      </c>
      <c r="V768" s="52" t="str">
        <f t="shared" si="200"/>
        <v/>
      </c>
      <c r="W768" s="1578"/>
      <c r="X768" s="52" t="str">
        <f t="shared" ref="X768:X831" si="209">IF(U768&lt;&gt;"",IF(W768="Special Actions",U768&amp;IF(X769&lt;&gt;"",", ",""),"")&amp;X769,X769)</f>
        <v/>
      </c>
      <c r="Y768" s="52" t="str">
        <f t="shared" si="196"/>
        <v/>
      </c>
      <c r="AA768" s="52" t="str">
        <f t="shared" si="205"/>
        <v/>
      </c>
    </row>
    <row r="769" spans="2:27" ht="39">
      <c r="B769" s="1532" t="str">
        <f t="shared" si="203"/>
        <v>Task Optimization</v>
      </c>
      <c r="C769" s="1524"/>
      <c r="D769" s="920"/>
      <c r="E769" s="61" t="s">
        <v>7488</v>
      </c>
      <c r="F769" s="61"/>
      <c r="G769" s="61"/>
      <c r="H769" s="61"/>
      <c r="I769" s="61"/>
      <c r="J769" s="1690" t="s">
        <v>7489</v>
      </c>
      <c r="K769" s="63" t="str">
        <f t="shared" si="202"/>
        <v>No</v>
      </c>
      <c r="L769" s="76"/>
      <c r="M769" s="63">
        <f t="shared" si="206"/>
        <v>0</v>
      </c>
      <c r="N769" s="63" t="s">
        <v>7452</v>
      </c>
      <c r="O769" s="64"/>
      <c r="P769" s="660" t="str">
        <f t="shared" si="208"/>
        <v/>
      </c>
      <c r="Q769" s="52" t="str">
        <f t="shared" si="207"/>
        <v>No</v>
      </c>
      <c r="R769" s="1574" t="str">
        <f t="shared" si="204"/>
        <v/>
      </c>
      <c r="S769" s="52" t="str">
        <f t="shared" si="198"/>
        <v/>
      </c>
      <c r="T769" s="52" t="str">
        <f t="shared" si="199"/>
        <v/>
      </c>
      <c r="U769" s="52" t="str">
        <f t="shared" si="194"/>
        <v/>
      </c>
      <c r="V769" s="52" t="str">
        <f t="shared" si="200"/>
        <v/>
      </c>
      <c r="W769" s="1578"/>
      <c r="X769" s="52" t="str">
        <f t="shared" si="209"/>
        <v/>
      </c>
      <c r="Y769" s="52" t="str">
        <f t="shared" si="196"/>
        <v/>
      </c>
      <c r="AA769" s="52" t="str">
        <f t="shared" si="205"/>
        <v/>
      </c>
    </row>
    <row r="770" spans="2:27" ht="15" customHeight="1">
      <c r="B770" s="1532" t="str">
        <f t="shared" ref="B770:B775" si="210">IF(E770&lt;&gt;"",E770,IF(F770&lt;&gt;"",F770,IF(G770&lt;&gt;"",G770,IF(H770&lt;&gt;"",H770))))</f>
        <v>Outrun</v>
      </c>
      <c r="C770" s="1794" t="s">
        <v>3078</v>
      </c>
      <c r="D770" s="922" t="s">
        <v>3079</v>
      </c>
      <c r="E770" s="923" t="s">
        <v>3080</v>
      </c>
      <c r="F770" s="923"/>
      <c r="G770" s="923"/>
      <c r="H770" s="923"/>
      <c r="I770" s="923"/>
      <c r="J770" s="1687" t="s">
        <v>5115</v>
      </c>
      <c r="K770" s="63" t="str">
        <f t="shared" si="202"/>
        <v>No</v>
      </c>
      <c r="L770" s="76"/>
      <c r="M770" s="63">
        <f t="shared" si="206"/>
        <v>0</v>
      </c>
      <c r="N770" s="924" t="s">
        <v>2506</v>
      </c>
      <c r="O770" s="64"/>
      <c r="P770" s="660" t="str">
        <f t="shared" si="208"/>
        <v/>
      </c>
      <c r="Q770" s="52" t="str">
        <f>IF(OR(AD45&gt;0,AD13&gt;0),"Yes","No")</f>
        <v>No</v>
      </c>
      <c r="R770" s="1574" t="str">
        <f t="shared" si="204"/>
        <v/>
      </c>
      <c r="S770" s="52" t="str">
        <f t="shared" si="198"/>
        <v/>
      </c>
      <c r="T770" s="52" t="str">
        <f t="shared" si="199"/>
        <v/>
      </c>
      <c r="U770" s="52" t="str">
        <f t="shared" si="194"/>
        <v/>
      </c>
      <c r="V770" s="52" t="str">
        <f t="shared" si="200"/>
        <v/>
      </c>
      <c r="W770" s="1578"/>
      <c r="X770" s="52" t="str">
        <f t="shared" si="209"/>
        <v/>
      </c>
      <c r="Y770" s="52" t="str">
        <f t="shared" si="196"/>
        <v/>
      </c>
      <c r="AA770" s="52" t="str">
        <f>IF(U770&lt;&gt;"",IF(Z770="Defenses",U770&amp;IF(AA771&lt;&gt;"",", ",""),"")&amp;AA771,AA771)</f>
        <v/>
      </c>
    </row>
    <row r="771" spans="2:27">
      <c r="B771" s="1532" t="str">
        <f t="shared" si="210"/>
        <v>Punch Through</v>
      </c>
      <c r="C771" s="1795"/>
      <c r="D771" s="920"/>
      <c r="E771" s="61" t="s">
        <v>3081</v>
      </c>
      <c r="F771" s="61"/>
      <c r="G771" s="61"/>
      <c r="H771" s="61"/>
      <c r="I771" s="61"/>
      <c r="J771" s="1687" t="s">
        <v>5116</v>
      </c>
      <c r="K771" s="63" t="str">
        <f t="shared" si="202"/>
        <v>No</v>
      </c>
      <c r="L771" s="76"/>
      <c r="M771" s="63">
        <f t="shared" si="206"/>
        <v>0</v>
      </c>
      <c r="N771" s="63" t="s">
        <v>2506</v>
      </c>
      <c r="O771" s="64"/>
      <c r="P771" s="660" t="str">
        <f t="shared" si="208"/>
        <v/>
      </c>
      <c r="Q771" s="52" t="str">
        <f t="shared" ref="Q771:Q842" si="211">Q770</f>
        <v>No</v>
      </c>
      <c r="R771" s="1574" t="str">
        <f t="shared" si="204"/>
        <v/>
      </c>
      <c r="S771" s="52" t="str">
        <f t="shared" si="198"/>
        <v/>
      </c>
      <c r="T771" s="52" t="str">
        <f t="shared" si="199"/>
        <v/>
      </c>
      <c r="U771" s="52" t="str">
        <f t="shared" si="194"/>
        <v/>
      </c>
      <c r="V771" s="52" t="str">
        <f t="shared" si="200"/>
        <v/>
      </c>
      <c r="W771" s="1578"/>
      <c r="X771" s="52" t="str">
        <f t="shared" si="209"/>
        <v/>
      </c>
      <c r="Y771" s="52" t="str">
        <f t="shared" si="196"/>
        <v/>
      </c>
      <c r="AA771" s="52" t="str">
        <f>IF(U771&lt;&gt;"",IF(Z771="Defenses",U771&amp;IF(AA772&lt;&gt;"",", ",""),"")&amp;AA772,AA772)</f>
        <v/>
      </c>
    </row>
    <row r="772" spans="2:27" ht="26">
      <c r="B772" s="1532" t="str">
        <f t="shared" si="210"/>
        <v>Small Target</v>
      </c>
      <c r="C772" s="1795"/>
      <c r="D772" s="920"/>
      <c r="E772" s="61" t="s">
        <v>3082</v>
      </c>
      <c r="F772" s="61"/>
      <c r="G772" s="61"/>
      <c r="H772" s="61"/>
      <c r="I772" s="61"/>
      <c r="J772" s="1687" t="s">
        <v>5117</v>
      </c>
      <c r="K772" s="63" t="str">
        <f t="shared" si="202"/>
        <v>No</v>
      </c>
      <c r="L772" s="76"/>
      <c r="M772" s="63">
        <f t="shared" si="206"/>
        <v>0</v>
      </c>
      <c r="N772" s="63" t="s">
        <v>2506</v>
      </c>
      <c r="O772" s="64"/>
      <c r="P772" s="660" t="str">
        <f t="shared" si="208"/>
        <v/>
      </c>
      <c r="Q772" s="52" t="str">
        <f t="shared" si="211"/>
        <v>No</v>
      </c>
      <c r="R772" s="1574" t="str">
        <f t="shared" si="204"/>
        <v/>
      </c>
      <c r="S772" s="52" t="str">
        <f t="shared" si="198"/>
        <v/>
      </c>
      <c r="T772" s="52" t="str">
        <f t="shared" si="199"/>
        <v/>
      </c>
      <c r="U772" s="52" t="str">
        <f t="shared" si="194"/>
        <v/>
      </c>
      <c r="V772" s="52" t="str">
        <f t="shared" si="200"/>
        <v/>
      </c>
      <c r="W772" s="1578"/>
      <c r="X772" s="52" t="str">
        <f t="shared" si="209"/>
        <v/>
      </c>
      <c r="Y772" s="52" t="str">
        <f t="shared" si="196"/>
        <v/>
      </c>
      <c r="AA772" s="52" t="str">
        <f>IF(U772&lt;&gt;"",IF(Z772="Defenses",U772&amp;IF(AA773&lt;&gt;"",", ",""),"")&amp;AA773,AA773)</f>
        <v/>
      </c>
    </row>
    <row r="773" spans="2:27" ht="26">
      <c r="B773" s="1532" t="str">
        <f t="shared" si="210"/>
        <v>Watch This</v>
      </c>
      <c r="C773" s="1795"/>
      <c r="D773" s="920"/>
      <c r="E773" s="61" t="s">
        <v>3083</v>
      </c>
      <c r="F773" s="61"/>
      <c r="G773" s="61"/>
      <c r="H773" s="61"/>
      <c r="I773" s="61"/>
      <c r="J773" s="1687" t="s">
        <v>5118</v>
      </c>
      <c r="K773" s="63" t="str">
        <f t="shared" si="202"/>
        <v>No</v>
      </c>
      <c r="L773" s="76"/>
      <c r="M773" s="63">
        <f t="shared" si="206"/>
        <v>0</v>
      </c>
      <c r="N773" s="63" t="s">
        <v>3084</v>
      </c>
      <c r="O773" s="64"/>
      <c r="P773" s="660" t="str">
        <f t="shared" si="208"/>
        <v/>
      </c>
      <c r="Q773" s="52" t="str">
        <f t="shared" si="211"/>
        <v>No</v>
      </c>
      <c r="R773" s="1574" t="str">
        <f t="shared" si="204"/>
        <v/>
      </c>
      <c r="S773" s="52" t="str">
        <f t="shared" si="198"/>
        <v/>
      </c>
      <c r="T773" s="52" t="str">
        <f t="shared" si="199"/>
        <v/>
      </c>
      <c r="U773" s="52" t="str">
        <f t="shared" si="194"/>
        <v/>
      </c>
      <c r="V773" s="52" t="str">
        <f t="shared" si="200"/>
        <v/>
      </c>
      <c r="W773" s="1578"/>
      <c r="X773" s="52" t="str">
        <f t="shared" si="209"/>
        <v/>
      </c>
      <c r="Y773" s="52" t="str">
        <f t="shared" si="196"/>
        <v/>
      </c>
      <c r="AA773" s="52" t="str">
        <f>IF(U773&lt;&gt;"",IF(Z773="Defenses",U773&amp;IF(AA774&lt;&gt;"",", ",""),"")&amp;AA774,AA774)</f>
        <v/>
      </c>
    </row>
    <row r="774" spans="2:27">
      <c r="B774" s="1532" t="str">
        <f t="shared" si="210"/>
        <v>Close Cover</v>
      </c>
      <c r="C774" s="1795"/>
      <c r="D774" s="920"/>
      <c r="E774" s="61"/>
      <c r="F774" s="61" t="s">
        <v>3085</v>
      </c>
      <c r="G774" s="61"/>
      <c r="H774" s="61"/>
      <c r="I774" s="61"/>
      <c r="J774" s="1687" t="s">
        <v>5119</v>
      </c>
      <c r="K774" s="63" t="str">
        <f>IF(AND(Q773="Yes",L773&lt;&gt;""),"Yes","No")</f>
        <v>No</v>
      </c>
      <c r="L774" s="76"/>
      <c r="M774" s="63">
        <f t="shared" si="206"/>
        <v>0</v>
      </c>
      <c r="N774" s="63" t="s">
        <v>2506</v>
      </c>
      <c r="O774" s="64"/>
      <c r="P774" s="660" t="str">
        <f t="shared" si="208"/>
        <v/>
      </c>
      <c r="Q774" s="52" t="str">
        <f t="shared" si="211"/>
        <v>No</v>
      </c>
      <c r="R774" s="1574" t="str">
        <f t="shared" si="204"/>
        <v/>
      </c>
      <c r="S774" s="52" t="str">
        <f t="shared" si="198"/>
        <v/>
      </c>
      <c r="T774" s="52" t="str">
        <f t="shared" si="199"/>
        <v/>
      </c>
      <c r="U774" s="52" t="str">
        <f t="shared" si="194"/>
        <v/>
      </c>
      <c r="V774" s="52" t="str">
        <f t="shared" si="200"/>
        <v/>
      </c>
      <c r="W774" s="1578"/>
      <c r="X774" s="52" t="str">
        <f t="shared" si="209"/>
        <v/>
      </c>
      <c r="Y774" s="52" t="str">
        <f t="shared" si="196"/>
        <v/>
      </c>
      <c r="AA774" s="52" t="str">
        <f>IF(U774&lt;&gt;"",IF(Z774="Defenses",U774&amp;IF(AA775&lt;&gt;"",", ",""),"")&amp;AA775,AA775)</f>
        <v/>
      </c>
    </row>
    <row r="775" spans="2:27" ht="26">
      <c r="B775" s="1532" t="str">
        <f t="shared" si="210"/>
        <v>Blind Spot</v>
      </c>
      <c r="C775" s="1795"/>
      <c r="D775" s="920" t="s">
        <v>1302</v>
      </c>
      <c r="E775" s="61" t="s">
        <v>3086</v>
      </c>
      <c r="F775" s="61"/>
      <c r="G775" s="61"/>
      <c r="H775" s="61"/>
      <c r="I775" s="61"/>
      <c r="J775" s="1687" t="s">
        <v>5120</v>
      </c>
      <c r="K775" s="63" t="str">
        <f t="shared" si="202"/>
        <v>No</v>
      </c>
      <c r="L775" s="76"/>
      <c r="M775" s="63">
        <f>IF(L775&lt;&gt;"",1,0)</f>
        <v>0</v>
      </c>
      <c r="N775" s="63" t="s">
        <v>2785</v>
      </c>
      <c r="O775" s="64"/>
      <c r="P775" s="660" t="str">
        <f t="shared" si="208"/>
        <v/>
      </c>
      <c r="Q775" s="52" t="str">
        <f t="shared" si="211"/>
        <v>No</v>
      </c>
      <c r="R775" s="1574" t="str">
        <f t="shared" si="204"/>
        <v/>
      </c>
      <c r="S775" s="52" t="str">
        <f t="shared" si="198"/>
        <v/>
      </c>
      <c r="T775" s="52" t="str">
        <f t="shared" si="199"/>
        <v/>
      </c>
      <c r="U775" s="52" t="str">
        <f t="shared" si="194"/>
        <v/>
      </c>
      <c r="V775" s="52" t="str">
        <f t="shared" si="200"/>
        <v/>
      </c>
      <c r="W775" s="1578"/>
      <c r="X775" s="52" t="str">
        <f t="shared" si="209"/>
        <v/>
      </c>
      <c r="Y775" s="52" t="str">
        <f t="shared" si="196"/>
        <v/>
      </c>
      <c r="AA775" s="52" t="str">
        <f>IF(U775&lt;&gt;"",IF(Z775="Defenses",U775&amp;IF(AA777&lt;&gt;"",", ",""),"")&amp;AA777,AA777)</f>
        <v/>
      </c>
    </row>
    <row r="776" spans="2:27">
      <c r="B776" s="1575"/>
      <c r="C776" s="1795"/>
      <c r="D776" s="920"/>
      <c r="E776" s="61" t="s">
        <v>8312</v>
      </c>
      <c r="F776" s="61"/>
      <c r="G776" s="61"/>
      <c r="H776" s="61"/>
      <c r="I776" s="61"/>
      <c r="J776" s="1687" t="s">
        <v>8313</v>
      </c>
      <c r="K776" s="63" t="str">
        <f t="shared" si="202"/>
        <v>No</v>
      </c>
      <c r="L776" s="76"/>
      <c r="M776" s="63">
        <f>IF(L776&lt;&gt;"",1,0)</f>
        <v>0</v>
      </c>
      <c r="N776" s="63" t="s">
        <v>8309</v>
      </c>
      <c r="O776" s="64"/>
      <c r="P776" s="660" t="str">
        <f t="shared" si="208"/>
        <v/>
      </c>
      <c r="Q776" s="52" t="str">
        <f t="shared" si="211"/>
        <v>No</v>
      </c>
      <c r="R776" s="1574" t="str">
        <f t="shared" si="204"/>
        <v/>
      </c>
      <c r="S776" s="52" t="str">
        <f t="shared" si="198"/>
        <v/>
      </c>
      <c r="T776" s="52" t="str">
        <f t="shared" si="199"/>
        <v/>
      </c>
      <c r="U776" s="52" t="str">
        <f t="shared" si="194"/>
        <v/>
      </c>
      <c r="V776" s="52" t="str">
        <f t="shared" si="200"/>
        <v/>
      </c>
      <c r="W776" s="1578"/>
      <c r="X776" s="52" t="str">
        <f t="shared" si="209"/>
        <v/>
      </c>
      <c r="Y776" s="52" t="str">
        <f t="shared" si="196"/>
        <v/>
      </c>
    </row>
    <row r="777" spans="2:27">
      <c r="B777" s="1532" t="str">
        <f>IF(E777&lt;&gt;"",E777,IF(F777&lt;&gt;"",F777,IF(G777&lt;&gt;"",G777,IF(H777&lt;&gt;"",H777))))</f>
        <v>Close Scrape</v>
      </c>
      <c r="C777" s="1795"/>
      <c r="D777" s="920"/>
      <c r="E777" s="61" t="s">
        <v>3087</v>
      </c>
      <c r="F777" s="61"/>
      <c r="G777" s="61"/>
      <c r="H777" s="61"/>
      <c r="I777" s="61"/>
      <c r="J777" s="1687" t="s">
        <v>5121</v>
      </c>
      <c r="K777" s="63" t="str">
        <f t="shared" si="202"/>
        <v>No</v>
      </c>
      <c r="L777" s="76"/>
      <c r="M777" s="63">
        <f t="shared" si="206"/>
        <v>0</v>
      </c>
      <c r="N777" s="63" t="s">
        <v>2785</v>
      </c>
      <c r="O777" s="64"/>
      <c r="P777" s="660" t="str">
        <f t="shared" si="208"/>
        <v/>
      </c>
      <c r="Q777" s="52" t="str">
        <f>Q775</f>
        <v>No</v>
      </c>
      <c r="R777" s="1574" t="str">
        <f t="shared" si="204"/>
        <v/>
      </c>
      <c r="S777" s="52" t="str">
        <f t="shared" si="198"/>
        <v/>
      </c>
      <c r="T777" s="52" t="str">
        <f t="shared" si="199"/>
        <v/>
      </c>
      <c r="U777" s="52" t="str">
        <f t="shared" si="194"/>
        <v/>
      </c>
      <c r="V777" s="52" t="str">
        <f t="shared" si="200"/>
        <v/>
      </c>
      <c r="W777" s="1578"/>
      <c r="X777" s="52" t="str">
        <f t="shared" si="209"/>
        <v/>
      </c>
      <c r="Y777" s="52" t="str">
        <f t="shared" si="196"/>
        <v/>
      </c>
      <c r="AA777" s="52" t="str">
        <f>IF(U777&lt;&gt;"",IF(Z777="Defenses",U777&amp;IF(AA778&lt;&gt;"",", ",""),"")&amp;AA778,AA778)</f>
        <v/>
      </c>
    </row>
    <row r="778" spans="2:27">
      <c r="B778" s="1532" t="str">
        <f>IF(E778&lt;&gt;"",E778,IF(F778&lt;&gt;"",F778,IF(G778&lt;&gt;"",G778,IF(H778&lt;&gt;"",H778))))</f>
        <v>Elusive Dogfighter</v>
      </c>
      <c r="C778" s="1795"/>
      <c r="D778" s="920"/>
      <c r="E778" s="61" t="s">
        <v>3088</v>
      </c>
      <c r="F778" s="61"/>
      <c r="G778" s="61"/>
      <c r="H778" s="61"/>
      <c r="I778" s="61"/>
      <c r="J778" s="1687" t="s">
        <v>5122</v>
      </c>
      <c r="K778" s="63" t="str">
        <f t="shared" si="202"/>
        <v>No</v>
      </c>
      <c r="L778" s="76"/>
      <c r="M778" s="63">
        <f t="shared" si="206"/>
        <v>0</v>
      </c>
      <c r="N778" s="63">
        <v>207</v>
      </c>
      <c r="O778" s="64"/>
      <c r="P778" s="660" t="str">
        <f t="shared" si="208"/>
        <v/>
      </c>
      <c r="Q778" s="52" t="str">
        <f t="shared" si="211"/>
        <v>No</v>
      </c>
      <c r="R778" s="1574" t="str">
        <f t="shared" si="204"/>
        <v/>
      </c>
      <c r="S778" s="52" t="str">
        <f t="shared" si="198"/>
        <v/>
      </c>
      <c r="T778" s="52" t="str">
        <f t="shared" si="199"/>
        <v/>
      </c>
      <c r="U778" s="52" t="str">
        <f t="shared" si="194"/>
        <v/>
      </c>
      <c r="V778" s="52" t="str">
        <f t="shared" si="200"/>
        <v/>
      </c>
      <c r="W778" s="1578"/>
      <c r="X778" s="52" t="str">
        <f t="shared" si="209"/>
        <v/>
      </c>
      <c r="Y778" s="52" t="str">
        <f t="shared" si="196"/>
        <v/>
      </c>
      <c r="AA778" s="52" t="str">
        <f>IF(U778&lt;&gt;"",IF(Z778="Defenses",U778&amp;IF(AA780&lt;&gt;"",", ",""),"")&amp;AA780,AA780)</f>
        <v/>
      </c>
    </row>
    <row r="779" spans="2:27">
      <c r="B779" s="1575"/>
      <c r="C779" s="1795"/>
      <c r="D779" s="920"/>
      <c r="E779" s="61"/>
      <c r="F779" s="61" t="s">
        <v>8310</v>
      </c>
      <c r="G779" s="61"/>
      <c r="H779" s="61"/>
      <c r="I779" s="61"/>
      <c r="J779" s="1687" t="s">
        <v>8311</v>
      </c>
      <c r="K779" s="63" t="str">
        <f>IF(AND(Q778="Yes",L778&lt;&gt;""),"Yes","No")</f>
        <v>No</v>
      </c>
      <c r="L779" s="76"/>
      <c r="M779" s="63">
        <f>IF(L779&lt;&gt;"",1,0)</f>
        <v>0</v>
      </c>
      <c r="N779" s="63" t="s">
        <v>8304</v>
      </c>
      <c r="O779" s="64"/>
      <c r="P779" s="660" t="str">
        <f t="shared" si="208"/>
        <v/>
      </c>
      <c r="Q779" s="52" t="str">
        <f t="shared" si="211"/>
        <v>No</v>
      </c>
      <c r="R779" s="1574" t="str">
        <f t="shared" si="204"/>
        <v/>
      </c>
      <c r="S779" s="52" t="str">
        <f t="shared" si="198"/>
        <v/>
      </c>
      <c r="T779" s="52" t="str">
        <f t="shared" si="199"/>
        <v/>
      </c>
      <c r="U779" s="52" t="str">
        <f t="shared" si="194"/>
        <v/>
      </c>
      <c r="V779" s="52" t="str">
        <f t="shared" si="200"/>
        <v/>
      </c>
      <c r="W779" s="1578"/>
      <c r="X779" s="52" t="str">
        <f t="shared" si="209"/>
        <v/>
      </c>
      <c r="Y779" s="52" t="str">
        <f t="shared" si="196"/>
        <v/>
      </c>
    </row>
    <row r="780" spans="2:27">
      <c r="B780" s="1532" t="str">
        <f>IF(E780&lt;&gt;"",E780,IF(F780&lt;&gt;"",F780,IF(G780&lt;&gt;"",G780,IF(H780&lt;&gt;"",H780))))</f>
        <v>Full Throttle</v>
      </c>
      <c r="C780" s="1795"/>
      <c r="D780" s="920"/>
      <c r="E780" s="61" t="s">
        <v>3089</v>
      </c>
      <c r="F780" s="61"/>
      <c r="G780" s="61"/>
      <c r="H780" s="61"/>
      <c r="I780" s="61"/>
      <c r="J780" s="1687" t="s">
        <v>5123</v>
      </c>
      <c r="K780" s="63" t="str">
        <f t="shared" si="202"/>
        <v>No</v>
      </c>
      <c r="L780" s="76"/>
      <c r="M780" s="63">
        <f t="shared" si="206"/>
        <v>0</v>
      </c>
      <c r="N780" s="63">
        <v>207</v>
      </c>
      <c r="O780" s="64"/>
      <c r="P780" s="660" t="str">
        <f t="shared" si="208"/>
        <v/>
      </c>
      <c r="Q780" s="52" t="str">
        <f>Q778</f>
        <v>No</v>
      </c>
      <c r="R780" s="1574" t="str">
        <f t="shared" si="204"/>
        <v/>
      </c>
      <c r="S780" s="52" t="str">
        <f t="shared" si="198"/>
        <v/>
      </c>
      <c r="T780" s="52" t="str">
        <f t="shared" si="199"/>
        <v/>
      </c>
      <c r="U780" s="52" t="str">
        <f t="shared" si="194"/>
        <v/>
      </c>
      <c r="V780" s="52" t="str">
        <f t="shared" si="200"/>
        <v/>
      </c>
      <c r="W780" s="1578"/>
      <c r="X780" s="52" t="str">
        <f t="shared" si="209"/>
        <v/>
      </c>
      <c r="Y780" s="52" t="str">
        <f t="shared" si="196"/>
        <v/>
      </c>
      <c r="AA780" s="52" t="str">
        <f>IF(U780&lt;&gt;"",IF(Z780="Defenses",U780&amp;IF(AA781&lt;&gt;"",", ",""),"")&amp;AA781,AA781)</f>
        <v/>
      </c>
    </row>
    <row r="781" spans="2:27">
      <c r="B781" s="1532" t="str">
        <f>IF(E781&lt;&gt;"",E781,IF(F781&lt;&gt;"",F781,IF(G781&lt;&gt;"",G781,IF(H781&lt;&gt;"",H781))))</f>
        <v>Improved Attack Run</v>
      </c>
      <c r="C781" s="1795"/>
      <c r="D781" s="920"/>
      <c r="E781" s="61" t="s">
        <v>3090</v>
      </c>
      <c r="F781" s="61"/>
      <c r="G781" s="61"/>
      <c r="H781" s="61"/>
      <c r="I781" s="61"/>
      <c r="J781" s="1687" t="s">
        <v>5124</v>
      </c>
      <c r="K781" s="63" t="str">
        <f t="shared" si="202"/>
        <v>No</v>
      </c>
      <c r="L781" s="76"/>
      <c r="M781" s="63">
        <f t="shared" si="206"/>
        <v>0</v>
      </c>
      <c r="N781" s="63" t="s">
        <v>2785</v>
      </c>
      <c r="O781" s="64"/>
      <c r="P781" s="660" t="str">
        <f t="shared" si="208"/>
        <v/>
      </c>
      <c r="Q781" s="52" t="str">
        <f t="shared" si="211"/>
        <v>No</v>
      </c>
      <c r="R781" s="1574" t="str">
        <f t="shared" si="204"/>
        <v/>
      </c>
      <c r="S781" s="52" t="str">
        <f t="shared" si="198"/>
        <v/>
      </c>
      <c r="T781" s="52" t="str">
        <f t="shared" si="199"/>
        <v/>
      </c>
      <c r="U781" s="52" t="str">
        <f t="shared" si="194"/>
        <v/>
      </c>
      <c r="V781" s="52" t="str">
        <f t="shared" si="200"/>
        <v/>
      </c>
      <c r="W781" s="1578"/>
      <c r="X781" s="52" t="str">
        <f t="shared" si="209"/>
        <v/>
      </c>
      <c r="Y781" s="52" t="str">
        <f t="shared" si="196"/>
        <v/>
      </c>
      <c r="AA781" s="52" t="str">
        <f>IF(U781&lt;&gt;"",IF(Z781="Defenses",U781&amp;IF(AA782&lt;&gt;"",", ",""),"")&amp;AA782,AA782)</f>
        <v/>
      </c>
    </row>
    <row r="782" spans="2:27">
      <c r="B782" s="1532" t="str">
        <f>IF(E782&lt;&gt;"",E782,IF(F782&lt;&gt;"",F782,IF(G782&lt;&gt;"",G782,IF(H782&lt;&gt;"",H782))))</f>
        <v>Keep it Together</v>
      </c>
      <c r="C782" s="1795"/>
      <c r="D782" s="920"/>
      <c r="E782" s="61" t="s">
        <v>2849</v>
      </c>
      <c r="F782" s="61"/>
      <c r="G782" s="61"/>
      <c r="H782" s="61"/>
      <c r="I782" s="61"/>
      <c r="J782" s="1687" t="s">
        <v>5125</v>
      </c>
      <c r="K782" s="63" t="str">
        <f t="shared" si="202"/>
        <v>No</v>
      </c>
      <c r="L782" s="76"/>
      <c r="M782" s="63">
        <f t="shared" si="206"/>
        <v>0</v>
      </c>
      <c r="N782" s="63">
        <v>207</v>
      </c>
      <c r="O782" s="64"/>
      <c r="P782" s="660" t="str">
        <f t="shared" si="208"/>
        <v/>
      </c>
      <c r="Q782" s="52" t="str">
        <f t="shared" si="211"/>
        <v>No</v>
      </c>
      <c r="R782" s="1574" t="str">
        <f t="shared" si="204"/>
        <v/>
      </c>
      <c r="S782" s="52" t="str">
        <f t="shared" si="198"/>
        <v/>
      </c>
      <c r="T782" s="52" t="str">
        <f t="shared" si="199"/>
        <v/>
      </c>
      <c r="U782" s="52" t="str">
        <f t="shared" si="194"/>
        <v/>
      </c>
      <c r="V782" s="52" t="str">
        <f t="shared" si="200"/>
        <v/>
      </c>
      <c r="W782" s="1578"/>
      <c r="X782" s="52" t="str">
        <f t="shared" si="209"/>
        <v/>
      </c>
      <c r="Y782" s="52" t="str">
        <f t="shared" si="196"/>
        <v/>
      </c>
      <c r="AA782" s="52" t="str">
        <f>IF(U782&lt;&gt;"",IF(Z782="Defenses",U782&amp;IF(AA784&lt;&gt;"",", ",""),"")&amp;AA784,AA784)</f>
        <v/>
      </c>
    </row>
    <row r="783" spans="2:27">
      <c r="B783" s="1575"/>
      <c r="C783" s="1795"/>
      <c r="D783" s="920"/>
      <c r="E783" s="61" t="s">
        <v>8314</v>
      </c>
      <c r="F783" s="61"/>
      <c r="G783" s="61"/>
      <c r="H783" s="61"/>
      <c r="I783" s="61"/>
      <c r="J783" s="1687" t="s">
        <v>8315</v>
      </c>
      <c r="K783" s="63" t="str">
        <f t="shared" si="202"/>
        <v>No</v>
      </c>
      <c r="L783" s="76"/>
      <c r="M783" s="63">
        <f t="shared" si="206"/>
        <v>0</v>
      </c>
      <c r="N783" s="63" t="s">
        <v>8309</v>
      </c>
      <c r="O783" s="64"/>
      <c r="P783" s="660" t="str">
        <f t="shared" si="208"/>
        <v/>
      </c>
      <c r="Q783" s="52" t="str">
        <f t="shared" si="211"/>
        <v>No</v>
      </c>
      <c r="R783" s="1574" t="str">
        <f t="shared" si="204"/>
        <v/>
      </c>
      <c r="S783" s="52" t="str">
        <f t="shared" si="198"/>
        <v/>
      </c>
      <c r="T783" s="52" t="str">
        <f t="shared" si="199"/>
        <v/>
      </c>
      <c r="U783" s="52" t="str">
        <f t="shared" si="194"/>
        <v/>
      </c>
      <c r="V783" s="52" t="str">
        <f t="shared" si="200"/>
        <v/>
      </c>
      <c r="W783" s="1578"/>
      <c r="X783" s="52" t="str">
        <f t="shared" si="209"/>
        <v/>
      </c>
      <c r="Y783" s="52" t="str">
        <f t="shared" si="196"/>
        <v/>
      </c>
    </row>
    <row r="784" spans="2:27">
      <c r="B784" s="1532" t="str">
        <f>IF(E784&lt;&gt;"",E784,IF(F784&lt;&gt;"",F784,IF(G784&lt;&gt;"",G784,IF(H784&lt;&gt;"",H784))))</f>
        <v>Relentless Pursuit</v>
      </c>
      <c r="C784" s="1795"/>
      <c r="D784" s="920"/>
      <c r="E784" s="61" t="s">
        <v>3091</v>
      </c>
      <c r="F784" s="61"/>
      <c r="G784" s="61"/>
      <c r="H784" s="61"/>
      <c r="I784" s="61"/>
      <c r="J784" s="1687" t="s">
        <v>5126</v>
      </c>
      <c r="K784" s="63" t="str">
        <f t="shared" si="202"/>
        <v>No</v>
      </c>
      <c r="L784" s="76"/>
      <c r="M784" s="63">
        <f t="shared" si="206"/>
        <v>0</v>
      </c>
      <c r="N784" s="63">
        <v>207</v>
      </c>
      <c r="O784" s="64"/>
      <c r="P784" s="660" t="str">
        <f t="shared" si="208"/>
        <v/>
      </c>
      <c r="Q784" s="52" t="str">
        <f>Q782</f>
        <v>No</v>
      </c>
      <c r="R784" s="1574" t="str">
        <f t="shared" si="204"/>
        <v/>
      </c>
      <c r="S784" s="52" t="str">
        <f t="shared" si="198"/>
        <v/>
      </c>
      <c r="T784" s="52" t="str">
        <f t="shared" si="199"/>
        <v/>
      </c>
      <c r="U784" s="52" t="str">
        <f t="shared" ref="U784:U847" si="212">IF(L784&lt;&gt;"",IF(ISNUMBER(L784),"",E784&amp;F784&amp;G784),"")</f>
        <v/>
      </c>
      <c r="V784" s="52" t="str">
        <f t="shared" si="200"/>
        <v/>
      </c>
      <c r="W784" s="1578"/>
      <c r="X784" s="52" t="str">
        <f t="shared" si="209"/>
        <v/>
      </c>
      <c r="Y784" s="52" t="str">
        <f t="shared" si="196"/>
        <v/>
      </c>
      <c r="AA784" s="52" t="str">
        <f>IF(U784&lt;&gt;"",IF(Z784="Defenses",U784&amp;IF(AA785&lt;&gt;"",", ",""),"")&amp;AA785,AA785)</f>
        <v/>
      </c>
    </row>
    <row r="785" spans="2:27">
      <c r="B785" s="1532" t="str">
        <f>IF(E785&lt;&gt;"",E785,IF(F785&lt;&gt;"",F785,IF(G785&lt;&gt;"",G785,IF(H785&lt;&gt;"",H785))))</f>
        <v>Renowned Pilot</v>
      </c>
      <c r="C785" s="1795"/>
      <c r="D785" s="920"/>
      <c r="E785" s="61" t="s">
        <v>3092</v>
      </c>
      <c r="F785" s="61"/>
      <c r="G785" s="61"/>
      <c r="H785" s="61"/>
      <c r="I785" s="61"/>
      <c r="J785" s="1687" t="s">
        <v>5127</v>
      </c>
      <c r="K785" s="63" t="str">
        <f t="shared" si="202"/>
        <v>No</v>
      </c>
      <c r="L785" s="76"/>
      <c r="M785" s="63">
        <f t="shared" si="206"/>
        <v>0</v>
      </c>
      <c r="N785" s="63" t="s">
        <v>3093</v>
      </c>
      <c r="O785" s="64"/>
      <c r="P785" s="660" t="str">
        <f t="shared" si="208"/>
        <v/>
      </c>
      <c r="Q785" s="52" t="str">
        <f t="shared" si="211"/>
        <v>No</v>
      </c>
      <c r="R785" s="1574" t="str">
        <f t="shared" si="204"/>
        <v/>
      </c>
      <c r="S785" s="52" t="str">
        <f t="shared" si="198"/>
        <v/>
      </c>
      <c r="T785" s="52" t="str">
        <f t="shared" si="199"/>
        <v/>
      </c>
      <c r="U785" s="52" t="str">
        <f t="shared" si="212"/>
        <v/>
      </c>
      <c r="V785" s="52" t="str">
        <f t="shared" si="200"/>
        <v/>
      </c>
      <c r="W785" s="1578"/>
      <c r="X785" s="52" t="str">
        <f t="shared" si="209"/>
        <v/>
      </c>
      <c r="Y785" s="52" t="str">
        <f t="shared" si="196"/>
        <v/>
      </c>
      <c r="AA785" s="52" t="str">
        <f>IF(U785&lt;&gt;"",IF(Z785="Defenses",U785&amp;IF(AA787&lt;&gt;"",", ",""),"")&amp;AA787,AA787)</f>
        <v/>
      </c>
    </row>
    <row r="786" spans="2:27">
      <c r="B786" s="1575"/>
      <c r="C786" s="1795"/>
      <c r="D786" s="920"/>
      <c r="E786" s="61" t="s">
        <v>8307</v>
      </c>
      <c r="F786" s="61"/>
      <c r="G786" s="61"/>
      <c r="H786" s="61"/>
      <c r="I786" s="61"/>
      <c r="J786" s="1687" t="s">
        <v>8308</v>
      </c>
      <c r="K786" s="63" t="str">
        <f t="shared" si="202"/>
        <v>No</v>
      </c>
      <c r="L786" s="76"/>
      <c r="M786" s="63">
        <f t="shared" si="206"/>
        <v>0</v>
      </c>
      <c r="N786" s="63" t="s">
        <v>8309</v>
      </c>
      <c r="O786" s="64"/>
      <c r="P786" s="660" t="str">
        <f t="shared" si="208"/>
        <v/>
      </c>
      <c r="Q786" s="52" t="str">
        <f t="shared" si="211"/>
        <v>No</v>
      </c>
      <c r="R786" s="1574" t="str">
        <f t="shared" si="204"/>
        <v/>
      </c>
      <c r="S786" s="52" t="str">
        <f t="shared" si="198"/>
        <v/>
      </c>
      <c r="T786" s="52" t="str">
        <f t="shared" si="199"/>
        <v/>
      </c>
      <c r="U786" s="52" t="str">
        <f t="shared" si="212"/>
        <v/>
      </c>
      <c r="V786" s="52" t="str">
        <f t="shared" si="200"/>
        <v/>
      </c>
      <c r="W786" s="1578"/>
      <c r="X786" s="52" t="str">
        <f t="shared" si="209"/>
        <v/>
      </c>
      <c r="Y786" s="52" t="str">
        <f t="shared" si="196"/>
        <v/>
      </c>
    </row>
    <row r="787" spans="2:27" ht="39">
      <c r="B787" s="1532" t="str">
        <f t="shared" ref="B787:B792" si="213">IF(E787&lt;&gt;"",E787,IF(F787&lt;&gt;"",F787,IF(G787&lt;&gt;"",G787,IF(H787&lt;&gt;"",H787))))</f>
        <v>Vehicle Focus</v>
      </c>
      <c r="C787" s="1795"/>
      <c r="D787" s="920"/>
      <c r="E787" s="61" t="s">
        <v>3094</v>
      </c>
      <c r="F787" s="61"/>
      <c r="G787" s="61"/>
      <c r="H787" s="61"/>
      <c r="I787" s="61"/>
      <c r="J787" s="1687" t="s">
        <v>5128</v>
      </c>
      <c r="K787" s="63" t="str">
        <f t="shared" si="202"/>
        <v>No</v>
      </c>
      <c r="L787" s="76"/>
      <c r="M787" s="63">
        <f t="shared" si="206"/>
        <v>0</v>
      </c>
      <c r="N787" s="63" t="s">
        <v>2785</v>
      </c>
      <c r="O787" s="64"/>
      <c r="P787" s="660" t="str">
        <f t="shared" si="208"/>
        <v/>
      </c>
      <c r="Q787" s="52" t="str">
        <f>Q785</f>
        <v>No</v>
      </c>
      <c r="R787" s="1574" t="str">
        <f t="shared" si="204"/>
        <v/>
      </c>
      <c r="S787" s="52" t="str">
        <f t="shared" si="198"/>
        <v/>
      </c>
      <c r="T787" s="52" t="str">
        <f t="shared" si="199"/>
        <v/>
      </c>
      <c r="U787" s="52" t="str">
        <f t="shared" si="212"/>
        <v/>
      </c>
      <c r="V787" s="52" t="str">
        <f t="shared" si="200"/>
        <v/>
      </c>
      <c r="W787" s="1578"/>
      <c r="X787" s="52" t="str">
        <f t="shared" si="209"/>
        <v/>
      </c>
      <c r="Y787" s="52" t="str">
        <f t="shared" si="196"/>
        <v/>
      </c>
      <c r="AA787" s="52" t="str">
        <f>IF(U787&lt;&gt;"",IF(Z787="Defenses",U787&amp;IF(AA788&lt;&gt;"",", ",""),"")&amp;AA788,AA788)</f>
        <v/>
      </c>
    </row>
    <row r="788" spans="2:27">
      <c r="B788" s="1532" t="str">
        <f t="shared" si="213"/>
        <v>Vehicular Evasion</v>
      </c>
      <c r="C788" s="1795"/>
      <c r="D788" s="920"/>
      <c r="E788" s="61" t="s">
        <v>3095</v>
      </c>
      <c r="F788" s="61"/>
      <c r="G788" s="61"/>
      <c r="H788" s="61"/>
      <c r="I788" s="61"/>
      <c r="J788" s="1687" t="s">
        <v>5129</v>
      </c>
      <c r="K788" s="63" t="str">
        <f t="shared" si="202"/>
        <v>No</v>
      </c>
      <c r="L788" s="76"/>
      <c r="M788" s="63">
        <f t="shared" si="206"/>
        <v>0</v>
      </c>
      <c r="N788" s="63">
        <v>207</v>
      </c>
      <c r="O788" s="64"/>
      <c r="P788" s="660" t="str">
        <f t="shared" si="208"/>
        <v/>
      </c>
      <c r="Q788" s="52" t="str">
        <f t="shared" si="211"/>
        <v>No</v>
      </c>
      <c r="R788" s="1574" t="str">
        <f t="shared" si="204"/>
        <v/>
      </c>
      <c r="S788" s="52" t="str">
        <f t="shared" si="198"/>
        <v/>
      </c>
      <c r="T788" s="52" t="str">
        <f t="shared" si="199"/>
        <v/>
      </c>
      <c r="U788" s="52" t="str">
        <f t="shared" si="212"/>
        <v/>
      </c>
      <c r="V788" s="52" t="str">
        <f t="shared" si="200"/>
        <v/>
      </c>
      <c r="W788" s="1578"/>
      <c r="X788" s="52" t="str">
        <f t="shared" si="209"/>
        <v/>
      </c>
      <c r="Y788" s="52" t="str">
        <f t="shared" si="196"/>
        <v/>
      </c>
      <c r="AA788" s="52" t="str">
        <f>IF(U788&lt;&gt;"",IF(Z788="Defenses",U788&amp;IF(AA789&lt;&gt;"",", ",""),"")&amp;AA789,AA789)</f>
        <v/>
      </c>
    </row>
    <row r="789" spans="2:27">
      <c r="B789" s="1532" t="str">
        <f t="shared" si="213"/>
        <v>Juke</v>
      </c>
      <c r="C789" s="1795"/>
      <c r="D789" s="920"/>
      <c r="E789" s="61"/>
      <c r="F789" s="61" t="s">
        <v>3096</v>
      </c>
      <c r="G789" s="61"/>
      <c r="H789" s="61"/>
      <c r="I789" s="61"/>
      <c r="J789" s="1687" t="s">
        <v>5130</v>
      </c>
      <c r="K789" s="63" t="str">
        <f>IF(AND(Q788="Yes",L788&lt;&gt;""),"Yes","No")</f>
        <v>No</v>
      </c>
      <c r="L789" s="76"/>
      <c r="M789" s="63">
        <f t="shared" si="206"/>
        <v>0</v>
      </c>
      <c r="N789" s="63">
        <v>207</v>
      </c>
      <c r="O789" s="64"/>
      <c r="P789" s="660" t="str">
        <f t="shared" si="208"/>
        <v/>
      </c>
      <c r="Q789" s="52" t="str">
        <f t="shared" si="211"/>
        <v>No</v>
      </c>
      <c r="R789" s="1574" t="str">
        <f t="shared" si="204"/>
        <v/>
      </c>
      <c r="S789" s="52" t="str">
        <f t="shared" si="198"/>
        <v/>
      </c>
      <c r="T789" s="52" t="str">
        <f t="shared" si="199"/>
        <v/>
      </c>
      <c r="U789" s="52" t="str">
        <f t="shared" si="212"/>
        <v/>
      </c>
      <c r="V789" s="52" t="str">
        <f t="shared" si="200"/>
        <v/>
      </c>
      <c r="W789" s="1578"/>
      <c r="X789" s="52" t="str">
        <f t="shared" si="209"/>
        <v/>
      </c>
      <c r="Y789" s="52" t="str">
        <f t="shared" si="196"/>
        <v/>
      </c>
      <c r="AA789" s="52" t="str">
        <f>IF(U789&lt;&gt;"",IF(Z789="Defenses",U789&amp;IF(AA790&lt;&gt;"",", ",""),"")&amp;AA790,AA790)</f>
        <v/>
      </c>
    </row>
    <row r="790" spans="2:27" ht="26">
      <c r="B790" s="1532" t="str">
        <f t="shared" si="213"/>
        <v>Wingman</v>
      </c>
      <c r="C790" s="1795"/>
      <c r="D790" s="920"/>
      <c r="E790" s="61" t="s">
        <v>3097</v>
      </c>
      <c r="F790" s="61"/>
      <c r="G790" s="61"/>
      <c r="H790" s="61"/>
      <c r="I790" s="61"/>
      <c r="J790" s="1687" t="s">
        <v>5131</v>
      </c>
      <c r="K790" s="63" t="str">
        <f t="shared" si="202"/>
        <v>No</v>
      </c>
      <c r="L790" s="76"/>
      <c r="M790" s="63">
        <f t="shared" si="206"/>
        <v>0</v>
      </c>
      <c r="N790" s="63" t="s">
        <v>2785</v>
      </c>
      <c r="O790" s="64"/>
      <c r="P790" s="660" t="str">
        <f t="shared" si="208"/>
        <v/>
      </c>
      <c r="Q790" s="52" t="str">
        <f t="shared" si="211"/>
        <v>No</v>
      </c>
      <c r="R790" s="1574" t="str">
        <f t="shared" si="204"/>
        <v/>
      </c>
      <c r="S790" s="52" t="str">
        <f t="shared" si="198"/>
        <v/>
      </c>
      <c r="T790" s="52" t="str">
        <f t="shared" si="199"/>
        <v/>
      </c>
      <c r="U790" s="52" t="str">
        <f t="shared" si="212"/>
        <v/>
      </c>
      <c r="V790" s="52" t="str">
        <f t="shared" si="200"/>
        <v/>
      </c>
      <c r="W790" s="1578"/>
      <c r="X790" s="52" t="str">
        <f t="shared" si="209"/>
        <v/>
      </c>
      <c r="Y790" s="52" t="str">
        <f t="shared" ref="Y790:Y853" si="214">IF(U790&lt;&gt;"",IF(W790="Att Options",U790&amp;IF(Y791&lt;&gt;"",", ",""),"")&amp;Y791,Y791)</f>
        <v/>
      </c>
      <c r="AA790" s="52" t="str">
        <f>IF(U790&lt;&gt;"",IF(Z790="Defenses",U790&amp;IF(AA791&lt;&gt;"",", ",""),"")&amp;AA791,AA791)</f>
        <v/>
      </c>
    </row>
    <row r="791" spans="2:27">
      <c r="B791" s="1532" t="str">
        <f t="shared" si="213"/>
        <v>Expert Gunner</v>
      </c>
      <c r="C791" s="1795"/>
      <c r="D791" s="920" t="s">
        <v>3098</v>
      </c>
      <c r="E791" s="61" t="s">
        <v>3099</v>
      </c>
      <c r="F791" s="61"/>
      <c r="G791" s="61"/>
      <c r="H791" s="61"/>
      <c r="I791" s="61"/>
      <c r="J791" s="1687" t="s">
        <v>5132</v>
      </c>
      <c r="K791" s="63" t="str">
        <f t="shared" si="202"/>
        <v>No</v>
      </c>
      <c r="L791" s="76"/>
      <c r="M791" s="63">
        <f t="shared" si="206"/>
        <v>0</v>
      </c>
      <c r="N791" s="63">
        <v>207</v>
      </c>
      <c r="O791" s="64"/>
      <c r="P791" s="660" t="str">
        <f t="shared" si="208"/>
        <v/>
      </c>
      <c r="Q791" s="52" t="str">
        <f t="shared" si="211"/>
        <v>No</v>
      </c>
      <c r="R791" s="1574" t="str">
        <f t="shared" si="204"/>
        <v/>
      </c>
      <c r="S791" s="52" t="str">
        <f t="shared" si="198"/>
        <v/>
      </c>
      <c r="T791" s="52" t="str">
        <f t="shared" si="199"/>
        <v/>
      </c>
      <c r="U791" s="52" t="str">
        <f t="shared" si="212"/>
        <v/>
      </c>
      <c r="V791" s="52" t="str">
        <f t="shared" si="200"/>
        <v/>
      </c>
      <c r="W791" s="1578"/>
      <c r="X791" s="52" t="str">
        <f t="shared" si="209"/>
        <v/>
      </c>
      <c r="Y791" s="52" t="str">
        <f t="shared" si="214"/>
        <v/>
      </c>
      <c r="AA791" s="52" t="str">
        <f>IF(U791&lt;&gt;"",IF(Z791="Defenses",U791&amp;IF(AA792&lt;&gt;"",", ",""),"")&amp;AA792,AA792)</f>
        <v/>
      </c>
    </row>
    <row r="792" spans="2:27">
      <c r="B792" s="1532" t="str">
        <f t="shared" si="213"/>
        <v>Dogfight Gunner</v>
      </c>
      <c r="C792" s="1795"/>
      <c r="D792" s="920"/>
      <c r="E792" s="61"/>
      <c r="F792" s="61" t="s">
        <v>3100</v>
      </c>
      <c r="G792" s="61"/>
      <c r="H792" s="61"/>
      <c r="I792" s="61"/>
      <c r="J792" s="1687" t="s">
        <v>5133</v>
      </c>
      <c r="K792" s="63" t="str">
        <f>IF(AND(Q791="Yes",L791&lt;&gt;""),"Yes","No")</f>
        <v>No</v>
      </c>
      <c r="L792" s="76"/>
      <c r="M792" s="63">
        <f t="shared" si="206"/>
        <v>0</v>
      </c>
      <c r="N792" s="63">
        <v>207</v>
      </c>
      <c r="O792" s="64"/>
      <c r="P792" s="660" t="str">
        <f t="shared" si="208"/>
        <v/>
      </c>
      <c r="Q792" s="52" t="str">
        <f t="shared" si="211"/>
        <v>No</v>
      </c>
      <c r="R792" s="1574" t="str">
        <f t="shared" si="204"/>
        <v/>
      </c>
      <c r="S792" s="52" t="str">
        <f t="shared" si="198"/>
        <v/>
      </c>
      <c r="T792" s="52" t="str">
        <f t="shared" si="199"/>
        <v/>
      </c>
      <c r="U792" s="52" t="str">
        <f t="shared" si="212"/>
        <v/>
      </c>
      <c r="V792" s="52" t="str">
        <f t="shared" si="200"/>
        <v/>
      </c>
      <c r="W792" s="1578"/>
      <c r="X792" s="52" t="str">
        <f t="shared" si="209"/>
        <v/>
      </c>
      <c r="Y792" s="52" t="str">
        <f t="shared" si="214"/>
        <v/>
      </c>
      <c r="AA792" s="52" t="str">
        <f>IF(U792&lt;&gt;"",IF(Z792="Defenses",U792&amp;IF(AA794&lt;&gt;"",", ",""),"")&amp;AA794,AA794)</f>
        <v/>
      </c>
    </row>
    <row r="793" spans="2:27">
      <c r="B793" s="1575"/>
      <c r="C793" s="1795"/>
      <c r="D793" s="920"/>
      <c r="E793" s="61"/>
      <c r="F793" s="61" t="s">
        <v>8302</v>
      </c>
      <c r="G793" s="61"/>
      <c r="H793" s="61"/>
      <c r="I793" s="61"/>
      <c r="J793" s="1687" t="s">
        <v>8303</v>
      </c>
      <c r="K793" s="63" t="str">
        <f>IF(AND(Q793="Yes",L791&lt;&gt;""),"Yes","No")</f>
        <v>No</v>
      </c>
      <c r="L793" s="76"/>
      <c r="M793" s="63">
        <f t="shared" si="206"/>
        <v>0</v>
      </c>
      <c r="N793" s="63" t="s">
        <v>8304</v>
      </c>
      <c r="O793" s="64"/>
      <c r="P793" s="660" t="str">
        <f t="shared" si="208"/>
        <v/>
      </c>
      <c r="Q793" s="52" t="str">
        <f t="shared" si="211"/>
        <v>No</v>
      </c>
      <c r="R793" s="1574" t="str">
        <f t="shared" si="204"/>
        <v/>
      </c>
      <c r="S793" s="52" t="str">
        <f t="shared" si="198"/>
        <v/>
      </c>
      <c r="T793" s="52" t="str">
        <f t="shared" si="199"/>
        <v/>
      </c>
      <c r="U793" s="52" t="str">
        <f t="shared" si="212"/>
        <v/>
      </c>
      <c r="V793" s="52" t="str">
        <f t="shared" si="200"/>
        <v/>
      </c>
      <c r="W793" s="1578"/>
      <c r="X793" s="52" t="str">
        <f t="shared" si="209"/>
        <v/>
      </c>
      <c r="Y793" s="52" t="str">
        <f t="shared" si="214"/>
        <v/>
      </c>
    </row>
    <row r="794" spans="2:27" ht="26">
      <c r="B794" s="1532" t="str">
        <f>IF(E794&lt;&gt;"",E794,IF(F794&lt;&gt;"",F794,IF(G794&lt;&gt;"",G794,IF(H794&lt;&gt;"",H794))))</f>
        <v>Quick Trigger</v>
      </c>
      <c r="C794" s="1795"/>
      <c r="D794" s="920"/>
      <c r="E794" s="61"/>
      <c r="F794" s="61" t="s">
        <v>3101</v>
      </c>
      <c r="G794" s="61"/>
      <c r="H794" s="61"/>
      <c r="I794" s="61"/>
      <c r="J794" s="1687" t="s">
        <v>5134</v>
      </c>
      <c r="K794" s="63" t="str">
        <f>IF(AND(Q792="Yes",L791&lt;&gt;""),"Yes","No")</f>
        <v>No</v>
      </c>
      <c r="L794" s="76"/>
      <c r="M794" s="63">
        <f t="shared" si="206"/>
        <v>0</v>
      </c>
      <c r="N794" s="63">
        <v>207</v>
      </c>
      <c r="O794" s="64"/>
      <c r="P794" s="660" t="str">
        <f t="shared" si="208"/>
        <v/>
      </c>
      <c r="Q794" s="52" t="str">
        <f>Q792</f>
        <v>No</v>
      </c>
      <c r="R794" s="1574" t="str">
        <f t="shared" si="204"/>
        <v/>
      </c>
      <c r="S794" s="52" t="str">
        <f t="shared" si="198"/>
        <v/>
      </c>
      <c r="T794" s="52" t="str">
        <f t="shared" si="199"/>
        <v/>
      </c>
      <c r="U794" s="52" t="str">
        <f t="shared" si="212"/>
        <v/>
      </c>
      <c r="V794" s="52" t="str">
        <f t="shared" si="200"/>
        <v/>
      </c>
      <c r="W794" s="1578"/>
      <c r="X794" s="52" t="str">
        <f t="shared" si="209"/>
        <v/>
      </c>
      <c r="Y794" s="52" t="str">
        <f t="shared" si="214"/>
        <v/>
      </c>
      <c r="AA794" s="52" t="str">
        <f>IF(U794&lt;&gt;"",IF(Z794="Defenses",U794&amp;IF(AA796&lt;&gt;"",", ",""),"")&amp;AA796,AA796)</f>
        <v/>
      </c>
    </row>
    <row r="795" spans="2:27">
      <c r="B795" s="1575"/>
      <c r="C795" s="1795"/>
      <c r="D795" s="920"/>
      <c r="E795" s="61"/>
      <c r="F795" s="61"/>
      <c r="G795" s="61" t="s">
        <v>8305</v>
      </c>
      <c r="H795" s="61"/>
      <c r="I795" s="61"/>
      <c r="J795" s="1687" t="s">
        <v>8306</v>
      </c>
      <c r="K795" s="63" t="str">
        <f>IF(AND(Q794="Yes",L794&lt;&gt;""),"Yes","No")</f>
        <v>No</v>
      </c>
      <c r="L795" s="76"/>
      <c r="M795" s="63">
        <f t="shared" si="206"/>
        <v>0</v>
      </c>
      <c r="N795" s="63" t="s">
        <v>8304</v>
      </c>
      <c r="O795" s="64"/>
      <c r="P795" s="660" t="str">
        <f t="shared" si="208"/>
        <v/>
      </c>
      <c r="Q795" s="52" t="str">
        <f t="shared" si="211"/>
        <v>No</v>
      </c>
      <c r="R795" s="1574" t="str">
        <f t="shared" si="204"/>
        <v/>
      </c>
      <c r="S795" s="52" t="str">
        <f t="shared" si="198"/>
        <v/>
      </c>
      <c r="T795" s="52" t="str">
        <f t="shared" si="199"/>
        <v/>
      </c>
      <c r="U795" s="52" t="str">
        <f t="shared" si="212"/>
        <v/>
      </c>
      <c r="V795" s="52" t="str">
        <f t="shared" si="200"/>
        <v/>
      </c>
      <c r="W795" s="1578"/>
      <c r="X795" s="52" t="str">
        <f t="shared" si="209"/>
        <v/>
      </c>
      <c r="Y795" s="52" t="str">
        <f t="shared" si="214"/>
        <v/>
      </c>
    </row>
    <row r="796" spans="2:27" ht="26">
      <c r="B796" s="1532" t="str">
        <f t="shared" ref="B796:B822" si="215">IF(E796&lt;&gt;"",E796,IF(F796&lt;&gt;"",F796,IF(G796&lt;&gt;"",G796,IF(H796&lt;&gt;"",H796))))</f>
        <v>Synchronized Fire</v>
      </c>
      <c r="C796" s="1795"/>
      <c r="D796" s="920"/>
      <c r="E796" s="61"/>
      <c r="F796" s="61" t="s">
        <v>3102</v>
      </c>
      <c r="G796" s="61"/>
      <c r="H796" s="61"/>
      <c r="I796" s="61"/>
      <c r="J796" s="1687" t="s">
        <v>5135</v>
      </c>
      <c r="K796" s="63" t="str">
        <f>IF(AND(Q794="Yes",L791&lt;&gt;""),"Yes","No")</f>
        <v>No</v>
      </c>
      <c r="L796" s="76"/>
      <c r="M796" s="63">
        <f t="shared" si="206"/>
        <v>0</v>
      </c>
      <c r="N796" s="63" t="s">
        <v>2785</v>
      </c>
      <c r="O796" s="64"/>
      <c r="P796" s="660" t="str">
        <f t="shared" si="208"/>
        <v/>
      </c>
      <c r="Q796" s="52" t="str">
        <f>Q794</f>
        <v>No</v>
      </c>
      <c r="R796" s="1574" t="str">
        <f t="shared" si="204"/>
        <v/>
      </c>
      <c r="S796" s="52" t="str">
        <f t="shared" si="198"/>
        <v/>
      </c>
      <c r="T796" s="52" t="str">
        <f t="shared" si="199"/>
        <v/>
      </c>
      <c r="U796" s="52" t="str">
        <f t="shared" si="212"/>
        <v/>
      </c>
      <c r="V796" s="52" t="str">
        <f t="shared" si="200"/>
        <v/>
      </c>
      <c r="W796" s="1578"/>
      <c r="X796" s="52" t="str">
        <f t="shared" si="209"/>
        <v/>
      </c>
      <c r="Y796" s="52" t="str">
        <f t="shared" si="214"/>
        <v/>
      </c>
      <c r="AA796" s="52" t="str">
        <f t="shared" ref="AA796:AA801" si="216">IF(U796&lt;&gt;"",IF(Z796="Defenses",U796&amp;IF(AA797&lt;&gt;"",", ",""),"")&amp;AA797,AA797)</f>
        <v/>
      </c>
    </row>
    <row r="797" spans="2:27" ht="26">
      <c r="B797" s="1532" t="str">
        <f t="shared" si="215"/>
        <v>System Hit</v>
      </c>
      <c r="C797" s="1795"/>
      <c r="D797" s="920"/>
      <c r="E797" s="61"/>
      <c r="F797" s="61" t="s">
        <v>3103</v>
      </c>
      <c r="G797" s="61"/>
      <c r="H797" s="61"/>
      <c r="I797" s="61"/>
      <c r="J797" s="1687" t="s">
        <v>5136</v>
      </c>
      <c r="K797" s="63" t="str">
        <f>IF(AND(Q796="Yes",L791&lt;&gt;""),"Yes","No")</f>
        <v>No</v>
      </c>
      <c r="L797" s="76"/>
      <c r="M797" s="63">
        <f t="shared" si="206"/>
        <v>0</v>
      </c>
      <c r="N797" s="63">
        <v>207</v>
      </c>
      <c r="O797" s="64"/>
      <c r="P797" s="660" t="str">
        <f t="shared" si="208"/>
        <v/>
      </c>
      <c r="Q797" s="52" t="str">
        <f t="shared" si="211"/>
        <v>No</v>
      </c>
      <c r="R797" s="1574" t="str">
        <f t="shared" si="204"/>
        <v/>
      </c>
      <c r="S797" s="52" t="str">
        <f t="shared" si="198"/>
        <v/>
      </c>
      <c r="T797" s="52" t="str">
        <f t="shared" si="199"/>
        <v/>
      </c>
      <c r="U797" s="52" t="str">
        <f t="shared" si="212"/>
        <v/>
      </c>
      <c r="V797" s="52" t="str">
        <f t="shared" si="200"/>
        <v/>
      </c>
      <c r="W797" s="1578"/>
      <c r="X797" s="52" t="str">
        <f t="shared" si="209"/>
        <v/>
      </c>
      <c r="Y797" s="52" t="str">
        <f t="shared" si="214"/>
        <v/>
      </c>
      <c r="AA797" s="52" t="str">
        <f t="shared" si="216"/>
        <v/>
      </c>
    </row>
    <row r="798" spans="2:27">
      <c r="B798" s="1532" t="str">
        <f t="shared" si="215"/>
        <v>Crippling Hit</v>
      </c>
      <c r="C798" s="1795"/>
      <c r="D798" s="920"/>
      <c r="E798" s="61"/>
      <c r="F798" s="61"/>
      <c r="G798" s="61" t="s">
        <v>3104</v>
      </c>
      <c r="H798" s="61"/>
      <c r="I798" s="61"/>
      <c r="J798" s="1687" t="s">
        <v>5137</v>
      </c>
      <c r="K798" s="63" t="str">
        <f>IF(AND(Q797="Yes",L797&lt;&gt;""),"Yes","No")</f>
        <v>No</v>
      </c>
      <c r="L798" s="76"/>
      <c r="M798" s="63">
        <f t="shared" si="206"/>
        <v>0</v>
      </c>
      <c r="N798" s="63" t="s">
        <v>2785</v>
      </c>
      <c r="O798" s="64"/>
      <c r="P798" s="660" t="str">
        <f t="shared" si="208"/>
        <v/>
      </c>
      <c r="Q798" s="52" t="str">
        <f t="shared" si="211"/>
        <v>No</v>
      </c>
      <c r="R798" s="1574" t="str">
        <f t="shared" si="204"/>
        <v/>
      </c>
      <c r="S798" s="52" t="str">
        <f t="shared" ref="S798:S861" si="217">IF(R798&lt;&gt;"",R798&amp;";"&amp;S799,S799)</f>
        <v/>
      </c>
      <c r="T798" s="52" t="str">
        <f t="shared" ref="T798:T861" si="218">IF(R798&lt;&gt;"",N798&amp;";"&amp;T799,T799)</f>
        <v/>
      </c>
      <c r="U798" s="52" t="str">
        <f t="shared" si="212"/>
        <v/>
      </c>
      <c r="V798" s="52" t="str">
        <f t="shared" ref="V798:V861" si="219">IF(U798&lt;&gt;"",U798&amp;";"&amp;V799,V799)</f>
        <v/>
      </c>
      <c r="W798" s="1578"/>
      <c r="X798" s="52" t="str">
        <f t="shared" si="209"/>
        <v/>
      </c>
      <c r="Y798" s="52" t="str">
        <f t="shared" si="214"/>
        <v/>
      </c>
      <c r="AA798" s="52" t="str">
        <f t="shared" si="216"/>
        <v/>
      </c>
    </row>
    <row r="799" spans="2:27">
      <c r="B799" s="1532" t="str">
        <f t="shared" si="215"/>
        <v>Great Shot</v>
      </c>
      <c r="C799" s="1795"/>
      <c r="D799" s="920"/>
      <c r="E799" s="61" t="s">
        <v>3105</v>
      </c>
      <c r="F799" s="61"/>
      <c r="G799" s="61"/>
      <c r="H799" s="61"/>
      <c r="I799" s="61"/>
      <c r="J799" s="1687" t="s">
        <v>5138</v>
      </c>
      <c r="K799" s="63" t="str">
        <f t="shared" si="202"/>
        <v>No</v>
      </c>
      <c r="L799" s="76"/>
      <c r="M799" s="63">
        <f t="shared" si="206"/>
        <v>0</v>
      </c>
      <c r="N799" s="63" t="s">
        <v>2785</v>
      </c>
      <c r="O799" s="64"/>
      <c r="P799" s="660" t="str">
        <f t="shared" si="208"/>
        <v/>
      </c>
      <c r="Q799" s="52" t="str">
        <f t="shared" si="211"/>
        <v>No</v>
      </c>
      <c r="R799" s="1574" t="str">
        <f t="shared" si="204"/>
        <v/>
      </c>
      <c r="S799" s="52" t="str">
        <f t="shared" si="217"/>
        <v/>
      </c>
      <c r="T799" s="52" t="str">
        <f t="shared" si="218"/>
        <v/>
      </c>
      <c r="U799" s="52" t="str">
        <f t="shared" si="212"/>
        <v/>
      </c>
      <c r="V799" s="52" t="str">
        <f t="shared" si="219"/>
        <v/>
      </c>
      <c r="W799" s="1578"/>
      <c r="X799" s="52" t="str">
        <f t="shared" si="209"/>
        <v/>
      </c>
      <c r="Y799" s="52" t="str">
        <f t="shared" si="214"/>
        <v/>
      </c>
      <c r="AA799" s="52" t="str">
        <f t="shared" si="216"/>
        <v/>
      </c>
    </row>
    <row r="800" spans="2:27">
      <c r="B800" s="1532" t="str">
        <f t="shared" si="215"/>
        <v>Begin Attack Run</v>
      </c>
      <c r="C800" s="1795"/>
      <c r="D800" s="920" t="s">
        <v>3106</v>
      </c>
      <c r="E800" s="61" t="s">
        <v>3107</v>
      </c>
      <c r="F800" s="61"/>
      <c r="G800" s="61"/>
      <c r="H800" s="61"/>
      <c r="I800" s="61"/>
      <c r="J800" s="1687" t="s">
        <v>5139</v>
      </c>
      <c r="K800" s="63" t="str">
        <f t="shared" si="202"/>
        <v>No</v>
      </c>
      <c r="L800" s="76"/>
      <c r="M800" s="63">
        <f t="shared" si="206"/>
        <v>0</v>
      </c>
      <c r="N800" s="63" t="s">
        <v>2785</v>
      </c>
      <c r="O800" s="64"/>
      <c r="P800" s="660" t="str">
        <f t="shared" si="208"/>
        <v/>
      </c>
      <c r="Q800" s="52" t="str">
        <f t="shared" si="211"/>
        <v>No</v>
      </c>
      <c r="R800" s="1574" t="str">
        <f t="shared" si="204"/>
        <v/>
      </c>
      <c r="S800" s="52" t="str">
        <f t="shared" si="217"/>
        <v/>
      </c>
      <c r="T800" s="52" t="str">
        <f t="shared" si="218"/>
        <v/>
      </c>
      <c r="U800" s="52" t="str">
        <f t="shared" si="212"/>
        <v/>
      </c>
      <c r="V800" s="52" t="str">
        <f t="shared" si="219"/>
        <v/>
      </c>
      <c r="W800" s="1578"/>
      <c r="X800" s="52" t="str">
        <f t="shared" si="209"/>
        <v/>
      </c>
      <c r="Y800" s="52" t="str">
        <f t="shared" si="214"/>
        <v/>
      </c>
      <c r="AA800" s="52" t="str">
        <f t="shared" si="216"/>
        <v/>
      </c>
    </row>
    <row r="801" spans="2:27">
      <c r="B801" s="1532" t="str">
        <f t="shared" si="215"/>
        <v>Regroup</v>
      </c>
      <c r="C801" s="1795"/>
      <c r="D801" s="920"/>
      <c r="E801" s="61" t="s">
        <v>3108</v>
      </c>
      <c r="F801" s="61"/>
      <c r="G801" s="61"/>
      <c r="H801" s="61"/>
      <c r="I801" s="61"/>
      <c r="J801" s="1687" t="s">
        <v>5140</v>
      </c>
      <c r="K801" s="63" t="str">
        <f t="shared" si="202"/>
        <v>No</v>
      </c>
      <c r="L801" s="76"/>
      <c r="M801" s="63">
        <f t="shared" si="206"/>
        <v>0</v>
      </c>
      <c r="N801" s="63" t="s">
        <v>3109</v>
      </c>
      <c r="O801" s="64"/>
      <c r="P801" s="660" t="str">
        <f t="shared" si="208"/>
        <v/>
      </c>
      <c r="Q801" s="52" t="str">
        <f t="shared" si="211"/>
        <v>No</v>
      </c>
      <c r="R801" s="1574" t="str">
        <f t="shared" si="204"/>
        <v/>
      </c>
      <c r="S801" s="52" t="str">
        <f t="shared" si="217"/>
        <v/>
      </c>
      <c r="T801" s="52" t="str">
        <f t="shared" si="218"/>
        <v/>
      </c>
      <c r="U801" s="52" t="str">
        <f t="shared" si="212"/>
        <v/>
      </c>
      <c r="V801" s="52" t="str">
        <f t="shared" si="219"/>
        <v/>
      </c>
      <c r="W801" s="1578"/>
      <c r="X801" s="52" t="str">
        <f t="shared" si="209"/>
        <v/>
      </c>
      <c r="Y801" s="52" t="str">
        <f t="shared" si="214"/>
        <v/>
      </c>
      <c r="AA801" s="52" t="str">
        <f t="shared" si="216"/>
        <v/>
      </c>
    </row>
    <row r="802" spans="2:27" ht="26">
      <c r="B802" s="1532" t="str">
        <f t="shared" si="215"/>
        <v>Squadron Maneuvers</v>
      </c>
      <c r="C802" s="1795"/>
      <c r="D802" s="920"/>
      <c r="E802" s="61" t="s">
        <v>3110</v>
      </c>
      <c r="F802" s="61"/>
      <c r="G802" s="61"/>
      <c r="H802" s="61"/>
      <c r="I802" s="61"/>
      <c r="J802" s="1687" t="s">
        <v>5141</v>
      </c>
      <c r="K802" s="63" t="str">
        <f t="shared" si="202"/>
        <v>No</v>
      </c>
      <c r="L802" s="76"/>
      <c r="M802" s="63">
        <f t="shared" si="206"/>
        <v>0</v>
      </c>
      <c r="N802" s="63" t="s">
        <v>3109</v>
      </c>
      <c r="O802" s="64"/>
      <c r="P802" s="660" t="str">
        <f t="shared" si="208"/>
        <v/>
      </c>
      <c r="Q802" s="52" t="str">
        <f t="shared" si="211"/>
        <v>No</v>
      </c>
      <c r="R802" s="1574" t="str">
        <f t="shared" ref="R802:R865" si="220">IF(L802&lt;&gt;"",E802&amp;F802&amp;G802&amp;IF(P802&lt;&gt;""," ("&amp;P802&amp;")",""),"")&amp;IF(M802&gt;1," ("&amp;M802&amp;")","")</f>
        <v/>
      </c>
      <c r="S802" s="52" t="str">
        <f t="shared" si="217"/>
        <v/>
      </c>
      <c r="T802" s="52" t="str">
        <f t="shared" si="218"/>
        <v/>
      </c>
      <c r="U802" s="52" t="str">
        <f t="shared" si="212"/>
        <v/>
      </c>
      <c r="V802" s="52" t="str">
        <f t="shared" si="219"/>
        <v/>
      </c>
      <c r="W802" s="1578"/>
      <c r="X802" s="52" t="str">
        <f t="shared" si="209"/>
        <v/>
      </c>
      <c r="Y802" s="52" t="str">
        <f t="shared" si="214"/>
        <v/>
      </c>
      <c r="AA802" s="52" t="str">
        <f t="shared" ref="AA802:AA808" si="221">IF(U802&lt;&gt;"",IF(Z802="Defenses",U802&amp;IF(AA803&lt;&gt;"",", ",""),"")&amp;AA803,AA803)</f>
        <v/>
      </c>
    </row>
    <row r="803" spans="2:27" ht="26">
      <c r="B803" s="1532" t="str">
        <f t="shared" si="215"/>
        <v>Squadron Tactics</v>
      </c>
      <c r="C803" s="1795"/>
      <c r="D803" s="920"/>
      <c r="E803" s="61"/>
      <c r="F803" s="61" t="s">
        <v>3111</v>
      </c>
      <c r="G803" s="61"/>
      <c r="H803" s="61"/>
      <c r="I803" s="61"/>
      <c r="J803" s="1689" t="s">
        <v>5142</v>
      </c>
      <c r="K803" s="63" t="str">
        <f>IF(AND(Q802="Yes",L802&lt;&gt;""),"Yes","No")</f>
        <v>No</v>
      </c>
      <c r="L803" s="76"/>
      <c r="M803" s="63">
        <f t="shared" si="206"/>
        <v>0</v>
      </c>
      <c r="N803" s="63" t="s">
        <v>3109</v>
      </c>
      <c r="O803" s="64"/>
      <c r="P803" s="660" t="str">
        <f t="shared" si="208"/>
        <v/>
      </c>
      <c r="Q803" s="52" t="str">
        <f t="shared" si="211"/>
        <v>No</v>
      </c>
      <c r="R803" s="1574" t="str">
        <f t="shared" si="220"/>
        <v/>
      </c>
      <c r="S803" s="52" t="str">
        <f t="shared" si="217"/>
        <v/>
      </c>
      <c r="T803" s="52" t="str">
        <f t="shared" si="218"/>
        <v/>
      </c>
      <c r="U803" s="52" t="str">
        <f t="shared" si="212"/>
        <v/>
      </c>
      <c r="V803" s="52" t="str">
        <f t="shared" si="219"/>
        <v/>
      </c>
      <c r="W803" s="1578"/>
      <c r="X803" s="52" t="str">
        <f t="shared" si="209"/>
        <v/>
      </c>
      <c r="Y803" s="52" t="str">
        <f t="shared" si="214"/>
        <v/>
      </c>
      <c r="AA803" s="52" t="str">
        <f t="shared" si="221"/>
        <v/>
      </c>
    </row>
    <row r="804" spans="2:27" ht="26">
      <c r="B804" s="1532" t="str">
        <f t="shared" si="215"/>
        <v>Concentrate All Fire</v>
      </c>
      <c r="C804" s="1795"/>
      <c r="D804" s="920" t="s">
        <v>3097</v>
      </c>
      <c r="E804" s="61" t="s">
        <v>6419</v>
      </c>
      <c r="F804" s="61"/>
      <c r="G804" s="61"/>
      <c r="H804" s="61"/>
      <c r="I804" s="61"/>
      <c r="J804" s="1690" t="s">
        <v>6425</v>
      </c>
      <c r="K804" s="63" t="str">
        <f t="shared" si="202"/>
        <v>No</v>
      </c>
      <c r="L804" s="76"/>
      <c r="M804" s="63">
        <f>IF(L804&lt;&gt;"",1,0)</f>
        <v>0</v>
      </c>
      <c r="N804" s="63" t="s">
        <v>6489</v>
      </c>
      <c r="O804" s="64"/>
      <c r="P804" s="660" t="str">
        <f t="shared" si="208"/>
        <v/>
      </c>
      <c r="Q804" s="52" t="str">
        <f t="shared" si="211"/>
        <v>No</v>
      </c>
      <c r="R804" s="1574" t="str">
        <f t="shared" si="220"/>
        <v/>
      </c>
      <c r="S804" s="52" t="str">
        <f t="shared" si="217"/>
        <v/>
      </c>
      <c r="T804" s="52" t="str">
        <f t="shared" si="218"/>
        <v/>
      </c>
      <c r="U804" s="52" t="str">
        <f t="shared" si="212"/>
        <v/>
      </c>
      <c r="V804" s="52" t="str">
        <f t="shared" si="219"/>
        <v/>
      </c>
      <c r="W804" s="1578"/>
      <c r="X804" s="52" t="str">
        <f t="shared" si="209"/>
        <v/>
      </c>
      <c r="Y804" s="52" t="str">
        <f t="shared" si="214"/>
        <v/>
      </c>
      <c r="AA804" s="52" t="str">
        <f t="shared" si="221"/>
        <v/>
      </c>
    </row>
    <row r="805" spans="2:27" ht="52">
      <c r="B805" s="1532" t="str">
        <f t="shared" si="215"/>
        <v>Escort Pilot</v>
      </c>
      <c r="C805" s="1795"/>
      <c r="D805" s="920"/>
      <c r="E805" s="61" t="s">
        <v>6420</v>
      </c>
      <c r="F805" s="61"/>
      <c r="G805" s="61"/>
      <c r="H805" s="61"/>
      <c r="I805" s="61"/>
      <c r="J805" s="1687" t="s">
        <v>6488</v>
      </c>
      <c r="K805" s="63" t="str">
        <f t="shared" si="202"/>
        <v>No</v>
      </c>
      <c r="L805" s="76"/>
      <c r="M805" s="63">
        <f>IF(L805&lt;&gt;"",1,0)</f>
        <v>0</v>
      </c>
      <c r="N805" s="63" t="s">
        <v>6489</v>
      </c>
      <c r="O805" s="64"/>
      <c r="P805" s="660" t="str">
        <f t="shared" si="208"/>
        <v/>
      </c>
      <c r="Q805" s="52" t="str">
        <f t="shared" si="211"/>
        <v>No</v>
      </c>
      <c r="R805" s="1574" t="str">
        <f t="shared" si="220"/>
        <v/>
      </c>
      <c r="S805" s="52" t="str">
        <f t="shared" si="217"/>
        <v/>
      </c>
      <c r="T805" s="52" t="str">
        <f t="shared" si="218"/>
        <v/>
      </c>
      <c r="U805" s="52" t="str">
        <f t="shared" si="212"/>
        <v/>
      </c>
      <c r="V805" s="52" t="str">
        <f t="shared" si="219"/>
        <v/>
      </c>
      <c r="W805" s="1578"/>
      <c r="X805" s="52" t="str">
        <f t="shared" si="209"/>
        <v/>
      </c>
      <c r="Y805" s="52" t="str">
        <f t="shared" si="214"/>
        <v/>
      </c>
      <c r="AA805" s="52" t="str">
        <f t="shared" si="221"/>
        <v/>
      </c>
    </row>
    <row r="806" spans="2:27" ht="26">
      <c r="B806" s="1532" t="str">
        <f t="shared" si="215"/>
        <v>Run lnterference</v>
      </c>
      <c r="C806" s="1795"/>
      <c r="D806" s="920"/>
      <c r="E806" s="61"/>
      <c r="F806" s="61" t="s">
        <v>6486</v>
      </c>
      <c r="G806" s="61"/>
      <c r="H806" s="61"/>
      <c r="I806" s="61"/>
      <c r="J806" s="1687" t="s">
        <v>6487</v>
      </c>
      <c r="K806" s="63" t="str">
        <f>IF(AND(Q805="Yes",L805&lt;&gt;""),"Yes","No")</f>
        <v>No</v>
      </c>
      <c r="L806" s="76"/>
      <c r="M806" s="63">
        <f>IF(L806&lt;&gt;"",1,0)</f>
        <v>0</v>
      </c>
      <c r="N806" s="63" t="s">
        <v>6489</v>
      </c>
      <c r="O806" s="64"/>
      <c r="P806" s="660" t="str">
        <f t="shared" si="208"/>
        <v/>
      </c>
      <c r="Q806" s="52" t="str">
        <f t="shared" si="211"/>
        <v>No</v>
      </c>
      <c r="R806" s="1574" t="str">
        <f t="shared" si="220"/>
        <v/>
      </c>
      <c r="S806" s="52" t="str">
        <f t="shared" si="217"/>
        <v/>
      </c>
      <c r="T806" s="52" t="str">
        <f t="shared" si="218"/>
        <v/>
      </c>
      <c r="U806" s="52" t="str">
        <f t="shared" si="212"/>
        <v/>
      </c>
      <c r="V806" s="52" t="str">
        <f t="shared" si="219"/>
        <v/>
      </c>
      <c r="W806" s="1578"/>
      <c r="X806" s="52" t="str">
        <f t="shared" si="209"/>
        <v/>
      </c>
      <c r="Y806" s="52" t="str">
        <f t="shared" si="214"/>
        <v/>
      </c>
      <c r="AA806" s="52" t="str">
        <f t="shared" si="221"/>
        <v/>
      </c>
    </row>
    <row r="807" spans="2:27" ht="39">
      <c r="B807" s="1532" t="str">
        <f t="shared" si="215"/>
        <v>Wingman Retribution</v>
      </c>
      <c r="C807" s="1795"/>
      <c r="D807" s="920"/>
      <c r="E807" s="61"/>
      <c r="F807" s="61" t="s">
        <v>6422</v>
      </c>
      <c r="G807" s="61"/>
      <c r="H807" s="61"/>
      <c r="I807" s="61"/>
      <c r="J807" s="1689" t="s">
        <v>6423</v>
      </c>
      <c r="K807" s="63" t="str">
        <f>IF(AND(Q806="Yes",L805&lt;&gt;""),"Yes","No")</f>
        <v>No</v>
      </c>
      <c r="L807" s="76"/>
      <c r="M807" s="63">
        <f>IF(L807&lt;&gt;"",1,0)</f>
        <v>0</v>
      </c>
      <c r="N807" s="63" t="s">
        <v>6489</v>
      </c>
      <c r="O807" s="64"/>
      <c r="P807" s="660" t="str">
        <f t="shared" si="208"/>
        <v/>
      </c>
      <c r="Q807" s="52" t="str">
        <f t="shared" si="211"/>
        <v>No</v>
      </c>
      <c r="R807" s="1574" t="str">
        <f t="shared" si="220"/>
        <v/>
      </c>
      <c r="S807" s="52" t="str">
        <f t="shared" si="217"/>
        <v/>
      </c>
      <c r="T807" s="52" t="str">
        <f t="shared" si="218"/>
        <v/>
      </c>
      <c r="U807" s="52" t="str">
        <f t="shared" si="212"/>
        <v/>
      </c>
      <c r="V807" s="52" t="str">
        <f t="shared" si="219"/>
        <v/>
      </c>
      <c r="W807" s="1578"/>
      <c r="X807" s="52" t="str">
        <f t="shared" si="209"/>
        <v/>
      </c>
      <c r="Y807" s="52" t="str">
        <f t="shared" si="214"/>
        <v/>
      </c>
      <c r="AA807" s="52" t="str">
        <f t="shared" si="221"/>
        <v/>
      </c>
    </row>
    <row r="808" spans="2:27" ht="26">
      <c r="B808" s="1532" t="str">
        <f t="shared" si="215"/>
        <v>Lose Pursuit</v>
      </c>
      <c r="C808" s="1796"/>
      <c r="D808" s="71"/>
      <c r="E808" s="927" t="s">
        <v>6421</v>
      </c>
      <c r="F808" s="927"/>
      <c r="G808" s="927"/>
      <c r="H808" s="927"/>
      <c r="I808" s="927"/>
      <c r="J808" s="1691" t="s">
        <v>6424</v>
      </c>
      <c r="K808" s="928" t="str">
        <f>IF(AND(Q806="Yes",L805&lt;&gt;""),"Yes","No")</f>
        <v>No</v>
      </c>
      <c r="L808" s="929"/>
      <c r="M808" s="928">
        <f>IF(L808&lt;&gt;"",1,0)</f>
        <v>0</v>
      </c>
      <c r="N808" s="928" t="s">
        <v>6489</v>
      </c>
      <c r="O808" s="64"/>
      <c r="P808" s="660" t="str">
        <f t="shared" si="208"/>
        <v/>
      </c>
      <c r="Q808" s="52" t="str">
        <f t="shared" si="211"/>
        <v>No</v>
      </c>
      <c r="R808" s="1574" t="str">
        <f t="shared" si="220"/>
        <v/>
      </c>
      <c r="S808" s="52" t="str">
        <f t="shared" si="217"/>
        <v/>
      </c>
      <c r="T808" s="52" t="str">
        <f t="shared" si="218"/>
        <v/>
      </c>
      <c r="U808" s="52" t="str">
        <f t="shared" si="212"/>
        <v/>
      </c>
      <c r="V808" s="52" t="str">
        <f t="shared" si="219"/>
        <v/>
      </c>
      <c r="W808" s="1578"/>
      <c r="X808" s="52" t="str">
        <f t="shared" si="209"/>
        <v/>
      </c>
      <c r="Y808" s="52" t="str">
        <f t="shared" si="214"/>
        <v/>
      </c>
      <c r="AA808" s="52" t="str">
        <f t="shared" si="221"/>
        <v/>
      </c>
    </row>
    <row r="809" spans="2:27" ht="15" customHeight="1">
      <c r="B809" s="1532" t="str">
        <f t="shared" si="215"/>
        <v>Murderous Arts I</v>
      </c>
      <c r="C809" s="1794" t="s">
        <v>1120</v>
      </c>
      <c r="D809" s="920" t="s">
        <v>1120</v>
      </c>
      <c r="E809" s="61" t="s">
        <v>3112</v>
      </c>
      <c r="F809" s="61"/>
      <c r="G809" s="61"/>
      <c r="H809" s="61"/>
      <c r="I809" s="61"/>
      <c r="J809" s="1690" t="s">
        <v>5143</v>
      </c>
      <c r="K809" s="63" t="str">
        <f t="shared" si="202"/>
        <v>No</v>
      </c>
      <c r="L809" s="76"/>
      <c r="M809" s="63">
        <f t="shared" si="206"/>
        <v>0</v>
      </c>
      <c r="N809" s="63" t="s">
        <v>3113</v>
      </c>
      <c r="O809" s="64"/>
      <c r="P809" s="660" t="str">
        <f t="shared" si="208"/>
        <v/>
      </c>
      <c r="Q809" s="52" t="str">
        <f>IF(OR(AD45&gt;0,AD35&gt;0),"Yes","No")</f>
        <v>No</v>
      </c>
      <c r="R809" s="1574" t="str">
        <f t="shared" si="220"/>
        <v/>
      </c>
      <c r="S809" s="52" t="str">
        <f t="shared" si="217"/>
        <v/>
      </c>
      <c r="T809" s="52" t="str">
        <f t="shared" si="218"/>
        <v/>
      </c>
      <c r="U809" s="52" t="str">
        <f t="shared" si="212"/>
        <v/>
      </c>
      <c r="V809" s="52" t="str">
        <f t="shared" si="219"/>
        <v/>
      </c>
      <c r="W809" s="1578"/>
      <c r="X809" s="52" t="str">
        <f t="shared" si="209"/>
        <v/>
      </c>
      <c r="Y809" s="52" t="str">
        <f t="shared" si="214"/>
        <v/>
      </c>
      <c r="AA809" s="52" t="str">
        <f>IF(U809&lt;&gt;"",IF(Z809="Defenses",U809&amp;IF(AA810&lt;&gt;"",", ",""),"")&amp;AA810,AA810)</f>
        <v/>
      </c>
    </row>
    <row r="810" spans="2:27">
      <c r="B810" s="1532" t="str">
        <f t="shared" si="215"/>
        <v>Murderous Arts II</v>
      </c>
      <c r="C810" s="1795"/>
      <c r="D810" s="920"/>
      <c r="E810" s="61"/>
      <c r="F810" s="61" t="s">
        <v>3114</v>
      </c>
      <c r="G810" s="61"/>
      <c r="H810" s="61"/>
      <c r="I810" s="61"/>
      <c r="J810" s="1687" t="s">
        <v>5144</v>
      </c>
      <c r="K810" s="63" t="str">
        <f>IF(AND(Q809="Yes",L809&lt;&gt;""),"Yes","No")</f>
        <v>No</v>
      </c>
      <c r="L810" s="76"/>
      <c r="M810" s="63">
        <f t="shared" si="206"/>
        <v>0</v>
      </c>
      <c r="N810" s="63" t="s">
        <v>3113</v>
      </c>
      <c r="O810" s="64"/>
      <c r="P810" s="660" t="str">
        <f t="shared" si="208"/>
        <v/>
      </c>
      <c r="Q810" s="52" t="str">
        <f t="shared" si="211"/>
        <v>No</v>
      </c>
      <c r="R810" s="1574" t="str">
        <f t="shared" si="220"/>
        <v/>
      </c>
      <c r="S810" s="52" t="str">
        <f t="shared" si="217"/>
        <v/>
      </c>
      <c r="T810" s="52" t="str">
        <f t="shared" si="218"/>
        <v/>
      </c>
      <c r="U810" s="52" t="str">
        <f t="shared" si="212"/>
        <v/>
      </c>
      <c r="V810" s="52" t="str">
        <f t="shared" si="219"/>
        <v/>
      </c>
      <c r="W810" s="1578"/>
      <c r="X810" s="52" t="str">
        <f t="shared" si="209"/>
        <v/>
      </c>
      <c r="Y810" s="52" t="str">
        <f t="shared" si="214"/>
        <v/>
      </c>
      <c r="AA810" s="52" t="str">
        <f>IF(U810&lt;&gt;"",IF(Z810="Defenses",U810&amp;IF(AA811&lt;&gt;"",", ",""),"")&amp;AA811,AA811)</f>
        <v/>
      </c>
    </row>
    <row r="811" spans="2:27" ht="26">
      <c r="B811" s="1532" t="str">
        <f t="shared" si="215"/>
        <v>Ruthless</v>
      </c>
      <c r="C811" s="1795"/>
      <c r="D811" s="920"/>
      <c r="E811" s="61" t="s">
        <v>2941</v>
      </c>
      <c r="F811" s="61"/>
      <c r="G811" s="61"/>
      <c r="H811" s="61"/>
      <c r="I811" s="61"/>
      <c r="J811" s="1687" t="s">
        <v>5145</v>
      </c>
      <c r="K811" s="63" t="str">
        <f t="shared" si="202"/>
        <v>No</v>
      </c>
      <c r="L811" s="76"/>
      <c r="M811" s="63">
        <f t="shared" si="206"/>
        <v>0</v>
      </c>
      <c r="N811" s="63" t="s">
        <v>3113</v>
      </c>
      <c r="O811" s="64"/>
      <c r="P811" s="660" t="str">
        <f t="shared" si="208"/>
        <v/>
      </c>
      <c r="Q811" s="52" t="str">
        <f t="shared" si="211"/>
        <v>No</v>
      </c>
      <c r="R811" s="1574" t="str">
        <f t="shared" si="220"/>
        <v/>
      </c>
      <c r="S811" s="52" t="str">
        <f t="shared" si="217"/>
        <v/>
      </c>
      <c r="T811" s="52" t="str">
        <f t="shared" si="218"/>
        <v/>
      </c>
      <c r="U811" s="52" t="str">
        <f t="shared" si="212"/>
        <v/>
      </c>
      <c r="V811" s="52" t="str">
        <f t="shared" si="219"/>
        <v/>
      </c>
      <c r="W811" s="1578"/>
      <c r="X811" s="52" t="str">
        <f t="shared" si="209"/>
        <v/>
      </c>
      <c r="Y811" s="52" t="str">
        <f t="shared" si="214"/>
        <v/>
      </c>
      <c r="AA811" s="52" t="str">
        <f t="shared" ref="AA811:AA882" si="222">IF(U811&lt;&gt;"",IF(Z811="Defenses",U811&amp;IF(AA812&lt;&gt;"",", ",""),"")&amp;AA812,AA812)</f>
        <v/>
      </c>
    </row>
    <row r="812" spans="2:27">
      <c r="B812" s="1532" t="str">
        <f t="shared" si="215"/>
        <v>Shift</v>
      </c>
      <c r="C812" s="1795"/>
      <c r="D812" s="920"/>
      <c r="E812" s="61" t="s">
        <v>3115</v>
      </c>
      <c r="F812" s="61"/>
      <c r="G812" s="61"/>
      <c r="H812" s="61"/>
      <c r="I812" s="61"/>
      <c r="J812" s="1687" t="s">
        <v>5146</v>
      </c>
      <c r="K812" s="63" t="str">
        <f t="shared" si="202"/>
        <v>No</v>
      </c>
      <c r="L812" s="76"/>
      <c r="M812" s="63">
        <f t="shared" si="206"/>
        <v>0</v>
      </c>
      <c r="N812" s="63" t="s">
        <v>3113</v>
      </c>
      <c r="O812" s="64"/>
      <c r="P812" s="660" t="str">
        <f t="shared" si="208"/>
        <v/>
      </c>
      <c r="Q812" s="52" t="str">
        <f t="shared" si="211"/>
        <v>No</v>
      </c>
      <c r="R812" s="1574" t="str">
        <f t="shared" si="220"/>
        <v/>
      </c>
      <c r="S812" s="52" t="str">
        <f t="shared" si="217"/>
        <v/>
      </c>
      <c r="T812" s="52" t="str">
        <f t="shared" si="218"/>
        <v/>
      </c>
      <c r="U812" s="52" t="str">
        <f t="shared" si="212"/>
        <v/>
      </c>
      <c r="V812" s="52" t="str">
        <f t="shared" si="219"/>
        <v/>
      </c>
      <c r="W812" s="1578"/>
      <c r="X812" s="52" t="str">
        <f t="shared" si="209"/>
        <v/>
      </c>
      <c r="Y812" s="52" t="str">
        <f t="shared" si="214"/>
        <v/>
      </c>
      <c r="AA812" s="52" t="str">
        <f t="shared" si="222"/>
        <v/>
      </c>
    </row>
    <row r="813" spans="2:27">
      <c r="B813" s="1532" t="str">
        <f t="shared" si="215"/>
        <v>Advantageous Positioning</v>
      </c>
      <c r="C813" s="1795"/>
      <c r="D813" s="920"/>
      <c r="E813" s="61"/>
      <c r="F813" s="61" t="s">
        <v>3116</v>
      </c>
      <c r="G813" s="61"/>
      <c r="H813" s="61"/>
      <c r="I813" s="61"/>
      <c r="J813" s="1687" t="s">
        <v>5147</v>
      </c>
      <c r="K813" s="63" t="str">
        <f>IF(AND(Q812="Yes",L812&lt;&gt;""),"Yes","No")</f>
        <v>No</v>
      </c>
      <c r="L813" s="76"/>
      <c r="M813" s="63">
        <f t="shared" si="206"/>
        <v>0</v>
      </c>
      <c r="N813" s="63" t="s">
        <v>3113</v>
      </c>
      <c r="O813" s="64"/>
      <c r="P813" s="660" t="str">
        <f t="shared" si="208"/>
        <v/>
      </c>
      <c r="Q813" s="52" t="str">
        <f t="shared" si="211"/>
        <v>No</v>
      </c>
      <c r="R813" s="1574" t="str">
        <f t="shared" si="220"/>
        <v/>
      </c>
      <c r="S813" s="52" t="str">
        <f t="shared" si="217"/>
        <v/>
      </c>
      <c r="T813" s="52" t="str">
        <f t="shared" si="218"/>
        <v/>
      </c>
      <c r="U813" s="52" t="str">
        <f t="shared" si="212"/>
        <v/>
      </c>
      <c r="V813" s="52" t="str">
        <f t="shared" si="219"/>
        <v/>
      </c>
      <c r="W813" s="1578"/>
      <c r="X813" s="52" t="str">
        <f t="shared" si="209"/>
        <v/>
      </c>
      <c r="Y813" s="52" t="str">
        <f t="shared" si="214"/>
        <v/>
      </c>
      <c r="AA813" s="52" t="str">
        <f t="shared" si="222"/>
        <v/>
      </c>
    </row>
    <row r="814" spans="2:27" ht="26">
      <c r="B814" s="1532" t="str">
        <f t="shared" si="215"/>
        <v>Get Some Distance</v>
      </c>
      <c r="C814" s="1795"/>
      <c r="D814" s="920"/>
      <c r="E814" s="61"/>
      <c r="F814" s="61"/>
      <c r="G814" s="61" t="s">
        <v>3117</v>
      </c>
      <c r="H814" s="61"/>
      <c r="I814" s="61"/>
      <c r="J814" s="1687" t="s">
        <v>5148</v>
      </c>
      <c r="K814" s="63" t="str">
        <f>IF(AND(Q813="Yes",L813&lt;&gt;""),"Yes","No")</f>
        <v>No</v>
      </c>
      <c r="L814" s="76"/>
      <c r="M814" s="63">
        <f t="shared" si="206"/>
        <v>0</v>
      </c>
      <c r="N814" s="63" t="s">
        <v>3113</v>
      </c>
      <c r="O814" s="64"/>
      <c r="P814" s="660" t="str">
        <f t="shared" si="208"/>
        <v/>
      </c>
      <c r="Q814" s="52" t="str">
        <f t="shared" si="211"/>
        <v>No</v>
      </c>
      <c r="R814" s="1574" t="str">
        <f t="shared" si="220"/>
        <v/>
      </c>
      <c r="S814" s="52" t="str">
        <f t="shared" si="217"/>
        <v/>
      </c>
      <c r="T814" s="52" t="str">
        <f t="shared" si="218"/>
        <v/>
      </c>
      <c r="U814" s="52" t="str">
        <f t="shared" si="212"/>
        <v/>
      </c>
      <c r="V814" s="52" t="str">
        <f t="shared" si="219"/>
        <v/>
      </c>
      <c r="W814" s="1578"/>
      <c r="X814" s="52" t="str">
        <f t="shared" si="209"/>
        <v/>
      </c>
      <c r="Y814" s="52" t="str">
        <f t="shared" si="214"/>
        <v/>
      </c>
      <c r="AA814" s="52" t="str">
        <f t="shared" si="222"/>
        <v/>
      </c>
    </row>
    <row r="815" spans="2:27">
      <c r="B815" s="1532" t="str">
        <f t="shared" si="215"/>
        <v>Sniping Assassin</v>
      </c>
      <c r="C815" s="1795"/>
      <c r="D815" s="920"/>
      <c r="E815" s="61" t="s">
        <v>3118</v>
      </c>
      <c r="F815" s="61"/>
      <c r="G815" s="61"/>
      <c r="H815" s="61"/>
      <c r="I815" s="61"/>
      <c r="J815" s="1687" t="s">
        <v>5149</v>
      </c>
      <c r="K815" s="63" t="str">
        <f t="shared" si="202"/>
        <v>No</v>
      </c>
      <c r="L815" s="76"/>
      <c r="M815" s="63">
        <f t="shared" si="206"/>
        <v>0</v>
      </c>
      <c r="N815" s="63" t="s">
        <v>3113</v>
      </c>
      <c r="O815" s="64"/>
      <c r="P815" s="660" t="str">
        <f t="shared" si="208"/>
        <v/>
      </c>
      <c r="Q815" s="52" t="str">
        <f t="shared" si="211"/>
        <v>No</v>
      </c>
      <c r="R815" s="1574" t="str">
        <f t="shared" si="220"/>
        <v/>
      </c>
      <c r="S815" s="52" t="str">
        <f t="shared" si="217"/>
        <v/>
      </c>
      <c r="T815" s="52" t="str">
        <f t="shared" si="218"/>
        <v/>
      </c>
      <c r="U815" s="52" t="str">
        <f t="shared" si="212"/>
        <v/>
      </c>
      <c r="V815" s="52" t="str">
        <f t="shared" si="219"/>
        <v/>
      </c>
      <c r="W815" s="1578"/>
      <c r="X815" s="52" t="str">
        <f t="shared" si="209"/>
        <v/>
      </c>
      <c r="Y815" s="52" t="str">
        <f t="shared" si="214"/>
        <v/>
      </c>
      <c r="AA815" s="52" t="str">
        <f t="shared" si="222"/>
        <v/>
      </c>
    </row>
    <row r="816" spans="2:27" ht="26">
      <c r="B816" s="1532" t="str">
        <f t="shared" si="215"/>
        <v>Sniping Marksman</v>
      </c>
      <c r="C816" s="1795"/>
      <c r="D816" s="920"/>
      <c r="E816" s="61"/>
      <c r="F816" s="61" t="s">
        <v>3119</v>
      </c>
      <c r="G816" s="61"/>
      <c r="H816" s="61"/>
      <c r="I816" s="61"/>
      <c r="J816" s="1687" t="s">
        <v>5150</v>
      </c>
      <c r="K816" s="63" t="str">
        <f>IF(AND(Q815="Yes",L815&lt;&gt;""),"Yes","No")</f>
        <v>No</v>
      </c>
      <c r="L816" s="76"/>
      <c r="M816" s="63">
        <f t="shared" si="206"/>
        <v>0</v>
      </c>
      <c r="N816" s="63" t="s">
        <v>3113</v>
      </c>
      <c r="O816" s="64"/>
      <c r="P816" s="660" t="str">
        <f t="shared" si="208"/>
        <v/>
      </c>
      <c r="Q816" s="52" t="str">
        <f t="shared" si="211"/>
        <v>No</v>
      </c>
      <c r="R816" s="1574" t="str">
        <f t="shared" si="220"/>
        <v/>
      </c>
      <c r="S816" s="52" t="str">
        <f t="shared" si="217"/>
        <v/>
      </c>
      <c r="T816" s="52" t="str">
        <f t="shared" si="218"/>
        <v/>
      </c>
      <c r="U816" s="52" t="str">
        <f t="shared" si="212"/>
        <v/>
      </c>
      <c r="V816" s="52" t="str">
        <f t="shared" si="219"/>
        <v/>
      </c>
      <c r="W816" s="1578"/>
      <c r="X816" s="52" t="str">
        <f t="shared" si="209"/>
        <v/>
      </c>
      <c r="Y816" s="52" t="str">
        <f t="shared" si="214"/>
        <v/>
      </c>
      <c r="AA816" s="52" t="str">
        <f t="shared" si="222"/>
        <v/>
      </c>
    </row>
    <row r="817" spans="2:27">
      <c r="B817" s="1532" t="str">
        <f t="shared" si="215"/>
        <v>Sniping Master</v>
      </c>
      <c r="C817" s="1795"/>
      <c r="D817" s="920"/>
      <c r="E817" s="61"/>
      <c r="F817" s="61"/>
      <c r="G817" s="61" t="s">
        <v>3120</v>
      </c>
      <c r="H817" s="61"/>
      <c r="I817" s="61"/>
      <c r="J817" s="1687" t="s">
        <v>5151</v>
      </c>
      <c r="K817" s="63" t="str">
        <f>IF(AND(Q816="Yes",L816&lt;&gt;""),"Yes","No")</f>
        <v>No</v>
      </c>
      <c r="L817" s="76"/>
      <c r="M817" s="63">
        <f t="shared" si="206"/>
        <v>0</v>
      </c>
      <c r="N817" s="63" t="s">
        <v>3113</v>
      </c>
      <c r="O817" s="64"/>
      <c r="P817" s="660" t="str">
        <f t="shared" si="208"/>
        <v/>
      </c>
      <c r="Q817" s="52" t="str">
        <f t="shared" si="211"/>
        <v>No</v>
      </c>
      <c r="R817" s="1574" t="str">
        <f t="shared" si="220"/>
        <v/>
      </c>
      <c r="S817" s="52" t="str">
        <f t="shared" si="217"/>
        <v/>
      </c>
      <c r="T817" s="52" t="str">
        <f t="shared" si="218"/>
        <v/>
      </c>
      <c r="U817" s="52" t="str">
        <f t="shared" si="212"/>
        <v/>
      </c>
      <c r="V817" s="52" t="str">
        <f t="shared" si="219"/>
        <v/>
      </c>
      <c r="W817" s="1578"/>
      <c r="X817" s="52" t="str">
        <f t="shared" si="209"/>
        <v/>
      </c>
      <c r="Y817" s="52" t="str">
        <f t="shared" si="214"/>
        <v/>
      </c>
      <c r="AA817" s="52" t="str">
        <f t="shared" si="222"/>
        <v/>
      </c>
    </row>
    <row r="818" spans="2:27" ht="26">
      <c r="B818" s="1532" t="str">
        <f t="shared" si="215"/>
        <v>Deadly Repercussions</v>
      </c>
      <c r="C818" s="1795"/>
      <c r="D818" s="920" t="s">
        <v>3121</v>
      </c>
      <c r="E818" s="61" t="s">
        <v>3122</v>
      </c>
      <c r="F818" s="61"/>
      <c r="G818" s="61"/>
      <c r="H818" s="61"/>
      <c r="I818" s="61"/>
      <c r="J818" s="1687" t="s">
        <v>5152</v>
      </c>
      <c r="K818" s="63" t="str">
        <f t="shared" si="202"/>
        <v>No</v>
      </c>
      <c r="L818" s="76"/>
      <c r="M818" s="63">
        <f t="shared" si="206"/>
        <v>0</v>
      </c>
      <c r="N818" s="63" t="s">
        <v>3113</v>
      </c>
      <c r="O818" s="64"/>
      <c r="P818" s="660" t="str">
        <f t="shared" si="208"/>
        <v/>
      </c>
      <c r="Q818" s="52" t="str">
        <f t="shared" si="211"/>
        <v>No</v>
      </c>
      <c r="R818" s="1574" t="str">
        <f t="shared" si="220"/>
        <v/>
      </c>
      <c r="S818" s="52" t="str">
        <f t="shared" si="217"/>
        <v/>
      </c>
      <c r="T818" s="52" t="str">
        <f t="shared" si="218"/>
        <v/>
      </c>
      <c r="U818" s="52" t="str">
        <f t="shared" si="212"/>
        <v/>
      </c>
      <c r="V818" s="52" t="str">
        <f t="shared" si="219"/>
        <v/>
      </c>
      <c r="W818" s="1578"/>
      <c r="X818" s="52" t="str">
        <f t="shared" si="209"/>
        <v/>
      </c>
      <c r="Y818" s="52" t="str">
        <f t="shared" si="214"/>
        <v/>
      </c>
      <c r="AA818" s="52" t="str">
        <f t="shared" si="222"/>
        <v/>
      </c>
    </row>
    <row r="819" spans="2:27" ht="26">
      <c r="B819" s="1532" t="str">
        <f t="shared" si="215"/>
        <v>Manipulating Strike</v>
      </c>
      <c r="C819" s="1795"/>
      <c r="D819" s="920"/>
      <c r="E819" s="61" t="s">
        <v>3123</v>
      </c>
      <c r="F819" s="61"/>
      <c r="G819" s="61"/>
      <c r="H819" s="61"/>
      <c r="I819" s="61"/>
      <c r="J819" s="1687" t="s">
        <v>5153</v>
      </c>
      <c r="K819" s="63" t="str">
        <f t="shared" si="202"/>
        <v>No</v>
      </c>
      <c r="L819" s="76"/>
      <c r="M819" s="63">
        <f t="shared" si="206"/>
        <v>0</v>
      </c>
      <c r="N819" s="63" t="s">
        <v>3124</v>
      </c>
      <c r="O819" s="64"/>
      <c r="P819" s="660" t="str">
        <f t="shared" si="208"/>
        <v/>
      </c>
      <c r="Q819" s="52" t="str">
        <f t="shared" si="211"/>
        <v>No</v>
      </c>
      <c r="R819" s="1574" t="str">
        <f t="shared" si="220"/>
        <v/>
      </c>
      <c r="S819" s="52" t="str">
        <f t="shared" si="217"/>
        <v/>
      </c>
      <c r="T819" s="52" t="str">
        <f t="shared" si="218"/>
        <v/>
      </c>
      <c r="U819" s="52" t="str">
        <f t="shared" si="212"/>
        <v/>
      </c>
      <c r="V819" s="52" t="str">
        <f t="shared" si="219"/>
        <v/>
      </c>
      <c r="W819" s="1578"/>
      <c r="X819" s="52" t="str">
        <f t="shared" si="209"/>
        <v/>
      </c>
      <c r="Y819" s="52" t="str">
        <f t="shared" si="214"/>
        <v/>
      </c>
      <c r="AA819" s="52" t="str">
        <f t="shared" si="222"/>
        <v/>
      </c>
    </row>
    <row r="820" spans="2:27" ht="26">
      <c r="B820" s="1532" t="str">
        <f t="shared" si="215"/>
        <v>Improved Manipulating Strike</v>
      </c>
      <c r="C820" s="1795"/>
      <c r="D820" s="920"/>
      <c r="E820" s="61"/>
      <c r="F820" s="61" t="s">
        <v>3125</v>
      </c>
      <c r="G820" s="61"/>
      <c r="H820" s="61"/>
      <c r="I820" s="61"/>
      <c r="J820" s="1687" t="s">
        <v>5154</v>
      </c>
      <c r="K820" s="63" t="str">
        <f>IF(AND(Q819="Yes",L819&lt;&gt;""),"Yes","No")</f>
        <v>No</v>
      </c>
      <c r="L820" s="76"/>
      <c r="M820" s="63">
        <f t="shared" si="206"/>
        <v>0</v>
      </c>
      <c r="N820" s="63" t="s">
        <v>3124</v>
      </c>
      <c r="O820" s="64"/>
      <c r="P820" s="660" t="str">
        <f t="shared" si="208"/>
        <v/>
      </c>
      <c r="Q820" s="52" t="str">
        <f t="shared" si="211"/>
        <v>No</v>
      </c>
      <c r="R820" s="1574" t="str">
        <f t="shared" si="220"/>
        <v/>
      </c>
      <c r="S820" s="52" t="str">
        <f t="shared" si="217"/>
        <v/>
      </c>
      <c r="T820" s="52" t="str">
        <f t="shared" si="218"/>
        <v/>
      </c>
      <c r="U820" s="52" t="str">
        <f t="shared" si="212"/>
        <v/>
      </c>
      <c r="V820" s="52" t="str">
        <f t="shared" si="219"/>
        <v/>
      </c>
      <c r="W820" s="1578"/>
      <c r="X820" s="52" t="str">
        <f t="shared" si="209"/>
        <v/>
      </c>
      <c r="Y820" s="52" t="str">
        <f t="shared" si="214"/>
        <v/>
      </c>
      <c r="AA820" s="52" t="str">
        <f t="shared" si="222"/>
        <v/>
      </c>
    </row>
    <row r="821" spans="2:27" ht="26">
      <c r="B821" s="1532" t="str">
        <f t="shared" si="215"/>
        <v>Pulling the Strings</v>
      </c>
      <c r="C821" s="1796"/>
      <c r="D821" s="920"/>
      <c r="E821" s="61" t="s">
        <v>3126</v>
      </c>
      <c r="F821" s="61"/>
      <c r="G821" s="61"/>
      <c r="H821" s="61"/>
      <c r="I821" s="61"/>
      <c r="J821" s="1691" t="s">
        <v>5155</v>
      </c>
      <c r="K821" s="928" t="str">
        <f t="shared" si="202"/>
        <v>No</v>
      </c>
      <c r="L821" s="929"/>
      <c r="M821" s="928">
        <f t="shared" si="206"/>
        <v>0</v>
      </c>
      <c r="N821" s="63" t="s">
        <v>3124</v>
      </c>
      <c r="O821" s="64"/>
      <c r="P821" s="660" t="str">
        <f t="shared" si="208"/>
        <v/>
      </c>
      <c r="Q821" s="52" t="str">
        <f t="shared" si="211"/>
        <v>No</v>
      </c>
      <c r="R821" s="1574" t="str">
        <f t="shared" si="220"/>
        <v/>
      </c>
      <c r="S821" s="52" t="str">
        <f t="shared" si="217"/>
        <v/>
      </c>
      <c r="T821" s="52" t="str">
        <f t="shared" si="218"/>
        <v/>
      </c>
      <c r="U821" s="52" t="str">
        <f t="shared" si="212"/>
        <v/>
      </c>
      <c r="V821" s="52" t="str">
        <f t="shared" si="219"/>
        <v/>
      </c>
      <c r="W821" s="1578"/>
      <c r="X821" s="52" t="str">
        <f t="shared" si="209"/>
        <v/>
      </c>
      <c r="Y821" s="52" t="str">
        <f t="shared" si="214"/>
        <v/>
      </c>
      <c r="AA821" s="52" t="str">
        <f>IF(U821&lt;&gt;"",IF(Z821="Defenses",U821&amp;IF(AA822&lt;&gt;"",", ",""),"")&amp;AA822,AA822)</f>
        <v/>
      </c>
    </row>
    <row r="822" spans="2:27" ht="15" customHeight="1">
      <c r="B822" s="1532" t="str">
        <f t="shared" si="215"/>
        <v>Detective</v>
      </c>
      <c r="C822" s="1794" t="s">
        <v>450</v>
      </c>
      <c r="D822" s="922" t="s">
        <v>450</v>
      </c>
      <c r="E822" s="923" t="s">
        <v>8316</v>
      </c>
      <c r="F822" s="923"/>
      <c r="G822" s="923"/>
      <c r="H822" s="923"/>
      <c r="I822" s="923"/>
      <c r="J822" s="1684" t="s">
        <v>8317</v>
      </c>
      <c r="K822" s="63" t="str">
        <f>IF(Q822="Yes","Yes","No")</f>
        <v>No</v>
      </c>
      <c r="L822" s="76"/>
      <c r="M822" s="63">
        <f t="shared" si="206"/>
        <v>0</v>
      </c>
      <c r="N822" s="924" t="s">
        <v>8309</v>
      </c>
      <c r="O822" s="64"/>
      <c r="P822" s="660" t="str">
        <f t="shared" si="208"/>
        <v/>
      </c>
      <c r="Q822" s="52" t="str">
        <f>IF(OR(AD45&gt;0,AD14&gt;0),"Yes","No")</f>
        <v>No</v>
      </c>
      <c r="R822" s="1574" t="str">
        <f t="shared" si="220"/>
        <v/>
      </c>
      <c r="S822" s="52" t="str">
        <f t="shared" si="217"/>
        <v/>
      </c>
      <c r="T822" s="52" t="str">
        <f t="shared" si="218"/>
        <v/>
      </c>
      <c r="U822" s="52" t="str">
        <f t="shared" si="212"/>
        <v/>
      </c>
      <c r="V822" s="52" t="str">
        <f t="shared" si="219"/>
        <v/>
      </c>
      <c r="W822" s="1578"/>
      <c r="X822" s="52" t="str">
        <f t="shared" si="209"/>
        <v/>
      </c>
      <c r="Y822" s="52" t="str">
        <f t="shared" si="214"/>
        <v/>
      </c>
      <c r="AA822" s="52" t="str">
        <f>IF(U822&lt;&gt;"",IF(Z822="Defenses",U822&amp;IF(AA827&lt;&gt;"",", ",""),"")&amp;AA827,AA827)</f>
        <v/>
      </c>
    </row>
    <row r="823" spans="2:27" ht="15" customHeight="1">
      <c r="B823" s="1575"/>
      <c r="C823" s="1795"/>
      <c r="D823" s="920"/>
      <c r="E823" s="61"/>
      <c r="F823" s="61" t="s">
        <v>8326</v>
      </c>
      <c r="G823" s="61"/>
      <c r="H823" s="61"/>
      <c r="I823" s="61"/>
      <c r="J823" s="1684" t="s">
        <v>8327</v>
      </c>
      <c r="K823" s="63" t="str">
        <f>IF(AND(Q822="Yes",L822&lt;&gt;""),"Yes","No")</f>
        <v>No</v>
      </c>
      <c r="L823" s="76"/>
      <c r="M823" s="63">
        <f t="shared" si="206"/>
        <v>0</v>
      </c>
      <c r="N823" s="63" t="s">
        <v>8328</v>
      </c>
      <c r="O823" s="64"/>
      <c r="P823" s="660" t="str">
        <f t="shared" si="208"/>
        <v/>
      </c>
      <c r="Q823" s="52" t="str">
        <f>Q819</f>
        <v>No</v>
      </c>
      <c r="R823" s="1574" t="str">
        <f t="shared" si="220"/>
        <v/>
      </c>
      <c r="S823" s="52" t="str">
        <f t="shared" si="217"/>
        <v/>
      </c>
      <c r="T823" s="52" t="str">
        <f t="shared" si="218"/>
        <v/>
      </c>
      <c r="U823" s="52" t="str">
        <f t="shared" si="212"/>
        <v/>
      </c>
      <c r="V823" s="52" t="str">
        <f t="shared" si="219"/>
        <v/>
      </c>
      <c r="W823" s="1578"/>
      <c r="X823" s="52" t="str">
        <f t="shared" si="209"/>
        <v/>
      </c>
      <c r="Y823" s="52" t="str">
        <f t="shared" si="214"/>
        <v/>
      </c>
    </row>
    <row r="824" spans="2:27" ht="15" customHeight="1">
      <c r="B824" s="1575"/>
      <c r="C824" s="1795"/>
      <c r="D824" s="920"/>
      <c r="E824" s="61" t="s">
        <v>8320</v>
      </c>
      <c r="F824" s="61"/>
      <c r="G824" s="61"/>
      <c r="H824" s="61"/>
      <c r="I824" s="61"/>
      <c r="J824" s="1684" t="s">
        <v>8321</v>
      </c>
      <c r="K824" s="63" t="str">
        <f>IF(Q824="Yes","Yes","No")</f>
        <v>No</v>
      </c>
      <c r="L824" s="76"/>
      <c r="M824" s="63">
        <f t="shared" si="206"/>
        <v>0</v>
      </c>
      <c r="N824" s="63" t="s">
        <v>8304</v>
      </c>
      <c r="O824" s="64"/>
      <c r="P824" s="660" t="str">
        <f t="shared" si="208"/>
        <v/>
      </c>
      <c r="Q824" s="52" t="str">
        <f>Q820</f>
        <v>No</v>
      </c>
      <c r="R824" s="1574" t="str">
        <f t="shared" si="220"/>
        <v/>
      </c>
      <c r="S824" s="52" t="str">
        <f t="shared" si="217"/>
        <v/>
      </c>
      <c r="T824" s="52" t="str">
        <f t="shared" si="218"/>
        <v/>
      </c>
      <c r="U824" s="52" t="str">
        <f t="shared" si="212"/>
        <v/>
      </c>
      <c r="V824" s="52" t="str">
        <f t="shared" si="219"/>
        <v/>
      </c>
      <c r="W824" s="1578"/>
      <c r="X824" s="52" t="str">
        <f t="shared" si="209"/>
        <v/>
      </c>
      <c r="Y824" s="52" t="str">
        <f t="shared" si="214"/>
        <v/>
      </c>
    </row>
    <row r="825" spans="2:27" ht="15" customHeight="1">
      <c r="B825" s="1575"/>
      <c r="C825" s="1795"/>
      <c r="D825" s="920"/>
      <c r="E825" s="61" t="s">
        <v>8322</v>
      </c>
      <c r="F825" s="61"/>
      <c r="G825" s="61"/>
      <c r="H825" s="61"/>
      <c r="I825" s="61"/>
      <c r="J825" s="1684" t="s">
        <v>8323</v>
      </c>
      <c r="K825" s="63" t="str">
        <f>IF(Q825="Yes","Yes","No")</f>
        <v>No</v>
      </c>
      <c r="L825" s="76"/>
      <c r="M825" s="63">
        <f t="shared" si="206"/>
        <v>0</v>
      </c>
      <c r="N825" s="63" t="s">
        <v>8304</v>
      </c>
      <c r="O825" s="64"/>
      <c r="P825" s="660" t="str">
        <f t="shared" si="208"/>
        <v/>
      </c>
      <c r="Q825" s="52" t="str">
        <f>Q821</f>
        <v>No</v>
      </c>
      <c r="R825" s="1574" t="str">
        <f t="shared" si="220"/>
        <v/>
      </c>
      <c r="S825" s="52" t="str">
        <f t="shared" si="217"/>
        <v/>
      </c>
      <c r="T825" s="52" t="str">
        <f t="shared" si="218"/>
        <v/>
      </c>
      <c r="U825" s="52" t="str">
        <f t="shared" si="212"/>
        <v/>
      </c>
      <c r="V825" s="52" t="str">
        <f t="shared" si="219"/>
        <v/>
      </c>
      <c r="W825" s="1578"/>
      <c r="X825" s="52" t="str">
        <f t="shared" si="209"/>
        <v/>
      </c>
      <c r="Y825" s="52" t="str">
        <f t="shared" si="214"/>
        <v/>
      </c>
    </row>
    <row r="826" spans="2:27" ht="15" customHeight="1">
      <c r="B826" s="1575"/>
      <c r="C826" s="1795"/>
      <c r="D826" s="920"/>
      <c r="E826" s="61" t="s">
        <v>3127</v>
      </c>
      <c r="F826" s="61"/>
      <c r="G826" s="61"/>
      <c r="H826" s="61"/>
      <c r="I826" s="61"/>
      <c r="J826" s="1684"/>
      <c r="K826" s="63" t="str">
        <f>IF(Q826="Yes","Yes","No")</f>
        <v>No</v>
      </c>
      <c r="L826" s="76"/>
      <c r="M826" s="63">
        <f t="shared" si="206"/>
        <v>0</v>
      </c>
      <c r="N826" s="63">
        <v>208</v>
      </c>
      <c r="O826" s="64"/>
      <c r="P826" s="660" t="str">
        <f t="shared" si="208"/>
        <v/>
      </c>
      <c r="Q826" s="52" t="str">
        <f>Q822</f>
        <v>No</v>
      </c>
      <c r="R826" s="1574" t="str">
        <f t="shared" si="220"/>
        <v/>
      </c>
      <c r="S826" s="52" t="str">
        <f t="shared" si="217"/>
        <v/>
      </c>
      <c r="T826" s="52" t="str">
        <f t="shared" si="218"/>
        <v/>
      </c>
      <c r="U826" s="52" t="str">
        <f t="shared" si="212"/>
        <v/>
      </c>
      <c r="V826" s="52" t="str">
        <f t="shared" si="219"/>
        <v/>
      </c>
      <c r="W826" s="1578"/>
      <c r="X826" s="52" t="str">
        <f t="shared" si="209"/>
        <v/>
      </c>
      <c r="Y826" s="52" t="str">
        <f t="shared" si="214"/>
        <v/>
      </c>
    </row>
    <row r="827" spans="2:27">
      <c r="B827" s="1532" t="str">
        <f t="shared" ref="B827:B836" si="223">IF(E827&lt;&gt;"",E827,IF(F827&lt;&gt;"",F827,IF(G827&lt;&gt;"",G827,IF(H827&lt;&gt;"",H827))))</f>
        <v>Hunter's Target</v>
      </c>
      <c r="C827" s="1795"/>
      <c r="D827" s="920"/>
      <c r="E827" s="61"/>
      <c r="F827" s="61" t="s">
        <v>3128</v>
      </c>
      <c r="G827" s="61"/>
      <c r="H827" s="61"/>
      <c r="I827" s="61"/>
      <c r="J827" s="1690" t="s">
        <v>5157</v>
      </c>
      <c r="K827" s="63" t="str">
        <f>IF(AND(Q826="Yes",L826&lt;&gt;""),"Yes","No")</f>
        <v>No</v>
      </c>
      <c r="L827" s="76"/>
      <c r="M827" s="63">
        <f t="shared" si="206"/>
        <v>0</v>
      </c>
      <c r="N827" s="63">
        <v>208</v>
      </c>
      <c r="O827" s="64"/>
      <c r="P827" s="660" t="str">
        <f t="shared" si="208"/>
        <v/>
      </c>
      <c r="Q827" s="52" t="str">
        <f>Q826</f>
        <v>No</v>
      </c>
      <c r="R827" s="1574" t="str">
        <f t="shared" si="220"/>
        <v/>
      </c>
      <c r="S827" s="52" t="str">
        <f t="shared" si="217"/>
        <v/>
      </c>
      <c r="T827" s="52" t="str">
        <f t="shared" si="218"/>
        <v/>
      </c>
      <c r="U827" s="52" t="str">
        <f t="shared" si="212"/>
        <v/>
      </c>
      <c r="V827" s="52" t="str">
        <f t="shared" si="219"/>
        <v/>
      </c>
      <c r="W827" s="1578"/>
      <c r="X827" s="52" t="str">
        <f t="shared" si="209"/>
        <v/>
      </c>
      <c r="Y827" s="52" t="str">
        <f t="shared" si="214"/>
        <v/>
      </c>
      <c r="AA827" s="52" t="str">
        <f t="shared" si="222"/>
        <v/>
      </c>
    </row>
    <row r="828" spans="2:27" ht="26">
      <c r="B828" s="1532" t="str">
        <f t="shared" si="223"/>
        <v>Dread</v>
      </c>
      <c r="C828" s="1795"/>
      <c r="D828" s="920"/>
      <c r="E828" s="61"/>
      <c r="F828" s="61"/>
      <c r="G828" s="61" t="s">
        <v>3129</v>
      </c>
      <c r="H828" s="61"/>
      <c r="I828" s="61"/>
      <c r="J828" s="1687" t="s">
        <v>5158</v>
      </c>
      <c r="K828" s="63" t="str">
        <f>IF(AND(Q827="Yes",L827&lt;&gt;""),"Yes","No")</f>
        <v>No</v>
      </c>
      <c r="L828" s="76"/>
      <c r="M828" s="63">
        <f t="shared" si="206"/>
        <v>0</v>
      </c>
      <c r="N828" s="63" t="s">
        <v>3084</v>
      </c>
      <c r="O828" s="64"/>
      <c r="P828" s="660" t="str">
        <f t="shared" si="208"/>
        <v/>
      </c>
      <c r="Q828" s="52" t="str">
        <f t="shared" si="211"/>
        <v>No</v>
      </c>
      <c r="R828" s="1574" t="str">
        <f t="shared" si="220"/>
        <v/>
      </c>
      <c r="S828" s="52" t="str">
        <f t="shared" si="217"/>
        <v/>
      </c>
      <c r="T828" s="52" t="str">
        <f t="shared" si="218"/>
        <v/>
      </c>
      <c r="U828" s="52" t="str">
        <f t="shared" si="212"/>
        <v/>
      </c>
      <c r="V828" s="52" t="str">
        <f t="shared" si="219"/>
        <v/>
      </c>
      <c r="W828" s="1578"/>
      <c r="X828" s="52" t="str">
        <f t="shared" si="209"/>
        <v/>
      </c>
      <c r="Y828" s="52" t="str">
        <f t="shared" si="214"/>
        <v/>
      </c>
      <c r="AA828" s="52" t="str">
        <f t="shared" si="222"/>
        <v/>
      </c>
    </row>
    <row r="829" spans="2:27">
      <c r="B829" s="1532" t="str">
        <f t="shared" si="223"/>
        <v>Nowhere to Run</v>
      </c>
      <c r="C829" s="1795"/>
      <c r="D829" s="920"/>
      <c r="E829" s="61"/>
      <c r="F829" s="61"/>
      <c r="G829" s="61" t="s">
        <v>3130</v>
      </c>
      <c r="H829" s="61"/>
      <c r="I829" s="61"/>
      <c r="J829" s="1687" t="s">
        <v>5159</v>
      </c>
      <c r="K829" s="63" t="str">
        <f>IF(AND(Q828="Yes",L827&lt;&gt;""),"Yes","No")</f>
        <v>No</v>
      </c>
      <c r="L829" s="76"/>
      <c r="M829" s="63">
        <f t="shared" si="206"/>
        <v>0</v>
      </c>
      <c r="N829" s="63" t="s">
        <v>3084</v>
      </c>
      <c r="O829" s="64"/>
      <c r="P829" s="660" t="str">
        <f t="shared" si="208"/>
        <v/>
      </c>
      <c r="Q829" s="52" t="str">
        <f t="shared" si="211"/>
        <v>No</v>
      </c>
      <c r="R829" s="1574" t="str">
        <f t="shared" si="220"/>
        <v/>
      </c>
      <c r="S829" s="52" t="str">
        <f t="shared" si="217"/>
        <v/>
      </c>
      <c r="T829" s="52" t="str">
        <f t="shared" si="218"/>
        <v/>
      </c>
      <c r="U829" s="52" t="str">
        <f t="shared" si="212"/>
        <v/>
      </c>
      <c r="V829" s="52" t="str">
        <f t="shared" si="219"/>
        <v/>
      </c>
      <c r="W829" s="1578"/>
      <c r="X829" s="52" t="str">
        <f t="shared" si="209"/>
        <v/>
      </c>
      <c r="Y829" s="52" t="str">
        <f t="shared" si="214"/>
        <v/>
      </c>
      <c r="AA829" s="52" t="str">
        <f t="shared" si="222"/>
        <v/>
      </c>
    </row>
    <row r="830" spans="2:27">
      <c r="B830" s="1532" t="str">
        <f t="shared" si="223"/>
        <v>Relentless</v>
      </c>
      <c r="C830" s="1795"/>
      <c r="D830" s="920"/>
      <c r="E830" s="61"/>
      <c r="F830" s="61"/>
      <c r="G830" s="61" t="s">
        <v>3131</v>
      </c>
      <c r="H830" s="61"/>
      <c r="I830" s="61"/>
      <c r="J830" s="1687" t="s">
        <v>5160</v>
      </c>
      <c r="K830" s="63" t="str">
        <f>IF(AND(Q829="Yes",L827&lt;&gt;""),"Yes","No")</f>
        <v>No</v>
      </c>
      <c r="L830" s="76"/>
      <c r="M830" s="63">
        <f t="shared" si="206"/>
        <v>0</v>
      </c>
      <c r="N830" s="63">
        <v>208</v>
      </c>
      <c r="O830" s="64"/>
      <c r="P830" s="660" t="str">
        <f t="shared" si="208"/>
        <v/>
      </c>
      <c r="Q830" s="52" t="str">
        <f t="shared" si="211"/>
        <v>No</v>
      </c>
      <c r="R830" s="1574" t="str">
        <f t="shared" si="220"/>
        <v/>
      </c>
      <c r="S830" s="52" t="str">
        <f t="shared" si="217"/>
        <v/>
      </c>
      <c r="T830" s="52" t="str">
        <f t="shared" si="218"/>
        <v/>
      </c>
      <c r="U830" s="52" t="str">
        <f t="shared" si="212"/>
        <v/>
      </c>
      <c r="V830" s="52" t="str">
        <f t="shared" si="219"/>
        <v/>
      </c>
      <c r="W830" s="1578"/>
      <c r="X830" s="52" t="str">
        <f t="shared" si="209"/>
        <v/>
      </c>
      <c r="Y830" s="52" t="str">
        <f t="shared" si="214"/>
        <v/>
      </c>
      <c r="AA830" s="52" t="str">
        <f t="shared" si="222"/>
        <v/>
      </c>
    </row>
    <row r="831" spans="2:27" ht="26">
      <c r="B831" s="1532" t="str">
        <f t="shared" si="223"/>
        <v>Tag</v>
      </c>
      <c r="C831" s="1795"/>
      <c r="D831" s="920"/>
      <c r="E831" s="61"/>
      <c r="F831" s="61"/>
      <c r="G831" s="61" t="s">
        <v>3132</v>
      </c>
      <c r="H831" s="61"/>
      <c r="I831" s="61"/>
      <c r="J831" s="1687" t="s">
        <v>5161</v>
      </c>
      <c r="K831" s="63" t="str">
        <f>IF(AND(Q830="Yes",L827&lt;&gt;""),"Yes","No")</f>
        <v>No</v>
      </c>
      <c r="L831" s="76"/>
      <c r="M831" s="63">
        <f t="shared" si="206"/>
        <v>0</v>
      </c>
      <c r="N831" s="63" t="s">
        <v>3084</v>
      </c>
      <c r="O831" s="64"/>
      <c r="P831" s="660" t="str">
        <f t="shared" si="208"/>
        <v/>
      </c>
      <c r="Q831" s="52" t="str">
        <f t="shared" si="211"/>
        <v>No</v>
      </c>
      <c r="R831" s="1574" t="str">
        <f t="shared" si="220"/>
        <v/>
      </c>
      <c r="S831" s="52" t="str">
        <f t="shared" si="217"/>
        <v/>
      </c>
      <c r="T831" s="52" t="str">
        <f t="shared" si="218"/>
        <v/>
      </c>
      <c r="U831" s="52" t="str">
        <f t="shared" si="212"/>
        <v/>
      </c>
      <c r="V831" s="52" t="str">
        <f t="shared" si="219"/>
        <v/>
      </c>
      <c r="W831" s="1578"/>
      <c r="X831" s="52" t="str">
        <f t="shared" si="209"/>
        <v/>
      </c>
      <c r="Y831" s="52" t="str">
        <f t="shared" si="214"/>
        <v/>
      </c>
      <c r="AA831" s="52" t="str">
        <f t="shared" si="222"/>
        <v/>
      </c>
    </row>
    <row r="832" spans="2:27">
      <c r="B832" s="1532" t="str">
        <f t="shared" si="223"/>
        <v>Jedi Hunter</v>
      </c>
      <c r="C832" s="1795"/>
      <c r="D832" s="920"/>
      <c r="E832" s="61" t="s">
        <v>3133</v>
      </c>
      <c r="F832" s="61"/>
      <c r="G832" s="61"/>
      <c r="H832" s="61"/>
      <c r="I832" s="61"/>
      <c r="J832" s="1687" t="s">
        <v>5162</v>
      </c>
      <c r="K832" s="63" t="str">
        <f t="shared" si="202"/>
        <v>No</v>
      </c>
      <c r="L832" s="76"/>
      <c r="M832" s="63">
        <f t="shared" si="206"/>
        <v>0</v>
      </c>
      <c r="N832" s="63" t="s">
        <v>3134</v>
      </c>
      <c r="O832" s="64"/>
      <c r="P832" s="660" t="str">
        <f t="shared" ref="P832:P883" si="224">IF(ShowTalentTrees,IF(D832&lt;&gt;"",D832,P831),"")</f>
        <v/>
      </c>
      <c r="Q832" s="52" t="str">
        <f t="shared" si="211"/>
        <v>No</v>
      </c>
      <c r="R832" s="1574" t="str">
        <f t="shared" si="220"/>
        <v/>
      </c>
      <c r="S832" s="52" t="str">
        <f t="shared" si="217"/>
        <v/>
      </c>
      <c r="T832" s="52" t="str">
        <f t="shared" si="218"/>
        <v/>
      </c>
      <c r="U832" s="52" t="str">
        <f t="shared" si="212"/>
        <v/>
      </c>
      <c r="V832" s="52" t="str">
        <f t="shared" si="219"/>
        <v/>
      </c>
      <c r="W832" s="1578"/>
      <c r="X832" s="52" t="str">
        <f t="shared" ref="X832:X896" si="225">IF(U832&lt;&gt;"",IF(W832="Special Actions",U832&amp;IF(X833&lt;&gt;"",", ",""),"")&amp;X833,X833)</f>
        <v/>
      </c>
      <c r="Y832" s="52" t="str">
        <f t="shared" si="214"/>
        <v/>
      </c>
      <c r="AA832" s="52" t="str">
        <f t="shared" si="222"/>
        <v/>
      </c>
    </row>
    <row r="833" spans="2:27">
      <c r="B833" s="1532" t="str">
        <f t="shared" si="223"/>
        <v>Notorious</v>
      </c>
      <c r="C833" s="1795"/>
      <c r="D833" s="920"/>
      <c r="E833" s="61" t="s">
        <v>3135</v>
      </c>
      <c r="F833" s="61"/>
      <c r="G833" s="61"/>
      <c r="H833" s="61"/>
      <c r="I833" s="61"/>
      <c r="J833" s="1687" t="s">
        <v>5163</v>
      </c>
      <c r="K833" s="63" t="str">
        <f t="shared" si="202"/>
        <v>No</v>
      </c>
      <c r="L833" s="76"/>
      <c r="M833" s="63">
        <f t="shared" si="206"/>
        <v>0</v>
      </c>
      <c r="N833" s="63">
        <v>208</v>
      </c>
      <c r="O833" s="64"/>
      <c r="P833" s="660" t="str">
        <f t="shared" si="224"/>
        <v/>
      </c>
      <c r="Q833" s="52" t="str">
        <f t="shared" si="211"/>
        <v>No</v>
      </c>
      <c r="R833" s="1574" t="str">
        <f t="shared" si="220"/>
        <v/>
      </c>
      <c r="S833" s="52" t="str">
        <f t="shared" si="217"/>
        <v/>
      </c>
      <c r="T833" s="52" t="str">
        <f t="shared" si="218"/>
        <v/>
      </c>
      <c r="U833" s="52" t="str">
        <f t="shared" si="212"/>
        <v/>
      </c>
      <c r="V833" s="52" t="str">
        <f t="shared" si="219"/>
        <v/>
      </c>
      <c r="W833" s="1578"/>
      <c r="X833" s="52" t="str">
        <f t="shared" si="225"/>
        <v/>
      </c>
      <c r="Y833" s="52" t="str">
        <f t="shared" si="214"/>
        <v/>
      </c>
      <c r="AA833" s="52" t="str">
        <f t="shared" si="222"/>
        <v/>
      </c>
    </row>
    <row r="834" spans="2:27">
      <c r="B834" s="1532" t="str">
        <f t="shared" si="223"/>
        <v>Fearsome</v>
      </c>
      <c r="C834" s="1795"/>
      <c r="D834" s="920"/>
      <c r="E834" s="61"/>
      <c r="F834" s="61" t="s">
        <v>3136</v>
      </c>
      <c r="G834" s="61"/>
      <c r="H834" s="61"/>
      <c r="I834" s="61"/>
      <c r="J834" s="1687" t="s">
        <v>5164</v>
      </c>
      <c r="K834" s="63" t="str">
        <f>IF(AND(Q833="Yes",L833&lt;&gt;""),"Yes","No")</f>
        <v>No</v>
      </c>
      <c r="L834" s="76"/>
      <c r="M834" s="63">
        <f t="shared" si="206"/>
        <v>0</v>
      </c>
      <c r="N834" s="63" t="s">
        <v>3134</v>
      </c>
      <c r="O834" s="64"/>
      <c r="P834" s="660" t="str">
        <f t="shared" si="224"/>
        <v/>
      </c>
      <c r="Q834" s="52" t="str">
        <f t="shared" si="211"/>
        <v>No</v>
      </c>
      <c r="R834" s="1574" t="str">
        <f t="shared" si="220"/>
        <v/>
      </c>
      <c r="S834" s="52" t="str">
        <f t="shared" si="217"/>
        <v/>
      </c>
      <c r="T834" s="52" t="str">
        <f t="shared" si="218"/>
        <v/>
      </c>
      <c r="U834" s="52" t="str">
        <f t="shared" si="212"/>
        <v/>
      </c>
      <c r="V834" s="52" t="str">
        <f t="shared" si="219"/>
        <v/>
      </c>
      <c r="W834" s="1578"/>
      <c r="X834" s="52" t="str">
        <f t="shared" si="225"/>
        <v/>
      </c>
      <c r="Y834" s="52" t="str">
        <f t="shared" si="214"/>
        <v/>
      </c>
      <c r="AA834" s="52" t="str">
        <f t="shared" si="222"/>
        <v/>
      </c>
    </row>
    <row r="835" spans="2:27">
      <c r="B835" s="1532" t="str">
        <f t="shared" si="223"/>
        <v>Ruthless Negotiator</v>
      </c>
      <c r="C835" s="1795"/>
      <c r="D835" s="920"/>
      <c r="E835" s="61"/>
      <c r="F835" s="61" t="s">
        <v>3137</v>
      </c>
      <c r="G835" s="61"/>
      <c r="H835" s="61"/>
      <c r="I835" s="61"/>
      <c r="J835" s="1687" t="s">
        <v>5165</v>
      </c>
      <c r="K835" s="63" t="str">
        <f>IF(AND(Q834="Yes",L833&lt;&gt;""),"Yes","No")</f>
        <v>No</v>
      </c>
      <c r="L835" s="76"/>
      <c r="M835" s="63">
        <f t="shared" si="206"/>
        <v>0</v>
      </c>
      <c r="N835" s="63">
        <v>208</v>
      </c>
      <c r="O835" s="64"/>
      <c r="P835" s="660" t="str">
        <f t="shared" si="224"/>
        <v/>
      </c>
      <c r="Q835" s="52" t="str">
        <f t="shared" si="211"/>
        <v>No</v>
      </c>
      <c r="R835" s="1574" t="str">
        <f t="shared" si="220"/>
        <v/>
      </c>
      <c r="S835" s="52" t="str">
        <f t="shared" si="217"/>
        <v/>
      </c>
      <c r="T835" s="52" t="str">
        <f t="shared" si="218"/>
        <v/>
      </c>
      <c r="U835" s="52" t="str">
        <f t="shared" si="212"/>
        <v/>
      </c>
      <c r="V835" s="52" t="str">
        <f t="shared" si="219"/>
        <v/>
      </c>
      <c r="W835" s="1578"/>
      <c r="X835" s="52" t="str">
        <f t="shared" si="225"/>
        <v/>
      </c>
      <c r="Y835" s="52" t="str">
        <f t="shared" si="214"/>
        <v/>
      </c>
      <c r="AA835" s="52" t="str">
        <f t="shared" si="222"/>
        <v/>
      </c>
    </row>
    <row r="836" spans="2:27">
      <c r="B836" s="1532" t="str">
        <f t="shared" si="223"/>
        <v>Nowhere to Hide</v>
      </c>
      <c r="C836" s="1795"/>
      <c r="D836" s="920"/>
      <c r="E836" s="61" t="s">
        <v>3138</v>
      </c>
      <c r="F836" s="61"/>
      <c r="G836" s="61"/>
      <c r="H836" s="61"/>
      <c r="I836" s="61"/>
      <c r="J836" s="1687" t="s">
        <v>5166</v>
      </c>
      <c r="K836" s="63" t="str">
        <f t="shared" ref="K836:K909" si="226">IF(Q836="Yes","Yes","No")</f>
        <v>No</v>
      </c>
      <c r="L836" s="76"/>
      <c r="M836" s="63">
        <f t="shared" si="206"/>
        <v>0</v>
      </c>
      <c r="N836" s="63">
        <v>208</v>
      </c>
      <c r="O836" s="64"/>
      <c r="P836" s="660" t="str">
        <f t="shared" si="224"/>
        <v/>
      </c>
      <c r="Q836" s="52" t="str">
        <f t="shared" si="211"/>
        <v>No</v>
      </c>
      <c r="R836" s="1574" t="str">
        <f t="shared" si="220"/>
        <v/>
      </c>
      <c r="S836" s="52" t="str">
        <f t="shared" si="217"/>
        <v/>
      </c>
      <c r="T836" s="52" t="str">
        <f t="shared" si="218"/>
        <v/>
      </c>
      <c r="U836" s="52" t="str">
        <f t="shared" si="212"/>
        <v/>
      </c>
      <c r="V836" s="52" t="str">
        <f t="shared" si="219"/>
        <v/>
      </c>
      <c r="W836" s="1578"/>
      <c r="X836" s="52" t="str">
        <f t="shared" si="225"/>
        <v/>
      </c>
      <c r="Y836" s="52" t="str">
        <f t="shared" si="214"/>
        <v/>
      </c>
      <c r="AA836" s="52" t="str">
        <f>IF(U836&lt;&gt;"",IF(Z836="Defenses",U836&amp;IF(AA839&lt;&gt;"",", ",""),"")&amp;AA839,AA839)</f>
        <v/>
      </c>
    </row>
    <row r="837" spans="2:27">
      <c r="B837" s="1575"/>
      <c r="C837" s="1795"/>
      <c r="D837" s="920"/>
      <c r="E837" s="61"/>
      <c r="F837" s="61" t="s">
        <v>8318</v>
      </c>
      <c r="G837" s="61"/>
      <c r="H837" s="61"/>
      <c r="I837" s="61"/>
      <c r="J837" s="1687" t="s">
        <v>8319</v>
      </c>
      <c r="K837" s="63" t="str">
        <f>IF(AND(Q836="Yes",L836&lt;&gt;""),"Yes","No")</f>
        <v>No</v>
      </c>
      <c r="L837" s="76"/>
      <c r="M837" s="63">
        <f t="shared" si="206"/>
        <v>0</v>
      </c>
      <c r="N837" s="63" t="s">
        <v>8309</v>
      </c>
      <c r="O837" s="64"/>
      <c r="P837" s="660" t="str">
        <f t="shared" si="224"/>
        <v/>
      </c>
      <c r="Q837" s="52" t="str">
        <f t="shared" si="211"/>
        <v>No</v>
      </c>
      <c r="R837" s="1574" t="str">
        <f t="shared" si="220"/>
        <v/>
      </c>
      <c r="S837" s="52" t="str">
        <f t="shared" si="217"/>
        <v/>
      </c>
      <c r="T837" s="52" t="str">
        <f t="shared" si="218"/>
        <v/>
      </c>
      <c r="U837" s="52" t="str">
        <f t="shared" si="212"/>
        <v/>
      </c>
      <c r="V837" s="52" t="str">
        <f t="shared" si="219"/>
        <v/>
      </c>
      <c r="W837" s="1578"/>
      <c r="X837" s="52" t="str">
        <f t="shared" si="225"/>
        <v/>
      </c>
      <c r="Y837" s="52" t="str">
        <f t="shared" si="214"/>
        <v/>
      </c>
    </row>
    <row r="838" spans="2:27">
      <c r="B838" s="1575"/>
      <c r="C838" s="1795"/>
      <c r="D838" s="920"/>
      <c r="E838" s="61" t="s">
        <v>8324</v>
      </c>
      <c r="F838" s="61"/>
      <c r="G838" s="61"/>
      <c r="H838" s="61"/>
      <c r="I838" s="61"/>
      <c r="J838" s="1687" t="s">
        <v>8325</v>
      </c>
      <c r="K838" s="63" t="str">
        <f t="shared" si="226"/>
        <v>No</v>
      </c>
      <c r="L838" s="76"/>
      <c r="M838" s="63">
        <f t="shared" si="206"/>
        <v>0</v>
      </c>
      <c r="N838" s="63" t="s">
        <v>8304</v>
      </c>
      <c r="O838" s="64"/>
      <c r="P838" s="660" t="str">
        <f t="shared" si="224"/>
        <v/>
      </c>
      <c r="Q838" s="52" t="str">
        <f t="shared" si="211"/>
        <v>No</v>
      </c>
      <c r="R838" s="1574" t="str">
        <f t="shared" si="220"/>
        <v/>
      </c>
      <c r="S838" s="52" t="str">
        <f t="shared" si="217"/>
        <v/>
      </c>
      <c r="T838" s="52" t="str">
        <f t="shared" si="218"/>
        <v/>
      </c>
      <c r="U838" s="52" t="str">
        <f t="shared" si="212"/>
        <v/>
      </c>
      <c r="V838" s="52" t="str">
        <f t="shared" si="219"/>
        <v/>
      </c>
      <c r="W838" s="1578"/>
      <c r="X838" s="52" t="str">
        <f t="shared" si="225"/>
        <v/>
      </c>
      <c r="Y838" s="52" t="str">
        <f t="shared" si="214"/>
        <v/>
      </c>
    </row>
    <row r="839" spans="2:27" ht="52">
      <c r="B839" s="1532" t="str">
        <f t="shared" ref="B839:B870" si="227">IF(E839&lt;&gt;"",E839,IF(F839&lt;&gt;"",F839,IF(G839&lt;&gt;"",G839,IF(H839&lt;&gt;"",H839))))</f>
        <v>Signature Item</v>
      </c>
      <c r="C839" s="1795"/>
      <c r="D839" s="920"/>
      <c r="E839" s="61" t="s">
        <v>3139</v>
      </c>
      <c r="F839" s="61"/>
      <c r="G839" s="61"/>
      <c r="H839" s="61"/>
      <c r="I839" s="61"/>
      <c r="J839" s="1687" t="s">
        <v>5167</v>
      </c>
      <c r="K839" s="63" t="str">
        <f t="shared" si="226"/>
        <v>No</v>
      </c>
      <c r="L839" s="76"/>
      <c r="M839" s="63">
        <f>IF(L839&lt;&gt;"",L839,0)</f>
        <v>0</v>
      </c>
      <c r="N839" s="63" t="s">
        <v>3134</v>
      </c>
      <c r="O839" s="64"/>
      <c r="P839" s="660" t="str">
        <f t="shared" si="224"/>
        <v/>
      </c>
      <c r="Q839" s="52" t="str">
        <f>Q836</f>
        <v>No</v>
      </c>
      <c r="R839" s="1574" t="str">
        <f t="shared" si="220"/>
        <v/>
      </c>
      <c r="S839" s="52" t="str">
        <f t="shared" si="217"/>
        <v/>
      </c>
      <c r="T839" s="52" t="str">
        <f t="shared" si="218"/>
        <v/>
      </c>
      <c r="U839" s="52" t="str">
        <f t="shared" si="212"/>
        <v/>
      </c>
      <c r="V839" s="52" t="str">
        <f t="shared" si="219"/>
        <v/>
      </c>
      <c r="W839" s="1578"/>
      <c r="X839" s="52" t="str">
        <f t="shared" si="225"/>
        <v/>
      </c>
      <c r="Y839" s="52" t="str">
        <f t="shared" si="214"/>
        <v/>
      </c>
      <c r="AA839" s="52" t="str">
        <f t="shared" si="222"/>
        <v/>
      </c>
    </row>
    <row r="840" spans="2:27">
      <c r="B840" s="1532" t="str">
        <f t="shared" si="227"/>
        <v>Force Blank</v>
      </c>
      <c r="C840" s="1795"/>
      <c r="D840" s="920" t="s">
        <v>3140</v>
      </c>
      <c r="E840" s="61" t="s">
        <v>3141</v>
      </c>
      <c r="F840" s="61"/>
      <c r="G840" s="61"/>
      <c r="H840" s="61"/>
      <c r="I840" s="61"/>
      <c r="J840" s="1687" t="s">
        <v>5168</v>
      </c>
      <c r="K840" s="63" t="str">
        <f t="shared" si="226"/>
        <v>No</v>
      </c>
      <c r="L840" s="76"/>
      <c r="M840" s="63">
        <f t="shared" si="206"/>
        <v>0</v>
      </c>
      <c r="N840" s="63" t="s">
        <v>3142</v>
      </c>
      <c r="O840" s="64"/>
      <c r="P840" s="660" t="str">
        <f t="shared" si="224"/>
        <v/>
      </c>
      <c r="Q840" s="52" t="str">
        <f t="shared" si="211"/>
        <v>No</v>
      </c>
      <c r="R840" s="1574" t="str">
        <f t="shared" si="220"/>
        <v/>
      </c>
      <c r="S840" s="52" t="str">
        <f t="shared" si="217"/>
        <v/>
      </c>
      <c r="T840" s="52" t="str">
        <f t="shared" si="218"/>
        <v/>
      </c>
      <c r="U840" s="52" t="str">
        <f t="shared" si="212"/>
        <v/>
      </c>
      <c r="V840" s="52" t="str">
        <f t="shared" si="219"/>
        <v/>
      </c>
      <c r="W840" s="1578"/>
      <c r="X840" s="52" t="str">
        <f t="shared" si="225"/>
        <v/>
      </c>
      <c r="Y840" s="52" t="str">
        <f t="shared" si="214"/>
        <v/>
      </c>
      <c r="AA840" s="52" t="str">
        <f t="shared" si="222"/>
        <v/>
      </c>
    </row>
    <row r="841" spans="2:27">
      <c r="B841" s="1532" t="str">
        <f t="shared" si="227"/>
        <v>Lightsaber Evasion</v>
      </c>
      <c r="C841" s="1795"/>
      <c r="D841" s="920"/>
      <c r="E841" s="61" t="s">
        <v>3143</v>
      </c>
      <c r="F841" s="61"/>
      <c r="G841" s="61"/>
      <c r="H841" s="61"/>
      <c r="I841" s="61"/>
      <c r="J841" s="1687" t="s">
        <v>5169</v>
      </c>
      <c r="K841" s="63" t="str">
        <f t="shared" si="226"/>
        <v>No</v>
      </c>
      <c r="L841" s="76"/>
      <c r="M841" s="63">
        <f t="shared" si="206"/>
        <v>0</v>
      </c>
      <c r="N841" s="63" t="s">
        <v>3142</v>
      </c>
      <c r="O841" s="64"/>
      <c r="P841" s="660" t="str">
        <f t="shared" si="224"/>
        <v/>
      </c>
      <c r="Q841" s="52" t="str">
        <f t="shared" si="211"/>
        <v>No</v>
      </c>
      <c r="R841" s="1574" t="str">
        <f t="shared" si="220"/>
        <v/>
      </c>
      <c r="S841" s="52" t="str">
        <f t="shared" si="217"/>
        <v/>
      </c>
      <c r="T841" s="52" t="str">
        <f t="shared" si="218"/>
        <v/>
      </c>
      <c r="U841" s="52" t="str">
        <f t="shared" si="212"/>
        <v/>
      </c>
      <c r="V841" s="52" t="str">
        <f t="shared" si="219"/>
        <v/>
      </c>
      <c r="W841" s="1578"/>
      <c r="X841" s="52" t="str">
        <f t="shared" si="225"/>
        <v/>
      </c>
      <c r="Y841" s="52" t="str">
        <f t="shared" si="214"/>
        <v/>
      </c>
      <c r="AA841" s="52" t="str">
        <f t="shared" si="222"/>
        <v/>
      </c>
    </row>
    <row r="842" spans="2:27">
      <c r="B842" s="1532" t="str">
        <f t="shared" si="227"/>
        <v>Precision Fire</v>
      </c>
      <c r="C842" s="1795"/>
      <c r="D842" s="920"/>
      <c r="E842" s="61" t="s">
        <v>3144</v>
      </c>
      <c r="F842" s="61"/>
      <c r="G842" s="61"/>
      <c r="H842" s="61"/>
      <c r="I842" s="61"/>
      <c r="J842" s="1687" t="s">
        <v>5170</v>
      </c>
      <c r="K842" s="63" t="str">
        <f t="shared" si="226"/>
        <v>No</v>
      </c>
      <c r="L842" s="76"/>
      <c r="M842" s="63">
        <f t="shared" si="206"/>
        <v>0</v>
      </c>
      <c r="N842" s="63" t="s">
        <v>3142</v>
      </c>
      <c r="O842" s="64"/>
      <c r="P842" s="660" t="str">
        <f t="shared" si="224"/>
        <v/>
      </c>
      <c r="Q842" s="52" t="str">
        <f t="shared" si="211"/>
        <v>No</v>
      </c>
      <c r="R842" s="1574" t="str">
        <f t="shared" si="220"/>
        <v/>
      </c>
      <c r="S842" s="52" t="str">
        <f t="shared" si="217"/>
        <v/>
      </c>
      <c r="T842" s="52" t="str">
        <f t="shared" si="218"/>
        <v/>
      </c>
      <c r="U842" s="52" t="str">
        <f t="shared" si="212"/>
        <v/>
      </c>
      <c r="V842" s="52" t="str">
        <f t="shared" si="219"/>
        <v/>
      </c>
      <c r="W842" s="1578"/>
      <c r="X842" s="52" t="str">
        <f t="shared" si="225"/>
        <v/>
      </c>
      <c r="Y842" s="52" t="str">
        <f t="shared" si="214"/>
        <v/>
      </c>
      <c r="AA842" s="52" t="str">
        <f t="shared" si="222"/>
        <v/>
      </c>
    </row>
    <row r="843" spans="2:27">
      <c r="B843" s="1532" t="str">
        <f t="shared" si="227"/>
        <v>Steel Mind</v>
      </c>
      <c r="C843" s="1795"/>
      <c r="D843" s="920"/>
      <c r="E843" s="61" t="s">
        <v>3145</v>
      </c>
      <c r="F843" s="61"/>
      <c r="G843" s="61"/>
      <c r="H843" s="61"/>
      <c r="I843" s="61"/>
      <c r="J843" s="1687" t="s">
        <v>5171</v>
      </c>
      <c r="K843" s="63" t="str">
        <f t="shared" si="226"/>
        <v>No</v>
      </c>
      <c r="L843" s="76"/>
      <c r="M843" s="63">
        <f t="shared" ref="M843:M916" si="228">IF(L843&lt;&gt;"",1,0)</f>
        <v>0</v>
      </c>
      <c r="N843" s="63" t="s">
        <v>3142</v>
      </c>
      <c r="O843" s="64"/>
      <c r="P843" s="660" t="str">
        <f t="shared" si="224"/>
        <v/>
      </c>
      <c r="Q843" s="52" t="str">
        <f t="shared" ref="Q843:Q916" si="229">Q842</f>
        <v>No</v>
      </c>
      <c r="R843" s="1574" t="str">
        <f t="shared" si="220"/>
        <v/>
      </c>
      <c r="S843" s="52" t="str">
        <f t="shared" si="217"/>
        <v/>
      </c>
      <c r="T843" s="52" t="str">
        <f t="shared" si="218"/>
        <v/>
      </c>
      <c r="U843" s="52" t="str">
        <f t="shared" si="212"/>
        <v/>
      </c>
      <c r="V843" s="52" t="str">
        <f t="shared" si="219"/>
        <v/>
      </c>
      <c r="W843" s="1578"/>
      <c r="X843" s="52" t="str">
        <f t="shared" si="225"/>
        <v/>
      </c>
      <c r="Y843" s="52" t="str">
        <f t="shared" si="214"/>
        <v/>
      </c>
      <c r="AA843" s="52" t="str">
        <f t="shared" si="222"/>
        <v/>
      </c>
    </row>
    <row r="844" spans="2:27">
      <c r="B844" s="1532" t="str">
        <f t="shared" si="227"/>
        <v>Strong-Willed</v>
      </c>
      <c r="C844" s="1795"/>
      <c r="D844" s="920"/>
      <c r="E844" s="61" t="s">
        <v>3146</v>
      </c>
      <c r="F844" s="61"/>
      <c r="G844" s="61"/>
      <c r="H844" s="61"/>
      <c r="I844" s="61"/>
      <c r="J844" s="1687" t="s">
        <v>5172</v>
      </c>
      <c r="K844" s="63" t="str">
        <f t="shared" si="226"/>
        <v>No</v>
      </c>
      <c r="L844" s="76"/>
      <c r="M844" s="63">
        <f t="shared" si="228"/>
        <v>0</v>
      </c>
      <c r="N844" s="63" t="s">
        <v>3142</v>
      </c>
      <c r="O844" s="64"/>
      <c r="P844" s="660" t="str">
        <f t="shared" si="224"/>
        <v/>
      </c>
      <c r="Q844" s="52" t="str">
        <f t="shared" si="229"/>
        <v>No</v>
      </c>
      <c r="R844" s="1574" t="str">
        <f t="shared" si="220"/>
        <v/>
      </c>
      <c r="S844" s="52" t="str">
        <f t="shared" si="217"/>
        <v/>
      </c>
      <c r="T844" s="52" t="str">
        <f t="shared" si="218"/>
        <v/>
      </c>
      <c r="U844" s="52" t="str">
        <f t="shared" si="212"/>
        <v/>
      </c>
      <c r="V844" s="52" t="str">
        <f t="shared" si="219"/>
        <v/>
      </c>
      <c r="W844" s="1578"/>
      <c r="X844" s="52" t="str">
        <f t="shared" si="225"/>
        <v/>
      </c>
      <c r="Y844" s="52" t="str">
        <f t="shared" si="214"/>
        <v/>
      </c>
      <c r="AA844" s="52" t="str">
        <f t="shared" si="222"/>
        <v/>
      </c>
    </row>
    <row r="845" spans="2:27">
      <c r="B845" s="1532" t="str">
        <f t="shared" si="227"/>
        <v>Telekenetic Resistance</v>
      </c>
      <c r="C845" s="1795"/>
      <c r="D845" s="920"/>
      <c r="E845" s="61" t="s">
        <v>3147</v>
      </c>
      <c r="F845" s="61"/>
      <c r="G845" s="61"/>
      <c r="H845" s="61"/>
      <c r="I845" s="61"/>
      <c r="J845" s="1687" t="s">
        <v>5173</v>
      </c>
      <c r="K845" s="63" t="str">
        <f t="shared" si="226"/>
        <v>No</v>
      </c>
      <c r="L845" s="76"/>
      <c r="M845" s="63">
        <f t="shared" si="228"/>
        <v>0</v>
      </c>
      <c r="N845" s="63" t="s">
        <v>3142</v>
      </c>
      <c r="O845" s="64"/>
      <c r="P845" s="660" t="str">
        <f t="shared" si="224"/>
        <v/>
      </c>
      <c r="Q845" s="52" t="str">
        <f t="shared" si="229"/>
        <v>No</v>
      </c>
      <c r="R845" s="1574" t="str">
        <f t="shared" si="220"/>
        <v/>
      </c>
      <c r="S845" s="52" t="str">
        <f t="shared" si="217"/>
        <v/>
      </c>
      <c r="T845" s="52" t="str">
        <f t="shared" si="218"/>
        <v/>
      </c>
      <c r="U845" s="52" t="str">
        <f t="shared" si="212"/>
        <v/>
      </c>
      <c r="V845" s="52" t="str">
        <f t="shared" si="219"/>
        <v/>
      </c>
      <c r="W845" s="1578"/>
      <c r="X845" s="52" t="str">
        <f t="shared" si="225"/>
        <v/>
      </c>
      <c r="Y845" s="52" t="str">
        <f t="shared" si="214"/>
        <v/>
      </c>
      <c r="AA845" s="52" t="str">
        <f t="shared" si="222"/>
        <v/>
      </c>
    </row>
    <row r="846" spans="2:27" ht="26">
      <c r="B846" s="1532" t="str">
        <f t="shared" si="227"/>
        <v>Findsman Ceremonies</v>
      </c>
      <c r="C846" s="1795"/>
      <c r="D846" s="920" t="s">
        <v>3148</v>
      </c>
      <c r="E846" s="61" t="s">
        <v>3149</v>
      </c>
      <c r="F846" s="61"/>
      <c r="G846" s="61"/>
      <c r="H846" s="61"/>
      <c r="I846" s="61"/>
      <c r="J846" s="1687" t="s">
        <v>5174</v>
      </c>
      <c r="K846" s="63" t="str">
        <f t="shared" si="226"/>
        <v>No</v>
      </c>
      <c r="L846" s="76"/>
      <c r="M846" s="63">
        <f t="shared" si="228"/>
        <v>0</v>
      </c>
      <c r="N846" s="63" t="s">
        <v>3084</v>
      </c>
      <c r="O846" s="64"/>
      <c r="P846" s="660" t="str">
        <f t="shared" si="224"/>
        <v/>
      </c>
      <c r="Q846" s="52" t="str">
        <f t="shared" si="229"/>
        <v>No</v>
      </c>
      <c r="R846" s="1574" t="str">
        <f t="shared" si="220"/>
        <v/>
      </c>
      <c r="S846" s="52" t="str">
        <f t="shared" si="217"/>
        <v/>
      </c>
      <c r="T846" s="52" t="str">
        <f t="shared" si="218"/>
        <v/>
      </c>
      <c r="U846" s="52" t="str">
        <f t="shared" si="212"/>
        <v/>
      </c>
      <c r="V846" s="52" t="str">
        <f t="shared" si="219"/>
        <v/>
      </c>
      <c r="W846" s="1578"/>
      <c r="X846" s="52" t="str">
        <f t="shared" si="225"/>
        <v/>
      </c>
      <c r="Y846" s="52" t="str">
        <f t="shared" si="214"/>
        <v/>
      </c>
      <c r="AA846" s="52" t="str">
        <f t="shared" si="222"/>
        <v/>
      </c>
    </row>
    <row r="847" spans="2:27">
      <c r="B847" s="1532" t="str">
        <f t="shared" si="227"/>
        <v>Findsman's Foresight</v>
      </c>
      <c r="C847" s="1795"/>
      <c r="D847" s="920"/>
      <c r="E847" s="61"/>
      <c r="F847" s="61" t="s">
        <v>3150</v>
      </c>
      <c r="G847" s="61"/>
      <c r="H847" s="61"/>
      <c r="I847" s="61"/>
      <c r="J847" s="1687" t="s">
        <v>5175</v>
      </c>
      <c r="K847" s="63" t="str">
        <f>IF(AND(Q846="Yes",L846&lt;&gt;""),"Yes","No")</f>
        <v>No</v>
      </c>
      <c r="L847" s="76"/>
      <c r="M847" s="63">
        <f t="shared" si="228"/>
        <v>0</v>
      </c>
      <c r="N847" s="63" t="s">
        <v>3084</v>
      </c>
      <c r="O847" s="64"/>
      <c r="P847" s="660" t="str">
        <f t="shared" si="224"/>
        <v/>
      </c>
      <c r="Q847" s="52" t="str">
        <f t="shared" si="229"/>
        <v>No</v>
      </c>
      <c r="R847" s="1574" t="str">
        <f t="shared" si="220"/>
        <v/>
      </c>
      <c r="S847" s="52" t="str">
        <f t="shared" si="217"/>
        <v/>
      </c>
      <c r="T847" s="52" t="str">
        <f t="shared" si="218"/>
        <v/>
      </c>
      <c r="U847" s="52" t="str">
        <f t="shared" si="212"/>
        <v/>
      </c>
      <c r="V847" s="52" t="str">
        <f t="shared" si="219"/>
        <v/>
      </c>
      <c r="W847" s="1578"/>
      <c r="X847" s="52" t="str">
        <f t="shared" si="225"/>
        <v/>
      </c>
      <c r="Y847" s="52" t="str">
        <f t="shared" si="214"/>
        <v/>
      </c>
      <c r="AA847" s="52" t="str">
        <f t="shared" si="222"/>
        <v/>
      </c>
    </row>
    <row r="848" spans="2:27" ht="26">
      <c r="B848" s="1532" t="str">
        <f t="shared" si="227"/>
        <v>Omen</v>
      </c>
      <c r="C848" s="1795"/>
      <c r="D848" s="920"/>
      <c r="E848" s="61"/>
      <c r="F848" s="61" t="s">
        <v>3151</v>
      </c>
      <c r="G848" s="61"/>
      <c r="H848" s="61"/>
      <c r="I848" s="61"/>
      <c r="J848" s="1687" t="s">
        <v>5176</v>
      </c>
      <c r="K848" s="63" t="str">
        <f>IF(AND(Q847="Yes",L846&lt;&gt;""),"Yes","No")</f>
        <v>No</v>
      </c>
      <c r="L848" s="76"/>
      <c r="M848" s="63">
        <f t="shared" si="228"/>
        <v>0</v>
      </c>
      <c r="N848" s="63" t="s">
        <v>3084</v>
      </c>
      <c r="O848" s="64"/>
      <c r="P848" s="660" t="str">
        <f t="shared" si="224"/>
        <v/>
      </c>
      <c r="Q848" s="52" t="str">
        <f t="shared" si="229"/>
        <v>No</v>
      </c>
      <c r="R848" s="1574" t="str">
        <f t="shared" si="220"/>
        <v/>
      </c>
      <c r="S848" s="52" t="str">
        <f t="shared" si="217"/>
        <v/>
      </c>
      <c r="T848" s="52" t="str">
        <f t="shared" si="218"/>
        <v/>
      </c>
      <c r="U848" s="52" t="str">
        <f t="shared" ref="U848:U911" si="230">IF(L848&lt;&gt;"",IF(ISNUMBER(L848),"",E848&amp;F848&amp;G848),"")</f>
        <v/>
      </c>
      <c r="V848" s="52" t="str">
        <f t="shared" si="219"/>
        <v/>
      </c>
      <c r="W848" s="1578"/>
      <c r="X848" s="52" t="str">
        <f t="shared" si="225"/>
        <v/>
      </c>
      <c r="Y848" s="52" t="str">
        <f t="shared" si="214"/>
        <v/>
      </c>
      <c r="AA848" s="52" t="str">
        <f t="shared" si="222"/>
        <v/>
      </c>
    </row>
    <row r="849" spans="2:27" ht="26">
      <c r="B849" s="1532" t="str">
        <f t="shared" si="227"/>
        <v>Target Visions</v>
      </c>
      <c r="C849" s="1795"/>
      <c r="D849" s="920"/>
      <c r="E849" s="61"/>
      <c r="F849" s="61" t="s">
        <v>3152</v>
      </c>
      <c r="G849" s="61"/>
      <c r="H849" s="61"/>
      <c r="I849" s="61"/>
      <c r="J849" s="1687" t="s">
        <v>5177</v>
      </c>
      <c r="K849" s="63" t="str">
        <f>IF(AND(Q848="Yes",L846&lt;&gt;""),"Yes","No")</f>
        <v>No</v>
      </c>
      <c r="L849" s="76"/>
      <c r="M849" s="63">
        <f t="shared" si="228"/>
        <v>0</v>
      </c>
      <c r="N849" s="63" t="s">
        <v>3084</v>
      </c>
      <c r="O849" s="64"/>
      <c r="P849" s="660" t="str">
        <f t="shared" si="224"/>
        <v/>
      </c>
      <c r="Q849" s="52" t="str">
        <f t="shared" si="229"/>
        <v>No</v>
      </c>
      <c r="R849" s="1574" t="str">
        <f t="shared" si="220"/>
        <v/>
      </c>
      <c r="S849" s="52" t="str">
        <f t="shared" si="217"/>
        <v/>
      </c>
      <c r="T849" s="52" t="str">
        <f t="shared" si="218"/>
        <v/>
      </c>
      <c r="U849" s="52" t="str">
        <f t="shared" si="230"/>
        <v/>
      </c>
      <c r="V849" s="52" t="str">
        <f t="shared" si="219"/>
        <v/>
      </c>
      <c r="W849" s="1578"/>
      <c r="X849" s="52" t="str">
        <f t="shared" si="225"/>
        <v/>
      </c>
      <c r="Y849" s="52" t="str">
        <f t="shared" si="214"/>
        <v/>
      </c>
      <c r="AA849" s="52" t="str">
        <f t="shared" si="222"/>
        <v/>
      </c>
    </row>
    <row r="850" spans="2:27">
      <c r="B850" s="1532" t="str">
        <f t="shared" si="227"/>
        <v>Temporal Awareness</v>
      </c>
      <c r="C850" s="1796"/>
      <c r="D850" s="71"/>
      <c r="E850" s="927"/>
      <c r="F850" s="927" t="s">
        <v>3153</v>
      </c>
      <c r="G850" s="927"/>
      <c r="H850" s="927"/>
      <c r="I850" s="927"/>
      <c r="J850" s="1691" t="s">
        <v>5178</v>
      </c>
      <c r="K850" s="928" t="str">
        <f>IF(AND(Q849="Yes",L846&lt;&gt;""),"Yes","No")</f>
        <v>No</v>
      </c>
      <c r="L850" s="929"/>
      <c r="M850" s="928">
        <f t="shared" si="228"/>
        <v>0</v>
      </c>
      <c r="N850" s="928" t="s">
        <v>3084</v>
      </c>
      <c r="O850" s="64"/>
      <c r="P850" s="660" t="str">
        <f t="shared" si="224"/>
        <v/>
      </c>
      <c r="Q850" s="52" t="str">
        <f t="shared" si="229"/>
        <v>No</v>
      </c>
      <c r="R850" s="1574" t="str">
        <f t="shared" si="220"/>
        <v/>
      </c>
      <c r="S850" s="52" t="str">
        <f t="shared" si="217"/>
        <v/>
      </c>
      <c r="T850" s="52" t="str">
        <f t="shared" si="218"/>
        <v/>
      </c>
      <c r="U850" s="52" t="str">
        <f t="shared" si="230"/>
        <v/>
      </c>
      <c r="V850" s="52" t="str">
        <f t="shared" si="219"/>
        <v/>
      </c>
      <c r="W850" s="1578"/>
      <c r="X850" s="52" t="str">
        <f t="shared" si="225"/>
        <v/>
      </c>
      <c r="Y850" s="52" t="str">
        <f t="shared" si="214"/>
        <v/>
      </c>
      <c r="AA850" s="52" t="str">
        <f t="shared" si="222"/>
        <v/>
      </c>
    </row>
    <row r="851" spans="2:27" ht="15" customHeight="1">
      <c r="B851" s="1532" t="str">
        <f t="shared" si="227"/>
        <v>Cunning Distraction</v>
      </c>
      <c r="C851" s="1794" t="s">
        <v>1139</v>
      </c>
      <c r="D851" s="922" t="s">
        <v>3154</v>
      </c>
      <c r="E851" s="923" t="s">
        <v>3155</v>
      </c>
      <c r="F851" s="923"/>
      <c r="G851" s="923"/>
      <c r="H851" s="923"/>
      <c r="I851" s="923"/>
      <c r="J851" s="1690" t="s">
        <v>5179</v>
      </c>
      <c r="K851" s="63" t="str">
        <f t="shared" si="226"/>
        <v>No</v>
      </c>
      <c r="L851" s="76"/>
      <c r="M851" s="63">
        <f t="shared" si="228"/>
        <v>0</v>
      </c>
      <c r="N851" s="924" t="s">
        <v>3156</v>
      </c>
      <c r="O851" s="64"/>
      <c r="P851" s="660" t="str">
        <f t="shared" si="224"/>
        <v/>
      </c>
      <c r="Q851" s="52" t="str">
        <f>IF(OR(AD45&gt;0,AD36&gt;0),"Yes","No")</f>
        <v>No</v>
      </c>
      <c r="R851" s="1574" t="str">
        <f t="shared" si="220"/>
        <v/>
      </c>
      <c r="S851" s="52" t="str">
        <f t="shared" si="217"/>
        <v/>
      </c>
      <c r="T851" s="52" t="str">
        <f t="shared" si="218"/>
        <v/>
      </c>
      <c r="U851" s="52" t="str">
        <f t="shared" si="230"/>
        <v/>
      </c>
      <c r="V851" s="52" t="str">
        <f t="shared" si="219"/>
        <v/>
      </c>
      <c r="W851" s="1578"/>
      <c r="X851" s="52" t="str">
        <f t="shared" si="225"/>
        <v/>
      </c>
      <c r="Y851" s="52" t="str">
        <f t="shared" si="214"/>
        <v/>
      </c>
      <c r="AA851" s="52" t="str">
        <f t="shared" si="222"/>
        <v/>
      </c>
    </row>
    <row r="852" spans="2:27" ht="26">
      <c r="B852" s="1532" t="str">
        <f t="shared" si="227"/>
        <v>Damaging Deception</v>
      </c>
      <c r="C852" s="1795"/>
      <c r="D852" s="920"/>
      <c r="E852" s="61"/>
      <c r="F852" s="61" t="s">
        <v>3157</v>
      </c>
      <c r="G852" s="61"/>
      <c r="H852" s="61"/>
      <c r="I852" s="61"/>
      <c r="J852" s="1687" t="s">
        <v>5180</v>
      </c>
      <c r="K852" s="63" t="str">
        <f>IF(AND(Q851="Yes",L851&lt;&gt;""),"Yes","No")</f>
        <v>No</v>
      </c>
      <c r="L852" s="76"/>
      <c r="M852" s="63">
        <f t="shared" si="228"/>
        <v>0</v>
      </c>
      <c r="N852" s="63" t="s">
        <v>3156</v>
      </c>
      <c r="O852" s="64"/>
      <c r="P852" s="660" t="str">
        <f t="shared" si="224"/>
        <v/>
      </c>
      <c r="Q852" s="52" t="str">
        <f t="shared" si="229"/>
        <v>No</v>
      </c>
      <c r="R852" s="1574" t="str">
        <f t="shared" si="220"/>
        <v/>
      </c>
      <c r="S852" s="52" t="str">
        <f t="shared" si="217"/>
        <v/>
      </c>
      <c r="T852" s="52" t="str">
        <f t="shared" si="218"/>
        <v/>
      </c>
      <c r="U852" s="52" t="str">
        <f t="shared" si="230"/>
        <v/>
      </c>
      <c r="V852" s="52" t="str">
        <f t="shared" si="219"/>
        <v/>
      </c>
      <c r="W852" s="1578"/>
      <c r="X852" s="52" t="str">
        <f t="shared" si="225"/>
        <v/>
      </c>
      <c r="Y852" s="52" t="str">
        <f t="shared" si="214"/>
        <v/>
      </c>
      <c r="AA852" s="52" t="str">
        <f t="shared" si="222"/>
        <v/>
      </c>
    </row>
    <row r="853" spans="2:27">
      <c r="B853" s="1532" t="str">
        <f t="shared" si="227"/>
        <v>Distracting Shout</v>
      </c>
      <c r="C853" s="1795"/>
      <c r="D853" s="920"/>
      <c r="E853" s="61"/>
      <c r="F853" s="61" t="s">
        <v>3158</v>
      </c>
      <c r="G853" s="61"/>
      <c r="H853" s="61"/>
      <c r="I853" s="61"/>
      <c r="J853" s="1687" t="s">
        <v>5181</v>
      </c>
      <c r="K853" s="63" t="str">
        <f>IF(AND(Q852="Yes",L852&lt;&gt;""),"Yes","No")</f>
        <v>No</v>
      </c>
      <c r="L853" s="76"/>
      <c r="M853" s="63">
        <f t="shared" si="228"/>
        <v>0</v>
      </c>
      <c r="N853" s="63" t="s">
        <v>3156</v>
      </c>
      <c r="O853" s="64"/>
      <c r="P853" s="660" t="str">
        <f t="shared" si="224"/>
        <v/>
      </c>
      <c r="Q853" s="52" t="str">
        <f t="shared" si="229"/>
        <v>No</v>
      </c>
      <c r="R853" s="1574" t="str">
        <f t="shared" si="220"/>
        <v/>
      </c>
      <c r="S853" s="52" t="str">
        <f t="shared" si="217"/>
        <v/>
      </c>
      <c r="T853" s="52" t="str">
        <f t="shared" si="218"/>
        <v/>
      </c>
      <c r="U853" s="52" t="str">
        <f t="shared" si="230"/>
        <v/>
      </c>
      <c r="V853" s="52" t="str">
        <f t="shared" si="219"/>
        <v/>
      </c>
      <c r="W853" s="1578"/>
      <c r="X853" s="52" t="str">
        <f t="shared" si="225"/>
        <v/>
      </c>
      <c r="Y853" s="52" t="str">
        <f t="shared" si="214"/>
        <v/>
      </c>
      <c r="AA853" s="52" t="str">
        <f t="shared" si="222"/>
        <v/>
      </c>
    </row>
    <row r="854" spans="2:27" ht="26">
      <c r="B854" s="1532" t="str">
        <f t="shared" si="227"/>
        <v>Innocuous</v>
      </c>
      <c r="C854" s="1795"/>
      <c r="D854" s="920"/>
      <c r="E854" s="61" t="s">
        <v>3159</v>
      </c>
      <c r="F854" s="61"/>
      <c r="G854" s="61"/>
      <c r="H854" s="61"/>
      <c r="I854" s="61"/>
      <c r="J854" s="1687" t="s">
        <v>5182</v>
      </c>
      <c r="K854" s="63" t="str">
        <f t="shared" si="226"/>
        <v>No</v>
      </c>
      <c r="L854" s="76"/>
      <c r="M854" s="63">
        <f t="shared" si="228"/>
        <v>0</v>
      </c>
      <c r="N854" s="63" t="s">
        <v>3156</v>
      </c>
      <c r="O854" s="64"/>
      <c r="P854" s="660" t="str">
        <f t="shared" si="224"/>
        <v/>
      </c>
      <c r="Q854" s="52" t="str">
        <f t="shared" si="229"/>
        <v>No</v>
      </c>
      <c r="R854" s="1574" t="str">
        <f t="shared" si="220"/>
        <v/>
      </c>
      <c r="S854" s="52" t="str">
        <f t="shared" si="217"/>
        <v/>
      </c>
      <c r="T854" s="52" t="str">
        <f t="shared" si="218"/>
        <v/>
      </c>
      <c r="U854" s="52" t="str">
        <f t="shared" si="230"/>
        <v/>
      </c>
      <c r="V854" s="52" t="str">
        <f t="shared" si="219"/>
        <v/>
      </c>
      <c r="W854" s="1578"/>
      <c r="X854" s="52" t="str">
        <f t="shared" si="225"/>
        <v/>
      </c>
      <c r="Y854" s="52" t="str">
        <f t="shared" ref="Y854:Y918" si="231">IF(U854&lt;&gt;"",IF(W854="Att Options",U854&amp;IF(Y855&lt;&gt;"",", ",""),"")&amp;Y855,Y855)</f>
        <v/>
      </c>
      <c r="AA854" s="52" t="str">
        <f t="shared" si="222"/>
        <v/>
      </c>
    </row>
    <row r="855" spans="2:27" ht="26">
      <c r="B855" s="1532" t="str">
        <f t="shared" si="227"/>
        <v>Improved Soft Cover</v>
      </c>
      <c r="C855" s="1795"/>
      <c r="D855" s="920"/>
      <c r="E855" s="61"/>
      <c r="F855" s="61" t="s">
        <v>3160</v>
      </c>
      <c r="G855" s="61"/>
      <c r="H855" s="61"/>
      <c r="I855" s="61"/>
      <c r="J855" s="1687" t="s">
        <v>5183</v>
      </c>
      <c r="K855" s="63" t="str">
        <f>IF(AND(Q854="Yes",L854&lt;&gt;""),"Yes","No")</f>
        <v>No</v>
      </c>
      <c r="L855" s="76"/>
      <c r="M855" s="63">
        <f t="shared" si="228"/>
        <v>0</v>
      </c>
      <c r="N855" s="63" t="s">
        <v>3156</v>
      </c>
      <c r="O855" s="64"/>
      <c r="P855" s="660" t="str">
        <f t="shared" si="224"/>
        <v/>
      </c>
      <c r="Q855" s="52" t="str">
        <f t="shared" si="229"/>
        <v>No</v>
      </c>
      <c r="R855" s="1574" t="str">
        <f t="shared" si="220"/>
        <v/>
      </c>
      <c r="S855" s="52" t="str">
        <f t="shared" si="217"/>
        <v/>
      </c>
      <c r="T855" s="52" t="str">
        <f t="shared" si="218"/>
        <v/>
      </c>
      <c r="U855" s="52" t="str">
        <f t="shared" si="230"/>
        <v/>
      </c>
      <c r="V855" s="52" t="str">
        <f t="shared" si="219"/>
        <v/>
      </c>
      <c r="W855" s="1578"/>
      <c r="X855" s="52" t="str">
        <f t="shared" si="225"/>
        <v/>
      </c>
      <c r="Y855" s="52" t="str">
        <f t="shared" si="231"/>
        <v/>
      </c>
      <c r="AA855" s="52" t="str">
        <f t="shared" si="222"/>
        <v/>
      </c>
    </row>
    <row r="856" spans="2:27" ht="26">
      <c r="B856" s="1532" t="str">
        <f t="shared" si="227"/>
        <v>Trecherous</v>
      </c>
      <c r="C856" s="1796"/>
      <c r="D856" s="71"/>
      <c r="E856" s="927"/>
      <c r="F856" s="927"/>
      <c r="G856" s="927" t="s">
        <v>3161</v>
      </c>
      <c r="H856" s="927"/>
      <c r="I856" s="927"/>
      <c r="J856" s="1691" t="s">
        <v>5184</v>
      </c>
      <c r="K856" s="928" t="str">
        <f>IF(AND(Q855="Yes",L855&lt;&gt;""),"Yes","No")</f>
        <v>No</v>
      </c>
      <c r="L856" s="929"/>
      <c r="M856" s="928">
        <f t="shared" si="228"/>
        <v>0</v>
      </c>
      <c r="N856" s="928" t="s">
        <v>3162</v>
      </c>
      <c r="O856" s="64"/>
      <c r="P856" s="660" t="str">
        <f t="shared" si="224"/>
        <v/>
      </c>
      <c r="Q856" s="52" t="str">
        <f t="shared" si="229"/>
        <v>No</v>
      </c>
      <c r="R856" s="1574" t="str">
        <f t="shared" si="220"/>
        <v/>
      </c>
      <c r="S856" s="52" t="str">
        <f t="shared" si="217"/>
        <v/>
      </c>
      <c r="T856" s="52" t="str">
        <f t="shared" si="218"/>
        <v/>
      </c>
      <c r="U856" s="52" t="str">
        <f t="shared" si="230"/>
        <v/>
      </c>
      <c r="V856" s="52" t="str">
        <f t="shared" si="219"/>
        <v/>
      </c>
      <c r="W856" s="1578"/>
      <c r="X856" s="52" t="str">
        <f t="shared" si="225"/>
        <v/>
      </c>
      <c r="Y856" s="52" t="str">
        <f t="shared" si="231"/>
        <v/>
      </c>
      <c r="AA856" s="52" t="str">
        <f t="shared" si="222"/>
        <v/>
      </c>
    </row>
    <row r="857" spans="2:27" ht="15" customHeight="1">
      <c r="B857" s="1532" t="str">
        <f t="shared" si="227"/>
        <v>Competitive Drive</v>
      </c>
      <c r="C857" s="1794" t="s">
        <v>931</v>
      </c>
      <c r="D857" s="922" t="s">
        <v>3163</v>
      </c>
      <c r="E857" s="923" t="s">
        <v>3164</v>
      </c>
      <c r="F857" s="923"/>
      <c r="G857" s="923"/>
      <c r="H857" s="923"/>
      <c r="I857" s="923"/>
      <c r="J857" s="1690" t="s">
        <v>5185</v>
      </c>
      <c r="K857" s="63" t="str">
        <f t="shared" si="226"/>
        <v>No</v>
      </c>
      <c r="L857" s="76"/>
      <c r="M857" s="63">
        <f t="shared" si="228"/>
        <v>0</v>
      </c>
      <c r="N857" s="924" t="s">
        <v>3165</v>
      </c>
      <c r="O857" s="64"/>
      <c r="P857" s="660" t="str">
        <f t="shared" si="224"/>
        <v/>
      </c>
      <c r="Q857" s="52" t="str">
        <f>IF(OR(AD45&gt;0,AD26&gt;0),"Yes","No")</f>
        <v>No</v>
      </c>
      <c r="R857" s="1574" t="str">
        <f t="shared" si="220"/>
        <v/>
      </c>
      <c r="S857" s="52" t="str">
        <f t="shared" si="217"/>
        <v/>
      </c>
      <c r="T857" s="52" t="str">
        <f t="shared" si="218"/>
        <v/>
      </c>
      <c r="U857" s="52" t="str">
        <f t="shared" si="230"/>
        <v/>
      </c>
      <c r="V857" s="52" t="str">
        <f t="shared" si="219"/>
        <v/>
      </c>
      <c r="W857" s="1578"/>
      <c r="X857" s="52" t="str">
        <f t="shared" si="225"/>
        <v/>
      </c>
      <c r="Y857" s="52" t="str">
        <f t="shared" si="231"/>
        <v/>
      </c>
      <c r="AA857" s="52" t="str">
        <f t="shared" si="222"/>
        <v/>
      </c>
    </row>
    <row r="858" spans="2:27">
      <c r="B858" s="1532" t="str">
        <f t="shared" si="227"/>
        <v>Competitive Edge</v>
      </c>
      <c r="C858" s="1795"/>
      <c r="D858" s="920"/>
      <c r="E858" s="61" t="s">
        <v>3166</v>
      </c>
      <c r="F858" s="61"/>
      <c r="G858" s="61"/>
      <c r="H858" s="61"/>
      <c r="I858" s="61"/>
      <c r="J858" s="1687" t="s">
        <v>5186</v>
      </c>
      <c r="K858" s="63" t="str">
        <f t="shared" si="226"/>
        <v>No</v>
      </c>
      <c r="L858" s="76"/>
      <c r="M858" s="63">
        <f t="shared" si="228"/>
        <v>0</v>
      </c>
      <c r="N858" s="63" t="s">
        <v>3165</v>
      </c>
      <c r="O858" s="64"/>
      <c r="P858" s="660" t="str">
        <f t="shared" si="224"/>
        <v/>
      </c>
      <c r="Q858" s="52" t="str">
        <f t="shared" si="229"/>
        <v>No</v>
      </c>
      <c r="R858" s="1574" t="str">
        <f t="shared" si="220"/>
        <v/>
      </c>
      <c r="S858" s="52" t="str">
        <f t="shared" si="217"/>
        <v/>
      </c>
      <c r="T858" s="52" t="str">
        <f t="shared" si="218"/>
        <v/>
      </c>
      <c r="U858" s="52" t="str">
        <f t="shared" si="230"/>
        <v/>
      </c>
      <c r="V858" s="52" t="str">
        <f t="shared" si="219"/>
        <v/>
      </c>
      <c r="W858" s="1578"/>
      <c r="X858" s="52" t="str">
        <f t="shared" si="225"/>
        <v/>
      </c>
      <c r="Y858" s="52" t="str">
        <f t="shared" si="231"/>
        <v/>
      </c>
      <c r="AA858" s="52" t="str">
        <f t="shared" si="222"/>
        <v/>
      </c>
    </row>
    <row r="859" spans="2:27" ht="26">
      <c r="B859" s="1532" t="str">
        <f t="shared" si="227"/>
        <v>Impose Hesitation</v>
      </c>
      <c r="C859" s="1795"/>
      <c r="D859" s="920"/>
      <c r="E859" s="61" t="s">
        <v>3167</v>
      </c>
      <c r="F859" s="61"/>
      <c r="G859" s="61"/>
      <c r="H859" s="61"/>
      <c r="I859" s="61"/>
      <c r="J859" s="1687" t="s">
        <v>5187</v>
      </c>
      <c r="K859" s="63" t="str">
        <f t="shared" si="226"/>
        <v>No</v>
      </c>
      <c r="L859" s="76"/>
      <c r="M859" s="63">
        <f t="shared" si="228"/>
        <v>0</v>
      </c>
      <c r="N859" s="63" t="s">
        <v>3168</v>
      </c>
      <c r="O859" s="64"/>
      <c r="P859" s="660" t="str">
        <f t="shared" si="224"/>
        <v/>
      </c>
      <c r="Q859" s="52" t="str">
        <f t="shared" si="229"/>
        <v>No</v>
      </c>
      <c r="R859" s="1574" t="str">
        <f t="shared" si="220"/>
        <v/>
      </c>
      <c r="S859" s="52" t="str">
        <f t="shared" si="217"/>
        <v/>
      </c>
      <c r="T859" s="52" t="str">
        <f t="shared" si="218"/>
        <v/>
      </c>
      <c r="U859" s="52" t="str">
        <f t="shared" si="230"/>
        <v/>
      </c>
      <c r="V859" s="52" t="str">
        <f t="shared" si="219"/>
        <v/>
      </c>
      <c r="W859" s="1578"/>
      <c r="X859" s="52" t="str">
        <f t="shared" si="225"/>
        <v/>
      </c>
      <c r="Y859" s="52" t="str">
        <f t="shared" si="231"/>
        <v/>
      </c>
      <c r="AA859" s="52" t="str">
        <f t="shared" si="222"/>
        <v/>
      </c>
    </row>
    <row r="860" spans="2:27">
      <c r="B860" s="1532" t="str">
        <f t="shared" si="227"/>
        <v>Impose Confusion</v>
      </c>
      <c r="C860" s="1795"/>
      <c r="D860" s="920"/>
      <c r="E860" s="61"/>
      <c r="F860" s="61" t="s">
        <v>3169</v>
      </c>
      <c r="G860" s="61"/>
      <c r="H860" s="61"/>
      <c r="I860" s="61"/>
      <c r="J860" s="1687" t="s">
        <v>5188</v>
      </c>
      <c r="K860" s="63" t="str">
        <f>IF(AND(Q859="Yes",L859&lt;&gt;""),"Yes","No")</f>
        <v>No</v>
      </c>
      <c r="L860" s="76"/>
      <c r="M860" s="63">
        <f t="shared" si="228"/>
        <v>0</v>
      </c>
      <c r="N860" s="63" t="s">
        <v>3168</v>
      </c>
      <c r="O860" s="64"/>
      <c r="P860" s="660" t="str">
        <f t="shared" si="224"/>
        <v/>
      </c>
      <c r="Q860" s="52" t="str">
        <f t="shared" si="229"/>
        <v>No</v>
      </c>
      <c r="R860" s="1574" t="str">
        <f t="shared" si="220"/>
        <v/>
      </c>
      <c r="S860" s="52" t="str">
        <f t="shared" si="217"/>
        <v/>
      </c>
      <c r="T860" s="52" t="str">
        <f t="shared" si="218"/>
        <v/>
      </c>
      <c r="U860" s="52" t="str">
        <f t="shared" si="230"/>
        <v/>
      </c>
      <c r="V860" s="52" t="str">
        <f t="shared" si="219"/>
        <v/>
      </c>
      <c r="W860" s="1578"/>
      <c r="X860" s="52" t="str">
        <f t="shared" si="225"/>
        <v/>
      </c>
      <c r="Y860" s="52" t="str">
        <f t="shared" si="231"/>
        <v/>
      </c>
      <c r="AA860" s="52" t="str">
        <f t="shared" si="222"/>
        <v/>
      </c>
    </row>
    <row r="861" spans="2:27" ht="26">
      <c r="B861" s="1532" t="str">
        <f t="shared" si="227"/>
        <v>Corporate Clout</v>
      </c>
      <c r="C861" s="1795"/>
      <c r="D861" s="920"/>
      <c r="E861" s="61"/>
      <c r="F861" s="61"/>
      <c r="G861" s="61" t="s">
        <v>3170</v>
      </c>
      <c r="H861" s="61"/>
      <c r="I861" s="61"/>
      <c r="J861" s="1687" t="s">
        <v>5189</v>
      </c>
      <c r="K861" s="63" t="str">
        <f>IF(AND(Q860="Yes",L860&lt;&gt;""),"Yes","No")</f>
        <v>No</v>
      </c>
      <c r="L861" s="76"/>
      <c r="M861" s="63">
        <f t="shared" si="228"/>
        <v>0</v>
      </c>
      <c r="N861" s="63" t="s">
        <v>3165</v>
      </c>
      <c r="O861" s="64"/>
      <c r="P861" s="660" t="str">
        <f t="shared" si="224"/>
        <v/>
      </c>
      <c r="Q861" s="52" t="str">
        <f t="shared" si="229"/>
        <v>No</v>
      </c>
      <c r="R861" s="1574" t="str">
        <f t="shared" si="220"/>
        <v/>
      </c>
      <c r="S861" s="52" t="str">
        <f t="shared" si="217"/>
        <v/>
      </c>
      <c r="T861" s="52" t="str">
        <f t="shared" si="218"/>
        <v/>
      </c>
      <c r="U861" s="52" t="str">
        <f t="shared" si="230"/>
        <v/>
      </c>
      <c r="V861" s="52" t="str">
        <f t="shared" si="219"/>
        <v/>
      </c>
      <c r="W861" s="1578"/>
      <c r="X861" s="52" t="str">
        <f t="shared" si="225"/>
        <v/>
      </c>
      <c r="Y861" s="52" t="str">
        <f t="shared" si="231"/>
        <v/>
      </c>
      <c r="AA861" s="52" t="str">
        <f t="shared" si="222"/>
        <v/>
      </c>
    </row>
    <row r="862" spans="2:27">
      <c r="B862" s="1532" t="str">
        <f t="shared" si="227"/>
        <v>Willful Resolve</v>
      </c>
      <c r="C862" s="1795"/>
      <c r="D862" s="920"/>
      <c r="E862" s="61" t="s">
        <v>3171</v>
      </c>
      <c r="F862" s="61"/>
      <c r="G862" s="61"/>
      <c r="H862" s="61"/>
      <c r="I862" s="61"/>
      <c r="J862" s="1687" t="s">
        <v>5190</v>
      </c>
      <c r="K862" s="63" t="str">
        <f t="shared" si="226"/>
        <v>No</v>
      </c>
      <c r="L862" s="76"/>
      <c r="M862" s="63">
        <f t="shared" si="228"/>
        <v>0</v>
      </c>
      <c r="N862" s="63" t="s">
        <v>3168</v>
      </c>
      <c r="O862" s="64"/>
      <c r="P862" s="660" t="str">
        <f t="shared" si="224"/>
        <v/>
      </c>
      <c r="Q862" s="52" t="str">
        <f t="shared" si="229"/>
        <v>No</v>
      </c>
      <c r="R862" s="1574" t="str">
        <f t="shared" si="220"/>
        <v/>
      </c>
      <c r="S862" s="52" t="str">
        <f t="shared" ref="S862:S926" si="232">IF(R862&lt;&gt;"",R862&amp;";"&amp;S863,S863)</f>
        <v/>
      </c>
      <c r="T862" s="52" t="str">
        <f t="shared" ref="T862:T926" si="233">IF(R862&lt;&gt;"",N862&amp;";"&amp;T863,T863)</f>
        <v/>
      </c>
      <c r="U862" s="52" t="str">
        <f t="shared" si="230"/>
        <v/>
      </c>
      <c r="V862" s="52" t="str">
        <f t="shared" ref="V862:V926" si="234">IF(U862&lt;&gt;"",U862&amp;";"&amp;V863,V863)</f>
        <v/>
      </c>
      <c r="W862" s="1578"/>
      <c r="X862" s="52" t="str">
        <f t="shared" si="225"/>
        <v/>
      </c>
      <c r="Y862" s="52" t="str">
        <f t="shared" si="231"/>
        <v/>
      </c>
      <c r="AA862" s="52" t="str">
        <f t="shared" si="222"/>
        <v/>
      </c>
    </row>
    <row r="863" spans="2:27">
      <c r="B863" s="1532" t="str">
        <f t="shared" si="227"/>
        <v>Wrong Decision</v>
      </c>
      <c r="C863" s="1796"/>
      <c r="D863" s="71"/>
      <c r="E863" s="927" t="s">
        <v>3172</v>
      </c>
      <c r="F863" s="927"/>
      <c r="G863" s="927"/>
      <c r="H863" s="927"/>
      <c r="I863" s="927"/>
      <c r="J863" s="1691" t="s">
        <v>5191</v>
      </c>
      <c r="K863" s="928" t="str">
        <f t="shared" si="226"/>
        <v>No</v>
      </c>
      <c r="L863" s="929"/>
      <c r="M863" s="928">
        <f t="shared" si="228"/>
        <v>0</v>
      </c>
      <c r="N863" s="928" t="s">
        <v>3168</v>
      </c>
      <c r="O863" s="64"/>
      <c r="P863" s="660" t="str">
        <f t="shared" si="224"/>
        <v/>
      </c>
      <c r="Q863" s="52" t="str">
        <f t="shared" si="229"/>
        <v>No</v>
      </c>
      <c r="R863" s="1574" t="str">
        <f t="shared" si="220"/>
        <v/>
      </c>
      <c r="S863" s="52" t="str">
        <f t="shared" si="232"/>
        <v/>
      </c>
      <c r="T863" s="52" t="str">
        <f t="shared" si="233"/>
        <v/>
      </c>
      <c r="U863" s="52" t="str">
        <f t="shared" si="230"/>
        <v/>
      </c>
      <c r="V863" s="52" t="str">
        <f t="shared" si="234"/>
        <v/>
      </c>
      <c r="W863" s="1578"/>
      <c r="X863" s="52" t="str">
        <f t="shared" si="225"/>
        <v/>
      </c>
      <c r="Y863" s="52" t="str">
        <f t="shared" si="231"/>
        <v/>
      </c>
      <c r="AA863" s="52" t="str">
        <f t="shared" si="222"/>
        <v/>
      </c>
    </row>
    <row r="864" spans="2:27" ht="15" customHeight="1">
      <c r="B864" s="1532" t="str">
        <f t="shared" si="227"/>
        <v>Inspire Fear I</v>
      </c>
      <c r="C864" s="1794" t="s">
        <v>487</v>
      </c>
      <c r="D864" s="920" t="s">
        <v>3173</v>
      </c>
      <c r="E864" s="61" t="s">
        <v>3174</v>
      </c>
      <c r="F864" s="61"/>
      <c r="G864" s="61"/>
      <c r="H864" s="61"/>
      <c r="I864" s="61"/>
      <c r="J864" s="1690" t="s">
        <v>5192</v>
      </c>
      <c r="K864" s="63" t="str">
        <f t="shared" si="226"/>
        <v>No</v>
      </c>
      <c r="L864" s="76"/>
      <c r="M864" s="63">
        <f t="shared" si="228"/>
        <v>0</v>
      </c>
      <c r="N864" s="63">
        <v>210</v>
      </c>
      <c r="O864" s="64"/>
      <c r="P864" s="660" t="str">
        <f t="shared" si="224"/>
        <v/>
      </c>
      <c r="Q864" s="52" t="str">
        <f>IF(OR(AD45&gt;0,AD15&gt;0),"Yes","No")</f>
        <v>No</v>
      </c>
      <c r="R864" s="1574" t="str">
        <f t="shared" si="220"/>
        <v/>
      </c>
      <c r="S864" s="52" t="str">
        <f t="shared" si="232"/>
        <v/>
      </c>
      <c r="T864" s="52" t="str">
        <f t="shared" si="233"/>
        <v/>
      </c>
      <c r="U864" s="52" t="str">
        <f t="shared" si="230"/>
        <v/>
      </c>
      <c r="V864" s="52" t="str">
        <f t="shared" si="234"/>
        <v/>
      </c>
      <c r="W864" s="1578"/>
      <c r="X864" s="52" t="str">
        <f t="shared" si="225"/>
        <v/>
      </c>
      <c r="Y864" s="52" t="str">
        <f t="shared" si="231"/>
        <v/>
      </c>
      <c r="AA864" s="52" t="str">
        <f t="shared" si="222"/>
        <v/>
      </c>
    </row>
    <row r="865" spans="2:27" ht="26">
      <c r="B865" s="1532" t="str">
        <f t="shared" si="227"/>
        <v>Frighten</v>
      </c>
      <c r="C865" s="1795"/>
      <c r="D865" s="920"/>
      <c r="E865" s="61"/>
      <c r="F865" s="61" t="s">
        <v>3175</v>
      </c>
      <c r="G865" s="61"/>
      <c r="H865" s="61"/>
      <c r="I865" s="61"/>
      <c r="J865" s="1687" t="s">
        <v>5193</v>
      </c>
      <c r="K865" s="63" t="str">
        <f>IF(AND(Q865="Yes",L864&lt;&gt;"",L875&lt;&gt;""),"Yes","No")</f>
        <v>No</v>
      </c>
      <c r="L865" s="76"/>
      <c r="M865" s="63">
        <f t="shared" si="228"/>
        <v>0</v>
      </c>
      <c r="N865" s="63" t="s">
        <v>3084</v>
      </c>
      <c r="O865" s="64"/>
      <c r="P865" s="660" t="str">
        <f t="shared" si="224"/>
        <v/>
      </c>
      <c r="Q865" s="52" t="str">
        <f t="shared" si="229"/>
        <v>No</v>
      </c>
      <c r="R865" s="1574" t="str">
        <f t="shared" si="220"/>
        <v/>
      </c>
      <c r="S865" s="52" t="str">
        <f t="shared" si="232"/>
        <v/>
      </c>
      <c r="T865" s="52" t="str">
        <f t="shared" si="233"/>
        <v/>
      </c>
      <c r="U865" s="52" t="str">
        <f t="shared" si="230"/>
        <v/>
      </c>
      <c r="V865" s="52" t="str">
        <f t="shared" si="234"/>
        <v/>
      </c>
      <c r="W865" s="1578"/>
      <c r="X865" s="52" t="str">
        <f t="shared" si="225"/>
        <v/>
      </c>
      <c r="Y865" s="52" t="str">
        <f t="shared" si="231"/>
        <v/>
      </c>
      <c r="AA865" s="52" t="str">
        <f t="shared" si="222"/>
        <v/>
      </c>
    </row>
    <row r="866" spans="2:27" ht="26">
      <c r="B866" s="1532" t="str">
        <f t="shared" si="227"/>
        <v>Inspire Fear II</v>
      </c>
      <c r="C866" s="1795"/>
      <c r="D866" s="920"/>
      <c r="E866" s="61"/>
      <c r="F866" s="61" t="s">
        <v>3176</v>
      </c>
      <c r="G866" s="61"/>
      <c r="H866" s="61"/>
      <c r="I866" s="61"/>
      <c r="J866" s="1687" t="s">
        <v>5194</v>
      </c>
      <c r="K866" s="63" t="str">
        <f>IF(AND(Q866="Yes",L864&lt;&gt;""),"Yes","No")</f>
        <v>No</v>
      </c>
      <c r="L866" s="76"/>
      <c r="M866" s="63">
        <f t="shared" si="228"/>
        <v>0</v>
      </c>
      <c r="N866" s="63">
        <v>210</v>
      </c>
      <c r="O866" s="64"/>
      <c r="P866" s="660" t="str">
        <f t="shared" si="224"/>
        <v/>
      </c>
      <c r="Q866" s="52" t="str">
        <f t="shared" si="229"/>
        <v>No</v>
      </c>
      <c r="R866" s="1574" t="str">
        <f t="shared" ref="R866:R929" si="235">IF(L866&lt;&gt;"",E866&amp;F866&amp;G866&amp;IF(P866&lt;&gt;""," ("&amp;P866&amp;")",""),"")&amp;IF(M866&gt;1," ("&amp;M866&amp;")","")</f>
        <v/>
      </c>
      <c r="S866" s="52" t="str">
        <f t="shared" si="232"/>
        <v/>
      </c>
      <c r="T866" s="52" t="str">
        <f t="shared" si="233"/>
        <v/>
      </c>
      <c r="U866" s="52" t="str">
        <f t="shared" si="230"/>
        <v/>
      </c>
      <c r="V866" s="52" t="str">
        <f t="shared" si="234"/>
        <v/>
      </c>
      <c r="W866" s="1578"/>
      <c r="X866" s="52" t="str">
        <f t="shared" si="225"/>
        <v/>
      </c>
      <c r="Y866" s="52" t="str">
        <f t="shared" si="231"/>
        <v/>
      </c>
      <c r="AA866" s="52" t="str">
        <f t="shared" si="222"/>
        <v/>
      </c>
    </row>
    <row r="867" spans="2:27" ht="26">
      <c r="B867" s="1532" t="str">
        <f t="shared" si="227"/>
        <v>Fear Me</v>
      </c>
      <c r="C867" s="1795"/>
      <c r="D867" s="920"/>
      <c r="E867" s="61"/>
      <c r="F867" s="61"/>
      <c r="G867" s="61" t="s">
        <v>3177</v>
      </c>
      <c r="H867" s="61"/>
      <c r="I867" s="61"/>
      <c r="J867" s="1687" t="s">
        <v>5195</v>
      </c>
      <c r="K867" s="63" t="str">
        <f>IF(AND(Q867="Yes",L866&lt;&gt;""),"Yes","No")</f>
        <v>No</v>
      </c>
      <c r="L867" s="76"/>
      <c r="M867" s="63">
        <f t="shared" si="228"/>
        <v>0</v>
      </c>
      <c r="N867" s="63" t="s">
        <v>3084</v>
      </c>
      <c r="O867" s="64"/>
      <c r="P867" s="660" t="str">
        <f t="shared" si="224"/>
        <v/>
      </c>
      <c r="Q867" s="52" t="str">
        <f t="shared" si="229"/>
        <v>No</v>
      </c>
      <c r="R867" s="1574" t="str">
        <f t="shared" si="235"/>
        <v/>
      </c>
      <c r="S867" s="52" t="str">
        <f t="shared" si="232"/>
        <v/>
      </c>
      <c r="T867" s="52" t="str">
        <f t="shared" si="233"/>
        <v/>
      </c>
      <c r="U867" s="52" t="str">
        <f t="shared" si="230"/>
        <v/>
      </c>
      <c r="V867" s="52" t="str">
        <f t="shared" si="234"/>
        <v/>
      </c>
      <c r="W867" s="1578"/>
      <c r="X867" s="52" t="str">
        <f t="shared" si="225"/>
        <v/>
      </c>
      <c r="Y867" s="52" t="str">
        <f t="shared" si="231"/>
        <v/>
      </c>
      <c r="AA867" s="52" t="str">
        <f t="shared" si="222"/>
        <v/>
      </c>
    </row>
    <row r="868" spans="2:27" ht="26">
      <c r="B868" s="1532" t="str">
        <f t="shared" si="227"/>
        <v>Inspire Fear III</v>
      </c>
      <c r="C868" s="1795"/>
      <c r="D868" s="920"/>
      <c r="E868" s="61"/>
      <c r="F868" s="61"/>
      <c r="G868" s="61" t="s">
        <v>3178</v>
      </c>
      <c r="H868" s="61"/>
      <c r="I868" s="61"/>
      <c r="J868" s="1687" t="s">
        <v>5196</v>
      </c>
      <c r="K868" s="63" t="str">
        <f>IF(AND(Q868="Yes",L866&lt;&gt;""),"Yes","No")</f>
        <v>No</v>
      </c>
      <c r="L868" s="76"/>
      <c r="M868" s="63">
        <f t="shared" si="228"/>
        <v>0</v>
      </c>
      <c r="N868" s="63">
        <v>210</v>
      </c>
      <c r="O868" s="64"/>
      <c r="P868" s="660" t="str">
        <f t="shared" si="224"/>
        <v/>
      </c>
      <c r="Q868" s="52" t="str">
        <f t="shared" si="229"/>
        <v>No</v>
      </c>
      <c r="R868" s="1574" t="str">
        <f t="shared" si="235"/>
        <v/>
      </c>
      <c r="S868" s="52" t="str">
        <f t="shared" si="232"/>
        <v/>
      </c>
      <c r="T868" s="52" t="str">
        <f t="shared" si="233"/>
        <v/>
      </c>
      <c r="U868" s="52" t="str">
        <f t="shared" si="230"/>
        <v/>
      </c>
      <c r="V868" s="52" t="str">
        <f t="shared" si="234"/>
        <v/>
      </c>
      <c r="W868" s="1578"/>
      <c r="X868" s="52" t="str">
        <f t="shared" si="225"/>
        <v/>
      </c>
      <c r="Y868" s="52" t="str">
        <f t="shared" si="231"/>
        <v/>
      </c>
      <c r="AA868" s="52" t="str">
        <f t="shared" si="222"/>
        <v/>
      </c>
    </row>
    <row r="869" spans="2:27" ht="26">
      <c r="B869" s="1532" t="str">
        <f t="shared" si="227"/>
        <v>Terrify</v>
      </c>
      <c r="C869" s="1795"/>
      <c r="D869" s="920"/>
      <c r="E869" s="61"/>
      <c r="F869" s="61"/>
      <c r="G869" s="61" t="s">
        <v>3179</v>
      </c>
      <c r="H869" s="61"/>
      <c r="I869" s="61"/>
      <c r="J869" s="1687" t="s">
        <v>5197</v>
      </c>
      <c r="K869" s="63" t="str">
        <f>IF(AND(Q869="Yes",L866&lt;&gt;""),"Yes","No")</f>
        <v>No</v>
      </c>
      <c r="L869" s="76"/>
      <c r="M869" s="63">
        <f t="shared" si="228"/>
        <v>0</v>
      </c>
      <c r="N869" s="63" t="s">
        <v>3180</v>
      </c>
      <c r="O869" s="64"/>
      <c r="P869" s="660" t="str">
        <f t="shared" si="224"/>
        <v/>
      </c>
      <c r="Q869" s="52" t="str">
        <f t="shared" si="229"/>
        <v>No</v>
      </c>
      <c r="R869" s="1574" t="str">
        <f t="shared" si="235"/>
        <v/>
      </c>
      <c r="S869" s="52" t="str">
        <f t="shared" si="232"/>
        <v/>
      </c>
      <c r="T869" s="52" t="str">
        <f t="shared" si="233"/>
        <v/>
      </c>
      <c r="U869" s="52" t="str">
        <f t="shared" si="230"/>
        <v/>
      </c>
      <c r="V869" s="52" t="str">
        <f t="shared" si="234"/>
        <v/>
      </c>
      <c r="W869" s="1578"/>
      <c r="X869" s="52" t="str">
        <f t="shared" si="225"/>
        <v/>
      </c>
      <c r="Y869" s="52" t="str">
        <f t="shared" si="231"/>
        <v/>
      </c>
      <c r="AA869" s="52" t="str">
        <f t="shared" si="222"/>
        <v/>
      </c>
    </row>
    <row r="870" spans="2:27">
      <c r="B870" s="1532" t="str">
        <f t="shared" si="227"/>
        <v>Notorious</v>
      </c>
      <c r="C870" s="1795"/>
      <c r="D870" s="920"/>
      <c r="E870" s="61" t="s">
        <v>3135</v>
      </c>
      <c r="F870" s="61"/>
      <c r="G870" s="61"/>
      <c r="H870" s="61"/>
      <c r="I870" s="61"/>
      <c r="J870" s="1687" t="s">
        <v>5163</v>
      </c>
      <c r="K870" s="63" t="str">
        <f t="shared" si="226"/>
        <v>No</v>
      </c>
      <c r="L870" s="76"/>
      <c r="M870" s="63">
        <f t="shared" si="228"/>
        <v>0</v>
      </c>
      <c r="N870" s="63">
        <v>208</v>
      </c>
      <c r="O870" s="64"/>
      <c r="P870" s="660" t="str">
        <f t="shared" si="224"/>
        <v/>
      </c>
      <c r="Q870" s="52" t="str">
        <f t="shared" si="229"/>
        <v>No</v>
      </c>
      <c r="R870" s="1574" t="str">
        <f t="shared" si="235"/>
        <v/>
      </c>
      <c r="S870" s="52" t="str">
        <f t="shared" si="232"/>
        <v/>
      </c>
      <c r="T870" s="52" t="str">
        <f t="shared" si="233"/>
        <v/>
      </c>
      <c r="U870" s="52" t="str">
        <f t="shared" si="230"/>
        <v/>
      </c>
      <c r="V870" s="52" t="str">
        <f t="shared" si="234"/>
        <v/>
      </c>
      <c r="W870" s="1578"/>
      <c r="X870" s="52" t="str">
        <f t="shared" si="225"/>
        <v/>
      </c>
      <c r="Y870" s="52" t="str">
        <f t="shared" si="231"/>
        <v/>
      </c>
      <c r="AA870" s="52" t="str">
        <f>IF(U870&lt;&gt;"",IF(Z870="Defenses",U870&amp;IF(AA872&lt;&gt;"",", ",""),"")&amp;AA872,AA872)</f>
        <v/>
      </c>
    </row>
    <row r="871" spans="2:27">
      <c r="B871" s="1575"/>
      <c r="C871" s="1795"/>
      <c r="D871" s="920"/>
      <c r="E871" s="61"/>
      <c r="F871" s="61" t="s">
        <v>8329</v>
      </c>
      <c r="G871" s="61"/>
      <c r="H871" s="61"/>
      <c r="I871" s="61"/>
      <c r="J871" s="1687" t="s">
        <v>8330</v>
      </c>
      <c r="K871" s="63" t="str">
        <f ca="1">IF(AND(Q871="Yes",L870&lt;&gt;"", OR(Skills!I27&lt;&gt;"",Skills!J27&lt;&gt;"")),"Yes","No")</f>
        <v>No</v>
      </c>
      <c r="L871" s="76"/>
      <c r="M871" s="63">
        <f t="shared" si="228"/>
        <v>0</v>
      </c>
      <c r="N871" s="63" t="s">
        <v>8304</v>
      </c>
      <c r="O871" s="64"/>
      <c r="P871" s="660" t="str">
        <f t="shared" si="224"/>
        <v/>
      </c>
      <c r="Q871" s="52" t="str">
        <f t="shared" si="229"/>
        <v>No</v>
      </c>
      <c r="R871" s="1574" t="str">
        <f t="shared" si="235"/>
        <v/>
      </c>
      <c r="S871" s="52" t="str">
        <f t="shared" si="232"/>
        <v/>
      </c>
      <c r="T871" s="52" t="str">
        <f t="shared" si="233"/>
        <v/>
      </c>
      <c r="U871" s="52" t="str">
        <f t="shared" si="230"/>
        <v/>
      </c>
      <c r="V871" s="52" t="str">
        <f t="shared" si="234"/>
        <v/>
      </c>
      <c r="W871" s="1578"/>
      <c r="X871" s="52" t="str">
        <f t="shared" si="225"/>
        <v/>
      </c>
      <c r="Y871" s="52" t="str">
        <f t="shared" si="231"/>
        <v/>
      </c>
    </row>
    <row r="872" spans="2:27">
      <c r="B872" s="1532" t="str">
        <f>IF(E872&lt;&gt;"",E872,IF(F872&lt;&gt;"",F872,IF(G872&lt;&gt;"",G872,IF(H872&lt;&gt;"",H872))))</f>
        <v>Shared Notoriety</v>
      </c>
      <c r="C872" s="1795"/>
      <c r="D872" s="920"/>
      <c r="E872" s="61"/>
      <c r="F872" s="61" t="s">
        <v>3181</v>
      </c>
      <c r="G872" s="61"/>
      <c r="H872" s="61"/>
      <c r="I872" s="61"/>
      <c r="J872" s="1687" t="s">
        <v>5198</v>
      </c>
      <c r="K872" s="63" t="str">
        <f>IF(AND(Q870="Yes",L870&lt;&gt;""),"Yes","No")</f>
        <v>No</v>
      </c>
      <c r="L872" s="76"/>
      <c r="M872" s="63">
        <f t="shared" si="228"/>
        <v>0</v>
      </c>
      <c r="N872" s="63">
        <v>210</v>
      </c>
      <c r="O872" s="64"/>
      <c r="P872" s="660" t="str">
        <f t="shared" si="224"/>
        <v/>
      </c>
      <c r="Q872" s="52" t="str">
        <f>Q870</f>
        <v>No</v>
      </c>
      <c r="R872" s="1574" t="str">
        <f t="shared" si="235"/>
        <v/>
      </c>
      <c r="S872" s="52" t="str">
        <f t="shared" si="232"/>
        <v/>
      </c>
      <c r="T872" s="52" t="str">
        <f t="shared" si="233"/>
        <v/>
      </c>
      <c r="U872" s="52" t="str">
        <f t="shared" si="230"/>
        <v/>
      </c>
      <c r="V872" s="52" t="str">
        <f t="shared" si="234"/>
        <v/>
      </c>
      <c r="W872" s="1578"/>
      <c r="X872" s="52" t="str">
        <f t="shared" si="225"/>
        <v/>
      </c>
      <c r="Y872" s="52" t="str">
        <f t="shared" si="231"/>
        <v/>
      </c>
      <c r="AA872" s="52" t="str">
        <f>IF(U872&lt;&gt;"",IF(Z872="Defenses",U872&amp;IF(AA874&lt;&gt;"",", ",""),"")&amp;AA874,AA874)</f>
        <v/>
      </c>
    </row>
    <row r="873" spans="2:27">
      <c r="B873" s="1575"/>
      <c r="C873" s="1795"/>
      <c r="D873" s="920"/>
      <c r="E873" s="61"/>
      <c r="F873" s="61" t="s">
        <v>8331</v>
      </c>
      <c r="G873" s="61"/>
      <c r="H873" s="61"/>
      <c r="I873" s="61"/>
      <c r="J873" s="1687" t="s">
        <v>8332</v>
      </c>
      <c r="K873" s="63" t="str">
        <f>IF(AND(Q873="Yes",L870&lt;&gt;""),"Yes","No")</f>
        <v>No</v>
      </c>
      <c r="L873" s="76"/>
      <c r="M873" s="63">
        <f t="shared" si="228"/>
        <v>0</v>
      </c>
      <c r="N873" s="63" t="s">
        <v>8304</v>
      </c>
      <c r="O873" s="64"/>
      <c r="P873" s="660" t="str">
        <f t="shared" si="224"/>
        <v/>
      </c>
      <c r="Q873" s="52" t="str">
        <f t="shared" si="229"/>
        <v>No</v>
      </c>
      <c r="R873" s="1574" t="str">
        <f t="shared" si="235"/>
        <v/>
      </c>
      <c r="S873" s="52" t="str">
        <f t="shared" si="232"/>
        <v/>
      </c>
      <c r="T873" s="52" t="str">
        <f t="shared" si="233"/>
        <v/>
      </c>
      <c r="U873" s="52" t="str">
        <f t="shared" si="230"/>
        <v/>
      </c>
      <c r="V873" s="52" t="str">
        <f t="shared" si="234"/>
        <v/>
      </c>
      <c r="W873" s="1578"/>
      <c r="X873" s="52" t="str">
        <f t="shared" si="225"/>
        <v/>
      </c>
      <c r="Y873" s="52" t="str">
        <f t="shared" si="231"/>
        <v/>
      </c>
    </row>
    <row r="874" spans="2:27" ht="26">
      <c r="B874" s="1532" t="str">
        <f t="shared" ref="B874:B880" si="236">IF(E874&lt;&gt;"",E874,IF(F874&lt;&gt;"",F874,IF(G874&lt;&gt;"",G874,IF(H874&lt;&gt;"",H874))))</f>
        <v>Unsavory Reputation</v>
      </c>
      <c r="C874" s="1795"/>
      <c r="D874" s="920"/>
      <c r="E874" s="61"/>
      <c r="F874" s="61" t="s">
        <v>3182</v>
      </c>
      <c r="G874" s="61"/>
      <c r="H874" s="61"/>
      <c r="I874" s="61"/>
      <c r="J874" s="1687" t="s">
        <v>5199</v>
      </c>
      <c r="K874" s="63" t="str">
        <f>IF(AND(Q872="Yes",L872&lt;&gt;""),"Yes","No")</f>
        <v>No</v>
      </c>
      <c r="L874" s="76"/>
      <c r="M874" s="63">
        <f t="shared" si="228"/>
        <v>0</v>
      </c>
      <c r="N874" s="63" t="s">
        <v>3180</v>
      </c>
      <c r="O874" s="64"/>
      <c r="P874" s="660" t="str">
        <f t="shared" si="224"/>
        <v/>
      </c>
      <c r="Q874" s="52" t="str">
        <f>Q872</f>
        <v>No</v>
      </c>
      <c r="R874" s="1574" t="str">
        <f t="shared" si="235"/>
        <v/>
      </c>
      <c r="S874" s="52" t="str">
        <f t="shared" si="232"/>
        <v/>
      </c>
      <c r="T874" s="52" t="str">
        <f t="shared" si="233"/>
        <v/>
      </c>
      <c r="U874" s="52" t="str">
        <f t="shared" si="230"/>
        <v/>
      </c>
      <c r="V874" s="52" t="str">
        <f t="shared" si="234"/>
        <v/>
      </c>
      <c r="W874" s="1578"/>
      <c r="X874" s="52" t="str">
        <f t="shared" si="225"/>
        <v/>
      </c>
      <c r="Y874" s="52" t="str">
        <f t="shared" si="231"/>
        <v/>
      </c>
      <c r="AA874" s="52" t="str">
        <f t="shared" si="222"/>
        <v/>
      </c>
    </row>
    <row r="875" spans="2:27" ht="39">
      <c r="B875" s="1532" t="str">
        <f t="shared" si="236"/>
        <v>Attract Minion</v>
      </c>
      <c r="C875" s="1795"/>
      <c r="D875" s="920" t="s">
        <v>3183</v>
      </c>
      <c r="E875" s="61" t="s">
        <v>3184</v>
      </c>
      <c r="F875" s="61"/>
      <c r="G875" s="61"/>
      <c r="H875" s="61"/>
      <c r="I875" s="61"/>
      <c r="J875" s="1687" t="s">
        <v>5200</v>
      </c>
      <c r="K875" s="63" t="str">
        <f t="shared" si="226"/>
        <v>No</v>
      </c>
      <c r="L875" s="76"/>
      <c r="M875" s="63">
        <f>IF(L875&lt;&gt;"",L875,0)</f>
        <v>0</v>
      </c>
      <c r="N875" s="63">
        <v>210</v>
      </c>
      <c r="O875" s="64"/>
      <c r="P875" s="660" t="str">
        <f t="shared" si="224"/>
        <v/>
      </c>
      <c r="Q875" s="52" t="str">
        <f t="shared" si="229"/>
        <v>No</v>
      </c>
      <c r="R875" s="1574" t="str">
        <f t="shared" si="235"/>
        <v/>
      </c>
      <c r="S875" s="52" t="str">
        <f t="shared" si="232"/>
        <v/>
      </c>
      <c r="T875" s="52" t="str">
        <f t="shared" si="233"/>
        <v/>
      </c>
      <c r="U875" s="52" t="str">
        <f t="shared" si="230"/>
        <v/>
      </c>
      <c r="V875" s="52" t="str">
        <f t="shared" si="234"/>
        <v/>
      </c>
      <c r="W875" s="1578"/>
      <c r="X875" s="52" t="str">
        <f t="shared" si="225"/>
        <v/>
      </c>
      <c r="Y875" s="52" t="str">
        <f t="shared" si="231"/>
        <v/>
      </c>
      <c r="AA875" s="52" t="str">
        <f t="shared" si="222"/>
        <v/>
      </c>
    </row>
    <row r="876" spans="2:27">
      <c r="B876" s="1532" t="str">
        <f t="shared" si="236"/>
        <v>Shelter</v>
      </c>
      <c r="C876" s="1795"/>
      <c r="D876" s="920"/>
      <c r="E876" s="61"/>
      <c r="F876" s="61" t="s">
        <v>3185</v>
      </c>
      <c r="G876" s="61"/>
      <c r="H876" s="61"/>
      <c r="I876" s="61"/>
      <c r="J876" s="1687" t="s">
        <v>5201</v>
      </c>
      <c r="K876" s="63" t="str">
        <f>IF(AND(Q875="Yes",L875&lt;&gt;""),"Yes","No")</f>
        <v>No</v>
      </c>
      <c r="L876" s="76"/>
      <c r="M876" s="63">
        <f t="shared" si="228"/>
        <v>0</v>
      </c>
      <c r="N876" s="63" t="s">
        <v>3180</v>
      </c>
      <c r="O876" s="64"/>
      <c r="P876" s="660" t="str">
        <f t="shared" si="224"/>
        <v/>
      </c>
      <c r="Q876" s="52" t="str">
        <f t="shared" si="229"/>
        <v>No</v>
      </c>
      <c r="R876" s="1574" t="str">
        <f t="shared" si="235"/>
        <v/>
      </c>
      <c r="S876" s="52" t="str">
        <f t="shared" si="232"/>
        <v/>
      </c>
      <c r="T876" s="52" t="str">
        <f t="shared" si="233"/>
        <v/>
      </c>
      <c r="U876" s="52" t="str">
        <f t="shared" si="230"/>
        <v/>
      </c>
      <c r="V876" s="52" t="str">
        <f t="shared" si="234"/>
        <v/>
      </c>
      <c r="W876" s="1578"/>
      <c r="X876" s="52" t="str">
        <f t="shared" si="225"/>
        <v/>
      </c>
      <c r="Y876" s="52" t="str">
        <f t="shared" si="231"/>
        <v/>
      </c>
      <c r="AA876" s="52" t="str">
        <f t="shared" si="222"/>
        <v/>
      </c>
    </row>
    <row r="877" spans="2:27" ht="26">
      <c r="B877" s="1532" t="str">
        <f t="shared" si="236"/>
        <v>Wealth of Allies</v>
      </c>
      <c r="C877" s="1795"/>
      <c r="D877" s="920"/>
      <c r="E877" s="61"/>
      <c r="F877" s="61" t="s">
        <v>3186</v>
      </c>
      <c r="G877" s="61"/>
      <c r="H877" s="61"/>
      <c r="I877" s="61"/>
      <c r="J877" s="1687" t="s">
        <v>5202</v>
      </c>
      <c r="K877" s="63" t="str">
        <f>IF(AND(Q876="Yes",L876&lt;&gt;""),"Yes","No")</f>
        <v>No</v>
      </c>
      <c r="L877" s="76"/>
      <c r="M877" s="63">
        <f t="shared" si="228"/>
        <v>0</v>
      </c>
      <c r="N877" s="63" t="s">
        <v>3180</v>
      </c>
      <c r="O877" s="64"/>
      <c r="P877" s="660" t="str">
        <f t="shared" si="224"/>
        <v/>
      </c>
      <c r="Q877" s="52" t="str">
        <f t="shared" si="229"/>
        <v>No</v>
      </c>
      <c r="R877" s="1574" t="str">
        <f t="shared" si="235"/>
        <v/>
      </c>
      <c r="S877" s="52" t="str">
        <f t="shared" si="232"/>
        <v/>
      </c>
      <c r="T877" s="52" t="str">
        <f t="shared" si="233"/>
        <v/>
      </c>
      <c r="U877" s="52" t="str">
        <f t="shared" si="230"/>
        <v/>
      </c>
      <c r="V877" s="52" t="str">
        <f t="shared" si="234"/>
        <v/>
      </c>
      <c r="W877" s="1578"/>
      <c r="X877" s="52" t="str">
        <f t="shared" si="225"/>
        <v/>
      </c>
      <c r="Y877" s="52" t="str">
        <f t="shared" si="231"/>
        <v/>
      </c>
      <c r="AA877" s="52" t="str">
        <f t="shared" si="222"/>
        <v/>
      </c>
    </row>
    <row r="878" spans="2:27" ht="26">
      <c r="B878" s="1532" t="str">
        <f t="shared" si="236"/>
        <v>Bodyguard I</v>
      </c>
      <c r="C878" s="1795"/>
      <c r="D878" s="920"/>
      <c r="E878" s="61" t="s">
        <v>3187</v>
      </c>
      <c r="F878" s="61"/>
      <c r="G878" s="61"/>
      <c r="H878" s="61"/>
      <c r="I878" s="61"/>
      <c r="J878" s="1687" t="s">
        <v>5203</v>
      </c>
      <c r="K878" s="63" t="str">
        <f t="shared" si="226"/>
        <v>No</v>
      </c>
      <c r="L878" s="76"/>
      <c r="M878" s="63">
        <f t="shared" si="228"/>
        <v>0</v>
      </c>
      <c r="N878" s="63" t="s">
        <v>3180</v>
      </c>
      <c r="O878" s="64"/>
      <c r="P878" s="660" t="str">
        <f t="shared" si="224"/>
        <v/>
      </c>
      <c r="Q878" s="52" t="str">
        <f t="shared" si="229"/>
        <v>No</v>
      </c>
      <c r="R878" s="1574" t="str">
        <f t="shared" si="235"/>
        <v/>
      </c>
      <c r="S878" s="52" t="str">
        <f t="shared" si="232"/>
        <v/>
      </c>
      <c r="T878" s="52" t="str">
        <f t="shared" si="233"/>
        <v/>
      </c>
      <c r="U878" s="52" t="str">
        <f t="shared" si="230"/>
        <v/>
      </c>
      <c r="V878" s="52" t="str">
        <f t="shared" si="234"/>
        <v/>
      </c>
      <c r="W878" s="1578"/>
      <c r="X878" s="52" t="str">
        <f t="shared" si="225"/>
        <v/>
      </c>
      <c r="Y878" s="52" t="str">
        <f t="shared" si="231"/>
        <v/>
      </c>
      <c r="AA878" s="52" t="str">
        <f t="shared" si="222"/>
        <v/>
      </c>
    </row>
    <row r="879" spans="2:27" ht="26">
      <c r="B879" s="1532" t="str">
        <f t="shared" si="236"/>
        <v>Bodyguard II</v>
      </c>
      <c r="C879" s="1795"/>
      <c r="D879" s="920"/>
      <c r="E879" s="61"/>
      <c r="F879" s="61" t="s">
        <v>3188</v>
      </c>
      <c r="G879" s="61"/>
      <c r="H879" s="61"/>
      <c r="I879" s="61"/>
      <c r="J879" s="1687" t="s">
        <v>5204</v>
      </c>
      <c r="K879" s="63" t="str">
        <f>IF(AND(Q878="Yes",L878&lt;&gt;""),"Yes","No")</f>
        <v>No</v>
      </c>
      <c r="L879" s="76"/>
      <c r="M879" s="63">
        <f t="shared" si="228"/>
        <v>0</v>
      </c>
      <c r="N879" s="63" t="s">
        <v>3180</v>
      </c>
      <c r="O879" s="64"/>
      <c r="P879" s="660" t="str">
        <f t="shared" si="224"/>
        <v/>
      </c>
      <c r="Q879" s="52" t="str">
        <f t="shared" si="229"/>
        <v>No</v>
      </c>
      <c r="R879" s="1574" t="str">
        <f t="shared" si="235"/>
        <v/>
      </c>
      <c r="S879" s="52" t="str">
        <f t="shared" si="232"/>
        <v/>
      </c>
      <c r="T879" s="52" t="str">
        <f t="shared" si="233"/>
        <v/>
      </c>
      <c r="U879" s="52" t="str">
        <f t="shared" si="230"/>
        <v/>
      </c>
      <c r="V879" s="52" t="str">
        <f t="shared" si="234"/>
        <v/>
      </c>
      <c r="W879" s="1578"/>
      <c r="X879" s="52" t="str">
        <f t="shared" si="225"/>
        <v/>
      </c>
      <c r="Y879" s="52" t="str">
        <f t="shared" si="231"/>
        <v/>
      </c>
      <c r="AA879" s="52" t="str">
        <f t="shared" si="222"/>
        <v/>
      </c>
    </row>
    <row r="880" spans="2:27" ht="26">
      <c r="B880" s="1532" t="str">
        <f t="shared" si="236"/>
        <v>Bodyguard III</v>
      </c>
      <c r="C880" s="1795"/>
      <c r="D880" s="920"/>
      <c r="E880" s="61"/>
      <c r="F880" s="61"/>
      <c r="G880" s="61" t="s">
        <v>3189</v>
      </c>
      <c r="H880" s="61"/>
      <c r="I880" s="61"/>
      <c r="J880" s="1687" t="s">
        <v>5205</v>
      </c>
      <c r="K880" s="63" t="str">
        <f>IF(AND(Q879="Yes",L879&lt;&gt;""),"Yes","No")</f>
        <v>No</v>
      </c>
      <c r="L880" s="76"/>
      <c r="M880" s="63">
        <f t="shared" si="228"/>
        <v>0</v>
      </c>
      <c r="N880" s="63" t="s">
        <v>3180</v>
      </c>
      <c r="O880" s="64"/>
      <c r="P880" s="660" t="str">
        <f t="shared" si="224"/>
        <v/>
      </c>
      <c r="Q880" s="52" t="str">
        <f t="shared" si="229"/>
        <v>No</v>
      </c>
      <c r="R880" s="1574" t="str">
        <f t="shared" si="235"/>
        <v/>
      </c>
      <c r="S880" s="52" t="str">
        <f t="shared" si="232"/>
        <v/>
      </c>
      <c r="T880" s="52" t="str">
        <f t="shared" si="233"/>
        <v/>
      </c>
      <c r="U880" s="52" t="str">
        <f t="shared" si="230"/>
        <v/>
      </c>
      <c r="V880" s="52" t="str">
        <f t="shared" si="234"/>
        <v/>
      </c>
      <c r="W880" s="1578"/>
      <c r="X880" s="52" t="str">
        <f t="shared" si="225"/>
        <v/>
      </c>
      <c r="Y880" s="52" t="str">
        <f t="shared" si="231"/>
        <v/>
      </c>
      <c r="AA880" s="52" t="str">
        <f>IF(U880&lt;&gt;"",IF(Z880="Defenses",U880&amp;IF(AA882&lt;&gt;"",", ",""),"")&amp;AA882,AA882)</f>
        <v/>
      </c>
    </row>
    <row r="881" spans="2:27">
      <c r="B881" s="1575"/>
      <c r="C881" s="1795"/>
      <c r="D881" s="920"/>
      <c r="E881" s="61" t="s">
        <v>8335</v>
      </c>
      <c r="F881" s="61"/>
      <c r="G881" s="61"/>
      <c r="H881" s="61"/>
      <c r="I881" s="61"/>
      <c r="J881" s="1687" t="s">
        <v>8336</v>
      </c>
      <c r="K881" s="63" t="str">
        <f t="shared" si="226"/>
        <v>No</v>
      </c>
      <c r="L881" s="76"/>
      <c r="M881" s="63">
        <f t="shared" si="228"/>
        <v>0</v>
      </c>
      <c r="N881" s="63" t="s">
        <v>8328</v>
      </c>
      <c r="O881" s="64"/>
      <c r="P881" s="660" t="str">
        <f t="shared" si="224"/>
        <v/>
      </c>
      <c r="Q881" s="52" t="str">
        <f t="shared" si="229"/>
        <v>No</v>
      </c>
      <c r="R881" s="1574" t="str">
        <f t="shared" si="235"/>
        <v/>
      </c>
      <c r="S881" s="52" t="str">
        <f t="shared" si="232"/>
        <v/>
      </c>
      <c r="T881" s="52" t="str">
        <f t="shared" si="233"/>
        <v/>
      </c>
      <c r="U881" s="52" t="str">
        <f t="shared" si="230"/>
        <v/>
      </c>
      <c r="V881" s="52" t="str">
        <f t="shared" si="234"/>
        <v/>
      </c>
      <c r="W881" s="1578"/>
      <c r="X881" s="52" t="str">
        <f t="shared" si="225"/>
        <v/>
      </c>
      <c r="Y881" s="52" t="str">
        <f t="shared" si="231"/>
        <v/>
      </c>
    </row>
    <row r="882" spans="2:27">
      <c r="B882" s="1532" t="str">
        <f>IF(E882&lt;&gt;"",E882,IF(F882&lt;&gt;"",F882,IF(G882&lt;&gt;"",G882,IF(H882&lt;&gt;"",H882))))</f>
        <v>Impel Ally I</v>
      </c>
      <c r="C882" s="1795"/>
      <c r="D882" s="920"/>
      <c r="E882" s="61" t="s">
        <v>3190</v>
      </c>
      <c r="F882" s="61"/>
      <c r="G882" s="61"/>
      <c r="H882" s="61"/>
      <c r="I882" s="61"/>
      <c r="J882" s="1687" t="s">
        <v>5206</v>
      </c>
      <c r="K882" s="63" t="str">
        <f t="shared" si="226"/>
        <v>No</v>
      </c>
      <c r="L882" s="76"/>
      <c r="M882" s="63">
        <f t="shared" si="228"/>
        <v>0</v>
      </c>
      <c r="N882" s="63">
        <v>210</v>
      </c>
      <c r="O882" s="64"/>
      <c r="P882" s="660" t="str">
        <f t="shared" si="224"/>
        <v/>
      </c>
      <c r="Q882" s="52" t="str">
        <f>Q880</f>
        <v>No</v>
      </c>
      <c r="R882" s="1574" t="str">
        <f t="shared" si="235"/>
        <v/>
      </c>
      <c r="S882" s="52" t="str">
        <f t="shared" si="232"/>
        <v/>
      </c>
      <c r="T882" s="52" t="str">
        <f t="shared" si="233"/>
        <v/>
      </c>
      <c r="U882" s="52" t="str">
        <f t="shared" si="230"/>
        <v/>
      </c>
      <c r="V882" s="52" t="str">
        <f t="shared" si="234"/>
        <v/>
      </c>
      <c r="W882" s="1578"/>
      <c r="X882" s="52" t="str">
        <f t="shared" si="225"/>
        <v/>
      </c>
      <c r="Y882" s="52" t="str">
        <f t="shared" si="231"/>
        <v/>
      </c>
      <c r="AA882" s="52" t="str">
        <f t="shared" si="222"/>
        <v/>
      </c>
    </row>
    <row r="883" spans="2:27">
      <c r="B883" s="1532" t="str">
        <f>IF(E883&lt;&gt;"",E883,IF(F883&lt;&gt;"",F883,IF(G883&lt;&gt;"",G883,IF(H883&lt;&gt;"",H883))))</f>
        <v>Impel Ally II</v>
      </c>
      <c r="C883" s="1795"/>
      <c r="D883" s="920"/>
      <c r="E883" s="61"/>
      <c r="F883" s="61" t="s">
        <v>3191</v>
      </c>
      <c r="G883" s="61"/>
      <c r="H883" s="61"/>
      <c r="I883" s="61"/>
      <c r="J883" s="1687" t="s">
        <v>5207</v>
      </c>
      <c r="K883" s="63" t="str">
        <f>IF(AND(Q882="Yes",L882&lt;&gt;""),"Yes","No")</f>
        <v>No</v>
      </c>
      <c r="L883" s="76"/>
      <c r="M883" s="63">
        <f t="shared" si="228"/>
        <v>0</v>
      </c>
      <c r="N883" s="63">
        <v>210</v>
      </c>
      <c r="O883" s="64"/>
      <c r="P883" s="660" t="str">
        <f t="shared" si="224"/>
        <v/>
      </c>
      <c r="Q883" s="52" t="str">
        <f t="shared" si="229"/>
        <v>No</v>
      </c>
      <c r="R883" s="1574" t="str">
        <f t="shared" si="235"/>
        <v/>
      </c>
      <c r="S883" s="52" t="str">
        <f>IF(R883&lt;&gt;"",R883&amp;";"&amp;S884,S884)</f>
        <v/>
      </c>
      <c r="T883" s="52" t="str">
        <f>IF(R883&lt;&gt;"",N883&amp;";"&amp;T884,T884)</f>
        <v/>
      </c>
      <c r="U883" s="52" t="str">
        <f t="shared" si="230"/>
        <v/>
      </c>
      <c r="V883" s="52" t="str">
        <f>IF(U883&lt;&gt;"",U883&amp;";"&amp;V884,V884)</f>
        <v/>
      </c>
      <c r="W883" s="1578"/>
      <c r="X883" s="52" t="str">
        <f>IF(U883&lt;&gt;"",IF(W883="Special Actions",U883&amp;IF(X884&lt;&gt;"",", ",""),"")&amp;X884,X884)</f>
        <v/>
      </c>
      <c r="Y883" s="52" t="str">
        <f>IF(U883&lt;&gt;"",IF(W883="Att Options",U883&amp;IF(Y884&lt;&gt;"",", ",""),"")&amp;Y884,Y884)</f>
        <v/>
      </c>
      <c r="AA883" s="52" t="str">
        <f>IF(U883&lt;&gt;"",IF(Z883="Defenses",U883&amp;IF(AA885&lt;&gt;"",", ",""),"")&amp;AA885,AA885)</f>
        <v/>
      </c>
    </row>
    <row r="884" spans="2:27">
      <c r="B884" s="1575"/>
      <c r="C884" s="1795"/>
      <c r="D884" s="920"/>
      <c r="E884" s="61"/>
      <c r="F884" s="61"/>
      <c r="G884" s="61" t="s">
        <v>8333</v>
      </c>
      <c r="H884" s="61"/>
      <c r="I884" s="61"/>
      <c r="J884" s="1687" t="s">
        <v>8334</v>
      </c>
      <c r="K884" s="63" t="str">
        <f>IF(AND(Q883="Yes",L883&lt;&gt;""),"Yes","No")</f>
        <v>No</v>
      </c>
      <c r="L884" s="76"/>
      <c r="M884" s="63">
        <f t="shared" si="228"/>
        <v>0</v>
      </c>
      <c r="N884" s="63" t="s">
        <v>8328</v>
      </c>
      <c r="O884" s="64"/>
      <c r="P884" s="660" t="str">
        <f t="shared" ref="P884:P947" si="237">IF(ShowTalentTrees,IF(D884&lt;&gt;"",D884,P883),"")</f>
        <v/>
      </c>
      <c r="Q884" s="52" t="str">
        <f>Q883</f>
        <v>No</v>
      </c>
      <c r="R884" s="1574" t="str">
        <f t="shared" si="235"/>
        <v/>
      </c>
      <c r="S884" s="52" t="str">
        <f>IF(R884&lt;&gt;"",R884&amp;";"&amp;S885,S885)</f>
        <v/>
      </c>
      <c r="T884" s="52" t="str">
        <f t="shared" si="233"/>
        <v/>
      </c>
      <c r="U884" s="52" t="str">
        <f t="shared" si="230"/>
        <v/>
      </c>
      <c r="V884" s="52" t="str">
        <f t="shared" si="234"/>
        <v/>
      </c>
      <c r="W884" s="1578"/>
      <c r="X884" s="52" t="str">
        <f t="shared" si="225"/>
        <v/>
      </c>
      <c r="Y884" s="52" t="str">
        <f t="shared" si="231"/>
        <v/>
      </c>
    </row>
    <row r="885" spans="2:27" ht="26">
      <c r="B885" s="1532" t="str">
        <f t="shared" ref="B885:B904" si="238">IF(E885&lt;&gt;"",E885,IF(F885&lt;&gt;"",F885,IF(G885&lt;&gt;"",G885,IF(H885&lt;&gt;"",H885))))</f>
        <v>Impel Ally III</v>
      </c>
      <c r="C885" s="1795"/>
      <c r="D885" s="920"/>
      <c r="E885" s="61"/>
      <c r="F885" s="61"/>
      <c r="G885" s="61" t="s">
        <v>3192</v>
      </c>
      <c r="H885" s="61"/>
      <c r="I885" s="61"/>
      <c r="J885" s="1687" t="s">
        <v>5208</v>
      </c>
      <c r="K885" s="63" t="str">
        <f>IF(AND(Q883="Yes",L883&lt;&gt;""),"Yes","No")</f>
        <v>No</v>
      </c>
      <c r="L885" s="76"/>
      <c r="M885" s="63">
        <f t="shared" si="228"/>
        <v>0</v>
      </c>
      <c r="N885" s="63" t="s">
        <v>3180</v>
      </c>
      <c r="O885" s="64"/>
      <c r="P885" s="660" t="str">
        <f t="shared" si="237"/>
        <v/>
      </c>
      <c r="Q885" s="52" t="str">
        <f>Q883</f>
        <v>No</v>
      </c>
      <c r="R885" s="1574" t="str">
        <f t="shared" si="235"/>
        <v/>
      </c>
      <c r="S885" s="52" t="str">
        <f>IF(R885&lt;&gt;"",R885&amp;";"&amp;S886,S886)</f>
        <v/>
      </c>
      <c r="T885" s="52" t="str">
        <f>IF(R885&lt;&gt;"",N885&amp;";"&amp;T886,T886)</f>
        <v/>
      </c>
      <c r="U885" s="52" t="str">
        <f t="shared" si="230"/>
        <v/>
      </c>
      <c r="V885" s="52" t="str">
        <f>IF(U885&lt;&gt;"",U885&amp;";"&amp;V886,V886)</f>
        <v/>
      </c>
      <c r="W885" s="1578"/>
      <c r="X885" s="52" t="str">
        <f>IF(U885&lt;&gt;"",IF(W885="Special Actions",U885&amp;IF(X886&lt;&gt;"",", ",""),"")&amp;X886,X886)</f>
        <v/>
      </c>
      <c r="Y885" s="52" t="str">
        <f>IF(U885&lt;&gt;"",IF(W885="Att Options",U885&amp;IF(Y886&lt;&gt;"",", ",""),"")&amp;Y886,Y886)</f>
        <v/>
      </c>
      <c r="AA885" s="52" t="str">
        <f>IF(U885&lt;&gt;"",IF(Z885="Defenses",U885&amp;IF(AA886&lt;&gt;"",", ",""),"")&amp;AA886,AA886)</f>
        <v/>
      </c>
    </row>
    <row r="886" spans="2:27" ht="26">
      <c r="B886" s="1532" t="str">
        <f t="shared" si="238"/>
        <v>Urgency</v>
      </c>
      <c r="C886" s="1795"/>
      <c r="D886" s="920"/>
      <c r="E886" s="61"/>
      <c r="F886" s="61"/>
      <c r="G886" s="61" t="s">
        <v>3193</v>
      </c>
      <c r="H886" s="61"/>
      <c r="I886" s="61"/>
      <c r="J886" s="1687" t="s">
        <v>5209</v>
      </c>
      <c r="K886" s="63" t="str">
        <f>IF(AND(Q883="Yes",L883&lt;&gt;""),"Yes","No")</f>
        <v>No</v>
      </c>
      <c r="L886" s="76"/>
      <c r="M886" s="63">
        <f t="shared" si="228"/>
        <v>0</v>
      </c>
      <c r="N886" s="63" t="s">
        <v>3180</v>
      </c>
      <c r="O886" s="64"/>
      <c r="P886" s="660" t="str">
        <f t="shared" si="237"/>
        <v/>
      </c>
      <c r="Q886" s="52" t="str">
        <f>Q885</f>
        <v>No</v>
      </c>
      <c r="R886" s="1574" t="str">
        <f t="shared" si="235"/>
        <v/>
      </c>
      <c r="S886" s="52" t="str">
        <f>IF(R886&lt;&gt;"",R886&amp;";"&amp;S887,S887)</f>
        <v/>
      </c>
      <c r="T886" s="52" t="str">
        <f>IF(R886&lt;&gt;"",N886&amp;";"&amp;T887,T887)</f>
        <v/>
      </c>
      <c r="U886" s="52" t="str">
        <f t="shared" si="230"/>
        <v/>
      </c>
      <c r="V886" s="52" t="str">
        <f>IF(U886&lt;&gt;"",U886&amp;";"&amp;V887,V887)</f>
        <v/>
      </c>
      <c r="W886" s="1578"/>
      <c r="X886" s="52" t="str">
        <f>IF(U886&lt;&gt;"",IF(W886="Special Actions",U886&amp;IF(X887&lt;&gt;"",", ",""),"")&amp;X887,X887)</f>
        <v/>
      </c>
      <c r="Y886" s="52" t="str">
        <f>IF(U886&lt;&gt;"",IF(W886="Att Options",U886&amp;IF(Y887&lt;&gt;"",", ",""),"")&amp;Y887,Y887)</f>
        <v/>
      </c>
      <c r="AA886" s="52" t="str">
        <f>IF(U886&lt;&gt;"",IF(Z886="Defenses",U886&amp;IF(AA887&lt;&gt;"",", ",""),"")&amp;AA887,AA887)</f>
        <v/>
      </c>
    </row>
    <row r="887" spans="2:27" ht="26">
      <c r="B887" s="1575" t="str">
        <f t="shared" si="238"/>
        <v>Master's Orders</v>
      </c>
      <c r="C887" s="1795"/>
      <c r="D887" s="920"/>
      <c r="E887" s="61"/>
      <c r="F887" s="61"/>
      <c r="G887" s="61" t="s">
        <v>8821</v>
      </c>
      <c r="H887" s="61"/>
      <c r="I887" s="61"/>
      <c r="J887" s="1687" t="s">
        <v>8822</v>
      </c>
      <c r="K887" s="63" t="str">
        <f>IF(AND(Q883="Yes",L883&lt;&gt;""),"Yes","No")</f>
        <v>No</v>
      </c>
      <c r="L887" s="76"/>
      <c r="M887" s="63">
        <f t="shared" si="228"/>
        <v>0</v>
      </c>
      <c r="N887" s="63" t="s">
        <v>8339</v>
      </c>
      <c r="O887" s="64"/>
      <c r="P887" s="660" t="str">
        <f t="shared" si="237"/>
        <v/>
      </c>
      <c r="Q887" s="52" t="str">
        <f>Q883</f>
        <v>No</v>
      </c>
      <c r="R887" s="1574" t="str">
        <f t="shared" si="235"/>
        <v/>
      </c>
      <c r="S887" s="52" t="str">
        <f>IF(R887&lt;&gt;"",R887&amp;";"&amp;S888,S888)</f>
        <v/>
      </c>
      <c r="T887" s="52" t="str">
        <f>IF(R887&lt;&gt;"",N887&amp;";"&amp;T888,T888)</f>
        <v/>
      </c>
      <c r="U887" s="52" t="str">
        <f t="shared" si="230"/>
        <v/>
      </c>
      <c r="V887" s="52" t="str">
        <f>IF(U887&lt;&gt;"",U887&amp;";"&amp;V888,V888)</f>
        <v/>
      </c>
      <c r="W887" s="1578"/>
      <c r="X887" s="52" t="str">
        <f>IF(U887&lt;&gt;"",IF(W887="Special Actions",U887&amp;IF(X888&lt;&gt;"",", ",""),"")&amp;X888,X888)</f>
        <v/>
      </c>
      <c r="Y887" s="52" t="str">
        <f>IF(U887&lt;&gt;"",IF(W887="Att Options",U887&amp;IF(Y888&lt;&gt;"",", ",""),"")&amp;Y888,Y888)</f>
        <v/>
      </c>
      <c r="AA887" s="52" t="str">
        <f>IF(U887&lt;&gt;"",IF(Z887="Defenses",U887&amp;IF(AA888&lt;&gt;"",", ",""),"")&amp;AA888,AA888)</f>
        <v/>
      </c>
    </row>
    <row r="888" spans="2:27" ht="26">
      <c r="B888" s="1532" t="str">
        <f t="shared" si="238"/>
        <v>Inspire Wrath</v>
      </c>
      <c r="C888" s="1795"/>
      <c r="D888" s="920"/>
      <c r="E888" s="61" t="s">
        <v>3194</v>
      </c>
      <c r="F888" s="61"/>
      <c r="G888" s="61"/>
      <c r="H888" s="61"/>
      <c r="I888" s="61"/>
      <c r="J888" s="1687" t="s">
        <v>5210</v>
      </c>
      <c r="K888" s="63" t="str">
        <f t="shared" si="226"/>
        <v>No</v>
      </c>
      <c r="L888" s="76"/>
      <c r="M888" s="63">
        <f t="shared" si="228"/>
        <v>0</v>
      </c>
      <c r="N888" s="63" t="s">
        <v>3180</v>
      </c>
      <c r="O888" s="64"/>
      <c r="P888" s="660" t="str">
        <f t="shared" si="237"/>
        <v/>
      </c>
      <c r="Q888" s="52" t="str">
        <f>Q886</f>
        <v>No</v>
      </c>
      <c r="R888" s="1574" t="str">
        <f t="shared" si="235"/>
        <v/>
      </c>
      <c r="S888" s="52" t="str">
        <f t="shared" si="232"/>
        <v/>
      </c>
      <c r="T888" s="52" t="str">
        <f>IF(R888&lt;&gt;"",N888&amp;";"&amp;T889,T889)</f>
        <v/>
      </c>
      <c r="U888" s="52" t="str">
        <f t="shared" si="230"/>
        <v/>
      </c>
      <c r="V888" s="52" t="str">
        <f>IF(U888&lt;&gt;"",U888&amp;";"&amp;V889,V889)</f>
        <v/>
      </c>
      <c r="W888" s="1578"/>
      <c r="X888" s="52" t="str">
        <f>IF(U888&lt;&gt;"",IF(W888="Special Actions",U888&amp;IF(X889&lt;&gt;"",", ",""),"")&amp;X889,X889)</f>
        <v/>
      </c>
      <c r="Y888" s="52" t="str">
        <f t="shared" si="231"/>
        <v/>
      </c>
      <c r="AA888" s="52" t="str">
        <f>IF(U888&lt;&gt;"",IF(Z888="Defenses",U888&amp;IF(AA889&lt;&gt;"",", ",""),"")&amp;AA889,AA889)</f>
        <v/>
      </c>
    </row>
    <row r="889" spans="2:27">
      <c r="B889" s="1532" t="str">
        <f t="shared" si="238"/>
        <v>Tactical Superiority</v>
      </c>
      <c r="C889" s="1795"/>
      <c r="D889" s="920"/>
      <c r="E889" s="61" t="s">
        <v>3195</v>
      </c>
      <c r="F889" s="61"/>
      <c r="G889" s="61"/>
      <c r="H889" s="61"/>
      <c r="I889" s="61"/>
      <c r="J889" s="1687" t="s">
        <v>5211</v>
      </c>
      <c r="K889" s="63" t="str">
        <f t="shared" si="226"/>
        <v>No</v>
      </c>
      <c r="L889" s="76"/>
      <c r="M889" s="63">
        <f t="shared" si="228"/>
        <v>0</v>
      </c>
      <c r="N889" s="63" t="s">
        <v>3180</v>
      </c>
      <c r="O889" s="64"/>
      <c r="P889" s="660" t="str">
        <f t="shared" si="237"/>
        <v/>
      </c>
      <c r="Q889" s="52" t="str">
        <f t="shared" si="229"/>
        <v>No</v>
      </c>
      <c r="R889" s="1574" t="str">
        <f t="shared" si="235"/>
        <v/>
      </c>
      <c r="S889" s="52" t="str">
        <f t="shared" si="232"/>
        <v/>
      </c>
      <c r="T889" s="52" t="str">
        <f>IF(R889&lt;&gt;"",N889&amp;";"&amp;T890,T890)</f>
        <v/>
      </c>
      <c r="U889" s="52" t="str">
        <f t="shared" si="230"/>
        <v/>
      </c>
      <c r="V889" s="52" t="str">
        <f>IF(U889&lt;&gt;"",U889&amp;";"&amp;V890,V890)</f>
        <v/>
      </c>
      <c r="W889" s="1578"/>
      <c r="X889" s="52" t="str">
        <f>IF(U889&lt;&gt;"",IF(W889="Special Actions",U889&amp;IF(X890&lt;&gt;"",", ",""),"")&amp;X890,X890)</f>
        <v/>
      </c>
      <c r="Y889" s="52" t="str">
        <f t="shared" si="231"/>
        <v/>
      </c>
      <c r="AA889" s="52" t="str">
        <f t="shared" ref="AA889:AA963" si="239">IF(U889&lt;&gt;"",IF(Z889="Defenses",U889&amp;IF(AA890&lt;&gt;"",", ",""),"")&amp;AA890,AA890)</f>
        <v/>
      </c>
    </row>
    <row r="890" spans="2:27" ht="26">
      <c r="B890" s="1532" t="str">
        <f t="shared" si="238"/>
        <v>Tactical Withdraw</v>
      </c>
      <c r="C890" s="1796"/>
      <c r="D890" s="920"/>
      <c r="E890" s="61" t="s">
        <v>3196</v>
      </c>
      <c r="F890" s="61"/>
      <c r="G890" s="61"/>
      <c r="H890" s="61"/>
      <c r="I890" s="61"/>
      <c r="J890" s="1687" t="s">
        <v>5212</v>
      </c>
      <c r="K890" s="928" t="str">
        <f t="shared" si="226"/>
        <v>No</v>
      </c>
      <c r="L890" s="929"/>
      <c r="M890" s="928">
        <f t="shared" si="228"/>
        <v>0</v>
      </c>
      <c r="N890" s="63" t="s">
        <v>3180</v>
      </c>
      <c r="O890" s="64"/>
      <c r="P890" s="660" t="str">
        <f t="shared" si="237"/>
        <v/>
      </c>
      <c r="Q890" s="52" t="str">
        <f t="shared" si="229"/>
        <v>No</v>
      </c>
      <c r="R890" s="1574" t="str">
        <f t="shared" si="235"/>
        <v/>
      </c>
      <c r="S890" s="52" t="str">
        <f t="shared" si="232"/>
        <v/>
      </c>
      <c r="T890" s="52" t="str">
        <f t="shared" si="233"/>
        <v/>
      </c>
      <c r="U890" s="52" t="str">
        <f t="shared" si="230"/>
        <v/>
      </c>
      <c r="V890" s="52" t="str">
        <f t="shared" si="234"/>
        <v/>
      </c>
      <c r="W890" s="1578"/>
      <c r="X890" s="52" t="str">
        <f t="shared" si="225"/>
        <v/>
      </c>
      <c r="Y890" s="52" t="str">
        <f t="shared" si="231"/>
        <v/>
      </c>
      <c r="AA890" s="52" t="str">
        <f t="shared" si="239"/>
        <v/>
      </c>
    </row>
    <row r="891" spans="2:27" ht="15" customHeight="1">
      <c r="B891" s="1532" t="str">
        <f t="shared" si="238"/>
        <v>Automated Strike</v>
      </c>
      <c r="C891" s="1794" t="s">
        <v>1177</v>
      </c>
      <c r="D891" s="922" t="s">
        <v>1177</v>
      </c>
      <c r="E891" s="923" t="s">
        <v>3197</v>
      </c>
      <c r="F891" s="923"/>
      <c r="G891" s="923"/>
      <c r="H891" s="923"/>
      <c r="I891" s="923"/>
      <c r="J891" s="1687" t="s">
        <v>5213</v>
      </c>
      <c r="K891" s="63" t="str">
        <f t="shared" si="226"/>
        <v>No</v>
      </c>
      <c r="L891" s="76"/>
      <c r="M891" s="63">
        <f t="shared" si="228"/>
        <v>0</v>
      </c>
      <c r="N891" s="924" t="s">
        <v>3198</v>
      </c>
      <c r="O891" s="64"/>
      <c r="P891" s="660" t="str">
        <f t="shared" si="237"/>
        <v/>
      </c>
      <c r="Q891" s="52" t="str">
        <f>IF(OR(AD45&gt;0,AD38&gt;0),"Yes","No")</f>
        <v>No</v>
      </c>
      <c r="R891" s="1574" t="str">
        <f t="shared" si="235"/>
        <v/>
      </c>
      <c r="S891" s="52" t="str">
        <f t="shared" si="232"/>
        <v/>
      </c>
      <c r="T891" s="52" t="str">
        <f t="shared" si="233"/>
        <v/>
      </c>
      <c r="U891" s="52" t="str">
        <f t="shared" si="230"/>
        <v/>
      </c>
      <c r="V891" s="52" t="str">
        <f t="shared" si="234"/>
        <v/>
      </c>
      <c r="W891" s="1578"/>
      <c r="X891" s="52" t="str">
        <f t="shared" si="225"/>
        <v/>
      </c>
      <c r="Y891" s="52" t="str">
        <f t="shared" si="231"/>
        <v/>
      </c>
      <c r="AA891" s="52" t="str">
        <f t="shared" si="239"/>
        <v/>
      </c>
    </row>
    <row r="892" spans="2:27" ht="26">
      <c r="B892" s="1532" t="str">
        <f t="shared" si="238"/>
        <v>Droid Defense</v>
      </c>
      <c r="C892" s="1795"/>
      <c r="D892" s="920"/>
      <c r="E892" s="61" t="s">
        <v>3199</v>
      </c>
      <c r="F892" s="61"/>
      <c r="G892" s="61"/>
      <c r="H892" s="61"/>
      <c r="I892" s="61"/>
      <c r="J892" s="1687" t="s">
        <v>5214</v>
      </c>
      <c r="K892" s="63" t="str">
        <f t="shared" si="226"/>
        <v>No</v>
      </c>
      <c r="L892" s="76"/>
      <c r="M892" s="63">
        <f t="shared" si="228"/>
        <v>0</v>
      </c>
      <c r="N892" s="63" t="s">
        <v>3198</v>
      </c>
      <c r="O892" s="64"/>
      <c r="P892" s="660" t="str">
        <f t="shared" si="237"/>
        <v/>
      </c>
      <c r="Q892" s="52" t="str">
        <f t="shared" si="229"/>
        <v>No</v>
      </c>
      <c r="R892" s="1574" t="str">
        <f t="shared" si="235"/>
        <v/>
      </c>
      <c r="S892" s="52" t="str">
        <f t="shared" si="232"/>
        <v/>
      </c>
      <c r="T892" s="52" t="str">
        <f t="shared" si="233"/>
        <v/>
      </c>
      <c r="U892" s="52" t="str">
        <f t="shared" si="230"/>
        <v/>
      </c>
      <c r="V892" s="52" t="str">
        <f t="shared" si="234"/>
        <v/>
      </c>
      <c r="W892" s="1578"/>
      <c r="X892" s="52" t="str">
        <f t="shared" si="225"/>
        <v/>
      </c>
      <c r="Y892" s="52" t="str">
        <f t="shared" si="231"/>
        <v/>
      </c>
      <c r="AA892" s="52" t="str">
        <f t="shared" si="239"/>
        <v/>
      </c>
    </row>
    <row r="893" spans="2:27" ht="26">
      <c r="B893" s="1532" t="str">
        <f t="shared" si="238"/>
        <v>Droid Mettle</v>
      </c>
      <c r="C893" s="1795"/>
      <c r="D893" s="920"/>
      <c r="E893" s="61"/>
      <c r="F893" s="61" t="s">
        <v>3200</v>
      </c>
      <c r="G893" s="61"/>
      <c r="H893" s="61"/>
      <c r="I893" s="61"/>
      <c r="J893" s="1687" t="s">
        <v>5215</v>
      </c>
      <c r="K893" s="63" t="str">
        <f>IF(AND(Q892="Yes",L892&lt;&gt;""),"Yes","No")</f>
        <v>No</v>
      </c>
      <c r="L893" s="76"/>
      <c r="M893" s="63">
        <f t="shared" si="228"/>
        <v>0</v>
      </c>
      <c r="N893" s="63" t="s">
        <v>3198</v>
      </c>
      <c r="O893" s="64"/>
      <c r="P893" s="660" t="str">
        <f t="shared" si="237"/>
        <v/>
      </c>
      <c r="Q893" s="52" t="str">
        <f t="shared" si="229"/>
        <v>No</v>
      </c>
      <c r="R893" s="1574" t="str">
        <f t="shared" si="235"/>
        <v/>
      </c>
      <c r="S893" s="52" t="str">
        <f t="shared" si="232"/>
        <v/>
      </c>
      <c r="T893" s="52" t="str">
        <f t="shared" si="233"/>
        <v/>
      </c>
      <c r="U893" s="52" t="str">
        <f t="shared" si="230"/>
        <v/>
      </c>
      <c r="V893" s="52" t="str">
        <f t="shared" si="234"/>
        <v/>
      </c>
      <c r="W893" s="1578"/>
      <c r="X893" s="52" t="str">
        <f t="shared" si="225"/>
        <v/>
      </c>
      <c r="Y893" s="52" t="str">
        <f t="shared" si="231"/>
        <v/>
      </c>
      <c r="AA893" s="52" t="str">
        <f t="shared" si="239"/>
        <v/>
      </c>
    </row>
    <row r="894" spans="2:27" ht="26">
      <c r="B894" s="1532" t="str">
        <f t="shared" si="238"/>
        <v>Overclocked Troops</v>
      </c>
      <c r="C894" s="1795"/>
      <c r="D894" s="920"/>
      <c r="E894" s="61"/>
      <c r="F894" s="61" t="s">
        <v>3201</v>
      </c>
      <c r="G894" s="61"/>
      <c r="H894" s="61"/>
      <c r="I894" s="61"/>
      <c r="J894" s="1687" t="s">
        <v>5216</v>
      </c>
      <c r="K894" s="63" t="str">
        <f>IF(AND(Q893="Yes",L893&lt;&gt;""),"Yes","No")</f>
        <v>No</v>
      </c>
      <c r="L894" s="76"/>
      <c r="M894" s="63">
        <f t="shared" si="228"/>
        <v>0</v>
      </c>
      <c r="N894" s="63" t="s">
        <v>3202</v>
      </c>
      <c r="O894" s="64"/>
      <c r="P894" s="660" t="str">
        <f t="shared" si="237"/>
        <v/>
      </c>
      <c r="Q894" s="52" t="str">
        <f t="shared" si="229"/>
        <v>No</v>
      </c>
      <c r="R894" s="1574" t="str">
        <f t="shared" si="235"/>
        <v/>
      </c>
      <c r="S894" s="52" t="str">
        <f t="shared" si="232"/>
        <v/>
      </c>
      <c r="T894" s="52" t="str">
        <f t="shared" si="233"/>
        <v/>
      </c>
      <c r="U894" s="52" t="str">
        <f t="shared" si="230"/>
        <v/>
      </c>
      <c r="V894" s="52" t="str">
        <f t="shared" si="234"/>
        <v/>
      </c>
      <c r="W894" s="1578"/>
      <c r="X894" s="52" t="str">
        <f t="shared" si="225"/>
        <v/>
      </c>
      <c r="Y894" s="52" t="str">
        <f t="shared" si="231"/>
        <v/>
      </c>
      <c r="AA894" s="52" t="str">
        <f t="shared" si="239"/>
        <v/>
      </c>
    </row>
    <row r="895" spans="2:27">
      <c r="B895" s="1532" t="str">
        <f t="shared" si="238"/>
        <v>Reinforced Commands</v>
      </c>
      <c r="C895" s="1795"/>
      <c r="D895" s="920"/>
      <c r="E895" s="61"/>
      <c r="F895" s="61" t="s">
        <v>3203</v>
      </c>
      <c r="G895" s="61"/>
      <c r="H895" s="61"/>
      <c r="I895" s="61"/>
      <c r="J895" s="1687" t="s">
        <v>5217</v>
      </c>
      <c r="K895" s="63" t="str">
        <f>IF(AND(Q894="Yes",L892&lt;&gt;""),"Yes","No")</f>
        <v>No</v>
      </c>
      <c r="L895" s="76"/>
      <c r="M895" s="63">
        <f t="shared" si="228"/>
        <v>0</v>
      </c>
      <c r="N895" s="63" t="s">
        <v>3202</v>
      </c>
      <c r="O895" s="64"/>
      <c r="P895" s="660" t="str">
        <f t="shared" si="237"/>
        <v/>
      </c>
      <c r="Q895" s="52" t="str">
        <f t="shared" si="229"/>
        <v>No</v>
      </c>
      <c r="R895" s="1574" t="str">
        <f t="shared" si="235"/>
        <v/>
      </c>
      <c r="S895" s="52" t="str">
        <f t="shared" si="232"/>
        <v/>
      </c>
      <c r="T895" s="52" t="str">
        <f t="shared" si="233"/>
        <v/>
      </c>
      <c r="U895" s="52" t="str">
        <f t="shared" si="230"/>
        <v/>
      </c>
      <c r="V895" s="52" t="str">
        <f t="shared" si="234"/>
        <v/>
      </c>
      <c r="W895" s="1578"/>
      <c r="X895" s="52" t="str">
        <f t="shared" si="225"/>
        <v/>
      </c>
      <c r="Y895" s="52" t="str">
        <f t="shared" si="231"/>
        <v/>
      </c>
      <c r="AA895" s="52" t="str">
        <f t="shared" si="239"/>
        <v/>
      </c>
    </row>
    <row r="896" spans="2:27" ht="26">
      <c r="B896" s="1532" t="str">
        <f t="shared" si="238"/>
        <v>Expanded Sensors</v>
      </c>
      <c r="C896" s="1795"/>
      <c r="D896" s="920"/>
      <c r="E896" s="61" t="s">
        <v>3204</v>
      </c>
      <c r="F896" s="61"/>
      <c r="G896" s="61"/>
      <c r="H896" s="61"/>
      <c r="I896" s="61"/>
      <c r="J896" s="1687" t="s">
        <v>5218</v>
      </c>
      <c r="K896" s="63" t="str">
        <f t="shared" si="226"/>
        <v>No</v>
      </c>
      <c r="L896" s="76"/>
      <c r="M896" s="63">
        <f t="shared" si="228"/>
        <v>0</v>
      </c>
      <c r="N896" s="63" t="s">
        <v>3198</v>
      </c>
      <c r="O896" s="64"/>
      <c r="P896" s="660" t="str">
        <f t="shared" si="237"/>
        <v/>
      </c>
      <c r="Q896" s="52" t="str">
        <f t="shared" si="229"/>
        <v>No</v>
      </c>
      <c r="R896" s="1574" t="str">
        <f t="shared" si="235"/>
        <v/>
      </c>
      <c r="S896" s="52" t="str">
        <f t="shared" si="232"/>
        <v/>
      </c>
      <c r="T896" s="52" t="str">
        <f t="shared" si="233"/>
        <v/>
      </c>
      <c r="U896" s="52" t="str">
        <f t="shared" si="230"/>
        <v/>
      </c>
      <c r="V896" s="52" t="str">
        <f t="shared" si="234"/>
        <v/>
      </c>
      <c r="W896" s="1578"/>
      <c r="X896" s="52" t="str">
        <f t="shared" si="225"/>
        <v/>
      </c>
      <c r="Y896" s="52" t="str">
        <f t="shared" si="231"/>
        <v/>
      </c>
      <c r="AA896" s="52" t="str">
        <f t="shared" si="239"/>
        <v/>
      </c>
    </row>
    <row r="897" spans="2:27" ht="26">
      <c r="B897" s="1532" t="str">
        <f t="shared" si="238"/>
        <v>Inspire Competence</v>
      </c>
      <c r="C897" s="1795"/>
      <c r="D897" s="920"/>
      <c r="E897" s="61"/>
      <c r="F897" s="61" t="s">
        <v>3205</v>
      </c>
      <c r="G897" s="61"/>
      <c r="H897" s="61"/>
      <c r="I897" s="61"/>
      <c r="J897" s="1689" t="s">
        <v>5219</v>
      </c>
      <c r="K897" s="63" t="str">
        <f>IF(AND(Q896="Yes",L896&lt;&gt;""),"Yes","No")</f>
        <v>No</v>
      </c>
      <c r="L897" s="76"/>
      <c r="M897" s="63">
        <f t="shared" si="228"/>
        <v>0</v>
      </c>
      <c r="N897" s="63" t="s">
        <v>3202</v>
      </c>
      <c r="O897" s="64"/>
      <c r="P897" s="660" t="str">
        <f t="shared" si="237"/>
        <v/>
      </c>
      <c r="Q897" s="52" t="str">
        <f t="shared" si="229"/>
        <v>No</v>
      </c>
      <c r="R897" s="1574" t="str">
        <f t="shared" si="235"/>
        <v/>
      </c>
      <c r="S897" s="52" t="str">
        <f t="shared" si="232"/>
        <v/>
      </c>
      <c r="T897" s="52" t="str">
        <f t="shared" si="233"/>
        <v/>
      </c>
      <c r="U897" s="52" t="str">
        <f t="shared" si="230"/>
        <v/>
      </c>
      <c r="V897" s="52" t="str">
        <f t="shared" si="234"/>
        <v/>
      </c>
      <c r="W897" s="1578"/>
      <c r="X897" s="52" t="str">
        <f t="shared" ref="X897:X960" si="240">IF(U897&lt;&gt;"",IF(W897="Special Actions",U897&amp;IF(X898&lt;&gt;"",", ",""),"")&amp;X898,X898)</f>
        <v/>
      </c>
      <c r="Y897" s="52" t="str">
        <f t="shared" si="231"/>
        <v/>
      </c>
      <c r="AA897" s="52" t="str">
        <f t="shared" si="239"/>
        <v/>
      </c>
    </row>
    <row r="898" spans="2:27" ht="26">
      <c r="B898" s="1532" t="str">
        <f t="shared" si="238"/>
        <v>Maintain Focus</v>
      </c>
      <c r="C898" s="1795"/>
      <c r="D898" s="920"/>
      <c r="E898" s="61" t="s">
        <v>3206</v>
      </c>
      <c r="F898" s="61"/>
      <c r="G898" s="61"/>
      <c r="H898" s="61"/>
      <c r="I898" s="61"/>
      <c r="J898" s="1684" t="s">
        <v>5220</v>
      </c>
      <c r="K898" s="63" t="str">
        <f t="shared" si="226"/>
        <v>No</v>
      </c>
      <c r="L898" s="76"/>
      <c r="M898" s="63">
        <f t="shared" si="228"/>
        <v>0</v>
      </c>
      <c r="N898" s="63" t="s">
        <v>3202</v>
      </c>
      <c r="O898" s="64"/>
      <c r="P898" s="660" t="str">
        <f t="shared" si="237"/>
        <v/>
      </c>
      <c r="Q898" s="52" t="str">
        <f t="shared" si="229"/>
        <v>No</v>
      </c>
      <c r="R898" s="1574" t="str">
        <f t="shared" si="235"/>
        <v/>
      </c>
      <c r="S898" s="52" t="str">
        <f t="shared" si="232"/>
        <v/>
      </c>
      <c r="T898" s="52" t="str">
        <f t="shared" si="233"/>
        <v/>
      </c>
      <c r="U898" s="52" t="str">
        <f t="shared" si="230"/>
        <v/>
      </c>
      <c r="V898" s="52" t="str">
        <f t="shared" si="234"/>
        <v/>
      </c>
      <c r="W898" s="1578"/>
      <c r="X898" s="52" t="str">
        <f t="shared" si="240"/>
        <v/>
      </c>
      <c r="Y898" s="52" t="str">
        <f t="shared" si="231"/>
        <v/>
      </c>
      <c r="AA898" s="52" t="str">
        <f>IF(U898&lt;&gt;"",IF(Z898="Defenses",U898&amp;IF(AA899&lt;&gt;"",", ",""),"")&amp;AA899,AA899)</f>
        <v/>
      </c>
    </row>
    <row r="899" spans="2:27" ht="39">
      <c r="B899" s="1532" t="str">
        <f t="shared" si="238"/>
        <v>Directed Action</v>
      </c>
      <c r="C899" s="1795"/>
      <c r="D899" s="920" t="s">
        <v>3684</v>
      </c>
      <c r="E899" s="61" t="s">
        <v>7490</v>
      </c>
      <c r="F899" s="61"/>
      <c r="G899" s="61"/>
      <c r="H899" s="61"/>
      <c r="I899" s="61"/>
      <c r="J899" s="1690" t="s">
        <v>7491</v>
      </c>
      <c r="K899" s="63" t="str">
        <f t="shared" si="226"/>
        <v>No</v>
      </c>
      <c r="L899" s="76"/>
      <c r="M899" s="63">
        <f t="shared" si="228"/>
        <v>0</v>
      </c>
      <c r="N899" s="63" t="s">
        <v>7452</v>
      </c>
      <c r="O899" s="64"/>
      <c r="P899" s="660" t="str">
        <f t="shared" si="237"/>
        <v/>
      </c>
      <c r="Q899" s="52" t="str">
        <f t="shared" si="229"/>
        <v>No</v>
      </c>
      <c r="R899" s="1574" t="str">
        <f t="shared" si="235"/>
        <v/>
      </c>
      <c r="S899" s="52" t="str">
        <f t="shared" si="232"/>
        <v/>
      </c>
      <c r="T899" s="52" t="str">
        <f t="shared" si="233"/>
        <v/>
      </c>
      <c r="U899" s="52" t="str">
        <f t="shared" si="230"/>
        <v/>
      </c>
      <c r="V899" s="52" t="str">
        <f t="shared" si="234"/>
        <v/>
      </c>
      <c r="W899" s="1578"/>
      <c r="X899" s="52" t="str">
        <f t="shared" si="240"/>
        <v/>
      </c>
      <c r="Y899" s="52" t="str">
        <f t="shared" si="231"/>
        <v/>
      </c>
      <c r="AA899" s="52" t="str">
        <f>IF(U899&lt;&gt;"",IF(Z899="Defenses",U899&amp;IF(AA900&lt;&gt;"",", ",""),"")&amp;AA900,AA900)</f>
        <v/>
      </c>
    </row>
    <row r="900" spans="2:27" ht="39">
      <c r="B900" s="1532" t="str">
        <f t="shared" si="238"/>
        <v>Full Control</v>
      </c>
      <c r="C900" s="1795"/>
      <c r="D900" s="920"/>
      <c r="E900" s="61"/>
      <c r="F900" s="61" t="s">
        <v>7492</v>
      </c>
      <c r="G900" s="61"/>
      <c r="H900" s="61"/>
      <c r="I900" s="61"/>
      <c r="J900" s="1687" t="s">
        <v>7493</v>
      </c>
      <c r="K900" s="63" t="str">
        <f>IF(AND(Q900="Yes",M899&gt;0,M901&gt;0,M902&gt;0),"Yes","No")</f>
        <v>No</v>
      </c>
      <c r="L900" s="76"/>
      <c r="M900" s="63">
        <f t="shared" si="228"/>
        <v>0</v>
      </c>
      <c r="N900" s="63" t="s">
        <v>7452</v>
      </c>
      <c r="O900" s="64"/>
      <c r="P900" s="660" t="str">
        <f t="shared" si="237"/>
        <v/>
      </c>
      <c r="Q900" s="52" t="str">
        <f t="shared" si="229"/>
        <v>No</v>
      </c>
      <c r="R900" s="1574" t="str">
        <f t="shared" si="235"/>
        <v/>
      </c>
      <c r="S900" s="52" t="str">
        <f t="shared" si="232"/>
        <v/>
      </c>
      <c r="T900" s="52" t="str">
        <f t="shared" si="233"/>
        <v/>
      </c>
      <c r="U900" s="52" t="str">
        <f t="shared" si="230"/>
        <v/>
      </c>
      <c r="V900" s="52" t="str">
        <f t="shared" si="234"/>
        <v/>
      </c>
      <c r="W900" s="1578"/>
      <c r="X900" s="52" t="str">
        <f t="shared" si="240"/>
        <v/>
      </c>
      <c r="Y900" s="52" t="str">
        <f t="shared" si="231"/>
        <v/>
      </c>
      <c r="AA900" s="52" t="str">
        <f>IF(U900&lt;&gt;"",IF(Z900="Defenses",U900&amp;IF(AA901&lt;&gt;"",", ",""),"")&amp;AA901,AA901)</f>
        <v/>
      </c>
    </row>
    <row r="901" spans="2:27" ht="39">
      <c r="B901" s="1532" t="str">
        <f t="shared" si="238"/>
        <v>Directed Movement</v>
      </c>
      <c r="C901" s="1795"/>
      <c r="D901" s="920"/>
      <c r="E901" s="61" t="s">
        <v>7494</v>
      </c>
      <c r="F901" s="61"/>
      <c r="G901" s="61"/>
      <c r="H901" s="61"/>
      <c r="I901" s="61"/>
      <c r="J901" s="1687" t="s">
        <v>7495</v>
      </c>
      <c r="K901" s="63" t="str">
        <f t="shared" si="226"/>
        <v>No</v>
      </c>
      <c r="L901" s="76"/>
      <c r="M901" s="63">
        <f t="shared" si="228"/>
        <v>0</v>
      </c>
      <c r="N901" s="63" t="s">
        <v>7452</v>
      </c>
      <c r="O901" s="64"/>
      <c r="P901" s="660" t="str">
        <f t="shared" si="237"/>
        <v/>
      </c>
      <c r="Q901" s="52" t="str">
        <f t="shared" si="229"/>
        <v>No</v>
      </c>
      <c r="R901" s="1574" t="str">
        <f t="shared" si="235"/>
        <v/>
      </c>
      <c r="S901" s="52" t="str">
        <f t="shared" si="232"/>
        <v/>
      </c>
      <c r="T901" s="52" t="str">
        <f t="shared" si="233"/>
        <v/>
      </c>
      <c r="U901" s="52" t="str">
        <f t="shared" si="230"/>
        <v/>
      </c>
      <c r="V901" s="52" t="str">
        <f t="shared" si="234"/>
        <v/>
      </c>
      <c r="W901" s="1578"/>
      <c r="X901" s="52" t="str">
        <f t="shared" si="240"/>
        <v/>
      </c>
      <c r="Y901" s="52" t="str">
        <f t="shared" si="231"/>
        <v/>
      </c>
      <c r="AA901" s="52" t="str">
        <f>IF(U901&lt;&gt;"",IF(Z901="Defenses",U901&amp;IF(AA902&lt;&gt;"",", ",""),"")&amp;AA902,AA902)</f>
        <v/>
      </c>
    </row>
    <row r="902" spans="2:27" ht="26">
      <c r="B902" s="1532" t="str">
        <f t="shared" si="238"/>
        <v>Remote Attack</v>
      </c>
      <c r="C902" s="1796"/>
      <c r="D902" s="920"/>
      <c r="E902" s="61" t="s">
        <v>7496</v>
      </c>
      <c r="F902" s="61"/>
      <c r="G902" s="61"/>
      <c r="H902" s="61"/>
      <c r="I902" s="61"/>
      <c r="J902" s="1691" t="s">
        <v>7497</v>
      </c>
      <c r="K902" s="928" t="str">
        <f t="shared" si="226"/>
        <v>No</v>
      </c>
      <c r="L902" s="929"/>
      <c r="M902" s="928">
        <f t="shared" si="228"/>
        <v>0</v>
      </c>
      <c r="N902" s="63" t="s">
        <v>7452</v>
      </c>
      <c r="O902" s="64"/>
      <c r="P902" s="660" t="str">
        <f t="shared" si="237"/>
        <v/>
      </c>
      <c r="Q902" s="52" t="str">
        <f t="shared" si="229"/>
        <v>No</v>
      </c>
      <c r="R902" s="1574" t="str">
        <f t="shared" si="235"/>
        <v/>
      </c>
      <c r="S902" s="52" t="str">
        <f t="shared" si="232"/>
        <v/>
      </c>
      <c r="T902" s="52" t="str">
        <f t="shared" si="233"/>
        <v/>
      </c>
      <c r="U902" s="52" t="str">
        <f t="shared" si="230"/>
        <v/>
      </c>
      <c r="V902" s="52" t="str">
        <f t="shared" si="234"/>
        <v/>
      </c>
      <c r="W902" s="1578"/>
      <c r="X902" s="52" t="str">
        <f t="shared" si="240"/>
        <v/>
      </c>
      <c r="Y902" s="52" t="str">
        <f t="shared" si="231"/>
        <v/>
      </c>
      <c r="AA902" s="52" t="str">
        <f>IF(U902&lt;&gt;"",IF(Z902="Defenses",U902&amp;IF(AA903&lt;&gt;"",", ",""),"")&amp;AA903,AA903)</f>
        <v/>
      </c>
    </row>
    <row r="903" spans="2:27" ht="15" customHeight="1">
      <c r="B903" s="1532" t="str">
        <f t="shared" si="238"/>
        <v>Extended Critical Range (heavy weapons)</v>
      </c>
      <c r="C903" s="1794" t="s">
        <v>520</v>
      </c>
      <c r="D903" s="922" t="s">
        <v>3207</v>
      </c>
      <c r="E903" s="923" t="s">
        <v>3208</v>
      </c>
      <c r="F903" s="923"/>
      <c r="G903" s="923"/>
      <c r="H903" s="923"/>
      <c r="I903" s="923"/>
      <c r="J903" s="1690" t="s">
        <v>5221</v>
      </c>
      <c r="K903" s="63" t="str">
        <f t="shared" si="226"/>
        <v>No</v>
      </c>
      <c r="L903" s="76"/>
      <c r="M903" s="63">
        <f t="shared" si="228"/>
        <v>0</v>
      </c>
      <c r="N903" s="924" t="s">
        <v>3134</v>
      </c>
      <c r="O903" s="64"/>
      <c r="P903" s="660" t="str">
        <f t="shared" si="237"/>
        <v/>
      </c>
      <c r="Q903" s="52" t="str">
        <f>IF(OR(AD45&gt;0,AD16&gt;0),"Yes","No")</f>
        <v>No</v>
      </c>
      <c r="R903" s="1574" t="str">
        <f t="shared" si="235"/>
        <v/>
      </c>
      <c r="S903" s="52" t="str">
        <f t="shared" si="232"/>
        <v/>
      </c>
      <c r="T903" s="52" t="str">
        <f t="shared" si="233"/>
        <v/>
      </c>
      <c r="U903" s="52" t="str">
        <f t="shared" si="230"/>
        <v/>
      </c>
      <c r="V903" s="52" t="str">
        <f t="shared" si="234"/>
        <v/>
      </c>
      <c r="W903" s="1578"/>
      <c r="X903" s="52" t="str">
        <f t="shared" si="240"/>
        <v/>
      </c>
      <c r="Y903" s="52" t="str">
        <f t="shared" si="231"/>
        <v/>
      </c>
      <c r="AA903" s="52" t="str">
        <f t="shared" si="239"/>
        <v/>
      </c>
    </row>
    <row r="904" spans="2:27">
      <c r="B904" s="1532" t="str">
        <f t="shared" si="238"/>
        <v>Extended Critical Range (rifles)</v>
      </c>
      <c r="C904" s="1795"/>
      <c r="D904" s="920"/>
      <c r="E904" s="61" t="s">
        <v>3209</v>
      </c>
      <c r="F904" s="61"/>
      <c r="G904" s="61"/>
      <c r="H904" s="61"/>
      <c r="I904" s="61"/>
      <c r="J904" s="1687" t="s">
        <v>5222</v>
      </c>
      <c r="K904" s="63" t="str">
        <f t="shared" si="226"/>
        <v>No</v>
      </c>
      <c r="L904" s="76"/>
      <c r="M904" s="63">
        <f t="shared" si="228"/>
        <v>0</v>
      </c>
      <c r="N904" s="63" t="s">
        <v>3134</v>
      </c>
      <c r="O904" s="64"/>
      <c r="P904" s="660" t="str">
        <f t="shared" si="237"/>
        <v/>
      </c>
      <c r="Q904" s="52" t="str">
        <f t="shared" si="229"/>
        <v>No</v>
      </c>
      <c r="R904" s="1574" t="str">
        <f t="shared" si="235"/>
        <v/>
      </c>
      <c r="S904" s="52" t="str">
        <f t="shared" si="232"/>
        <v/>
      </c>
      <c r="T904" s="52" t="str">
        <f t="shared" si="233"/>
        <v/>
      </c>
      <c r="U904" s="52" t="str">
        <f t="shared" si="230"/>
        <v/>
      </c>
      <c r="V904" s="52" t="str">
        <f t="shared" si="234"/>
        <v/>
      </c>
      <c r="W904" s="1578"/>
      <c r="X904" s="52" t="str">
        <f t="shared" si="240"/>
        <v/>
      </c>
      <c r="Y904" s="52" t="str">
        <f t="shared" si="231"/>
        <v/>
      </c>
      <c r="AA904" s="52" t="str">
        <f>IF(U904&lt;&gt;"",IF(Z904="Defenses",U904&amp;IF(AA906&lt;&gt;"",", ",""),"")&amp;AA906,AA906)</f>
        <v/>
      </c>
    </row>
    <row r="905" spans="2:27">
      <c r="B905" s="1575"/>
      <c r="C905" s="1795"/>
      <c r="D905" s="920"/>
      <c r="E905" s="61" t="s">
        <v>8337</v>
      </c>
      <c r="F905" s="61"/>
      <c r="G905" s="61"/>
      <c r="H905" s="61"/>
      <c r="I905" s="61"/>
      <c r="J905" s="1687" t="s">
        <v>8338</v>
      </c>
      <c r="K905" s="63" t="str">
        <f t="shared" si="226"/>
        <v>No</v>
      </c>
      <c r="L905" s="76"/>
      <c r="M905" s="63">
        <f t="shared" si="228"/>
        <v>0</v>
      </c>
      <c r="N905" s="63" t="s">
        <v>8339</v>
      </c>
      <c r="O905" s="64"/>
      <c r="P905" s="660" t="str">
        <f t="shared" si="237"/>
        <v/>
      </c>
      <c r="Q905" s="52" t="str">
        <f t="shared" si="229"/>
        <v>No</v>
      </c>
      <c r="R905" s="1574" t="str">
        <f t="shared" si="235"/>
        <v/>
      </c>
      <c r="S905" s="52" t="str">
        <f t="shared" si="232"/>
        <v/>
      </c>
      <c r="T905" s="52" t="str">
        <f t="shared" si="233"/>
        <v/>
      </c>
      <c r="U905" s="52" t="str">
        <f t="shared" si="230"/>
        <v/>
      </c>
      <c r="V905" s="52" t="str">
        <f t="shared" si="234"/>
        <v/>
      </c>
      <c r="W905" s="1578"/>
      <c r="X905" s="52" t="str">
        <f t="shared" si="240"/>
        <v/>
      </c>
      <c r="Y905" s="52" t="str">
        <f t="shared" si="231"/>
        <v/>
      </c>
    </row>
    <row r="906" spans="2:27" ht="39">
      <c r="B906" s="1532" t="str">
        <f t="shared" ref="B906:B946" si="241">IF(E906&lt;&gt;"",E906,IF(F906&lt;&gt;"",F906,IF(G906&lt;&gt;"",G906,IF(H906&lt;&gt;"",H906))))</f>
        <v>Flurry Attack</v>
      </c>
      <c r="C906" s="1795"/>
      <c r="D906" s="920"/>
      <c r="E906" s="61" t="s">
        <v>3210</v>
      </c>
      <c r="F906" s="61"/>
      <c r="G906" s="61"/>
      <c r="H906" s="61"/>
      <c r="I906" s="61"/>
      <c r="J906" s="1687" t="s">
        <v>6601</v>
      </c>
      <c r="K906" s="63" t="str">
        <f t="shared" si="226"/>
        <v>No</v>
      </c>
      <c r="L906" s="76"/>
      <c r="M906" s="63">
        <f>IF(L906&lt;&gt;"",L906,0)</f>
        <v>0</v>
      </c>
      <c r="N906" s="63" t="s">
        <v>3134</v>
      </c>
      <c r="O906" s="64"/>
      <c r="P906" s="660" t="str">
        <f t="shared" si="237"/>
        <v/>
      </c>
      <c r="Q906" s="52" t="str">
        <f>Q904</f>
        <v>No</v>
      </c>
      <c r="R906" s="1574" t="str">
        <f t="shared" si="235"/>
        <v/>
      </c>
      <c r="S906" s="52" t="str">
        <f t="shared" si="232"/>
        <v/>
      </c>
      <c r="T906" s="52" t="str">
        <f t="shared" si="233"/>
        <v/>
      </c>
      <c r="U906" s="52" t="str">
        <f t="shared" si="230"/>
        <v/>
      </c>
      <c r="V906" s="52" t="str">
        <f t="shared" si="234"/>
        <v/>
      </c>
      <c r="W906" s="1578"/>
      <c r="X906" s="52" t="str">
        <f t="shared" si="240"/>
        <v/>
      </c>
      <c r="Y906" s="52" t="str">
        <f t="shared" si="231"/>
        <v/>
      </c>
      <c r="AA906" s="52" t="str">
        <f t="shared" si="239"/>
        <v/>
      </c>
    </row>
    <row r="907" spans="2:27">
      <c r="B907" s="1532" t="str">
        <f t="shared" si="241"/>
        <v>Knockback</v>
      </c>
      <c r="C907" s="1795"/>
      <c r="D907" s="920"/>
      <c r="E907" s="61" t="s">
        <v>3211</v>
      </c>
      <c r="F907" s="61"/>
      <c r="G907" s="61"/>
      <c r="H907" s="61"/>
      <c r="I907" s="61"/>
      <c r="J907" s="1687" t="s">
        <v>5223</v>
      </c>
      <c r="K907" s="63" t="str">
        <f t="shared" si="226"/>
        <v>No</v>
      </c>
      <c r="L907" s="76"/>
      <c r="M907" s="63">
        <f t="shared" si="228"/>
        <v>0</v>
      </c>
      <c r="N907" s="63" t="s">
        <v>3134</v>
      </c>
      <c r="O907" s="64"/>
      <c r="P907" s="660" t="str">
        <f t="shared" si="237"/>
        <v/>
      </c>
      <c r="Q907" s="52" t="str">
        <f t="shared" si="229"/>
        <v>No</v>
      </c>
      <c r="R907" s="1574" t="str">
        <f t="shared" si="235"/>
        <v/>
      </c>
      <c r="S907" s="52" t="str">
        <f t="shared" si="232"/>
        <v/>
      </c>
      <c r="T907" s="52" t="str">
        <f t="shared" si="233"/>
        <v/>
      </c>
      <c r="U907" s="52" t="str">
        <f t="shared" si="230"/>
        <v/>
      </c>
      <c r="V907" s="52" t="str">
        <f t="shared" si="234"/>
        <v/>
      </c>
      <c r="W907" s="1578"/>
      <c r="X907" s="52" t="str">
        <f t="shared" si="240"/>
        <v/>
      </c>
      <c r="Y907" s="52" t="str">
        <f t="shared" si="231"/>
        <v/>
      </c>
      <c r="AA907" s="52" t="str">
        <f t="shared" si="239"/>
        <v/>
      </c>
    </row>
    <row r="908" spans="2:27" ht="26">
      <c r="B908" s="1532" t="str">
        <f t="shared" si="241"/>
        <v>Reduce Defense</v>
      </c>
      <c r="C908" s="1795"/>
      <c r="D908" s="920"/>
      <c r="E908" s="61" t="s">
        <v>3212</v>
      </c>
      <c r="F908" s="61"/>
      <c r="G908" s="61"/>
      <c r="H908" s="61"/>
      <c r="I908" s="61"/>
      <c r="J908" s="1687" t="s">
        <v>5224</v>
      </c>
      <c r="K908" s="63" t="str">
        <f t="shared" si="226"/>
        <v>No</v>
      </c>
      <c r="L908" s="76"/>
      <c r="M908" s="63">
        <f t="shared" si="228"/>
        <v>0</v>
      </c>
      <c r="N908" s="63" t="s">
        <v>3134</v>
      </c>
      <c r="O908" s="64"/>
      <c r="P908" s="660" t="str">
        <f t="shared" si="237"/>
        <v/>
      </c>
      <c r="Q908" s="52" t="str">
        <f t="shared" si="229"/>
        <v>No</v>
      </c>
      <c r="R908" s="1574" t="str">
        <f t="shared" si="235"/>
        <v/>
      </c>
      <c r="S908" s="52" t="str">
        <f t="shared" si="232"/>
        <v/>
      </c>
      <c r="T908" s="52" t="str">
        <f t="shared" si="233"/>
        <v/>
      </c>
      <c r="U908" s="52" t="str">
        <f t="shared" si="230"/>
        <v/>
      </c>
      <c r="V908" s="52" t="str">
        <f t="shared" si="234"/>
        <v/>
      </c>
      <c r="W908" s="1578"/>
      <c r="X908" s="52" t="str">
        <f t="shared" si="240"/>
        <v/>
      </c>
      <c r="Y908" s="52" t="str">
        <f t="shared" si="231"/>
        <v/>
      </c>
      <c r="AA908" s="52" t="str">
        <f t="shared" si="239"/>
        <v/>
      </c>
    </row>
    <row r="909" spans="2:27">
      <c r="B909" s="1532" t="str">
        <f t="shared" si="241"/>
        <v>Reduce Mobility</v>
      </c>
      <c r="C909" s="1795"/>
      <c r="D909" s="920"/>
      <c r="E909" s="61" t="s">
        <v>3213</v>
      </c>
      <c r="F909" s="61"/>
      <c r="G909" s="61"/>
      <c r="H909" s="61"/>
      <c r="I909" s="61"/>
      <c r="J909" s="1687" t="s">
        <v>5225</v>
      </c>
      <c r="K909" s="63" t="str">
        <f t="shared" si="226"/>
        <v>No</v>
      </c>
      <c r="L909" s="76"/>
      <c r="M909" s="63">
        <f t="shared" si="228"/>
        <v>0</v>
      </c>
      <c r="N909" s="63" t="s">
        <v>3134</v>
      </c>
      <c r="O909" s="64"/>
      <c r="P909" s="660" t="str">
        <f t="shared" si="237"/>
        <v/>
      </c>
      <c r="Q909" s="52" t="str">
        <f t="shared" si="229"/>
        <v>No</v>
      </c>
      <c r="R909" s="1574" t="str">
        <f t="shared" si="235"/>
        <v/>
      </c>
      <c r="S909" s="52" t="str">
        <f t="shared" si="232"/>
        <v/>
      </c>
      <c r="T909" s="52" t="str">
        <f t="shared" si="233"/>
        <v/>
      </c>
      <c r="U909" s="52" t="str">
        <f t="shared" si="230"/>
        <v/>
      </c>
      <c r="V909" s="52" t="str">
        <f t="shared" si="234"/>
        <v/>
      </c>
      <c r="W909" s="1578"/>
      <c r="X909" s="52" t="str">
        <f t="shared" si="240"/>
        <v/>
      </c>
      <c r="Y909" s="52" t="str">
        <f t="shared" si="231"/>
        <v/>
      </c>
      <c r="AA909" s="52" t="str">
        <f t="shared" si="239"/>
        <v/>
      </c>
    </row>
    <row r="910" spans="2:27">
      <c r="B910" s="1532" t="str">
        <f t="shared" si="241"/>
        <v>Deny Move</v>
      </c>
      <c r="C910" s="1795"/>
      <c r="D910" s="920"/>
      <c r="E910" s="61"/>
      <c r="F910" s="61" t="s">
        <v>3214</v>
      </c>
      <c r="G910" s="61"/>
      <c r="H910" s="61"/>
      <c r="I910" s="61"/>
      <c r="J910" s="1687" t="s">
        <v>5226</v>
      </c>
      <c r="K910" s="63" t="str">
        <f>IF(AND(Q909="Yes",L909&lt;&gt;""),"Yes","No")</f>
        <v>No</v>
      </c>
      <c r="L910" s="76"/>
      <c r="M910" s="63">
        <f t="shared" si="228"/>
        <v>0</v>
      </c>
      <c r="N910" s="63" t="s">
        <v>3134</v>
      </c>
      <c r="O910" s="64"/>
      <c r="P910" s="660" t="str">
        <f t="shared" si="237"/>
        <v/>
      </c>
      <c r="Q910" s="52" t="str">
        <f t="shared" si="229"/>
        <v>No</v>
      </c>
      <c r="R910" s="1574" t="str">
        <f t="shared" si="235"/>
        <v/>
      </c>
      <c r="S910" s="52" t="str">
        <f t="shared" si="232"/>
        <v/>
      </c>
      <c r="T910" s="52" t="str">
        <f t="shared" si="233"/>
        <v/>
      </c>
      <c r="U910" s="52" t="str">
        <f t="shared" si="230"/>
        <v/>
      </c>
      <c r="V910" s="52" t="str">
        <f t="shared" si="234"/>
        <v/>
      </c>
      <c r="W910" s="1578"/>
      <c r="X910" s="52" t="str">
        <f t="shared" si="240"/>
        <v/>
      </c>
      <c r="Y910" s="52" t="str">
        <f t="shared" si="231"/>
        <v/>
      </c>
      <c r="AA910" s="52" t="str">
        <f t="shared" si="239"/>
        <v/>
      </c>
    </row>
    <row r="911" spans="2:27">
      <c r="B911" s="1532" t="str">
        <f t="shared" si="241"/>
        <v>Mandalorian Advance</v>
      </c>
      <c r="C911" s="1795"/>
      <c r="D911" s="920" t="s">
        <v>3215</v>
      </c>
      <c r="E911" s="61" t="s">
        <v>3216</v>
      </c>
      <c r="F911" s="61"/>
      <c r="G911" s="61"/>
      <c r="H911" s="61"/>
      <c r="I911" s="61"/>
      <c r="J911" s="1687" t="s">
        <v>5227</v>
      </c>
      <c r="K911" s="63" t="str">
        <f>IF(Q911="Yes","Yes","No")</f>
        <v>No</v>
      </c>
      <c r="L911" s="76"/>
      <c r="M911" s="63">
        <f t="shared" si="228"/>
        <v>0</v>
      </c>
      <c r="N911" s="63" t="s">
        <v>3217</v>
      </c>
      <c r="O911" s="64"/>
      <c r="P911" s="660" t="str">
        <f t="shared" si="237"/>
        <v/>
      </c>
      <c r="Q911" s="52" t="str">
        <f t="shared" si="229"/>
        <v>No</v>
      </c>
      <c r="R911" s="1574" t="str">
        <f t="shared" si="235"/>
        <v/>
      </c>
      <c r="S911" s="52" t="str">
        <f t="shared" si="232"/>
        <v/>
      </c>
      <c r="T911" s="52" t="str">
        <f t="shared" si="233"/>
        <v/>
      </c>
      <c r="U911" s="52" t="str">
        <f t="shared" si="230"/>
        <v/>
      </c>
      <c r="V911" s="52" t="str">
        <f t="shared" si="234"/>
        <v/>
      </c>
      <c r="W911" s="1578"/>
      <c r="X911" s="52" t="str">
        <f t="shared" si="240"/>
        <v/>
      </c>
      <c r="Y911" s="52" t="str">
        <f t="shared" si="231"/>
        <v/>
      </c>
      <c r="AA911" s="52" t="str">
        <f t="shared" si="239"/>
        <v/>
      </c>
    </row>
    <row r="912" spans="2:27" ht="39">
      <c r="B912" s="1532" t="str">
        <f t="shared" si="241"/>
        <v>Mandalorian Ferocity</v>
      </c>
      <c r="C912" s="1795"/>
      <c r="D912" s="920"/>
      <c r="E912" s="61" t="s">
        <v>3218</v>
      </c>
      <c r="F912" s="61"/>
      <c r="G912" s="61"/>
      <c r="H912" s="61"/>
      <c r="I912" s="61"/>
      <c r="J912" s="1687" t="s">
        <v>5228</v>
      </c>
      <c r="K912" s="63" t="str">
        <f>IF(Q912="Yes","Yes","No")</f>
        <v>No</v>
      </c>
      <c r="L912" s="76"/>
      <c r="M912" s="63">
        <f>IF(L912&lt;&gt;"",L912,0)</f>
        <v>0</v>
      </c>
      <c r="N912" s="63" t="s">
        <v>3217</v>
      </c>
      <c r="O912" s="64"/>
      <c r="P912" s="660" t="str">
        <f t="shared" si="237"/>
        <v/>
      </c>
      <c r="Q912" s="52" t="str">
        <f t="shared" si="229"/>
        <v>No</v>
      </c>
      <c r="R912" s="1574" t="str">
        <f t="shared" si="235"/>
        <v/>
      </c>
      <c r="S912" s="52" t="str">
        <f t="shared" si="232"/>
        <v/>
      </c>
      <c r="T912" s="52" t="str">
        <f t="shared" si="233"/>
        <v/>
      </c>
      <c r="U912" s="52" t="str">
        <f t="shared" ref="U912:U975" si="242">IF(L912&lt;&gt;"",IF(ISNUMBER(L912),"",E912&amp;F912&amp;G912),"")</f>
        <v/>
      </c>
      <c r="V912" s="52" t="str">
        <f t="shared" si="234"/>
        <v/>
      </c>
      <c r="W912" s="1578"/>
      <c r="X912" s="52" t="str">
        <f t="shared" si="240"/>
        <v/>
      </c>
      <c r="Y912" s="52" t="str">
        <f t="shared" si="231"/>
        <v/>
      </c>
      <c r="AA912" s="52" t="str">
        <f t="shared" si="239"/>
        <v/>
      </c>
    </row>
    <row r="913" spans="2:27">
      <c r="B913" s="1532" t="str">
        <f t="shared" si="241"/>
        <v>Mandalorian Glory</v>
      </c>
      <c r="C913" s="1795"/>
      <c r="D913" s="920"/>
      <c r="E913" s="61" t="s">
        <v>3219</v>
      </c>
      <c r="F913" s="61"/>
      <c r="G913" s="61"/>
      <c r="H913" s="61"/>
      <c r="I913" s="61"/>
      <c r="J913" s="1687" t="s">
        <v>5229</v>
      </c>
      <c r="K913" s="63" t="str">
        <f>IF(Q913="Yes","Yes","No")</f>
        <v>No</v>
      </c>
      <c r="L913" s="76"/>
      <c r="M913" s="63">
        <f t="shared" si="228"/>
        <v>0</v>
      </c>
      <c r="N913" s="63" t="s">
        <v>3217</v>
      </c>
      <c r="O913" s="64"/>
      <c r="P913" s="660" t="str">
        <f t="shared" si="237"/>
        <v/>
      </c>
      <c r="Q913" s="52" t="str">
        <f t="shared" si="229"/>
        <v>No</v>
      </c>
      <c r="R913" s="1574" t="str">
        <f t="shared" si="235"/>
        <v/>
      </c>
      <c r="S913" s="52" t="str">
        <f t="shared" si="232"/>
        <v/>
      </c>
      <c r="T913" s="52" t="str">
        <f t="shared" si="233"/>
        <v/>
      </c>
      <c r="U913" s="52" t="str">
        <f t="shared" si="242"/>
        <v/>
      </c>
      <c r="V913" s="52" t="str">
        <f t="shared" si="234"/>
        <v/>
      </c>
      <c r="W913" s="1578"/>
      <c r="X913" s="52" t="str">
        <f t="shared" si="240"/>
        <v/>
      </c>
      <c r="Y913" s="52" t="str">
        <f t="shared" si="231"/>
        <v/>
      </c>
      <c r="AA913" s="52" t="str">
        <f t="shared" si="239"/>
        <v/>
      </c>
    </row>
    <row r="914" spans="2:27" ht="26">
      <c r="B914" s="1532" t="str">
        <f t="shared" si="241"/>
        <v>Armored Mandalorian</v>
      </c>
      <c r="C914" s="1795"/>
      <c r="D914" s="920"/>
      <c r="E914" s="61"/>
      <c r="F914" s="61" t="s">
        <v>3220</v>
      </c>
      <c r="G914" s="61"/>
      <c r="H914" s="61"/>
      <c r="I914" s="61"/>
      <c r="J914" s="1687" t="s">
        <v>5230</v>
      </c>
      <c r="K914" s="63" t="str">
        <f>IF(AND(Q913="Yes",L913&lt;&gt;""),"Yes","No")</f>
        <v>No</v>
      </c>
      <c r="L914" s="76"/>
      <c r="M914" s="63">
        <f t="shared" si="228"/>
        <v>0</v>
      </c>
      <c r="N914" s="63" t="s">
        <v>3217</v>
      </c>
      <c r="O914" s="64"/>
      <c r="P914" s="660" t="str">
        <f t="shared" si="237"/>
        <v/>
      </c>
      <c r="Q914" s="52" t="str">
        <f t="shared" si="229"/>
        <v>No</v>
      </c>
      <c r="R914" s="1574" t="str">
        <f t="shared" si="235"/>
        <v/>
      </c>
      <c r="S914" s="52" t="str">
        <f t="shared" si="232"/>
        <v/>
      </c>
      <c r="T914" s="52" t="str">
        <f t="shared" si="233"/>
        <v/>
      </c>
      <c r="U914" s="52" t="str">
        <f t="shared" si="242"/>
        <v/>
      </c>
      <c r="V914" s="52" t="str">
        <f t="shared" si="234"/>
        <v/>
      </c>
      <c r="W914" s="1578"/>
      <c r="X914" s="52" t="str">
        <f t="shared" si="240"/>
        <v/>
      </c>
      <c r="Y914" s="52" t="str">
        <f t="shared" si="231"/>
        <v/>
      </c>
      <c r="AA914" s="52" t="str">
        <f t="shared" si="239"/>
        <v/>
      </c>
    </row>
    <row r="915" spans="2:27">
      <c r="B915" s="1532" t="str">
        <f t="shared" si="241"/>
        <v>Teräs Käsi Basics</v>
      </c>
      <c r="C915" s="1795"/>
      <c r="D915" s="920" t="s">
        <v>3221</v>
      </c>
      <c r="E915" s="61" t="s">
        <v>3222</v>
      </c>
      <c r="F915" s="61"/>
      <c r="G915" s="61"/>
      <c r="H915" s="61"/>
      <c r="I915" s="61"/>
      <c r="J915" s="1687" t="s">
        <v>5231</v>
      </c>
      <c r="K915" s="63" t="str">
        <f>IF(Q915="Yes","Yes","No")</f>
        <v>No</v>
      </c>
      <c r="L915" s="76"/>
      <c r="M915" s="63">
        <f t="shared" si="228"/>
        <v>0</v>
      </c>
      <c r="N915" s="63" t="s">
        <v>3223</v>
      </c>
      <c r="O915" s="64"/>
      <c r="P915" s="660" t="str">
        <f t="shared" si="237"/>
        <v/>
      </c>
      <c r="Q915" s="52" t="str">
        <f>IF(OR(AD45&gt;0,AD46&gt;0),"Yes","No")</f>
        <v>No</v>
      </c>
      <c r="R915" s="1574" t="str">
        <f t="shared" si="235"/>
        <v/>
      </c>
      <c r="S915" s="52" t="str">
        <f t="shared" si="232"/>
        <v/>
      </c>
      <c r="T915" s="52" t="str">
        <f t="shared" si="233"/>
        <v/>
      </c>
      <c r="U915" s="52" t="str">
        <f t="shared" si="242"/>
        <v/>
      </c>
      <c r="V915" s="52" t="str">
        <f t="shared" si="234"/>
        <v/>
      </c>
      <c r="W915" s="1578"/>
      <c r="X915" s="52" t="str">
        <f t="shared" si="240"/>
        <v/>
      </c>
      <c r="Y915" s="52" t="str">
        <f t="shared" si="231"/>
        <v/>
      </c>
      <c r="AA915" s="52" t="str">
        <f t="shared" si="239"/>
        <v/>
      </c>
    </row>
    <row r="916" spans="2:27">
      <c r="B916" s="1532" t="str">
        <f t="shared" si="241"/>
        <v>Ignore Damage Reduction</v>
      </c>
      <c r="C916" s="1795"/>
      <c r="D916" s="920"/>
      <c r="E916" s="61"/>
      <c r="F916" s="61" t="s">
        <v>3224</v>
      </c>
      <c r="G916" s="61"/>
      <c r="H916" s="61"/>
      <c r="I916" s="61"/>
      <c r="J916" s="1687" t="s">
        <v>5232</v>
      </c>
      <c r="K916" s="63" t="str">
        <f>IF(AND(Q915="Yes",L915&lt;&gt;""),"Yes","No")</f>
        <v>No</v>
      </c>
      <c r="L916" s="76"/>
      <c r="M916" s="63">
        <f t="shared" si="228"/>
        <v>0</v>
      </c>
      <c r="N916" s="63" t="s">
        <v>3223</v>
      </c>
      <c r="O916" s="64"/>
      <c r="P916" s="660" t="str">
        <f t="shared" si="237"/>
        <v/>
      </c>
      <c r="Q916" s="52" t="str">
        <f t="shared" si="229"/>
        <v>No</v>
      </c>
      <c r="R916" s="1574" t="str">
        <f t="shared" si="235"/>
        <v/>
      </c>
      <c r="S916" s="52" t="str">
        <f t="shared" si="232"/>
        <v/>
      </c>
      <c r="T916" s="52" t="str">
        <f t="shared" si="233"/>
        <v/>
      </c>
      <c r="U916" s="52" t="str">
        <f t="shared" si="242"/>
        <v/>
      </c>
      <c r="V916" s="52" t="str">
        <f t="shared" si="234"/>
        <v/>
      </c>
      <c r="W916" s="1578"/>
      <c r="X916" s="52" t="str">
        <f t="shared" si="240"/>
        <v/>
      </c>
      <c r="Y916" s="52" t="str">
        <f t="shared" si="231"/>
        <v/>
      </c>
      <c r="AA916" s="52" t="str">
        <f t="shared" si="239"/>
        <v/>
      </c>
    </row>
    <row r="917" spans="2:27">
      <c r="B917" s="1532" t="str">
        <f t="shared" si="241"/>
        <v>Teräs Käsi Mastery</v>
      </c>
      <c r="C917" s="1795"/>
      <c r="D917" s="920"/>
      <c r="E917" s="61"/>
      <c r="F917" s="61" t="s">
        <v>3225</v>
      </c>
      <c r="G917" s="61"/>
      <c r="H917" s="61"/>
      <c r="I917" s="61"/>
      <c r="J917" s="1687" t="s">
        <v>5233</v>
      </c>
      <c r="K917" s="63" t="str">
        <f>IF(AND(Q916="Yes",L916&lt;&gt;""),"Yes","No")</f>
        <v>No</v>
      </c>
      <c r="L917" s="76"/>
      <c r="M917" s="63">
        <f t="shared" ref="M917:M1009" si="243">IF(L917&lt;&gt;"",1,0)</f>
        <v>0</v>
      </c>
      <c r="N917" s="63" t="s">
        <v>3223</v>
      </c>
      <c r="O917" s="64"/>
      <c r="P917" s="660" t="str">
        <f t="shared" si="237"/>
        <v/>
      </c>
      <c r="Q917" s="52" t="str">
        <f t="shared" ref="Q917:Q1009" si="244">Q916</f>
        <v>No</v>
      </c>
      <c r="R917" s="1574" t="str">
        <f t="shared" si="235"/>
        <v/>
      </c>
      <c r="S917" s="52" t="str">
        <f t="shared" si="232"/>
        <v/>
      </c>
      <c r="T917" s="52" t="str">
        <f t="shared" si="233"/>
        <v/>
      </c>
      <c r="U917" s="52" t="str">
        <f t="shared" si="242"/>
        <v/>
      </c>
      <c r="V917" s="52" t="str">
        <f t="shared" si="234"/>
        <v/>
      </c>
      <c r="W917" s="1578"/>
      <c r="X917" s="52" t="str">
        <f t="shared" si="240"/>
        <v/>
      </c>
      <c r="Y917" s="52" t="str">
        <f t="shared" si="231"/>
        <v/>
      </c>
      <c r="AA917" s="52" t="str">
        <f t="shared" si="239"/>
        <v/>
      </c>
    </row>
    <row r="918" spans="2:27" ht="26">
      <c r="B918" s="1532" t="str">
        <f t="shared" si="241"/>
        <v>Unarmed Parry</v>
      </c>
      <c r="C918" s="1795"/>
      <c r="D918" s="920"/>
      <c r="E918" s="61"/>
      <c r="F918" s="61" t="s">
        <v>3226</v>
      </c>
      <c r="G918" s="61"/>
      <c r="H918" s="61"/>
      <c r="I918" s="61"/>
      <c r="J918" s="1687" t="s">
        <v>5234</v>
      </c>
      <c r="K918" s="63" t="str">
        <f>IF(AND(Q917="Yes",L915&lt;&gt;""),"Yes","No")</f>
        <v>No</v>
      </c>
      <c r="L918" s="76"/>
      <c r="M918" s="63">
        <f t="shared" si="243"/>
        <v>0</v>
      </c>
      <c r="N918" s="63" t="s">
        <v>3223</v>
      </c>
      <c r="O918" s="64"/>
      <c r="P918" s="660" t="str">
        <f t="shared" si="237"/>
        <v/>
      </c>
      <c r="Q918" s="52" t="str">
        <f t="shared" si="244"/>
        <v>No</v>
      </c>
      <c r="R918" s="1574" t="str">
        <f t="shared" si="235"/>
        <v/>
      </c>
      <c r="S918" s="52" t="str">
        <f t="shared" si="232"/>
        <v/>
      </c>
      <c r="T918" s="52" t="str">
        <f t="shared" si="233"/>
        <v/>
      </c>
      <c r="U918" s="52" t="str">
        <f t="shared" si="242"/>
        <v/>
      </c>
      <c r="V918" s="52" t="str">
        <f t="shared" si="234"/>
        <v/>
      </c>
      <c r="W918" s="1578"/>
      <c r="X918" s="52" t="str">
        <f t="shared" si="240"/>
        <v/>
      </c>
      <c r="Y918" s="52" t="str">
        <f t="shared" si="231"/>
        <v/>
      </c>
      <c r="AA918" s="52" t="str">
        <f t="shared" si="239"/>
        <v/>
      </c>
    </row>
    <row r="919" spans="2:27">
      <c r="B919" s="1532" t="str">
        <f t="shared" si="241"/>
        <v>Unarmed Counterstrike</v>
      </c>
      <c r="C919" s="1795"/>
      <c r="D919" s="920"/>
      <c r="E919" s="61"/>
      <c r="F919" s="61"/>
      <c r="G919" s="61" t="s">
        <v>3227</v>
      </c>
      <c r="H919" s="61"/>
      <c r="I919" s="61"/>
      <c r="J919" s="1687" t="s">
        <v>5235</v>
      </c>
      <c r="K919" s="63" t="str">
        <f>IF(AND(Q918="Yes",L918&lt;&gt;""),"Yes","No")</f>
        <v>No</v>
      </c>
      <c r="L919" s="76"/>
      <c r="M919" s="63">
        <f t="shared" si="243"/>
        <v>0</v>
      </c>
      <c r="N919" s="63" t="s">
        <v>3223</v>
      </c>
      <c r="O919" s="64"/>
      <c r="P919" s="660" t="str">
        <f t="shared" si="237"/>
        <v/>
      </c>
      <c r="Q919" s="52" t="str">
        <f t="shared" si="244"/>
        <v>No</v>
      </c>
      <c r="R919" s="1574" t="str">
        <f t="shared" si="235"/>
        <v/>
      </c>
      <c r="S919" s="52" t="str">
        <f t="shared" si="232"/>
        <v/>
      </c>
      <c r="T919" s="52" t="str">
        <f t="shared" si="233"/>
        <v/>
      </c>
      <c r="U919" s="52" t="str">
        <f t="shared" si="242"/>
        <v/>
      </c>
      <c r="V919" s="52" t="str">
        <f t="shared" si="234"/>
        <v/>
      </c>
      <c r="W919" s="1578"/>
      <c r="X919" s="52" t="str">
        <f t="shared" si="240"/>
        <v/>
      </c>
      <c r="Y919" s="52" t="str">
        <f t="shared" ref="Y919:Y982" si="245">IF(U919&lt;&gt;"",IF(W919="Att Options",U919&amp;IF(Y920&lt;&gt;"",", ",""),"")&amp;Y920,Y920)</f>
        <v/>
      </c>
      <c r="AA919" s="52" t="str">
        <f t="shared" si="239"/>
        <v/>
      </c>
    </row>
    <row r="920" spans="2:27" ht="52">
      <c r="B920" s="1532" t="str">
        <f t="shared" si="241"/>
        <v>Acurate Blow</v>
      </c>
      <c r="C920" s="1795"/>
      <c r="D920" s="920" t="s">
        <v>3228</v>
      </c>
      <c r="E920" s="61" t="s">
        <v>3229</v>
      </c>
      <c r="F920" s="61"/>
      <c r="G920" s="61"/>
      <c r="H920" s="61"/>
      <c r="I920" s="61"/>
      <c r="J920" s="1687" t="s">
        <v>5236</v>
      </c>
      <c r="K920" s="63" t="str">
        <f t="shared" ref="K920:K925" si="246">IF(Q920="Yes","Yes","No")</f>
        <v>No</v>
      </c>
      <c r="L920" s="76"/>
      <c r="M920" s="63">
        <f>IF(L920&lt;&gt;"",L920,0)</f>
        <v>0</v>
      </c>
      <c r="N920" s="63" t="s">
        <v>3093</v>
      </c>
      <c r="O920" s="64"/>
      <c r="P920" s="660" t="str">
        <f t="shared" si="237"/>
        <v/>
      </c>
      <c r="Q920" s="52" t="str">
        <f>Q914</f>
        <v>No</v>
      </c>
      <c r="R920" s="1574" t="str">
        <f t="shared" si="235"/>
        <v/>
      </c>
      <c r="S920" s="52" t="str">
        <f t="shared" si="232"/>
        <v/>
      </c>
      <c r="T920" s="52" t="str">
        <f t="shared" si="233"/>
        <v/>
      </c>
      <c r="U920" s="52" t="str">
        <f t="shared" si="242"/>
        <v/>
      </c>
      <c r="V920" s="52" t="str">
        <f t="shared" si="234"/>
        <v/>
      </c>
      <c r="W920" s="1578"/>
      <c r="X920" s="52" t="str">
        <f t="shared" si="240"/>
        <v/>
      </c>
      <c r="Y920" s="52" t="str">
        <f t="shared" si="245"/>
        <v/>
      </c>
      <c r="AA920" s="52" t="str">
        <f t="shared" si="239"/>
        <v/>
      </c>
    </row>
    <row r="921" spans="2:27" ht="26">
      <c r="B921" s="1532" t="str">
        <f t="shared" si="241"/>
        <v>Close-Quarters Fighter</v>
      </c>
      <c r="C921" s="1795"/>
      <c r="D921" s="920"/>
      <c r="E921" s="61" t="s">
        <v>3230</v>
      </c>
      <c r="F921" s="61"/>
      <c r="G921" s="61"/>
      <c r="H921" s="61"/>
      <c r="I921" s="61"/>
      <c r="J921" s="1687" t="s">
        <v>5237</v>
      </c>
      <c r="K921" s="63" t="str">
        <f t="shared" si="246"/>
        <v>No</v>
      </c>
      <c r="L921" s="76"/>
      <c r="M921" s="63">
        <f t="shared" si="243"/>
        <v>0</v>
      </c>
      <c r="N921" s="63" t="s">
        <v>2674</v>
      </c>
      <c r="O921" s="64"/>
      <c r="P921" s="660" t="str">
        <f t="shared" si="237"/>
        <v/>
      </c>
      <c r="Q921" s="52" t="str">
        <f t="shared" si="244"/>
        <v>No</v>
      </c>
      <c r="R921" s="1574" t="str">
        <f t="shared" si="235"/>
        <v/>
      </c>
      <c r="S921" s="52" t="str">
        <f t="shared" si="232"/>
        <v/>
      </c>
      <c r="T921" s="52" t="str">
        <f t="shared" si="233"/>
        <v/>
      </c>
      <c r="U921" s="52" t="str">
        <f t="shared" si="242"/>
        <v/>
      </c>
      <c r="V921" s="52" t="str">
        <f t="shared" si="234"/>
        <v/>
      </c>
      <c r="W921" s="1578"/>
      <c r="X921" s="52" t="str">
        <f t="shared" si="240"/>
        <v/>
      </c>
      <c r="Y921" s="52" t="str">
        <f t="shared" si="245"/>
        <v/>
      </c>
      <c r="AA921" s="52" t="str">
        <f t="shared" si="239"/>
        <v/>
      </c>
    </row>
    <row r="922" spans="2:27" ht="26">
      <c r="B922" s="1532" t="str">
        <f t="shared" si="241"/>
        <v>Ignore Armor</v>
      </c>
      <c r="C922" s="1795"/>
      <c r="D922" s="920"/>
      <c r="E922" s="61" t="s">
        <v>3231</v>
      </c>
      <c r="F922" s="61"/>
      <c r="G922" s="61"/>
      <c r="H922" s="61"/>
      <c r="I922" s="61"/>
      <c r="J922" s="1687" t="s">
        <v>5238</v>
      </c>
      <c r="K922" s="63" t="str">
        <f t="shared" si="246"/>
        <v>No</v>
      </c>
      <c r="L922" s="76"/>
      <c r="M922" s="63">
        <f t="shared" si="243"/>
        <v>0</v>
      </c>
      <c r="N922" s="63" t="s">
        <v>2674</v>
      </c>
      <c r="O922" s="64"/>
      <c r="P922" s="660" t="str">
        <f t="shared" si="237"/>
        <v/>
      </c>
      <c r="Q922" s="52" t="str">
        <f t="shared" si="244"/>
        <v>No</v>
      </c>
      <c r="R922" s="1574" t="str">
        <f t="shared" si="235"/>
        <v/>
      </c>
      <c r="S922" s="52" t="str">
        <f t="shared" si="232"/>
        <v/>
      </c>
      <c r="T922" s="52" t="str">
        <f t="shared" si="233"/>
        <v/>
      </c>
      <c r="U922" s="52" t="str">
        <f t="shared" si="242"/>
        <v/>
      </c>
      <c r="V922" s="52" t="str">
        <f t="shared" si="234"/>
        <v/>
      </c>
      <c r="W922" s="1578"/>
      <c r="X922" s="52" t="str">
        <f t="shared" si="240"/>
        <v/>
      </c>
      <c r="Y922" s="52" t="str">
        <f t="shared" si="245"/>
        <v/>
      </c>
      <c r="AA922" s="52" t="str">
        <f t="shared" si="239"/>
        <v/>
      </c>
    </row>
    <row r="923" spans="2:27" ht="26">
      <c r="B923" s="1532" t="str">
        <f t="shared" si="241"/>
        <v>Improved Stunning Strike</v>
      </c>
      <c r="C923" s="1795"/>
      <c r="D923" s="920"/>
      <c r="E923" s="61" t="s">
        <v>3232</v>
      </c>
      <c r="F923" s="61"/>
      <c r="G923" s="61"/>
      <c r="H923" s="61"/>
      <c r="I923" s="61"/>
      <c r="J923" s="1687" t="s">
        <v>5239</v>
      </c>
      <c r="K923" s="63" t="str">
        <f t="shared" si="246"/>
        <v>No</v>
      </c>
      <c r="L923" s="76"/>
      <c r="M923" s="63">
        <f t="shared" si="243"/>
        <v>0</v>
      </c>
      <c r="N923" s="63" t="s">
        <v>2674</v>
      </c>
      <c r="O923" s="64"/>
      <c r="P923" s="660" t="str">
        <f t="shared" si="237"/>
        <v/>
      </c>
      <c r="Q923" s="52" t="str">
        <f t="shared" si="244"/>
        <v>No</v>
      </c>
      <c r="R923" s="1574" t="str">
        <f t="shared" si="235"/>
        <v/>
      </c>
      <c r="S923" s="52" t="str">
        <f t="shared" si="232"/>
        <v/>
      </c>
      <c r="T923" s="52" t="str">
        <f t="shared" si="233"/>
        <v/>
      </c>
      <c r="U923" s="52" t="str">
        <f t="shared" si="242"/>
        <v/>
      </c>
      <c r="V923" s="52" t="str">
        <f t="shared" si="234"/>
        <v/>
      </c>
      <c r="W923" s="1578"/>
      <c r="X923" s="52" t="str">
        <f t="shared" si="240"/>
        <v/>
      </c>
      <c r="Y923" s="52" t="str">
        <f t="shared" si="245"/>
        <v/>
      </c>
      <c r="AA923" s="52" t="str">
        <f t="shared" si="239"/>
        <v/>
      </c>
    </row>
    <row r="924" spans="2:27" ht="26">
      <c r="B924" s="1532" t="str">
        <f t="shared" si="241"/>
        <v>Whirling Death</v>
      </c>
      <c r="C924" s="1795"/>
      <c r="D924" s="920"/>
      <c r="E924" s="61" t="s">
        <v>3233</v>
      </c>
      <c r="F924" s="61"/>
      <c r="G924" s="61"/>
      <c r="H924" s="61"/>
      <c r="I924" s="61"/>
      <c r="J924" s="1687" t="s">
        <v>5240</v>
      </c>
      <c r="K924" s="63" t="str">
        <f t="shared" si="246"/>
        <v>No</v>
      </c>
      <c r="L924" s="76"/>
      <c r="M924" s="63">
        <f t="shared" si="243"/>
        <v>0</v>
      </c>
      <c r="N924" s="63" t="s">
        <v>2674</v>
      </c>
      <c r="O924" s="64"/>
      <c r="P924" s="660" t="str">
        <f t="shared" si="237"/>
        <v/>
      </c>
      <c r="Q924" s="52" t="str">
        <f t="shared" si="244"/>
        <v>No</v>
      </c>
      <c r="R924" s="1574" t="str">
        <f t="shared" si="235"/>
        <v/>
      </c>
      <c r="S924" s="52" t="str">
        <f t="shared" si="232"/>
        <v/>
      </c>
      <c r="T924" s="52" t="str">
        <f t="shared" si="233"/>
        <v/>
      </c>
      <c r="U924" s="52" t="str">
        <f t="shared" si="242"/>
        <v/>
      </c>
      <c r="V924" s="52" t="str">
        <f t="shared" si="234"/>
        <v/>
      </c>
      <c r="W924" s="1578"/>
      <c r="X924" s="52" t="str">
        <f t="shared" si="240"/>
        <v/>
      </c>
      <c r="Y924" s="52" t="str">
        <f t="shared" si="245"/>
        <v/>
      </c>
      <c r="AA924" s="52" t="str">
        <f t="shared" si="239"/>
        <v/>
      </c>
    </row>
    <row r="925" spans="2:27">
      <c r="B925" s="1532" t="str">
        <f t="shared" si="241"/>
        <v>Bodyguard's Sacrifice</v>
      </c>
      <c r="C925" s="1795"/>
      <c r="D925" s="920" t="s">
        <v>2664</v>
      </c>
      <c r="E925" s="61" t="s">
        <v>3234</v>
      </c>
      <c r="F925" s="61"/>
      <c r="G925" s="61"/>
      <c r="H925" s="61"/>
      <c r="I925" s="61"/>
      <c r="J925" s="1687" t="s">
        <v>5241</v>
      </c>
      <c r="K925" s="63" t="str">
        <f t="shared" si="246"/>
        <v>No</v>
      </c>
      <c r="L925" s="76"/>
      <c r="M925" s="63">
        <f t="shared" si="243"/>
        <v>0</v>
      </c>
      <c r="N925" s="63" t="s">
        <v>3235</v>
      </c>
      <c r="O925" s="64"/>
      <c r="P925" s="660" t="str">
        <f t="shared" si="237"/>
        <v/>
      </c>
      <c r="Q925" s="52" t="str">
        <f t="shared" si="244"/>
        <v>No</v>
      </c>
      <c r="R925" s="1574" t="str">
        <f t="shared" si="235"/>
        <v/>
      </c>
      <c r="S925" s="52" t="str">
        <f t="shared" si="232"/>
        <v/>
      </c>
      <c r="T925" s="52" t="str">
        <f t="shared" si="233"/>
        <v/>
      </c>
      <c r="U925" s="52" t="str">
        <f t="shared" si="242"/>
        <v/>
      </c>
      <c r="V925" s="52" t="str">
        <f t="shared" si="234"/>
        <v/>
      </c>
      <c r="W925" s="1578"/>
      <c r="X925" s="52" t="str">
        <f t="shared" si="240"/>
        <v/>
      </c>
      <c r="Y925" s="52" t="str">
        <f t="shared" si="245"/>
        <v/>
      </c>
      <c r="AA925" s="52" t="str">
        <f t="shared" si="239"/>
        <v/>
      </c>
    </row>
    <row r="926" spans="2:27">
      <c r="B926" s="1532" t="str">
        <f t="shared" si="241"/>
        <v>Lifesaver</v>
      </c>
      <c r="C926" s="1795"/>
      <c r="D926" s="920"/>
      <c r="E926" s="61"/>
      <c r="F926" s="61" t="s">
        <v>3236</v>
      </c>
      <c r="G926" s="61"/>
      <c r="H926" s="61"/>
      <c r="I926" s="61"/>
      <c r="J926" s="1687" t="s">
        <v>5242</v>
      </c>
      <c r="K926" s="63" t="str">
        <f>IF(AND(Q925="Yes",L925&lt;&gt;""),"Yes","No")</f>
        <v>No</v>
      </c>
      <c r="L926" s="76"/>
      <c r="M926" s="63">
        <f t="shared" si="243"/>
        <v>0</v>
      </c>
      <c r="N926" s="63" t="s">
        <v>3235</v>
      </c>
      <c r="O926" s="64"/>
      <c r="P926" s="660" t="str">
        <f t="shared" si="237"/>
        <v/>
      </c>
      <c r="Q926" s="52" t="str">
        <f t="shared" si="244"/>
        <v>No</v>
      </c>
      <c r="R926" s="1574" t="str">
        <f t="shared" si="235"/>
        <v/>
      </c>
      <c r="S926" s="52" t="str">
        <f t="shared" si="232"/>
        <v/>
      </c>
      <c r="T926" s="52" t="str">
        <f t="shared" si="233"/>
        <v/>
      </c>
      <c r="U926" s="52" t="str">
        <f t="shared" si="242"/>
        <v/>
      </c>
      <c r="V926" s="52" t="str">
        <f t="shared" si="234"/>
        <v/>
      </c>
      <c r="W926" s="1578"/>
      <c r="X926" s="52" t="str">
        <f t="shared" si="240"/>
        <v/>
      </c>
      <c r="Y926" s="52" t="str">
        <f t="shared" si="245"/>
        <v/>
      </c>
      <c r="AA926" s="52" t="str">
        <f t="shared" si="239"/>
        <v/>
      </c>
    </row>
    <row r="927" spans="2:27">
      <c r="B927" s="1532" t="str">
        <f t="shared" si="241"/>
        <v>Out of Harm's Way</v>
      </c>
      <c r="C927" s="1795"/>
      <c r="D927" s="920"/>
      <c r="E927" s="61"/>
      <c r="F927" s="61" t="s">
        <v>3237</v>
      </c>
      <c r="G927" s="61"/>
      <c r="H927" s="61"/>
      <c r="I927" s="61"/>
      <c r="J927" s="1687" t="s">
        <v>5243</v>
      </c>
      <c r="K927" s="63" t="str">
        <f>IF(AND(Q926="Yes",L926&lt;&gt;""),"Yes","No")</f>
        <v>No</v>
      </c>
      <c r="L927" s="76"/>
      <c r="M927" s="63">
        <f t="shared" si="243"/>
        <v>0</v>
      </c>
      <c r="N927" s="63" t="s">
        <v>3235</v>
      </c>
      <c r="O927" s="64"/>
      <c r="P927" s="660" t="str">
        <f t="shared" si="237"/>
        <v/>
      </c>
      <c r="Q927" s="52" t="str">
        <f t="shared" si="244"/>
        <v>No</v>
      </c>
      <c r="R927" s="1574" t="str">
        <f t="shared" si="235"/>
        <v/>
      </c>
      <c r="S927" s="52" t="str">
        <f t="shared" ref="S927:S990" si="247">IF(R927&lt;&gt;"",R927&amp;";"&amp;S928,S928)</f>
        <v/>
      </c>
      <c r="T927" s="52" t="str">
        <f t="shared" ref="T927:T990" si="248">IF(R927&lt;&gt;"",N927&amp;";"&amp;T928,T928)</f>
        <v/>
      </c>
      <c r="U927" s="52" t="str">
        <f t="shared" si="242"/>
        <v/>
      </c>
      <c r="V927" s="52" t="str">
        <f t="shared" ref="V927:V990" si="249">IF(U927&lt;&gt;"",U927&amp;";"&amp;V928,V928)</f>
        <v/>
      </c>
      <c r="W927" s="1578"/>
      <c r="X927" s="52" t="str">
        <f t="shared" si="240"/>
        <v/>
      </c>
      <c r="Y927" s="52" t="str">
        <f t="shared" si="245"/>
        <v/>
      </c>
      <c r="AA927" s="52" t="str">
        <f t="shared" si="239"/>
        <v/>
      </c>
    </row>
    <row r="928" spans="2:27">
      <c r="B928" s="1532" t="str">
        <f t="shared" si="241"/>
        <v>Take the Hit</v>
      </c>
      <c r="C928" s="1795"/>
      <c r="D928" s="920"/>
      <c r="E928" s="61"/>
      <c r="F928" s="61" t="s">
        <v>3238</v>
      </c>
      <c r="G928" s="61"/>
      <c r="H928" s="61"/>
      <c r="I928" s="61"/>
      <c r="J928" s="1687" t="s">
        <v>5244</v>
      </c>
      <c r="K928" s="63" t="str">
        <f>IF(AND(Q927="Yes",L925&lt;&gt;""),"Yes","No")</f>
        <v>No</v>
      </c>
      <c r="L928" s="76"/>
      <c r="M928" s="63">
        <f t="shared" si="243"/>
        <v>0</v>
      </c>
      <c r="N928" s="63" t="s">
        <v>3235</v>
      </c>
      <c r="O928" s="64"/>
      <c r="P928" s="660" t="str">
        <f t="shared" si="237"/>
        <v/>
      </c>
      <c r="Q928" s="52" t="str">
        <f t="shared" si="244"/>
        <v>No</v>
      </c>
      <c r="R928" s="1574" t="str">
        <f t="shared" si="235"/>
        <v/>
      </c>
      <c r="S928" s="52" t="str">
        <f t="shared" si="247"/>
        <v/>
      </c>
      <c r="T928" s="52" t="str">
        <f t="shared" si="248"/>
        <v/>
      </c>
      <c r="U928" s="52" t="str">
        <f t="shared" si="242"/>
        <v/>
      </c>
      <c r="V928" s="52" t="str">
        <f t="shared" si="249"/>
        <v/>
      </c>
      <c r="W928" s="1578"/>
      <c r="X928" s="52" t="str">
        <f t="shared" si="240"/>
        <v/>
      </c>
      <c r="Y928" s="52" t="str">
        <f t="shared" si="245"/>
        <v/>
      </c>
      <c r="AA928" s="52" t="str">
        <f t="shared" si="239"/>
        <v/>
      </c>
    </row>
    <row r="929" spans="2:27">
      <c r="B929" s="1532" t="str">
        <f t="shared" si="241"/>
        <v>Roll With It</v>
      </c>
      <c r="C929" s="1795"/>
      <c r="D929" s="920"/>
      <c r="E929" s="61"/>
      <c r="F929" s="61"/>
      <c r="G929" s="61" t="s">
        <v>3239</v>
      </c>
      <c r="H929" s="61"/>
      <c r="I929" s="61"/>
      <c r="J929" s="1687" t="s">
        <v>5245</v>
      </c>
      <c r="K929" s="63" t="str">
        <f>IF(AND(Q928="Yes",L928&lt;&gt;""),"Yes","No")</f>
        <v>No</v>
      </c>
      <c r="L929" s="76"/>
      <c r="M929" s="63">
        <f t="shared" si="243"/>
        <v>0</v>
      </c>
      <c r="N929" s="63" t="s">
        <v>3235</v>
      </c>
      <c r="O929" s="64"/>
      <c r="P929" s="660" t="str">
        <f t="shared" si="237"/>
        <v/>
      </c>
      <c r="Q929" s="52" t="str">
        <f t="shared" si="244"/>
        <v>No</v>
      </c>
      <c r="R929" s="1574" t="str">
        <f t="shared" si="235"/>
        <v/>
      </c>
      <c r="S929" s="52" t="str">
        <f t="shared" si="247"/>
        <v/>
      </c>
      <c r="T929" s="52" t="str">
        <f t="shared" si="248"/>
        <v/>
      </c>
      <c r="U929" s="52" t="str">
        <f t="shared" si="242"/>
        <v/>
      </c>
      <c r="V929" s="52" t="str">
        <f t="shared" si="249"/>
        <v/>
      </c>
      <c r="W929" s="1578"/>
      <c r="X929" s="52" t="str">
        <f t="shared" si="240"/>
        <v/>
      </c>
      <c r="Y929" s="52" t="str">
        <f t="shared" si="245"/>
        <v/>
      </c>
      <c r="AA929" s="52" t="str">
        <f t="shared" si="239"/>
        <v/>
      </c>
    </row>
    <row r="930" spans="2:27">
      <c r="B930" s="1532" t="str">
        <f t="shared" si="241"/>
        <v>Ward</v>
      </c>
      <c r="C930" s="1795"/>
      <c r="D930" s="920"/>
      <c r="E930" s="61" t="s">
        <v>3240</v>
      </c>
      <c r="F930" s="61"/>
      <c r="G930" s="61"/>
      <c r="H930" s="61"/>
      <c r="I930" s="61"/>
      <c r="J930" s="1687" t="s">
        <v>5246</v>
      </c>
      <c r="K930" s="63" t="str">
        <f>IF(Q930="Yes","Yes","No")</f>
        <v>No</v>
      </c>
      <c r="L930" s="76"/>
      <c r="M930" s="63">
        <f t="shared" si="243"/>
        <v>0</v>
      </c>
      <c r="N930" s="63" t="s">
        <v>3235</v>
      </c>
      <c r="O930" s="64"/>
      <c r="P930" s="660" t="str">
        <f t="shared" si="237"/>
        <v/>
      </c>
      <c r="Q930" s="52" t="str">
        <f t="shared" si="244"/>
        <v>No</v>
      </c>
      <c r="R930" s="1574" t="str">
        <f t="shared" ref="R930:R993" si="250">IF(L930&lt;&gt;"",E930&amp;F930&amp;G930&amp;IF(P930&lt;&gt;""," ("&amp;P930&amp;")",""),"")&amp;IF(M930&gt;1," ("&amp;M930&amp;")","")</f>
        <v/>
      </c>
      <c r="S930" s="52" t="str">
        <f t="shared" si="247"/>
        <v/>
      </c>
      <c r="T930" s="52" t="str">
        <f t="shared" si="248"/>
        <v/>
      </c>
      <c r="U930" s="52" t="str">
        <f t="shared" si="242"/>
        <v/>
      </c>
      <c r="V930" s="52" t="str">
        <f t="shared" si="249"/>
        <v/>
      </c>
      <c r="W930" s="1578"/>
      <c r="X930" s="52" t="str">
        <f t="shared" si="240"/>
        <v/>
      </c>
      <c r="Y930" s="52" t="str">
        <f t="shared" si="245"/>
        <v/>
      </c>
      <c r="AA930" s="52" t="str">
        <f t="shared" si="239"/>
        <v/>
      </c>
    </row>
    <row r="931" spans="2:27">
      <c r="B931" s="1532" t="str">
        <f t="shared" si="241"/>
        <v>Armored Guard</v>
      </c>
      <c r="C931" s="1795"/>
      <c r="D931" s="920"/>
      <c r="E931" s="61"/>
      <c r="F931" s="61" t="s">
        <v>3241</v>
      </c>
      <c r="G931" s="61"/>
      <c r="H931" s="61"/>
      <c r="I931" s="61"/>
      <c r="J931" s="1687" t="s">
        <v>5247</v>
      </c>
      <c r="K931" s="63" t="str">
        <f>IF(AND(Q930="Yes",L930&lt;&gt;""),"Yes","No")</f>
        <v>No</v>
      </c>
      <c r="L931" s="76"/>
      <c r="M931" s="63">
        <f t="shared" si="243"/>
        <v>0</v>
      </c>
      <c r="N931" s="63" t="s">
        <v>3142</v>
      </c>
      <c r="O931" s="64"/>
      <c r="P931" s="660" t="str">
        <f t="shared" si="237"/>
        <v/>
      </c>
      <c r="Q931" s="52" t="str">
        <f t="shared" si="244"/>
        <v>No</v>
      </c>
      <c r="R931" s="1574" t="str">
        <f t="shared" si="250"/>
        <v/>
      </c>
      <c r="S931" s="52" t="str">
        <f t="shared" si="247"/>
        <v/>
      </c>
      <c r="T931" s="52" t="str">
        <f t="shared" si="248"/>
        <v/>
      </c>
      <c r="U931" s="52" t="str">
        <f t="shared" si="242"/>
        <v/>
      </c>
      <c r="V931" s="52" t="str">
        <f t="shared" si="249"/>
        <v/>
      </c>
      <c r="W931" s="1578"/>
      <c r="X931" s="52" t="str">
        <f t="shared" si="240"/>
        <v/>
      </c>
      <c r="Y931" s="52" t="str">
        <f t="shared" si="245"/>
        <v/>
      </c>
      <c r="AA931" s="52" t="str">
        <f t="shared" si="239"/>
        <v/>
      </c>
    </row>
    <row r="932" spans="2:27">
      <c r="B932" s="1532" t="str">
        <f t="shared" si="241"/>
        <v>Guard's Entrance</v>
      </c>
      <c r="C932" s="1795"/>
      <c r="D932" s="920"/>
      <c r="E932" s="61"/>
      <c r="F932" s="61" t="s">
        <v>3242</v>
      </c>
      <c r="G932" s="61"/>
      <c r="H932" s="61"/>
      <c r="I932" s="61"/>
      <c r="J932" s="1687" t="s">
        <v>5248</v>
      </c>
      <c r="K932" s="63" t="str">
        <f>IF(AND(Q931="Yes",L930&lt;&gt;""),"Yes","No")</f>
        <v>No</v>
      </c>
      <c r="L932" s="76"/>
      <c r="M932" s="63">
        <f t="shared" si="243"/>
        <v>0</v>
      </c>
      <c r="N932" s="63" t="s">
        <v>3235</v>
      </c>
      <c r="O932" s="64"/>
      <c r="P932" s="660" t="str">
        <f t="shared" si="237"/>
        <v/>
      </c>
      <c r="Q932" s="52" t="str">
        <f t="shared" si="244"/>
        <v>No</v>
      </c>
      <c r="R932" s="1574" t="str">
        <f t="shared" si="250"/>
        <v/>
      </c>
      <c r="S932" s="52" t="str">
        <f t="shared" si="247"/>
        <v/>
      </c>
      <c r="T932" s="52" t="str">
        <f t="shared" si="248"/>
        <v/>
      </c>
      <c r="U932" s="52" t="str">
        <f t="shared" si="242"/>
        <v/>
      </c>
      <c r="V932" s="52" t="str">
        <f t="shared" si="249"/>
        <v/>
      </c>
      <c r="W932" s="1578"/>
      <c r="X932" s="52" t="str">
        <f t="shared" si="240"/>
        <v/>
      </c>
      <c r="Y932" s="52" t="str">
        <f t="shared" si="245"/>
        <v/>
      </c>
      <c r="AA932" s="52" t="str">
        <f t="shared" si="239"/>
        <v/>
      </c>
    </row>
    <row r="933" spans="2:27">
      <c r="B933" s="1532" t="str">
        <f t="shared" si="241"/>
        <v>Ambush</v>
      </c>
      <c r="C933" s="1795"/>
      <c r="D933" s="920" t="s">
        <v>3243</v>
      </c>
      <c r="E933" s="61" t="s">
        <v>2673</v>
      </c>
      <c r="F933" s="61"/>
      <c r="G933" s="61"/>
      <c r="H933" s="61"/>
      <c r="I933" s="61"/>
      <c r="J933" s="1687" t="s">
        <v>5249</v>
      </c>
      <c r="K933" s="63" t="str">
        <f t="shared" ref="K933:K938" si="251">IF(Q933="Yes","Yes","No")</f>
        <v>No</v>
      </c>
      <c r="L933" s="76"/>
      <c r="M933" s="63">
        <f t="shared" si="243"/>
        <v>0</v>
      </c>
      <c r="N933" s="63" t="s">
        <v>2674</v>
      </c>
      <c r="O933" s="64"/>
      <c r="P933" s="660" t="str">
        <f t="shared" si="237"/>
        <v/>
      </c>
      <c r="Q933" s="52" t="str">
        <f t="shared" si="244"/>
        <v>No</v>
      </c>
      <c r="R933" s="1574" t="str">
        <f t="shared" si="250"/>
        <v/>
      </c>
      <c r="S933" s="52" t="str">
        <f t="shared" si="247"/>
        <v/>
      </c>
      <c r="T933" s="52" t="str">
        <f t="shared" si="248"/>
        <v/>
      </c>
      <c r="U933" s="52" t="str">
        <f t="shared" si="242"/>
        <v/>
      </c>
      <c r="V933" s="52" t="str">
        <f t="shared" si="249"/>
        <v/>
      </c>
      <c r="W933" s="1578"/>
      <c r="X933" s="52" t="str">
        <f t="shared" si="240"/>
        <v/>
      </c>
      <c r="Y933" s="52" t="str">
        <f t="shared" si="245"/>
        <v/>
      </c>
      <c r="AA933" s="52" t="str">
        <f t="shared" si="239"/>
        <v/>
      </c>
    </row>
    <row r="934" spans="2:27">
      <c r="B934" s="1532" t="str">
        <f t="shared" si="241"/>
        <v>Higher Yield</v>
      </c>
      <c r="C934" s="1795"/>
      <c r="D934" s="920"/>
      <c r="E934" s="61" t="s">
        <v>3244</v>
      </c>
      <c r="F934" s="61"/>
      <c r="G934" s="61"/>
      <c r="H934" s="61"/>
      <c r="I934" s="61"/>
      <c r="J934" s="1687" t="s">
        <v>5250</v>
      </c>
      <c r="K934" s="63" t="str">
        <f t="shared" si="251"/>
        <v>No</v>
      </c>
      <c r="L934" s="76"/>
      <c r="M934" s="63">
        <f t="shared" si="243"/>
        <v>0</v>
      </c>
      <c r="N934" s="63" t="s">
        <v>2674</v>
      </c>
      <c r="O934" s="64"/>
      <c r="P934" s="660" t="str">
        <f t="shared" si="237"/>
        <v/>
      </c>
      <c r="Q934" s="52" t="str">
        <f t="shared" si="244"/>
        <v>No</v>
      </c>
      <c r="R934" s="1574" t="str">
        <f t="shared" si="250"/>
        <v/>
      </c>
      <c r="S934" s="52" t="str">
        <f t="shared" si="247"/>
        <v/>
      </c>
      <c r="T934" s="52" t="str">
        <f t="shared" si="248"/>
        <v/>
      </c>
      <c r="U934" s="52" t="str">
        <f t="shared" si="242"/>
        <v/>
      </c>
      <c r="V934" s="52" t="str">
        <f t="shared" si="249"/>
        <v/>
      </c>
      <c r="W934" s="1578"/>
      <c r="X934" s="52" t="str">
        <f t="shared" si="240"/>
        <v/>
      </c>
      <c r="Y934" s="52" t="str">
        <f t="shared" si="245"/>
        <v/>
      </c>
      <c r="AA934" s="52" t="str">
        <f t="shared" si="239"/>
        <v/>
      </c>
    </row>
    <row r="935" spans="2:27">
      <c r="B935" s="1532" t="str">
        <f t="shared" si="241"/>
        <v>Rapid Reload</v>
      </c>
      <c r="C935" s="1795"/>
      <c r="D935" s="920"/>
      <c r="E935" s="61" t="s">
        <v>3245</v>
      </c>
      <c r="F935" s="61"/>
      <c r="G935" s="61"/>
      <c r="H935" s="61"/>
      <c r="I935" s="61"/>
      <c r="J935" s="1687" t="s">
        <v>5251</v>
      </c>
      <c r="K935" s="63" t="str">
        <f t="shared" si="251"/>
        <v>No</v>
      </c>
      <c r="L935" s="76"/>
      <c r="M935" s="63">
        <f t="shared" si="243"/>
        <v>0</v>
      </c>
      <c r="N935" s="63" t="s">
        <v>2674</v>
      </c>
      <c r="O935" s="64"/>
      <c r="P935" s="660" t="str">
        <f t="shared" si="237"/>
        <v/>
      </c>
      <c r="Q935" s="52" t="str">
        <f t="shared" si="244"/>
        <v>No</v>
      </c>
      <c r="R935" s="1574" t="str">
        <f t="shared" si="250"/>
        <v/>
      </c>
      <c r="S935" s="52" t="str">
        <f t="shared" si="247"/>
        <v/>
      </c>
      <c r="T935" s="52" t="str">
        <f t="shared" si="248"/>
        <v/>
      </c>
      <c r="U935" s="52" t="str">
        <f t="shared" si="242"/>
        <v/>
      </c>
      <c r="V935" s="52" t="str">
        <f t="shared" si="249"/>
        <v/>
      </c>
      <c r="W935" s="1578"/>
      <c r="X935" s="52" t="str">
        <f t="shared" si="240"/>
        <v/>
      </c>
      <c r="Y935" s="52" t="str">
        <f t="shared" si="245"/>
        <v/>
      </c>
      <c r="AA935" s="52" t="str">
        <f t="shared" si="239"/>
        <v/>
      </c>
    </row>
    <row r="936" spans="2:27">
      <c r="B936" s="1532" t="str">
        <f t="shared" si="241"/>
        <v>Shoulder to Shoulder</v>
      </c>
      <c r="C936" s="1795"/>
      <c r="D936" s="920"/>
      <c r="E936" s="61" t="s">
        <v>3246</v>
      </c>
      <c r="F936" s="61"/>
      <c r="G936" s="61"/>
      <c r="H936" s="61"/>
      <c r="I936" s="61"/>
      <c r="J936" s="1687" t="s">
        <v>5252</v>
      </c>
      <c r="K936" s="63" t="str">
        <f t="shared" si="251"/>
        <v>No</v>
      </c>
      <c r="L936" s="76"/>
      <c r="M936" s="63">
        <f t="shared" si="243"/>
        <v>0</v>
      </c>
      <c r="N936" s="63" t="s">
        <v>2674</v>
      </c>
      <c r="O936" s="64"/>
      <c r="P936" s="660" t="str">
        <f t="shared" si="237"/>
        <v/>
      </c>
      <c r="Q936" s="52" t="str">
        <f t="shared" si="244"/>
        <v>No</v>
      </c>
      <c r="R936" s="1574" t="str">
        <f t="shared" si="250"/>
        <v/>
      </c>
      <c r="S936" s="52" t="str">
        <f t="shared" si="247"/>
        <v/>
      </c>
      <c r="T936" s="52" t="str">
        <f t="shared" si="248"/>
        <v/>
      </c>
      <c r="U936" s="52" t="str">
        <f t="shared" si="242"/>
        <v/>
      </c>
      <c r="V936" s="52" t="str">
        <f t="shared" si="249"/>
        <v/>
      </c>
      <c r="W936" s="1578"/>
      <c r="X936" s="52" t="str">
        <f t="shared" si="240"/>
        <v/>
      </c>
      <c r="Y936" s="52" t="str">
        <f t="shared" si="245"/>
        <v/>
      </c>
      <c r="AA936" s="52" t="str">
        <f t="shared" si="239"/>
        <v/>
      </c>
    </row>
    <row r="937" spans="2:27">
      <c r="B937" s="1532" t="str">
        <f t="shared" si="241"/>
        <v>Strength in Numbers</v>
      </c>
      <c r="C937" s="1795"/>
      <c r="D937" s="920"/>
      <c r="E937" s="61" t="s">
        <v>3247</v>
      </c>
      <c r="F937" s="61"/>
      <c r="G937" s="61"/>
      <c r="H937" s="61"/>
      <c r="I937" s="61"/>
      <c r="J937" s="1687" t="s">
        <v>5253</v>
      </c>
      <c r="K937" s="63" t="str">
        <f t="shared" si="251"/>
        <v>No</v>
      </c>
      <c r="L937" s="76"/>
      <c r="M937" s="63">
        <f t="shared" si="243"/>
        <v>0</v>
      </c>
      <c r="N937" s="63" t="s">
        <v>2674</v>
      </c>
      <c r="O937" s="64"/>
      <c r="P937" s="660" t="str">
        <f t="shared" si="237"/>
        <v/>
      </c>
      <c r="Q937" s="52" t="str">
        <f t="shared" si="244"/>
        <v>No</v>
      </c>
      <c r="R937" s="1574" t="str">
        <f t="shared" si="250"/>
        <v/>
      </c>
      <c r="S937" s="52" t="str">
        <f t="shared" si="247"/>
        <v/>
      </c>
      <c r="T937" s="52" t="str">
        <f t="shared" si="248"/>
        <v/>
      </c>
      <c r="U937" s="52" t="str">
        <f t="shared" si="242"/>
        <v/>
      </c>
      <c r="V937" s="52" t="str">
        <f t="shared" si="249"/>
        <v/>
      </c>
      <c r="W937" s="1578"/>
      <c r="X937" s="52" t="str">
        <f t="shared" si="240"/>
        <v/>
      </c>
      <c r="Y937" s="52" t="str">
        <f t="shared" si="245"/>
        <v/>
      </c>
      <c r="AA937" s="52" t="str">
        <f t="shared" si="239"/>
        <v/>
      </c>
    </row>
    <row r="938" spans="2:27" ht="26">
      <c r="B938" s="1532" t="str">
        <f t="shared" si="241"/>
        <v>Weapon Shift</v>
      </c>
      <c r="C938" s="1795"/>
      <c r="D938" s="920"/>
      <c r="E938" s="61" t="s">
        <v>3248</v>
      </c>
      <c r="F938" s="61"/>
      <c r="G938" s="61"/>
      <c r="H938" s="61"/>
      <c r="I938" s="61"/>
      <c r="J938" s="1687" t="s">
        <v>5254</v>
      </c>
      <c r="K938" s="63" t="str">
        <f t="shared" si="251"/>
        <v>No</v>
      </c>
      <c r="L938" s="76"/>
      <c r="M938" s="63">
        <f t="shared" ref="M938:M943" si="252">IF(L938&lt;&gt;"",1,0)</f>
        <v>0</v>
      </c>
      <c r="N938" s="63" t="s">
        <v>2674</v>
      </c>
      <c r="O938" s="64"/>
      <c r="P938" s="660" t="str">
        <f t="shared" si="237"/>
        <v/>
      </c>
      <c r="Q938" s="52" t="str">
        <f t="shared" si="244"/>
        <v>No</v>
      </c>
      <c r="R938" s="1574" t="str">
        <f t="shared" si="250"/>
        <v/>
      </c>
      <c r="S938" s="52" t="str">
        <f t="shared" si="247"/>
        <v/>
      </c>
      <c r="T938" s="52" t="str">
        <f t="shared" si="248"/>
        <v/>
      </c>
      <c r="U938" s="52" t="str">
        <f t="shared" si="242"/>
        <v/>
      </c>
      <c r="V938" s="52" t="str">
        <f t="shared" si="249"/>
        <v/>
      </c>
      <c r="W938" s="1578"/>
      <c r="X938" s="52" t="str">
        <f t="shared" si="240"/>
        <v/>
      </c>
      <c r="Y938" s="52" t="str">
        <f t="shared" si="245"/>
        <v/>
      </c>
      <c r="AA938" s="52" t="str">
        <f>IF(U938&lt;&gt;"",IF(Z938="Defenses",U938&amp;IF(AA944&lt;&gt;"",", ",""),"")&amp;AA944,AA944)</f>
        <v/>
      </c>
    </row>
    <row r="939" spans="2:27" ht="26">
      <c r="B939" s="1532" t="str">
        <f t="shared" si="241"/>
        <v>Fall Back</v>
      </c>
      <c r="C939" s="1795"/>
      <c r="D939" s="920" t="s">
        <v>2957</v>
      </c>
      <c r="E939" s="61" t="s">
        <v>6788</v>
      </c>
      <c r="F939" s="61"/>
      <c r="G939" s="61"/>
      <c r="H939" s="61"/>
      <c r="I939" s="61"/>
      <c r="J939" s="1687" t="s">
        <v>6789</v>
      </c>
      <c r="K939" s="63" t="str">
        <f>IF(AND(Q939="Yes",Charisma&gt;=13),"Yes","No")</f>
        <v>No</v>
      </c>
      <c r="L939" s="76"/>
      <c r="M939" s="63">
        <f t="shared" si="252"/>
        <v>0</v>
      </c>
      <c r="N939" s="63" t="s">
        <v>6798</v>
      </c>
      <c r="O939" s="64"/>
      <c r="P939" s="660" t="str">
        <f t="shared" si="237"/>
        <v/>
      </c>
      <c r="Q939" s="52" t="str">
        <f t="shared" si="244"/>
        <v>No</v>
      </c>
      <c r="R939" s="1574" t="str">
        <f t="shared" si="250"/>
        <v/>
      </c>
      <c r="S939" s="52" t="str">
        <f t="shared" si="247"/>
        <v/>
      </c>
      <c r="T939" s="52" t="str">
        <f t="shared" si="248"/>
        <v/>
      </c>
      <c r="U939" s="52" t="str">
        <f t="shared" si="242"/>
        <v/>
      </c>
      <c r="V939" s="52" t="str">
        <f t="shared" si="249"/>
        <v/>
      </c>
      <c r="W939" s="1578"/>
      <c r="X939" s="52" t="str">
        <f t="shared" si="240"/>
        <v/>
      </c>
      <c r="Y939" s="52" t="str">
        <f t="shared" si="245"/>
        <v/>
      </c>
    </row>
    <row r="940" spans="2:27" ht="26">
      <c r="B940" s="1532" t="str">
        <f t="shared" si="241"/>
        <v>Form Up</v>
      </c>
      <c r="C940" s="1795"/>
      <c r="D940" s="920"/>
      <c r="E940" s="61" t="s">
        <v>6790</v>
      </c>
      <c r="F940" s="61"/>
      <c r="G940" s="61"/>
      <c r="H940" s="61"/>
      <c r="I940" s="61"/>
      <c r="J940" s="1687" t="s">
        <v>6791</v>
      </c>
      <c r="K940" s="63" t="str">
        <f>IF(AND(Q940="Yes",Charisma&gt;=13),"Yes","No")</f>
        <v>No</v>
      </c>
      <c r="L940" s="76"/>
      <c r="M940" s="63">
        <f t="shared" si="252"/>
        <v>0</v>
      </c>
      <c r="N940" s="63" t="s">
        <v>6798</v>
      </c>
      <c r="O940" s="64"/>
      <c r="P940" s="660" t="str">
        <f t="shared" si="237"/>
        <v/>
      </c>
      <c r="Q940" s="52" t="str">
        <f t="shared" si="244"/>
        <v>No</v>
      </c>
      <c r="R940" s="1574" t="str">
        <f t="shared" si="250"/>
        <v/>
      </c>
      <c r="S940" s="52" t="str">
        <f t="shared" si="247"/>
        <v/>
      </c>
      <c r="T940" s="52" t="str">
        <f t="shared" si="248"/>
        <v/>
      </c>
      <c r="U940" s="52" t="str">
        <f t="shared" si="242"/>
        <v/>
      </c>
      <c r="V940" s="52" t="str">
        <f t="shared" si="249"/>
        <v/>
      </c>
      <c r="W940" s="1578"/>
      <c r="X940" s="52" t="str">
        <f t="shared" si="240"/>
        <v/>
      </c>
      <c r="Y940" s="52" t="str">
        <f t="shared" si="245"/>
        <v/>
      </c>
    </row>
    <row r="941" spans="2:27" ht="26">
      <c r="B941" s="1532" t="str">
        <f t="shared" si="241"/>
        <v>Full Advance</v>
      </c>
      <c r="C941" s="1795"/>
      <c r="D941" s="920"/>
      <c r="E941" s="61" t="s">
        <v>6792</v>
      </c>
      <c r="F941" s="61"/>
      <c r="G941" s="61"/>
      <c r="H941" s="61"/>
      <c r="I941" s="61"/>
      <c r="J941" s="1687" t="s">
        <v>6793</v>
      </c>
      <c r="K941" s="63" t="str">
        <f>IF(AND(Q941="Yes",Charisma&gt;=13),"Yes","No")</f>
        <v>No</v>
      </c>
      <c r="L941" s="76"/>
      <c r="M941" s="63">
        <f t="shared" si="252"/>
        <v>0</v>
      </c>
      <c r="N941" s="63" t="s">
        <v>6798</v>
      </c>
      <c r="O941" s="64"/>
      <c r="P941" s="660" t="str">
        <f t="shared" si="237"/>
        <v/>
      </c>
      <c r="Q941" s="52" t="str">
        <f t="shared" si="244"/>
        <v>No</v>
      </c>
      <c r="R941" s="1574" t="str">
        <f t="shared" si="250"/>
        <v/>
      </c>
      <c r="S941" s="52" t="str">
        <f t="shared" si="247"/>
        <v/>
      </c>
      <c r="T941" s="52" t="str">
        <f t="shared" si="248"/>
        <v/>
      </c>
      <c r="U941" s="52" t="str">
        <f t="shared" si="242"/>
        <v/>
      </c>
      <c r="V941" s="52" t="str">
        <f t="shared" si="249"/>
        <v/>
      </c>
      <c r="W941" s="1578"/>
      <c r="X941" s="52" t="str">
        <f t="shared" si="240"/>
        <v/>
      </c>
      <c r="Y941" s="52" t="str">
        <f t="shared" si="245"/>
        <v/>
      </c>
    </row>
    <row r="942" spans="2:27" ht="26">
      <c r="B942" s="1532" t="str">
        <f t="shared" si="241"/>
        <v>Hold Steady</v>
      </c>
      <c r="C942" s="1795"/>
      <c r="D942" s="920"/>
      <c r="E942" s="61" t="s">
        <v>6794</v>
      </c>
      <c r="F942" s="61"/>
      <c r="G942" s="61"/>
      <c r="H942" s="61"/>
      <c r="I942" s="61"/>
      <c r="J942" s="1687" t="s">
        <v>6795</v>
      </c>
      <c r="K942" s="63" t="str">
        <f>IF(AND(Q942="Yes",Charisma&gt;=13),"Yes","No")</f>
        <v>No</v>
      </c>
      <c r="L942" s="76"/>
      <c r="M942" s="63">
        <f t="shared" si="252"/>
        <v>0</v>
      </c>
      <c r="N942" s="63" t="s">
        <v>6798</v>
      </c>
      <c r="O942" s="64"/>
      <c r="P942" s="660" t="str">
        <f t="shared" si="237"/>
        <v/>
      </c>
      <c r="Q942" s="52" t="str">
        <f t="shared" si="244"/>
        <v>No</v>
      </c>
      <c r="R942" s="1574" t="str">
        <f t="shared" si="250"/>
        <v/>
      </c>
      <c r="S942" s="52" t="str">
        <f t="shared" si="247"/>
        <v/>
      </c>
      <c r="T942" s="52" t="str">
        <f t="shared" si="248"/>
        <v/>
      </c>
      <c r="U942" s="52" t="str">
        <f t="shared" si="242"/>
        <v/>
      </c>
      <c r="V942" s="52" t="str">
        <f t="shared" si="249"/>
        <v/>
      </c>
      <c r="W942" s="1578"/>
      <c r="X942" s="52" t="str">
        <f t="shared" si="240"/>
        <v/>
      </c>
      <c r="Y942" s="52" t="str">
        <f t="shared" si="245"/>
        <v/>
      </c>
    </row>
    <row r="943" spans="2:27" ht="26">
      <c r="B943" s="1532" t="str">
        <f t="shared" si="241"/>
        <v>Search and Destroy</v>
      </c>
      <c r="C943" s="1795"/>
      <c r="D943" s="920"/>
      <c r="E943" s="61" t="s">
        <v>6796</v>
      </c>
      <c r="F943" s="61"/>
      <c r="G943" s="61"/>
      <c r="H943" s="61"/>
      <c r="I943" s="61"/>
      <c r="J943" s="1687" t="s">
        <v>6797</v>
      </c>
      <c r="K943" s="63" t="str">
        <f>IF(AND(Q943="Yes",Charisma&gt;=13),"Yes","No")</f>
        <v>No</v>
      </c>
      <c r="L943" s="76"/>
      <c r="M943" s="63">
        <f t="shared" si="252"/>
        <v>0</v>
      </c>
      <c r="N943" s="63" t="s">
        <v>6798</v>
      </c>
      <c r="O943" s="64"/>
      <c r="P943" s="660" t="str">
        <f t="shared" si="237"/>
        <v/>
      </c>
      <c r="Q943" s="52" t="str">
        <f t="shared" si="244"/>
        <v>No</v>
      </c>
      <c r="R943" s="1574" t="str">
        <f t="shared" si="250"/>
        <v/>
      </c>
      <c r="S943" s="52" t="str">
        <f t="shared" si="247"/>
        <v/>
      </c>
      <c r="T943" s="52" t="str">
        <f t="shared" si="248"/>
        <v/>
      </c>
      <c r="U943" s="52" t="str">
        <f t="shared" si="242"/>
        <v/>
      </c>
      <c r="V943" s="52" t="str">
        <f t="shared" si="249"/>
        <v/>
      </c>
      <c r="W943" s="1578"/>
      <c r="X943" s="52" t="str">
        <f t="shared" si="240"/>
        <v/>
      </c>
      <c r="Y943" s="52" t="str">
        <f t="shared" si="245"/>
        <v/>
      </c>
    </row>
    <row r="944" spans="2:27">
      <c r="B944" s="1532" t="str">
        <f t="shared" si="241"/>
        <v>Controlled Burst</v>
      </c>
      <c r="C944" s="1795"/>
      <c r="D944" s="920" t="s">
        <v>3249</v>
      </c>
      <c r="E944" s="61" t="s">
        <v>3250</v>
      </c>
      <c r="F944" s="61"/>
      <c r="G944" s="61"/>
      <c r="H944" s="61"/>
      <c r="I944" s="61"/>
      <c r="J944" s="1687" t="s">
        <v>5255</v>
      </c>
      <c r="K944" s="63" t="str">
        <f>IF(Q944="Yes","Yes","No")</f>
        <v>No</v>
      </c>
      <c r="L944" s="76"/>
      <c r="M944" s="63">
        <f t="shared" si="243"/>
        <v>0</v>
      </c>
      <c r="N944" s="63">
        <v>212</v>
      </c>
      <c r="O944" s="64"/>
      <c r="P944" s="660" t="str">
        <f t="shared" si="237"/>
        <v/>
      </c>
      <c r="Q944" s="52" t="str">
        <f t="shared" si="244"/>
        <v>No</v>
      </c>
      <c r="R944" s="1574" t="str">
        <f t="shared" si="250"/>
        <v/>
      </c>
      <c r="S944" s="52" t="str">
        <f t="shared" si="247"/>
        <v/>
      </c>
      <c r="T944" s="52" t="str">
        <f t="shared" si="248"/>
        <v/>
      </c>
      <c r="U944" s="52" t="str">
        <f t="shared" si="242"/>
        <v/>
      </c>
      <c r="V944" s="52" t="str">
        <f t="shared" si="249"/>
        <v/>
      </c>
      <c r="W944" s="1578"/>
      <c r="X944" s="52" t="str">
        <f t="shared" si="240"/>
        <v/>
      </c>
      <c r="Y944" s="52" t="str">
        <f t="shared" si="245"/>
        <v/>
      </c>
      <c r="AA944" s="52" t="str">
        <f>IF(U944&lt;&gt;"",IF(Z944="Defenses",U944&amp;IF(AA945&lt;&gt;"",", ",""),"")&amp;AA945,AA945)</f>
        <v/>
      </c>
    </row>
    <row r="945" spans="2:27" ht="26">
      <c r="B945" s="1532" t="str">
        <f t="shared" si="241"/>
        <v>Ferocious Assault</v>
      </c>
      <c r="C945" s="1795"/>
      <c r="D945" s="920"/>
      <c r="E945" s="61"/>
      <c r="F945" s="61" t="s">
        <v>6785</v>
      </c>
      <c r="G945" s="61"/>
      <c r="H945" s="61"/>
      <c r="I945" s="61"/>
      <c r="J945" s="1687" t="s">
        <v>6786</v>
      </c>
      <c r="K945" s="63" t="str">
        <f>IF(AND(Q945="Yes",L944&lt;&gt;""),"Yes","No")</f>
        <v>No</v>
      </c>
      <c r="L945" s="76"/>
      <c r="M945" s="63">
        <f t="shared" si="243"/>
        <v>0</v>
      </c>
      <c r="N945" s="63" t="s">
        <v>6787</v>
      </c>
      <c r="O945" s="64"/>
      <c r="P945" s="660" t="str">
        <f t="shared" si="237"/>
        <v/>
      </c>
      <c r="Q945" s="52" t="str">
        <f t="shared" si="244"/>
        <v>No</v>
      </c>
      <c r="R945" s="1574" t="str">
        <f t="shared" si="250"/>
        <v/>
      </c>
      <c r="S945" s="52" t="str">
        <f t="shared" si="247"/>
        <v/>
      </c>
      <c r="T945" s="52" t="str">
        <f t="shared" si="248"/>
        <v/>
      </c>
      <c r="U945" s="52" t="str">
        <f t="shared" si="242"/>
        <v/>
      </c>
      <c r="V945" s="52" t="str">
        <f t="shared" si="249"/>
        <v/>
      </c>
      <c r="W945" s="1578"/>
      <c r="X945" s="52" t="str">
        <f t="shared" si="240"/>
        <v/>
      </c>
      <c r="Y945" s="52" t="str">
        <f t="shared" si="245"/>
        <v/>
      </c>
      <c r="AA945" s="52" t="str">
        <f>IF(U945&lt;&gt;"",IF(Z945="Defenses",U945&amp;IF(AA946&lt;&gt;"",", ",""),"")&amp;AA946,AA946)</f>
        <v/>
      </c>
    </row>
    <row r="946" spans="2:27">
      <c r="B946" s="1532" t="str">
        <f t="shared" si="241"/>
        <v>Exotic Weapon Mastery</v>
      </c>
      <c r="C946" s="1795"/>
      <c r="D946" s="920"/>
      <c r="E946" s="61" t="s">
        <v>3251</v>
      </c>
      <c r="F946" s="61"/>
      <c r="G946" s="61"/>
      <c r="H946" s="61"/>
      <c r="I946" s="61"/>
      <c r="J946" s="1687" t="s">
        <v>5256</v>
      </c>
      <c r="K946" s="63" t="str">
        <f>IF(Q946="Yes","Yes","No")</f>
        <v>No</v>
      </c>
      <c r="L946" s="76"/>
      <c r="M946" s="63">
        <f t="shared" si="243"/>
        <v>0</v>
      </c>
      <c r="N946" s="63">
        <v>212</v>
      </c>
      <c r="O946" s="64"/>
      <c r="P946" s="660" t="str">
        <f t="shared" si="237"/>
        <v/>
      </c>
      <c r="Q946" s="52" t="str">
        <f t="shared" si="244"/>
        <v>No</v>
      </c>
      <c r="R946" s="1574" t="str">
        <f t="shared" si="250"/>
        <v/>
      </c>
      <c r="S946" s="52" t="str">
        <f t="shared" si="247"/>
        <v/>
      </c>
      <c r="T946" s="52" t="str">
        <f t="shared" si="248"/>
        <v/>
      </c>
      <c r="U946" s="52" t="str">
        <f t="shared" si="242"/>
        <v/>
      </c>
      <c r="V946" s="52" t="str">
        <f t="shared" si="249"/>
        <v/>
      </c>
      <c r="W946" s="1578"/>
      <c r="X946" s="52" t="str">
        <f t="shared" si="240"/>
        <v/>
      </c>
      <c r="Y946" s="52" t="str">
        <f t="shared" si="245"/>
        <v/>
      </c>
      <c r="AA946" s="52" t="str">
        <f>IF(U946&lt;&gt;"",IF(Z946="Defenses",U946&amp;IF(AA948&lt;&gt;"",", ",""),"")&amp;AA948,AA948)</f>
        <v/>
      </c>
    </row>
    <row r="947" spans="2:27">
      <c r="B947" s="1575"/>
      <c r="C947" s="1795"/>
      <c r="D947" s="920"/>
      <c r="E947" s="61" t="s">
        <v>8340</v>
      </c>
      <c r="F947" s="61"/>
      <c r="G947" s="61"/>
      <c r="H947" s="61"/>
      <c r="I947" s="61"/>
      <c r="J947" s="1687" t="s">
        <v>8341</v>
      </c>
      <c r="K947" s="63" t="str">
        <f>IF(Q947="Yes","Yes","No")</f>
        <v>No</v>
      </c>
      <c r="L947" s="76"/>
      <c r="M947" s="63">
        <f t="shared" si="243"/>
        <v>0</v>
      </c>
      <c r="N947" s="63" t="s">
        <v>8339</v>
      </c>
      <c r="O947" s="64"/>
      <c r="P947" s="660" t="str">
        <f t="shared" si="237"/>
        <v/>
      </c>
      <c r="Q947" s="52" t="str">
        <f t="shared" si="244"/>
        <v>No</v>
      </c>
      <c r="R947" s="1574" t="str">
        <f t="shared" si="250"/>
        <v/>
      </c>
      <c r="S947" s="52" t="str">
        <f t="shared" si="247"/>
        <v/>
      </c>
      <c r="T947" s="52" t="str">
        <f t="shared" si="248"/>
        <v/>
      </c>
      <c r="U947" s="52" t="str">
        <f t="shared" si="242"/>
        <v/>
      </c>
      <c r="V947" s="52" t="str">
        <f t="shared" si="249"/>
        <v/>
      </c>
      <c r="W947" s="1578"/>
      <c r="X947" s="52" t="str">
        <f t="shared" si="240"/>
        <v/>
      </c>
      <c r="Y947" s="52" t="str">
        <f t="shared" si="245"/>
        <v/>
      </c>
    </row>
    <row r="948" spans="2:27" ht="39">
      <c r="B948" s="1532" t="str">
        <f t="shared" ref="B948:B953" si="253">IF(E948&lt;&gt;"",E948,IF(F948&lt;&gt;"",F948,IF(G948&lt;&gt;"",G948,IF(H948&lt;&gt;"",H948))))</f>
        <v>Greater Weapon Focus</v>
      </c>
      <c r="C948" s="1795"/>
      <c r="D948" s="920"/>
      <c r="E948" s="61" t="s">
        <v>3252</v>
      </c>
      <c r="F948" s="61"/>
      <c r="G948" s="61"/>
      <c r="H948" s="61"/>
      <c r="I948" s="61"/>
      <c r="J948" s="1687" t="s">
        <v>6005</v>
      </c>
      <c r="K948" s="63" t="str">
        <f>IF(Q948="Yes","Yes","No")</f>
        <v>No</v>
      </c>
      <c r="L948" s="76"/>
      <c r="M948" s="63">
        <f t="shared" ref="M948:M955" si="254">IF(L948&lt;&gt;"",L948,0)</f>
        <v>0</v>
      </c>
      <c r="N948" s="63">
        <v>212</v>
      </c>
      <c r="O948" s="64"/>
      <c r="P948" s="660" t="str">
        <f t="shared" ref="P948:P1011" si="255">IF(ShowTalentTrees,IF(D948&lt;&gt;"",D948,P947),"")</f>
        <v/>
      </c>
      <c r="Q948" s="52" t="str">
        <f>Q946</f>
        <v>No</v>
      </c>
      <c r="R948" s="1574" t="str">
        <f t="shared" si="250"/>
        <v/>
      </c>
      <c r="S948" s="52" t="str">
        <f t="shared" si="247"/>
        <v/>
      </c>
      <c r="T948" s="52" t="str">
        <f t="shared" si="248"/>
        <v/>
      </c>
      <c r="U948" s="52" t="str">
        <f t="shared" si="242"/>
        <v/>
      </c>
      <c r="V948" s="52" t="str">
        <f t="shared" si="249"/>
        <v/>
      </c>
      <c r="W948" s="1578"/>
      <c r="X948" s="52" t="str">
        <f t="shared" si="240"/>
        <v/>
      </c>
      <c r="Y948" s="52" t="str">
        <f t="shared" si="245"/>
        <v/>
      </c>
      <c r="AA948" s="52" t="str">
        <f t="shared" si="239"/>
        <v/>
      </c>
    </row>
    <row r="949" spans="2:27" ht="39">
      <c r="B949" s="1532" t="str">
        <f t="shared" si="253"/>
        <v>Greater Devastating Attack</v>
      </c>
      <c r="C949" s="1795"/>
      <c r="D949" s="920"/>
      <c r="E949" s="61"/>
      <c r="F949" s="61" t="s">
        <v>3253</v>
      </c>
      <c r="G949" s="61"/>
      <c r="H949" s="61"/>
      <c r="I949" s="61"/>
      <c r="J949" s="1687" t="s">
        <v>6006</v>
      </c>
      <c r="K949" s="63" t="str">
        <f>IF(AND(Q948="Yes",L948&lt;&gt;""),"Yes","No")</f>
        <v>No</v>
      </c>
      <c r="L949" s="76"/>
      <c r="M949" s="63">
        <f t="shared" si="254"/>
        <v>0</v>
      </c>
      <c r="N949" s="63">
        <v>212</v>
      </c>
      <c r="O949" s="64"/>
      <c r="P949" s="660" t="str">
        <f t="shared" si="255"/>
        <v/>
      </c>
      <c r="Q949" s="52" t="str">
        <f t="shared" si="244"/>
        <v>No</v>
      </c>
      <c r="R949" s="1574" t="str">
        <f t="shared" si="250"/>
        <v/>
      </c>
      <c r="S949" s="52" t="str">
        <f t="shared" si="247"/>
        <v/>
      </c>
      <c r="T949" s="52" t="str">
        <f t="shared" si="248"/>
        <v/>
      </c>
      <c r="U949" s="52" t="str">
        <f t="shared" si="242"/>
        <v/>
      </c>
      <c r="V949" s="52" t="str">
        <f t="shared" si="249"/>
        <v/>
      </c>
      <c r="W949" s="1578"/>
      <c r="X949" s="52" t="str">
        <f t="shared" si="240"/>
        <v/>
      </c>
      <c r="Y949" s="52" t="str">
        <f t="shared" si="245"/>
        <v/>
      </c>
      <c r="AA949" s="52" t="str">
        <f t="shared" si="239"/>
        <v/>
      </c>
    </row>
    <row r="950" spans="2:27" ht="39">
      <c r="B950" s="1532" t="str">
        <f t="shared" si="253"/>
        <v>Greater Penetrating Attack</v>
      </c>
      <c r="C950" s="1795"/>
      <c r="D950" s="920"/>
      <c r="E950" s="61"/>
      <c r="F950" s="61" t="s">
        <v>3254</v>
      </c>
      <c r="G950" s="61"/>
      <c r="H950" s="61"/>
      <c r="I950" s="61"/>
      <c r="J950" s="1687" t="s">
        <v>6007</v>
      </c>
      <c r="K950" s="63" t="str">
        <f>IF(AND(Q949="Yes",L949&lt;&gt;""),"Yes","No")</f>
        <v>No</v>
      </c>
      <c r="L950" s="76"/>
      <c r="M950" s="63">
        <f t="shared" si="254"/>
        <v>0</v>
      </c>
      <c r="N950" s="63">
        <v>212</v>
      </c>
      <c r="O950" s="64"/>
      <c r="P950" s="660" t="str">
        <f t="shared" si="255"/>
        <v/>
      </c>
      <c r="Q950" s="52" t="str">
        <f t="shared" si="244"/>
        <v>No</v>
      </c>
      <c r="R950" s="1574" t="str">
        <f t="shared" si="250"/>
        <v/>
      </c>
      <c r="S950" s="52" t="str">
        <f t="shared" si="247"/>
        <v/>
      </c>
      <c r="T950" s="52" t="str">
        <f t="shared" si="248"/>
        <v/>
      </c>
      <c r="U950" s="52" t="str">
        <f t="shared" si="242"/>
        <v/>
      </c>
      <c r="V950" s="52" t="str">
        <f t="shared" si="249"/>
        <v/>
      </c>
      <c r="W950" s="1578"/>
      <c r="X950" s="52" t="str">
        <f t="shared" si="240"/>
        <v/>
      </c>
      <c r="Y950" s="52" t="str">
        <f t="shared" si="245"/>
        <v/>
      </c>
      <c r="AA950" s="52" t="str">
        <f t="shared" si="239"/>
        <v/>
      </c>
    </row>
    <row r="951" spans="2:27" ht="39">
      <c r="B951" s="1532" t="str">
        <f t="shared" si="253"/>
        <v>Greater Weapon Specialization</v>
      </c>
      <c r="C951" s="1795"/>
      <c r="D951" s="920"/>
      <c r="E951" s="61"/>
      <c r="F951" s="61" t="s">
        <v>3255</v>
      </c>
      <c r="G951" s="61"/>
      <c r="H951" s="61"/>
      <c r="I951" s="61"/>
      <c r="J951" s="1687" t="s">
        <v>6000</v>
      </c>
      <c r="K951" s="63" t="str">
        <f>IF(AND(Q950="Yes",L948&lt;&gt;""),"Yes","No")</f>
        <v>No</v>
      </c>
      <c r="L951" s="76"/>
      <c r="M951" s="63">
        <f t="shared" si="254"/>
        <v>0</v>
      </c>
      <c r="N951" s="63">
        <v>212</v>
      </c>
      <c r="O951" s="64"/>
      <c r="P951" s="660" t="str">
        <f t="shared" si="255"/>
        <v/>
      </c>
      <c r="Q951" s="52" t="str">
        <f t="shared" si="244"/>
        <v>No</v>
      </c>
      <c r="R951" s="1574" t="str">
        <f t="shared" si="250"/>
        <v/>
      </c>
      <c r="S951" s="52" t="str">
        <f t="shared" si="247"/>
        <v/>
      </c>
      <c r="T951" s="52" t="str">
        <f t="shared" si="248"/>
        <v/>
      </c>
      <c r="U951" s="52" t="str">
        <f t="shared" si="242"/>
        <v/>
      </c>
      <c r="V951" s="52" t="str">
        <f t="shared" si="249"/>
        <v/>
      </c>
      <c r="W951" s="1578"/>
      <c r="X951" s="52" t="str">
        <f t="shared" si="240"/>
        <v/>
      </c>
      <c r="Y951" s="52" t="str">
        <f t="shared" si="245"/>
        <v/>
      </c>
      <c r="AA951" s="52" t="str">
        <f t="shared" si="239"/>
        <v/>
      </c>
    </row>
    <row r="952" spans="2:27" ht="39">
      <c r="B952" s="1532" t="str">
        <f t="shared" si="253"/>
        <v>Multiattack Proficiency (heavy weapons)</v>
      </c>
      <c r="C952" s="1795"/>
      <c r="D952" s="920"/>
      <c r="E952" s="61" t="s">
        <v>3256</v>
      </c>
      <c r="F952" s="61"/>
      <c r="G952" s="61"/>
      <c r="H952" s="61"/>
      <c r="I952" s="61"/>
      <c r="J952" s="1687" t="s">
        <v>5257</v>
      </c>
      <c r="K952" s="63" t="str">
        <f t="shared" ref="K952:K963" si="256">IF(Q952="Yes","Yes","No")</f>
        <v>No</v>
      </c>
      <c r="L952" s="76"/>
      <c r="M952" s="63">
        <f t="shared" si="254"/>
        <v>0</v>
      </c>
      <c r="N952" s="63">
        <v>212</v>
      </c>
      <c r="O952" s="64"/>
      <c r="P952" s="660" t="str">
        <f t="shared" si="255"/>
        <v/>
      </c>
      <c r="Q952" s="52" t="str">
        <f t="shared" si="244"/>
        <v>No</v>
      </c>
      <c r="R952" s="1574" t="str">
        <f t="shared" si="250"/>
        <v/>
      </c>
      <c r="S952" s="52" t="str">
        <f t="shared" si="247"/>
        <v/>
      </c>
      <c r="T952" s="52" t="str">
        <f t="shared" si="248"/>
        <v/>
      </c>
      <c r="U952" s="52" t="str">
        <f t="shared" si="242"/>
        <v/>
      </c>
      <c r="V952" s="52" t="str">
        <f t="shared" si="249"/>
        <v/>
      </c>
      <c r="W952" s="1578"/>
      <c r="X952" s="52" t="str">
        <f t="shared" si="240"/>
        <v/>
      </c>
      <c r="Y952" s="52" t="str">
        <f t="shared" si="245"/>
        <v/>
      </c>
      <c r="AA952" s="52" t="str">
        <f t="shared" si="239"/>
        <v/>
      </c>
    </row>
    <row r="953" spans="2:27" ht="39">
      <c r="B953" s="1532" t="str">
        <f t="shared" si="253"/>
        <v>Multiattack Proficiency (rifles)</v>
      </c>
      <c r="C953" s="1795"/>
      <c r="D953" s="920"/>
      <c r="E953" s="61" t="s">
        <v>3257</v>
      </c>
      <c r="F953" s="61"/>
      <c r="G953" s="61"/>
      <c r="H953" s="61"/>
      <c r="I953" s="61"/>
      <c r="J953" s="1689" t="s">
        <v>5258</v>
      </c>
      <c r="K953" s="63" t="str">
        <f t="shared" si="256"/>
        <v>No</v>
      </c>
      <c r="L953" s="76"/>
      <c r="M953" s="63">
        <f t="shared" si="254"/>
        <v>0</v>
      </c>
      <c r="N953" s="63">
        <v>212</v>
      </c>
      <c r="O953" s="64"/>
      <c r="P953" s="660" t="str">
        <f t="shared" si="255"/>
        <v/>
      </c>
      <c r="Q953" s="52" t="str">
        <f t="shared" si="244"/>
        <v>No</v>
      </c>
      <c r="R953" s="1574" t="str">
        <f t="shared" si="250"/>
        <v/>
      </c>
      <c r="S953" s="52" t="str">
        <f t="shared" si="247"/>
        <v/>
      </c>
      <c r="T953" s="52" t="str">
        <f t="shared" si="248"/>
        <v/>
      </c>
      <c r="U953" s="52" t="str">
        <f t="shared" si="242"/>
        <v/>
      </c>
      <c r="V953" s="52" t="str">
        <f t="shared" si="249"/>
        <v/>
      </c>
      <c r="W953" s="1578"/>
      <c r="X953" s="52" t="str">
        <f t="shared" si="240"/>
        <v/>
      </c>
      <c r="Y953" s="52" t="str">
        <f t="shared" si="245"/>
        <v/>
      </c>
      <c r="AA953" s="52" t="str">
        <f>IF(U953&lt;&gt;"",IF(Z953="Defenses",U953&amp;IF(AA956&lt;&gt;"",", ",""),"")&amp;AA956,AA956)</f>
        <v/>
      </c>
    </row>
    <row r="954" spans="2:27">
      <c r="B954" s="1575"/>
      <c r="C954" s="1544"/>
      <c r="D954" s="920"/>
      <c r="E954" s="61" t="s">
        <v>8342</v>
      </c>
      <c r="F954" s="61"/>
      <c r="G954" s="61"/>
      <c r="H954" s="61"/>
      <c r="I954" s="61"/>
      <c r="J954" s="1684" t="s">
        <v>8343</v>
      </c>
      <c r="K954" s="63" t="str">
        <f t="shared" si="256"/>
        <v>No</v>
      </c>
      <c r="L954" s="76"/>
      <c r="M954" s="63">
        <f t="shared" si="254"/>
        <v>0</v>
      </c>
      <c r="N954" s="63" t="s">
        <v>8339</v>
      </c>
      <c r="O954" s="64"/>
      <c r="P954" s="660" t="str">
        <f t="shared" si="255"/>
        <v/>
      </c>
      <c r="Q954" s="52" t="str">
        <f t="shared" si="244"/>
        <v>No</v>
      </c>
      <c r="R954" s="1574" t="str">
        <f t="shared" si="250"/>
        <v/>
      </c>
      <c r="S954" s="52" t="str">
        <f t="shared" si="247"/>
        <v/>
      </c>
      <c r="T954" s="52" t="str">
        <f t="shared" si="248"/>
        <v/>
      </c>
      <c r="U954" s="52" t="str">
        <f t="shared" si="242"/>
        <v/>
      </c>
      <c r="V954" s="52" t="str">
        <f t="shared" si="249"/>
        <v/>
      </c>
      <c r="W954" s="1578"/>
      <c r="X954" s="52" t="str">
        <f t="shared" si="240"/>
        <v/>
      </c>
      <c r="Y954" s="52" t="str">
        <f t="shared" si="245"/>
        <v/>
      </c>
    </row>
    <row r="955" spans="2:27">
      <c r="B955" s="1575"/>
      <c r="C955" s="1544"/>
      <c r="D955" s="920"/>
      <c r="E955" s="61" t="s">
        <v>8344</v>
      </c>
      <c r="F955" s="61"/>
      <c r="G955" s="61"/>
      <c r="H955" s="61"/>
      <c r="I955" s="61"/>
      <c r="J955" s="1712" t="s">
        <v>8345</v>
      </c>
      <c r="K955" s="928" t="str">
        <f t="shared" si="256"/>
        <v>No</v>
      </c>
      <c r="L955" s="929"/>
      <c r="M955" s="928">
        <f t="shared" si="254"/>
        <v>0</v>
      </c>
      <c r="N955" s="63" t="s">
        <v>8339</v>
      </c>
      <c r="O955" s="64"/>
      <c r="P955" s="660" t="str">
        <f t="shared" si="255"/>
        <v/>
      </c>
      <c r="Q955" s="52" t="str">
        <f>Q953</f>
        <v>No</v>
      </c>
      <c r="R955" s="1574" t="str">
        <f t="shared" si="250"/>
        <v/>
      </c>
      <c r="S955" s="52" t="str">
        <f t="shared" si="247"/>
        <v/>
      </c>
      <c r="T955" s="52" t="str">
        <f t="shared" si="248"/>
        <v/>
      </c>
      <c r="U955" s="52" t="str">
        <f t="shared" si="242"/>
        <v/>
      </c>
      <c r="V955" s="52" t="str">
        <f t="shared" si="249"/>
        <v/>
      </c>
      <c r="W955" s="1578"/>
      <c r="X955" s="52" t="str">
        <f t="shared" si="240"/>
        <v/>
      </c>
      <c r="Y955" s="52" t="str">
        <f t="shared" si="245"/>
        <v/>
      </c>
    </row>
    <row r="956" spans="2:27" ht="15" customHeight="1">
      <c r="B956" s="1532" t="str">
        <f t="shared" ref="B956:B976" si="257">IF(E956&lt;&gt;"",E956,IF(F956&lt;&gt;"",F956,IF(G956&lt;&gt;"",G956,IF(H956&lt;&gt;"",H956))))</f>
        <v>Cover Bracing</v>
      </c>
      <c r="C956" s="1794" t="s">
        <v>992</v>
      </c>
      <c r="D956" s="922" t="s">
        <v>3258</v>
      </c>
      <c r="E956" s="923" t="s">
        <v>3259</v>
      </c>
      <c r="F956" s="923"/>
      <c r="G956" s="923"/>
      <c r="H956" s="923"/>
      <c r="I956" s="923"/>
      <c r="J956" s="1690" t="s">
        <v>5259</v>
      </c>
      <c r="K956" s="63" t="str">
        <f t="shared" si="256"/>
        <v>No</v>
      </c>
      <c r="L956" s="76"/>
      <c r="M956" s="63">
        <f t="shared" si="243"/>
        <v>0</v>
      </c>
      <c r="N956" s="924" t="s">
        <v>3260</v>
      </c>
      <c r="O956" s="64"/>
      <c r="P956" s="660" t="str">
        <f t="shared" si="255"/>
        <v/>
      </c>
      <c r="Q956" s="52" t="str">
        <f>IF(OR(AD45&gt;0,AD29&gt;0),"Yes","No")</f>
        <v>No</v>
      </c>
      <c r="R956" s="1574" t="str">
        <f t="shared" si="250"/>
        <v/>
      </c>
      <c r="S956" s="52" t="str">
        <f t="shared" si="247"/>
        <v/>
      </c>
      <c r="T956" s="52" t="str">
        <f t="shared" si="248"/>
        <v/>
      </c>
      <c r="U956" s="52" t="str">
        <f t="shared" si="242"/>
        <v/>
      </c>
      <c r="V956" s="52" t="str">
        <f t="shared" si="249"/>
        <v/>
      </c>
      <c r="W956" s="1578"/>
      <c r="X956" s="52" t="str">
        <f t="shared" si="240"/>
        <v/>
      </c>
      <c r="Y956" s="52" t="str">
        <f t="shared" si="245"/>
        <v/>
      </c>
      <c r="AA956" s="52" t="str">
        <f t="shared" si="239"/>
        <v/>
      </c>
    </row>
    <row r="957" spans="2:27">
      <c r="B957" s="1532" t="str">
        <f t="shared" si="257"/>
        <v>Intentional Crash</v>
      </c>
      <c r="C957" s="1795"/>
      <c r="D957" s="920"/>
      <c r="E957" s="61" t="s">
        <v>3261</v>
      </c>
      <c r="F957" s="61"/>
      <c r="G957" s="61"/>
      <c r="H957" s="61"/>
      <c r="I957" s="61"/>
      <c r="J957" s="1687" t="s">
        <v>5260</v>
      </c>
      <c r="K957" s="63" t="str">
        <f t="shared" si="256"/>
        <v>No</v>
      </c>
      <c r="L957" s="76"/>
      <c r="M957" s="63">
        <f t="shared" si="243"/>
        <v>0</v>
      </c>
      <c r="N957" s="63" t="s">
        <v>3260</v>
      </c>
      <c r="O957" s="64"/>
      <c r="P957" s="660" t="str">
        <f t="shared" si="255"/>
        <v/>
      </c>
      <c r="Q957" s="52" t="str">
        <f t="shared" si="244"/>
        <v>No</v>
      </c>
      <c r="R957" s="1574" t="str">
        <f t="shared" si="250"/>
        <v/>
      </c>
      <c r="S957" s="52" t="str">
        <f t="shared" si="247"/>
        <v/>
      </c>
      <c r="T957" s="52" t="str">
        <f t="shared" si="248"/>
        <v/>
      </c>
      <c r="U957" s="52" t="str">
        <f t="shared" si="242"/>
        <v/>
      </c>
      <c r="V957" s="52" t="str">
        <f t="shared" si="249"/>
        <v/>
      </c>
      <c r="W957" s="1578"/>
      <c r="X957" s="52" t="str">
        <f t="shared" si="240"/>
        <v/>
      </c>
      <c r="Y957" s="52" t="str">
        <f t="shared" si="245"/>
        <v/>
      </c>
      <c r="AA957" s="52" t="str">
        <f t="shared" si="239"/>
        <v/>
      </c>
    </row>
    <row r="958" spans="2:27">
      <c r="B958" s="1532" t="str">
        <f t="shared" si="257"/>
        <v>Nonlethal Tactics</v>
      </c>
      <c r="C958" s="1795"/>
      <c r="D958" s="920"/>
      <c r="E958" s="61" t="s">
        <v>3262</v>
      </c>
      <c r="F958" s="61"/>
      <c r="G958" s="61"/>
      <c r="H958" s="61"/>
      <c r="I958" s="61"/>
      <c r="J958" s="1687" t="s">
        <v>5261</v>
      </c>
      <c r="K958" s="63" t="str">
        <f t="shared" si="256"/>
        <v>No</v>
      </c>
      <c r="L958" s="76"/>
      <c r="M958" s="63">
        <f t="shared" si="243"/>
        <v>0</v>
      </c>
      <c r="N958" s="63" t="s">
        <v>3260</v>
      </c>
      <c r="O958" s="64"/>
      <c r="P958" s="660" t="str">
        <f t="shared" si="255"/>
        <v/>
      </c>
      <c r="Q958" s="52" t="str">
        <f t="shared" si="244"/>
        <v>No</v>
      </c>
      <c r="R958" s="1574" t="str">
        <f t="shared" si="250"/>
        <v/>
      </c>
      <c r="S958" s="52" t="str">
        <f t="shared" si="247"/>
        <v/>
      </c>
      <c r="T958" s="52" t="str">
        <f t="shared" si="248"/>
        <v/>
      </c>
      <c r="U958" s="52" t="str">
        <f t="shared" si="242"/>
        <v/>
      </c>
      <c r="V958" s="52" t="str">
        <f t="shared" si="249"/>
        <v/>
      </c>
      <c r="W958" s="1578"/>
      <c r="X958" s="52" t="str">
        <f t="shared" si="240"/>
        <v/>
      </c>
      <c r="Y958" s="52" t="str">
        <f t="shared" si="245"/>
        <v/>
      </c>
      <c r="AA958" s="52" t="str">
        <f t="shared" si="239"/>
        <v/>
      </c>
    </row>
    <row r="959" spans="2:27">
      <c r="B959" s="1532" t="str">
        <f t="shared" si="257"/>
        <v>Pursuit</v>
      </c>
      <c r="C959" s="1795"/>
      <c r="D959" s="920"/>
      <c r="E959" s="61" t="s">
        <v>3263</v>
      </c>
      <c r="F959" s="61"/>
      <c r="G959" s="61"/>
      <c r="H959" s="61"/>
      <c r="I959" s="61"/>
      <c r="J959" s="1687" t="s">
        <v>5262</v>
      </c>
      <c r="K959" s="63" t="str">
        <f t="shared" si="256"/>
        <v>No</v>
      </c>
      <c r="L959" s="76"/>
      <c r="M959" s="63">
        <f t="shared" si="243"/>
        <v>0</v>
      </c>
      <c r="N959" s="63" t="s">
        <v>3260</v>
      </c>
      <c r="O959" s="64"/>
      <c r="P959" s="660" t="str">
        <f t="shared" si="255"/>
        <v/>
      </c>
      <c r="Q959" s="52" t="str">
        <f t="shared" si="244"/>
        <v>No</v>
      </c>
      <c r="R959" s="1574" t="str">
        <f t="shared" si="250"/>
        <v/>
      </c>
      <c r="S959" s="52" t="str">
        <f t="shared" si="247"/>
        <v/>
      </c>
      <c r="T959" s="52" t="str">
        <f t="shared" si="248"/>
        <v/>
      </c>
      <c r="U959" s="52" t="str">
        <f t="shared" si="242"/>
        <v/>
      </c>
      <c r="V959" s="52" t="str">
        <f t="shared" si="249"/>
        <v/>
      </c>
      <c r="W959" s="1578"/>
      <c r="X959" s="52" t="str">
        <f t="shared" si="240"/>
        <v/>
      </c>
      <c r="Y959" s="52" t="str">
        <f t="shared" si="245"/>
        <v/>
      </c>
      <c r="AA959" s="52" t="str">
        <f t="shared" si="239"/>
        <v/>
      </c>
    </row>
    <row r="960" spans="2:27">
      <c r="B960" s="1532" t="str">
        <f t="shared" si="257"/>
        <v>Respected Officer</v>
      </c>
      <c r="C960" s="1795"/>
      <c r="D960" s="920"/>
      <c r="E960" s="61" t="s">
        <v>3264</v>
      </c>
      <c r="F960" s="61"/>
      <c r="G960" s="61"/>
      <c r="H960" s="61"/>
      <c r="I960" s="61"/>
      <c r="J960" s="1687" t="s">
        <v>5263</v>
      </c>
      <c r="K960" s="63" t="str">
        <f t="shared" si="256"/>
        <v>No</v>
      </c>
      <c r="L960" s="76"/>
      <c r="M960" s="63">
        <f t="shared" si="243"/>
        <v>0</v>
      </c>
      <c r="N960" s="63" t="s">
        <v>3260</v>
      </c>
      <c r="O960" s="64"/>
      <c r="P960" s="660" t="str">
        <f t="shared" si="255"/>
        <v/>
      </c>
      <c r="Q960" s="52" t="str">
        <f t="shared" si="244"/>
        <v>No</v>
      </c>
      <c r="R960" s="1574" t="str">
        <f t="shared" si="250"/>
        <v/>
      </c>
      <c r="S960" s="52" t="str">
        <f t="shared" si="247"/>
        <v/>
      </c>
      <c r="T960" s="52" t="str">
        <f t="shared" si="248"/>
        <v/>
      </c>
      <c r="U960" s="52" t="str">
        <f t="shared" si="242"/>
        <v/>
      </c>
      <c r="V960" s="52" t="str">
        <f t="shared" si="249"/>
        <v/>
      </c>
      <c r="W960" s="1578"/>
      <c r="X960" s="52" t="str">
        <f t="shared" si="240"/>
        <v/>
      </c>
      <c r="Y960" s="52" t="str">
        <f t="shared" si="245"/>
        <v/>
      </c>
      <c r="AA960" s="52" t="str">
        <f t="shared" si="239"/>
        <v/>
      </c>
    </row>
    <row r="961" spans="2:27">
      <c r="B961" s="1532" t="str">
        <f t="shared" si="257"/>
        <v>Slowing Stun</v>
      </c>
      <c r="C961" s="1795"/>
      <c r="D961" s="920"/>
      <c r="E961" s="61" t="s">
        <v>3265</v>
      </c>
      <c r="F961" s="61"/>
      <c r="G961" s="61"/>
      <c r="H961" s="61"/>
      <c r="I961" s="61"/>
      <c r="J961" s="1687" t="s">
        <v>5264</v>
      </c>
      <c r="K961" s="63" t="str">
        <f t="shared" si="256"/>
        <v>No</v>
      </c>
      <c r="L961" s="76"/>
      <c r="M961" s="63">
        <f t="shared" si="243"/>
        <v>0</v>
      </c>
      <c r="N961" s="63" t="s">
        <v>3260</v>
      </c>
      <c r="O961" s="64"/>
      <c r="P961" s="660" t="str">
        <f t="shared" si="255"/>
        <v/>
      </c>
      <c r="Q961" s="52" t="str">
        <f t="shared" si="244"/>
        <v>No</v>
      </c>
      <c r="R961" s="1574" t="str">
        <f t="shared" si="250"/>
        <v/>
      </c>
      <c r="S961" s="52" t="str">
        <f t="shared" si="247"/>
        <v/>
      </c>
      <c r="T961" s="52" t="str">
        <f t="shared" si="248"/>
        <v/>
      </c>
      <c r="U961" s="52" t="str">
        <f t="shared" si="242"/>
        <v/>
      </c>
      <c r="V961" s="52" t="str">
        <f t="shared" si="249"/>
        <v/>
      </c>
      <c r="W961" s="1578"/>
      <c r="X961" s="52" t="str">
        <f t="shared" ref="X961:X1024" si="258">IF(U961&lt;&gt;"",IF(W961="Special Actions",U961&amp;IF(X962&lt;&gt;"",", ",""),"")&amp;X962,X962)</f>
        <v/>
      </c>
      <c r="Y961" s="52" t="str">
        <f t="shared" si="245"/>
        <v/>
      </c>
      <c r="AA961" s="52" t="str">
        <f t="shared" si="239"/>
        <v/>
      </c>
    </row>
    <row r="962" spans="2:27">
      <c r="B962" s="1532" t="str">
        <f t="shared" si="257"/>
        <v>Takedown</v>
      </c>
      <c r="C962" s="1796"/>
      <c r="D962" s="71"/>
      <c r="E962" s="927" t="s">
        <v>3266</v>
      </c>
      <c r="F962" s="927"/>
      <c r="G962" s="927"/>
      <c r="H962" s="927"/>
      <c r="I962" s="927"/>
      <c r="J962" s="1691" t="s">
        <v>5265</v>
      </c>
      <c r="K962" s="928" t="str">
        <f t="shared" si="256"/>
        <v>No</v>
      </c>
      <c r="L962" s="929"/>
      <c r="M962" s="928">
        <f t="shared" si="243"/>
        <v>0</v>
      </c>
      <c r="N962" s="928" t="s">
        <v>3260</v>
      </c>
      <c r="O962" s="64"/>
      <c r="P962" s="660" t="str">
        <f t="shared" si="255"/>
        <v/>
      </c>
      <c r="Q962" s="52" t="str">
        <f t="shared" si="244"/>
        <v>No</v>
      </c>
      <c r="R962" s="1574" t="str">
        <f t="shared" si="250"/>
        <v/>
      </c>
      <c r="S962" s="52" t="str">
        <f t="shared" si="247"/>
        <v/>
      </c>
      <c r="T962" s="52" t="str">
        <f t="shared" si="248"/>
        <v/>
      </c>
      <c r="U962" s="52" t="str">
        <f t="shared" si="242"/>
        <v/>
      </c>
      <c r="V962" s="52" t="str">
        <f t="shared" si="249"/>
        <v/>
      </c>
      <c r="W962" s="1578"/>
      <c r="X962" s="52" t="str">
        <f t="shared" si="258"/>
        <v/>
      </c>
      <c r="Y962" s="52" t="str">
        <f t="shared" si="245"/>
        <v/>
      </c>
      <c r="AA962" s="52" t="str">
        <f t="shared" si="239"/>
        <v/>
      </c>
    </row>
    <row r="963" spans="2:27" ht="15" customHeight="1">
      <c r="B963" s="1532" t="str">
        <f t="shared" si="257"/>
        <v>Charm Beast</v>
      </c>
      <c r="C963" s="1794" t="s">
        <v>552</v>
      </c>
      <c r="D963" s="920" t="s">
        <v>4406</v>
      </c>
      <c r="E963" s="61" t="s">
        <v>2993</v>
      </c>
      <c r="F963" s="61"/>
      <c r="G963" s="61"/>
      <c r="H963" s="61"/>
      <c r="I963" s="61"/>
      <c r="J963" s="1690" t="s">
        <v>5890</v>
      </c>
      <c r="K963" s="63" t="str">
        <f t="shared" ca="1" si="256"/>
        <v>No</v>
      </c>
      <c r="L963" s="76"/>
      <c r="M963" s="63">
        <f t="shared" si="243"/>
        <v>0</v>
      </c>
      <c r="N963" s="63" t="str">
        <f>N964</f>
        <v>JATM 18</v>
      </c>
      <c r="O963" s="64"/>
      <c r="P963" s="660" t="str">
        <f t="shared" si="255"/>
        <v/>
      </c>
      <c r="Q963" s="52" t="str">
        <f ca="1">IF(AND(ForceSensitive="Yes",OR(AD17&gt;0,AD22&gt;0)),"Yes","No")</f>
        <v>No</v>
      </c>
      <c r="R963" s="1574" t="str">
        <f t="shared" si="250"/>
        <v/>
      </c>
      <c r="S963" s="52" t="str">
        <f t="shared" si="247"/>
        <v/>
      </c>
      <c r="T963" s="52" t="str">
        <f t="shared" si="248"/>
        <v/>
      </c>
      <c r="U963" s="52" t="str">
        <f t="shared" si="242"/>
        <v/>
      </c>
      <c r="V963" s="52" t="str">
        <f t="shared" si="249"/>
        <v/>
      </c>
      <c r="W963" s="1578"/>
      <c r="X963" s="52" t="str">
        <f t="shared" si="258"/>
        <v/>
      </c>
      <c r="Y963" s="52" t="str">
        <f t="shared" si="245"/>
        <v/>
      </c>
      <c r="AA963" s="52" t="str">
        <f t="shared" si="239"/>
        <v/>
      </c>
    </row>
    <row r="964" spans="2:27">
      <c r="B964" s="1532" t="str">
        <f t="shared" si="257"/>
        <v>Bonded Mount</v>
      </c>
      <c r="C964" s="1795"/>
      <c r="D964" s="920"/>
      <c r="E964" s="61"/>
      <c r="F964" s="61" t="s">
        <v>4407</v>
      </c>
      <c r="G964" s="61"/>
      <c r="H964" s="61"/>
      <c r="I964" s="61"/>
      <c r="J964" s="1687" t="s">
        <v>5891</v>
      </c>
      <c r="K964" s="63" t="str">
        <f ca="1">IF(AND(Q964="Yes",M$963&gt;0),"Yes","No")</f>
        <v>No</v>
      </c>
      <c r="L964" s="76"/>
      <c r="M964" s="63">
        <f t="shared" si="243"/>
        <v>0</v>
      </c>
      <c r="N964" s="63" t="s">
        <v>4411</v>
      </c>
      <c r="O964" s="64"/>
      <c r="P964" s="660" t="str">
        <f t="shared" si="255"/>
        <v/>
      </c>
      <c r="Q964" s="52" t="str">
        <f t="shared" ca="1" si="244"/>
        <v>No</v>
      </c>
      <c r="R964" s="1574" t="str">
        <f t="shared" si="250"/>
        <v/>
      </c>
      <c r="S964" s="52" t="str">
        <f t="shared" si="247"/>
        <v/>
      </c>
      <c r="T964" s="52" t="str">
        <f t="shared" si="248"/>
        <v/>
      </c>
      <c r="U964" s="52" t="str">
        <f t="shared" si="242"/>
        <v/>
      </c>
      <c r="V964" s="52" t="str">
        <f t="shared" si="249"/>
        <v/>
      </c>
      <c r="W964" s="1578"/>
      <c r="X964" s="52" t="str">
        <f t="shared" si="258"/>
        <v/>
      </c>
      <c r="Y964" s="52" t="str">
        <f t="shared" si="245"/>
        <v/>
      </c>
      <c r="AA964" s="52" t="str">
        <f t="shared" ref="AA964:AA1038" si="259">IF(U964&lt;&gt;"",IF(Z964="Defenses",U964&amp;IF(AA965&lt;&gt;"",", ",""),"")&amp;AA965,AA965)</f>
        <v/>
      </c>
    </row>
    <row r="965" spans="2:27">
      <c r="B965" s="1532" t="str">
        <f t="shared" si="257"/>
        <v>Entreat Beast</v>
      </c>
      <c r="C965" s="1795"/>
      <c r="D965" s="920"/>
      <c r="E965" s="61"/>
      <c r="F965" s="61" t="s">
        <v>4408</v>
      </c>
      <c r="G965" s="61"/>
      <c r="H965" s="61"/>
      <c r="I965" s="61"/>
      <c r="J965" s="1687" t="s">
        <v>5892</v>
      </c>
      <c r="K965" s="63" t="str">
        <f ca="1">IF(AND(Q965="Yes",M$963&gt;0),"Yes","No")</f>
        <v>No</v>
      </c>
      <c r="L965" s="76"/>
      <c r="M965" s="63">
        <f t="shared" si="243"/>
        <v>0</v>
      </c>
      <c r="N965" s="63" t="s">
        <v>4411</v>
      </c>
      <c r="O965" s="64"/>
      <c r="P965" s="660" t="str">
        <f t="shared" si="255"/>
        <v/>
      </c>
      <c r="Q965" s="52" t="str">
        <f t="shared" ca="1" si="244"/>
        <v>No</v>
      </c>
      <c r="R965" s="1574" t="str">
        <f t="shared" si="250"/>
        <v/>
      </c>
      <c r="S965" s="52" t="str">
        <f t="shared" si="247"/>
        <v/>
      </c>
      <c r="T965" s="52" t="str">
        <f t="shared" si="248"/>
        <v/>
      </c>
      <c r="U965" s="52" t="str">
        <f t="shared" si="242"/>
        <v/>
      </c>
      <c r="V965" s="52" t="str">
        <f t="shared" si="249"/>
        <v/>
      </c>
      <c r="W965" s="1578"/>
      <c r="X965" s="52" t="str">
        <f t="shared" si="258"/>
        <v/>
      </c>
      <c r="Y965" s="52" t="str">
        <f t="shared" si="245"/>
        <v/>
      </c>
      <c r="AA965" s="52" t="str">
        <f t="shared" si="259"/>
        <v/>
      </c>
    </row>
    <row r="966" spans="2:27">
      <c r="B966" s="1532" t="str">
        <f t="shared" si="257"/>
        <v>Soothing Presence</v>
      </c>
      <c r="C966" s="1795"/>
      <c r="D966" s="920"/>
      <c r="E966" s="61"/>
      <c r="F966" s="61" t="s">
        <v>4409</v>
      </c>
      <c r="G966" s="61"/>
      <c r="H966" s="61"/>
      <c r="I966" s="61"/>
      <c r="J966" s="1687" t="s">
        <v>5893</v>
      </c>
      <c r="K966" s="63" t="str">
        <f ca="1">IF(AND(Q966="Yes",M$963&gt;0),"Yes","No")</f>
        <v>No</v>
      </c>
      <c r="L966" s="76"/>
      <c r="M966" s="63">
        <f t="shared" si="243"/>
        <v>0</v>
      </c>
      <c r="N966" s="63" t="s">
        <v>4411</v>
      </c>
      <c r="O966" s="64"/>
      <c r="P966" s="660" t="str">
        <f t="shared" si="255"/>
        <v/>
      </c>
      <c r="Q966" s="52" t="str">
        <f t="shared" ca="1" si="244"/>
        <v>No</v>
      </c>
      <c r="R966" s="1574" t="str">
        <f t="shared" si="250"/>
        <v/>
      </c>
      <c r="S966" s="52" t="str">
        <f t="shared" si="247"/>
        <v/>
      </c>
      <c r="T966" s="52" t="str">
        <f t="shared" si="248"/>
        <v/>
      </c>
      <c r="U966" s="52" t="str">
        <f t="shared" si="242"/>
        <v/>
      </c>
      <c r="V966" s="52" t="str">
        <f t="shared" si="249"/>
        <v/>
      </c>
      <c r="W966" s="1578"/>
      <c r="X966" s="52" t="str">
        <f t="shared" si="258"/>
        <v/>
      </c>
      <c r="Y966" s="52" t="str">
        <f t="shared" si="245"/>
        <v/>
      </c>
      <c r="AA966" s="52" t="str">
        <f t="shared" si="259"/>
        <v/>
      </c>
    </row>
    <row r="967" spans="2:27">
      <c r="B967" s="1532" t="str">
        <f t="shared" si="257"/>
        <v>Wild Sense</v>
      </c>
      <c r="C967" s="1795"/>
      <c r="D967" s="920"/>
      <c r="E967" s="61"/>
      <c r="F967" s="61" t="s">
        <v>4410</v>
      </c>
      <c r="G967" s="61"/>
      <c r="H967" s="61"/>
      <c r="I967" s="61"/>
      <c r="J967" s="1687" t="s">
        <v>5894</v>
      </c>
      <c r="K967" s="63" t="str">
        <f ca="1">IF(AND(Q967="Yes",M$963&gt;0),"Yes","No")</f>
        <v>No</v>
      </c>
      <c r="L967" s="76"/>
      <c r="M967" s="63">
        <f t="shared" si="243"/>
        <v>0</v>
      </c>
      <c r="N967" s="63" t="s">
        <v>4411</v>
      </c>
      <c r="O967" s="64"/>
      <c r="P967" s="660" t="str">
        <f t="shared" si="255"/>
        <v/>
      </c>
      <c r="Q967" s="52" t="str">
        <f t="shared" ca="1" si="244"/>
        <v>No</v>
      </c>
      <c r="R967" s="1574" t="str">
        <f t="shared" si="250"/>
        <v/>
      </c>
      <c r="S967" s="52" t="str">
        <f t="shared" si="247"/>
        <v/>
      </c>
      <c r="T967" s="52" t="str">
        <f t="shared" si="248"/>
        <v/>
      </c>
      <c r="U967" s="52" t="str">
        <f t="shared" si="242"/>
        <v/>
      </c>
      <c r="V967" s="52" t="str">
        <f t="shared" si="249"/>
        <v/>
      </c>
      <c r="W967" s="1578"/>
      <c r="X967" s="52" t="str">
        <f t="shared" si="258"/>
        <v/>
      </c>
      <c r="Y967" s="52" t="str">
        <f t="shared" si="245"/>
        <v/>
      </c>
      <c r="AA967" s="52" t="str">
        <f t="shared" si="259"/>
        <v/>
      </c>
    </row>
    <row r="968" spans="2:27" ht="15" customHeight="1">
      <c r="B968" s="1532" t="str">
        <f t="shared" si="257"/>
        <v>Channel Aggression</v>
      </c>
      <c r="C968" s="1795"/>
      <c r="D968" s="920" t="s">
        <v>3267</v>
      </c>
      <c r="E968" s="61" t="s">
        <v>3268</v>
      </c>
      <c r="F968" s="61"/>
      <c r="G968" s="61"/>
      <c r="H968" s="61"/>
      <c r="I968" s="61"/>
      <c r="J968" s="1687" t="s">
        <v>5266</v>
      </c>
      <c r="K968" s="63" t="str">
        <f ca="1">IF(Q968="Yes","Yes","No")</f>
        <v>No</v>
      </c>
      <c r="L968" s="76"/>
      <c r="M968" s="63">
        <f t="shared" si="243"/>
        <v>0</v>
      </c>
      <c r="N968" s="63">
        <v>213</v>
      </c>
      <c r="O968" s="64"/>
      <c r="P968" s="660" t="str">
        <f t="shared" si="255"/>
        <v/>
      </c>
      <c r="Q968" s="52" t="str">
        <f t="shared" ca="1" si="244"/>
        <v>No</v>
      </c>
      <c r="R968" s="1574" t="str">
        <f t="shared" si="250"/>
        <v/>
      </c>
      <c r="S968" s="52" t="str">
        <f t="shared" si="247"/>
        <v/>
      </c>
      <c r="T968" s="52" t="str">
        <f t="shared" si="248"/>
        <v/>
      </c>
      <c r="U968" s="52" t="str">
        <f t="shared" si="242"/>
        <v/>
      </c>
      <c r="V968" s="52" t="str">
        <f t="shared" si="249"/>
        <v/>
      </c>
      <c r="W968" s="1578"/>
      <c r="X968" s="52" t="str">
        <f t="shared" si="258"/>
        <v/>
      </c>
      <c r="Y968" s="52" t="str">
        <f t="shared" si="245"/>
        <v/>
      </c>
      <c r="AA968" s="52" t="str">
        <f t="shared" si="259"/>
        <v/>
      </c>
    </row>
    <row r="969" spans="2:27" ht="26">
      <c r="B969" s="1532" t="str">
        <f t="shared" si="257"/>
        <v>Channel Anger</v>
      </c>
      <c r="C969" s="1795"/>
      <c r="D969" s="920"/>
      <c r="E969" s="61"/>
      <c r="F969" s="61" t="s">
        <v>3269</v>
      </c>
      <c r="G969" s="61"/>
      <c r="H969" s="61"/>
      <c r="I969" s="61"/>
      <c r="J969" s="1687" t="s">
        <v>5267</v>
      </c>
      <c r="K969" s="63" t="str">
        <f ca="1">IF(AND(Q969="Yes",M$968&gt;0),"Yes","No")</f>
        <v>No</v>
      </c>
      <c r="L969" s="76"/>
      <c r="M969" s="63">
        <f t="shared" si="243"/>
        <v>0</v>
      </c>
      <c r="N969" s="63">
        <v>213</v>
      </c>
      <c r="O969" s="64"/>
      <c r="P969" s="660" t="str">
        <f t="shared" si="255"/>
        <v/>
      </c>
      <c r="Q969" s="52" t="str">
        <f t="shared" ca="1" si="244"/>
        <v>No</v>
      </c>
      <c r="R969" s="1574" t="str">
        <f t="shared" si="250"/>
        <v/>
      </c>
      <c r="S969" s="52" t="str">
        <f t="shared" si="247"/>
        <v/>
      </c>
      <c r="T969" s="52" t="str">
        <f t="shared" si="248"/>
        <v/>
      </c>
      <c r="U969" s="52" t="str">
        <f t="shared" si="242"/>
        <v/>
      </c>
      <c r="V969" s="52" t="str">
        <f t="shared" si="249"/>
        <v/>
      </c>
      <c r="W969" s="1578"/>
      <c r="X969" s="52" t="str">
        <f t="shared" si="258"/>
        <v/>
      </c>
      <c r="Y969" s="52" t="str">
        <f t="shared" si="245"/>
        <v/>
      </c>
      <c r="AA969" s="52" t="str">
        <f t="shared" si="259"/>
        <v/>
      </c>
    </row>
    <row r="970" spans="2:27" ht="26">
      <c r="B970" s="1532" t="str">
        <f t="shared" si="257"/>
        <v>Embrace the Dark Side</v>
      </c>
      <c r="C970" s="1795"/>
      <c r="D970" s="920"/>
      <c r="E970" s="61"/>
      <c r="F970" s="61"/>
      <c r="G970" s="61" t="s">
        <v>3270</v>
      </c>
      <c r="H970" s="61"/>
      <c r="I970" s="61"/>
      <c r="J970" s="1687" t="s">
        <v>5268</v>
      </c>
      <c r="K970" s="63" t="str">
        <f ca="1">IF(AND(Q970="Yes",M$968&gt;0,M969&gt;0),"Yes","No")</f>
        <v>No</v>
      </c>
      <c r="L970" s="76"/>
      <c r="M970" s="63">
        <f t="shared" si="243"/>
        <v>0</v>
      </c>
      <c r="N970" s="63">
        <v>213</v>
      </c>
      <c r="O970" s="64"/>
      <c r="P970" s="660" t="str">
        <f t="shared" si="255"/>
        <v/>
      </c>
      <c r="Q970" s="52" t="str">
        <f t="shared" ca="1" si="244"/>
        <v>No</v>
      </c>
      <c r="R970" s="1574" t="str">
        <f t="shared" si="250"/>
        <v/>
      </c>
      <c r="S970" s="52" t="str">
        <f t="shared" si="247"/>
        <v/>
      </c>
      <c r="T970" s="52" t="str">
        <f t="shared" si="248"/>
        <v/>
      </c>
      <c r="U970" s="52" t="str">
        <f t="shared" si="242"/>
        <v/>
      </c>
      <c r="V970" s="52" t="str">
        <f t="shared" si="249"/>
        <v/>
      </c>
      <c r="W970" s="1578"/>
      <c r="X970" s="52" t="str">
        <f t="shared" si="258"/>
        <v/>
      </c>
      <c r="Y970" s="52" t="str">
        <f t="shared" si="245"/>
        <v/>
      </c>
      <c r="AA970" s="52" t="str">
        <f t="shared" si="259"/>
        <v/>
      </c>
    </row>
    <row r="971" spans="2:27">
      <c r="B971" s="1532" t="str">
        <f t="shared" si="257"/>
        <v>Crippling Strike</v>
      </c>
      <c r="C971" s="1795"/>
      <c r="D971" s="920"/>
      <c r="E971" s="61"/>
      <c r="F971" s="61" t="s">
        <v>3271</v>
      </c>
      <c r="G971" s="61"/>
      <c r="H971" s="61"/>
      <c r="I971" s="61"/>
      <c r="J971" s="1687" t="s">
        <v>5269</v>
      </c>
      <c r="K971" s="63" t="str">
        <f ca="1">IF(AND(Q971="Yes",M$968&gt;0),"Yes","No")</f>
        <v>No</v>
      </c>
      <c r="L971" s="76"/>
      <c r="M971" s="63">
        <f t="shared" si="243"/>
        <v>0</v>
      </c>
      <c r="N971" s="63">
        <v>213</v>
      </c>
      <c r="O971" s="64"/>
      <c r="P971" s="660" t="str">
        <f t="shared" si="255"/>
        <v/>
      </c>
      <c r="Q971" s="52" t="str">
        <f t="shared" ca="1" si="244"/>
        <v>No</v>
      </c>
      <c r="R971" s="1574" t="str">
        <f t="shared" si="250"/>
        <v/>
      </c>
      <c r="S971" s="52" t="str">
        <f t="shared" si="247"/>
        <v/>
      </c>
      <c r="T971" s="52" t="str">
        <f t="shared" si="248"/>
        <v/>
      </c>
      <c r="U971" s="52" t="str">
        <f t="shared" si="242"/>
        <v/>
      </c>
      <c r="V971" s="52" t="str">
        <f t="shared" si="249"/>
        <v/>
      </c>
      <c r="W971" s="1578"/>
      <c r="X971" s="52" t="str">
        <f t="shared" si="258"/>
        <v/>
      </c>
      <c r="Y971" s="52" t="str">
        <f t="shared" si="245"/>
        <v/>
      </c>
      <c r="AA971" s="52" t="str">
        <f t="shared" si="259"/>
        <v/>
      </c>
    </row>
    <row r="972" spans="2:27">
      <c r="B972" s="1532" t="str">
        <f t="shared" si="257"/>
        <v>Dark Side Talisman</v>
      </c>
      <c r="C972" s="1795"/>
      <c r="D972" s="920"/>
      <c r="E972" s="61" t="s">
        <v>4404</v>
      </c>
      <c r="F972" s="61"/>
      <c r="G972" s="61"/>
      <c r="H972" s="61"/>
      <c r="I972" s="61"/>
      <c r="J972" s="1692" t="s">
        <v>5989</v>
      </c>
      <c r="K972" s="63" t="str">
        <f ca="1">IF(Q972="Yes","Yes","No")</f>
        <v>No</v>
      </c>
      <c r="L972" s="76"/>
      <c r="M972" s="63">
        <f t="shared" si="243"/>
        <v>0</v>
      </c>
      <c r="N972" s="63" t="s">
        <v>4403</v>
      </c>
      <c r="O972" s="64"/>
      <c r="P972" s="660" t="str">
        <f t="shared" si="255"/>
        <v/>
      </c>
      <c r="Q972" s="52" t="str">
        <f t="shared" ca="1" si="244"/>
        <v>No</v>
      </c>
      <c r="R972" s="1574" t="str">
        <f t="shared" si="250"/>
        <v/>
      </c>
      <c r="S972" s="52" t="str">
        <f t="shared" si="247"/>
        <v/>
      </c>
      <c r="T972" s="52" t="str">
        <f t="shared" si="248"/>
        <v/>
      </c>
      <c r="U972" s="52" t="str">
        <f t="shared" si="242"/>
        <v/>
      </c>
      <c r="V972" s="52" t="str">
        <f t="shared" si="249"/>
        <v/>
      </c>
      <c r="W972" s="1578"/>
      <c r="X972" s="52" t="str">
        <f t="shared" si="258"/>
        <v/>
      </c>
      <c r="Y972" s="52" t="str">
        <f t="shared" si="245"/>
        <v/>
      </c>
      <c r="AA972" s="52" t="str">
        <f t="shared" si="259"/>
        <v/>
      </c>
    </row>
    <row r="973" spans="2:27">
      <c r="B973" s="1532" t="str">
        <f t="shared" si="257"/>
        <v>Greater Dark Side Talisman</v>
      </c>
      <c r="C973" s="1795"/>
      <c r="D973" s="920"/>
      <c r="E973" s="61"/>
      <c r="F973" s="61" t="s">
        <v>4405</v>
      </c>
      <c r="G973" s="61"/>
      <c r="H973" s="61"/>
      <c r="I973" s="61"/>
      <c r="J973" s="1692" t="s">
        <v>5990</v>
      </c>
      <c r="K973" s="63" t="str">
        <f ca="1">IF(AND(Q973="Yes",M972&gt;0),"Yes","No")</f>
        <v>No</v>
      </c>
      <c r="L973" s="76"/>
      <c r="M973" s="63">
        <f t="shared" si="243"/>
        <v>0</v>
      </c>
      <c r="N973" s="63" t="s">
        <v>4403</v>
      </c>
      <c r="O973" s="64"/>
      <c r="P973" s="660" t="str">
        <f t="shared" si="255"/>
        <v/>
      </c>
      <c r="Q973" s="52" t="str">
        <f t="shared" ca="1" si="244"/>
        <v>No</v>
      </c>
      <c r="R973" s="1574" t="str">
        <f t="shared" si="250"/>
        <v/>
      </c>
      <c r="S973" s="52" t="str">
        <f t="shared" si="247"/>
        <v/>
      </c>
      <c r="T973" s="52" t="str">
        <f t="shared" si="248"/>
        <v/>
      </c>
      <c r="U973" s="52" t="str">
        <f t="shared" si="242"/>
        <v/>
      </c>
      <c r="V973" s="52" t="str">
        <f t="shared" si="249"/>
        <v/>
      </c>
      <c r="W973" s="1578"/>
      <c r="X973" s="52" t="str">
        <f t="shared" si="258"/>
        <v/>
      </c>
      <c r="Y973" s="52" t="str">
        <f t="shared" si="245"/>
        <v/>
      </c>
      <c r="AA973" s="52" t="str">
        <f t="shared" si="259"/>
        <v/>
      </c>
    </row>
    <row r="974" spans="2:27" ht="39">
      <c r="B974" s="1532" t="str">
        <f t="shared" si="257"/>
        <v>Force Power Adept</v>
      </c>
      <c r="C974" s="1795"/>
      <c r="D974" s="920" t="s">
        <v>552</v>
      </c>
      <c r="E974" s="61" t="s">
        <v>3272</v>
      </c>
      <c r="F974" s="61"/>
      <c r="G974" s="61"/>
      <c r="H974" s="61"/>
      <c r="I974" s="61"/>
      <c r="J974" s="1687" t="s">
        <v>5270</v>
      </c>
      <c r="K974" s="63" t="str">
        <f ca="1">IF(Q974="Yes","Yes","No")</f>
        <v>No</v>
      </c>
      <c r="L974" s="76"/>
      <c r="M974" s="63">
        <f>IF(L974&lt;&gt;"",L974,0)</f>
        <v>0</v>
      </c>
      <c r="N974" s="63">
        <v>214</v>
      </c>
      <c r="O974" s="64"/>
      <c r="P974" s="660" t="str">
        <f t="shared" si="255"/>
        <v/>
      </c>
      <c r="Q974" s="52" t="str">
        <f t="shared" ca="1" si="244"/>
        <v>No</v>
      </c>
      <c r="R974" s="1574" t="str">
        <f t="shared" si="250"/>
        <v/>
      </c>
      <c r="S974" s="52" t="str">
        <f t="shared" si="247"/>
        <v/>
      </c>
      <c r="T974" s="52" t="str">
        <f t="shared" si="248"/>
        <v/>
      </c>
      <c r="U974" s="52" t="str">
        <f t="shared" si="242"/>
        <v/>
      </c>
      <c r="V974" s="52" t="str">
        <f t="shared" si="249"/>
        <v/>
      </c>
      <c r="W974" s="1578"/>
      <c r="X974" s="52" t="str">
        <f t="shared" si="258"/>
        <v/>
      </c>
      <c r="Y974" s="52" t="str">
        <f t="shared" si="245"/>
        <v/>
      </c>
      <c r="AA974" s="52" t="str">
        <f t="shared" si="259"/>
        <v/>
      </c>
    </row>
    <row r="975" spans="2:27" ht="26">
      <c r="B975" s="1532" t="str">
        <f t="shared" si="257"/>
        <v>Force Treatment</v>
      </c>
      <c r="C975" s="1795"/>
      <c r="D975" s="920"/>
      <c r="E975" s="61" t="s">
        <v>3273</v>
      </c>
      <c r="F975" s="61"/>
      <c r="G975" s="61"/>
      <c r="H975" s="61"/>
      <c r="I975" s="61"/>
      <c r="J975" s="1687" t="s">
        <v>5271</v>
      </c>
      <c r="K975" s="63" t="str">
        <f ca="1">IF(Q975="Yes","Yes","No")</f>
        <v>No</v>
      </c>
      <c r="L975" s="76"/>
      <c r="M975" s="63">
        <f t="shared" si="243"/>
        <v>0</v>
      </c>
      <c r="N975" s="63">
        <v>214</v>
      </c>
      <c r="O975" s="64"/>
      <c r="P975" s="660" t="str">
        <f t="shared" si="255"/>
        <v/>
      </c>
      <c r="Q975" s="52" t="str">
        <f t="shared" ca="1" si="244"/>
        <v>No</v>
      </c>
      <c r="R975" s="1574" t="str">
        <f t="shared" si="250"/>
        <v/>
      </c>
      <c r="S975" s="52" t="str">
        <f t="shared" si="247"/>
        <v/>
      </c>
      <c r="T975" s="52" t="str">
        <f t="shared" si="248"/>
        <v/>
      </c>
      <c r="U975" s="52" t="str">
        <f t="shared" si="242"/>
        <v/>
      </c>
      <c r="V975" s="52" t="str">
        <f t="shared" si="249"/>
        <v/>
      </c>
      <c r="W975" s="1578"/>
      <c r="X975" s="52" t="str">
        <f t="shared" si="258"/>
        <v/>
      </c>
      <c r="Y975" s="52" t="str">
        <f t="shared" si="245"/>
        <v/>
      </c>
      <c r="AA975" s="52" t="str">
        <f t="shared" si="259"/>
        <v/>
      </c>
    </row>
    <row r="976" spans="2:27">
      <c r="B976" s="1532" t="str">
        <f t="shared" si="257"/>
        <v>Fortified Body</v>
      </c>
      <c r="C976" s="1795"/>
      <c r="D976" s="920"/>
      <c r="E976" s="61" t="s">
        <v>3274</v>
      </c>
      <c r="F976" s="61"/>
      <c r="G976" s="61"/>
      <c r="H976" s="61"/>
      <c r="I976" s="61"/>
      <c r="J976" s="1687" t="s">
        <v>5272</v>
      </c>
      <c r="K976" s="63" t="str">
        <f ca="1">IF(AND(Q976="Yes",M91=1),"Yes","No")</f>
        <v>No</v>
      </c>
      <c r="L976" s="76"/>
      <c r="M976" s="63">
        <f t="shared" si="243"/>
        <v>0</v>
      </c>
      <c r="N976" s="63">
        <v>214</v>
      </c>
      <c r="O976" s="64"/>
      <c r="P976" s="660" t="str">
        <f t="shared" si="255"/>
        <v/>
      </c>
      <c r="Q976" s="52" t="str">
        <f t="shared" ca="1" si="244"/>
        <v>No</v>
      </c>
      <c r="R976" s="1574" t="str">
        <f t="shared" si="250"/>
        <v/>
      </c>
      <c r="S976" s="52" t="str">
        <f t="shared" si="247"/>
        <v/>
      </c>
      <c r="T976" s="52" t="str">
        <f t="shared" si="248"/>
        <v/>
      </c>
      <c r="U976" s="52" t="str">
        <f t="shared" ref="U976:U1039" si="260">IF(L976&lt;&gt;"",IF(ISNUMBER(L976),"",E976&amp;F976&amp;G976),"")</f>
        <v/>
      </c>
      <c r="V976" s="52" t="str">
        <f t="shared" si="249"/>
        <v/>
      </c>
      <c r="W976" s="1578"/>
      <c r="X976" s="52" t="str">
        <f t="shared" si="258"/>
        <v/>
      </c>
      <c r="Y976" s="52" t="str">
        <f t="shared" si="245"/>
        <v/>
      </c>
      <c r="AA976" s="52" t="str">
        <f>IF(U976&lt;&gt;"",IF(Z976="Defenses",U976&amp;IF(AA980&lt;&gt;"",", ",""),"")&amp;AA980,AA980)</f>
        <v/>
      </c>
    </row>
    <row r="977" spans="2:27" ht="26">
      <c r="B977" s="1575"/>
      <c r="C977" s="1795"/>
      <c r="D977" s="920"/>
      <c r="E977" s="61" t="s">
        <v>8346</v>
      </c>
      <c r="F977" s="61"/>
      <c r="G977" s="61"/>
      <c r="H977" s="61"/>
      <c r="I977" s="61"/>
      <c r="J977" s="1687" t="s">
        <v>8347</v>
      </c>
      <c r="K977" s="63" t="str">
        <f ca="1">IF(Q977="Yes","Yes","No")</f>
        <v>No</v>
      </c>
      <c r="L977" s="76"/>
      <c r="M977" s="63">
        <f t="shared" si="243"/>
        <v>0</v>
      </c>
      <c r="N977" s="63" t="s">
        <v>8339</v>
      </c>
      <c r="O977" s="64"/>
      <c r="P977" s="660" t="str">
        <f t="shared" si="255"/>
        <v/>
      </c>
      <c r="Q977" s="52" t="str">
        <f t="shared" ca="1" si="244"/>
        <v>No</v>
      </c>
      <c r="R977" s="1574" t="str">
        <f t="shared" si="250"/>
        <v/>
      </c>
      <c r="S977" s="52" t="str">
        <f t="shared" si="247"/>
        <v/>
      </c>
      <c r="T977" s="52" t="str">
        <f t="shared" si="248"/>
        <v/>
      </c>
      <c r="U977" s="52" t="str">
        <f t="shared" si="260"/>
        <v/>
      </c>
      <c r="V977" s="52" t="str">
        <f t="shared" si="249"/>
        <v/>
      </c>
      <c r="W977" s="1578"/>
      <c r="X977" s="52" t="str">
        <f t="shared" si="258"/>
        <v/>
      </c>
      <c r="Y977" s="52" t="str">
        <f t="shared" si="245"/>
        <v/>
      </c>
    </row>
    <row r="978" spans="2:27" ht="26">
      <c r="B978" s="1575"/>
      <c r="C978" s="1795"/>
      <c r="D978" s="920"/>
      <c r="E978" s="61" t="s">
        <v>8348</v>
      </c>
      <c r="F978" s="61"/>
      <c r="G978" s="61"/>
      <c r="H978" s="61"/>
      <c r="I978" s="61"/>
      <c r="J978" s="1687" t="s">
        <v>8351</v>
      </c>
      <c r="K978" s="63" t="str">
        <f ca="1">IF(Q978="Yes","Yes","No")</f>
        <v>No</v>
      </c>
      <c r="L978" s="76"/>
      <c r="M978" s="63">
        <f t="shared" si="243"/>
        <v>0</v>
      </c>
      <c r="N978" s="63" t="s">
        <v>8339</v>
      </c>
      <c r="O978" s="64"/>
      <c r="P978" s="660" t="str">
        <f t="shared" si="255"/>
        <v/>
      </c>
      <c r="Q978" s="52" t="str">
        <f t="shared" ca="1" si="244"/>
        <v>No</v>
      </c>
      <c r="R978" s="1574" t="str">
        <f t="shared" si="250"/>
        <v/>
      </c>
      <c r="S978" s="52" t="str">
        <f t="shared" si="247"/>
        <v/>
      </c>
      <c r="T978" s="52" t="str">
        <f t="shared" si="248"/>
        <v/>
      </c>
      <c r="U978" s="52" t="str">
        <f t="shared" si="260"/>
        <v/>
      </c>
      <c r="V978" s="52" t="str">
        <f t="shared" si="249"/>
        <v/>
      </c>
      <c r="W978" s="1578"/>
      <c r="X978" s="52" t="str">
        <f t="shared" si="258"/>
        <v/>
      </c>
      <c r="Y978" s="52" t="str">
        <f t="shared" si="245"/>
        <v/>
      </c>
    </row>
    <row r="979" spans="2:27">
      <c r="B979" s="1575"/>
      <c r="C979" s="1795"/>
      <c r="D979" s="920"/>
      <c r="E979" s="61"/>
      <c r="F979" s="61" t="s">
        <v>8349</v>
      </c>
      <c r="G979" s="61"/>
      <c r="H979" s="61"/>
      <c r="I979" s="61"/>
      <c r="J979" s="1687" t="s">
        <v>8350</v>
      </c>
      <c r="K979" s="63" t="str">
        <f ca="1">IF(AND(Q979="Yes",M978&gt;0),"Yes","No")</f>
        <v>No</v>
      </c>
      <c r="L979" s="76"/>
      <c r="M979" s="63">
        <f t="shared" si="243"/>
        <v>0</v>
      </c>
      <c r="N979" s="63" t="s">
        <v>8339</v>
      </c>
      <c r="O979" s="64"/>
      <c r="P979" s="660" t="str">
        <f t="shared" si="255"/>
        <v/>
      </c>
      <c r="Q979" s="52" t="str">
        <f t="shared" ca="1" si="244"/>
        <v>No</v>
      </c>
      <c r="R979" s="1574" t="str">
        <f t="shared" si="250"/>
        <v/>
      </c>
      <c r="S979" s="52" t="str">
        <f t="shared" si="247"/>
        <v/>
      </c>
      <c r="T979" s="52" t="str">
        <f t="shared" si="248"/>
        <v/>
      </c>
      <c r="U979" s="52" t="str">
        <f t="shared" si="260"/>
        <v/>
      </c>
      <c r="V979" s="52" t="str">
        <f t="shared" si="249"/>
        <v/>
      </c>
      <c r="W979" s="1578"/>
      <c r="X979" s="52" t="str">
        <f t="shared" si="258"/>
        <v/>
      </c>
      <c r="Y979" s="52" t="str">
        <f t="shared" si="245"/>
        <v/>
      </c>
    </row>
    <row r="980" spans="2:27">
      <c r="B980" s="1532" t="str">
        <f t="shared" ref="B980:B1020" si="261">IF(E980&lt;&gt;"",E980,IF(F980&lt;&gt;"",F980,IF(G980&lt;&gt;"",G980,IF(H980&lt;&gt;"",H980))))</f>
        <v>Attune Weapon</v>
      </c>
      <c r="C980" s="1795"/>
      <c r="D980" s="920" t="s">
        <v>3275</v>
      </c>
      <c r="E980" s="61" t="s">
        <v>3276</v>
      </c>
      <c r="F980" s="61"/>
      <c r="G980" s="61"/>
      <c r="H980" s="61"/>
      <c r="I980" s="61"/>
      <c r="J980" s="1687" t="s">
        <v>5273</v>
      </c>
      <c r="K980" s="63" t="str">
        <f ca="1">IF(Q980="Yes","Yes","No")</f>
        <v>No</v>
      </c>
      <c r="L980" s="76"/>
      <c r="M980" s="63">
        <f t="shared" si="243"/>
        <v>0</v>
      </c>
      <c r="N980" s="63">
        <v>214</v>
      </c>
      <c r="O980" s="64"/>
      <c r="P980" s="660" t="str">
        <f t="shared" si="255"/>
        <v/>
      </c>
      <c r="Q980" s="52" t="str">
        <f ca="1">Q976</f>
        <v>No</v>
      </c>
      <c r="R980" s="1574" t="str">
        <f t="shared" si="250"/>
        <v/>
      </c>
      <c r="S980" s="52" t="str">
        <f t="shared" si="247"/>
        <v/>
      </c>
      <c r="T980" s="52" t="str">
        <f t="shared" si="248"/>
        <v/>
      </c>
      <c r="U980" s="52" t="str">
        <f t="shared" si="260"/>
        <v/>
      </c>
      <c r="V980" s="52" t="str">
        <f t="shared" si="249"/>
        <v/>
      </c>
      <c r="W980" s="1578"/>
      <c r="X980" s="52" t="str">
        <f t="shared" si="258"/>
        <v/>
      </c>
      <c r="Y980" s="52" t="str">
        <f t="shared" si="245"/>
        <v/>
      </c>
      <c r="AA980" s="52" t="str">
        <f t="shared" si="259"/>
        <v/>
      </c>
    </row>
    <row r="981" spans="2:27">
      <c r="B981" s="1532" t="str">
        <f t="shared" si="261"/>
        <v>Empower Weapon</v>
      </c>
      <c r="C981" s="1795"/>
      <c r="D981" s="920"/>
      <c r="E981" s="61" t="s">
        <v>3277</v>
      </c>
      <c r="F981" s="61"/>
      <c r="G981" s="61"/>
      <c r="H981" s="61"/>
      <c r="I981" s="61"/>
      <c r="J981" s="1687" t="s">
        <v>5274</v>
      </c>
      <c r="K981" s="63" t="str">
        <f ca="1">IF(Q981="Yes","Yes","No")</f>
        <v>No</v>
      </c>
      <c r="L981" s="76"/>
      <c r="M981" s="63">
        <f t="shared" si="243"/>
        <v>0</v>
      </c>
      <c r="N981" s="63">
        <v>214</v>
      </c>
      <c r="O981" s="64"/>
      <c r="P981" s="660" t="str">
        <f t="shared" si="255"/>
        <v/>
      </c>
      <c r="Q981" s="52" t="str">
        <f t="shared" ca="1" si="244"/>
        <v>No</v>
      </c>
      <c r="R981" s="1574" t="str">
        <f t="shared" si="250"/>
        <v/>
      </c>
      <c r="S981" s="52" t="str">
        <f t="shared" si="247"/>
        <v/>
      </c>
      <c r="T981" s="52" t="str">
        <f t="shared" si="248"/>
        <v/>
      </c>
      <c r="U981" s="52" t="str">
        <f t="shared" si="260"/>
        <v/>
      </c>
      <c r="V981" s="52" t="str">
        <f t="shared" si="249"/>
        <v/>
      </c>
      <c r="W981" s="1578"/>
      <c r="X981" s="52" t="str">
        <f t="shared" si="258"/>
        <v/>
      </c>
      <c r="Y981" s="52" t="str">
        <f t="shared" si="245"/>
        <v/>
      </c>
      <c r="AA981" s="52" t="str">
        <f t="shared" si="259"/>
        <v/>
      </c>
    </row>
    <row r="982" spans="2:27" ht="26">
      <c r="B982" s="1532" t="str">
        <f t="shared" si="261"/>
        <v>Force Throw</v>
      </c>
      <c r="C982" s="1795"/>
      <c r="D982" s="920"/>
      <c r="E982" s="61"/>
      <c r="F982" s="61" t="s">
        <v>3278</v>
      </c>
      <c r="G982" s="61"/>
      <c r="H982" s="61"/>
      <c r="I982" s="61"/>
      <c r="J982" s="1687" t="s">
        <v>5275</v>
      </c>
      <c r="K982" s="63" t="str">
        <f ca="1">IF(AND(Q981="Yes",L981&lt;&gt;""),"Yes","No")</f>
        <v>No</v>
      </c>
      <c r="L982" s="76"/>
      <c r="M982" s="63">
        <f t="shared" si="243"/>
        <v>0</v>
      </c>
      <c r="N982" s="63" t="s">
        <v>3217</v>
      </c>
      <c r="O982" s="64"/>
      <c r="P982" s="660" t="str">
        <f t="shared" si="255"/>
        <v/>
      </c>
      <c r="Q982" s="52" t="str">
        <f t="shared" ca="1" si="244"/>
        <v>No</v>
      </c>
      <c r="R982" s="1574" t="str">
        <f t="shared" si="250"/>
        <v/>
      </c>
      <c r="S982" s="52" t="str">
        <f t="shared" si="247"/>
        <v/>
      </c>
      <c r="T982" s="52" t="str">
        <f t="shared" si="248"/>
        <v/>
      </c>
      <c r="U982" s="52" t="str">
        <f t="shared" si="260"/>
        <v/>
      </c>
      <c r="V982" s="52" t="str">
        <f t="shared" si="249"/>
        <v/>
      </c>
      <c r="W982" s="1578"/>
      <c r="X982" s="52" t="str">
        <f t="shared" si="258"/>
        <v/>
      </c>
      <c r="Y982" s="52" t="str">
        <f t="shared" si="245"/>
        <v/>
      </c>
      <c r="AA982" s="52" t="str">
        <f t="shared" si="259"/>
        <v/>
      </c>
    </row>
    <row r="983" spans="2:27" ht="26">
      <c r="B983" s="1532" t="str">
        <f t="shared" si="261"/>
        <v>Primitive Block</v>
      </c>
      <c r="C983" s="1795"/>
      <c r="D983" s="920"/>
      <c r="E983" s="61"/>
      <c r="F983" s="61" t="s">
        <v>3279</v>
      </c>
      <c r="G983" s="61"/>
      <c r="H983" s="61"/>
      <c r="I983" s="61"/>
      <c r="J983" s="1687" t="s">
        <v>5276</v>
      </c>
      <c r="K983" s="63" t="str">
        <f ca="1">IF(AND(Q982="Yes",L981&lt;&gt;""),"Yes","No")</f>
        <v>No</v>
      </c>
      <c r="L983" s="76"/>
      <c r="M983" s="63">
        <f t="shared" si="243"/>
        <v>0</v>
      </c>
      <c r="N983" s="63" t="s">
        <v>3217</v>
      </c>
      <c r="O983" s="64"/>
      <c r="P983" s="660" t="str">
        <f t="shared" si="255"/>
        <v/>
      </c>
      <c r="Q983" s="52" t="str">
        <f t="shared" ca="1" si="244"/>
        <v>No</v>
      </c>
      <c r="R983" s="1574" t="str">
        <f t="shared" si="250"/>
        <v/>
      </c>
      <c r="S983" s="52" t="str">
        <f t="shared" si="247"/>
        <v/>
      </c>
      <c r="T983" s="52" t="str">
        <f t="shared" si="248"/>
        <v/>
      </c>
      <c r="U983" s="52" t="str">
        <f t="shared" si="260"/>
        <v/>
      </c>
      <c r="V983" s="52" t="str">
        <f t="shared" si="249"/>
        <v/>
      </c>
      <c r="W983" s="1578"/>
      <c r="X983" s="52" t="str">
        <f t="shared" si="258"/>
        <v/>
      </c>
      <c r="Y983" s="52" t="str">
        <f t="shared" ref="Y983:Y1046" si="262">IF(U983&lt;&gt;"",IF(W983="Att Options",U983&amp;IF(Y984&lt;&gt;"",", ",""),"")&amp;Y984,Y984)</f>
        <v/>
      </c>
      <c r="AA983" s="52" t="str">
        <f t="shared" si="259"/>
        <v/>
      </c>
    </row>
    <row r="984" spans="2:27" ht="26">
      <c r="B984" s="1532" t="str">
        <f t="shared" si="261"/>
        <v>Force Talisman</v>
      </c>
      <c r="C984" s="1795"/>
      <c r="D984" s="920"/>
      <c r="E984" s="61" t="s">
        <v>3280</v>
      </c>
      <c r="F984" s="61"/>
      <c r="G984" s="61"/>
      <c r="H984" s="61"/>
      <c r="I984" s="61"/>
      <c r="J984" s="1687" t="s">
        <v>5277</v>
      </c>
      <c r="K984" s="63" t="str">
        <f ca="1">IF(Q984="Yes","Yes","No")</f>
        <v>No</v>
      </c>
      <c r="L984" s="76"/>
      <c r="M984" s="63">
        <f t="shared" si="243"/>
        <v>0</v>
      </c>
      <c r="N984" s="63">
        <v>214</v>
      </c>
      <c r="O984" s="64"/>
      <c r="P984" s="660" t="str">
        <f t="shared" si="255"/>
        <v/>
      </c>
      <c r="Q984" s="52" t="str">
        <f t="shared" ca="1" si="244"/>
        <v>No</v>
      </c>
      <c r="R984" s="1574" t="str">
        <f t="shared" si="250"/>
        <v/>
      </c>
      <c r="S984" s="52" t="str">
        <f t="shared" si="247"/>
        <v/>
      </c>
      <c r="T984" s="52" t="str">
        <f t="shared" si="248"/>
        <v/>
      </c>
      <c r="U984" s="52" t="str">
        <f t="shared" si="260"/>
        <v/>
      </c>
      <c r="V984" s="52" t="str">
        <f t="shared" si="249"/>
        <v/>
      </c>
      <c r="W984" s="1578"/>
      <c r="X984" s="52" t="str">
        <f t="shared" si="258"/>
        <v/>
      </c>
      <c r="Y984" s="52" t="str">
        <f t="shared" si="262"/>
        <v/>
      </c>
      <c r="AA984" s="52" t="str">
        <f t="shared" si="259"/>
        <v/>
      </c>
    </row>
    <row r="985" spans="2:27" ht="26">
      <c r="B985" s="1532" t="str">
        <f t="shared" si="261"/>
        <v>Focused Force Talisman</v>
      </c>
      <c r="C985" s="1795"/>
      <c r="D985" s="920"/>
      <c r="E985" s="61"/>
      <c r="F985" s="61" t="s">
        <v>3281</v>
      </c>
      <c r="G985" s="61"/>
      <c r="H985" s="61"/>
      <c r="I985" s="61"/>
      <c r="J985" s="1687" t="s">
        <v>5278</v>
      </c>
      <c r="K985" s="63" t="str">
        <f ca="1">IF(AND(Q984="Yes",L984&lt;&gt;""),"Yes","No")</f>
        <v>No</v>
      </c>
      <c r="L985" s="76"/>
      <c r="M985" s="63">
        <f t="shared" si="243"/>
        <v>0</v>
      </c>
      <c r="N985" s="63" t="s">
        <v>2674</v>
      </c>
      <c r="O985" s="64"/>
      <c r="P985" s="660" t="str">
        <f t="shared" si="255"/>
        <v/>
      </c>
      <c r="Q985" s="52" t="str">
        <f t="shared" ca="1" si="244"/>
        <v>No</v>
      </c>
      <c r="R985" s="1574" t="str">
        <f t="shared" si="250"/>
        <v/>
      </c>
      <c r="S985" s="52" t="str">
        <f t="shared" si="247"/>
        <v/>
      </c>
      <c r="T985" s="52" t="str">
        <f t="shared" si="248"/>
        <v/>
      </c>
      <c r="U985" s="52" t="str">
        <f t="shared" si="260"/>
        <v/>
      </c>
      <c r="V985" s="52" t="str">
        <f t="shared" si="249"/>
        <v/>
      </c>
      <c r="W985" s="1578"/>
      <c r="X985" s="52" t="str">
        <f t="shared" si="258"/>
        <v/>
      </c>
      <c r="Y985" s="52" t="str">
        <f t="shared" si="262"/>
        <v/>
      </c>
      <c r="AA985" s="52" t="str">
        <f t="shared" si="259"/>
        <v/>
      </c>
    </row>
    <row r="986" spans="2:27" ht="26">
      <c r="B986" s="1532" t="str">
        <f t="shared" si="261"/>
        <v>Greater Focused Force Talisman</v>
      </c>
      <c r="C986" s="1795"/>
      <c r="D986" s="920"/>
      <c r="E986" s="61"/>
      <c r="F986" s="61"/>
      <c r="G986" s="61" t="s">
        <v>3282</v>
      </c>
      <c r="H986" s="61"/>
      <c r="I986" s="61"/>
      <c r="J986" s="1687" t="s">
        <v>5279</v>
      </c>
      <c r="K986" s="63" t="str">
        <f ca="1">IF(AND(Q985="Yes",L985&lt;&gt;""),"Yes","No")</f>
        <v>No</v>
      </c>
      <c r="L986" s="76"/>
      <c r="M986" s="63">
        <f t="shared" si="243"/>
        <v>0</v>
      </c>
      <c r="N986" s="63" t="s">
        <v>2674</v>
      </c>
      <c r="O986" s="64"/>
      <c r="P986" s="660" t="str">
        <f t="shared" si="255"/>
        <v/>
      </c>
      <c r="Q986" s="52" t="str">
        <f t="shared" ca="1" si="244"/>
        <v>No</v>
      </c>
      <c r="R986" s="1574" t="str">
        <f t="shared" si="250"/>
        <v/>
      </c>
      <c r="S986" s="52" t="str">
        <f t="shared" si="247"/>
        <v/>
      </c>
      <c r="T986" s="52" t="str">
        <f t="shared" si="248"/>
        <v/>
      </c>
      <c r="U986" s="52" t="str">
        <f t="shared" si="260"/>
        <v/>
      </c>
      <c r="V986" s="52" t="str">
        <f t="shared" si="249"/>
        <v/>
      </c>
      <c r="W986" s="1578"/>
      <c r="X986" s="52" t="str">
        <f t="shared" si="258"/>
        <v/>
      </c>
      <c r="Y986" s="52" t="str">
        <f t="shared" si="262"/>
        <v/>
      </c>
      <c r="AA986" s="52" t="str">
        <f t="shared" si="259"/>
        <v/>
      </c>
    </row>
    <row r="987" spans="2:27">
      <c r="B987" s="1532" t="str">
        <f t="shared" si="261"/>
        <v>Greater Force Talisman</v>
      </c>
      <c r="C987" s="1795"/>
      <c r="D987" s="920"/>
      <c r="E987" s="61"/>
      <c r="F987" s="61" t="s">
        <v>3283</v>
      </c>
      <c r="G987" s="61"/>
      <c r="H987" s="61"/>
      <c r="I987" s="61"/>
      <c r="J987" s="1687" t="s">
        <v>5280</v>
      </c>
      <c r="K987" s="63" t="str">
        <f ca="1">IF(AND(Q986="Yes",L984&lt;&gt;""),"Yes","No")</f>
        <v>No</v>
      </c>
      <c r="L987" s="76"/>
      <c r="M987" s="63">
        <f t="shared" si="243"/>
        <v>0</v>
      </c>
      <c r="N987" s="63">
        <v>214</v>
      </c>
      <c r="O987" s="64"/>
      <c r="P987" s="660" t="str">
        <f t="shared" si="255"/>
        <v/>
      </c>
      <c r="Q987" s="52" t="str">
        <f t="shared" ca="1" si="244"/>
        <v>No</v>
      </c>
      <c r="R987" s="1574" t="str">
        <f t="shared" si="250"/>
        <v/>
      </c>
      <c r="S987" s="52" t="str">
        <f t="shared" si="247"/>
        <v/>
      </c>
      <c r="T987" s="52" t="str">
        <f t="shared" si="248"/>
        <v/>
      </c>
      <c r="U987" s="52" t="str">
        <f t="shared" si="260"/>
        <v/>
      </c>
      <c r="V987" s="52" t="str">
        <f t="shared" si="249"/>
        <v/>
      </c>
      <c r="W987" s="1578"/>
      <c r="X987" s="52" t="str">
        <f t="shared" si="258"/>
        <v/>
      </c>
      <c r="Y987" s="52" t="str">
        <f t="shared" si="262"/>
        <v/>
      </c>
      <c r="AA987" s="52" t="str">
        <f t="shared" si="259"/>
        <v/>
      </c>
    </row>
    <row r="988" spans="2:27">
      <c r="B988" s="1532" t="str">
        <f t="shared" si="261"/>
        <v>Force Interrogation</v>
      </c>
      <c r="C988" s="1795"/>
      <c r="D988" s="920" t="s">
        <v>3284</v>
      </c>
      <c r="E988" s="61" t="s">
        <v>3285</v>
      </c>
      <c r="F988" s="61"/>
      <c r="G988" s="61"/>
      <c r="H988" s="61"/>
      <c r="I988" s="61"/>
      <c r="J988" s="1687" t="s">
        <v>5281</v>
      </c>
      <c r="K988" s="63" t="str">
        <f ca="1">IF(Q988="Yes","Yes","No")</f>
        <v>No</v>
      </c>
      <c r="L988" s="76"/>
      <c r="M988" s="63">
        <f t="shared" si="243"/>
        <v>0</v>
      </c>
      <c r="N988" s="63" t="s">
        <v>3286</v>
      </c>
      <c r="O988" s="64"/>
      <c r="P988" s="660" t="str">
        <f t="shared" si="255"/>
        <v/>
      </c>
      <c r="Q988" s="52" t="str">
        <f t="shared" ca="1" si="244"/>
        <v>No</v>
      </c>
      <c r="R988" s="1574" t="str">
        <f t="shared" si="250"/>
        <v/>
      </c>
      <c r="S988" s="52" t="str">
        <f t="shared" si="247"/>
        <v/>
      </c>
      <c r="T988" s="52" t="str">
        <f t="shared" si="248"/>
        <v/>
      </c>
      <c r="U988" s="52" t="str">
        <f t="shared" si="260"/>
        <v/>
      </c>
      <c r="V988" s="52" t="str">
        <f t="shared" si="249"/>
        <v/>
      </c>
      <c r="W988" s="1578"/>
      <c r="X988" s="52" t="str">
        <f t="shared" si="258"/>
        <v/>
      </c>
      <c r="Y988" s="52" t="str">
        <f t="shared" si="262"/>
        <v/>
      </c>
      <c r="AA988" s="52" t="str">
        <f t="shared" si="259"/>
        <v/>
      </c>
    </row>
    <row r="989" spans="2:27">
      <c r="B989" s="1532" t="str">
        <f t="shared" si="261"/>
        <v>Cower Enemies</v>
      </c>
      <c r="C989" s="1795"/>
      <c r="D989" s="920"/>
      <c r="E989" s="61"/>
      <c r="F989" s="61" t="s">
        <v>3287</v>
      </c>
      <c r="G989" s="61"/>
      <c r="H989" s="61"/>
      <c r="I989" s="61"/>
      <c r="J989" s="1687" t="s">
        <v>5282</v>
      </c>
      <c r="K989" s="63" t="str">
        <f ca="1">IF(AND(Q988="Yes",L988&lt;&gt;""),"Yes","No")</f>
        <v>No</v>
      </c>
      <c r="L989" s="76"/>
      <c r="M989" s="63">
        <f t="shared" si="243"/>
        <v>0</v>
      </c>
      <c r="N989" s="63" t="s">
        <v>3134</v>
      </c>
      <c r="O989" s="64"/>
      <c r="P989" s="660" t="str">
        <f t="shared" si="255"/>
        <v/>
      </c>
      <c r="Q989" s="52" t="str">
        <f t="shared" ca="1" si="244"/>
        <v>No</v>
      </c>
      <c r="R989" s="1574" t="str">
        <f t="shared" si="250"/>
        <v/>
      </c>
      <c r="S989" s="52" t="str">
        <f t="shared" si="247"/>
        <v/>
      </c>
      <c r="T989" s="52" t="str">
        <f t="shared" si="248"/>
        <v/>
      </c>
      <c r="U989" s="52" t="str">
        <f t="shared" si="260"/>
        <v/>
      </c>
      <c r="V989" s="52" t="str">
        <f t="shared" si="249"/>
        <v/>
      </c>
      <c r="W989" s="1578"/>
      <c r="X989" s="52" t="str">
        <f t="shared" si="258"/>
        <v/>
      </c>
      <c r="Y989" s="52" t="str">
        <f t="shared" si="262"/>
        <v/>
      </c>
      <c r="AA989" s="52" t="str">
        <f t="shared" si="259"/>
        <v/>
      </c>
    </row>
    <row r="990" spans="2:27" ht="26">
      <c r="B990" s="1532" t="str">
        <f t="shared" si="261"/>
        <v>Unsettling Presence</v>
      </c>
      <c r="C990" s="1795"/>
      <c r="D990" s="920"/>
      <c r="E990" s="61"/>
      <c r="F990" s="61" t="s">
        <v>3288</v>
      </c>
      <c r="G990" s="61"/>
      <c r="H990" s="61"/>
      <c r="I990" s="61"/>
      <c r="J990" s="1687" t="s">
        <v>5283</v>
      </c>
      <c r="K990" s="63" t="str">
        <f ca="1">IF(AND(Q989="Yes",L988&lt;&gt;""),"Yes","No")</f>
        <v>No</v>
      </c>
      <c r="L990" s="76"/>
      <c r="M990" s="63">
        <f t="shared" si="243"/>
        <v>0</v>
      </c>
      <c r="N990" s="63" t="s">
        <v>3286</v>
      </c>
      <c r="O990" s="64"/>
      <c r="P990" s="660" t="str">
        <f t="shared" si="255"/>
        <v/>
      </c>
      <c r="Q990" s="52" t="str">
        <f t="shared" ca="1" si="244"/>
        <v>No</v>
      </c>
      <c r="R990" s="1574" t="str">
        <f t="shared" si="250"/>
        <v/>
      </c>
      <c r="S990" s="52" t="str">
        <f t="shared" si="247"/>
        <v/>
      </c>
      <c r="T990" s="52" t="str">
        <f t="shared" si="248"/>
        <v/>
      </c>
      <c r="U990" s="52" t="str">
        <f t="shared" si="260"/>
        <v/>
      </c>
      <c r="V990" s="52" t="str">
        <f t="shared" si="249"/>
        <v/>
      </c>
      <c r="W990" s="1578"/>
      <c r="X990" s="52" t="str">
        <f t="shared" si="258"/>
        <v/>
      </c>
      <c r="Y990" s="52" t="str">
        <f t="shared" si="262"/>
        <v/>
      </c>
      <c r="AA990" s="52" t="str">
        <f t="shared" si="259"/>
        <v/>
      </c>
    </row>
    <row r="991" spans="2:27">
      <c r="B991" s="1532" t="str">
        <f t="shared" si="261"/>
        <v>Inquisition</v>
      </c>
      <c r="C991" s="1795"/>
      <c r="D991" s="920"/>
      <c r="E991" s="61" t="s">
        <v>3289</v>
      </c>
      <c r="F991" s="61"/>
      <c r="G991" s="61"/>
      <c r="H991" s="61"/>
      <c r="I991" s="61"/>
      <c r="J991" s="1687" t="s">
        <v>5284</v>
      </c>
      <c r="K991" s="63" t="str">
        <f ca="1">IF(Q991="Yes","Yes","No")</f>
        <v>No</v>
      </c>
      <c r="L991" s="76"/>
      <c r="M991" s="63">
        <f t="shared" si="243"/>
        <v>0</v>
      </c>
      <c r="N991" s="63" t="s">
        <v>3286</v>
      </c>
      <c r="O991" s="64"/>
      <c r="P991" s="660" t="str">
        <f t="shared" si="255"/>
        <v/>
      </c>
      <c r="Q991" s="52" t="str">
        <f t="shared" ca="1" si="244"/>
        <v>No</v>
      </c>
      <c r="R991" s="1574" t="str">
        <f t="shared" si="250"/>
        <v/>
      </c>
      <c r="S991" s="52" t="str">
        <f t="shared" ref="S991:S1054" si="263">IF(R991&lt;&gt;"",R991&amp;";"&amp;S992,S992)</f>
        <v/>
      </c>
      <c r="T991" s="52" t="str">
        <f t="shared" ref="T991:T1054" si="264">IF(R991&lt;&gt;"",N991&amp;";"&amp;T992,T992)</f>
        <v/>
      </c>
      <c r="U991" s="52" t="str">
        <f t="shared" si="260"/>
        <v/>
      </c>
      <c r="V991" s="52" t="str">
        <f t="shared" ref="V991:V1054" si="265">IF(U991&lt;&gt;"",U991&amp;";"&amp;V992,V992)</f>
        <v/>
      </c>
      <c r="W991" s="1578"/>
      <c r="X991" s="52" t="str">
        <f t="shared" si="258"/>
        <v/>
      </c>
      <c r="Y991" s="52" t="str">
        <f t="shared" si="262"/>
        <v/>
      </c>
      <c r="AA991" s="52" t="str">
        <f t="shared" si="259"/>
        <v/>
      </c>
    </row>
    <row r="992" spans="2:27">
      <c r="B992" s="1532" t="str">
        <f t="shared" si="261"/>
        <v>Channel Vitality</v>
      </c>
      <c r="C992" s="1795"/>
      <c r="D992" s="920" t="s">
        <v>4412</v>
      </c>
      <c r="E992" s="61" t="s">
        <v>4414</v>
      </c>
      <c r="F992" s="61"/>
      <c r="G992" s="61"/>
      <c r="H992" s="61"/>
      <c r="I992" s="61"/>
      <c r="J992" s="1687" t="s">
        <v>5994</v>
      </c>
      <c r="K992" s="63" t="str">
        <f t="shared" ref="K992:K1001" ca="1" si="266">IF(Q992="Yes","Yes","No")</f>
        <v>No</v>
      </c>
      <c r="L992" s="76"/>
      <c r="M992" s="63">
        <f t="shared" ref="M992:M1001" si="267">IF(L992&lt;&gt;"",1,0)</f>
        <v>0</v>
      </c>
      <c r="N992" s="63" t="s">
        <v>4411</v>
      </c>
      <c r="O992" s="64"/>
      <c r="P992" s="660" t="str">
        <f t="shared" si="255"/>
        <v/>
      </c>
      <c r="Q992" s="52" t="str">
        <f t="shared" ca="1" si="244"/>
        <v>No</v>
      </c>
      <c r="R992" s="1574" t="str">
        <f t="shared" si="250"/>
        <v/>
      </c>
      <c r="S992" s="52" t="str">
        <f t="shared" si="263"/>
        <v/>
      </c>
      <c r="T992" s="52" t="str">
        <f t="shared" si="264"/>
        <v/>
      </c>
      <c r="U992" s="52" t="str">
        <f t="shared" si="260"/>
        <v/>
      </c>
      <c r="V992" s="52" t="str">
        <f t="shared" si="265"/>
        <v/>
      </c>
      <c r="W992" s="1578"/>
      <c r="X992" s="52" t="str">
        <f t="shared" si="258"/>
        <v/>
      </c>
      <c r="Y992" s="52" t="str">
        <f t="shared" si="262"/>
        <v/>
      </c>
      <c r="AA992" s="52" t="str">
        <f t="shared" si="259"/>
        <v/>
      </c>
    </row>
    <row r="993" spans="2:27">
      <c r="B993" s="1532" t="str">
        <f t="shared" si="261"/>
        <v>Closed Mind</v>
      </c>
      <c r="C993" s="1795"/>
      <c r="D993" s="920"/>
      <c r="E993" s="61" t="s">
        <v>4415</v>
      </c>
      <c r="F993" s="61"/>
      <c r="G993" s="61"/>
      <c r="H993" s="61"/>
      <c r="I993" s="61"/>
      <c r="J993" s="1687" t="s">
        <v>5993</v>
      </c>
      <c r="K993" s="63" t="str">
        <f t="shared" ca="1" si="266"/>
        <v>No</v>
      </c>
      <c r="L993" s="76"/>
      <c r="M993" s="63">
        <f t="shared" si="267"/>
        <v>0</v>
      </c>
      <c r="N993" s="63" t="s">
        <v>4411</v>
      </c>
      <c r="O993" s="64"/>
      <c r="P993" s="660" t="str">
        <f t="shared" si="255"/>
        <v/>
      </c>
      <c r="Q993" s="52" t="str">
        <f t="shared" ca="1" si="244"/>
        <v>No</v>
      </c>
      <c r="R993" s="1574" t="str">
        <f t="shared" si="250"/>
        <v/>
      </c>
      <c r="S993" s="52" t="str">
        <f t="shared" si="263"/>
        <v/>
      </c>
      <c r="T993" s="52" t="str">
        <f t="shared" si="264"/>
        <v/>
      </c>
      <c r="U993" s="52" t="str">
        <f t="shared" si="260"/>
        <v/>
      </c>
      <c r="V993" s="52" t="str">
        <f t="shared" si="265"/>
        <v/>
      </c>
      <c r="W993" s="1578"/>
      <c r="X993" s="52" t="str">
        <f t="shared" si="258"/>
        <v/>
      </c>
      <c r="Y993" s="52" t="str">
        <f t="shared" si="262"/>
        <v/>
      </c>
      <c r="AA993" s="52" t="str">
        <f t="shared" si="259"/>
        <v/>
      </c>
    </row>
    <row r="994" spans="2:27">
      <c r="B994" s="1532" t="str">
        <f t="shared" si="261"/>
        <v>Esoteric Technique</v>
      </c>
      <c r="C994" s="1795"/>
      <c r="D994" s="920"/>
      <c r="E994" s="61" t="s">
        <v>4416</v>
      </c>
      <c r="F994" s="61"/>
      <c r="G994" s="61"/>
      <c r="H994" s="61"/>
      <c r="I994" s="61"/>
      <c r="J994" s="1687" t="s">
        <v>5992</v>
      </c>
      <c r="K994" s="63" t="str">
        <f t="shared" ca="1" si="266"/>
        <v>No</v>
      </c>
      <c r="L994" s="76"/>
      <c r="M994" s="63">
        <f t="shared" si="267"/>
        <v>0</v>
      </c>
      <c r="N994" s="63" t="s">
        <v>4411</v>
      </c>
      <c r="O994" s="64"/>
      <c r="P994" s="660" t="str">
        <f t="shared" si="255"/>
        <v/>
      </c>
      <c r="Q994" s="52" t="str">
        <f t="shared" ca="1" si="244"/>
        <v>No</v>
      </c>
      <c r="R994" s="1574" t="str">
        <f t="shared" ref="R994:R1057" si="268">IF(L994&lt;&gt;"",E994&amp;F994&amp;G994&amp;IF(P994&lt;&gt;""," ("&amp;P994&amp;")",""),"")&amp;IF(M994&gt;1," ("&amp;M994&amp;")","")</f>
        <v/>
      </c>
      <c r="S994" s="52" t="str">
        <f t="shared" si="263"/>
        <v/>
      </c>
      <c r="T994" s="52" t="str">
        <f t="shared" si="264"/>
        <v/>
      </c>
      <c r="U994" s="52" t="str">
        <f t="shared" si="260"/>
        <v/>
      </c>
      <c r="V994" s="52" t="str">
        <f t="shared" si="265"/>
        <v/>
      </c>
      <c r="W994" s="1578"/>
      <c r="X994" s="52" t="str">
        <f t="shared" si="258"/>
        <v/>
      </c>
      <c r="Y994" s="52" t="str">
        <f t="shared" si="262"/>
        <v/>
      </c>
      <c r="AA994" s="52" t="str">
        <f t="shared" si="259"/>
        <v/>
      </c>
    </row>
    <row r="995" spans="2:27">
      <c r="B995" s="1532" t="str">
        <f t="shared" si="261"/>
        <v>Mystic Mastery</v>
      </c>
      <c r="C995" s="1795"/>
      <c r="D995" s="920"/>
      <c r="E995" s="61" t="s">
        <v>4417</v>
      </c>
      <c r="F995" s="61"/>
      <c r="G995" s="61"/>
      <c r="H995" s="61"/>
      <c r="I995" s="61"/>
      <c r="J995" s="1687" t="s">
        <v>5991</v>
      </c>
      <c r="K995" s="63" t="str">
        <f t="shared" ca="1" si="266"/>
        <v>No</v>
      </c>
      <c r="L995" s="76"/>
      <c r="M995" s="63">
        <f t="shared" si="267"/>
        <v>0</v>
      </c>
      <c r="N995" s="63" t="s">
        <v>4411</v>
      </c>
      <c r="O995" s="64"/>
      <c r="P995" s="660" t="str">
        <f t="shared" si="255"/>
        <v/>
      </c>
      <c r="Q995" s="52" t="str">
        <f t="shared" ca="1" si="244"/>
        <v>No</v>
      </c>
      <c r="R995" s="1574" t="str">
        <f t="shared" si="268"/>
        <v/>
      </c>
      <c r="S995" s="52" t="str">
        <f t="shared" si="263"/>
        <v/>
      </c>
      <c r="T995" s="52" t="str">
        <f t="shared" si="264"/>
        <v/>
      </c>
      <c r="U995" s="52" t="str">
        <f t="shared" si="260"/>
        <v/>
      </c>
      <c r="V995" s="52" t="str">
        <f t="shared" si="265"/>
        <v/>
      </c>
      <c r="W995" s="1578"/>
      <c r="X995" s="52" t="str">
        <f t="shared" si="258"/>
        <v/>
      </c>
      <c r="Y995" s="52" t="str">
        <f t="shared" si="262"/>
        <v/>
      </c>
      <c r="AA995" s="52" t="str">
        <f t="shared" si="259"/>
        <v/>
      </c>
    </row>
    <row r="996" spans="2:27">
      <c r="B996" s="1532" t="str">
        <f t="shared" si="261"/>
        <v>Regimen Mastery</v>
      </c>
      <c r="C996" s="1795"/>
      <c r="D996" s="920"/>
      <c r="E996" s="61" t="s">
        <v>4418</v>
      </c>
      <c r="F996" s="61"/>
      <c r="G996" s="61"/>
      <c r="H996" s="61"/>
      <c r="I996" s="61"/>
      <c r="J996" s="1687" t="s">
        <v>5895</v>
      </c>
      <c r="K996" s="63" t="str">
        <f ca="1">IF(AND(Q996="Yes",Feats!M122&gt;0),"Yes","No")</f>
        <v>No</v>
      </c>
      <c r="L996" s="76"/>
      <c r="M996" s="63">
        <f t="shared" si="267"/>
        <v>0</v>
      </c>
      <c r="N996" s="63" t="s">
        <v>4411</v>
      </c>
      <c r="O996" s="64"/>
      <c r="P996" s="660" t="str">
        <f t="shared" si="255"/>
        <v/>
      </c>
      <c r="Q996" s="52" t="str">
        <f ca="1">Q994</f>
        <v>No</v>
      </c>
      <c r="R996" s="1574" t="str">
        <f t="shared" si="268"/>
        <v/>
      </c>
      <c r="S996" s="52" t="str">
        <f t="shared" si="263"/>
        <v/>
      </c>
      <c r="T996" s="52" t="str">
        <f t="shared" si="264"/>
        <v/>
      </c>
      <c r="U996" s="52" t="str">
        <f t="shared" si="260"/>
        <v/>
      </c>
      <c r="V996" s="52" t="str">
        <f t="shared" si="265"/>
        <v/>
      </c>
      <c r="W996" s="1578"/>
      <c r="X996" s="52" t="str">
        <f t="shared" si="258"/>
        <v/>
      </c>
      <c r="Y996" s="52" t="str">
        <f t="shared" si="262"/>
        <v/>
      </c>
      <c r="AA996" s="52" t="str">
        <f t="shared" si="259"/>
        <v/>
      </c>
    </row>
    <row r="997" spans="2:27" ht="26">
      <c r="B997" s="1532" t="str">
        <f t="shared" si="261"/>
        <v>Mind Probe</v>
      </c>
      <c r="C997" s="1795"/>
      <c r="D997" s="920" t="s">
        <v>4413</v>
      </c>
      <c r="E997" s="61" t="s">
        <v>5896</v>
      </c>
      <c r="F997" s="61"/>
      <c r="G997" s="61"/>
      <c r="H997" s="61"/>
      <c r="I997" s="61"/>
      <c r="J997" s="1687" t="s">
        <v>5995</v>
      </c>
      <c r="K997" s="63" t="str">
        <f ca="1">IF(Q997="Yes","Yes","No")</f>
        <v>No</v>
      </c>
      <c r="L997" s="76"/>
      <c r="M997" s="63">
        <f>IF(L997&lt;&gt;"",1,0)</f>
        <v>0</v>
      </c>
      <c r="N997" s="63" t="s">
        <v>4411</v>
      </c>
      <c r="O997" s="64"/>
      <c r="P997" s="660" t="str">
        <f t="shared" si="255"/>
        <v/>
      </c>
      <c r="Q997" s="52" t="str">
        <f ca="1">Q995</f>
        <v>No</v>
      </c>
      <c r="R997" s="1574" t="str">
        <f t="shared" si="268"/>
        <v/>
      </c>
      <c r="S997" s="52" t="str">
        <f t="shared" si="263"/>
        <v/>
      </c>
      <c r="T997" s="52" t="str">
        <f t="shared" si="264"/>
        <v/>
      </c>
      <c r="U997" s="52" t="str">
        <f t="shared" si="260"/>
        <v/>
      </c>
      <c r="V997" s="52" t="str">
        <f t="shared" si="265"/>
        <v/>
      </c>
      <c r="W997" s="1578"/>
      <c r="X997" s="52" t="str">
        <f t="shared" si="258"/>
        <v/>
      </c>
      <c r="Y997" s="52" t="str">
        <f t="shared" si="262"/>
        <v/>
      </c>
      <c r="AA997" s="52" t="str">
        <f>IF(U997&lt;&gt;"",IF(Z997="Defenses",U997&amp;IF(AA998&lt;&gt;"",", ",""),"")&amp;AA998,AA998)</f>
        <v/>
      </c>
    </row>
    <row r="998" spans="2:27">
      <c r="B998" s="1532" t="str">
        <f t="shared" si="261"/>
        <v>Perfect Telepathy</v>
      </c>
      <c r="C998" s="1795"/>
      <c r="D998" s="920"/>
      <c r="E998" s="61" t="s">
        <v>4419</v>
      </c>
      <c r="F998" s="61"/>
      <c r="G998" s="61"/>
      <c r="H998" s="61"/>
      <c r="I998" s="61"/>
      <c r="J998" s="1687" t="s">
        <v>5996</v>
      </c>
      <c r="K998" s="63" t="str">
        <f t="shared" ca="1" si="266"/>
        <v>No</v>
      </c>
      <c r="L998" s="76"/>
      <c r="M998" s="63">
        <f t="shared" si="267"/>
        <v>0</v>
      </c>
      <c r="N998" s="63" t="s">
        <v>4411</v>
      </c>
      <c r="O998" s="64"/>
      <c r="P998" s="660" t="str">
        <f t="shared" si="255"/>
        <v/>
      </c>
      <c r="Q998" s="52" t="str">
        <f ca="1">Q996</f>
        <v>No</v>
      </c>
      <c r="R998" s="1574" t="str">
        <f t="shared" si="268"/>
        <v/>
      </c>
      <c r="S998" s="52" t="str">
        <f t="shared" si="263"/>
        <v/>
      </c>
      <c r="T998" s="52" t="str">
        <f t="shared" si="264"/>
        <v/>
      </c>
      <c r="U998" s="52" t="str">
        <f t="shared" si="260"/>
        <v/>
      </c>
      <c r="V998" s="52" t="str">
        <f t="shared" si="265"/>
        <v/>
      </c>
      <c r="W998" s="1578"/>
      <c r="X998" s="52" t="str">
        <f t="shared" si="258"/>
        <v/>
      </c>
      <c r="Y998" s="52" t="str">
        <f t="shared" si="262"/>
        <v/>
      </c>
      <c r="AA998" s="52" t="str">
        <f t="shared" si="259"/>
        <v/>
      </c>
    </row>
    <row r="999" spans="2:27">
      <c r="B999" s="1532" t="str">
        <f t="shared" si="261"/>
        <v>Psychic Citadel</v>
      </c>
      <c r="C999" s="1795"/>
      <c r="D999" s="920"/>
      <c r="E999" s="61" t="s">
        <v>4420</v>
      </c>
      <c r="F999" s="61"/>
      <c r="G999" s="61"/>
      <c r="H999" s="61"/>
      <c r="I999" s="61"/>
      <c r="J999" s="1687" t="s">
        <v>5997</v>
      </c>
      <c r="K999" s="63" t="str">
        <f t="shared" ca="1" si="266"/>
        <v>No</v>
      </c>
      <c r="L999" s="76"/>
      <c r="M999" s="63">
        <f t="shared" si="267"/>
        <v>0</v>
      </c>
      <c r="N999" s="63" t="s">
        <v>4411</v>
      </c>
      <c r="O999" s="64"/>
      <c r="P999" s="660" t="str">
        <f t="shared" si="255"/>
        <v/>
      </c>
      <c r="Q999" s="52" t="str">
        <f t="shared" ca="1" si="244"/>
        <v>No</v>
      </c>
      <c r="R999" s="1574" t="str">
        <f t="shared" si="268"/>
        <v/>
      </c>
      <c r="S999" s="52" t="str">
        <f t="shared" si="263"/>
        <v/>
      </c>
      <c r="T999" s="52" t="str">
        <f t="shared" si="264"/>
        <v/>
      </c>
      <c r="U999" s="52" t="str">
        <f t="shared" si="260"/>
        <v/>
      </c>
      <c r="V999" s="52" t="str">
        <f t="shared" si="265"/>
        <v/>
      </c>
      <c r="W999" s="1578"/>
      <c r="X999" s="52" t="str">
        <f t="shared" si="258"/>
        <v/>
      </c>
      <c r="Y999" s="52" t="str">
        <f t="shared" si="262"/>
        <v/>
      </c>
      <c r="AA999" s="52" t="str">
        <f t="shared" si="259"/>
        <v/>
      </c>
    </row>
    <row r="1000" spans="2:27">
      <c r="B1000" s="1532" t="str">
        <f t="shared" si="261"/>
        <v>Psychic Defenses</v>
      </c>
      <c r="C1000" s="1795"/>
      <c r="D1000" s="920"/>
      <c r="E1000" s="61"/>
      <c r="F1000" s="61" t="s">
        <v>4421</v>
      </c>
      <c r="G1000" s="61"/>
      <c r="H1000" s="61"/>
      <c r="I1000" s="61"/>
      <c r="J1000" s="1687" t="str">
        <f>"When you are targeted by mind-affecting powers, your opponent automatically takes "&amp;MAX(WisMod,1)&amp;"d6 damage"</f>
        <v>When you are targeted by mind-affecting powers, your opponent automatically takes 1d6 damage</v>
      </c>
      <c r="K1000" s="63" t="str">
        <f ca="1">IF(AND(Q1000="Yes",M999&gt;0),"Yes","No")</f>
        <v>No</v>
      </c>
      <c r="L1000" s="76"/>
      <c r="M1000" s="63">
        <f t="shared" si="267"/>
        <v>0</v>
      </c>
      <c r="N1000" s="63" t="s">
        <v>4411</v>
      </c>
      <c r="O1000" s="64"/>
      <c r="P1000" s="660" t="str">
        <f t="shared" si="255"/>
        <v/>
      </c>
      <c r="Q1000" s="52" t="str">
        <f t="shared" ca="1" si="244"/>
        <v>No</v>
      </c>
      <c r="R1000" s="1574" t="str">
        <f t="shared" si="268"/>
        <v/>
      </c>
      <c r="S1000" s="52" t="str">
        <f t="shared" si="263"/>
        <v/>
      </c>
      <c r="T1000" s="52" t="str">
        <f t="shared" si="264"/>
        <v/>
      </c>
      <c r="U1000" s="52" t="str">
        <f t="shared" si="260"/>
        <v/>
      </c>
      <c r="V1000" s="52" t="str">
        <f t="shared" si="265"/>
        <v/>
      </c>
      <c r="W1000" s="1578"/>
      <c r="X1000" s="52" t="str">
        <f t="shared" si="258"/>
        <v/>
      </c>
      <c r="Y1000" s="52" t="str">
        <f t="shared" si="262"/>
        <v/>
      </c>
      <c r="AA1000" s="52" t="str">
        <f t="shared" si="259"/>
        <v/>
      </c>
    </row>
    <row r="1001" spans="2:27" ht="39">
      <c r="B1001" s="1532" t="str">
        <f t="shared" si="261"/>
        <v>Telepathic Intruder</v>
      </c>
      <c r="C1001" s="1796"/>
      <c r="D1001" s="71"/>
      <c r="E1001" s="927" t="s">
        <v>4422</v>
      </c>
      <c r="F1001" s="927"/>
      <c r="G1001" s="927"/>
      <c r="H1001" s="927"/>
      <c r="I1001" s="927"/>
      <c r="J1001" s="1691" t="s">
        <v>8894</v>
      </c>
      <c r="K1001" s="928" t="str">
        <f t="shared" ca="1" si="266"/>
        <v>No</v>
      </c>
      <c r="L1001" s="929"/>
      <c r="M1001" s="928">
        <f t="shared" si="267"/>
        <v>0</v>
      </c>
      <c r="N1001" s="928" t="s">
        <v>4423</v>
      </c>
      <c r="O1001" s="64"/>
      <c r="P1001" s="660" t="str">
        <f t="shared" si="255"/>
        <v/>
      </c>
      <c r="Q1001" s="52" t="str">
        <f t="shared" ca="1" si="244"/>
        <v>No</v>
      </c>
      <c r="R1001" s="1574" t="str">
        <f t="shared" si="268"/>
        <v/>
      </c>
      <c r="S1001" s="52" t="str">
        <f t="shared" si="263"/>
        <v/>
      </c>
      <c r="T1001" s="52" t="str">
        <f t="shared" si="264"/>
        <v/>
      </c>
      <c r="U1001" s="52" t="str">
        <f t="shared" si="260"/>
        <v/>
      </c>
      <c r="V1001" s="52" t="str">
        <f t="shared" si="265"/>
        <v/>
      </c>
      <c r="W1001" s="1578"/>
      <c r="X1001" s="52" t="str">
        <f t="shared" si="258"/>
        <v/>
      </c>
      <c r="Y1001" s="52" t="str">
        <f t="shared" si="262"/>
        <v/>
      </c>
      <c r="AA1001" s="52" t="str">
        <f t="shared" si="259"/>
        <v/>
      </c>
    </row>
    <row r="1002" spans="2:27" ht="16.149999999999999" customHeight="1">
      <c r="B1002" s="1532" t="str">
        <f t="shared" si="261"/>
        <v>Brutal Attack</v>
      </c>
      <c r="C1002" s="1794" t="s">
        <v>956</v>
      </c>
      <c r="D1002" s="920" t="s">
        <v>3290</v>
      </c>
      <c r="E1002" s="61" t="s">
        <v>3291</v>
      </c>
      <c r="F1002" s="61"/>
      <c r="G1002" s="61"/>
      <c r="H1002" s="61"/>
      <c r="I1002" s="61"/>
      <c r="J1002" s="1690" t="s">
        <v>5285</v>
      </c>
      <c r="K1002" s="63" t="str">
        <f>IF(Q1002="Yes","Yes","No")</f>
        <v>No</v>
      </c>
      <c r="L1002" s="76"/>
      <c r="M1002" s="63">
        <f>IF(L1002&lt;&gt;"",L1002,0)</f>
        <v>0</v>
      </c>
      <c r="N1002" s="63" t="s">
        <v>3292</v>
      </c>
      <c r="O1002" s="64"/>
      <c r="P1002" s="660" t="str">
        <f t="shared" si="255"/>
        <v/>
      </c>
      <c r="Q1002" s="52" t="str">
        <f>IF(OR(AD45&gt;0,AD27&gt;0),"Yes","No")</f>
        <v>No</v>
      </c>
      <c r="R1002" s="1574" t="str">
        <f t="shared" si="268"/>
        <v/>
      </c>
      <c r="S1002" s="52" t="str">
        <f t="shared" si="263"/>
        <v/>
      </c>
      <c r="T1002" s="52" t="str">
        <f t="shared" si="264"/>
        <v/>
      </c>
      <c r="U1002" s="52" t="str">
        <f t="shared" si="260"/>
        <v/>
      </c>
      <c r="V1002" s="52" t="str">
        <f t="shared" si="265"/>
        <v/>
      </c>
      <c r="W1002" s="1578"/>
      <c r="X1002" s="52" t="str">
        <f t="shared" si="258"/>
        <v/>
      </c>
      <c r="Y1002" s="52" t="str">
        <f t="shared" si="262"/>
        <v/>
      </c>
      <c r="AA1002" s="52" t="str">
        <f t="shared" si="259"/>
        <v/>
      </c>
    </row>
    <row r="1003" spans="2:27" ht="26">
      <c r="B1003" s="1532" t="str">
        <f t="shared" si="261"/>
        <v>Distracting Attack</v>
      </c>
      <c r="C1003" s="1795"/>
      <c r="D1003" s="920"/>
      <c r="E1003" s="61"/>
      <c r="F1003" s="61" t="s">
        <v>3293</v>
      </c>
      <c r="G1003" s="61"/>
      <c r="H1003" s="61"/>
      <c r="I1003" s="61"/>
      <c r="J1003" s="1687" t="s">
        <v>5286</v>
      </c>
      <c r="K1003" s="63" t="str">
        <f>IF(AND(Q1002="Yes",L1002&lt;&gt;""),"Yes","No")</f>
        <v>No</v>
      </c>
      <c r="L1003" s="76"/>
      <c r="M1003" s="63">
        <f t="shared" si="243"/>
        <v>0</v>
      </c>
      <c r="N1003" s="63" t="s">
        <v>3292</v>
      </c>
      <c r="O1003" s="64"/>
      <c r="P1003" s="660" t="str">
        <f t="shared" si="255"/>
        <v/>
      </c>
      <c r="Q1003" s="52" t="str">
        <f t="shared" si="244"/>
        <v>No</v>
      </c>
      <c r="R1003" s="1574" t="str">
        <f t="shared" si="268"/>
        <v/>
      </c>
      <c r="S1003" s="52" t="str">
        <f t="shared" si="263"/>
        <v/>
      </c>
      <c r="T1003" s="52" t="str">
        <f t="shared" si="264"/>
        <v/>
      </c>
      <c r="U1003" s="52" t="str">
        <f t="shared" si="260"/>
        <v/>
      </c>
      <c r="V1003" s="52" t="str">
        <f t="shared" si="265"/>
        <v/>
      </c>
      <c r="W1003" s="1578"/>
      <c r="X1003" s="52" t="str">
        <f t="shared" si="258"/>
        <v/>
      </c>
      <c r="Y1003" s="52" t="str">
        <f t="shared" si="262"/>
        <v/>
      </c>
      <c r="AA1003" s="52" t="str">
        <f t="shared" si="259"/>
        <v/>
      </c>
    </row>
    <row r="1004" spans="2:27">
      <c r="B1004" s="1532" t="str">
        <f t="shared" si="261"/>
        <v>Exotic Weapons Master</v>
      </c>
      <c r="C1004" s="1795"/>
      <c r="D1004" s="920"/>
      <c r="E1004" s="61" t="s">
        <v>3294</v>
      </c>
      <c r="F1004" s="61"/>
      <c r="G1004" s="61"/>
      <c r="H1004" s="61"/>
      <c r="I1004" s="61"/>
      <c r="J1004" s="1687" t="s">
        <v>5287</v>
      </c>
      <c r="K1004" s="63" t="str">
        <f ca="1">IF(AND(Q1004="Yes",OR(Feats!$M$100&gt;0,Feats!$M$101&gt;0)),"Yes","No")</f>
        <v>No</v>
      </c>
      <c r="L1004" s="76"/>
      <c r="M1004" s="63">
        <f t="shared" si="243"/>
        <v>0</v>
      </c>
      <c r="N1004" s="63" t="s">
        <v>3292</v>
      </c>
      <c r="O1004" s="64"/>
      <c r="P1004" s="660" t="str">
        <f t="shared" si="255"/>
        <v/>
      </c>
      <c r="Q1004" s="52" t="str">
        <f t="shared" si="244"/>
        <v>No</v>
      </c>
      <c r="R1004" s="1574" t="str">
        <f t="shared" si="268"/>
        <v/>
      </c>
      <c r="S1004" s="52" t="str">
        <f t="shared" si="263"/>
        <v/>
      </c>
      <c r="T1004" s="52" t="str">
        <f t="shared" si="264"/>
        <v/>
      </c>
      <c r="U1004" s="52" t="str">
        <f t="shared" si="260"/>
        <v/>
      </c>
      <c r="V1004" s="52" t="str">
        <f t="shared" si="265"/>
        <v/>
      </c>
      <c r="W1004" s="1578"/>
      <c r="X1004" s="52" t="str">
        <f t="shared" si="258"/>
        <v/>
      </c>
      <c r="Y1004" s="52" t="str">
        <f t="shared" si="262"/>
        <v/>
      </c>
      <c r="AA1004" s="52" t="str">
        <f t="shared" si="259"/>
        <v/>
      </c>
    </row>
    <row r="1005" spans="2:27" ht="39">
      <c r="B1005" s="1532" t="str">
        <f t="shared" si="261"/>
        <v>Multiattack Proficiency (exotic weapons)</v>
      </c>
      <c r="C1005" s="1795"/>
      <c r="D1005" s="920"/>
      <c r="E1005" s="61"/>
      <c r="F1005" s="61" t="s">
        <v>3295</v>
      </c>
      <c r="G1005" s="61"/>
      <c r="H1005" s="61"/>
      <c r="I1005" s="61"/>
      <c r="J1005" s="1687" t="s">
        <v>5288</v>
      </c>
      <c r="K1005" s="63" t="str">
        <f>IF(AND(Q1004="Yes",L1004&lt;&gt;""),"Yes","No")</f>
        <v>No</v>
      </c>
      <c r="L1005" s="76"/>
      <c r="M1005" s="63">
        <f>IF(L1005&lt;&gt;"",L1005,0)</f>
        <v>0</v>
      </c>
      <c r="N1005" s="63" t="s">
        <v>3296</v>
      </c>
      <c r="O1005" s="64"/>
      <c r="P1005" s="660" t="str">
        <f t="shared" si="255"/>
        <v/>
      </c>
      <c r="Q1005" s="52" t="str">
        <f t="shared" si="244"/>
        <v>No</v>
      </c>
      <c r="R1005" s="1574" t="str">
        <f t="shared" si="268"/>
        <v/>
      </c>
      <c r="S1005" s="52" t="str">
        <f t="shared" si="263"/>
        <v/>
      </c>
      <c r="T1005" s="52" t="str">
        <f t="shared" si="264"/>
        <v/>
      </c>
      <c r="U1005" s="52" t="str">
        <f t="shared" si="260"/>
        <v/>
      </c>
      <c r="V1005" s="52" t="str">
        <f t="shared" si="265"/>
        <v/>
      </c>
      <c r="W1005" s="1578"/>
      <c r="X1005" s="52" t="str">
        <f t="shared" si="258"/>
        <v/>
      </c>
      <c r="Y1005" s="52" t="str">
        <f t="shared" si="262"/>
        <v/>
      </c>
      <c r="AA1005" s="52" t="str">
        <f t="shared" si="259"/>
        <v/>
      </c>
    </row>
    <row r="1006" spans="2:27">
      <c r="B1006" s="1532" t="str">
        <f t="shared" si="261"/>
        <v>Lockdown Strike</v>
      </c>
      <c r="C1006" s="1795"/>
      <c r="D1006" s="920"/>
      <c r="E1006" s="61" t="s">
        <v>3297</v>
      </c>
      <c r="F1006" s="61"/>
      <c r="G1006" s="61"/>
      <c r="H1006" s="61"/>
      <c r="I1006" s="61"/>
      <c r="J1006" s="1687" t="s">
        <v>5289</v>
      </c>
      <c r="K1006" s="63" t="str">
        <f t="shared" ref="K1006:K1095" si="269">IF(Q1006="Yes","Yes","No")</f>
        <v>No</v>
      </c>
      <c r="L1006" s="76"/>
      <c r="M1006" s="63">
        <f t="shared" si="243"/>
        <v>0</v>
      </c>
      <c r="N1006" s="63" t="s">
        <v>3292</v>
      </c>
      <c r="O1006" s="64"/>
      <c r="P1006" s="660" t="str">
        <f t="shared" si="255"/>
        <v/>
      </c>
      <c r="Q1006" s="52" t="str">
        <f t="shared" si="244"/>
        <v>No</v>
      </c>
      <c r="R1006" s="1574" t="str">
        <f t="shared" si="268"/>
        <v/>
      </c>
      <c r="S1006" s="52" t="str">
        <f t="shared" si="263"/>
        <v/>
      </c>
      <c r="T1006" s="52" t="str">
        <f t="shared" si="264"/>
        <v/>
      </c>
      <c r="U1006" s="52" t="str">
        <f t="shared" si="260"/>
        <v/>
      </c>
      <c r="V1006" s="52" t="str">
        <f t="shared" si="265"/>
        <v/>
      </c>
      <c r="W1006" s="1578"/>
      <c r="X1006" s="52" t="str">
        <f t="shared" si="258"/>
        <v/>
      </c>
      <c r="Y1006" s="52" t="str">
        <f t="shared" si="262"/>
        <v/>
      </c>
      <c r="AA1006" s="52" t="str">
        <f t="shared" si="259"/>
        <v/>
      </c>
    </row>
    <row r="1007" spans="2:27" ht="26">
      <c r="B1007" s="1532" t="str">
        <f t="shared" si="261"/>
        <v>Personal Vendetta</v>
      </c>
      <c r="C1007" s="1795"/>
      <c r="D1007" s="920"/>
      <c r="E1007" s="61" t="s">
        <v>3298</v>
      </c>
      <c r="F1007" s="61"/>
      <c r="G1007" s="61"/>
      <c r="H1007" s="61"/>
      <c r="I1007" s="61"/>
      <c r="J1007" s="1687" t="s">
        <v>5290</v>
      </c>
      <c r="K1007" s="63" t="str">
        <f t="shared" si="269"/>
        <v>No</v>
      </c>
      <c r="L1007" s="76"/>
      <c r="M1007" s="63">
        <f t="shared" si="243"/>
        <v>0</v>
      </c>
      <c r="N1007" s="63" t="s">
        <v>3296</v>
      </c>
      <c r="O1007" s="64"/>
      <c r="P1007" s="660" t="str">
        <f t="shared" si="255"/>
        <v/>
      </c>
      <c r="Q1007" s="52" t="str">
        <f t="shared" si="244"/>
        <v>No</v>
      </c>
      <c r="R1007" s="1574" t="str">
        <f t="shared" si="268"/>
        <v/>
      </c>
      <c r="S1007" s="52" t="str">
        <f t="shared" si="263"/>
        <v/>
      </c>
      <c r="T1007" s="52" t="str">
        <f t="shared" si="264"/>
        <v/>
      </c>
      <c r="U1007" s="52" t="str">
        <f t="shared" si="260"/>
        <v/>
      </c>
      <c r="V1007" s="52" t="str">
        <f t="shared" si="265"/>
        <v/>
      </c>
      <c r="W1007" s="1578"/>
      <c r="X1007" s="52" t="str">
        <f t="shared" si="258"/>
        <v/>
      </c>
      <c r="Y1007" s="52" t="str">
        <f t="shared" si="262"/>
        <v/>
      </c>
      <c r="AA1007" s="52" t="str">
        <f t="shared" si="259"/>
        <v/>
      </c>
    </row>
    <row r="1008" spans="2:27">
      <c r="B1008" s="1532" t="str">
        <f t="shared" si="261"/>
        <v>Call Out</v>
      </c>
      <c r="C1008" s="1795"/>
      <c r="D1008" s="920"/>
      <c r="E1008" s="61"/>
      <c r="F1008" s="61" t="s">
        <v>3299</v>
      </c>
      <c r="G1008" s="61"/>
      <c r="H1008" s="61"/>
      <c r="I1008" s="61"/>
      <c r="J1008" s="1687" t="s">
        <v>5291</v>
      </c>
      <c r="K1008" s="63" t="str">
        <f>IF(AND(Q1007="Yes",L1007&lt;&gt;""),"Yes","No")</f>
        <v>No</v>
      </c>
      <c r="L1008" s="76"/>
      <c r="M1008" s="63">
        <f t="shared" si="243"/>
        <v>0</v>
      </c>
      <c r="N1008" s="63" t="s">
        <v>3292</v>
      </c>
      <c r="O1008" s="64"/>
      <c r="P1008" s="660" t="str">
        <f t="shared" si="255"/>
        <v/>
      </c>
      <c r="Q1008" s="52" t="str">
        <f t="shared" si="244"/>
        <v>No</v>
      </c>
      <c r="R1008" s="1574" t="str">
        <f t="shared" si="268"/>
        <v/>
      </c>
      <c r="S1008" s="52" t="str">
        <f t="shared" si="263"/>
        <v/>
      </c>
      <c r="T1008" s="52" t="str">
        <f t="shared" si="264"/>
        <v/>
      </c>
      <c r="U1008" s="52" t="str">
        <f t="shared" si="260"/>
        <v/>
      </c>
      <c r="V1008" s="52" t="str">
        <f t="shared" si="265"/>
        <v/>
      </c>
      <c r="W1008" s="1578"/>
      <c r="X1008" s="52" t="str">
        <f t="shared" si="258"/>
        <v/>
      </c>
      <c r="Y1008" s="52" t="str">
        <f t="shared" si="262"/>
        <v/>
      </c>
      <c r="AA1008" s="52" t="str">
        <f t="shared" si="259"/>
        <v/>
      </c>
    </row>
    <row r="1009" spans="2:27">
      <c r="B1009" s="1532" t="str">
        <f t="shared" si="261"/>
        <v>Unstoppable</v>
      </c>
      <c r="C1009" s="1796"/>
      <c r="D1009" s="920"/>
      <c r="E1009" s="61" t="s">
        <v>3300</v>
      </c>
      <c r="F1009" s="61"/>
      <c r="G1009" s="61"/>
      <c r="H1009" s="61"/>
      <c r="I1009" s="61"/>
      <c r="J1009" s="1691" t="s">
        <v>5292</v>
      </c>
      <c r="K1009" s="928" t="str">
        <f t="shared" si="269"/>
        <v>No</v>
      </c>
      <c r="L1009" s="929"/>
      <c r="M1009" s="928">
        <f t="shared" si="243"/>
        <v>0</v>
      </c>
      <c r="N1009" s="63" t="s">
        <v>3296</v>
      </c>
      <c r="O1009" s="64"/>
      <c r="P1009" s="660" t="str">
        <f t="shared" si="255"/>
        <v/>
      </c>
      <c r="Q1009" s="52" t="str">
        <f t="shared" si="244"/>
        <v>No</v>
      </c>
      <c r="R1009" s="1574" t="str">
        <f t="shared" si="268"/>
        <v/>
      </c>
      <c r="S1009" s="52" t="str">
        <f t="shared" si="263"/>
        <v/>
      </c>
      <c r="T1009" s="52" t="str">
        <f t="shared" si="264"/>
        <v/>
      </c>
      <c r="U1009" s="52" t="str">
        <f t="shared" si="260"/>
        <v/>
      </c>
      <c r="V1009" s="52" t="str">
        <f t="shared" si="265"/>
        <v/>
      </c>
      <c r="W1009" s="1578"/>
      <c r="X1009" s="52" t="str">
        <f t="shared" si="258"/>
        <v/>
      </c>
      <c r="Y1009" s="52" t="str">
        <f t="shared" si="262"/>
        <v/>
      </c>
      <c r="AA1009" s="52" t="str">
        <f t="shared" si="259"/>
        <v/>
      </c>
    </row>
    <row r="1010" spans="2:27" ht="15" customHeight="1">
      <c r="B1010" s="1532" t="str">
        <f t="shared" si="261"/>
        <v>Blowback</v>
      </c>
      <c r="C1010" s="1794" t="s">
        <v>580</v>
      </c>
      <c r="D1010" s="922" t="s">
        <v>3301</v>
      </c>
      <c r="E1010" s="923" t="s">
        <v>3302</v>
      </c>
      <c r="F1010" s="923"/>
      <c r="G1010" s="923"/>
      <c r="H1010" s="923"/>
      <c r="I1010" s="923"/>
      <c r="J1010" s="1690" t="s">
        <v>5293</v>
      </c>
      <c r="K1010" s="63" t="str">
        <f t="shared" si="269"/>
        <v>No</v>
      </c>
      <c r="L1010" s="76"/>
      <c r="M1010" s="63">
        <f t="shared" ref="M1010:M1103" si="270">IF(L1010&lt;&gt;"",1,0)</f>
        <v>0</v>
      </c>
      <c r="N1010" s="924" t="s">
        <v>3235</v>
      </c>
      <c r="O1010" s="64"/>
      <c r="P1010" s="660" t="str">
        <f t="shared" si="255"/>
        <v/>
      </c>
      <c r="Q1010" s="52" t="str">
        <f>IF(OR(AD45&gt;0,AD18&gt;0),"Yes","No")</f>
        <v>No</v>
      </c>
      <c r="R1010" s="1574" t="str">
        <f t="shared" si="268"/>
        <v/>
      </c>
      <c r="S1010" s="52" t="str">
        <f t="shared" si="263"/>
        <v/>
      </c>
      <c r="T1010" s="52" t="str">
        <f t="shared" si="264"/>
        <v/>
      </c>
      <c r="U1010" s="52" t="str">
        <f t="shared" si="260"/>
        <v/>
      </c>
      <c r="V1010" s="52" t="str">
        <f t="shared" si="265"/>
        <v/>
      </c>
      <c r="W1010" s="1578"/>
      <c r="X1010" s="52" t="str">
        <f t="shared" si="258"/>
        <v/>
      </c>
      <c r="Y1010" s="52" t="str">
        <f t="shared" si="262"/>
        <v/>
      </c>
      <c r="AA1010" s="52" t="str">
        <f t="shared" si="259"/>
        <v/>
      </c>
    </row>
    <row r="1011" spans="2:27">
      <c r="B1011" s="1532" t="str">
        <f t="shared" si="261"/>
        <v>Close Contact</v>
      </c>
      <c r="C1011" s="1795"/>
      <c r="D1011" s="920"/>
      <c r="E1011" s="61" t="s">
        <v>3303</v>
      </c>
      <c r="F1011" s="61"/>
      <c r="G1011" s="61"/>
      <c r="H1011" s="61"/>
      <c r="I1011" s="61"/>
      <c r="J1011" s="1687" t="s">
        <v>5294</v>
      </c>
      <c r="K1011" s="63" t="str">
        <f t="shared" si="269"/>
        <v>No</v>
      </c>
      <c r="L1011" s="76"/>
      <c r="M1011" s="63">
        <f t="shared" si="270"/>
        <v>0</v>
      </c>
      <c r="N1011" s="63" t="s">
        <v>3235</v>
      </c>
      <c r="O1011" s="64"/>
      <c r="P1011" s="660" t="str">
        <f t="shared" si="255"/>
        <v/>
      </c>
      <c r="Q1011" s="52" t="str">
        <f t="shared" ref="Q1011:Q1104" si="271">Q1010</f>
        <v>No</v>
      </c>
      <c r="R1011" s="1574" t="str">
        <f t="shared" si="268"/>
        <v/>
      </c>
      <c r="S1011" s="52" t="str">
        <f t="shared" si="263"/>
        <v/>
      </c>
      <c r="T1011" s="52" t="str">
        <f t="shared" si="264"/>
        <v/>
      </c>
      <c r="U1011" s="52" t="str">
        <f t="shared" si="260"/>
        <v/>
      </c>
      <c r="V1011" s="52" t="str">
        <f t="shared" si="265"/>
        <v/>
      </c>
      <c r="W1011" s="1578"/>
      <c r="X1011" s="52" t="str">
        <f t="shared" si="258"/>
        <v/>
      </c>
      <c r="Y1011" s="52" t="str">
        <f t="shared" si="262"/>
        <v/>
      </c>
      <c r="AA1011" s="52" t="str">
        <f>IF(U1011&lt;&gt;"",IF(Z1011="Defenses",U1011&amp;IF(AA1012&lt;&gt;"",", ",""),"")&amp;AA1012,AA1012)</f>
        <v/>
      </c>
    </row>
    <row r="1012" spans="2:27" ht="26">
      <c r="B1012" s="1532" t="str">
        <f t="shared" si="261"/>
        <v>Keep Them Honest</v>
      </c>
      <c r="C1012" s="1795"/>
      <c r="D1012" s="920"/>
      <c r="E1012" s="61" t="s">
        <v>6799</v>
      </c>
      <c r="F1012" s="61"/>
      <c r="G1012" s="61"/>
      <c r="H1012" s="61"/>
      <c r="I1012" s="61"/>
      <c r="J1012" s="1687" t="s">
        <v>6800</v>
      </c>
      <c r="K1012" s="63" t="str">
        <f>IF(Q1012="Yes","Yes","No")</f>
        <v>No</v>
      </c>
      <c r="L1012" s="76"/>
      <c r="M1012" s="63">
        <f t="shared" si="270"/>
        <v>0</v>
      </c>
      <c r="N1012" s="63" t="s">
        <v>6798</v>
      </c>
      <c r="O1012" s="64"/>
      <c r="P1012" s="660" t="str">
        <f t="shared" ref="P1012:P1075" si="272">IF(ShowTalentTrees,IF(D1012&lt;&gt;"",D1012,P1011),"")</f>
        <v/>
      </c>
      <c r="Q1012" s="52" t="str">
        <f t="shared" si="271"/>
        <v>No</v>
      </c>
      <c r="R1012" s="1574" t="str">
        <f t="shared" si="268"/>
        <v/>
      </c>
      <c r="S1012" s="52" t="str">
        <f t="shared" si="263"/>
        <v/>
      </c>
      <c r="T1012" s="52" t="str">
        <f t="shared" si="264"/>
        <v/>
      </c>
      <c r="U1012" s="52" t="str">
        <f t="shared" si="260"/>
        <v/>
      </c>
      <c r="V1012" s="52" t="str">
        <f t="shared" si="265"/>
        <v/>
      </c>
      <c r="W1012" s="1578"/>
      <c r="X1012" s="52" t="str">
        <f t="shared" si="258"/>
        <v/>
      </c>
      <c r="Y1012" s="52" t="str">
        <f t="shared" si="262"/>
        <v/>
      </c>
      <c r="AA1012" s="52" t="str">
        <f>IF(U1012&lt;&gt;"",IF(Z1012="Defenses",U1012&amp;IF(AA1013&lt;&gt;"",", ",""),"")&amp;AA1013,AA1013)</f>
        <v/>
      </c>
    </row>
    <row r="1013" spans="2:27">
      <c r="B1013" s="1532" t="str">
        <f t="shared" si="261"/>
        <v>Multiattack Proficiency (rifles)</v>
      </c>
      <c r="C1013" s="1795"/>
      <c r="D1013" s="920"/>
      <c r="E1013" s="61" t="s">
        <v>3257</v>
      </c>
      <c r="F1013" s="61"/>
      <c r="G1013" s="61"/>
      <c r="H1013" s="61"/>
      <c r="I1013" s="61"/>
      <c r="J1013" s="1687" t="s">
        <v>5295</v>
      </c>
      <c r="K1013" s="63" t="str">
        <f t="shared" si="269"/>
        <v>No</v>
      </c>
      <c r="L1013" s="76"/>
      <c r="M1013" s="63">
        <f>IF(L1013&lt;&gt;"",L1013,0)</f>
        <v>0</v>
      </c>
      <c r="N1013" s="63" t="s">
        <v>3235</v>
      </c>
      <c r="O1013" s="64"/>
      <c r="P1013" s="660" t="str">
        <f t="shared" si="272"/>
        <v/>
      </c>
      <c r="Q1013" s="52" t="str">
        <f t="shared" si="271"/>
        <v>No</v>
      </c>
      <c r="R1013" s="1574" t="str">
        <f t="shared" si="268"/>
        <v/>
      </c>
      <c r="S1013" s="52" t="str">
        <f t="shared" si="263"/>
        <v/>
      </c>
      <c r="T1013" s="52" t="str">
        <f t="shared" si="264"/>
        <v/>
      </c>
      <c r="U1013" s="52" t="str">
        <f t="shared" si="260"/>
        <v/>
      </c>
      <c r="V1013" s="52" t="str">
        <f t="shared" si="265"/>
        <v/>
      </c>
      <c r="W1013" s="1578"/>
      <c r="X1013" s="52" t="str">
        <f t="shared" si="258"/>
        <v/>
      </c>
      <c r="Y1013" s="52" t="str">
        <f t="shared" si="262"/>
        <v/>
      </c>
      <c r="AA1013" s="52" t="str">
        <f>IF(U1013&lt;&gt;"",IF(Z1013="Defenses",U1013&amp;IF(AA1014&lt;&gt;"",", ",""),"")&amp;AA1014,AA1014)</f>
        <v/>
      </c>
    </row>
    <row r="1014" spans="2:27">
      <c r="B1014" s="1532" t="str">
        <f t="shared" si="261"/>
        <v>Old Faithful</v>
      </c>
      <c r="C1014" s="1795"/>
      <c r="D1014" s="920"/>
      <c r="E1014" s="61" t="s">
        <v>3304</v>
      </c>
      <c r="F1014" s="61"/>
      <c r="G1014" s="61"/>
      <c r="H1014" s="61"/>
      <c r="I1014" s="61"/>
      <c r="J1014" s="1687" t="s">
        <v>5296</v>
      </c>
      <c r="K1014" s="63" t="str">
        <f t="shared" si="269"/>
        <v>No</v>
      </c>
      <c r="L1014" s="76"/>
      <c r="M1014" s="63">
        <f t="shared" si="270"/>
        <v>0</v>
      </c>
      <c r="N1014" s="63" t="s">
        <v>3235</v>
      </c>
      <c r="O1014" s="64"/>
      <c r="P1014" s="660" t="str">
        <f t="shared" si="272"/>
        <v/>
      </c>
      <c r="Q1014" s="52" t="str">
        <f t="shared" si="271"/>
        <v>No</v>
      </c>
      <c r="R1014" s="1574" t="str">
        <f t="shared" si="268"/>
        <v/>
      </c>
      <c r="S1014" s="52" t="str">
        <f t="shared" si="263"/>
        <v/>
      </c>
      <c r="T1014" s="52" t="str">
        <f t="shared" si="264"/>
        <v/>
      </c>
      <c r="U1014" s="52" t="str">
        <f t="shared" si="260"/>
        <v/>
      </c>
      <c r="V1014" s="52" t="str">
        <f t="shared" si="265"/>
        <v/>
      </c>
      <c r="W1014" s="1578"/>
      <c r="X1014" s="52" t="str">
        <f t="shared" si="258"/>
        <v/>
      </c>
      <c r="Y1014" s="52" t="str">
        <f t="shared" si="262"/>
        <v/>
      </c>
      <c r="AA1014" s="52" t="str">
        <f t="shared" si="259"/>
        <v/>
      </c>
    </row>
    <row r="1015" spans="2:27">
      <c r="B1015" s="1532" t="str">
        <f t="shared" si="261"/>
        <v>Opportunity Fire</v>
      </c>
      <c r="C1015" s="1795"/>
      <c r="D1015" s="920"/>
      <c r="E1015" s="61" t="s">
        <v>3305</v>
      </c>
      <c r="F1015" s="61"/>
      <c r="G1015" s="61"/>
      <c r="H1015" s="61"/>
      <c r="I1015" s="61"/>
      <c r="J1015" s="1687" t="s">
        <v>5297</v>
      </c>
      <c r="K1015" s="63" t="str">
        <f t="shared" si="269"/>
        <v>No</v>
      </c>
      <c r="L1015" s="76"/>
      <c r="M1015" s="63">
        <f t="shared" si="270"/>
        <v>0</v>
      </c>
      <c r="N1015" s="63" t="s">
        <v>3235</v>
      </c>
      <c r="O1015" s="64"/>
      <c r="P1015" s="660" t="str">
        <f t="shared" si="272"/>
        <v/>
      </c>
      <c r="Q1015" s="52" t="str">
        <f t="shared" si="271"/>
        <v>No</v>
      </c>
      <c r="R1015" s="1574" t="str">
        <f t="shared" si="268"/>
        <v/>
      </c>
      <c r="S1015" s="52" t="str">
        <f t="shared" si="263"/>
        <v/>
      </c>
      <c r="T1015" s="52" t="str">
        <f t="shared" si="264"/>
        <v/>
      </c>
      <c r="U1015" s="52" t="str">
        <f t="shared" si="260"/>
        <v/>
      </c>
      <c r="V1015" s="52" t="str">
        <f t="shared" si="265"/>
        <v/>
      </c>
      <c r="W1015" s="1578"/>
      <c r="X1015" s="52" t="str">
        <f t="shared" si="258"/>
        <v/>
      </c>
      <c r="Y1015" s="52" t="str">
        <f t="shared" si="262"/>
        <v/>
      </c>
      <c r="AA1015" s="52" t="str">
        <f t="shared" si="259"/>
        <v/>
      </c>
    </row>
    <row r="1016" spans="2:27">
      <c r="B1016" s="1532" t="str">
        <f t="shared" si="261"/>
        <v>Rifle Master</v>
      </c>
      <c r="C1016" s="1795"/>
      <c r="D1016" s="920"/>
      <c r="E1016" s="61" t="s">
        <v>3306</v>
      </c>
      <c r="F1016" s="61"/>
      <c r="G1016" s="61"/>
      <c r="H1016" s="61"/>
      <c r="I1016" s="61"/>
      <c r="J1016" s="1687" t="s">
        <v>5298</v>
      </c>
      <c r="K1016" s="63" t="str">
        <f t="shared" si="269"/>
        <v>No</v>
      </c>
      <c r="L1016" s="76"/>
      <c r="M1016" s="63">
        <f t="shared" si="270"/>
        <v>0</v>
      </c>
      <c r="N1016" s="63" t="s">
        <v>3235</v>
      </c>
      <c r="O1016" s="64"/>
      <c r="P1016" s="660" t="str">
        <f t="shared" si="272"/>
        <v/>
      </c>
      <c r="Q1016" s="52" t="str">
        <f t="shared" si="271"/>
        <v>No</v>
      </c>
      <c r="R1016" s="1574" t="str">
        <f t="shared" si="268"/>
        <v/>
      </c>
      <c r="S1016" s="52" t="str">
        <f t="shared" si="263"/>
        <v/>
      </c>
      <c r="T1016" s="52" t="str">
        <f t="shared" si="264"/>
        <v/>
      </c>
      <c r="U1016" s="52" t="str">
        <f t="shared" si="260"/>
        <v/>
      </c>
      <c r="V1016" s="52" t="str">
        <f t="shared" si="265"/>
        <v/>
      </c>
      <c r="W1016" s="1578"/>
      <c r="X1016" s="52" t="str">
        <f t="shared" si="258"/>
        <v/>
      </c>
      <c r="Y1016" s="52" t="str">
        <f t="shared" si="262"/>
        <v/>
      </c>
      <c r="AA1016" s="52" t="str">
        <f t="shared" si="259"/>
        <v/>
      </c>
    </row>
    <row r="1017" spans="2:27">
      <c r="B1017" s="1532" t="str">
        <f t="shared" si="261"/>
        <v>Shoot from the Hip</v>
      </c>
      <c r="C1017" s="1795"/>
      <c r="D1017" s="920"/>
      <c r="E1017" s="61" t="s">
        <v>3307</v>
      </c>
      <c r="F1017" s="61"/>
      <c r="G1017" s="61"/>
      <c r="H1017" s="61"/>
      <c r="I1017" s="61"/>
      <c r="J1017" s="1687" t="s">
        <v>5299</v>
      </c>
      <c r="K1017" s="63" t="str">
        <f t="shared" si="269"/>
        <v>No</v>
      </c>
      <c r="L1017" s="76"/>
      <c r="M1017" s="63">
        <f t="shared" si="270"/>
        <v>0</v>
      </c>
      <c r="N1017" s="63" t="s">
        <v>3235</v>
      </c>
      <c r="O1017" s="64"/>
      <c r="P1017" s="660" t="str">
        <f t="shared" si="272"/>
        <v/>
      </c>
      <c r="Q1017" s="52" t="str">
        <f t="shared" si="271"/>
        <v>No</v>
      </c>
      <c r="R1017" s="1574" t="str">
        <f t="shared" si="268"/>
        <v/>
      </c>
      <c r="S1017" s="52" t="str">
        <f t="shared" si="263"/>
        <v/>
      </c>
      <c r="T1017" s="52" t="str">
        <f t="shared" si="264"/>
        <v/>
      </c>
      <c r="U1017" s="52" t="str">
        <f t="shared" si="260"/>
        <v/>
      </c>
      <c r="V1017" s="52" t="str">
        <f t="shared" si="265"/>
        <v/>
      </c>
      <c r="W1017" s="1578"/>
      <c r="X1017" s="52" t="str">
        <f t="shared" si="258"/>
        <v/>
      </c>
      <c r="Y1017" s="52" t="str">
        <f t="shared" si="262"/>
        <v/>
      </c>
      <c r="AA1017" s="52" t="str">
        <f t="shared" si="259"/>
        <v/>
      </c>
    </row>
    <row r="1018" spans="2:27">
      <c r="B1018" s="1532" t="str">
        <f t="shared" si="261"/>
        <v>Snap Shot</v>
      </c>
      <c r="C1018" s="1795"/>
      <c r="D1018" s="920"/>
      <c r="E1018" s="61" t="s">
        <v>3308</v>
      </c>
      <c r="F1018" s="61"/>
      <c r="G1018" s="61"/>
      <c r="H1018" s="61"/>
      <c r="I1018" s="61"/>
      <c r="J1018" s="1687" t="s">
        <v>5300</v>
      </c>
      <c r="K1018" s="63" t="str">
        <f t="shared" si="269"/>
        <v>No</v>
      </c>
      <c r="L1018" s="76"/>
      <c r="M1018" s="63">
        <f t="shared" si="270"/>
        <v>0</v>
      </c>
      <c r="N1018" s="63" t="s">
        <v>3235</v>
      </c>
      <c r="O1018" s="64"/>
      <c r="P1018" s="660" t="str">
        <f t="shared" si="272"/>
        <v/>
      </c>
      <c r="Q1018" s="52" t="str">
        <f t="shared" si="271"/>
        <v>No</v>
      </c>
      <c r="R1018" s="1574" t="str">
        <f t="shared" si="268"/>
        <v/>
      </c>
      <c r="S1018" s="52" t="str">
        <f t="shared" si="263"/>
        <v/>
      </c>
      <c r="T1018" s="52" t="str">
        <f t="shared" si="264"/>
        <v/>
      </c>
      <c r="U1018" s="52" t="str">
        <f t="shared" si="260"/>
        <v/>
      </c>
      <c r="V1018" s="52" t="str">
        <f t="shared" si="265"/>
        <v/>
      </c>
      <c r="W1018" s="1578"/>
      <c r="X1018" s="52" t="str">
        <f t="shared" si="258"/>
        <v/>
      </c>
      <c r="Y1018" s="52" t="str">
        <f t="shared" si="262"/>
        <v/>
      </c>
      <c r="AA1018" s="52" t="str">
        <f t="shared" si="259"/>
        <v/>
      </c>
    </row>
    <row r="1019" spans="2:27">
      <c r="B1019" s="1532" t="str">
        <f t="shared" si="261"/>
        <v>Blind Shot</v>
      </c>
      <c r="C1019" s="1795"/>
      <c r="D1019" s="920" t="s">
        <v>580</v>
      </c>
      <c r="E1019" s="61" t="s">
        <v>3309</v>
      </c>
      <c r="F1019" s="61"/>
      <c r="G1019" s="61"/>
      <c r="H1019" s="61"/>
      <c r="I1019" s="61"/>
      <c r="J1019" s="1687" t="s">
        <v>5301</v>
      </c>
      <c r="K1019" s="63" t="str">
        <f t="shared" si="269"/>
        <v>No</v>
      </c>
      <c r="L1019" s="76"/>
      <c r="M1019" s="63">
        <f t="shared" si="270"/>
        <v>0</v>
      </c>
      <c r="N1019" s="63" t="s">
        <v>3310</v>
      </c>
      <c r="O1019" s="64"/>
      <c r="P1019" s="660" t="str">
        <f t="shared" si="272"/>
        <v/>
      </c>
      <c r="Q1019" s="52" t="str">
        <f t="shared" si="271"/>
        <v>No</v>
      </c>
      <c r="R1019" s="1574" t="str">
        <f t="shared" si="268"/>
        <v/>
      </c>
      <c r="S1019" s="52" t="str">
        <f t="shared" si="263"/>
        <v/>
      </c>
      <c r="T1019" s="52" t="str">
        <f t="shared" si="264"/>
        <v/>
      </c>
      <c r="U1019" s="52" t="str">
        <f t="shared" si="260"/>
        <v/>
      </c>
      <c r="V1019" s="52" t="str">
        <f t="shared" si="265"/>
        <v/>
      </c>
      <c r="W1019" s="1578"/>
      <c r="X1019" s="52" t="str">
        <f t="shared" si="258"/>
        <v/>
      </c>
      <c r="Y1019" s="52" t="str">
        <f t="shared" si="262"/>
        <v/>
      </c>
      <c r="AA1019" s="52" t="str">
        <f t="shared" si="259"/>
        <v/>
      </c>
    </row>
    <row r="1020" spans="2:27">
      <c r="B1020" s="1532" t="str">
        <f t="shared" si="261"/>
        <v>Debilitating Shot</v>
      </c>
      <c r="C1020" s="1795"/>
      <c r="D1020" s="920"/>
      <c r="E1020" s="61" t="s">
        <v>3311</v>
      </c>
      <c r="F1020" s="61"/>
      <c r="G1020" s="61"/>
      <c r="H1020" s="61"/>
      <c r="I1020" s="61"/>
      <c r="J1020" s="1687" t="s">
        <v>5156</v>
      </c>
      <c r="K1020" s="63" t="str">
        <f t="shared" si="269"/>
        <v>No</v>
      </c>
      <c r="L1020" s="76"/>
      <c r="M1020" s="63">
        <f t="shared" si="270"/>
        <v>0</v>
      </c>
      <c r="N1020" s="63">
        <v>216</v>
      </c>
      <c r="O1020" s="64"/>
      <c r="P1020" s="660" t="str">
        <f t="shared" si="272"/>
        <v/>
      </c>
      <c r="Q1020" s="52" t="str">
        <f t="shared" si="271"/>
        <v>No</v>
      </c>
      <c r="R1020" s="1574" t="str">
        <f t="shared" si="268"/>
        <v/>
      </c>
      <c r="S1020" s="52" t="str">
        <f t="shared" si="263"/>
        <v/>
      </c>
      <c r="T1020" s="52" t="str">
        <f t="shared" si="264"/>
        <v/>
      </c>
      <c r="U1020" s="52" t="str">
        <f t="shared" si="260"/>
        <v/>
      </c>
      <c r="V1020" s="52" t="str">
        <f t="shared" si="265"/>
        <v/>
      </c>
      <c r="W1020" s="1578"/>
      <c r="X1020" s="52" t="str">
        <f t="shared" si="258"/>
        <v/>
      </c>
      <c r="Y1020" s="52" t="str">
        <f t="shared" si="262"/>
        <v/>
      </c>
      <c r="AA1020" s="52" t="str">
        <f>IF(U1020&lt;&gt;"",IF(Z1020="Defenses",U1020&amp;IF(AA1023&lt;&gt;"",", ",""),"")&amp;AA1023,AA1023)</f>
        <v/>
      </c>
    </row>
    <row r="1021" spans="2:27">
      <c r="B1021" s="1575"/>
      <c r="C1021" s="1795"/>
      <c r="D1021" s="920"/>
      <c r="E1021" s="61"/>
      <c r="F1021" s="61" t="s">
        <v>8364</v>
      </c>
      <c r="G1021" s="61"/>
      <c r="H1021" s="61"/>
      <c r="I1021" s="61"/>
      <c r="J1021" s="1687" t="s">
        <v>8365</v>
      </c>
      <c r="K1021" s="63" t="str">
        <f>IF(AND(Q1020="Yes",L1020&lt;&gt;""),"Yes","No")</f>
        <v>No</v>
      </c>
      <c r="L1021" s="76"/>
      <c r="M1021" s="63">
        <f t="shared" si="270"/>
        <v>0</v>
      </c>
      <c r="N1021" s="63" t="s">
        <v>8366</v>
      </c>
      <c r="O1021" s="64"/>
      <c r="P1021" s="660" t="str">
        <f t="shared" si="272"/>
        <v/>
      </c>
      <c r="Q1021" s="52" t="str">
        <f t="shared" si="271"/>
        <v>No</v>
      </c>
      <c r="R1021" s="1574" t="str">
        <f t="shared" si="268"/>
        <v/>
      </c>
      <c r="S1021" s="52" t="str">
        <f t="shared" si="263"/>
        <v/>
      </c>
      <c r="T1021" s="52" t="str">
        <f t="shared" si="264"/>
        <v/>
      </c>
      <c r="U1021" s="52" t="str">
        <f t="shared" si="260"/>
        <v/>
      </c>
      <c r="V1021" s="52" t="str">
        <f t="shared" si="265"/>
        <v/>
      </c>
      <c r="W1021" s="1578"/>
      <c r="X1021" s="52" t="str">
        <f t="shared" si="258"/>
        <v/>
      </c>
      <c r="Y1021" s="52" t="str">
        <f t="shared" si="262"/>
        <v/>
      </c>
    </row>
    <row r="1022" spans="2:27" ht="26">
      <c r="B1022" s="1575"/>
      <c r="C1022" s="1795"/>
      <c r="D1022" s="920"/>
      <c r="E1022" s="61"/>
      <c r="F1022" s="61" t="s">
        <v>8371</v>
      </c>
      <c r="G1022" s="61"/>
      <c r="H1022" s="61"/>
      <c r="I1022" s="61"/>
      <c r="J1022" s="1687" t="s">
        <v>8372</v>
      </c>
      <c r="K1022" s="63" t="str">
        <f>IF(AND(Q1022="Yes",L1020&lt;&gt;""),"Yes","No")</f>
        <v>No</v>
      </c>
      <c r="L1022" s="76"/>
      <c r="M1022" s="63">
        <f t="shared" si="270"/>
        <v>0</v>
      </c>
      <c r="N1022" s="63" t="s">
        <v>8366</v>
      </c>
      <c r="O1022" s="64"/>
      <c r="P1022" s="660" t="str">
        <f t="shared" si="272"/>
        <v/>
      </c>
      <c r="Q1022" s="52" t="str">
        <f t="shared" si="271"/>
        <v>No</v>
      </c>
      <c r="R1022" s="1574" t="str">
        <f t="shared" si="268"/>
        <v/>
      </c>
      <c r="S1022" s="52" t="str">
        <f t="shared" si="263"/>
        <v/>
      </c>
      <c r="T1022" s="52" t="str">
        <f t="shared" si="264"/>
        <v/>
      </c>
      <c r="U1022" s="52" t="str">
        <f t="shared" si="260"/>
        <v/>
      </c>
      <c r="V1022" s="52" t="str">
        <f t="shared" si="265"/>
        <v/>
      </c>
      <c r="W1022" s="1578"/>
      <c r="X1022" s="52" t="str">
        <f t="shared" si="258"/>
        <v/>
      </c>
      <c r="Y1022" s="52" t="str">
        <f t="shared" si="262"/>
        <v/>
      </c>
    </row>
    <row r="1023" spans="2:27" ht="26">
      <c r="B1023" s="1532" t="str">
        <f>IF(E1023&lt;&gt;"",E1023,IF(F1023&lt;&gt;"",F1023,IF(G1023&lt;&gt;"",G1023,IF(H1023&lt;&gt;"",H1023))))</f>
        <v>Deceptive Shot</v>
      </c>
      <c r="C1023" s="1795"/>
      <c r="D1023" s="920"/>
      <c r="E1023" s="61" t="s">
        <v>3312</v>
      </c>
      <c r="F1023" s="61"/>
      <c r="G1023" s="61"/>
      <c r="H1023" s="61"/>
      <c r="I1023" s="61"/>
      <c r="J1023" s="1687" t="s">
        <v>5302</v>
      </c>
      <c r="K1023" s="63" t="str">
        <f t="shared" si="269"/>
        <v>No</v>
      </c>
      <c r="L1023" s="76"/>
      <c r="M1023" s="63">
        <f t="shared" si="270"/>
        <v>0</v>
      </c>
      <c r="N1023" s="63">
        <v>216</v>
      </c>
      <c r="O1023" s="64"/>
      <c r="P1023" s="660" t="str">
        <f t="shared" si="272"/>
        <v/>
      </c>
      <c r="Q1023" s="52" t="str">
        <f>Q1020</f>
        <v>No</v>
      </c>
      <c r="R1023" s="1574" t="str">
        <f t="shared" si="268"/>
        <v/>
      </c>
      <c r="S1023" s="52" t="str">
        <f t="shared" si="263"/>
        <v/>
      </c>
      <c r="T1023" s="52" t="str">
        <f t="shared" si="264"/>
        <v/>
      </c>
      <c r="U1023" s="52" t="str">
        <f t="shared" si="260"/>
        <v/>
      </c>
      <c r="V1023" s="52" t="str">
        <f t="shared" si="265"/>
        <v/>
      </c>
      <c r="W1023" s="1578"/>
      <c r="X1023" s="52" t="str">
        <f t="shared" si="258"/>
        <v/>
      </c>
      <c r="Y1023" s="52" t="str">
        <f t="shared" si="262"/>
        <v/>
      </c>
      <c r="AA1023" s="52" t="str">
        <f t="shared" si="259"/>
        <v/>
      </c>
    </row>
    <row r="1024" spans="2:27">
      <c r="B1024" s="1532" t="str">
        <f>IF(E1024&lt;&gt;"",E1024,IF(F1024&lt;&gt;"",F1024,IF(G1024&lt;&gt;"",G1024,IF(H1024&lt;&gt;"",H1024))))</f>
        <v>Improved Quick Draw</v>
      </c>
      <c r="C1024" s="1795"/>
      <c r="D1024" s="920"/>
      <c r="E1024" s="61" t="s">
        <v>3313</v>
      </c>
      <c r="F1024" s="61"/>
      <c r="G1024" s="61"/>
      <c r="H1024" s="61"/>
      <c r="I1024" s="61"/>
      <c r="J1024" s="1687" t="s">
        <v>5303</v>
      </c>
      <c r="K1024" s="63" t="str">
        <f ca="1">IF(AND(Q1024="Yes",Feats!$M$242&gt;0),"Yes","No")</f>
        <v>No</v>
      </c>
      <c r="L1024" s="76"/>
      <c r="M1024" s="63">
        <f t="shared" si="270"/>
        <v>0</v>
      </c>
      <c r="N1024" s="63">
        <v>216</v>
      </c>
      <c r="O1024" s="64"/>
      <c r="P1024" s="660" t="str">
        <f t="shared" si="272"/>
        <v/>
      </c>
      <c r="Q1024" s="52" t="str">
        <f t="shared" si="271"/>
        <v>No</v>
      </c>
      <c r="R1024" s="1574" t="str">
        <f t="shared" si="268"/>
        <v/>
      </c>
      <c r="S1024" s="52" t="str">
        <f t="shared" si="263"/>
        <v/>
      </c>
      <c r="T1024" s="52" t="str">
        <f t="shared" si="264"/>
        <v/>
      </c>
      <c r="U1024" s="52" t="str">
        <f t="shared" si="260"/>
        <v/>
      </c>
      <c r="V1024" s="52" t="str">
        <f t="shared" si="265"/>
        <v/>
      </c>
      <c r="W1024" s="1578"/>
      <c r="X1024" s="52" t="str">
        <f t="shared" si="258"/>
        <v/>
      </c>
      <c r="Y1024" s="52" t="str">
        <f t="shared" si="262"/>
        <v/>
      </c>
      <c r="AA1024" s="52" t="str">
        <f t="shared" si="259"/>
        <v/>
      </c>
    </row>
    <row r="1025" spans="2:27">
      <c r="B1025" s="1532" t="str">
        <f>IF(E1025&lt;&gt;"",E1025,IF(F1025&lt;&gt;"",F1025,IF(G1025&lt;&gt;"",G1025,IF(H1025&lt;&gt;"",H1025))))</f>
        <v>Knockdown Shot</v>
      </c>
      <c r="C1025" s="1795"/>
      <c r="D1025" s="920"/>
      <c r="E1025" s="61" t="s">
        <v>3314</v>
      </c>
      <c r="F1025" s="61"/>
      <c r="G1025" s="61"/>
      <c r="H1025" s="61"/>
      <c r="I1025" s="61"/>
      <c r="J1025" s="1687" t="s">
        <v>5304</v>
      </c>
      <c r="K1025" s="63" t="str">
        <f t="shared" si="269"/>
        <v>No</v>
      </c>
      <c r="L1025" s="76"/>
      <c r="M1025" s="63">
        <f t="shared" si="270"/>
        <v>0</v>
      </c>
      <c r="N1025" s="63">
        <v>216</v>
      </c>
      <c r="O1025" s="64"/>
      <c r="P1025" s="660" t="str">
        <f t="shared" si="272"/>
        <v/>
      </c>
      <c r="Q1025" s="52" t="str">
        <f t="shared" si="271"/>
        <v>No</v>
      </c>
      <c r="R1025" s="1574" t="str">
        <f t="shared" si="268"/>
        <v/>
      </c>
      <c r="S1025" s="52" t="str">
        <f t="shared" si="263"/>
        <v/>
      </c>
      <c r="T1025" s="52" t="str">
        <f t="shared" si="264"/>
        <v/>
      </c>
      <c r="U1025" s="52" t="str">
        <f t="shared" si="260"/>
        <v/>
      </c>
      <c r="V1025" s="52" t="str">
        <f t="shared" si="265"/>
        <v/>
      </c>
      <c r="W1025" s="1578"/>
      <c r="X1025" s="52" t="str">
        <f t="shared" ref="X1025:X1088" si="273">IF(U1025&lt;&gt;"",IF(W1025="Special Actions",U1025&amp;IF(X1026&lt;&gt;"",", ",""),"")&amp;X1026,X1026)</f>
        <v/>
      </c>
      <c r="Y1025" s="52" t="str">
        <f t="shared" si="262"/>
        <v/>
      </c>
      <c r="AA1025" s="52" t="str">
        <f t="shared" si="259"/>
        <v/>
      </c>
    </row>
    <row r="1026" spans="2:27" ht="39">
      <c r="B1026" s="1532" t="str">
        <f>IF(E1026&lt;&gt;"",E1026,IF(F1026&lt;&gt;"",F1026,IF(G1026&lt;&gt;"",G1026,IF(H1026&lt;&gt;"",H1026))))</f>
        <v>Multiattack Proficiency (pistols)</v>
      </c>
      <c r="C1026" s="1795"/>
      <c r="D1026" s="920"/>
      <c r="E1026" s="61" t="s">
        <v>3315</v>
      </c>
      <c r="F1026" s="61"/>
      <c r="G1026" s="61"/>
      <c r="H1026" s="61"/>
      <c r="I1026" s="61"/>
      <c r="J1026" s="1687" t="s">
        <v>5305</v>
      </c>
      <c r="K1026" s="63" t="str">
        <f t="shared" si="269"/>
        <v>No</v>
      </c>
      <c r="L1026" s="76"/>
      <c r="M1026" s="63">
        <f>IF(L1026&lt;&gt;"",L1026,0)</f>
        <v>0</v>
      </c>
      <c r="N1026" s="63">
        <v>216</v>
      </c>
      <c r="O1026" s="64"/>
      <c r="P1026" s="660" t="str">
        <f t="shared" si="272"/>
        <v/>
      </c>
      <c r="Q1026" s="52" t="str">
        <f t="shared" si="271"/>
        <v>No</v>
      </c>
      <c r="R1026" s="1574" t="str">
        <f t="shared" si="268"/>
        <v/>
      </c>
      <c r="S1026" s="52" t="str">
        <f t="shared" si="263"/>
        <v/>
      </c>
      <c r="T1026" s="52" t="str">
        <f t="shared" si="264"/>
        <v/>
      </c>
      <c r="U1026" s="52" t="str">
        <f t="shared" si="260"/>
        <v/>
      </c>
      <c r="V1026" s="52" t="str">
        <f t="shared" si="265"/>
        <v/>
      </c>
      <c r="W1026" s="1578"/>
      <c r="X1026" s="52" t="str">
        <f t="shared" si="273"/>
        <v/>
      </c>
      <c r="Y1026" s="52" t="str">
        <f t="shared" si="262"/>
        <v/>
      </c>
      <c r="AA1026" s="52" t="str">
        <f t="shared" si="259"/>
        <v/>
      </c>
    </row>
    <row r="1027" spans="2:27">
      <c r="B1027" s="1532" t="str">
        <f>IF(E1027&lt;&gt;"",E1027,IF(F1027&lt;&gt;"",F1027,IF(G1027&lt;&gt;"",G1027,IF(H1027&lt;&gt;"",H1027))))</f>
        <v>Mobile Attack (pistols)</v>
      </c>
      <c r="C1027" s="1795"/>
      <c r="D1027" s="920"/>
      <c r="E1027" s="61"/>
      <c r="F1027" s="61" t="s">
        <v>3316</v>
      </c>
      <c r="G1027" s="61"/>
      <c r="H1027" s="61"/>
      <c r="I1027" s="61"/>
      <c r="J1027" s="1687" t="s">
        <v>5306</v>
      </c>
      <c r="K1027" s="63" t="str">
        <f>IF(AND(Q1026="Yes",L1026&lt;&gt;""),"Yes","No")</f>
        <v>No</v>
      </c>
      <c r="L1027" s="76"/>
      <c r="M1027" s="63">
        <f t="shared" si="270"/>
        <v>0</v>
      </c>
      <c r="N1027" s="63" t="s">
        <v>3317</v>
      </c>
      <c r="O1027" s="64"/>
      <c r="P1027" s="660" t="str">
        <f t="shared" si="272"/>
        <v/>
      </c>
      <c r="Q1027" s="52" t="str">
        <f t="shared" si="271"/>
        <v>No</v>
      </c>
      <c r="R1027" s="1574" t="str">
        <f t="shared" si="268"/>
        <v/>
      </c>
      <c r="S1027" s="52" t="str">
        <f t="shared" si="263"/>
        <v/>
      </c>
      <c r="T1027" s="52" t="str">
        <f t="shared" si="264"/>
        <v/>
      </c>
      <c r="U1027" s="52" t="str">
        <f t="shared" si="260"/>
        <v/>
      </c>
      <c r="V1027" s="52" t="str">
        <f t="shared" si="265"/>
        <v/>
      </c>
      <c r="W1027" s="1578"/>
      <c r="X1027" s="52" t="str">
        <f t="shared" si="273"/>
        <v/>
      </c>
      <c r="Y1027" s="52" t="str">
        <f t="shared" si="262"/>
        <v/>
      </c>
      <c r="AA1027" s="52" t="str">
        <f>IF(U1027&lt;&gt;"",IF(Z1027="Defenses",U1027&amp;IF(AA1029&lt;&gt;"",", ",""),"")&amp;AA1029,AA1029)</f>
        <v/>
      </c>
    </row>
    <row r="1028" spans="2:27">
      <c r="B1028" s="1575"/>
      <c r="C1028" s="1795"/>
      <c r="D1028" s="920"/>
      <c r="E1028" s="61" t="s">
        <v>8367</v>
      </c>
      <c r="F1028" s="61"/>
      <c r="G1028" s="61"/>
      <c r="H1028" s="61"/>
      <c r="I1028" s="61"/>
      <c r="J1028" s="1687" t="s">
        <v>8368</v>
      </c>
      <c r="K1028" s="63" t="str">
        <f t="shared" si="269"/>
        <v>No</v>
      </c>
      <c r="L1028" s="76"/>
      <c r="M1028" s="63">
        <f t="shared" si="270"/>
        <v>0</v>
      </c>
      <c r="N1028" s="63" t="s">
        <v>8328</v>
      </c>
      <c r="O1028" s="64"/>
      <c r="P1028" s="660" t="str">
        <f t="shared" si="272"/>
        <v/>
      </c>
      <c r="Q1028" s="52" t="str">
        <f t="shared" si="271"/>
        <v>No</v>
      </c>
      <c r="R1028" s="1574" t="str">
        <f t="shared" si="268"/>
        <v/>
      </c>
      <c r="S1028" s="52" t="str">
        <f t="shared" si="263"/>
        <v/>
      </c>
      <c r="T1028" s="52" t="str">
        <f t="shared" si="264"/>
        <v/>
      </c>
      <c r="U1028" s="52" t="str">
        <f t="shared" si="260"/>
        <v/>
      </c>
      <c r="V1028" s="52" t="str">
        <f t="shared" si="265"/>
        <v/>
      </c>
      <c r="W1028" s="1578"/>
      <c r="X1028" s="52" t="str">
        <f t="shared" si="273"/>
        <v/>
      </c>
      <c r="Y1028" s="52" t="str">
        <f t="shared" si="262"/>
        <v/>
      </c>
    </row>
    <row r="1029" spans="2:27">
      <c r="B1029" s="1532" t="str">
        <f>IF(E1029&lt;&gt;"",E1029,IF(F1029&lt;&gt;"",F1029,IF(G1029&lt;&gt;"",G1029,IF(H1029&lt;&gt;"",H1029))))</f>
        <v>Ranged Disarm</v>
      </c>
      <c r="C1029" s="1795"/>
      <c r="D1029" s="920"/>
      <c r="E1029" s="61" t="s">
        <v>3318</v>
      </c>
      <c r="F1029" s="61"/>
      <c r="G1029" s="61"/>
      <c r="H1029" s="61"/>
      <c r="I1029" s="61"/>
      <c r="J1029" s="1687" t="s">
        <v>5307</v>
      </c>
      <c r="K1029" s="63" t="str">
        <f t="shared" si="269"/>
        <v>No</v>
      </c>
      <c r="L1029" s="76"/>
      <c r="M1029" s="63">
        <f t="shared" si="270"/>
        <v>0</v>
      </c>
      <c r="N1029" s="63">
        <v>217</v>
      </c>
      <c r="O1029" s="64"/>
      <c r="P1029" s="660" t="str">
        <f t="shared" si="272"/>
        <v/>
      </c>
      <c r="Q1029" s="52" t="str">
        <f>Q1027</f>
        <v>No</v>
      </c>
      <c r="R1029" s="1574" t="str">
        <f t="shared" si="268"/>
        <v/>
      </c>
      <c r="S1029" s="52" t="str">
        <f t="shared" si="263"/>
        <v/>
      </c>
      <c r="T1029" s="52" t="str">
        <f t="shared" si="264"/>
        <v/>
      </c>
      <c r="U1029" s="52" t="str">
        <f t="shared" si="260"/>
        <v/>
      </c>
      <c r="V1029" s="52" t="str">
        <f t="shared" si="265"/>
        <v/>
      </c>
      <c r="W1029" s="1578"/>
      <c r="X1029" s="52" t="str">
        <f t="shared" si="273"/>
        <v/>
      </c>
      <c r="Y1029" s="52" t="str">
        <f t="shared" si="262"/>
        <v/>
      </c>
      <c r="AA1029" s="52" t="str">
        <f>IF(U1029&lt;&gt;"",IF(Z1029="Defenses",U1029&amp;IF(AA1031&lt;&gt;"",", ",""),"")&amp;AA1031,AA1031)</f>
        <v/>
      </c>
    </row>
    <row r="1030" spans="2:27">
      <c r="B1030" s="1575"/>
      <c r="C1030" s="1795"/>
      <c r="D1030" s="920"/>
      <c r="E1030" s="61"/>
      <c r="F1030" s="61" t="s">
        <v>8362</v>
      </c>
      <c r="G1030" s="61"/>
      <c r="H1030" s="61"/>
      <c r="I1030" s="61"/>
      <c r="J1030" s="1687" t="s">
        <v>8363</v>
      </c>
      <c r="K1030" s="63" t="str">
        <f>IF(AND(Q1029="Yes",L1029&lt;&gt;""),"Yes","No")</f>
        <v>No</v>
      </c>
      <c r="L1030" s="76"/>
      <c r="M1030" s="63">
        <f t="shared" si="270"/>
        <v>0</v>
      </c>
      <c r="N1030" s="63" t="s">
        <v>8328</v>
      </c>
      <c r="O1030" s="64"/>
      <c r="P1030" s="660" t="str">
        <f t="shared" si="272"/>
        <v/>
      </c>
      <c r="Q1030" s="52" t="str">
        <f t="shared" si="271"/>
        <v>No</v>
      </c>
      <c r="R1030" s="1574" t="str">
        <f t="shared" si="268"/>
        <v/>
      </c>
      <c r="S1030" s="52" t="str">
        <f t="shared" si="263"/>
        <v/>
      </c>
      <c r="T1030" s="52" t="str">
        <f t="shared" si="264"/>
        <v/>
      </c>
      <c r="U1030" s="52" t="str">
        <f t="shared" si="260"/>
        <v/>
      </c>
      <c r="V1030" s="52" t="str">
        <f t="shared" si="265"/>
        <v/>
      </c>
      <c r="W1030" s="1578"/>
      <c r="X1030" s="52" t="str">
        <f t="shared" si="273"/>
        <v/>
      </c>
      <c r="Y1030" s="52" t="str">
        <f t="shared" si="262"/>
        <v/>
      </c>
    </row>
    <row r="1031" spans="2:27" ht="26">
      <c r="B1031" s="1532" t="str">
        <f>IF(E1031&lt;&gt;"",E1031,IF(F1031&lt;&gt;"",F1031,IF(G1031&lt;&gt;"",G1031,IF(H1031&lt;&gt;"",H1031))))</f>
        <v>Ranged Flank</v>
      </c>
      <c r="C1031" s="1795"/>
      <c r="D1031" s="920"/>
      <c r="E1031" s="61" t="s">
        <v>3319</v>
      </c>
      <c r="F1031" s="61"/>
      <c r="G1031" s="61"/>
      <c r="H1031" s="61"/>
      <c r="I1031" s="61"/>
      <c r="J1031" s="1687" t="s">
        <v>5308</v>
      </c>
      <c r="K1031" s="63" t="str">
        <f t="shared" si="269"/>
        <v>No</v>
      </c>
      <c r="L1031" s="76"/>
      <c r="M1031" s="63">
        <f t="shared" si="270"/>
        <v>0</v>
      </c>
      <c r="N1031" s="63" t="s">
        <v>3180</v>
      </c>
      <c r="O1031" s="64"/>
      <c r="P1031" s="660" t="str">
        <f t="shared" si="272"/>
        <v/>
      </c>
      <c r="Q1031" s="52" t="str">
        <f>Q1029</f>
        <v>No</v>
      </c>
      <c r="R1031" s="1574" t="str">
        <f t="shared" si="268"/>
        <v/>
      </c>
      <c r="S1031" s="52" t="str">
        <f t="shared" si="263"/>
        <v/>
      </c>
      <c r="T1031" s="52" t="str">
        <f t="shared" si="264"/>
        <v/>
      </c>
      <c r="U1031" s="52" t="str">
        <f t="shared" si="260"/>
        <v/>
      </c>
      <c r="V1031" s="52" t="str">
        <f t="shared" si="265"/>
        <v/>
      </c>
      <c r="W1031" s="1578"/>
      <c r="X1031" s="52" t="str">
        <f t="shared" si="273"/>
        <v/>
      </c>
      <c r="Y1031" s="52" t="str">
        <f t="shared" si="262"/>
        <v/>
      </c>
      <c r="AA1031" s="52" t="str">
        <f>IF(U1031&lt;&gt;"",IF(Z1031="Defenses",U1031&amp;IF(AA1034&lt;&gt;"",", ",""),"")&amp;AA1034,AA1034)</f>
        <v/>
      </c>
    </row>
    <row r="1032" spans="2:27">
      <c r="B1032" s="1575"/>
      <c r="C1032" s="1795"/>
      <c r="D1032" s="920"/>
      <c r="E1032" s="61" t="s">
        <v>8369</v>
      </c>
      <c r="F1032" s="61"/>
      <c r="G1032" s="61"/>
      <c r="H1032" s="61"/>
      <c r="I1032" s="61"/>
      <c r="J1032" s="1687" t="s">
        <v>8370</v>
      </c>
      <c r="K1032" s="63" t="str">
        <f t="shared" si="269"/>
        <v>No</v>
      </c>
      <c r="L1032" s="76"/>
      <c r="M1032" s="63">
        <f t="shared" si="270"/>
        <v>0</v>
      </c>
      <c r="N1032" s="63" t="s">
        <v>8366</v>
      </c>
      <c r="O1032" s="64"/>
      <c r="P1032" s="660" t="str">
        <f t="shared" si="272"/>
        <v/>
      </c>
      <c r="Q1032" s="52" t="str">
        <f t="shared" si="271"/>
        <v>No</v>
      </c>
      <c r="R1032" s="1574" t="str">
        <f t="shared" si="268"/>
        <v/>
      </c>
      <c r="S1032" s="52" t="str">
        <f t="shared" si="263"/>
        <v/>
      </c>
      <c r="T1032" s="52" t="str">
        <f t="shared" si="264"/>
        <v/>
      </c>
      <c r="U1032" s="52" t="str">
        <f t="shared" si="260"/>
        <v/>
      </c>
      <c r="V1032" s="52" t="str">
        <f t="shared" si="265"/>
        <v/>
      </c>
      <c r="W1032" s="1578"/>
      <c r="X1032" s="52" t="str">
        <f t="shared" si="273"/>
        <v/>
      </c>
      <c r="Y1032" s="52" t="str">
        <f t="shared" si="262"/>
        <v/>
      </c>
    </row>
    <row r="1033" spans="2:27">
      <c r="B1033" s="1575"/>
      <c r="C1033" s="1795"/>
      <c r="D1033" s="920"/>
      <c r="E1033" s="61" t="s">
        <v>8373</v>
      </c>
      <c r="F1033" s="61"/>
      <c r="G1033" s="61"/>
      <c r="H1033" s="61"/>
      <c r="I1033" s="61"/>
      <c r="J1033" s="1687" t="s">
        <v>8374</v>
      </c>
      <c r="K1033" s="63" t="str">
        <f t="shared" si="269"/>
        <v>No</v>
      </c>
      <c r="L1033" s="76"/>
      <c r="M1033" s="63">
        <f t="shared" si="270"/>
        <v>0</v>
      </c>
      <c r="N1033" s="63" t="s">
        <v>8366</v>
      </c>
      <c r="O1033" s="64"/>
      <c r="P1033" s="660" t="str">
        <f t="shared" si="272"/>
        <v/>
      </c>
      <c r="Q1033" s="52" t="str">
        <f t="shared" si="271"/>
        <v>No</v>
      </c>
      <c r="R1033" s="1574" t="str">
        <f t="shared" si="268"/>
        <v/>
      </c>
      <c r="S1033" s="52" t="str">
        <f t="shared" si="263"/>
        <v/>
      </c>
      <c r="T1033" s="52" t="str">
        <f t="shared" si="264"/>
        <v/>
      </c>
      <c r="U1033" s="52" t="str">
        <f t="shared" si="260"/>
        <v/>
      </c>
      <c r="V1033" s="52" t="str">
        <f t="shared" si="265"/>
        <v/>
      </c>
      <c r="W1033" s="1578"/>
      <c r="X1033" s="52" t="str">
        <f t="shared" si="273"/>
        <v/>
      </c>
      <c r="Y1033" s="52" t="str">
        <f t="shared" si="262"/>
        <v/>
      </c>
    </row>
    <row r="1034" spans="2:27">
      <c r="B1034" s="1532" t="str">
        <f t="shared" ref="B1034:B1065" si="274">IF(E1034&lt;&gt;"",E1034,IF(F1034&lt;&gt;"",F1034,IF(G1034&lt;&gt;"",G1034,IF(H1034&lt;&gt;"",H1034))))</f>
        <v>Trigger Work</v>
      </c>
      <c r="C1034" s="1795"/>
      <c r="D1034" s="920"/>
      <c r="E1034" s="61" t="s">
        <v>3320</v>
      </c>
      <c r="F1034" s="61"/>
      <c r="G1034" s="61"/>
      <c r="H1034" s="61"/>
      <c r="I1034" s="61"/>
      <c r="J1034" s="1687" t="s">
        <v>5309</v>
      </c>
      <c r="K1034" s="63" t="str">
        <f t="shared" si="269"/>
        <v>No</v>
      </c>
      <c r="L1034" s="76"/>
      <c r="M1034" s="63">
        <f t="shared" si="270"/>
        <v>0</v>
      </c>
      <c r="N1034" s="63">
        <v>217</v>
      </c>
      <c r="O1034" s="64"/>
      <c r="P1034" s="660" t="str">
        <f t="shared" si="272"/>
        <v/>
      </c>
      <c r="Q1034" s="52" t="str">
        <f>Q1031</f>
        <v>No</v>
      </c>
      <c r="R1034" s="1574" t="str">
        <f t="shared" si="268"/>
        <v/>
      </c>
      <c r="S1034" s="52" t="str">
        <f t="shared" si="263"/>
        <v/>
      </c>
      <c r="T1034" s="52" t="str">
        <f t="shared" si="264"/>
        <v/>
      </c>
      <c r="U1034" s="52" t="str">
        <f t="shared" si="260"/>
        <v/>
      </c>
      <c r="V1034" s="52" t="str">
        <f t="shared" si="265"/>
        <v/>
      </c>
      <c r="W1034" s="1578"/>
      <c r="X1034" s="52" t="str">
        <f t="shared" si="273"/>
        <v/>
      </c>
      <c r="Y1034" s="52" t="str">
        <f t="shared" si="262"/>
        <v/>
      </c>
      <c r="AA1034" s="52" t="str">
        <f t="shared" si="259"/>
        <v/>
      </c>
    </row>
    <row r="1035" spans="2:27" ht="26">
      <c r="B1035" s="1532" t="str">
        <f t="shared" si="274"/>
        <v>Dash and Blast</v>
      </c>
      <c r="C1035" s="1795"/>
      <c r="D1035" s="920" t="s">
        <v>3321</v>
      </c>
      <c r="E1035" s="61" t="s">
        <v>3322</v>
      </c>
      <c r="F1035" s="61"/>
      <c r="G1035" s="61"/>
      <c r="H1035" s="61"/>
      <c r="I1035" s="61"/>
      <c r="J1035" s="1687" t="s">
        <v>5310</v>
      </c>
      <c r="K1035" s="63" t="str">
        <f t="shared" si="269"/>
        <v>No</v>
      </c>
      <c r="L1035" s="76"/>
      <c r="M1035" s="63">
        <f t="shared" si="270"/>
        <v>0</v>
      </c>
      <c r="N1035" s="63" t="s">
        <v>3180</v>
      </c>
      <c r="O1035" s="64"/>
      <c r="P1035" s="660" t="str">
        <f t="shared" si="272"/>
        <v/>
      </c>
      <c r="Q1035" s="52" t="str">
        <f t="shared" si="271"/>
        <v>No</v>
      </c>
      <c r="R1035" s="1574" t="str">
        <f t="shared" si="268"/>
        <v/>
      </c>
      <c r="S1035" s="52" t="str">
        <f t="shared" si="263"/>
        <v/>
      </c>
      <c r="T1035" s="52" t="str">
        <f t="shared" si="264"/>
        <v/>
      </c>
      <c r="U1035" s="52" t="str">
        <f t="shared" si="260"/>
        <v/>
      </c>
      <c r="V1035" s="52" t="str">
        <f t="shared" si="265"/>
        <v/>
      </c>
      <c r="W1035" s="1578"/>
      <c r="X1035" s="52" t="str">
        <f t="shared" si="273"/>
        <v/>
      </c>
      <c r="Y1035" s="52" t="str">
        <f t="shared" si="262"/>
        <v/>
      </c>
      <c r="AA1035" s="52" t="str">
        <f t="shared" si="259"/>
        <v/>
      </c>
    </row>
    <row r="1036" spans="2:27" ht="26">
      <c r="B1036" s="1532" t="str">
        <f t="shared" si="274"/>
        <v>Flanking Fire</v>
      </c>
      <c r="C1036" s="1795"/>
      <c r="D1036" s="920"/>
      <c r="E1036" s="61" t="s">
        <v>3323</v>
      </c>
      <c r="F1036" s="61"/>
      <c r="G1036" s="61"/>
      <c r="H1036" s="61"/>
      <c r="I1036" s="61"/>
      <c r="J1036" s="1687" t="s">
        <v>5311</v>
      </c>
      <c r="K1036" s="63" t="str">
        <f t="shared" si="269"/>
        <v>No</v>
      </c>
      <c r="L1036" s="76"/>
      <c r="M1036" s="63">
        <f t="shared" si="270"/>
        <v>0</v>
      </c>
      <c r="N1036" s="63" t="s">
        <v>3324</v>
      </c>
      <c r="O1036" s="64"/>
      <c r="P1036" s="660" t="str">
        <f t="shared" si="272"/>
        <v/>
      </c>
      <c r="Q1036" s="52" t="str">
        <f t="shared" si="271"/>
        <v>No</v>
      </c>
      <c r="R1036" s="1574" t="str">
        <f t="shared" si="268"/>
        <v/>
      </c>
      <c r="S1036" s="52" t="str">
        <f t="shared" si="263"/>
        <v/>
      </c>
      <c r="T1036" s="52" t="str">
        <f t="shared" si="264"/>
        <v/>
      </c>
      <c r="U1036" s="52" t="str">
        <f t="shared" si="260"/>
        <v/>
      </c>
      <c r="V1036" s="52" t="str">
        <f t="shared" si="265"/>
        <v/>
      </c>
      <c r="W1036" s="1578"/>
      <c r="X1036" s="52" t="str">
        <f t="shared" si="273"/>
        <v/>
      </c>
      <c r="Y1036" s="52" t="str">
        <f t="shared" si="262"/>
        <v/>
      </c>
      <c r="AA1036" s="52" t="str">
        <f t="shared" si="259"/>
        <v/>
      </c>
    </row>
    <row r="1037" spans="2:27" ht="26">
      <c r="B1037" s="1532" t="str">
        <f t="shared" si="274"/>
        <v>Guaranteed Shot</v>
      </c>
      <c r="C1037" s="1795"/>
      <c r="D1037" s="920"/>
      <c r="E1037" s="61" t="s">
        <v>3325</v>
      </c>
      <c r="F1037" s="61"/>
      <c r="G1037" s="61"/>
      <c r="H1037" s="61"/>
      <c r="I1037" s="61"/>
      <c r="J1037" s="1687" t="s">
        <v>5312</v>
      </c>
      <c r="K1037" s="63" t="str">
        <f t="shared" si="269"/>
        <v>No</v>
      </c>
      <c r="L1037" s="76"/>
      <c r="M1037" s="63">
        <f t="shared" si="270"/>
        <v>0</v>
      </c>
      <c r="N1037" s="63" t="s">
        <v>3324</v>
      </c>
      <c r="O1037" s="64"/>
      <c r="P1037" s="660" t="str">
        <f t="shared" si="272"/>
        <v/>
      </c>
      <c r="Q1037" s="52" t="str">
        <f t="shared" si="271"/>
        <v>No</v>
      </c>
      <c r="R1037" s="1574" t="str">
        <f t="shared" si="268"/>
        <v/>
      </c>
      <c r="S1037" s="52" t="str">
        <f t="shared" si="263"/>
        <v/>
      </c>
      <c r="T1037" s="52" t="str">
        <f t="shared" si="264"/>
        <v/>
      </c>
      <c r="U1037" s="52" t="str">
        <f t="shared" si="260"/>
        <v/>
      </c>
      <c r="V1037" s="52" t="str">
        <f t="shared" si="265"/>
        <v/>
      </c>
      <c r="W1037" s="1578"/>
      <c r="X1037" s="52" t="str">
        <f t="shared" si="273"/>
        <v/>
      </c>
      <c r="Y1037" s="52" t="str">
        <f t="shared" si="262"/>
        <v/>
      </c>
      <c r="AA1037" s="52" t="str">
        <f t="shared" si="259"/>
        <v/>
      </c>
    </row>
    <row r="1038" spans="2:27" ht="26">
      <c r="B1038" s="1532" t="str">
        <f t="shared" si="274"/>
        <v>Hailfire</v>
      </c>
      <c r="C1038" s="1795"/>
      <c r="D1038" s="920"/>
      <c r="E1038" s="61" t="s">
        <v>3326</v>
      </c>
      <c r="F1038" s="61"/>
      <c r="G1038" s="61"/>
      <c r="H1038" s="61"/>
      <c r="I1038" s="61"/>
      <c r="J1038" s="1689" t="s">
        <v>5313</v>
      </c>
      <c r="K1038" s="63" t="str">
        <f t="shared" si="269"/>
        <v>No</v>
      </c>
      <c r="L1038" s="76"/>
      <c r="M1038" s="63">
        <f t="shared" si="270"/>
        <v>0</v>
      </c>
      <c r="N1038" s="63" t="s">
        <v>3324</v>
      </c>
      <c r="O1038" s="64"/>
      <c r="P1038" s="660" t="str">
        <f t="shared" si="272"/>
        <v/>
      </c>
      <c r="Q1038" s="52" t="str">
        <f t="shared" si="271"/>
        <v>No</v>
      </c>
      <c r="R1038" s="1574" t="str">
        <f t="shared" si="268"/>
        <v/>
      </c>
      <c r="S1038" s="52" t="str">
        <f t="shared" si="263"/>
        <v/>
      </c>
      <c r="T1038" s="52" t="str">
        <f t="shared" si="264"/>
        <v/>
      </c>
      <c r="U1038" s="52" t="str">
        <f t="shared" si="260"/>
        <v/>
      </c>
      <c r="V1038" s="52" t="str">
        <f t="shared" si="265"/>
        <v/>
      </c>
      <c r="W1038" s="1578"/>
      <c r="X1038" s="52" t="str">
        <f t="shared" si="273"/>
        <v/>
      </c>
      <c r="Y1038" s="52" t="str">
        <f t="shared" si="262"/>
        <v/>
      </c>
      <c r="AA1038" s="52" t="str">
        <f t="shared" si="259"/>
        <v/>
      </c>
    </row>
    <row r="1039" spans="2:27">
      <c r="B1039" s="1532" t="str">
        <f t="shared" si="274"/>
        <v>Twin Shot</v>
      </c>
      <c r="C1039" s="1795"/>
      <c r="D1039" s="920"/>
      <c r="E1039" s="61" t="s">
        <v>3327</v>
      </c>
      <c r="F1039" s="61"/>
      <c r="G1039" s="61"/>
      <c r="H1039" s="61"/>
      <c r="I1039" s="61"/>
      <c r="J1039" s="1684" t="s">
        <v>5314</v>
      </c>
      <c r="K1039" s="63" t="str">
        <f t="shared" si="269"/>
        <v>No</v>
      </c>
      <c r="L1039" s="76"/>
      <c r="M1039" s="63">
        <f t="shared" si="270"/>
        <v>0</v>
      </c>
      <c r="N1039" s="63" t="s">
        <v>3324</v>
      </c>
      <c r="O1039" s="64"/>
      <c r="P1039" s="660" t="str">
        <f t="shared" si="272"/>
        <v/>
      </c>
      <c r="Q1039" s="52" t="str">
        <f t="shared" si="271"/>
        <v>No</v>
      </c>
      <c r="R1039" s="1574" t="str">
        <f t="shared" si="268"/>
        <v/>
      </c>
      <c r="S1039" s="52" t="str">
        <f t="shared" si="263"/>
        <v/>
      </c>
      <c r="T1039" s="52" t="str">
        <f t="shared" si="264"/>
        <v/>
      </c>
      <c r="U1039" s="52" t="str">
        <f t="shared" si="260"/>
        <v/>
      </c>
      <c r="V1039" s="52" t="str">
        <f t="shared" si="265"/>
        <v/>
      </c>
      <c r="W1039" s="1578"/>
      <c r="X1039" s="52" t="str">
        <f t="shared" si="273"/>
        <v/>
      </c>
      <c r="Y1039" s="52" t="str">
        <f t="shared" si="262"/>
        <v/>
      </c>
      <c r="AA1039" s="52" t="str">
        <f t="shared" ref="AA1039:AA1045" si="275">IF(U1039&lt;&gt;"",IF(Z1039="Defenses",U1039&amp;IF(AA1040&lt;&gt;"",", ",""),"")&amp;AA1040,AA1040)</f>
        <v/>
      </c>
    </row>
    <row r="1040" spans="2:27" ht="26">
      <c r="B1040" s="1532" t="str">
        <f t="shared" si="274"/>
        <v>Precision Shot</v>
      </c>
      <c r="C1040" s="1795"/>
      <c r="D1040" s="920" t="s">
        <v>6801</v>
      </c>
      <c r="E1040" s="61" t="s">
        <v>6802</v>
      </c>
      <c r="F1040" s="61"/>
      <c r="G1040" s="61"/>
      <c r="H1040" s="61"/>
      <c r="I1040" s="61"/>
      <c r="J1040" s="1690" t="s">
        <v>6803</v>
      </c>
      <c r="K1040" s="63" t="str">
        <f t="shared" si="269"/>
        <v>No</v>
      </c>
      <c r="L1040" s="76"/>
      <c r="M1040" s="63">
        <f t="shared" si="270"/>
        <v>0</v>
      </c>
      <c r="N1040" s="63" t="s">
        <v>6798</v>
      </c>
      <c r="O1040" s="64"/>
      <c r="P1040" s="660" t="str">
        <f t="shared" si="272"/>
        <v/>
      </c>
      <c r="Q1040" s="52" t="str">
        <f t="shared" si="271"/>
        <v>No</v>
      </c>
      <c r="R1040" s="1574" t="str">
        <f t="shared" si="268"/>
        <v/>
      </c>
      <c r="S1040" s="52" t="str">
        <f t="shared" si="263"/>
        <v/>
      </c>
      <c r="T1040" s="52" t="str">
        <f t="shared" si="264"/>
        <v/>
      </c>
      <c r="U1040" s="52" t="str">
        <f t="shared" ref="U1040:U1103" si="276">IF(L1040&lt;&gt;"",IF(ISNUMBER(L1040),"",E1040&amp;F1040&amp;G1040),"")</f>
        <v/>
      </c>
      <c r="V1040" s="52" t="str">
        <f t="shared" si="265"/>
        <v/>
      </c>
      <c r="W1040" s="1578"/>
      <c r="X1040" s="52" t="str">
        <f t="shared" si="273"/>
        <v/>
      </c>
      <c r="Y1040" s="52" t="str">
        <f t="shared" si="262"/>
        <v/>
      </c>
      <c r="AA1040" s="52" t="str">
        <f t="shared" si="275"/>
        <v/>
      </c>
    </row>
    <row r="1041" spans="2:27" ht="52">
      <c r="B1041" s="1532" t="str">
        <f t="shared" si="274"/>
        <v>Draw a Bead</v>
      </c>
      <c r="C1041" s="1795"/>
      <c r="D1041" s="920"/>
      <c r="E1041" s="61"/>
      <c r="F1041" s="61" t="s">
        <v>6804</v>
      </c>
      <c r="G1041" s="61"/>
      <c r="H1041" s="61"/>
      <c r="I1041" s="61"/>
      <c r="J1041" s="1687" t="s">
        <v>6805</v>
      </c>
      <c r="K1041" s="63" t="str">
        <f>IF(AND(Q1041="Yes",L1040&lt;&gt;""),"Yes","No")</f>
        <v>No</v>
      </c>
      <c r="L1041" s="76"/>
      <c r="M1041" s="63">
        <f t="shared" si="270"/>
        <v>0</v>
      </c>
      <c r="N1041" s="63" t="s">
        <v>6798</v>
      </c>
      <c r="O1041" s="64"/>
      <c r="P1041" s="660" t="str">
        <f t="shared" si="272"/>
        <v/>
      </c>
      <c r="Q1041" s="52" t="str">
        <f t="shared" si="271"/>
        <v>No</v>
      </c>
      <c r="R1041" s="1574" t="str">
        <f t="shared" si="268"/>
        <v/>
      </c>
      <c r="S1041" s="52" t="str">
        <f t="shared" si="263"/>
        <v/>
      </c>
      <c r="T1041" s="52" t="str">
        <f t="shared" si="264"/>
        <v/>
      </c>
      <c r="U1041" s="52" t="str">
        <f t="shared" si="276"/>
        <v/>
      </c>
      <c r="V1041" s="52" t="str">
        <f t="shared" si="265"/>
        <v/>
      </c>
      <c r="W1041" s="1578"/>
      <c r="X1041" s="52" t="str">
        <f t="shared" si="273"/>
        <v/>
      </c>
      <c r="Y1041" s="52" t="str">
        <f t="shared" si="262"/>
        <v/>
      </c>
      <c r="AA1041" s="52" t="str">
        <f t="shared" si="275"/>
        <v/>
      </c>
    </row>
    <row r="1042" spans="2:27" ht="39">
      <c r="B1042" s="1532" t="str">
        <f t="shared" si="274"/>
        <v>Bullseye</v>
      </c>
      <c r="C1042" s="1795"/>
      <c r="D1042" s="920"/>
      <c r="E1042" s="61"/>
      <c r="F1042" s="61"/>
      <c r="G1042" s="61" t="s">
        <v>6806</v>
      </c>
      <c r="H1042" s="61"/>
      <c r="I1042" s="61"/>
      <c r="J1042" s="1687" t="s">
        <v>6807</v>
      </c>
      <c r="K1042" s="63" t="str">
        <f>IF(AND(Q1042="Yes",L1041&lt;&gt;""),"Yes","No")</f>
        <v>No</v>
      </c>
      <c r="L1042" s="76"/>
      <c r="M1042" s="63">
        <f t="shared" si="270"/>
        <v>0</v>
      </c>
      <c r="N1042" s="63" t="s">
        <v>6798</v>
      </c>
      <c r="O1042" s="64"/>
      <c r="P1042" s="660" t="str">
        <f t="shared" si="272"/>
        <v/>
      </c>
      <c r="Q1042" s="52" t="str">
        <f t="shared" si="271"/>
        <v>No</v>
      </c>
      <c r="R1042" s="1574" t="str">
        <f t="shared" si="268"/>
        <v/>
      </c>
      <c r="S1042" s="52" t="str">
        <f t="shared" si="263"/>
        <v/>
      </c>
      <c r="T1042" s="52" t="str">
        <f t="shared" si="264"/>
        <v/>
      </c>
      <c r="U1042" s="52" t="str">
        <f t="shared" si="276"/>
        <v/>
      </c>
      <c r="V1042" s="52" t="str">
        <f t="shared" si="265"/>
        <v/>
      </c>
      <c r="W1042" s="1578"/>
      <c r="X1042" s="52" t="str">
        <f t="shared" si="273"/>
        <v/>
      </c>
      <c r="Y1042" s="52" t="str">
        <f t="shared" si="262"/>
        <v/>
      </c>
      <c r="AA1042" s="52" t="str">
        <f t="shared" si="275"/>
        <v/>
      </c>
    </row>
    <row r="1043" spans="2:27" ht="39">
      <c r="B1043" s="1532" t="str">
        <f t="shared" si="274"/>
        <v>Pinning Shot</v>
      </c>
      <c r="C1043" s="1795"/>
      <c r="D1043" s="920"/>
      <c r="E1043" s="61"/>
      <c r="F1043" s="61" t="s">
        <v>6808</v>
      </c>
      <c r="G1043" s="61"/>
      <c r="H1043" s="61"/>
      <c r="I1043" s="61"/>
      <c r="J1043" s="1687" t="s">
        <v>6809</v>
      </c>
      <c r="K1043" s="63" t="str">
        <f>IF(AND(Q1043="Yes",L1040&lt;&gt;""),"Yes","No")</f>
        <v>No</v>
      </c>
      <c r="L1043" s="76"/>
      <c r="M1043" s="63">
        <f>IF(L1043&lt;&gt;"",1,0)</f>
        <v>0</v>
      </c>
      <c r="N1043" s="63" t="s">
        <v>6798</v>
      </c>
      <c r="O1043" s="64"/>
      <c r="P1043" s="660" t="str">
        <f t="shared" si="272"/>
        <v/>
      </c>
      <c r="Q1043" s="52" t="str">
        <f t="shared" si="271"/>
        <v>No</v>
      </c>
      <c r="R1043" s="1574" t="str">
        <f t="shared" si="268"/>
        <v/>
      </c>
      <c r="S1043" s="52" t="str">
        <f t="shared" si="263"/>
        <v/>
      </c>
      <c r="T1043" s="52" t="str">
        <f t="shared" si="264"/>
        <v/>
      </c>
      <c r="U1043" s="52" t="str">
        <f t="shared" si="276"/>
        <v/>
      </c>
      <c r="V1043" s="52" t="str">
        <f t="shared" si="265"/>
        <v/>
      </c>
      <c r="W1043" s="1578"/>
      <c r="X1043" s="52" t="str">
        <f t="shared" si="273"/>
        <v/>
      </c>
      <c r="Y1043" s="52" t="str">
        <f t="shared" si="262"/>
        <v/>
      </c>
      <c r="AA1043" s="52" t="str">
        <f t="shared" si="275"/>
        <v/>
      </c>
    </row>
    <row r="1044" spans="2:27" ht="39">
      <c r="B1044" s="1532" t="str">
        <f t="shared" si="274"/>
        <v>Harrying Shot</v>
      </c>
      <c r="C1044" s="1796"/>
      <c r="D1044" s="920"/>
      <c r="E1044" s="61"/>
      <c r="F1044" s="61"/>
      <c r="G1044" s="61" t="s">
        <v>6810</v>
      </c>
      <c r="H1044" s="61"/>
      <c r="I1044" s="61"/>
      <c r="J1044" s="1691" t="s">
        <v>6811</v>
      </c>
      <c r="K1044" s="928" t="str">
        <f>IF(AND(Q1044="Yes",L1043&lt;&gt;""),"Yes","No")</f>
        <v>No</v>
      </c>
      <c r="L1044" s="929"/>
      <c r="M1044" s="928">
        <f>IF(L1044&lt;&gt;"",1,0)</f>
        <v>0</v>
      </c>
      <c r="N1044" s="63" t="s">
        <v>6798</v>
      </c>
      <c r="O1044" s="64"/>
      <c r="P1044" s="660" t="str">
        <f t="shared" si="272"/>
        <v/>
      </c>
      <c r="Q1044" s="52" t="str">
        <f t="shared" si="271"/>
        <v>No</v>
      </c>
      <c r="R1044" s="1574" t="str">
        <f t="shared" si="268"/>
        <v/>
      </c>
      <c r="S1044" s="52" t="str">
        <f t="shared" si="263"/>
        <v/>
      </c>
      <c r="T1044" s="52" t="str">
        <f t="shared" si="264"/>
        <v/>
      </c>
      <c r="U1044" s="52" t="str">
        <f t="shared" si="276"/>
        <v/>
      </c>
      <c r="V1044" s="52" t="str">
        <f t="shared" si="265"/>
        <v/>
      </c>
      <c r="W1044" s="1578"/>
      <c r="X1044" s="52" t="str">
        <f t="shared" si="273"/>
        <v/>
      </c>
      <c r="Y1044" s="52" t="str">
        <f t="shared" si="262"/>
        <v/>
      </c>
      <c r="AA1044" s="52" t="str">
        <f t="shared" si="275"/>
        <v/>
      </c>
    </row>
    <row r="1045" spans="2:27" ht="15" customHeight="1">
      <c r="B1045" s="1532" t="str">
        <f t="shared" si="274"/>
        <v>Armored Augmentation I</v>
      </c>
      <c r="C1045" s="1794" t="s">
        <v>2190</v>
      </c>
      <c r="D1045" s="922" t="s">
        <v>3328</v>
      </c>
      <c r="E1045" s="923" t="s">
        <v>3329</v>
      </c>
      <c r="F1045" s="923"/>
      <c r="G1045" s="923"/>
      <c r="H1045" s="923"/>
      <c r="I1045" s="923"/>
      <c r="J1045" s="1690" t="s">
        <v>5315</v>
      </c>
      <c r="K1045" s="63" t="str">
        <f t="shared" ca="1" si="269"/>
        <v>No</v>
      </c>
      <c r="L1045" s="76"/>
      <c r="M1045" s="63">
        <f t="shared" si="270"/>
        <v>0</v>
      </c>
      <c r="N1045" s="924" t="s">
        <v>3330</v>
      </c>
      <c r="O1045" s="64"/>
      <c r="P1045" s="660" t="str">
        <f t="shared" si="272"/>
        <v/>
      </c>
      <c r="Q1045" s="52" t="str">
        <f ca="1">IF(AND(ForceSensitive="Yes",OR(AD41&gt;0)),"Yes","No")</f>
        <v>No</v>
      </c>
      <c r="R1045" s="1574" t="str">
        <f t="shared" si="268"/>
        <v/>
      </c>
      <c r="S1045" s="52" t="str">
        <f t="shared" si="263"/>
        <v/>
      </c>
      <c r="T1045" s="52" t="str">
        <f t="shared" si="264"/>
        <v/>
      </c>
      <c r="U1045" s="52" t="str">
        <f t="shared" si="276"/>
        <v/>
      </c>
      <c r="V1045" s="52" t="str">
        <f t="shared" si="265"/>
        <v/>
      </c>
      <c r="W1045" s="1578"/>
      <c r="X1045" s="52" t="str">
        <f t="shared" si="273"/>
        <v/>
      </c>
      <c r="Y1045" s="52" t="str">
        <f t="shared" si="262"/>
        <v/>
      </c>
      <c r="AA1045" s="52" t="str">
        <f t="shared" si="275"/>
        <v/>
      </c>
    </row>
    <row r="1046" spans="2:27">
      <c r="B1046" s="1532" t="str">
        <f t="shared" si="274"/>
        <v>Armored Augmentation II</v>
      </c>
      <c r="C1046" s="1795"/>
      <c r="D1046" s="920"/>
      <c r="E1046" s="61"/>
      <c r="F1046" s="61" t="s">
        <v>3331</v>
      </c>
      <c r="G1046" s="61"/>
      <c r="H1046" s="61"/>
      <c r="I1046" s="61"/>
      <c r="J1046" s="1687" t="s">
        <v>5316</v>
      </c>
      <c r="K1046" s="63" t="str">
        <f ca="1">IF(AND(Q1045="Yes",L1045&lt;&gt;""),"Yes","No")</f>
        <v>No</v>
      </c>
      <c r="L1046" s="76"/>
      <c r="M1046" s="63">
        <f t="shared" si="270"/>
        <v>0</v>
      </c>
      <c r="N1046" s="63" t="s">
        <v>3330</v>
      </c>
      <c r="O1046" s="64"/>
      <c r="P1046" s="660" t="str">
        <f t="shared" si="272"/>
        <v/>
      </c>
      <c r="Q1046" s="52" t="str">
        <f t="shared" ca="1" si="271"/>
        <v>No</v>
      </c>
      <c r="R1046" s="1574" t="str">
        <f t="shared" si="268"/>
        <v/>
      </c>
      <c r="S1046" s="52" t="str">
        <f t="shared" si="263"/>
        <v/>
      </c>
      <c r="T1046" s="52" t="str">
        <f t="shared" si="264"/>
        <v/>
      </c>
      <c r="U1046" s="52" t="str">
        <f t="shared" si="276"/>
        <v/>
      </c>
      <c r="V1046" s="52" t="str">
        <f t="shared" si="265"/>
        <v/>
      </c>
      <c r="W1046" s="1578"/>
      <c r="X1046" s="52" t="str">
        <f t="shared" si="273"/>
        <v/>
      </c>
      <c r="Y1046" s="52" t="str">
        <f t="shared" si="262"/>
        <v/>
      </c>
      <c r="AA1046" s="52" t="str">
        <f t="shared" ref="AA1046:AA1124" si="277">IF(U1046&lt;&gt;"",IF(Z1046="Defenses",U1046&amp;IF(AA1047&lt;&gt;"",", ",""),"")&amp;AA1047,AA1047)</f>
        <v/>
      </c>
    </row>
    <row r="1047" spans="2:27">
      <c r="B1047" s="1532" t="str">
        <f t="shared" si="274"/>
        <v>Armor Mastery</v>
      </c>
      <c r="C1047" s="1795"/>
      <c r="D1047" s="920"/>
      <c r="E1047" s="61" t="s">
        <v>2889</v>
      </c>
      <c r="F1047" s="61"/>
      <c r="G1047" s="61"/>
      <c r="H1047" s="61"/>
      <c r="I1047" s="61"/>
      <c r="J1047" s="1687" t="s">
        <v>5317</v>
      </c>
      <c r="K1047" s="63" t="str">
        <f t="shared" ca="1" si="269"/>
        <v>No</v>
      </c>
      <c r="L1047" s="76"/>
      <c r="M1047" s="63">
        <f t="shared" si="270"/>
        <v>0</v>
      </c>
      <c r="N1047" s="63" t="s">
        <v>3330</v>
      </c>
      <c r="O1047" s="64"/>
      <c r="P1047" s="660" t="str">
        <f t="shared" si="272"/>
        <v/>
      </c>
      <c r="Q1047" s="52" t="str">
        <f t="shared" ca="1" si="271"/>
        <v>No</v>
      </c>
      <c r="R1047" s="1574" t="str">
        <f t="shared" si="268"/>
        <v/>
      </c>
      <c r="S1047" s="52" t="str">
        <f t="shared" si="263"/>
        <v/>
      </c>
      <c r="T1047" s="52" t="str">
        <f t="shared" si="264"/>
        <v/>
      </c>
      <c r="U1047" s="52" t="str">
        <f t="shared" si="276"/>
        <v/>
      </c>
      <c r="V1047" s="52" t="str">
        <f t="shared" si="265"/>
        <v/>
      </c>
      <c r="W1047" s="1578"/>
      <c r="X1047" s="52" t="str">
        <f t="shared" si="273"/>
        <v/>
      </c>
      <c r="Y1047" s="52" t="str">
        <f t="shared" ref="Y1047:Y1110" si="278">IF(U1047&lt;&gt;"",IF(W1047="Att Options",U1047&amp;IF(Y1048&lt;&gt;"",", ",""),"")&amp;Y1048,Y1048)</f>
        <v/>
      </c>
      <c r="AA1047" s="52" t="str">
        <f t="shared" si="277"/>
        <v/>
      </c>
    </row>
    <row r="1048" spans="2:27">
      <c r="B1048" s="1532" t="str">
        <f t="shared" si="274"/>
        <v>Cortosis Defense</v>
      </c>
      <c r="C1048" s="1795"/>
      <c r="D1048" s="920"/>
      <c r="E1048" s="61" t="s">
        <v>3332</v>
      </c>
      <c r="F1048" s="61"/>
      <c r="G1048" s="61"/>
      <c r="H1048" s="61"/>
      <c r="I1048" s="61"/>
      <c r="J1048" s="1687" t="s">
        <v>5318</v>
      </c>
      <c r="K1048" s="63" t="str">
        <f t="shared" ca="1" si="269"/>
        <v>No</v>
      </c>
      <c r="L1048" s="76"/>
      <c r="M1048" s="63">
        <f t="shared" si="270"/>
        <v>0</v>
      </c>
      <c r="N1048" s="63" t="s">
        <v>3330</v>
      </c>
      <c r="O1048" s="64"/>
      <c r="P1048" s="660" t="str">
        <f t="shared" si="272"/>
        <v/>
      </c>
      <c r="Q1048" s="52" t="str">
        <f t="shared" ca="1" si="271"/>
        <v>No</v>
      </c>
      <c r="R1048" s="1574" t="str">
        <f t="shared" si="268"/>
        <v/>
      </c>
      <c r="S1048" s="52" t="str">
        <f t="shared" si="263"/>
        <v/>
      </c>
      <c r="T1048" s="52" t="str">
        <f t="shared" si="264"/>
        <v/>
      </c>
      <c r="U1048" s="52" t="str">
        <f t="shared" si="276"/>
        <v/>
      </c>
      <c r="V1048" s="52" t="str">
        <f t="shared" si="265"/>
        <v/>
      </c>
      <c r="W1048" s="1578"/>
      <c r="X1048" s="52" t="str">
        <f t="shared" si="273"/>
        <v/>
      </c>
      <c r="Y1048" s="52" t="str">
        <f t="shared" si="278"/>
        <v/>
      </c>
      <c r="Z1048" s="54" t="s">
        <v>5688</v>
      </c>
      <c r="AA1048" s="52" t="str">
        <f t="shared" si="277"/>
        <v/>
      </c>
    </row>
    <row r="1049" spans="2:27">
      <c r="B1049" s="1532" t="str">
        <f t="shared" si="274"/>
        <v>Cortosis Retaliation</v>
      </c>
      <c r="C1049" s="1795"/>
      <c r="D1049" s="920"/>
      <c r="E1049" s="61"/>
      <c r="F1049" s="61" t="s">
        <v>3333</v>
      </c>
      <c r="G1049" s="61"/>
      <c r="H1049" s="61"/>
      <c r="I1049" s="61"/>
      <c r="J1049" s="1687" t="s">
        <v>5319</v>
      </c>
      <c r="K1049" s="63" t="str">
        <f ca="1">IF(AND(Q1048="Yes",L1048&lt;&gt;""),"Yes","No")</f>
        <v>No</v>
      </c>
      <c r="L1049" s="76"/>
      <c r="M1049" s="63">
        <f t="shared" si="270"/>
        <v>0</v>
      </c>
      <c r="N1049" s="63" t="s">
        <v>3330</v>
      </c>
      <c r="O1049" s="64"/>
      <c r="P1049" s="660" t="str">
        <f t="shared" si="272"/>
        <v/>
      </c>
      <c r="Q1049" s="52" t="str">
        <f t="shared" ca="1" si="271"/>
        <v>No</v>
      </c>
      <c r="R1049" s="1574" t="str">
        <f t="shared" si="268"/>
        <v/>
      </c>
      <c r="S1049" s="52" t="str">
        <f t="shared" si="263"/>
        <v/>
      </c>
      <c r="T1049" s="52" t="str">
        <f t="shared" si="264"/>
        <v/>
      </c>
      <c r="U1049" s="52" t="str">
        <f t="shared" si="276"/>
        <v/>
      </c>
      <c r="V1049" s="52" t="str">
        <f t="shared" si="265"/>
        <v/>
      </c>
      <c r="W1049" s="1578"/>
      <c r="X1049" s="52" t="str">
        <f t="shared" si="273"/>
        <v/>
      </c>
      <c r="Y1049" s="52" t="str">
        <f t="shared" si="278"/>
        <v/>
      </c>
      <c r="AA1049" s="52" t="str">
        <f t="shared" si="277"/>
        <v/>
      </c>
    </row>
    <row r="1050" spans="2:27">
      <c r="B1050" s="1532" t="str">
        <f t="shared" si="274"/>
        <v>Knight's Morale</v>
      </c>
      <c r="C1050" s="1795"/>
      <c r="D1050" s="920" t="s">
        <v>3334</v>
      </c>
      <c r="E1050" s="61" t="s">
        <v>3335</v>
      </c>
      <c r="F1050" s="61"/>
      <c r="G1050" s="61"/>
      <c r="H1050" s="61"/>
      <c r="I1050" s="61"/>
      <c r="J1050" s="1687" t="s">
        <v>5320</v>
      </c>
      <c r="K1050" s="63" t="str">
        <f t="shared" ca="1" si="269"/>
        <v>No</v>
      </c>
      <c r="L1050" s="76"/>
      <c r="M1050" s="63">
        <f t="shared" si="270"/>
        <v>0</v>
      </c>
      <c r="N1050" s="63" t="s">
        <v>3330</v>
      </c>
      <c r="O1050" s="64"/>
      <c r="P1050" s="660" t="str">
        <f t="shared" si="272"/>
        <v/>
      </c>
      <c r="Q1050" s="52" t="str">
        <f ca="1">IF(AND(ForceSensitive="Yes",OR(AD41&gt;0)),"Yes","No")</f>
        <v>No</v>
      </c>
      <c r="R1050" s="1574" t="str">
        <f t="shared" si="268"/>
        <v/>
      </c>
      <c r="S1050" s="52" t="str">
        <f t="shared" si="263"/>
        <v/>
      </c>
      <c r="T1050" s="52" t="str">
        <f t="shared" si="264"/>
        <v/>
      </c>
      <c r="U1050" s="52" t="str">
        <f t="shared" si="276"/>
        <v/>
      </c>
      <c r="V1050" s="52" t="str">
        <f t="shared" si="265"/>
        <v/>
      </c>
      <c r="W1050" s="1578"/>
      <c r="X1050" s="52" t="str">
        <f t="shared" si="273"/>
        <v/>
      </c>
      <c r="Y1050" s="52" t="str">
        <f t="shared" si="278"/>
        <v/>
      </c>
      <c r="AA1050" s="52" t="str">
        <f t="shared" si="277"/>
        <v/>
      </c>
    </row>
    <row r="1051" spans="2:27" ht="26">
      <c r="B1051" s="1532" t="str">
        <f t="shared" si="274"/>
        <v>Strength of the Empire</v>
      </c>
      <c r="C1051" s="1795"/>
      <c r="D1051" s="920"/>
      <c r="E1051" s="61"/>
      <c r="F1051" s="61" t="s">
        <v>3336</v>
      </c>
      <c r="G1051" s="61"/>
      <c r="H1051" s="61"/>
      <c r="I1051" s="61"/>
      <c r="J1051" s="1687" t="s">
        <v>5321</v>
      </c>
      <c r="K1051" s="63" t="str">
        <f ca="1">IF(AND(Q1050="Yes",L1050&lt;&gt;""),"Yes","No")</f>
        <v>No</v>
      </c>
      <c r="L1051" s="76"/>
      <c r="M1051" s="63">
        <f t="shared" si="270"/>
        <v>0</v>
      </c>
      <c r="N1051" s="63" t="s">
        <v>3330</v>
      </c>
      <c r="O1051" s="64"/>
      <c r="P1051" s="660" t="str">
        <f t="shared" si="272"/>
        <v/>
      </c>
      <c r="Q1051" s="52" t="str">
        <f t="shared" ca="1" si="271"/>
        <v>No</v>
      </c>
      <c r="R1051" s="1574" t="str">
        <f t="shared" si="268"/>
        <v/>
      </c>
      <c r="S1051" s="52" t="str">
        <f t="shared" si="263"/>
        <v/>
      </c>
      <c r="T1051" s="52" t="str">
        <f t="shared" si="264"/>
        <v/>
      </c>
      <c r="U1051" s="52" t="str">
        <f t="shared" si="276"/>
        <v/>
      </c>
      <c r="V1051" s="52" t="str">
        <f t="shared" si="265"/>
        <v/>
      </c>
      <c r="W1051" s="1578"/>
      <c r="X1051" s="52" t="str">
        <f t="shared" si="273"/>
        <v/>
      </c>
      <c r="Y1051" s="52" t="str">
        <f t="shared" si="278"/>
        <v/>
      </c>
      <c r="AA1051" s="52" t="str">
        <f t="shared" si="277"/>
        <v/>
      </c>
    </row>
    <row r="1052" spans="2:27" ht="26">
      <c r="B1052" s="1532" t="str">
        <f t="shared" si="274"/>
        <v>Oath of Duty</v>
      </c>
      <c r="C1052" s="1795"/>
      <c r="D1052" s="920"/>
      <c r="E1052" s="61" t="s">
        <v>3337</v>
      </c>
      <c r="F1052" s="61"/>
      <c r="G1052" s="61"/>
      <c r="H1052" s="61"/>
      <c r="I1052" s="61"/>
      <c r="J1052" s="1687" t="s">
        <v>5322</v>
      </c>
      <c r="K1052" s="63" t="str">
        <f t="shared" ca="1" si="269"/>
        <v>No</v>
      </c>
      <c r="L1052" s="76"/>
      <c r="M1052" s="63">
        <f t="shared" si="270"/>
        <v>0</v>
      </c>
      <c r="N1052" s="63" t="s">
        <v>3330</v>
      </c>
      <c r="O1052" s="64"/>
      <c r="P1052" s="660" t="str">
        <f t="shared" si="272"/>
        <v/>
      </c>
      <c r="Q1052" s="52" t="str">
        <f t="shared" ca="1" si="271"/>
        <v>No</v>
      </c>
      <c r="R1052" s="1574" t="str">
        <f t="shared" si="268"/>
        <v/>
      </c>
      <c r="S1052" s="52" t="str">
        <f t="shared" si="263"/>
        <v/>
      </c>
      <c r="T1052" s="52" t="str">
        <f t="shared" si="264"/>
        <v/>
      </c>
      <c r="U1052" s="52" t="str">
        <f t="shared" si="276"/>
        <v/>
      </c>
      <c r="V1052" s="52" t="str">
        <f t="shared" si="265"/>
        <v/>
      </c>
      <c r="W1052" s="1578"/>
      <c r="X1052" s="52" t="str">
        <f t="shared" si="273"/>
        <v/>
      </c>
      <c r="Y1052" s="52" t="str">
        <f t="shared" si="278"/>
        <v/>
      </c>
      <c r="AA1052" s="52" t="str">
        <f t="shared" si="277"/>
        <v/>
      </c>
    </row>
    <row r="1053" spans="2:27">
      <c r="B1053" s="1532" t="str">
        <f t="shared" si="274"/>
        <v>Praetoria Ishu</v>
      </c>
      <c r="C1053" s="1795"/>
      <c r="D1053" s="920"/>
      <c r="E1053" s="61" t="s">
        <v>3338</v>
      </c>
      <c r="F1053" s="61"/>
      <c r="G1053" s="61"/>
      <c r="H1053" s="61"/>
      <c r="I1053" s="61"/>
      <c r="J1053" s="1687" t="s">
        <v>5323</v>
      </c>
      <c r="K1053" s="63" t="str">
        <f t="shared" ca="1" si="269"/>
        <v>No</v>
      </c>
      <c r="L1053" s="76"/>
      <c r="M1053" s="63">
        <f t="shared" si="270"/>
        <v>0</v>
      </c>
      <c r="N1053" s="63" t="s">
        <v>3330</v>
      </c>
      <c r="O1053" s="64"/>
      <c r="P1053" s="660" t="str">
        <f t="shared" si="272"/>
        <v/>
      </c>
      <c r="Q1053" s="52" t="str">
        <f t="shared" ca="1" si="271"/>
        <v>No</v>
      </c>
      <c r="R1053" s="1574" t="str">
        <f t="shared" si="268"/>
        <v/>
      </c>
      <c r="S1053" s="52" t="str">
        <f t="shared" si="263"/>
        <v/>
      </c>
      <c r="T1053" s="52" t="str">
        <f t="shared" si="264"/>
        <v/>
      </c>
      <c r="U1053" s="52" t="str">
        <f t="shared" si="276"/>
        <v/>
      </c>
      <c r="V1053" s="52" t="str">
        <f t="shared" si="265"/>
        <v/>
      </c>
      <c r="W1053" s="1578"/>
      <c r="X1053" s="52" t="str">
        <f t="shared" si="273"/>
        <v/>
      </c>
      <c r="Y1053" s="52" t="str">
        <f t="shared" si="278"/>
        <v/>
      </c>
      <c r="AA1053" s="52" t="str">
        <f t="shared" si="277"/>
        <v/>
      </c>
    </row>
    <row r="1054" spans="2:27">
      <c r="B1054" s="1532" t="str">
        <f t="shared" si="274"/>
        <v>Praetoria Vonil</v>
      </c>
      <c r="C1054" s="1796"/>
      <c r="D1054" s="71"/>
      <c r="E1054" s="927" t="s">
        <v>3339</v>
      </c>
      <c r="F1054" s="927"/>
      <c r="G1054" s="927"/>
      <c r="H1054" s="927"/>
      <c r="I1054" s="927"/>
      <c r="J1054" s="1691" t="s">
        <v>5324</v>
      </c>
      <c r="K1054" s="928" t="str">
        <f t="shared" ca="1" si="269"/>
        <v>No</v>
      </c>
      <c r="L1054" s="929"/>
      <c r="M1054" s="928">
        <f t="shared" si="270"/>
        <v>0</v>
      </c>
      <c r="N1054" s="928" t="s">
        <v>3330</v>
      </c>
      <c r="O1054" s="64"/>
      <c r="P1054" s="660" t="str">
        <f t="shared" si="272"/>
        <v/>
      </c>
      <c r="Q1054" s="52" t="str">
        <f t="shared" ca="1" si="271"/>
        <v>No</v>
      </c>
      <c r="R1054" s="1574" t="str">
        <f t="shared" si="268"/>
        <v/>
      </c>
      <c r="S1054" s="52" t="str">
        <f t="shared" si="263"/>
        <v/>
      </c>
      <c r="T1054" s="52" t="str">
        <f t="shared" si="264"/>
        <v/>
      </c>
      <c r="U1054" s="52" t="str">
        <f t="shared" si="276"/>
        <v/>
      </c>
      <c r="V1054" s="52" t="str">
        <f t="shared" si="265"/>
        <v/>
      </c>
      <c r="W1054" s="1578"/>
      <c r="X1054" s="52" t="str">
        <f t="shared" si="273"/>
        <v/>
      </c>
      <c r="Y1054" s="52" t="str">
        <f t="shared" si="278"/>
        <v/>
      </c>
      <c r="AA1054" s="52" t="str">
        <f t="shared" ref="AA1054:AA1082" si="279">IF(U1054&lt;&gt;"",IF(Z1054="Defenses",U1054&amp;IF(AA1055&lt;&gt;"",", ",""),"")&amp;AA1055,AA1055)</f>
        <v/>
      </c>
    </row>
    <row r="1055" spans="2:27" ht="14.5" customHeight="1">
      <c r="B1055" s="1532" t="str">
        <f t="shared" si="274"/>
        <v>Black Market Buyer</v>
      </c>
      <c r="C1055" s="1794" t="s">
        <v>6220</v>
      </c>
      <c r="D1055" s="920" t="s">
        <v>6426</v>
      </c>
      <c r="E1055" s="61" t="s">
        <v>6427</v>
      </c>
      <c r="F1055" s="61"/>
      <c r="G1055" s="61"/>
      <c r="H1055" s="61"/>
      <c r="I1055" s="61"/>
      <c r="J1055" s="1690" t="s">
        <v>6428</v>
      </c>
      <c r="K1055" s="63" t="str">
        <f t="shared" si="269"/>
        <v>No</v>
      </c>
      <c r="L1055" s="76"/>
      <c r="M1055" s="63">
        <f t="shared" ref="M1055:M1064" si="280">IF(L1055&lt;&gt;"",1,0)</f>
        <v>0</v>
      </c>
      <c r="N1055" s="63" t="s">
        <v>6491</v>
      </c>
      <c r="O1055" s="64"/>
      <c r="P1055" s="660" t="str">
        <f t="shared" si="272"/>
        <v/>
      </c>
      <c r="Q1055" s="52" t="str">
        <f>IF(OR($AD$45&gt;0,$AD$43&gt;0),"Yes","No")</f>
        <v>No</v>
      </c>
      <c r="R1055" s="1574" t="str">
        <f t="shared" si="268"/>
        <v/>
      </c>
      <c r="S1055" s="52" t="str">
        <f t="shared" ref="S1055:S1118" si="281">IF(R1055&lt;&gt;"",R1055&amp;";"&amp;S1056,S1056)</f>
        <v/>
      </c>
      <c r="T1055" s="52" t="str">
        <f t="shared" ref="T1055:T1118" si="282">IF(R1055&lt;&gt;"",N1055&amp;";"&amp;T1056,T1056)</f>
        <v/>
      </c>
      <c r="U1055" s="52" t="str">
        <f t="shared" si="276"/>
        <v/>
      </c>
      <c r="V1055" s="52" t="str">
        <f t="shared" ref="V1055:V1118" si="283">IF(U1055&lt;&gt;"",U1055&amp;";"&amp;V1056,V1056)</f>
        <v/>
      </c>
      <c r="W1055" s="1578"/>
      <c r="X1055" s="52" t="str">
        <f t="shared" si="273"/>
        <v/>
      </c>
      <c r="Y1055" s="52" t="str">
        <f t="shared" si="278"/>
        <v/>
      </c>
      <c r="AA1055" s="52" t="str">
        <f t="shared" si="279"/>
        <v/>
      </c>
    </row>
    <row r="1056" spans="2:27" ht="39">
      <c r="B1056" s="1532" t="str">
        <f t="shared" si="274"/>
        <v>Only the Finest</v>
      </c>
      <c r="C1056" s="1795"/>
      <c r="D1056" s="920"/>
      <c r="E1056" s="61"/>
      <c r="F1056" s="61" t="s">
        <v>6431</v>
      </c>
      <c r="G1056" s="61"/>
      <c r="H1056" s="61"/>
      <c r="I1056" s="61"/>
      <c r="J1056" s="1687" t="s">
        <v>6432</v>
      </c>
      <c r="K1056" s="63" t="str">
        <f>IF(AND(Q1055="Yes",L1055&lt;&gt;""),"Yes","No")</f>
        <v>No</v>
      </c>
      <c r="L1056" s="76"/>
      <c r="M1056" s="63">
        <f t="shared" si="280"/>
        <v>0</v>
      </c>
      <c r="N1056" s="63" t="s">
        <v>6491</v>
      </c>
      <c r="O1056" s="64"/>
      <c r="P1056" s="660" t="str">
        <f t="shared" si="272"/>
        <v/>
      </c>
      <c r="Q1056" s="52" t="str">
        <f t="shared" si="271"/>
        <v>No</v>
      </c>
      <c r="R1056" s="1574" t="str">
        <f t="shared" si="268"/>
        <v/>
      </c>
      <c r="S1056" s="52" t="str">
        <f t="shared" si="281"/>
        <v/>
      </c>
      <c r="T1056" s="52" t="str">
        <f t="shared" si="282"/>
        <v/>
      </c>
      <c r="U1056" s="52" t="str">
        <f t="shared" si="276"/>
        <v/>
      </c>
      <c r="V1056" s="52" t="str">
        <f t="shared" si="283"/>
        <v/>
      </c>
      <c r="W1056" s="1578"/>
      <c r="X1056" s="52" t="str">
        <f t="shared" si="273"/>
        <v/>
      </c>
      <c r="Y1056" s="52" t="str">
        <f t="shared" si="278"/>
        <v/>
      </c>
      <c r="AA1056" s="52" t="str">
        <f t="shared" si="279"/>
        <v/>
      </c>
    </row>
    <row r="1057" spans="2:27" ht="52">
      <c r="B1057" s="1532" t="str">
        <f t="shared" si="274"/>
        <v>Excellent Kit</v>
      </c>
      <c r="C1057" s="1795"/>
      <c r="D1057" s="920"/>
      <c r="E1057" s="61" t="s">
        <v>6430</v>
      </c>
      <c r="F1057" s="61"/>
      <c r="G1057" s="61"/>
      <c r="H1057" s="61"/>
      <c r="I1057" s="61"/>
      <c r="J1057" s="1687" t="s">
        <v>6429</v>
      </c>
      <c r="K1057" s="63" t="str">
        <f t="shared" ref="K1057:K1062" si="284">IF(Q1057="Yes","Yes","No")</f>
        <v>No</v>
      </c>
      <c r="L1057" s="76"/>
      <c r="M1057" s="63">
        <f t="shared" si="280"/>
        <v>0</v>
      </c>
      <c r="N1057" s="63" t="s">
        <v>6491</v>
      </c>
      <c r="O1057" s="64"/>
      <c r="P1057" s="660" t="str">
        <f t="shared" si="272"/>
        <v/>
      </c>
      <c r="Q1057" s="52" t="str">
        <f t="shared" si="271"/>
        <v>No</v>
      </c>
      <c r="R1057" s="1574" t="str">
        <f t="shared" si="268"/>
        <v/>
      </c>
      <c r="S1057" s="52" t="str">
        <f t="shared" si="281"/>
        <v/>
      </c>
      <c r="T1057" s="52" t="str">
        <f t="shared" si="282"/>
        <v/>
      </c>
      <c r="U1057" s="52" t="str">
        <f t="shared" si="276"/>
        <v/>
      </c>
      <c r="V1057" s="52" t="str">
        <f t="shared" si="283"/>
        <v/>
      </c>
      <c r="W1057" s="1578"/>
      <c r="X1057" s="52" t="str">
        <f t="shared" si="273"/>
        <v/>
      </c>
      <c r="Y1057" s="52" t="str">
        <f t="shared" si="278"/>
        <v/>
      </c>
      <c r="AA1057" s="52" t="str">
        <f t="shared" si="279"/>
        <v/>
      </c>
    </row>
    <row r="1058" spans="2:27" ht="78">
      <c r="B1058" s="1532" t="str">
        <f t="shared" si="274"/>
        <v>Just What Is Needed</v>
      </c>
      <c r="C1058" s="1795"/>
      <c r="D1058" s="920"/>
      <c r="E1058" s="61" t="s">
        <v>6433</v>
      </c>
      <c r="F1058" s="61"/>
      <c r="G1058" s="61"/>
      <c r="H1058" s="61"/>
      <c r="I1058" s="61"/>
      <c r="J1058" s="1687" t="s">
        <v>6434</v>
      </c>
      <c r="K1058" s="63" t="str">
        <f t="shared" si="284"/>
        <v>No</v>
      </c>
      <c r="L1058" s="76"/>
      <c r="M1058" s="63">
        <f t="shared" si="280"/>
        <v>0</v>
      </c>
      <c r="N1058" s="63" t="s">
        <v>6491</v>
      </c>
      <c r="O1058" s="64"/>
      <c r="P1058" s="660" t="str">
        <f t="shared" si="272"/>
        <v/>
      </c>
      <c r="Q1058" s="52" t="str">
        <f t="shared" si="271"/>
        <v>No</v>
      </c>
      <c r="R1058" s="1574" t="str">
        <f t="shared" ref="R1058:R1121" si="285">IF(L1058&lt;&gt;"",E1058&amp;F1058&amp;G1058&amp;IF(P1058&lt;&gt;""," ("&amp;P1058&amp;")",""),"")&amp;IF(M1058&gt;1," ("&amp;M1058&amp;")","")</f>
        <v/>
      </c>
      <c r="S1058" s="52" t="str">
        <f t="shared" si="281"/>
        <v/>
      </c>
      <c r="T1058" s="52" t="str">
        <f t="shared" si="282"/>
        <v/>
      </c>
      <c r="U1058" s="52" t="str">
        <f t="shared" si="276"/>
        <v/>
      </c>
      <c r="V1058" s="52" t="str">
        <f t="shared" si="283"/>
        <v/>
      </c>
      <c r="W1058" s="1578"/>
      <c r="X1058" s="52" t="str">
        <f t="shared" si="273"/>
        <v/>
      </c>
      <c r="Y1058" s="52" t="str">
        <f t="shared" si="278"/>
        <v/>
      </c>
      <c r="AA1058" s="52" t="str">
        <f t="shared" si="279"/>
        <v/>
      </c>
    </row>
    <row r="1059" spans="2:27" ht="39">
      <c r="B1059" s="1532" t="str">
        <f t="shared" si="274"/>
        <v>Right Gear for the Job</v>
      </c>
      <c r="C1059" s="1795"/>
      <c r="D1059" s="920"/>
      <c r="E1059" s="61" t="s">
        <v>6436</v>
      </c>
      <c r="F1059" s="61"/>
      <c r="G1059" s="61"/>
      <c r="H1059" s="61"/>
      <c r="I1059" s="61"/>
      <c r="J1059" s="1687" t="s">
        <v>6435</v>
      </c>
      <c r="K1059" s="63" t="str">
        <f t="shared" si="284"/>
        <v>No</v>
      </c>
      <c r="L1059" s="76"/>
      <c r="M1059" s="63">
        <f t="shared" si="280"/>
        <v>0</v>
      </c>
      <c r="N1059" s="63" t="s">
        <v>6491</v>
      </c>
      <c r="O1059" s="64"/>
      <c r="P1059" s="660" t="str">
        <f t="shared" si="272"/>
        <v/>
      </c>
      <c r="Q1059" s="52" t="str">
        <f t="shared" si="271"/>
        <v>No</v>
      </c>
      <c r="R1059" s="1574" t="str">
        <f t="shared" si="285"/>
        <v/>
      </c>
      <c r="S1059" s="52" t="str">
        <f t="shared" si="281"/>
        <v/>
      </c>
      <c r="T1059" s="52" t="str">
        <f t="shared" si="282"/>
        <v/>
      </c>
      <c r="U1059" s="52" t="str">
        <f t="shared" si="276"/>
        <v/>
      </c>
      <c r="V1059" s="52" t="str">
        <f t="shared" si="283"/>
        <v/>
      </c>
      <c r="W1059" s="1578"/>
      <c r="X1059" s="52" t="str">
        <f t="shared" si="273"/>
        <v/>
      </c>
      <c r="Y1059" s="52" t="str">
        <f t="shared" si="278"/>
        <v/>
      </c>
      <c r="AA1059" s="52" t="str">
        <f t="shared" si="279"/>
        <v/>
      </c>
    </row>
    <row r="1060" spans="2:27" ht="65">
      <c r="B1060" s="1532" t="str">
        <f t="shared" si="274"/>
        <v>Capture Droid</v>
      </c>
      <c r="C1060" s="1795"/>
      <c r="D1060" s="920" t="s">
        <v>6220</v>
      </c>
      <c r="E1060" s="61" t="s">
        <v>6437</v>
      </c>
      <c r="F1060" s="61"/>
      <c r="G1060" s="61"/>
      <c r="H1060" s="61"/>
      <c r="I1060" s="61"/>
      <c r="J1060" s="1687" t="s">
        <v>6438</v>
      </c>
      <c r="K1060" s="63" t="str">
        <f t="shared" si="284"/>
        <v>No</v>
      </c>
      <c r="L1060" s="76"/>
      <c r="M1060" s="63">
        <f t="shared" si="280"/>
        <v>0</v>
      </c>
      <c r="N1060" s="63" t="s">
        <v>6491</v>
      </c>
      <c r="O1060" s="64"/>
      <c r="P1060" s="660" t="str">
        <f t="shared" si="272"/>
        <v/>
      </c>
      <c r="Q1060" s="52" t="str">
        <f t="shared" si="271"/>
        <v>No</v>
      </c>
      <c r="R1060" s="1574" t="str">
        <f t="shared" si="285"/>
        <v/>
      </c>
      <c r="S1060" s="52" t="str">
        <f t="shared" si="281"/>
        <v/>
      </c>
      <c r="T1060" s="52" t="str">
        <f t="shared" si="282"/>
        <v/>
      </c>
      <c r="U1060" s="52" t="str">
        <f t="shared" si="276"/>
        <v/>
      </c>
      <c r="V1060" s="52" t="str">
        <f t="shared" si="283"/>
        <v/>
      </c>
      <c r="W1060" s="1578"/>
      <c r="X1060" s="52" t="str">
        <f t="shared" si="273"/>
        <v/>
      </c>
      <c r="Y1060" s="52" t="str">
        <f t="shared" si="278"/>
        <v/>
      </c>
      <c r="AA1060" s="52" t="str">
        <f t="shared" si="279"/>
        <v/>
      </c>
    </row>
    <row r="1061" spans="2:27" ht="39">
      <c r="B1061" s="1532" t="str">
        <f t="shared" si="274"/>
        <v>Improved Jury-Rig</v>
      </c>
      <c r="C1061" s="1795"/>
      <c r="D1061" s="920"/>
      <c r="E1061" s="61" t="s">
        <v>6440</v>
      </c>
      <c r="F1061" s="61"/>
      <c r="G1061" s="61"/>
      <c r="H1061" s="61"/>
      <c r="I1061" s="61"/>
      <c r="J1061" s="1687" t="s">
        <v>6439</v>
      </c>
      <c r="K1061" s="63" t="str">
        <f t="shared" si="284"/>
        <v>No</v>
      </c>
      <c r="L1061" s="76"/>
      <c r="M1061" s="63">
        <f t="shared" si="280"/>
        <v>0</v>
      </c>
      <c r="N1061" s="63" t="s">
        <v>6491</v>
      </c>
      <c r="O1061" s="64"/>
      <c r="P1061" s="660" t="str">
        <f t="shared" si="272"/>
        <v/>
      </c>
      <c r="Q1061" s="52" t="str">
        <f t="shared" si="271"/>
        <v>No</v>
      </c>
      <c r="R1061" s="1574" t="str">
        <f t="shared" si="285"/>
        <v/>
      </c>
      <c r="S1061" s="52" t="str">
        <f t="shared" si="281"/>
        <v/>
      </c>
      <c r="T1061" s="52" t="str">
        <f t="shared" si="282"/>
        <v/>
      </c>
      <c r="U1061" s="52" t="str">
        <f t="shared" si="276"/>
        <v/>
      </c>
      <c r="V1061" s="52" t="str">
        <f t="shared" si="283"/>
        <v/>
      </c>
      <c r="W1061" s="1578"/>
      <c r="X1061" s="52" t="str">
        <f t="shared" si="273"/>
        <v/>
      </c>
      <c r="Y1061" s="52" t="str">
        <f t="shared" si="278"/>
        <v/>
      </c>
      <c r="AA1061" s="52" t="str">
        <f t="shared" si="279"/>
        <v/>
      </c>
    </row>
    <row r="1062" spans="2:27" ht="52">
      <c r="B1062" s="1532" t="str">
        <f t="shared" si="274"/>
        <v>Improvised Device</v>
      </c>
      <c r="C1062" s="1795"/>
      <c r="D1062" s="920"/>
      <c r="E1062" s="61" t="s">
        <v>6441</v>
      </c>
      <c r="F1062" s="61"/>
      <c r="G1062" s="61"/>
      <c r="H1062" s="61"/>
      <c r="I1062" s="61"/>
      <c r="J1062" s="1687" t="s">
        <v>6442</v>
      </c>
      <c r="K1062" s="63" t="str">
        <f t="shared" si="284"/>
        <v>No</v>
      </c>
      <c r="L1062" s="76"/>
      <c r="M1062" s="63">
        <f t="shared" si="280"/>
        <v>0</v>
      </c>
      <c r="N1062" s="63" t="s">
        <v>6491</v>
      </c>
      <c r="O1062" s="64"/>
      <c r="P1062" s="660" t="str">
        <f t="shared" si="272"/>
        <v/>
      </c>
      <c r="Q1062" s="52" t="str">
        <f t="shared" si="271"/>
        <v>No</v>
      </c>
      <c r="R1062" s="1574" t="str">
        <f t="shared" si="285"/>
        <v/>
      </c>
      <c r="S1062" s="52" t="str">
        <f t="shared" si="281"/>
        <v/>
      </c>
      <c r="T1062" s="52" t="str">
        <f t="shared" si="282"/>
        <v/>
      </c>
      <c r="U1062" s="52" t="str">
        <f t="shared" si="276"/>
        <v/>
      </c>
      <c r="V1062" s="52" t="str">
        <f t="shared" si="283"/>
        <v/>
      </c>
      <c r="W1062" s="1578"/>
      <c r="X1062" s="52" t="str">
        <f t="shared" si="273"/>
        <v/>
      </c>
      <c r="Y1062" s="52" t="str">
        <f t="shared" si="278"/>
        <v/>
      </c>
      <c r="AA1062" s="52" t="str">
        <f t="shared" si="279"/>
        <v/>
      </c>
    </row>
    <row r="1063" spans="2:27" ht="26">
      <c r="B1063" s="1532" t="str">
        <f t="shared" si="274"/>
        <v>Bigger Bang</v>
      </c>
      <c r="C1063" s="1795"/>
      <c r="D1063" s="920"/>
      <c r="E1063" s="61"/>
      <c r="F1063" s="61" t="s">
        <v>6444</v>
      </c>
      <c r="G1063" s="61"/>
      <c r="H1063" s="61"/>
      <c r="I1063" s="61"/>
      <c r="J1063" s="1687" t="s">
        <v>6443</v>
      </c>
      <c r="K1063" s="63" t="str">
        <f>IF(AND(Q1062="Yes",L1062&lt;&gt;""),"Yes","No")</f>
        <v>No</v>
      </c>
      <c r="L1063" s="76"/>
      <c r="M1063" s="63">
        <f t="shared" si="280"/>
        <v>0</v>
      </c>
      <c r="N1063" s="63" t="s">
        <v>6491</v>
      </c>
      <c r="O1063" s="64"/>
      <c r="P1063" s="660" t="str">
        <f t="shared" si="272"/>
        <v/>
      </c>
      <c r="Q1063" s="52" t="str">
        <f t="shared" si="271"/>
        <v>No</v>
      </c>
      <c r="R1063" s="1574" t="str">
        <f t="shared" si="285"/>
        <v/>
      </c>
      <c r="S1063" s="52" t="str">
        <f t="shared" si="281"/>
        <v/>
      </c>
      <c r="T1063" s="52" t="str">
        <f t="shared" si="282"/>
        <v/>
      </c>
      <c r="U1063" s="52" t="str">
        <f t="shared" si="276"/>
        <v/>
      </c>
      <c r="V1063" s="52" t="str">
        <f t="shared" si="283"/>
        <v/>
      </c>
      <c r="W1063" s="1578"/>
      <c r="X1063" s="52" t="str">
        <f t="shared" si="273"/>
        <v/>
      </c>
      <c r="Y1063" s="52" t="str">
        <f t="shared" si="278"/>
        <v/>
      </c>
      <c r="AA1063" s="52" t="str">
        <f t="shared" si="279"/>
        <v/>
      </c>
    </row>
    <row r="1064" spans="2:27" ht="39">
      <c r="B1064" s="1532" t="str">
        <f t="shared" si="274"/>
        <v>Custom Model</v>
      </c>
      <c r="C1064" s="1796"/>
      <c r="D1064" s="920"/>
      <c r="E1064" s="61"/>
      <c r="F1064" s="61" t="s">
        <v>6446</v>
      </c>
      <c r="G1064" s="61"/>
      <c r="H1064" s="61"/>
      <c r="I1064" s="61"/>
      <c r="J1064" s="1691" t="s">
        <v>6445</v>
      </c>
      <c r="K1064" s="928" t="str">
        <f>IF(AND(Q1063="Yes",L1062&lt;&gt;""),"Yes","No")</f>
        <v>No</v>
      </c>
      <c r="L1064" s="929"/>
      <c r="M1064" s="928">
        <f t="shared" si="280"/>
        <v>0</v>
      </c>
      <c r="N1064" s="63" t="s">
        <v>6491</v>
      </c>
      <c r="O1064" s="64"/>
      <c r="P1064" s="660" t="str">
        <f t="shared" si="272"/>
        <v/>
      </c>
      <c r="Q1064" s="52" t="str">
        <f t="shared" si="271"/>
        <v>No</v>
      </c>
      <c r="R1064" s="1574" t="str">
        <f t="shared" si="285"/>
        <v/>
      </c>
      <c r="S1064" s="52" t="str">
        <f t="shared" si="281"/>
        <v/>
      </c>
      <c r="T1064" s="52" t="str">
        <f t="shared" si="282"/>
        <v/>
      </c>
      <c r="U1064" s="52" t="str">
        <f t="shared" si="276"/>
        <v/>
      </c>
      <c r="V1064" s="52" t="str">
        <f t="shared" si="283"/>
        <v/>
      </c>
      <c r="W1064" s="1578"/>
      <c r="X1064" s="52" t="str">
        <f t="shared" si="273"/>
        <v/>
      </c>
      <c r="Y1064" s="52" t="str">
        <f t="shared" si="278"/>
        <v/>
      </c>
      <c r="AA1064" s="52" t="str">
        <f t="shared" si="279"/>
        <v/>
      </c>
    </row>
    <row r="1065" spans="2:27" ht="15" customHeight="1">
      <c r="B1065" s="1532" t="str">
        <f t="shared" si="274"/>
        <v>Defensive Electronics</v>
      </c>
      <c r="C1065" s="1794" t="s">
        <v>1012</v>
      </c>
      <c r="D1065" s="922" t="s">
        <v>3340</v>
      </c>
      <c r="E1065" s="923" t="s">
        <v>3341</v>
      </c>
      <c r="F1065" s="923"/>
      <c r="G1065" s="923"/>
      <c r="H1065" s="923"/>
      <c r="I1065" s="923"/>
      <c r="J1065" s="1690" t="s">
        <v>5325</v>
      </c>
      <c r="K1065" s="63" t="str">
        <f t="shared" si="269"/>
        <v>No</v>
      </c>
      <c r="L1065" s="76"/>
      <c r="M1065" s="63">
        <f t="shared" si="270"/>
        <v>0</v>
      </c>
      <c r="N1065" s="924" t="s">
        <v>3342</v>
      </c>
      <c r="O1065" s="64"/>
      <c r="P1065" s="660" t="str">
        <f t="shared" si="272"/>
        <v/>
      </c>
      <c r="Q1065" s="52" t="str">
        <f>IF(OR(AD45&gt;0,AD30&gt;0),"Yes","No")</f>
        <v>No</v>
      </c>
      <c r="R1065" s="1574" t="str">
        <f t="shared" si="285"/>
        <v/>
      </c>
      <c r="S1065" s="52" t="str">
        <f t="shared" si="281"/>
        <v/>
      </c>
      <c r="T1065" s="52" t="str">
        <f t="shared" si="282"/>
        <v/>
      </c>
      <c r="U1065" s="52" t="str">
        <f t="shared" si="276"/>
        <v/>
      </c>
      <c r="V1065" s="52" t="str">
        <f t="shared" si="283"/>
        <v/>
      </c>
      <c r="W1065" s="1578"/>
      <c r="X1065" s="52" t="str">
        <f t="shared" si="273"/>
        <v/>
      </c>
      <c r="Y1065" s="52" t="str">
        <f t="shared" si="278"/>
        <v/>
      </c>
      <c r="AA1065" s="52" t="str">
        <f t="shared" si="279"/>
        <v/>
      </c>
    </row>
    <row r="1066" spans="2:27">
      <c r="B1066" s="1532" t="str">
        <f t="shared" ref="B1066:B1097" si="286">IF(E1066&lt;&gt;"",E1066,IF(F1066&lt;&gt;"",F1066,IF(G1066&lt;&gt;"",G1066,IF(H1066&lt;&gt;"",H1066))))</f>
        <v>Ion Resistance</v>
      </c>
      <c r="C1066" s="1795"/>
      <c r="D1066" s="920"/>
      <c r="E1066" s="61" t="s">
        <v>3343</v>
      </c>
      <c r="F1066" s="61"/>
      <c r="G1066" s="61"/>
      <c r="H1066" s="61"/>
      <c r="I1066" s="61"/>
      <c r="J1066" s="1687" t="s">
        <v>5326</v>
      </c>
      <c r="K1066" s="63" t="str">
        <f t="shared" si="269"/>
        <v>No</v>
      </c>
      <c r="L1066" s="76"/>
      <c r="M1066" s="63">
        <f t="shared" si="270"/>
        <v>0</v>
      </c>
      <c r="N1066" s="63" t="s">
        <v>3342</v>
      </c>
      <c r="O1066" s="64"/>
      <c r="P1066" s="660" t="str">
        <f t="shared" si="272"/>
        <v/>
      </c>
      <c r="Q1066" s="52" t="str">
        <f t="shared" si="271"/>
        <v>No</v>
      </c>
      <c r="R1066" s="1574" t="str">
        <f t="shared" si="285"/>
        <v/>
      </c>
      <c r="S1066" s="52" t="str">
        <f t="shared" si="281"/>
        <v/>
      </c>
      <c r="T1066" s="52" t="str">
        <f t="shared" si="282"/>
        <v/>
      </c>
      <c r="U1066" s="52" t="str">
        <f t="shared" si="276"/>
        <v/>
      </c>
      <c r="V1066" s="52" t="str">
        <f t="shared" si="283"/>
        <v/>
      </c>
      <c r="W1066" s="1578"/>
      <c r="X1066" s="52" t="str">
        <f t="shared" si="273"/>
        <v/>
      </c>
      <c r="Y1066" s="52" t="str">
        <f t="shared" si="278"/>
        <v/>
      </c>
      <c r="AA1066" s="52" t="str">
        <f t="shared" si="279"/>
        <v/>
      </c>
    </row>
    <row r="1067" spans="2:27" ht="26">
      <c r="B1067" s="1532" t="str">
        <f t="shared" si="286"/>
        <v>Soft Reset</v>
      </c>
      <c r="C1067" s="1795"/>
      <c r="D1067" s="920"/>
      <c r="E1067" s="61" t="s">
        <v>3344</v>
      </c>
      <c r="F1067" s="61"/>
      <c r="G1067" s="61"/>
      <c r="H1067" s="61"/>
      <c r="I1067" s="61"/>
      <c r="J1067" s="1687" t="s">
        <v>5327</v>
      </c>
      <c r="K1067" s="63" t="str">
        <f t="shared" si="269"/>
        <v>No</v>
      </c>
      <c r="L1067" s="76"/>
      <c r="M1067" s="63">
        <f t="shared" si="270"/>
        <v>0</v>
      </c>
      <c r="N1067" s="63" t="s">
        <v>3342</v>
      </c>
      <c r="O1067" s="64"/>
      <c r="P1067" s="660" t="str">
        <f t="shared" si="272"/>
        <v/>
      </c>
      <c r="Q1067" s="52" t="str">
        <f t="shared" si="271"/>
        <v>No</v>
      </c>
      <c r="R1067" s="1574" t="str">
        <f t="shared" si="285"/>
        <v/>
      </c>
      <c r="S1067" s="52" t="str">
        <f t="shared" si="281"/>
        <v/>
      </c>
      <c r="T1067" s="52" t="str">
        <f t="shared" si="282"/>
        <v/>
      </c>
      <c r="U1067" s="52" t="str">
        <f t="shared" si="276"/>
        <v/>
      </c>
      <c r="V1067" s="52" t="str">
        <f t="shared" si="283"/>
        <v/>
      </c>
      <c r="W1067" s="1578"/>
      <c r="X1067" s="52" t="str">
        <f t="shared" si="273"/>
        <v/>
      </c>
      <c r="Y1067" s="52" t="str">
        <f t="shared" si="278"/>
        <v/>
      </c>
      <c r="AA1067" s="52" t="str">
        <f t="shared" si="279"/>
        <v/>
      </c>
    </row>
    <row r="1068" spans="2:27">
      <c r="B1068" s="1532" t="str">
        <f t="shared" si="286"/>
        <v>Modification Specialist</v>
      </c>
      <c r="C1068" s="1795"/>
      <c r="D1068" s="920"/>
      <c r="E1068" s="61" t="s">
        <v>3345</v>
      </c>
      <c r="F1068" s="61"/>
      <c r="G1068" s="61"/>
      <c r="H1068" s="61"/>
      <c r="I1068" s="61"/>
      <c r="J1068" s="1687" t="s">
        <v>5328</v>
      </c>
      <c r="K1068" s="63" t="str">
        <f t="shared" si="269"/>
        <v>No</v>
      </c>
      <c r="L1068" s="76"/>
      <c r="M1068" s="63">
        <f t="shared" si="270"/>
        <v>0</v>
      </c>
      <c r="N1068" s="63" t="s">
        <v>3342</v>
      </c>
      <c r="O1068" s="64"/>
      <c r="P1068" s="660" t="str">
        <f t="shared" si="272"/>
        <v/>
      </c>
      <c r="Q1068" s="52" t="str">
        <f t="shared" si="271"/>
        <v>No</v>
      </c>
      <c r="R1068" s="1574" t="str">
        <f t="shared" si="285"/>
        <v/>
      </c>
      <c r="S1068" s="52" t="str">
        <f t="shared" si="281"/>
        <v/>
      </c>
      <c r="T1068" s="52" t="str">
        <f t="shared" si="282"/>
        <v/>
      </c>
      <c r="U1068" s="52" t="str">
        <f t="shared" si="276"/>
        <v/>
      </c>
      <c r="V1068" s="52" t="str">
        <f t="shared" si="283"/>
        <v/>
      </c>
      <c r="W1068" s="1578"/>
      <c r="X1068" s="52" t="str">
        <f t="shared" si="273"/>
        <v/>
      </c>
      <c r="Y1068" s="52" t="str">
        <f t="shared" si="278"/>
        <v/>
      </c>
      <c r="AA1068" s="52" t="str">
        <f t="shared" si="279"/>
        <v/>
      </c>
    </row>
    <row r="1069" spans="2:27" ht="78">
      <c r="B1069" s="1532" t="str">
        <f t="shared" si="286"/>
        <v>Power Boost</v>
      </c>
      <c r="C1069" s="1795"/>
      <c r="D1069" s="920"/>
      <c r="E1069" s="61" t="s">
        <v>7513</v>
      </c>
      <c r="F1069" s="61"/>
      <c r="G1069" s="61"/>
      <c r="H1069" s="61"/>
      <c r="I1069" s="61"/>
      <c r="J1069" s="1687" t="s">
        <v>7514</v>
      </c>
      <c r="K1069" s="63" t="str">
        <f>IF(Q1069="Yes","Yes","No")</f>
        <v>No</v>
      </c>
      <c r="L1069" s="76"/>
      <c r="M1069" s="63">
        <f>IF(L1069&lt;&gt;"",1,0)</f>
        <v>0</v>
      </c>
      <c r="N1069" s="63" t="s">
        <v>7452</v>
      </c>
      <c r="O1069" s="64"/>
      <c r="P1069" s="660" t="str">
        <f t="shared" si="272"/>
        <v/>
      </c>
      <c r="Q1069" s="52" t="str">
        <f t="shared" si="271"/>
        <v>No</v>
      </c>
      <c r="R1069" s="1574" t="str">
        <f t="shared" si="285"/>
        <v/>
      </c>
      <c r="S1069" s="52" t="str">
        <f t="shared" si="281"/>
        <v/>
      </c>
      <c r="T1069" s="52" t="str">
        <f t="shared" si="282"/>
        <v/>
      </c>
      <c r="U1069" s="52" t="str">
        <f t="shared" si="276"/>
        <v/>
      </c>
      <c r="V1069" s="52" t="str">
        <f t="shared" si="283"/>
        <v/>
      </c>
      <c r="W1069" s="1578"/>
      <c r="X1069" s="52" t="str">
        <f t="shared" si="273"/>
        <v/>
      </c>
      <c r="Y1069" s="52" t="str">
        <f t="shared" si="278"/>
        <v/>
      </c>
      <c r="AA1069" s="52" t="str">
        <f t="shared" si="279"/>
        <v/>
      </c>
    </row>
    <row r="1070" spans="2:27">
      <c r="B1070" s="1532" t="str">
        <f t="shared" si="286"/>
        <v>Repair Self</v>
      </c>
      <c r="C1070" s="1795"/>
      <c r="D1070" s="920"/>
      <c r="E1070" s="61" t="s">
        <v>3346</v>
      </c>
      <c r="F1070" s="61"/>
      <c r="G1070" s="61"/>
      <c r="H1070" s="61"/>
      <c r="I1070" s="61"/>
      <c r="J1070" s="1687" t="s">
        <v>5329</v>
      </c>
      <c r="K1070" s="63" t="str">
        <f t="shared" si="269"/>
        <v>No</v>
      </c>
      <c r="L1070" s="76"/>
      <c r="M1070" s="63">
        <f t="shared" si="270"/>
        <v>0</v>
      </c>
      <c r="N1070" s="63" t="s">
        <v>3342</v>
      </c>
      <c r="O1070" s="64"/>
      <c r="P1070" s="660" t="str">
        <f t="shared" si="272"/>
        <v/>
      </c>
      <c r="Q1070" s="52" t="str">
        <f t="shared" si="271"/>
        <v>No</v>
      </c>
      <c r="R1070" s="1574" t="str">
        <f t="shared" si="285"/>
        <v/>
      </c>
      <c r="S1070" s="52" t="str">
        <f t="shared" si="281"/>
        <v/>
      </c>
      <c r="T1070" s="52" t="str">
        <f t="shared" si="282"/>
        <v/>
      </c>
      <c r="U1070" s="52" t="str">
        <f t="shared" si="276"/>
        <v/>
      </c>
      <c r="V1070" s="52" t="str">
        <f t="shared" si="283"/>
        <v/>
      </c>
      <c r="W1070" s="1578"/>
      <c r="X1070" s="52" t="str">
        <f t="shared" si="273"/>
        <v/>
      </c>
      <c r="Y1070" s="52" t="str">
        <f t="shared" si="278"/>
        <v/>
      </c>
      <c r="AA1070" s="52" t="str">
        <f t="shared" si="279"/>
        <v/>
      </c>
    </row>
    <row r="1071" spans="2:27" ht="52">
      <c r="B1071" s="1532" t="str">
        <f t="shared" si="286"/>
        <v>Break Program</v>
      </c>
      <c r="C1071" s="1795"/>
      <c r="D1071" s="920" t="s">
        <v>7504</v>
      </c>
      <c r="E1071" s="61" t="s">
        <v>7505</v>
      </c>
      <c r="F1071" s="61"/>
      <c r="G1071" s="61"/>
      <c r="H1071" s="61"/>
      <c r="I1071" s="61"/>
      <c r="J1071" s="1687" t="s">
        <v>7506</v>
      </c>
      <c r="K1071" s="63" t="str">
        <f>IF(Q1071="Yes","Yes","No")</f>
        <v>No</v>
      </c>
      <c r="L1071" s="76"/>
      <c r="M1071" s="63">
        <f>IF(L1071&lt;&gt;"",1,0)</f>
        <v>0</v>
      </c>
      <c r="N1071" s="63" t="s">
        <v>7481</v>
      </c>
      <c r="O1071" s="64"/>
      <c r="P1071" s="660" t="str">
        <f t="shared" si="272"/>
        <v/>
      </c>
      <c r="Q1071" s="52" t="str">
        <f t="shared" si="271"/>
        <v>No</v>
      </c>
      <c r="R1071" s="1574" t="str">
        <f t="shared" si="285"/>
        <v/>
      </c>
      <c r="S1071" s="52" t="str">
        <f t="shared" si="281"/>
        <v/>
      </c>
      <c r="T1071" s="52" t="str">
        <f t="shared" si="282"/>
        <v/>
      </c>
      <c r="U1071" s="52" t="str">
        <f t="shared" si="276"/>
        <v/>
      </c>
      <c r="V1071" s="52" t="str">
        <f t="shared" si="283"/>
        <v/>
      </c>
      <c r="W1071" s="1578"/>
      <c r="X1071" s="52" t="str">
        <f t="shared" si="273"/>
        <v/>
      </c>
      <c r="Y1071" s="52" t="str">
        <f t="shared" si="278"/>
        <v/>
      </c>
      <c r="AA1071" s="52" t="str">
        <f t="shared" si="279"/>
        <v/>
      </c>
    </row>
    <row r="1072" spans="2:27" ht="52">
      <c r="B1072" s="1532" t="str">
        <f t="shared" si="286"/>
        <v>Heuristic Mastery</v>
      </c>
      <c r="C1072" s="1795"/>
      <c r="D1072" s="920"/>
      <c r="E1072" s="61" t="s">
        <v>7507</v>
      </c>
      <c r="F1072" s="61"/>
      <c r="G1072" s="61"/>
      <c r="H1072" s="61"/>
      <c r="I1072" s="61"/>
      <c r="J1072" s="1687" t="s">
        <v>7508</v>
      </c>
      <c r="K1072" s="63" t="str">
        <f>IF(Q1072="Yes","Yes","No")</f>
        <v>No</v>
      </c>
      <c r="L1072" s="76"/>
      <c r="M1072" s="63">
        <f>IF(L1072&lt;&gt;"",1,0)</f>
        <v>0</v>
      </c>
      <c r="N1072" s="63" t="s">
        <v>7481</v>
      </c>
      <c r="O1072" s="64"/>
      <c r="P1072" s="660" t="str">
        <f t="shared" si="272"/>
        <v/>
      </c>
      <c r="Q1072" s="52" t="str">
        <f t="shared" si="271"/>
        <v>No</v>
      </c>
      <c r="R1072" s="1574" t="str">
        <f t="shared" si="285"/>
        <v/>
      </c>
      <c r="S1072" s="52" t="str">
        <f t="shared" si="281"/>
        <v/>
      </c>
      <c r="T1072" s="52" t="str">
        <f t="shared" si="282"/>
        <v/>
      </c>
      <c r="U1072" s="52" t="str">
        <f t="shared" si="276"/>
        <v/>
      </c>
      <c r="V1072" s="52" t="str">
        <f t="shared" si="283"/>
        <v/>
      </c>
      <c r="W1072" s="1578"/>
      <c r="X1072" s="52" t="str">
        <f t="shared" si="273"/>
        <v/>
      </c>
      <c r="Y1072" s="52" t="str">
        <f t="shared" si="278"/>
        <v/>
      </c>
      <c r="AA1072" s="52" t="str">
        <f t="shared" si="279"/>
        <v/>
      </c>
    </row>
    <row r="1073" spans="2:27" ht="104">
      <c r="B1073" s="1532" t="str">
        <f t="shared" si="286"/>
        <v>Scripted Routines</v>
      </c>
      <c r="C1073" s="1795"/>
      <c r="D1073" s="920"/>
      <c r="E1073" s="61" t="s">
        <v>7509</v>
      </c>
      <c r="F1073" s="61"/>
      <c r="G1073" s="61"/>
      <c r="H1073" s="61"/>
      <c r="I1073" s="61"/>
      <c r="J1073" s="1687" t="s">
        <v>7510</v>
      </c>
      <c r="K1073" s="63" t="str">
        <f>IF(Q1073="Yes","Yes","No")</f>
        <v>No</v>
      </c>
      <c r="L1073" s="76"/>
      <c r="M1073" s="63">
        <f>IF(L1073&lt;&gt;"",1,0)</f>
        <v>0</v>
      </c>
      <c r="N1073" s="63" t="s">
        <v>7481</v>
      </c>
      <c r="O1073" s="64"/>
      <c r="P1073" s="660" t="str">
        <f t="shared" si="272"/>
        <v/>
      </c>
      <c r="Q1073" s="52" t="str">
        <f t="shared" si="271"/>
        <v>No</v>
      </c>
      <c r="R1073" s="1574" t="str">
        <f t="shared" si="285"/>
        <v/>
      </c>
      <c r="S1073" s="52" t="str">
        <f t="shared" si="281"/>
        <v/>
      </c>
      <c r="T1073" s="52" t="str">
        <f t="shared" si="282"/>
        <v/>
      </c>
      <c r="U1073" s="52" t="str">
        <f t="shared" si="276"/>
        <v/>
      </c>
      <c r="V1073" s="52" t="str">
        <f t="shared" si="283"/>
        <v/>
      </c>
      <c r="W1073" s="1578"/>
      <c r="X1073" s="52" t="str">
        <f t="shared" si="273"/>
        <v/>
      </c>
      <c r="Y1073" s="52" t="str">
        <f t="shared" si="278"/>
        <v/>
      </c>
      <c r="AA1073" s="52" t="str">
        <f t="shared" si="279"/>
        <v/>
      </c>
    </row>
    <row r="1074" spans="2:27" ht="26">
      <c r="B1074" s="1532" t="str">
        <f t="shared" si="286"/>
        <v>Ultra Resilient</v>
      </c>
      <c r="C1074" s="1795"/>
      <c r="D1074" s="920"/>
      <c r="E1074" s="61" t="s">
        <v>7511</v>
      </c>
      <c r="F1074" s="61"/>
      <c r="G1074" s="61"/>
      <c r="H1074" s="61"/>
      <c r="I1074" s="61"/>
      <c r="J1074" s="1687" t="s">
        <v>7512</v>
      </c>
      <c r="K1074" s="63" t="str">
        <f>IF(Q1074="Yes","Yes","No")</f>
        <v>No</v>
      </c>
      <c r="L1074" s="76"/>
      <c r="M1074" s="63">
        <f>IF(L1074&lt;&gt;"",1,0)</f>
        <v>0</v>
      </c>
      <c r="N1074" s="63" t="s">
        <v>7481</v>
      </c>
      <c r="O1074" s="64"/>
      <c r="P1074" s="660" t="str">
        <f t="shared" si="272"/>
        <v/>
      </c>
      <c r="Q1074" s="52" t="str">
        <f t="shared" si="271"/>
        <v>No</v>
      </c>
      <c r="R1074" s="1574" t="str">
        <f t="shared" si="285"/>
        <v/>
      </c>
      <c r="S1074" s="52" t="str">
        <f t="shared" si="281"/>
        <v/>
      </c>
      <c r="T1074" s="52" t="str">
        <f t="shared" si="282"/>
        <v/>
      </c>
      <c r="U1074" s="52" t="str">
        <f t="shared" si="276"/>
        <v/>
      </c>
      <c r="V1074" s="52" t="str">
        <f t="shared" si="283"/>
        <v/>
      </c>
      <c r="W1074" s="1578"/>
      <c r="X1074" s="52" t="str">
        <f t="shared" si="273"/>
        <v/>
      </c>
      <c r="Y1074" s="52" t="str">
        <f t="shared" si="278"/>
        <v/>
      </c>
      <c r="AA1074" s="52" t="str">
        <f t="shared" si="279"/>
        <v/>
      </c>
    </row>
    <row r="1075" spans="2:27">
      <c r="B1075" s="1532" t="str">
        <f t="shared" si="286"/>
        <v>Computer Language</v>
      </c>
      <c r="C1075" s="1795"/>
      <c r="D1075" s="920" t="s">
        <v>3347</v>
      </c>
      <c r="E1075" s="61" t="s">
        <v>3348</v>
      </c>
      <c r="F1075" s="61"/>
      <c r="G1075" s="61"/>
      <c r="H1075" s="61"/>
      <c r="I1075" s="61"/>
      <c r="J1075" s="1687" t="s">
        <v>5330</v>
      </c>
      <c r="K1075" s="63" t="str">
        <f t="shared" si="269"/>
        <v>No</v>
      </c>
      <c r="L1075" s="76"/>
      <c r="M1075" s="63">
        <f t="shared" si="270"/>
        <v>0</v>
      </c>
      <c r="N1075" s="63" t="s">
        <v>3342</v>
      </c>
      <c r="O1075" s="64"/>
      <c r="P1075" s="660" t="str">
        <f t="shared" si="272"/>
        <v/>
      </c>
      <c r="Q1075" s="52" t="str">
        <f t="shared" si="271"/>
        <v>No</v>
      </c>
      <c r="R1075" s="1574" t="str">
        <f t="shared" si="285"/>
        <v/>
      </c>
      <c r="S1075" s="52" t="str">
        <f t="shared" si="281"/>
        <v/>
      </c>
      <c r="T1075" s="52" t="str">
        <f t="shared" si="282"/>
        <v/>
      </c>
      <c r="U1075" s="52" t="str">
        <f t="shared" si="276"/>
        <v/>
      </c>
      <c r="V1075" s="52" t="str">
        <f t="shared" si="283"/>
        <v/>
      </c>
      <c r="W1075" s="1578"/>
      <c r="X1075" s="52" t="str">
        <f t="shared" si="273"/>
        <v/>
      </c>
      <c r="Y1075" s="52" t="str">
        <f t="shared" si="278"/>
        <v/>
      </c>
      <c r="AA1075" s="52" t="str">
        <f t="shared" si="279"/>
        <v/>
      </c>
    </row>
    <row r="1076" spans="2:27">
      <c r="B1076" s="1532" t="str">
        <f t="shared" si="286"/>
        <v>Computer Master</v>
      </c>
      <c r="C1076" s="1795"/>
      <c r="D1076" s="920"/>
      <c r="E1076" s="61" t="s">
        <v>3349</v>
      </c>
      <c r="F1076" s="61"/>
      <c r="G1076" s="61"/>
      <c r="H1076" s="61"/>
      <c r="I1076" s="61"/>
      <c r="J1076" s="1687" t="s">
        <v>5331</v>
      </c>
      <c r="K1076" s="63" t="str">
        <f t="shared" si="269"/>
        <v>No</v>
      </c>
      <c r="L1076" s="76"/>
      <c r="M1076" s="63">
        <f t="shared" si="270"/>
        <v>0</v>
      </c>
      <c r="N1076" s="63" t="s">
        <v>3342</v>
      </c>
      <c r="O1076" s="64"/>
      <c r="P1076" s="660" t="str">
        <f t="shared" ref="P1076:P1139" si="287">IF(ShowTalentTrees,IF(D1076&lt;&gt;"",D1076,P1075),"")</f>
        <v/>
      </c>
      <c r="Q1076" s="52" t="str">
        <f t="shared" si="271"/>
        <v>No</v>
      </c>
      <c r="R1076" s="1574" t="str">
        <f t="shared" si="285"/>
        <v/>
      </c>
      <c r="S1076" s="52" t="str">
        <f t="shared" si="281"/>
        <v/>
      </c>
      <c r="T1076" s="52" t="str">
        <f t="shared" si="282"/>
        <v/>
      </c>
      <c r="U1076" s="52" t="str">
        <f t="shared" si="276"/>
        <v/>
      </c>
      <c r="V1076" s="52" t="str">
        <f t="shared" si="283"/>
        <v/>
      </c>
      <c r="W1076" s="1578"/>
      <c r="X1076" s="52" t="str">
        <f t="shared" si="273"/>
        <v/>
      </c>
      <c r="Y1076" s="52" t="str">
        <f t="shared" si="278"/>
        <v/>
      </c>
      <c r="AA1076" s="52" t="str">
        <f t="shared" si="279"/>
        <v/>
      </c>
    </row>
    <row r="1077" spans="2:27">
      <c r="B1077" s="1532" t="str">
        <f t="shared" si="286"/>
        <v>Enhanced Manipulation</v>
      </c>
      <c r="C1077" s="1795"/>
      <c r="D1077" s="920"/>
      <c r="E1077" s="61" t="s">
        <v>3350</v>
      </c>
      <c r="F1077" s="61"/>
      <c r="G1077" s="61"/>
      <c r="H1077" s="61"/>
      <c r="I1077" s="61"/>
      <c r="J1077" s="1687" t="s">
        <v>5332</v>
      </c>
      <c r="K1077" s="63" t="str">
        <f t="shared" si="269"/>
        <v>No</v>
      </c>
      <c r="L1077" s="76"/>
      <c r="M1077" s="63">
        <f t="shared" si="270"/>
        <v>0</v>
      </c>
      <c r="N1077" s="63" t="s">
        <v>3342</v>
      </c>
      <c r="O1077" s="64"/>
      <c r="P1077" s="660" t="str">
        <f t="shared" si="287"/>
        <v/>
      </c>
      <c r="Q1077" s="52" t="str">
        <f t="shared" si="271"/>
        <v>No</v>
      </c>
      <c r="R1077" s="1574" t="str">
        <f t="shared" si="285"/>
        <v/>
      </c>
      <c r="S1077" s="52" t="str">
        <f t="shared" si="281"/>
        <v/>
      </c>
      <c r="T1077" s="52" t="str">
        <f t="shared" si="282"/>
        <v/>
      </c>
      <c r="U1077" s="52" t="str">
        <f t="shared" si="276"/>
        <v/>
      </c>
      <c r="V1077" s="52" t="str">
        <f t="shared" si="283"/>
        <v/>
      </c>
      <c r="W1077" s="1578"/>
      <c r="X1077" s="52" t="str">
        <f t="shared" si="273"/>
        <v/>
      </c>
      <c r="Y1077" s="52" t="str">
        <f t="shared" si="278"/>
        <v/>
      </c>
      <c r="AA1077" s="52" t="str">
        <f t="shared" si="279"/>
        <v/>
      </c>
    </row>
    <row r="1078" spans="2:27" ht="26">
      <c r="B1078" s="1532" t="str">
        <f t="shared" si="286"/>
        <v>Hotwired Processor</v>
      </c>
      <c r="C1078" s="1795"/>
      <c r="D1078" s="920"/>
      <c r="E1078" s="61" t="s">
        <v>3351</v>
      </c>
      <c r="F1078" s="61"/>
      <c r="G1078" s="61"/>
      <c r="H1078" s="61"/>
      <c r="I1078" s="61"/>
      <c r="J1078" s="1687" t="s">
        <v>5333</v>
      </c>
      <c r="K1078" s="63" t="str">
        <f t="shared" si="269"/>
        <v>No</v>
      </c>
      <c r="L1078" s="76"/>
      <c r="M1078" s="63">
        <f t="shared" si="270"/>
        <v>0</v>
      </c>
      <c r="N1078" s="63" t="s">
        <v>3342</v>
      </c>
      <c r="O1078" s="64"/>
      <c r="P1078" s="660" t="str">
        <f t="shared" si="287"/>
        <v/>
      </c>
      <c r="Q1078" s="52" t="str">
        <f t="shared" si="271"/>
        <v>No</v>
      </c>
      <c r="R1078" s="1574" t="str">
        <f t="shared" si="285"/>
        <v/>
      </c>
      <c r="S1078" s="52" t="str">
        <f t="shared" si="281"/>
        <v/>
      </c>
      <c r="T1078" s="52" t="str">
        <f t="shared" si="282"/>
        <v/>
      </c>
      <c r="U1078" s="52" t="str">
        <f t="shared" si="276"/>
        <v/>
      </c>
      <c r="V1078" s="52" t="str">
        <f t="shared" si="283"/>
        <v/>
      </c>
      <c r="W1078" s="1578"/>
      <c r="X1078" s="52" t="str">
        <f t="shared" si="273"/>
        <v/>
      </c>
      <c r="Y1078" s="52" t="str">
        <f t="shared" si="278"/>
        <v/>
      </c>
      <c r="AA1078" s="52" t="str">
        <f t="shared" si="279"/>
        <v/>
      </c>
    </row>
    <row r="1079" spans="2:27" ht="78">
      <c r="B1079" s="1532" t="str">
        <f t="shared" si="286"/>
        <v>Just a Droid</v>
      </c>
      <c r="C1079" s="1795"/>
      <c r="D1079" s="920"/>
      <c r="E1079" s="61" t="s">
        <v>7500</v>
      </c>
      <c r="F1079" s="61"/>
      <c r="G1079" s="61"/>
      <c r="H1079" s="61"/>
      <c r="I1079" s="61"/>
      <c r="J1079" s="1689" t="s">
        <v>7501</v>
      </c>
      <c r="K1079" s="63" t="str">
        <f>IF(Q1079="Yes","Yes","No")</f>
        <v>No</v>
      </c>
      <c r="L1079" s="76"/>
      <c r="M1079" s="63">
        <f>IF(L1079&lt;&gt;"",1,0)</f>
        <v>0</v>
      </c>
      <c r="N1079" s="63" t="s">
        <v>7452</v>
      </c>
      <c r="O1079" s="64"/>
      <c r="P1079" s="660" t="str">
        <f t="shared" si="287"/>
        <v/>
      </c>
      <c r="Q1079" s="52" t="str">
        <f t="shared" si="271"/>
        <v>No</v>
      </c>
      <c r="R1079" s="1574" t="str">
        <f t="shared" si="285"/>
        <v/>
      </c>
      <c r="S1079" s="52" t="str">
        <f t="shared" si="281"/>
        <v/>
      </c>
      <c r="T1079" s="52" t="str">
        <f t="shared" si="282"/>
        <v/>
      </c>
      <c r="U1079" s="52" t="str">
        <f t="shared" si="276"/>
        <v/>
      </c>
      <c r="V1079" s="52" t="str">
        <f t="shared" si="283"/>
        <v/>
      </c>
      <c r="W1079" s="1578"/>
      <c r="X1079" s="52" t="str">
        <f t="shared" si="273"/>
        <v/>
      </c>
      <c r="Y1079" s="52" t="str">
        <f t="shared" si="278"/>
        <v/>
      </c>
      <c r="AA1079" s="52" t="str">
        <f t="shared" si="279"/>
        <v/>
      </c>
    </row>
    <row r="1080" spans="2:27" ht="26">
      <c r="B1080" s="1532" t="str">
        <f t="shared" si="286"/>
        <v>Power Surge</v>
      </c>
      <c r="C1080" s="1795"/>
      <c r="D1080" s="920"/>
      <c r="E1080" s="61" t="s">
        <v>3352</v>
      </c>
      <c r="F1080" s="61"/>
      <c r="G1080" s="61"/>
      <c r="H1080" s="61"/>
      <c r="I1080" s="61"/>
      <c r="J1080" s="1684" t="s">
        <v>5334</v>
      </c>
      <c r="K1080" s="63" t="str">
        <f t="shared" si="269"/>
        <v>No</v>
      </c>
      <c r="L1080" s="76"/>
      <c r="M1080" s="63">
        <f t="shared" si="270"/>
        <v>0</v>
      </c>
      <c r="N1080" s="63" t="s">
        <v>3353</v>
      </c>
      <c r="O1080" s="64"/>
      <c r="P1080" s="660" t="str">
        <f t="shared" si="287"/>
        <v/>
      </c>
      <c r="Q1080" s="52" t="str">
        <f t="shared" si="271"/>
        <v>No</v>
      </c>
      <c r="R1080" s="1574" t="str">
        <f t="shared" si="285"/>
        <v/>
      </c>
      <c r="S1080" s="52" t="str">
        <f t="shared" si="281"/>
        <v/>
      </c>
      <c r="T1080" s="52" t="str">
        <f t="shared" si="282"/>
        <v/>
      </c>
      <c r="U1080" s="52" t="str">
        <f t="shared" si="276"/>
        <v/>
      </c>
      <c r="V1080" s="52" t="str">
        <f t="shared" si="283"/>
        <v/>
      </c>
      <c r="W1080" s="1578"/>
      <c r="X1080" s="52" t="str">
        <f t="shared" si="273"/>
        <v/>
      </c>
      <c r="Y1080" s="52" t="str">
        <f t="shared" si="278"/>
        <v/>
      </c>
      <c r="AA1080" s="52" t="str">
        <f t="shared" si="279"/>
        <v/>
      </c>
    </row>
    <row r="1081" spans="2:27">
      <c r="B1081" s="1532" t="str">
        <f t="shared" si="286"/>
        <v>Skill Conversion</v>
      </c>
      <c r="C1081" s="1795"/>
      <c r="D1081" s="920"/>
      <c r="E1081" s="61" t="s">
        <v>3354</v>
      </c>
      <c r="F1081" s="61"/>
      <c r="G1081" s="61"/>
      <c r="H1081" s="61"/>
      <c r="I1081" s="61"/>
      <c r="J1081" s="1684" t="s">
        <v>5335</v>
      </c>
      <c r="K1081" s="63" t="str">
        <f t="shared" si="269"/>
        <v>No</v>
      </c>
      <c r="L1081" s="76"/>
      <c r="M1081" s="63">
        <f t="shared" si="270"/>
        <v>0</v>
      </c>
      <c r="N1081" s="63" t="s">
        <v>3353</v>
      </c>
      <c r="O1081" s="64"/>
      <c r="P1081" s="660" t="str">
        <f t="shared" si="287"/>
        <v/>
      </c>
      <c r="Q1081" s="52" t="str">
        <f t="shared" si="271"/>
        <v>No</v>
      </c>
      <c r="R1081" s="1574" t="str">
        <f t="shared" si="285"/>
        <v/>
      </c>
      <c r="S1081" s="52" t="str">
        <f t="shared" si="281"/>
        <v/>
      </c>
      <c r="T1081" s="52" t="str">
        <f t="shared" si="282"/>
        <v/>
      </c>
      <c r="U1081" s="52" t="str">
        <f t="shared" si="276"/>
        <v/>
      </c>
      <c r="V1081" s="52" t="str">
        <f t="shared" si="283"/>
        <v/>
      </c>
      <c r="W1081" s="1578"/>
      <c r="X1081" s="52" t="str">
        <f t="shared" si="273"/>
        <v/>
      </c>
      <c r="Y1081" s="52" t="str">
        <f t="shared" si="278"/>
        <v/>
      </c>
      <c r="AA1081" s="52" t="str">
        <f t="shared" si="279"/>
        <v/>
      </c>
    </row>
    <row r="1082" spans="2:27" ht="26">
      <c r="B1082" s="1532" t="str">
        <f t="shared" si="286"/>
        <v>Swift Droid</v>
      </c>
      <c r="C1082" s="1796"/>
      <c r="D1082" s="920"/>
      <c r="E1082" s="61" t="s">
        <v>7502</v>
      </c>
      <c r="F1082" s="61"/>
      <c r="G1082" s="61"/>
      <c r="H1082" s="61"/>
      <c r="I1082" s="61"/>
      <c r="J1082" s="1712" t="s">
        <v>7503</v>
      </c>
      <c r="K1082" s="928" t="str">
        <f>IF(Q1082="Yes","Yes","No")</f>
        <v>No</v>
      </c>
      <c r="L1082" s="929"/>
      <c r="M1082" s="928">
        <f>IF(L1082&lt;&gt;"",1,0)</f>
        <v>0</v>
      </c>
      <c r="N1082" s="63" t="s">
        <v>7452</v>
      </c>
      <c r="O1082" s="64"/>
      <c r="P1082" s="660" t="str">
        <f t="shared" si="287"/>
        <v/>
      </c>
      <c r="Q1082" s="52" t="str">
        <f t="shared" si="271"/>
        <v>No</v>
      </c>
      <c r="R1082" s="1574" t="str">
        <f t="shared" si="285"/>
        <v/>
      </c>
      <c r="S1082" s="52" t="str">
        <f t="shared" si="281"/>
        <v/>
      </c>
      <c r="T1082" s="52" t="str">
        <f t="shared" si="282"/>
        <v/>
      </c>
      <c r="U1082" s="52" t="str">
        <f t="shared" si="276"/>
        <v/>
      </c>
      <c r="V1082" s="52" t="str">
        <f t="shared" si="283"/>
        <v/>
      </c>
      <c r="W1082" s="1578"/>
      <c r="X1082" s="52" t="str">
        <f t="shared" si="273"/>
        <v/>
      </c>
      <c r="Y1082" s="52" t="str">
        <f t="shared" si="278"/>
        <v/>
      </c>
      <c r="AA1082" s="52" t="str">
        <f t="shared" si="279"/>
        <v/>
      </c>
    </row>
    <row r="1083" spans="2:27" ht="15" customHeight="1">
      <c r="B1083" s="1532" t="str">
        <f t="shared" si="286"/>
        <v>Always Ready</v>
      </c>
      <c r="C1083" s="1794" t="s">
        <v>1037</v>
      </c>
      <c r="D1083" s="922" t="s">
        <v>3355</v>
      </c>
      <c r="E1083" s="923" t="s">
        <v>3356</v>
      </c>
      <c r="F1083" s="923"/>
      <c r="G1083" s="923"/>
      <c r="H1083" s="923"/>
      <c r="I1083" s="923"/>
      <c r="J1083" s="1690" t="s">
        <v>5336</v>
      </c>
      <c r="K1083" s="63" t="str">
        <f t="shared" si="269"/>
        <v>No</v>
      </c>
      <c r="L1083" s="76"/>
      <c r="M1083" s="63">
        <f t="shared" si="270"/>
        <v>0</v>
      </c>
      <c r="N1083" s="924" t="s">
        <v>3357</v>
      </c>
      <c r="O1083" s="64"/>
      <c r="P1083" s="660" t="str">
        <f t="shared" si="287"/>
        <v/>
      </c>
      <c r="Q1083" s="52" t="str">
        <f>IF(OR(AD45&gt;0,AD31&gt;0),"Yes","No")</f>
        <v>No</v>
      </c>
      <c r="R1083" s="1574" t="str">
        <f t="shared" si="285"/>
        <v/>
      </c>
      <c r="S1083" s="52" t="str">
        <f t="shared" si="281"/>
        <v/>
      </c>
      <c r="T1083" s="52" t="str">
        <f t="shared" si="282"/>
        <v/>
      </c>
      <c r="U1083" s="52" t="str">
        <f t="shared" si="276"/>
        <v/>
      </c>
      <c r="V1083" s="52" t="str">
        <f t="shared" si="283"/>
        <v/>
      </c>
      <c r="W1083" s="1578"/>
      <c r="X1083" s="52" t="str">
        <f t="shared" si="273"/>
        <v/>
      </c>
      <c r="Y1083" s="52" t="str">
        <f t="shared" si="278"/>
        <v/>
      </c>
      <c r="AA1083" s="52" t="str">
        <f t="shared" si="277"/>
        <v/>
      </c>
    </row>
    <row r="1084" spans="2:27">
      <c r="B1084" s="1532" t="str">
        <f t="shared" si="286"/>
        <v>Concealed Weapon Expert</v>
      </c>
      <c r="C1084" s="1795"/>
      <c r="D1084" s="920"/>
      <c r="E1084" s="61" t="s">
        <v>3358</v>
      </c>
      <c r="F1084" s="61"/>
      <c r="G1084" s="61"/>
      <c r="H1084" s="61"/>
      <c r="I1084" s="61"/>
      <c r="J1084" s="1687" t="s">
        <v>5337</v>
      </c>
      <c r="K1084" s="63" t="str">
        <f t="shared" si="269"/>
        <v>No</v>
      </c>
      <c r="L1084" s="76"/>
      <c r="M1084" s="63">
        <f t="shared" si="270"/>
        <v>0</v>
      </c>
      <c r="N1084" s="63" t="s">
        <v>3357</v>
      </c>
      <c r="O1084" s="64"/>
      <c r="P1084" s="660" t="str">
        <f t="shared" si="287"/>
        <v/>
      </c>
      <c r="Q1084" s="52" t="str">
        <f t="shared" si="271"/>
        <v>No</v>
      </c>
      <c r="R1084" s="1574" t="str">
        <f t="shared" si="285"/>
        <v/>
      </c>
      <c r="S1084" s="52" t="str">
        <f t="shared" si="281"/>
        <v/>
      </c>
      <c r="T1084" s="52" t="str">
        <f t="shared" si="282"/>
        <v/>
      </c>
      <c r="U1084" s="52" t="str">
        <f t="shared" si="276"/>
        <v/>
      </c>
      <c r="V1084" s="52" t="str">
        <f t="shared" si="283"/>
        <v/>
      </c>
      <c r="W1084" s="1578"/>
      <c r="X1084" s="52" t="str">
        <f t="shared" si="273"/>
        <v/>
      </c>
      <c r="Y1084" s="52" t="str">
        <f t="shared" si="278"/>
        <v/>
      </c>
      <c r="AA1084" s="52" t="str">
        <f t="shared" si="277"/>
        <v/>
      </c>
    </row>
    <row r="1085" spans="2:27" ht="26">
      <c r="B1085" s="1532" t="str">
        <f t="shared" si="286"/>
        <v>Creeping Approach</v>
      </c>
      <c r="C1085" s="1795"/>
      <c r="D1085" s="920"/>
      <c r="E1085" s="61" t="s">
        <v>3359</v>
      </c>
      <c r="F1085" s="61"/>
      <c r="G1085" s="61"/>
      <c r="H1085" s="61"/>
      <c r="I1085" s="61"/>
      <c r="J1085" s="1687" t="s">
        <v>5338</v>
      </c>
      <c r="K1085" s="63" t="str">
        <f t="shared" si="269"/>
        <v>No</v>
      </c>
      <c r="L1085" s="76"/>
      <c r="M1085" s="63">
        <f t="shared" si="270"/>
        <v>0</v>
      </c>
      <c r="N1085" s="63" t="s">
        <v>3357</v>
      </c>
      <c r="O1085" s="64"/>
      <c r="P1085" s="660" t="str">
        <f t="shared" si="287"/>
        <v/>
      </c>
      <c r="Q1085" s="52" t="str">
        <f t="shared" si="271"/>
        <v>No</v>
      </c>
      <c r="R1085" s="1574" t="str">
        <f t="shared" si="285"/>
        <v/>
      </c>
      <c r="S1085" s="52" t="str">
        <f t="shared" si="281"/>
        <v/>
      </c>
      <c r="T1085" s="52" t="str">
        <f t="shared" si="282"/>
        <v/>
      </c>
      <c r="U1085" s="52" t="str">
        <f t="shared" si="276"/>
        <v/>
      </c>
      <c r="V1085" s="52" t="str">
        <f t="shared" si="283"/>
        <v/>
      </c>
      <c r="W1085" s="1578"/>
      <c r="X1085" s="52" t="str">
        <f t="shared" si="273"/>
        <v/>
      </c>
      <c r="Y1085" s="52" t="str">
        <f t="shared" si="278"/>
        <v/>
      </c>
      <c r="AA1085" s="52" t="str">
        <f t="shared" si="277"/>
        <v/>
      </c>
    </row>
    <row r="1086" spans="2:27">
      <c r="B1086" s="1532" t="str">
        <f t="shared" si="286"/>
        <v>Set for Stun</v>
      </c>
      <c r="C1086" s="1795"/>
      <c r="D1086" s="920"/>
      <c r="E1086" s="61" t="s">
        <v>3360</v>
      </c>
      <c r="F1086" s="61"/>
      <c r="G1086" s="61"/>
      <c r="H1086" s="61"/>
      <c r="I1086" s="61"/>
      <c r="J1086" s="1687" t="s">
        <v>5339</v>
      </c>
      <c r="K1086" s="63" t="str">
        <f t="shared" si="269"/>
        <v>No</v>
      </c>
      <c r="L1086" s="76"/>
      <c r="M1086" s="63">
        <f t="shared" si="270"/>
        <v>0</v>
      </c>
      <c r="N1086" s="63" t="s">
        <v>3357</v>
      </c>
      <c r="O1086" s="64"/>
      <c r="P1086" s="660" t="str">
        <f t="shared" si="287"/>
        <v/>
      </c>
      <c r="Q1086" s="52" t="str">
        <f t="shared" si="271"/>
        <v>No</v>
      </c>
      <c r="R1086" s="1574" t="str">
        <f t="shared" si="285"/>
        <v/>
      </c>
      <c r="S1086" s="52" t="str">
        <f t="shared" si="281"/>
        <v/>
      </c>
      <c r="T1086" s="52" t="str">
        <f t="shared" si="282"/>
        <v/>
      </c>
      <c r="U1086" s="52" t="str">
        <f t="shared" si="276"/>
        <v/>
      </c>
      <c r="V1086" s="52" t="str">
        <f t="shared" si="283"/>
        <v/>
      </c>
      <c r="W1086" s="1578"/>
      <c r="X1086" s="52" t="str">
        <f t="shared" si="273"/>
        <v/>
      </c>
      <c r="Y1086" s="52" t="str">
        <f t="shared" si="278"/>
        <v/>
      </c>
      <c r="AA1086" s="52" t="str">
        <f t="shared" si="277"/>
        <v/>
      </c>
    </row>
    <row r="1087" spans="2:27">
      <c r="B1087" s="1532" t="str">
        <f t="shared" si="286"/>
        <v>Silent Takedown</v>
      </c>
      <c r="C1087" s="1795"/>
      <c r="D1087" s="920"/>
      <c r="E1087" s="61" t="s">
        <v>3361</v>
      </c>
      <c r="F1087" s="61"/>
      <c r="G1087" s="61"/>
      <c r="H1087" s="61"/>
      <c r="I1087" s="61"/>
      <c r="J1087" s="1687" t="s">
        <v>5340</v>
      </c>
      <c r="K1087" s="63" t="str">
        <f t="shared" si="269"/>
        <v>No</v>
      </c>
      <c r="L1087" s="76"/>
      <c r="M1087" s="63">
        <f t="shared" si="270"/>
        <v>0</v>
      </c>
      <c r="N1087" s="63" t="s">
        <v>3357</v>
      </c>
      <c r="O1087" s="64"/>
      <c r="P1087" s="660" t="str">
        <f t="shared" si="287"/>
        <v/>
      </c>
      <c r="Q1087" s="52" t="str">
        <f t="shared" si="271"/>
        <v>No</v>
      </c>
      <c r="R1087" s="1574" t="str">
        <f t="shared" si="285"/>
        <v/>
      </c>
      <c r="S1087" s="52" t="str">
        <f t="shared" si="281"/>
        <v/>
      </c>
      <c r="T1087" s="52" t="str">
        <f t="shared" si="282"/>
        <v/>
      </c>
      <c r="U1087" s="52" t="str">
        <f t="shared" si="276"/>
        <v/>
      </c>
      <c r="V1087" s="52" t="str">
        <f t="shared" si="283"/>
        <v/>
      </c>
      <c r="W1087" s="1578"/>
      <c r="X1087" s="52" t="str">
        <f t="shared" si="273"/>
        <v/>
      </c>
      <c r="Y1087" s="52" t="str">
        <f t="shared" si="278"/>
        <v/>
      </c>
      <c r="AA1087" s="52" t="str">
        <f t="shared" si="277"/>
        <v/>
      </c>
    </row>
    <row r="1088" spans="2:27">
      <c r="B1088" s="1532" t="str">
        <f t="shared" si="286"/>
        <v>Spynet Agent</v>
      </c>
      <c r="C1088" s="1795"/>
      <c r="D1088" s="920" t="s">
        <v>3362</v>
      </c>
      <c r="E1088" s="61" t="s">
        <v>3363</v>
      </c>
      <c r="F1088" s="61"/>
      <c r="G1088" s="61"/>
      <c r="H1088" s="61"/>
      <c r="I1088" s="61"/>
      <c r="J1088" s="1687" t="s">
        <v>5341</v>
      </c>
      <c r="K1088" s="63" t="str">
        <f t="shared" si="269"/>
        <v>No</v>
      </c>
      <c r="L1088" s="76"/>
      <c r="M1088" s="63">
        <f t="shared" si="270"/>
        <v>0</v>
      </c>
      <c r="N1088" s="63" t="s">
        <v>3364</v>
      </c>
      <c r="O1088" s="64"/>
      <c r="P1088" s="660" t="str">
        <f t="shared" si="287"/>
        <v/>
      </c>
      <c r="Q1088" s="52" t="str">
        <f t="shared" si="271"/>
        <v>No</v>
      </c>
      <c r="R1088" s="1574" t="str">
        <f t="shared" si="285"/>
        <v/>
      </c>
      <c r="S1088" s="52" t="str">
        <f t="shared" si="281"/>
        <v/>
      </c>
      <c r="T1088" s="52" t="str">
        <f t="shared" si="282"/>
        <v/>
      </c>
      <c r="U1088" s="52" t="str">
        <f t="shared" si="276"/>
        <v/>
      </c>
      <c r="V1088" s="52" t="str">
        <f t="shared" si="283"/>
        <v/>
      </c>
      <c r="W1088" s="1578"/>
      <c r="X1088" s="52" t="str">
        <f t="shared" si="273"/>
        <v/>
      </c>
      <c r="Y1088" s="52" t="str">
        <f t="shared" si="278"/>
        <v/>
      </c>
      <c r="AA1088" s="52" t="str">
        <f t="shared" si="277"/>
        <v/>
      </c>
    </row>
    <row r="1089" spans="2:27" ht="26">
      <c r="B1089" s="1532" t="str">
        <f t="shared" si="286"/>
        <v>Bothan Resources</v>
      </c>
      <c r="C1089" s="1795"/>
      <c r="D1089" s="920"/>
      <c r="E1089" s="61"/>
      <c r="F1089" s="61" t="s">
        <v>3365</v>
      </c>
      <c r="G1089" s="61"/>
      <c r="H1089" s="61"/>
      <c r="I1089" s="61"/>
      <c r="J1089" s="1687" t="s">
        <v>5342</v>
      </c>
      <c r="K1089" s="63" t="str">
        <f>IF(AND(Q1088="Yes",L1088&lt;&gt;""),"Yes","No")</f>
        <v>No</v>
      </c>
      <c r="L1089" s="76"/>
      <c r="M1089" s="63">
        <f t="shared" si="270"/>
        <v>0</v>
      </c>
      <c r="N1089" s="63" t="s">
        <v>3364</v>
      </c>
      <c r="O1089" s="64"/>
      <c r="P1089" s="660" t="str">
        <f t="shared" si="287"/>
        <v/>
      </c>
      <c r="Q1089" s="52" t="str">
        <f t="shared" si="271"/>
        <v>No</v>
      </c>
      <c r="R1089" s="1574" t="str">
        <f t="shared" si="285"/>
        <v/>
      </c>
      <c r="S1089" s="52" t="str">
        <f t="shared" si="281"/>
        <v/>
      </c>
      <c r="T1089" s="52" t="str">
        <f t="shared" si="282"/>
        <v/>
      </c>
      <c r="U1089" s="52" t="str">
        <f t="shared" si="276"/>
        <v/>
      </c>
      <c r="V1089" s="52" t="str">
        <f t="shared" si="283"/>
        <v/>
      </c>
      <c r="W1089" s="1578"/>
      <c r="X1089" s="52" t="str">
        <f t="shared" ref="X1089:X1152" si="288">IF(U1089&lt;&gt;"",IF(W1089="Special Actions",U1089&amp;IF(X1090&lt;&gt;"",", ",""),"")&amp;X1090,X1090)</f>
        <v/>
      </c>
      <c r="Y1089" s="52" t="str">
        <f t="shared" si="278"/>
        <v/>
      </c>
      <c r="AA1089" s="52" t="str">
        <f t="shared" si="277"/>
        <v/>
      </c>
    </row>
    <row r="1090" spans="2:27" ht="26">
      <c r="B1090" s="1532" t="str">
        <f t="shared" si="286"/>
        <v>Knowledge is Life</v>
      </c>
      <c r="C1090" s="1795"/>
      <c r="D1090" s="920"/>
      <c r="E1090" s="61"/>
      <c r="F1090" s="61" t="s">
        <v>3366</v>
      </c>
      <c r="G1090" s="61"/>
      <c r="H1090" s="61"/>
      <c r="I1090" s="61"/>
      <c r="J1090" s="1687" t="s">
        <v>5343</v>
      </c>
      <c r="K1090" s="63" t="str">
        <f>IF(AND(Q1089="Yes",L1088&lt;&gt;""),"Yes","No")</f>
        <v>No</v>
      </c>
      <c r="L1090" s="76"/>
      <c r="M1090" s="63">
        <f t="shared" si="270"/>
        <v>0</v>
      </c>
      <c r="N1090" s="63" t="s">
        <v>3364</v>
      </c>
      <c r="O1090" s="64"/>
      <c r="P1090" s="660" t="str">
        <f t="shared" si="287"/>
        <v/>
      </c>
      <c r="Q1090" s="52" t="str">
        <f t="shared" si="271"/>
        <v>No</v>
      </c>
      <c r="R1090" s="1574" t="str">
        <f t="shared" si="285"/>
        <v/>
      </c>
      <c r="S1090" s="52" t="str">
        <f t="shared" si="281"/>
        <v/>
      </c>
      <c r="T1090" s="52" t="str">
        <f t="shared" si="282"/>
        <v/>
      </c>
      <c r="U1090" s="52" t="str">
        <f t="shared" si="276"/>
        <v/>
      </c>
      <c r="V1090" s="52" t="str">
        <f t="shared" si="283"/>
        <v/>
      </c>
      <c r="W1090" s="1578"/>
      <c r="X1090" s="52" t="str">
        <f t="shared" si="288"/>
        <v/>
      </c>
      <c r="Y1090" s="52" t="str">
        <f t="shared" si="278"/>
        <v/>
      </c>
      <c r="AA1090" s="52" t="str">
        <f t="shared" si="277"/>
        <v/>
      </c>
    </row>
    <row r="1091" spans="2:27" ht="26">
      <c r="B1091" s="1532" t="str">
        <f t="shared" si="286"/>
        <v>Knowledge is Power</v>
      </c>
      <c r="C1091" s="1795"/>
      <c r="D1091" s="920"/>
      <c r="E1091" s="61"/>
      <c r="F1091" s="61" t="s">
        <v>3367</v>
      </c>
      <c r="G1091" s="61"/>
      <c r="H1091" s="61"/>
      <c r="I1091" s="61"/>
      <c r="J1091" s="1687" t="s">
        <v>5344</v>
      </c>
      <c r="K1091" s="63" t="str">
        <f>IF(AND(Q1090="Yes",L1088&lt;&gt;""),"Yes","No")</f>
        <v>No</v>
      </c>
      <c r="L1091" s="76"/>
      <c r="M1091" s="63">
        <f t="shared" si="270"/>
        <v>0</v>
      </c>
      <c r="N1091" s="63" t="s">
        <v>3364</v>
      </c>
      <c r="O1091" s="64"/>
      <c r="P1091" s="660" t="str">
        <f t="shared" si="287"/>
        <v/>
      </c>
      <c r="Q1091" s="52" t="str">
        <f t="shared" si="271"/>
        <v>No</v>
      </c>
      <c r="R1091" s="1574" t="str">
        <f t="shared" si="285"/>
        <v/>
      </c>
      <c r="S1091" s="52" t="str">
        <f t="shared" si="281"/>
        <v/>
      </c>
      <c r="T1091" s="52" t="str">
        <f t="shared" si="282"/>
        <v/>
      </c>
      <c r="U1091" s="52" t="str">
        <f t="shared" si="276"/>
        <v/>
      </c>
      <c r="V1091" s="52" t="str">
        <f t="shared" si="283"/>
        <v/>
      </c>
      <c r="W1091" s="1578"/>
      <c r="X1091" s="52" t="str">
        <f t="shared" si="288"/>
        <v/>
      </c>
      <c r="Y1091" s="52" t="str">
        <f t="shared" si="278"/>
        <v/>
      </c>
      <c r="AA1091" s="52" t="str">
        <f t="shared" si="277"/>
        <v/>
      </c>
    </row>
    <row r="1092" spans="2:27" ht="26">
      <c r="B1092" s="1532" t="str">
        <f t="shared" si="286"/>
        <v>Knowledge is Strength</v>
      </c>
      <c r="C1092" s="1795"/>
      <c r="D1092" s="920"/>
      <c r="E1092" s="61"/>
      <c r="F1092" s="61" t="s">
        <v>3368</v>
      </c>
      <c r="G1092" s="61"/>
      <c r="H1092" s="61"/>
      <c r="I1092" s="61"/>
      <c r="J1092" s="1687" t="s">
        <v>5345</v>
      </c>
      <c r="K1092" s="63" t="str">
        <f>IF(AND(Q1091="Yes",L1088&lt;&gt;""),"Yes","No")</f>
        <v>No</v>
      </c>
      <c r="L1092" s="76"/>
      <c r="M1092" s="63">
        <f t="shared" si="270"/>
        <v>0</v>
      </c>
      <c r="N1092" s="63" t="s">
        <v>3364</v>
      </c>
      <c r="O1092" s="64"/>
      <c r="P1092" s="660" t="str">
        <f t="shared" si="287"/>
        <v/>
      </c>
      <c r="Q1092" s="52" t="str">
        <f t="shared" si="271"/>
        <v>No</v>
      </c>
      <c r="R1092" s="1574" t="str">
        <f t="shared" si="285"/>
        <v/>
      </c>
      <c r="S1092" s="52" t="str">
        <f t="shared" si="281"/>
        <v/>
      </c>
      <c r="T1092" s="52" t="str">
        <f t="shared" si="282"/>
        <v/>
      </c>
      <c r="U1092" s="52" t="str">
        <f t="shared" si="276"/>
        <v/>
      </c>
      <c r="V1092" s="52" t="str">
        <f t="shared" si="283"/>
        <v/>
      </c>
      <c r="W1092" s="1578"/>
      <c r="X1092" s="52" t="str">
        <f t="shared" si="288"/>
        <v/>
      </c>
      <c r="Y1092" s="52" t="str">
        <f t="shared" si="278"/>
        <v/>
      </c>
      <c r="AA1092" s="52" t="str">
        <f t="shared" si="277"/>
        <v/>
      </c>
    </row>
    <row r="1093" spans="2:27" ht="26">
      <c r="B1093" s="1532" t="str">
        <f t="shared" si="286"/>
        <v>Six Questions</v>
      </c>
      <c r="C1093" s="1796"/>
      <c r="D1093" s="71"/>
      <c r="E1093" s="927"/>
      <c r="F1093" s="927" t="s">
        <v>3369</v>
      </c>
      <c r="G1093" s="927"/>
      <c r="H1093" s="927"/>
      <c r="I1093" s="927"/>
      <c r="J1093" s="1691" t="s">
        <v>5346</v>
      </c>
      <c r="K1093" s="928" t="str">
        <f>IF(AND(Q1092="Yes",L1088&lt;&gt;""),"Yes","No")</f>
        <v>No</v>
      </c>
      <c r="L1093" s="929"/>
      <c r="M1093" s="928">
        <f t="shared" si="270"/>
        <v>0</v>
      </c>
      <c r="N1093" s="928" t="s">
        <v>3364</v>
      </c>
      <c r="O1093" s="64"/>
      <c r="P1093" s="660" t="str">
        <f t="shared" si="287"/>
        <v/>
      </c>
      <c r="Q1093" s="52" t="str">
        <f t="shared" si="271"/>
        <v>No</v>
      </c>
      <c r="R1093" s="1574" t="str">
        <f t="shared" si="285"/>
        <v/>
      </c>
      <c r="S1093" s="52" t="str">
        <f t="shared" si="281"/>
        <v/>
      </c>
      <c r="T1093" s="52" t="str">
        <f t="shared" si="282"/>
        <v/>
      </c>
      <c r="U1093" s="52" t="str">
        <f t="shared" si="276"/>
        <v/>
      </c>
      <c r="V1093" s="52" t="str">
        <f t="shared" si="283"/>
        <v/>
      </c>
      <c r="W1093" s="1578"/>
      <c r="X1093" s="52" t="str">
        <f t="shared" si="288"/>
        <v/>
      </c>
      <c r="Y1093" s="52" t="str">
        <f t="shared" si="278"/>
        <v/>
      </c>
      <c r="AA1093" s="52" t="str">
        <f t="shared" si="277"/>
        <v/>
      </c>
    </row>
    <row r="1094" spans="2:27" ht="15" customHeight="1">
      <c r="B1094" s="1532" t="str">
        <f t="shared" si="286"/>
        <v>Force Fortification</v>
      </c>
      <c r="C1094" s="1794" t="s">
        <v>604</v>
      </c>
      <c r="D1094" s="922" t="s">
        <v>3370</v>
      </c>
      <c r="E1094" s="923" t="s">
        <v>3371</v>
      </c>
      <c r="F1094" s="923"/>
      <c r="G1094" s="923"/>
      <c r="H1094" s="923"/>
      <c r="I1094" s="923"/>
      <c r="J1094" s="1690" t="s">
        <v>5347</v>
      </c>
      <c r="K1094" s="63" t="str">
        <f t="shared" ca="1" si="269"/>
        <v>No</v>
      </c>
      <c r="L1094" s="76"/>
      <c r="M1094" s="63">
        <f t="shared" si="270"/>
        <v>0</v>
      </c>
      <c r="N1094" s="924">
        <v>218</v>
      </c>
      <c r="O1094" s="64"/>
      <c r="P1094" s="660" t="str">
        <f t="shared" si="287"/>
        <v/>
      </c>
      <c r="Q1094" s="52" t="str">
        <f ca="1">IF(AND(ForceSensitive="Yes",OR($AD$19&gt;0,$AD$23&gt;0,$AD$41&gt;0,$AD$21&gt;0)),"Yes","No")</f>
        <v>No</v>
      </c>
      <c r="R1094" s="1574" t="str">
        <f t="shared" si="285"/>
        <v/>
      </c>
      <c r="S1094" s="52" t="str">
        <f t="shared" si="281"/>
        <v/>
      </c>
      <c r="T1094" s="52" t="str">
        <f t="shared" si="282"/>
        <v/>
      </c>
      <c r="U1094" s="52" t="str">
        <f t="shared" si="276"/>
        <v/>
      </c>
      <c r="V1094" s="52" t="str">
        <f t="shared" si="283"/>
        <v/>
      </c>
      <c r="W1094" s="1578"/>
      <c r="X1094" s="52" t="str">
        <f t="shared" si="288"/>
        <v/>
      </c>
      <c r="Y1094" s="52" t="str">
        <f t="shared" si="278"/>
        <v/>
      </c>
      <c r="AA1094" s="52" t="str">
        <f t="shared" si="277"/>
        <v/>
      </c>
    </row>
    <row r="1095" spans="2:27">
      <c r="B1095" s="1532" t="str">
        <f t="shared" si="286"/>
        <v>Greater Weapon Focus (lightsabers)</v>
      </c>
      <c r="C1095" s="1795"/>
      <c r="D1095" s="920"/>
      <c r="E1095" s="61" t="s">
        <v>3372</v>
      </c>
      <c r="F1095" s="61"/>
      <c r="G1095" s="61"/>
      <c r="H1095" s="61"/>
      <c r="I1095" s="61"/>
      <c r="J1095" s="1687" t="s">
        <v>5348</v>
      </c>
      <c r="K1095" s="63" t="str">
        <f t="shared" ca="1" si="269"/>
        <v>No</v>
      </c>
      <c r="L1095" s="76"/>
      <c r="M1095" s="63">
        <f t="shared" si="270"/>
        <v>0</v>
      </c>
      <c r="N1095" s="63">
        <v>218</v>
      </c>
      <c r="O1095" s="64"/>
      <c r="P1095" s="660" t="str">
        <f t="shared" si="287"/>
        <v/>
      </c>
      <c r="Q1095" s="52" t="str">
        <f t="shared" ca="1" si="271"/>
        <v>No</v>
      </c>
      <c r="R1095" s="1574" t="str">
        <f t="shared" si="285"/>
        <v/>
      </c>
      <c r="S1095" s="52" t="str">
        <f t="shared" si="281"/>
        <v/>
      </c>
      <c r="T1095" s="52" t="str">
        <f t="shared" si="282"/>
        <v/>
      </c>
      <c r="U1095" s="52" t="str">
        <f t="shared" si="276"/>
        <v/>
      </c>
      <c r="V1095" s="52" t="str">
        <f t="shared" si="283"/>
        <v/>
      </c>
      <c r="W1095" s="1578"/>
      <c r="X1095" s="52" t="str">
        <f t="shared" si="288"/>
        <v/>
      </c>
      <c r="Y1095" s="52" t="str">
        <f t="shared" si="278"/>
        <v/>
      </c>
      <c r="AA1095" s="52" t="str">
        <f t="shared" si="277"/>
        <v/>
      </c>
    </row>
    <row r="1096" spans="2:27">
      <c r="B1096" s="1532" t="str">
        <f t="shared" si="286"/>
        <v>Greater Weapon Specialization (lightsabers)</v>
      </c>
      <c r="C1096" s="1795"/>
      <c r="D1096" s="920"/>
      <c r="E1096" s="61"/>
      <c r="F1096" s="61" t="s">
        <v>3373</v>
      </c>
      <c r="G1096" s="61"/>
      <c r="H1096" s="61"/>
      <c r="I1096" s="61"/>
      <c r="J1096" s="1687" t="s">
        <v>5349</v>
      </c>
      <c r="K1096" s="63" t="str">
        <f ca="1">IF(AND(Q1095="Yes",L1095&lt;&gt;""),"Yes","No")</f>
        <v>No</v>
      </c>
      <c r="L1096" s="76"/>
      <c r="M1096" s="63">
        <f t="shared" si="270"/>
        <v>0</v>
      </c>
      <c r="N1096" s="63">
        <v>218</v>
      </c>
      <c r="O1096" s="64"/>
      <c r="P1096" s="660" t="str">
        <f t="shared" si="287"/>
        <v/>
      </c>
      <c r="Q1096" s="52" t="str">
        <f t="shared" ca="1" si="271"/>
        <v>No</v>
      </c>
      <c r="R1096" s="1574" t="str">
        <f t="shared" si="285"/>
        <v/>
      </c>
      <c r="S1096" s="52" t="str">
        <f t="shared" si="281"/>
        <v/>
      </c>
      <c r="T1096" s="52" t="str">
        <f t="shared" si="282"/>
        <v/>
      </c>
      <c r="U1096" s="52" t="str">
        <f t="shared" si="276"/>
        <v/>
      </c>
      <c r="V1096" s="52" t="str">
        <f t="shared" si="283"/>
        <v/>
      </c>
      <c r="W1096" s="1578"/>
      <c r="X1096" s="52" t="str">
        <f t="shared" si="288"/>
        <v/>
      </c>
      <c r="Y1096" s="52" t="str">
        <f t="shared" si="278"/>
        <v/>
      </c>
      <c r="AA1096" s="52" t="str">
        <f t="shared" si="277"/>
        <v/>
      </c>
    </row>
    <row r="1097" spans="2:27">
      <c r="B1097" s="1532" t="str">
        <f t="shared" si="286"/>
        <v>Improved Lightsaber Throw</v>
      </c>
      <c r="C1097" s="1795"/>
      <c r="D1097" s="920"/>
      <c r="E1097" s="61" t="s">
        <v>3374</v>
      </c>
      <c r="F1097" s="61"/>
      <c r="G1097" s="61"/>
      <c r="H1097" s="61"/>
      <c r="I1097" s="61"/>
      <c r="J1097" s="1687" t="s">
        <v>5350</v>
      </c>
      <c r="K1097" s="63" t="str">
        <f t="shared" ref="K1097:K1191" ca="1" si="289">IF(Q1097="Yes","Yes","No")</f>
        <v>No</v>
      </c>
      <c r="L1097" s="76"/>
      <c r="M1097" s="63">
        <f t="shared" si="270"/>
        <v>0</v>
      </c>
      <c r="N1097" s="63" t="s">
        <v>3286</v>
      </c>
      <c r="O1097" s="64"/>
      <c r="P1097" s="660" t="str">
        <f t="shared" si="287"/>
        <v/>
      </c>
      <c r="Q1097" s="52" t="str">
        <f t="shared" ca="1" si="271"/>
        <v>No</v>
      </c>
      <c r="R1097" s="1574" t="str">
        <f t="shared" si="285"/>
        <v/>
      </c>
      <c r="S1097" s="52" t="str">
        <f t="shared" si="281"/>
        <v/>
      </c>
      <c r="T1097" s="52" t="str">
        <f t="shared" si="282"/>
        <v/>
      </c>
      <c r="U1097" s="52" t="str">
        <f t="shared" si="276"/>
        <v/>
      </c>
      <c r="V1097" s="52" t="str">
        <f t="shared" si="283"/>
        <v/>
      </c>
      <c r="W1097" s="1578"/>
      <c r="X1097" s="52" t="str">
        <f t="shared" si="288"/>
        <v/>
      </c>
      <c r="Y1097" s="52" t="str">
        <f t="shared" si="278"/>
        <v/>
      </c>
      <c r="AA1097" s="52" t="str">
        <f t="shared" si="277"/>
        <v/>
      </c>
    </row>
    <row r="1098" spans="2:27">
      <c r="B1098" s="1532" t="str">
        <f t="shared" ref="B1098:B1129" si="290">IF(E1098&lt;&gt;"",E1098,IF(F1098&lt;&gt;"",F1098,IF(G1098&lt;&gt;"",G1098,IF(H1098&lt;&gt;"",H1098))))</f>
        <v>Thrown Lightsaber Mastery</v>
      </c>
      <c r="C1098" s="1795"/>
      <c r="D1098" s="920"/>
      <c r="E1098" s="61"/>
      <c r="F1098" s="61" t="s">
        <v>3375</v>
      </c>
      <c r="G1098" s="61"/>
      <c r="H1098" s="61"/>
      <c r="I1098" s="61"/>
      <c r="J1098" s="1687" t="s">
        <v>5351</v>
      </c>
      <c r="K1098" s="63" t="str">
        <f ca="1">IF(AND(Q1097="Yes",L1097&lt;&gt;""),"Yes","No")</f>
        <v>No</v>
      </c>
      <c r="L1098" s="76"/>
      <c r="M1098" s="63">
        <f t="shared" si="270"/>
        <v>0</v>
      </c>
      <c r="N1098" s="63" t="s">
        <v>3286</v>
      </c>
      <c r="O1098" s="64"/>
      <c r="P1098" s="660" t="str">
        <f t="shared" si="287"/>
        <v/>
      </c>
      <c r="Q1098" s="52" t="str">
        <f t="shared" ca="1" si="271"/>
        <v>No</v>
      </c>
      <c r="R1098" s="1574" t="str">
        <f t="shared" si="285"/>
        <v/>
      </c>
      <c r="S1098" s="52" t="str">
        <f t="shared" si="281"/>
        <v/>
      </c>
      <c r="T1098" s="52" t="str">
        <f t="shared" si="282"/>
        <v/>
      </c>
      <c r="U1098" s="52" t="str">
        <f t="shared" si="276"/>
        <v/>
      </c>
      <c r="V1098" s="52" t="str">
        <f t="shared" si="283"/>
        <v/>
      </c>
      <c r="W1098" s="1578"/>
      <c r="X1098" s="52" t="str">
        <f t="shared" si="288"/>
        <v/>
      </c>
      <c r="Y1098" s="52" t="str">
        <f t="shared" si="278"/>
        <v/>
      </c>
      <c r="AA1098" s="52" t="str">
        <f t="shared" si="277"/>
        <v/>
      </c>
    </row>
    <row r="1099" spans="2:27" ht="26">
      <c r="B1099" s="1532" t="str">
        <f t="shared" si="290"/>
        <v>Improved Redirect</v>
      </c>
      <c r="C1099" s="1795"/>
      <c r="D1099" s="920"/>
      <c r="E1099" s="61" t="s">
        <v>3376</v>
      </c>
      <c r="F1099" s="61"/>
      <c r="G1099" s="61"/>
      <c r="H1099" s="61"/>
      <c r="I1099" s="61"/>
      <c r="J1099" s="1687" t="s">
        <v>5831</v>
      </c>
      <c r="K1099" s="63" t="str">
        <f t="shared" ca="1" si="289"/>
        <v>No</v>
      </c>
      <c r="L1099" s="76"/>
      <c r="M1099" s="63">
        <f t="shared" si="270"/>
        <v>0</v>
      </c>
      <c r="N1099" s="63" t="s">
        <v>3317</v>
      </c>
      <c r="O1099" s="64"/>
      <c r="P1099" s="660" t="str">
        <f t="shared" si="287"/>
        <v/>
      </c>
      <c r="Q1099" s="52" t="str">
        <f t="shared" ca="1" si="271"/>
        <v>No</v>
      </c>
      <c r="R1099" s="1574" t="str">
        <f t="shared" si="285"/>
        <v/>
      </c>
      <c r="S1099" s="52" t="str">
        <f t="shared" si="281"/>
        <v/>
      </c>
      <c r="T1099" s="52" t="str">
        <f t="shared" si="282"/>
        <v/>
      </c>
      <c r="U1099" s="52" t="str">
        <f t="shared" si="276"/>
        <v/>
      </c>
      <c r="V1099" s="52" t="str">
        <f t="shared" si="283"/>
        <v/>
      </c>
      <c r="W1099" s="1578"/>
      <c r="X1099" s="52" t="str">
        <f t="shared" si="288"/>
        <v/>
      </c>
      <c r="Y1099" s="52" t="str">
        <f t="shared" si="278"/>
        <v/>
      </c>
      <c r="AA1099" s="52" t="str">
        <f t="shared" si="277"/>
        <v/>
      </c>
    </row>
    <row r="1100" spans="2:27">
      <c r="B1100" s="1532" t="str">
        <f t="shared" si="290"/>
        <v>Improved Riposte</v>
      </c>
      <c r="C1100" s="1795"/>
      <c r="D1100" s="920"/>
      <c r="E1100" s="61" t="s">
        <v>3377</v>
      </c>
      <c r="F1100" s="61"/>
      <c r="G1100" s="61"/>
      <c r="H1100" s="61"/>
      <c r="I1100" s="61"/>
      <c r="J1100" s="1687" t="s">
        <v>5352</v>
      </c>
      <c r="K1100" s="63" t="str">
        <f t="shared" ca="1" si="289"/>
        <v>No</v>
      </c>
      <c r="L1100" s="76"/>
      <c r="M1100" s="63">
        <f t="shared" si="270"/>
        <v>0</v>
      </c>
      <c r="N1100" s="63" t="s">
        <v>3317</v>
      </c>
      <c r="O1100" s="64"/>
      <c r="P1100" s="660" t="str">
        <f t="shared" si="287"/>
        <v/>
      </c>
      <c r="Q1100" s="52" t="str">
        <f t="shared" ca="1" si="271"/>
        <v>No</v>
      </c>
      <c r="R1100" s="1574" t="str">
        <f t="shared" si="285"/>
        <v/>
      </c>
      <c r="S1100" s="52" t="str">
        <f t="shared" si="281"/>
        <v/>
      </c>
      <c r="T1100" s="52" t="str">
        <f t="shared" si="282"/>
        <v/>
      </c>
      <c r="U1100" s="52" t="str">
        <f t="shared" si="276"/>
        <v/>
      </c>
      <c r="V1100" s="52" t="str">
        <f t="shared" si="283"/>
        <v/>
      </c>
      <c r="W1100" s="1578"/>
      <c r="X1100" s="52" t="str">
        <f t="shared" si="288"/>
        <v/>
      </c>
      <c r="Y1100" s="52" t="str">
        <f t="shared" si="278"/>
        <v/>
      </c>
      <c r="AA1100" s="52" t="str">
        <f t="shared" si="277"/>
        <v/>
      </c>
    </row>
    <row r="1101" spans="2:27" ht="39">
      <c r="B1101" s="1532" t="str">
        <f t="shared" si="290"/>
        <v>Lightsaber Form Savant</v>
      </c>
      <c r="C1101" s="1795"/>
      <c r="D1101" s="920"/>
      <c r="E1101" s="61" t="s">
        <v>4424</v>
      </c>
      <c r="F1101" s="61"/>
      <c r="G1101" s="61"/>
      <c r="H1101" s="61"/>
      <c r="I1101" s="61"/>
      <c r="J1101" s="1687" t="s">
        <v>6140</v>
      </c>
      <c r="K1101" s="63" t="str">
        <f ca="1">IF(Q1101="Yes","Yes","No")</f>
        <v>No</v>
      </c>
      <c r="L1101" s="76"/>
      <c r="M1101" s="63">
        <f>IF(L1101&lt;&gt;"",L1101,0)</f>
        <v>0</v>
      </c>
      <c r="N1101" s="63" t="s">
        <v>4423</v>
      </c>
      <c r="O1101" s="64"/>
      <c r="P1101" s="660" t="str">
        <f t="shared" si="287"/>
        <v/>
      </c>
      <c r="Q1101" s="52" t="str">
        <f t="shared" ca="1" si="271"/>
        <v>No</v>
      </c>
      <c r="R1101" s="1574" t="str">
        <f t="shared" si="285"/>
        <v/>
      </c>
      <c r="S1101" s="52" t="str">
        <f t="shared" si="281"/>
        <v/>
      </c>
      <c r="T1101" s="52" t="str">
        <f t="shared" si="282"/>
        <v/>
      </c>
      <c r="U1101" s="52" t="str">
        <f t="shared" si="276"/>
        <v/>
      </c>
      <c r="V1101" s="52" t="str">
        <f t="shared" si="283"/>
        <v/>
      </c>
      <c r="W1101" s="1578"/>
      <c r="X1101" s="52" t="str">
        <f t="shared" si="288"/>
        <v/>
      </c>
      <c r="Y1101" s="52" t="str">
        <f t="shared" si="278"/>
        <v/>
      </c>
      <c r="AA1101" s="52" t="str">
        <f t="shared" si="277"/>
        <v/>
      </c>
    </row>
    <row r="1102" spans="2:27" ht="39">
      <c r="B1102" s="1532" t="str">
        <f t="shared" si="290"/>
        <v>Multiattack Proficiency (lightsabers)</v>
      </c>
      <c r="C1102" s="1795"/>
      <c r="D1102" s="920"/>
      <c r="E1102" s="61" t="s">
        <v>3378</v>
      </c>
      <c r="F1102" s="61"/>
      <c r="G1102" s="61"/>
      <c r="H1102" s="61"/>
      <c r="I1102" s="61"/>
      <c r="J1102" s="1687" t="s">
        <v>5353</v>
      </c>
      <c r="K1102" s="63" t="str">
        <f t="shared" ca="1" si="289"/>
        <v>No</v>
      </c>
      <c r="L1102" s="76"/>
      <c r="M1102" s="63">
        <f>IF(L1102&lt;&gt;"",L1102,0)</f>
        <v>0</v>
      </c>
      <c r="N1102" s="63">
        <v>218</v>
      </c>
      <c r="O1102" s="64"/>
      <c r="P1102" s="660" t="str">
        <f t="shared" si="287"/>
        <v/>
      </c>
      <c r="Q1102" s="52" t="str">
        <f t="shared" ca="1" si="271"/>
        <v>No</v>
      </c>
      <c r="R1102" s="1574" t="str">
        <f t="shared" si="285"/>
        <v/>
      </c>
      <c r="S1102" s="52" t="str">
        <f t="shared" si="281"/>
        <v/>
      </c>
      <c r="T1102" s="52" t="str">
        <f t="shared" si="282"/>
        <v/>
      </c>
      <c r="U1102" s="52" t="str">
        <f t="shared" si="276"/>
        <v/>
      </c>
      <c r="V1102" s="52" t="str">
        <f t="shared" si="283"/>
        <v/>
      </c>
      <c r="W1102" s="1578"/>
      <c r="X1102" s="52" t="str">
        <f t="shared" si="288"/>
        <v/>
      </c>
      <c r="Y1102" s="52" t="str">
        <f t="shared" si="278"/>
        <v/>
      </c>
      <c r="AA1102" s="52" t="str">
        <f t="shared" si="277"/>
        <v/>
      </c>
    </row>
    <row r="1103" spans="2:27">
      <c r="B1103" s="1532" t="str">
        <f t="shared" si="290"/>
        <v>Severing Strike</v>
      </c>
      <c r="C1103" s="1795"/>
      <c r="D1103" s="920"/>
      <c r="E1103" s="61" t="s">
        <v>3379</v>
      </c>
      <c r="F1103" s="61"/>
      <c r="G1103" s="61"/>
      <c r="H1103" s="61"/>
      <c r="I1103" s="61"/>
      <c r="J1103" s="1687" t="s">
        <v>5354</v>
      </c>
      <c r="K1103" s="63" t="str">
        <f t="shared" ca="1" si="289"/>
        <v>No</v>
      </c>
      <c r="L1103" s="76"/>
      <c r="M1103" s="63">
        <f t="shared" si="270"/>
        <v>0</v>
      </c>
      <c r="N1103" s="63">
        <v>218</v>
      </c>
      <c r="O1103" s="64"/>
      <c r="P1103" s="660" t="str">
        <f t="shared" si="287"/>
        <v/>
      </c>
      <c r="Q1103" s="52" t="str">
        <f t="shared" ca="1" si="271"/>
        <v>No</v>
      </c>
      <c r="R1103" s="1574" t="str">
        <f t="shared" si="285"/>
        <v/>
      </c>
      <c r="S1103" s="52" t="str">
        <f t="shared" si="281"/>
        <v/>
      </c>
      <c r="T1103" s="52" t="str">
        <f t="shared" si="282"/>
        <v/>
      </c>
      <c r="U1103" s="52" t="str">
        <f t="shared" si="276"/>
        <v/>
      </c>
      <c r="V1103" s="52" t="str">
        <f t="shared" si="283"/>
        <v/>
      </c>
      <c r="W1103" s="1578"/>
      <c r="X1103" s="52" t="str">
        <f t="shared" si="288"/>
        <v/>
      </c>
      <c r="Y1103" s="52" t="str">
        <f t="shared" si="278"/>
        <v/>
      </c>
      <c r="AA1103" s="52" t="str">
        <f t="shared" si="277"/>
        <v/>
      </c>
    </row>
    <row r="1104" spans="2:27" ht="26">
      <c r="B1104" s="1532" t="str">
        <f t="shared" si="290"/>
        <v>Shoto Master</v>
      </c>
      <c r="C1104" s="1795"/>
      <c r="D1104" s="920"/>
      <c r="E1104" s="61" t="s">
        <v>4425</v>
      </c>
      <c r="F1104" s="61"/>
      <c r="G1104" s="61"/>
      <c r="H1104" s="61"/>
      <c r="I1104" s="61"/>
      <c r="J1104" s="1687" t="s">
        <v>6141</v>
      </c>
      <c r="K1104" s="63" t="str">
        <f ca="1">IF(Q1104="Yes","Yes","No")</f>
        <v>No</v>
      </c>
      <c r="L1104" s="76"/>
      <c r="M1104" s="63">
        <f>IF(L1104&lt;&gt;"",1,0)</f>
        <v>0</v>
      </c>
      <c r="N1104" s="63" t="s">
        <v>4423</v>
      </c>
      <c r="O1104" s="64"/>
      <c r="P1104" s="660" t="str">
        <f t="shared" si="287"/>
        <v/>
      </c>
      <c r="Q1104" s="52" t="str">
        <f t="shared" ca="1" si="271"/>
        <v>No</v>
      </c>
      <c r="R1104" s="1574" t="str">
        <f t="shared" si="285"/>
        <v/>
      </c>
      <c r="S1104" s="52" t="str">
        <f t="shared" si="281"/>
        <v/>
      </c>
      <c r="T1104" s="52" t="str">
        <f t="shared" si="282"/>
        <v/>
      </c>
      <c r="U1104" s="52" t="str">
        <f t="shared" ref="U1104:U1167" si="291">IF(L1104&lt;&gt;"",IF(ISNUMBER(L1104),"",E1104&amp;F1104&amp;G1104),"")</f>
        <v/>
      </c>
      <c r="V1104" s="52" t="str">
        <f t="shared" si="283"/>
        <v/>
      </c>
      <c r="W1104" s="1578"/>
      <c r="X1104" s="52" t="str">
        <f t="shared" si="288"/>
        <v/>
      </c>
      <c r="Y1104" s="52" t="str">
        <f t="shared" si="278"/>
        <v/>
      </c>
      <c r="AA1104" s="52" t="str">
        <f t="shared" si="277"/>
        <v/>
      </c>
    </row>
    <row r="1105" spans="2:27" ht="26">
      <c r="B1105" s="1532" t="str">
        <f t="shared" si="290"/>
        <v>Direct</v>
      </c>
      <c r="C1105" s="1795"/>
      <c r="D1105" s="920" t="s">
        <v>3380</v>
      </c>
      <c r="E1105" s="61" t="s">
        <v>3381</v>
      </c>
      <c r="F1105" s="61"/>
      <c r="G1105" s="61"/>
      <c r="H1105" s="61"/>
      <c r="I1105" s="61"/>
      <c r="J1105" s="1687" t="s">
        <v>5355</v>
      </c>
      <c r="K1105" s="63" t="str">
        <f t="shared" ca="1" si="289"/>
        <v>No</v>
      </c>
      <c r="L1105" s="76"/>
      <c r="M1105" s="63">
        <f t="shared" ref="M1105:M1198" si="292">IF(L1105&lt;&gt;"",1,0)</f>
        <v>0</v>
      </c>
      <c r="N1105" s="63" t="s">
        <v>3310</v>
      </c>
      <c r="O1105" s="64"/>
      <c r="P1105" s="660" t="str">
        <f t="shared" si="287"/>
        <v/>
      </c>
      <c r="Q1105" s="52" t="str">
        <f ca="1">IF(AND(ForceSensitive="Yes",AD19&gt;0),"Yes","No")</f>
        <v>No</v>
      </c>
      <c r="R1105" s="1574" t="str">
        <f t="shared" si="285"/>
        <v/>
      </c>
      <c r="S1105" s="52" t="str">
        <f t="shared" si="281"/>
        <v/>
      </c>
      <c r="T1105" s="52" t="str">
        <f t="shared" si="282"/>
        <v/>
      </c>
      <c r="U1105" s="52" t="str">
        <f t="shared" si="291"/>
        <v/>
      </c>
      <c r="V1105" s="52" t="str">
        <f t="shared" si="283"/>
        <v/>
      </c>
      <c r="W1105" s="1578"/>
      <c r="X1105" s="52" t="str">
        <f t="shared" si="288"/>
        <v/>
      </c>
      <c r="Y1105" s="52" t="str">
        <f t="shared" si="278"/>
        <v/>
      </c>
      <c r="AA1105" s="52" t="str">
        <f t="shared" si="277"/>
        <v/>
      </c>
    </row>
    <row r="1106" spans="2:27" ht="26">
      <c r="B1106" s="1532" t="str">
        <f t="shared" si="290"/>
        <v>Impart Knowledge</v>
      </c>
      <c r="C1106" s="1795"/>
      <c r="D1106" s="920"/>
      <c r="E1106" s="61" t="s">
        <v>3382</v>
      </c>
      <c r="F1106" s="61"/>
      <c r="G1106" s="61"/>
      <c r="H1106" s="61"/>
      <c r="I1106" s="61"/>
      <c r="J1106" s="1687" t="s">
        <v>5356</v>
      </c>
      <c r="K1106" s="63" t="str">
        <f t="shared" ca="1" si="289"/>
        <v>No</v>
      </c>
      <c r="L1106" s="76"/>
      <c r="M1106" s="63">
        <f t="shared" si="292"/>
        <v>0</v>
      </c>
      <c r="N1106" s="63" t="s">
        <v>3310</v>
      </c>
      <c r="O1106" s="64"/>
      <c r="P1106" s="660" t="str">
        <f t="shared" si="287"/>
        <v/>
      </c>
      <c r="Q1106" s="52" t="str">
        <f t="shared" ref="Q1106:Q1198" ca="1" si="293">Q1105</f>
        <v>No</v>
      </c>
      <c r="R1106" s="1574" t="str">
        <f t="shared" si="285"/>
        <v/>
      </c>
      <c r="S1106" s="52" t="str">
        <f t="shared" si="281"/>
        <v/>
      </c>
      <c r="T1106" s="52" t="str">
        <f t="shared" si="282"/>
        <v/>
      </c>
      <c r="U1106" s="52" t="str">
        <f t="shared" si="291"/>
        <v/>
      </c>
      <c r="V1106" s="52" t="str">
        <f t="shared" si="283"/>
        <v/>
      </c>
      <c r="W1106" s="1578"/>
      <c r="X1106" s="52" t="str">
        <f t="shared" si="288"/>
        <v/>
      </c>
      <c r="Y1106" s="52" t="str">
        <f t="shared" si="278"/>
        <v/>
      </c>
      <c r="AA1106" s="52" t="str">
        <f t="shared" si="277"/>
        <v/>
      </c>
    </row>
    <row r="1107" spans="2:27" ht="26">
      <c r="B1107" s="1532" t="str">
        <f t="shared" si="290"/>
        <v>Insight of the Force</v>
      </c>
      <c r="C1107" s="1795"/>
      <c r="D1107" s="920"/>
      <c r="E1107" s="61" t="s">
        <v>3383</v>
      </c>
      <c r="F1107" s="61"/>
      <c r="G1107" s="61"/>
      <c r="H1107" s="61"/>
      <c r="I1107" s="61"/>
      <c r="J1107" s="1687" t="s">
        <v>5357</v>
      </c>
      <c r="K1107" s="63" t="str">
        <f t="shared" ca="1" si="289"/>
        <v>No</v>
      </c>
      <c r="L1107" s="76"/>
      <c r="M1107" s="63">
        <f t="shared" si="292"/>
        <v>0</v>
      </c>
      <c r="N1107" s="63" t="s">
        <v>3310</v>
      </c>
      <c r="O1107" s="64"/>
      <c r="P1107" s="660" t="str">
        <f t="shared" si="287"/>
        <v/>
      </c>
      <c r="Q1107" s="52" t="str">
        <f t="shared" ca="1" si="293"/>
        <v>No</v>
      </c>
      <c r="R1107" s="1574" t="str">
        <f t="shared" si="285"/>
        <v/>
      </c>
      <c r="S1107" s="52" t="str">
        <f t="shared" si="281"/>
        <v/>
      </c>
      <c r="T1107" s="52" t="str">
        <f t="shared" si="282"/>
        <v/>
      </c>
      <c r="U1107" s="52" t="str">
        <f t="shared" si="291"/>
        <v/>
      </c>
      <c r="V1107" s="52" t="str">
        <f t="shared" si="283"/>
        <v/>
      </c>
      <c r="W1107" s="1578"/>
      <c r="X1107" s="52" t="str">
        <f t="shared" si="288"/>
        <v/>
      </c>
      <c r="Y1107" s="52" t="str">
        <f t="shared" si="278"/>
        <v/>
      </c>
      <c r="AA1107" s="52" t="str">
        <f t="shared" si="277"/>
        <v/>
      </c>
    </row>
    <row r="1108" spans="2:27" ht="26">
      <c r="B1108" s="1532" t="str">
        <f t="shared" si="290"/>
        <v>Master Advisor</v>
      </c>
      <c r="C1108" s="1795"/>
      <c r="D1108" s="920"/>
      <c r="E1108" s="61" t="s">
        <v>3384</v>
      </c>
      <c r="F1108" s="61"/>
      <c r="G1108" s="61"/>
      <c r="H1108" s="61"/>
      <c r="I1108" s="61"/>
      <c r="J1108" s="1687" t="s">
        <v>5358</v>
      </c>
      <c r="K1108" s="63" t="str">
        <f t="shared" ca="1" si="289"/>
        <v>No</v>
      </c>
      <c r="L1108" s="76"/>
      <c r="M1108" s="63">
        <f t="shared" si="292"/>
        <v>0</v>
      </c>
      <c r="N1108" s="63" t="s">
        <v>3310</v>
      </c>
      <c r="O1108" s="64"/>
      <c r="P1108" s="660" t="str">
        <f t="shared" si="287"/>
        <v/>
      </c>
      <c r="Q1108" s="52" t="str">
        <f t="shared" ca="1" si="293"/>
        <v>No</v>
      </c>
      <c r="R1108" s="1574" t="str">
        <f t="shared" si="285"/>
        <v/>
      </c>
      <c r="S1108" s="52" t="str">
        <f t="shared" si="281"/>
        <v/>
      </c>
      <c r="T1108" s="52" t="str">
        <f t="shared" si="282"/>
        <v/>
      </c>
      <c r="U1108" s="52" t="str">
        <f t="shared" si="291"/>
        <v/>
      </c>
      <c r="V1108" s="52" t="str">
        <f t="shared" si="283"/>
        <v/>
      </c>
      <c r="W1108" s="1578"/>
      <c r="X1108" s="52" t="str">
        <f t="shared" si="288"/>
        <v/>
      </c>
      <c r="Y1108" s="52" t="str">
        <f t="shared" si="278"/>
        <v/>
      </c>
      <c r="AA1108" s="52" t="str">
        <f t="shared" si="277"/>
        <v/>
      </c>
    </row>
    <row r="1109" spans="2:27" ht="26">
      <c r="B1109" s="1532" t="str">
        <f t="shared" si="290"/>
        <v>Scholarly Knowledge</v>
      </c>
      <c r="C1109" s="1795"/>
      <c r="D1109" s="920"/>
      <c r="E1109" s="61" t="s">
        <v>645</v>
      </c>
      <c r="F1109" s="61"/>
      <c r="G1109" s="61"/>
      <c r="H1109" s="61"/>
      <c r="I1109" s="61"/>
      <c r="J1109" s="1687" t="s">
        <v>5359</v>
      </c>
      <c r="K1109" s="63" t="str">
        <f t="shared" ca="1" si="289"/>
        <v>No</v>
      </c>
      <c r="L1109" s="76"/>
      <c r="M1109" s="63">
        <f t="shared" si="292"/>
        <v>0</v>
      </c>
      <c r="N1109" s="63" t="s">
        <v>3310</v>
      </c>
      <c r="O1109" s="64"/>
      <c r="P1109" s="660" t="str">
        <f t="shared" si="287"/>
        <v/>
      </c>
      <c r="Q1109" s="52" t="str">
        <f t="shared" ca="1" si="293"/>
        <v>No</v>
      </c>
      <c r="R1109" s="1574" t="str">
        <f t="shared" si="285"/>
        <v/>
      </c>
      <c r="S1109" s="52" t="str">
        <f t="shared" si="281"/>
        <v/>
      </c>
      <c r="T1109" s="52" t="str">
        <f t="shared" si="282"/>
        <v/>
      </c>
      <c r="U1109" s="52" t="str">
        <f t="shared" si="291"/>
        <v/>
      </c>
      <c r="V1109" s="52" t="str">
        <f t="shared" si="283"/>
        <v/>
      </c>
      <c r="W1109" s="1578"/>
      <c r="X1109" s="52" t="str">
        <f t="shared" si="288"/>
        <v/>
      </c>
      <c r="Y1109" s="52" t="str">
        <f t="shared" si="278"/>
        <v/>
      </c>
      <c r="AA1109" s="52" t="str">
        <f t="shared" si="277"/>
        <v/>
      </c>
    </row>
    <row r="1110" spans="2:27">
      <c r="B1110" s="1532" t="str">
        <f t="shared" si="290"/>
        <v>Call Weapon</v>
      </c>
      <c r="C1110" s="1795"/>
      <c r="D1110" s="920" t="s">
        <v>4427</v>
      </c>
      <c r="E1110" s="61" t="s">
        <v>4430</v>
      </c>
      <c r="F1110" s="61"/>
      <c r="G1110" s="61"/>
      <c r="H1110" s="61"/>
      <c r="I1110" s="61"/>
      <c r="J1110" s="1687" t="s">
        <v>5916</v>
      </c>
      <c r="K1110" s="63" t="str">
        <f ca="1">IF(Q1110="Yes","Yes","No")</f>
        <v>No</v>
      </c>
      <c r="L1110" s="76"/>
      <c r="M1110" s="63">
        <f>IF(L1110&lt;&gt;"",1,0)</f>
        <v>0</v>
      </c>
      <c r="N1110" s="63" t="s">
        <v>4423</v>
      </c>
      <c r="O1110" s="64"/>
      <c r="P1110" s="660" t="str">
        <f t="shared" si="287"/>
        <v/>
      </c>
      <c r="Q1110" s="52" t="str">
        <f t="shared" ca="1" si="293"/>
        <v>No</v>
      </c>
      <c r="R1110" s="1574" t="str">
        <f t="shared" si="285"/>
        <v/>
      </c>
      <c r="S1110" s="52" t="str">
        <f t="shared" si="281"/>
        <v/>
      </c>
      <c r="T1110" s="52" t="str">
        <f t="shared" si="282"/>
        <v/>
      </c>
      <c r="U1110" s="52" t="str">
        <f t="shared" si="291"/>
        <v/>
      </c>
      <c r="V1110" s="52" t="str">
        <f t="shared" si="283"/>
        <v/>
      </c>
      <c r="W1110" s="1578"/>
      <c r="X1110" s="52" t="str">
        <f t="shared" si="288"/>
        <v/>
      </c>
      <c r="Y1110" s="52" t="str">
        <f t="shared" si="278"/>
        <v/>
      </c>
      <c r="AA1110" s="52" t="str">
        <f t="shared" si="277"/>
        <v/>
      </c>
    </row>
    <row r="1111" spans="2:27">
      <c r="B1111" s="1532" t="str">
        <f t="shared" si="290"/>
        <v>Masterwork Lightsaber</v>
      </c>
      <c r="C1111" s="1795"/>
      <c r="D1111" s="920"/>
      <c r="E1111" s="61" t="s">
        <v>4432</v>
      </c>
      <c r="F1111" s="61"/>
      <c r="G1111" s="61"/>
      <c r="H1111" s="61"/>
      <c r="I1111" s="61"/>
      <c r="J1111" s="1687" t="s">
        <v>5918</v>
      </c>
      <c r="K1111" s="63" t="str">
        <f ca="1">IF(Q1111="Yes","Yes","No")</f>
        <v>No</v>
      </c>
      <c r="L1111" s="76"/>
      <c r="M1111" s="63">
        <f>IF(L1111&lt;&gt;"",1,0)</f>
        <v>0</v>
      </c>
      <c r="N1111" s="63" t="s">
        <v>4423</v>
      </c>
      <c r="O1111" s="64"/>
      <c r="P1111" s="660" t="str">
        <f t="shared" si="287"/>
        <v/>
      </c>
      <c r="Q1111" s="52" t="str">
        <f t="shared" ca="1" si="293"/>
        <v>No</v>
      </c>
      <c r="R1111" s="1574" t="str">
        <f t="shared" si="285"/>
        <v/>
      </c>
      <c r="S1111" s="52" t="str">
        <f t="shared" si="281"/>
        <v/>
      </c>
      <c r="T1111" s="52" t="str">
        <f t="shared" si="282"/>
        <v/>
      </c>
      <c r="U1111" s="52" t="str">
        <f t="shared" si="291"/>
        <v/>
      </c>
      <c r="V1111" s="52" t="str">
        <f t="shared" si="283"/>
        <v/>
      </c>
      <c r="W1111" s="1578"/>
      <c r="X1111" s="52" t="str">
        <f t="shared" si="288"/>
        <v/>
      </c>
      <c r="Y1111" s="52" t="str">
        <f t="shared" ref="Y1111:Y1174" si="294">IF(U1111&lt;&gt;"",IF(W1111="Att Options",U1111&amp;IF(Y1112&lt;&gt;"",", ",""),"")&amp;Y1112,Y1112)</f>
        <v/>
      </c>
      <c r="AA1111" s="52" t="str">
        <f t="shared" si="277"/>
        <v/>
      </c>
    </row>
    <row r="1112" spans="2:27">
      <c r="B1112" s="1532" t="str">
        <f t="shared" si="290"/>
        <v>Lightsaber Specialist</v>
      </c>
      <c r="C1112" s="1795"/>
      <c r="D1112" s="920"/>
      <c r="E1112" s="61"/>
      <c r="F1112" s="61" t="s">
        <v>4431</v>
      </c>
      <c r="G1112" s="61"/>
      <c r="H1112" s="61"/>
      <c r="I1112" s="61"/>
      <c r="J1112" s="1692" t="s">
        <v>5917</v>
      </c>
      <c r="K1112" s="63" t="str">
        <f ca="1">IF(AND(Q1112="Yes",M$1111&gt;0),"Yes","No")</f>
        <v>No</v>
      </c>
      <c r="L1112" s="76"/>
      <c r="M1112" s="63">
        <f>IF(L1112&lt;&gt;"",1,0)</f>
        <v>0</v>
      </c>
      <c r="N1112" s="63" t="s">
        <v>4423</v>
      </c>
      <c r="O1112" s="64"/>
      <c r="P1112" s="660" t="str">
        <f t="shared" si="287"/>
        <v/>
      </c>
      <c r="Q1112" s="52" t="str">
        <f t="shared" ca="1" si="293"/>
        <v>No</v>
      </c>
      <c r="R1112" s="1574" t="str">
        <f t="shared" si="285"/>
        <v/>
      </c>
      <c r="S1112" s="52" t="str">
        <f t="shared" si="281"/>
        <v/>
      </c>
      <c r="T1112" s="52" t="str">
        <f t="shared" si="282"/>
        <v/>
      </c>
      <c r="U1112" s="52" t="str">
        <f t="shared" si="291"/>
        <v/>
      </c>
      <c r="V1112" s="52" t="str">
        <f t="shared" si="283"/>
        <v/>
      </c>
      <c r="W1112" s="1578"/>
      <c r="X1112" s="52" t="str">
        <f t="shared" si="288"/>
        <v/>
      </c>
      <c r="Y1112" s="52" t="str">
        <f t="shared" si="294"/>
        <v/>
      </c>
      <c r="AA1112" s="52" t="str">
        <f t="shared" si="277"/>
        <v/>
      </c>
    </row>
    <row r="1113" spans="2:27">
      <c r="B1113" s="1532" t="str">
        <f t="shared" si="290"/>
        <v>Perfect Attunement</v>
      </c>
      <c r="C1113" s="1795"/>
      <c r="D1113" s="920"/>
      <c r="E1113" s="61"/>
      <c r="F1113" s="61" t="s">
        <v>4433</v>
      </c>
      <c r="G1113" s="61"/>
      <c r="H1113" s="61"/>
      <c r="I1113" s="61"/>
      <c r="J1113" s="1687" t="s">
        <v>5919</v>
      </c>
      <c r="K1113" s="63" t="str">
        <f ca="1">IF(AND(Q1113="Yes",M$1111&gt;0),"Yes","No")</f>
        <v>No</v>
      </c>
      <c r="L1113" s="76"/>
      <c r="M1113" s="63">
        <f>IF(L1113&lt;&gt;"",1,0)</f>
        <v>0</v>
      </c>
      <c r="N1113" s="63" t="s">
        <v>4423</v>
      </c>
      <c r="O1113" s="64"/>
      <c r="P1113" s="660" t="str">
        <f t="shared" si="287"/>
        <v/>
      </c>
      <c r="Q1113" s="52" t="str">
        <f t="shared" ca="1" si="293"/>
        <v>No</v>
      </c>
      <c r="R1113" s="1574" t="str">
        <f t="shared" si="285"/>
        <v/>
      </c>
      <c r="S1113" s="52" t="str">
        <f t="shared" si="281"/>
        <v/>
      </c>
      <c r="T1113" s="52" t="str">
        <f t="shared" si="282"/>
        <v/>
      </c>
      <c r="U1113" s="52" t="str">
        <f t="shared" si="291"/>
        <v/>
      </c>
      <c r="V1113" s="52" t="str">
        <f t="shared" si="283"/>
        <v/>
      </c>
      <c r="W1113" s="1578"/>
      <c r="X1113" s="52" t="str">
        <f t="shared" si="288"/>
        <v/>
      </c>
      <c r="Y1113" s="52" t="str">
        <f t="shared" si="294"/>
        <v/>
      </c>
      <c r="AA1113" s="52" t="str">
        <f t="shared" si="277"/>
        <v/>
      </c>
    </row>
    <row r="1114" spans="2:27">
      <c r="B1114" s="1532" t="str">
        <f t="shared" si="290"/>
        <v>Quick Modification</v>
      </c>
      <c r="C1114" s="1795"/>
      <c r="D1114" s="920"/>
      <c r="E1114" s="61"/>
      <c r="F1114" s="61" t="s">
        <v>4434</v>
      </c>
      <c r="G1114" s="61"/>
      <c r="H1114" s="61"/>
      <c r="I1114" s="61"/>
      <c r="J1114" s="1687" t="s">
        <v>5920</v>
      </c>
      <c r="K1114" s="63" t="str">
        <f ca="1">IF(AND(Q1114="Yes",M$1111&gt;0),"Yes","No")</f>
        <v>No</v>
      </c>
      <c r="L1114" s="76"/>
      <c r="M1114" s="63">
        <f>IF(L1114&lt;&gt;"",1,0)</f>
        <v>0</v>
      </c>
      <c r="N1114" s="63" t="s">
        <v>4423</v>
      </c>
      <c r="O1114" s="64"/>
      <c r="P1114" s="660" t="str">
        <f t="shared" si="287"/>
        <v/>
      </c>
      <c r="Q1114" s="52" t="str">
        <f t="shared" ca="1" si="293"/>
        <v>No</v>
      </c>
      <c r="R1114" s="1574" t="str">
        <f t="shared" si="285"/>
        <v/>
      </c>
      <c r="S1114" s="52" t="str">
        <f t="shared" si="281"/>
        <v/>
      </c>
      <c r="T1114" s="52" t="str">
        <f t="shared" si="282"/>
        <v/>
      </c>
      <c r="U1114" s="52" t="str">
        <f t="shared" si="291"/>
        <v/>
      </c>
      <c r="V1114" s="52" t="str">
        <f t="shared" si="283"/>
        <v/>
      </c>
      <c r="W1114" s="1578"/>
      <c r="X1114" s="52" t="str">
        <f t="shared" si="288"/>
        <v/>
      </c>
      <c r="Y1114" s="52" t="str">
        <f t="shared" si="294"/>
        <v/>
      </c>
      <c r="AA1114" s="52" t="str">
        <f t="shared" si="277"/>
        <v/>
      </c>
    </row>
    <row r="1115" spans="2:27">
      <c r="B1115" s="1532" t="str">
        <f t="shared" si="290"/>
        <v>Jedi Battle Commander</v>
      </c>
      <c r="C1115" s="1795"/>
      <c r="D1115" s="920" t="s">
        <v>3385</v>
      </c>
      <c r="E1115" s="61" t="s">
        <v>3386</v>
      </c>
      <c r="F1115" s="61"/>
      <c r="G1115" s="61"/>
      <c r="H1115" s="61"/>
      <c r="I1115" s="61"/>
      <c r="J1115" s="1687" t="s">
        <v>5360</v>
      </c>
      <c r="K1115" s="63" t="str">
        <f t="shared" ca="1" si="289"/>
        <v>No</v>
      </c>
      <c r="L1115" s="76"/>
      <c r="M1115" s="63">
        <f t="shared" si="292"/>
        <v>0</v>
      </c>
      <c r="N1115" s="63" t="s">
        <v>3317</v>
      </c>
      <c r="O1115" s="64"/>
      <c r="P1115" s="660" t="str">
        <f t="shared" si="287"/>
        <v/>
      </c>
      <c r="Q1115" s="52" t="str">
        <f t="shared" ca="1" si="293"/>
        <v>No</v>
      </c>
      <c r="R1115" s="1574" t="str">
        <f t="shared" si="285"/>
        <v/>
      </c>
      <c r="S1115" s="52" t="str">
        <f t="shared" si="281"/>
        <v/>
      </c>
      <c r="T1115" s="52" t="str">
        <f t="shared" si="282"/>
        <v/>
      </c>
      <c r="U1115" s="52" t="str">
        <f t="shared" si="291"/>
        <v/>
      </c>
      <c r="V1115" s="52" t="str">
        <f t="shared" si="283"/>
        <v/>
      </c>
      <c r="W1115" s="1578"/>
      <c r="X1115" s="52" t="str">
        <f t="shared" si="288"/>
        <v/>
      </c>
      <c r="Y1115" s="52" t="str">
        <f t="shared" si="294"/>
        <v/>
      </c>
      <c r="AA1115" s="52" t="str">
        <f t="shared" si="277"/>
        <v/>
      </c>
    </row>
    <row r="1116" spans="2:27" ht="26">
      <c r="B1116" s="1532" t="str">
        <f t="shared" si="290"/>
        <v>Defensive Circle</v>
      </c>
      <c r="C1116" s="1795"/>
      <c r="D1116" s="920"/>
      <c r="E1116" s="61"/>
      <c r="F1116" s="61" t="s">
        <v>3387</v>
      </c>
      <c r="G1116" s="61"/>
      <c r="H1116" s="61"/>
      <c r="I1116" s="61"/>
      <c r="J1116" s="1687" t="s">
        <v>8932</v>
      </c>
      <c r="K1116" s="63" t="str">
        <f ca="1">IF(AND(Q1115="Yes",L1115&lt;&gt;""),"Yes","No")</f>
        <v>No</v>
      </c>
      <c r="L1116" s="76"/>
      <c r="M1116" s="63">
        <f t="shared" si="292"/>
        <v>0</v>
      </c>
      <c r="N1116" s="63" t="s">
        <v>3317</v>
      </c>
      <c r="O1116" s="64"/>
      <c r="P1116" s="660" t="str">
        <f t="shared" si="287"/>
        <v/>
      </c>
      <c r="Q1116" s="52" t="str">
        <f t="shared" ca="1" si="293"/>
        <v>No</v>
      </c>
      <c r="R1116" s="1574" t="str">
        <f t="shared" si="285"/>
        <v/>
      </c>
      <c r="S1116" s="52" t="str">
        <f t="shared" si="281"/>
        <v/>
      </c>
      <c r="T1116" s="52" t="str">
        <f t="shared" si="282"/>
        <v/>
      </c>
      <c r="U1116" s="52" t="str">
        <f t="shared" si="291"/>
        <v/>
      </c>
      <c r="V1116" s="52" t="str">
        <f t="shared" si="283"/>
        <v/>
      </c>
      <c r="W1116" s="1578"/>
      <c r="X1116" s="52" t="str">
        <f t="shared" si="288"/>
        <v/>
      </c>
      <c r="Y1116" s="52" t="str">
        <f t="shared" si="294"/>
        <v/>
      </c>
      <c r="AA1116" s="52" t="str">
        <f t="shared" si="277"/>
        <v/>
      </c>
    </row>
    <row r="1117" spans="2:27" ht="26">
      <c r="B1117" s="1532" t="str">
        <f t="shared" si="290"/>
        <v>Force Revive</v>
      </c>
      <c r="C1117" s="1795"/>
      <c r="D1117" s="920"/>
      <c r="E1117" s="61"/>
      <c r="F1117" s="61" t="s">
        <v>3388</v>
      </c>
      <c r="G1117" s="61"/>
      <c r="H1117" s="61"/>
      <c r="I1117" s="61"/>
      <c r="J1117" s="1687" t="s">
        <v>5361</v>
      </c>
      <c r="K1117" s="63" t="str">
        <f ca="1">IF(AND(Q1116="Yes",L1115&lt;&gt;""),"Yes","No")</f>
        <v>No</v>
      </c>
      <c r="L1117" s="76"/>
      <c r="M1117" s="63">
        <f t="shared" si="292"/>
        <v>0</v>
      </c>
      <c r="N1117" s="63" t="s">
        <v>3317</v>
      </c>
      <c r="O1117" s="64"/>
      <c r="P1117" s="660" t="str">
        <f t="shared" si="287"/>
        <v/>
      </c>
      <c r="Q1117" s="52" t="str">
        <f t="shared" ca="1" si="293"/>
        <v>No</v>
      </c>
      <c r="R1117" s="1574" t="str">
        <f t="shared" si="285"/>
        <v/>
      </c>
      <c r="S1117" s="52" t="str">
        <f t="shared" si="281"/>
        <v/>
      </c>
      <c r="T1117" s="52" t="str">
        <f t="shared" si="282"/>
        <v/>
      </c>
      <c r="U1117" s="52" t="str">
        <f t="shared" si="291"/>
        <v/>
      </c>
      <c r="V1117" s="52" t="str">
        <f t="shared" si="283"/>
        <v/>
      </c>
      <c r="W1117" s="1578"/>
      <c r="X1117" s="52" t="str">
        <f t="shared" si="288"/>
        <v/>
      </c>
      <c r="Y1117" s="52" t="str">
        <f t="shared" si="294"/>
        <v/>
      </c>
      <c r="AA1117" s="52" t="str">
        <f t="shared" si="277"/>
        <v/>
      </c>
    </row>
    <row r="1118" spans="2:27" ht="26">
      <c r="B1118" s="1532" t="str">
        <f t="shared" si="290"/>
        <v>Slashing Charge</v>
      </c>
      <c r="C1118" s="1795"/>
      <c r="D1118" s="920"/>
      <c r="E1118" s="61" t="s">
        <v>3389</v>
      </c>
      <c r="F1118" s="61"/>
      <c r="G1118" s="61"/>
      <c r="H1118" s="61"/>
      <c r="I1118" s="61"/>
      <c r="J1118" s="1687" t="s">
        <v>5362</v>
      </c>
      <c r="K1118" s="63" t="str">
        <f t="shared" ca="1" si="289"/>
        <v>No</v>
      </c>
      <c r="L1118" s="76"/>
      <c r="M1118" s="63">
        <f t="shared" si="292"/>
        <v>0</v>
      </c>
      <c r="N1118" s="63" t="s">
        <v>3317</v>
      </c>
      <c r="O1118" s="64"/>
      <c r="P1118" s="660" t="str">
        <f t="shared" si="287"/>
        <v/>
      </c>
      <c r="Q1118" s="52" t="str">
        <f t="shared" ca="1" si="293"/>
        <v>No</v>
      </c>
      <c r="R1118" s="1574" t="str">
        <f t="shared" si="285"/>
        <v/>
      </c>
      <c r="S1118" s="52" t="str">
        <f t="shared" si="281"/>
        <v/>
      </c>
      <c r="T1118" s="52" t="str">
        <f t="shared" si="282"/>
        <v/>
      </c>
      <c r="U1118" s="52" t="str">
        <f t="shared" si="291"/>
        <v/>
      </c>
      <c r="V1118" s="52" t="str">
        <f t="shared" si="283"/>
        <v/>
      </c>
      <c r="W1118" s="1578"/>
      <c r="X1118" s="52" t="str">
        <f t="shared" si="288"/>
        <v/>
      </c>
      <c r="Y1118" s="52" t="str">
        <f t="shared" si="294"/>
        <v/>
      </c>
      <c r="AA1118" s="52" t="str">
        <f t="shared" si="277"/>
        <v/>
      </c>
    </row>
    <row r="1119" spans="2:27" ht="26">
      <c r="B1119" s="1532" t="str">
        <f t="shared" si="290"/>
        <v>Mobile Attack (lightsabers)</v>
      </c>
      <c r="C1119" s="1795"/>
      <c r="D1119" s="920"/>
      <c r="E1119" s="61" t="s">
        <v>3390</v>
      </c>
      <c r="F1119" s="61"/>
      <c r="G1119" s="61"/>
      <c r="H1119" s="61"/>
      <c r="I1119" s="61"/>
      <c r="J1119" s="1687" t="s">
        <v>5363</v>
      </c>
      <c r="K1119" s="63" t="str">
        <f t="shared" ca="1" si="289"/>
        <v>No</v>
      </c>
      <c r="L1119" s="76"/>
      <c r="M1119" s="63">
        <f t="shared" si="292"/>
        <v>0</v>
      </c>
      <c r="N1119" s="63" t="s">
        <v>3317</v>
      </c>
      <c r="O1119" s="64"/>
      <c r="P1119" s="660" t="str">
        <f t="shared" si="287"/>
        <v/>
      </c>
      <c r="Q1119" s="52" t="str">
        <f t="shared" ca="1" si="293"/>
        <v>No</v>
      </c>
      <c r="R1119" s="1574" t="str">
        <f t="shared" si="285"/>
        <v/>
      </c>
      <c r="S1119" s="52" t="str">
        <f t="shared" ref="S1119:S1182" si="295">IF(R1119&lt;&gt;"",R1119&amp;";"&amp;S1120,S1120)</f>
        <v/>
      </c>
      <c r="T1119" s="52" t="str">
        <f t="shared" ref="T1119:T1182" si="296">IF(R1119&lt;&gt;"",N1119&amp;";"&amp;T1120,T1120)</f>
        <v/>
      </c>
      <c r="U1119" s="52" t="str">
        <f t="shared" si="291"/>
        <v/>
      </c>
      <c r="V1119" s="52" t="str">
        <f t="shared" ref="V1119:V1182" si="297">IF(U1119&lt;&gt;"",U1119&amp;";"&amp;V1120,V1120)</f>
        <v/>
      </c>
      <c r="W1119" s="1578"/>
      <c r="X1119" s="52" t="str">
        <f t="shared" si="288"/>
        <v/>
      </c>
      <c r="Y1119" s="52" t="str">
        <f t="shared" si="294"/>
        <v/>
      </c>
      <c r="AA1119" s="52" t="str">
        <f t="shared" si="277"/>
        <v/>
      </c>
    </row>
    <row r="1120" spans="2:27" ht="26">
      <c r="B1120" s="1532" t="str">
        <f t="shared" si="290"/>
        <v>Force Treatment</v>
      </c>
      <c r="C1120" s="1795"/>
      <c r="D1120" s="920" t="s">
        <v>819</v>
      </c>
      <c r="E1120" s="61" t="s">
        <v>3273</v>
      </c>
      <c r="F1120" s="61"/>
      <c r="G1120" s="61"/>
      <c r="H1120" s="61"/>
      <c r="I1120" s="61"/>
      <c r="J1120" s="1687" t="s">
        <v>5364</v>
      </c>
      <c r="K1120" s="63" t="str">
        <f t="shared" ca="1" si="289"/>
        <v>No</v>
      </c>
      <c r="L1120" s="76"/>
      <c r="M1120" s="63">
        <f t="shared" si="292"/>
        <v>0</v>
      </c>
      <c r="N1120" s="63">
        <v>214</v>
      </c>
      <c r="O1120" s="64"/>
      <c r="P1120" s="660" t="str">
        <f t="shared" si="287"/>
        <v/>
      </c>
      <c r="Q1120" s="52" t="str">
        <f t="shared" ca="1" si="293"/>
        <v>No</v>
      </c>
      <c r="R1120" s="1574" t="str">
        <f t="shared" si="285"/>
        <v/>
      </c>
      <c r="S1120" s="52" t="str">
        <f t="shared" si="295"/>
        <v/>
      </c>
      <c r="T1120" s="52" t="str">
        <f t="shared" si="296"/>
        <v/>
      </c>
      <c r="U1120" s="52" t="str">
        <f t="shared" si="291"/>
        <v/>
      </c>
      <c r="V1120" s="52" t="str">
        <f t="shared" si="297"/>
        <v/>
      </c>
      <c r="W1120" s="1578"/>
      <c r="X1120" s="52" t="str">
        <f t="shared" si="288"/>
        <v/>
      </c>
      <c r="Y1120" s="52" t="str">
        <f t="shared" si="294"/>
        <v/>
      </c>
      <c r="AA1120" s="52" t="str">
        <f t="shared" si="277"/>
        <v/>
      </c>
    </row>
    <row r="1121" spans="2:27">
      <c r="B1121" s="1532" t="str">
        <f t="shared" si="290"/>
        <v>Healing Boost</v>
      </c>
      <c r="C1121" s="1795"/>
      <c r="D1121" s="920"/>
      <c r="E1121" s="61" t="s">
        <v>3391</v>
      </c>
      <c r="F1121" s="61"/>
      <c r="G1121" s="61"/>
      <c r="H1121" s="61"/>
      <c r="I1121" s="61"/>
      <c r="J1121" s="1687" t="s">
        <v>5365</v>
      </c>
      <c r="K1121" s="63" t="str">
        <f t="shared" ca="1" si="289"/>
        <v>No</v>
      </c>
      <c r="L1121" s="76"/>
      <c r="M1121" s="63">
        <f t="shared" si="292"/>
        <v>0</v>
      </c>
      <c r="N1121" s="63" t="s">
        <v>3310</v>
      </c>
      <c r="O1121" s="64"/>
      <c r="P1121" s="660" t="str">
        <f t="shared" si="287"/>
        <v/>
      </c>
      <c r="Q1121" s="52" t="str">
        <f t="shared" ca="1" si="293"/>
        <v>No</v>
      </c>
      <c r="R1121" s="1574" t="str">
        <f t="shared" si="285"/>
        <v/>
      </c>
      <c r="S1121" s="52" t="str">
        <f t="shared" si="295"/>
        <v/>
      </c>
      <c r="T1121" s="52" t="str">
        <f t="shared" si="296"/>
        <v/>
      </c>
      <c r="U1121" s="52" t="str">
        <f t="shared" si="291"/>
        <v/>
      </c>
      <c r="V1121" s="52" t="str">
        <f t="shared" si="297"/>
        <v/>
      </c>
      <c r="W1121" s="1578"/>
      <c r="X1121" s="52" t="str">
        <f t="shared" si="288"/>
        <v/>
      </c>
      <c r="Y1121" s="52" t="str">
        <f t="shared" si="294"/>
        <v/>
      </c>
      <c r="AA1121" s="52" t="str">
        <f t="shared" si="277"/>
        <v/>
      </c>
    </row>
    <row r="1122" spans="2:27">
      <c r="B1122" s="1532" t="str">
        <f t="shared" si="290"/>
        <v>Improved Healing Boost</v>
      </c>
      <c r="C1122" s="1795"/>
      <c r="D1122" s="920"/>
      <c r="E1122" s="61"/>
      <c r="F1122" s="61" t="s">
        <v>3392</v>
      </c>
      <c r="G1122" s="61"/>
      <c r="H1122" s="61"/>
      <c r="I1122" s="61"/>
      <c r="J1122" s="1687" t="s">
        <v>5366</v>
      </c>
      <c r="K1122" s="63" t="str">
        <f ca="1">IF(AND(Q1121="Yes",L1121&lt;&gt;""),"Yes","No")</f>
        <v>No</v>
      </c>
      <c r="L1122" s="76"/>
      <c r="M1122" s="63">
        <f t="shared" si="292"/>
        <v>0</v>
      </c>
      <c r="N1122" s="63" t="s">
        <v>3310</v>
      </c>
      <c r="O1122" s="64"/>
      <c r="P1122" s="660" t="str">
        <f t="shared" si="287"/>
        <v/>
      </c>
      <c r="Q1122" s="52" t="str">
        <f t="shared" ca="1" si="293"/>
        <v>No</v>
      </c>
      <c r="R1122" s="1574" t="str">
        <f t="shared" ref="R1122:R1185" si="298">IF(L1122&lt;&gt;"",E1122&amp;F1122&amp;G1122&amp;IF(P1122&lt;&gt;""," ("&amp;P1122&amp;")",""),"")&amp;IF(M1122&gt;1," ("&amp;M1122&amp;")","")</f>
        <v/>
      </c>
      <c r="S1122" s="52" t="str">
        <f t="shared" si="295"/>
        <v/>
      </c>
      <c r="T1122" s="52" t="str">
        <f t="shared" si="296"/>
        <v/>
      </c>
      <c r="U1122" s="52" t="str">
        <f t="shared" si="291"/>
        <v/>
      </c>
      <c r="V1122" s="52" t="str">
        <f t="shared" si="297"/>
        <v/>
      </c>
      <c r="W1122" s="1578"/>
      <c r="X1122" s="52" t="str">
        <f t="shared" si="288"/>
        <v/>
      </c>
      <c r="Y1122" s="52" t="str">
        <f t="shared" si="294"/>
        <v/>
      </c>
      <c r="AA1122" s="52" t="str">
        <f t="shared" si="277"/>
        <v/>
      </c>
    </row>
    <row r="1123" spans="2:27" ht="26">
      <c r="B1123" s="1532" t="str">
        <f t="shared" si="290"/>
        <v>Soothe</v>
      </c>
      <c r="C1123" s="1795"/>
      <c r="D1123" s="920"/>
      <c r="E1123" s="61" t="s">
        <v>3393</v>
      </c>
      <c r="F1123" s="61"/>
      <c r="G1123" s="61"/>
      <c r="H1123" s="61"/>
      <c r="I1123" s="61"/>
      <c r="J1123" s="1687" t="s">
        <v>5367</v>
      </c>
      <c r="K1123" s="63" t="str">
        <f t="shared" ca="1" si="289"/>
        <v>No</v>
      </c>
      <c r="L1123" s="76"/>
      <c r="M1123" s="63">
        <f t="shared" si="292"/>
        <v>0</v>
      </c>
      <c r="N1123" s="63" t="s">
        <v>3310</v>
      </c>
      <c r="O1123" s="64"/>
      <c r="P1123" s="660" t="str">
        <f t="shared" si="287"/>
        <v/>
      </c>
      <c r="Q1123" s="52" t="str">
        <f t="shared" ca="1" si="293"/>
        <v>No</v>
      </c>
      <c r="R1123" s="1574" t="str">
        <f t="shared" si="298"/>
        <v/>
      </c>
      <c r="S1123" s="52" t="str">
        <f t="shared" si="295"/>
        <v/>
      </c>
      <c r="T1123" s="52" t="str">
        <f t="shared" si="296"/>
        <v/>
      </c>
      <c r="U1123" s="52" t="str">
        <f t="shared" si="291"/>
        <v/>
      </c>
      <c r="V1123" s="52" t="str">
        <f t="shared" si="297"/>
        <v/>
      </c>
      <c r="W1123" s="1578"/>
      <c r="X1123" s="52" t="str">
        <f t="shared" si="288"/>
        <v/>
      </c>
      <c r="Y1123" s="52" t="str">
        <f t="shared" si="294"/>
        <v/>
      </c>
      <c r="AA1123" s="52" t="str">
        <f t="shared" si="277"/>
        <v/>
      </c>
    </row>
    <row r="1124" spans="2:27">
      <c r="B1124" s="1532" t="str">
        <f t="shared" si="290"/>
        <v>Apprentice Boon</v>
      </c>
      <c r="C1124" s="1795"/>
      <c r="D1124" s="920" t="s">
        <v>4426</v>
      </c>
      <c r="E1124" s="61" t="s">
        <v>4435</v>
      </c>
      <c r="F1124" s="61"/>
      <c r="G1124" s="61"/>
      <c r="H1124" s="61"/>
      <c r="I1124" s="61"/>
      <c r="J1124" s="1687" t="s">
        <v>5924</v>
      </c>
      <c r="K1124" s="63" t="str">
        <f t="shared" ref="K1124:K1132" ca="1" si="299">IF(Q1124="Yes","Yes","No")</f>
        <v>No</v>
      </c>
      <c r="L1124" s="76"/>
      <c r="M1124" s="63">
        <f t="shared" ref="M1124:M1133" si="300">IF(L1124&lt;&gt;"",1,0)</f>
        <v>0</v>
      </c>
      <c r="N1124" s="63" t="s">
        <v>4423</v>
      </c>
      <c r="O1124" s="64"/>
      <c r="P1124" s="660" t="str">
        <f t="shared" si="287"/>
        <v/>
      </c>
      <c r="Q1124" s="52" t="str">
        <f t="shared" ca="1" si="293"/>
        <v>No</v>
      </c>
      <c r="R1124" s="1574" t="str">
        <f t="shared" si="298"/>
        <v/>
      </c>
      <c r="S1124" s="52" t="str">
        <f t="shared" si="295"/>
        <v/>
      </c>
      <c r="T1124" s="52" t="str">
        <f t="shared" si="296"/>
        <v/>
      </c>
      <c r="U1124" s="52" t="str">
        <f t="shared" si="291"/>
        <v/>
      </c>
      <c r="V1124" s="52" t="str">
        <f t="shared" si="297"/>
        <v/>
      </c>
      <c r="W1124" s="1578"/>
      <c r="X1124" s="52" t="str">
        <f t="shared" si="288"/>
        <v/>
      </c>
      <c r="Y1124" s="52" t="str">
        <f t="shared" si="294"/>
        <v/>
      </c>
      <c r="AA1124" s="52" t="str">
        <f t="shared" si="277"/>
        <v/>
      </c>
    </row>
    <row r="1125" spans="2:27">
      <c r="B1125" s="1532" t="str">
        <f t="shared" si="290"/>
        <v>Share Force Secret</v>
      </c>
      <c r="C1125" s="1795"/>
      <c r="D1125" s="920"/>
      <c r="E1125" s="61" t="s">
        <v>4436</v>
      </c>
      <c r="F1125" s="61"/>
      <c r="G1125" s="61"/>
      <c r="H1125" s="61"/>
      <c r="I1125" s="61"/>
      <c r="J1125" s="1687" t="s">
        <v>5921</v>
      </c>
      <c r="K1125" s="63" t="str">
        <f t="shared" ca="1" si="299"/>
        <v>No</v>
      </c>
      <c r="L1125" s="76"/>
      <c r="M1125" s="63">
        <f t="shared" si="300"/>
        <v>0</v>
      </c>
      <c r="N1125" s="63" t="s">
        <v>4423</v>
      </c>
      <c r="O1125" s="64"/>
      <c r="P1125" s="660" t="str">
        <f t="shared" si="287"/>
        <v/>
      </c>
      <c r="Q1125" s="52" t="str">
        <f t="shared" ca="1" si="293"/>
        <v>No</v>
      </c>
      <c r="R1125" s="1574" t="str">
        <f t="shared" si="298"/>
        <v/>
      </c>
      <c r="S1125" s="52" t="str">
        <f t="shared" si="295"/>
        <v/>
      </c>
      <c r="T1125" s="52" t="str">
        <f t="shared" si="296"/>
        <v/>
      </c>
      <c r="U1125" s="52" t="str">
        <f t="shared" si="291"/>
        <v/>
      </c>
      <c r="V1125" s="52" t="str">
        <f t="shared" si="297"/>
        <v/>
      </c>
      <c r="W1125" s="1578"/>
      <c r="X1125" s="52" t="str">
        <f t="shared" si="288"/>
        <v/>
      </c>
      <c r="Y1125" s="52" t="str">
        <f t="shared" si="294"/>
        <v/>
      </c>
      <c r="AA1125" s="52" t="str">
        <f t="shared" ref="AA1125:AA1198" si="301">IF(U1125&lt;&gt;"",IF(Z1125="Defenses",U1125&amp;IF(AA1126&lt;&gt;"",", ",""),"")&amp;AA1126,AA1126)</f>
        <v/>
      </c>
    </row>
    <row r="1126" spans="2:27">
      <c r="B1126" s="1532" t="str">
        <f t="shared" si="290"/>
        <v>Share Force Technique</v>
      </c>
      <c r="C1126" s="1795"/>
      <c r="D1126" s="920"/>
      <c r="E1126" s="61" t="s">
        <v>4437</v>
      </c>
      <c r="F1126" s="61"/>
      <c r="G1126" s="61"/>
      <c r="H1126" s="61"/>
      <c r="I1126" s="61"/>
      <c r="J1126" s="1687" t="s">
        <v>5922</v>
      </c>
      <c r="K1126" s="63" t="str">
        <f t="shared" ca="1" si="299"/>
        <v>No</v>
      </c>
      <c r="L1126" s="76"/>
      <c r="M1126" s="63">
        <f t="shared" si="300"/>
        <v>0</v>
      </c>
      <c r="N1126" s="63" t="s">
        <v>4439</v>
      </c>
      <c r="O1126" s="64"/>
      <c r="P1126" s="660" t="str">
        <f t="shared" si="287"/>
        <v/>
      </c>
      <c r="Q1126" s="52" t="str">
        <f t="shared" ca="1" si="293"/>
        <v>No</v>
      </c>
      <c r="R1126" s="1574" t="str">
        <f t="shared" si="298"/>
        <v/>
      </c>
      <c r="S1126" s="52" t="str">
        <f t="shared" si="295"/>
        <v/>
      </c>
      <c r="T1126" s="52" t="str">
        <f t="shared" si="296"/>
        <v/>
      </c>
      <c r="U1126" s="52" t="str">
        <f t="shared" si="291"/>
        <v/>
      </c>
      <c r="V1126" s="52" t="str">
        <f t="shared" si="297"/>
        <v/>
      </c>
      <c r="W1126" s="1578"/>
      <c r="X1126" s="52" t="str">
        <f t="shared" si="288"/>
        <v/>
      </c>
      <c r="Y1126" s="52" t="str">
        <f t="shared" si="294"/>
        <v/>
      </c>
      <c r="AA1126" s="52" t="str">
        <f t="shared" si="301"/>
        <v/>
      </c>
    </row>
    <row r="1127" spans="2:27">
      <c r="B1127" s="1532" t="str">
        <f t="shared" si="290"/>
        <v>Share Talent</v>
      </c>
      <c r="C1127" s="1795"/>
      <c r="D1127" s="920"/>
      <c r="E1127" s="61" t="s">
        <v>454</v>
      </c>
      <c r="F1127" s="61"/>
      <c r="G1127" s="61"/>
      <c r="H1127" s="61"/>
      <c r="I1127" s="61"/>
      <c r="J1127" s="1687" t="s">
        <v>5923</v>
      </c>
      <c r="K1127" s="63" t="str">
        <f t="shared" ca="1" si="299"/>
        <v>No</v>
      </c>
      <c r="L1127" s="76"/>
      <c r="M1127" s="63">
        <f t="shared" si="300"/>
        <v>0</v>
      </c>
      <c r="N1127" s="63" t="s">
        <v>4439</v>
      </c>
      <c r="O1127" s="64"/>
      <c r="P1127" s="660" t="str">
        <f t="shared" si="287"/>
        <v/>
      </c>
      <c r="Q1127" s="52" t="str">
        <f t="shared" ca="1" si="293"/>
        <v>No</v>
      </c>
      <c r="R1127" s="1574" t="str">
        <f t="shared" si="298"/>
        <v/>
      </c>
      <c r="S1127" s="52" t="str">
        <f t="shared" si="295"/>
        <v/>
      </c>
      <c r="T1127" s="52" t="str">
        <f t="shared" si="296"/>
        <v/>
      </c>
      <c r="U1127" s="52" t="str">
        <f t="shared" si="291"/>
        <v/>
      </c>
      <c r="V1127" s="52" t="str">
        <f t="shared" si="297"/>
        <v/>
      </c>
      <c r="W1127" s="1578"/>
      <c r="X1127" s="52" t="str">
        <f t="shared" si="288"/>
        <v/>
      </c>
      <c r="Y1127" s="52" t="str">
        <f t="shared" si="294"/>
        <v/>
      </c>
      <c r="AA1127" s="52" t="str">
        <f t="shared" si="301"/>
        <v/>
      </c>
    </row>
    <row r="1128" spans="2:27" ht="26">
      <c r="B1128" s="1532" t="str">
        <f t="shared" si="290"/>
        <v>Transfer Power</v>
      </c>
      <c r="C1128" s="1795"/>
      <c r="D1128" s="920"/>
      <c r="E1128" s="61" t="s">
        <v>4438</v>
      </c>
      <c r="F1128" s="61"/>
      <c r="G1128" s="61"/>
      <c r="H1128" s="61"/>
      <c r="I1128" s="61"/>
      <c r="J1128" s="1687" t="s">
        <v>5925</v>
      </c>
      <c r="K1128" s="63" t="str">
        <f t="shared" ca="1" si="299"/>
        <v>No</v>
      </c>
      <c r="L1128" s="76"/>
      <c r="M1128" s="63">
        <f t="shared" si="300"/>
        <v>0</v>
      </c>
      <c r="N1128" s="63" t="s">
        <v>4439</v>
      </c>
      <c r="O1128" s="64"/>
      <c r="P1128" s="660" t="str">
        <f t="shared" si="287"/>
        <v/>
      </c>
      <c r="Q1128" s="52" t="str">
        <f t="shared" ca="1" si="293"/>
        <v>No</v>
      </c>
      <c r="R1128" s="1574" t="str">
        <f t="shared" si="298"/>
        <v/>
      </c>
      <c r="S1128" s="52" t="str">
        <f t="shared" si="295"/>
        <v/>
      </c>
      <c r="T1128" s="52" t="str">
        <f t="shared" si="296"/>
        <v/>
      </c>
      <c r="U1128" s="52" t="str">
        <f t="shared" si="291"/>
        <v/>
      </c>
      <c r="V1128" s="52" t="str">
        <f t="shared" si="297"/>
        <v/>
      </c>
      <c r="W1128" s="1578"/>
      <c r="X1128" s="52" t="str">
        <f t="shared" si="288"/>
        <v/>
      </c>
      <c r="Y1128" s="52" t="str">
        <f t="shared" si="294"/>
        <v/>
      </c>
      <c r="AA1128" s="52" t="str">
        <f t="shared" si="301"/>
        <v/>
      </c>
    </row>
    <row r="1129" spans="2:27" ht="65">
      <c r="B1129" s="1532" t="str">
        <f t="shared" si="290"/>
        <v>Echoes in the Force</v>
      </c>
      <c r="C1129" s="1795"/>
      <c r="D1129" s="920" t="s">
        <v>4428</v>
      </c>
      <c r="E1129" s="61" t="s">
        <v>4441</v>
      </c>
      <c r="F1129" s="61"/>
      <c r="G1129" s="61"/>
      <c r="H1129" s="61"/>
      <c r="I1129" s="61"/>
      <c r="J1129" s="1687" t="s">
        <v>5969</v>
      </c>
      <c r="K1129" s="63" t="str">
        <f t="shared" ca="1" si="299"/>
        <v>No</v>
      </c>
      <c r="L1129" s="76"/>
      <c r="M1129" s="63">
        <f t="shared" si="300"/>
        <v>0</v>
      </c>
      <c r="N1129" s="63" t="s">
        <v>4439</v>
      </c>
      <c r="O1129" s="64"/>
      <c r="P1129" s="660" t="str">
        <f t="shared" si="287"/>
        <v/>
      </c>
      <c r="Q1129" s="52" t="str">
        <f t="shared" ca="1" si="293"/>
        <v>No</v>
      </c>
      <c r="R1129" s="1574" t="str">
        <f t="shared" si="298"/>
        <v/>
      </c>
      <c r="S1129" s="52" t="str">
        <f t="shared" si="295"/>
        <v/>
      </c>
      <c r="T1129" s="52" t="str">
        <f t="shared" si="296"/>
        <v/>
      </c>
      <c r="U1129" s="52" t="str">
        <f t="shared" si="291"/>
        <v/>
      </c>
      <c r="V1129" s="52" t="str">
        <f t="shared" si="297"/>
        <v/>
      </c>
      <c r="W1129" s="1578"/>
      <c r="X1129" s="52" t="str">
        <f t="shared" si="288"/>
        <v/>
      </c>
      <c r="Y1129" s="52" t="str">
        <f t="shared" si="294"/>
        <v/>
      </c>
      <c r="AA1129" s="52" t="str">
        <f t="shared" si="301"/>
        <v/>
      </c>
    </row>
    <row r="1130" spans="2:27" ht="52">
      <c r="B1130" s="1532" t="str">
        <f t="shared" ref="B1130:B1161" si="302">IF(E1130&lt;&gt;"",E1130,IF(F1130&lt;&gt;"",F1130,IF(G1130&lt;&gt;"",G1130,IF(H1130&lt;&gt;"",H1130))))</f>
        <v>Jedi Quarry</v>
      </c>
      <c r="C1130" s="1795"/>
      <c r="D1130" s="920"/>
      <c r="E1130" s="61" t="s">
        <v>4442</v>
      </c>
      <c r="F1130" s="61"/>
      <c r="G1130" s="61"/>
      <c r="H1130" s="61"/>
      <c r="I1130" s="61"/>
      <c r="J1130" s="1687" t="s">
        <v>5970</v>
      </c>
      <c r="K1130" s="63" t="str">
        <f t="shared" ca="1" si="299"/>
        <v>No</v>
      </c>
      <c r="L1130" s="76"/>
      <c r="M1130" s="63">
        <f t="shared" si="300"/>
        <v>0</v>
      </c>
      <c r="N1130" s="63" t="s">
        <v>4439</v>
      </c>
      <c r="O1130" s="64"/>
      <c r="P1130" s="660" t="str">
        <f t="shared" si="287"/>
        <v/>
      </c>
      <c r="Q1130" s="52" t="str">
        <f t="shared" ca="1" si="293"/>
        <v>No</v>
      </c>
      <c r="R1130" s="1574" t="str">
        <f t="shared" si="298"/>
        <v/>
      </c>
      <c r="S1130" s="52" t="str">
        <f t="shared" si="295"/>
        <v/>
      </c>
      <c r="T1130" s="52" t="str">
        <f t="shared" si="296"/>
        <v/>
      </c>
      <c r="U1130" s="52" t="str">
        <f t="shared" si="291"/>
        <v/>
      </c>
      <c r="V1130" s="52" t="str">
        <f t="shared" si="297"/>
        <v/>
      </c>
      <c r="W1130" s="1578"/>
      <c r="X1130" s="52" t="str">
        <f t="shared" si="288"/>
        <v/>
      </c>
      <c r="Y1130" s="52" t="str">
        <f t="shared" si="294"/>
        <v/>
      </c>
      <c r="AA1130" s="52" t="str">
        <f t="shared" si="301"/>
        <v/>
      </c>
    </row>
    <row r="1131" spans="2:27" ht="26">
      <c r="B1131" s="1532" t="str">
        <f t="shared" si="302"/>
        <v>Prepared for Danger</v>
      </c>
      <c r="C1131" s="1795"/>
      <c r="D1131" s="920"/>
      <c r="E1131" s="61" t="s">
        <v>4443</v>
      </c>
      <c r="F1131" s="61"/>
      <c r="G1131" s="61"/>
      <c r="H1131" s="61"/>
      <c r="I1131" s="61"/>
      <c r="J1131" s="1687" t="s">
        <v>5971</v>
      </c>
      <c r="K1131" s="63" t="str">
        <f t="shared" ca="1" si="299"/>
        <v>No</v>
      </c>
      <c r="L1131" s="76"/>
      <c r="M1131" s="63">
        <f t="shared" si="300"/>
        <v>0</v>
      </c>
      <c r="N1131" s="63" t="s">
        <v>4439</v>
      </c>
      <c r="O1131" s="64"/>
      <c r="P1131" s="660" t="str">
        <f t="shared" si="287"/>
        <v/>
      </c>
      <c r="Q1131" s="52" t="str">
        <f t="shared" ca="1" si="293"/>
        <v>No</v>
      </c>
      <c r="R1131" s="1574" t="str">
        <f t="shared" si="298"/>
        <v/>
      </c>
      <c r="S1131" s="52" t="str">
        <f t="shared" si="295"/>
        <v/>
      </c>
      <c r="T1131" s="52" t="str">
        <f t="shared" si="296"/>
        <v/>
      </c>
      <c r="U1131" s="52" t="str">
        <f t="shared" si="291"/>
        <v/>
      </c>
      <c r="V1131" s="52" t="str">
        <f t="shared" si="297"/>
        <v/>
      </c>
      <c r="W1131" s="1578"/>
      <c r="X1131" s="52" t="str">
        <f t="shared" si="288"/>
        <v/>
      </c>
      <c r="Y1131" s="52" t="str">
        <f t="shared" si="294"/>
        <v/>
      </c>
      <c r="AA1131" s="52" t="str">
        <f t="shared" si="301"/>
        <v/>
      </c>
    </row>
    <row r="1132" spans="2:27" ht="26">
      <c r="B1132" s="1532" t="str">
        <f t="shared" si="302"/>
        <v>Sense Deception</v>
      </c>
      <c r="C1132" s="1795"/>
      <c r="D1132" s="920"/>
      <c r="E1132" s="61" t="s">
        <v>4444</v>
      </c>
      <c r="F1132" s="61"/>
      <c r="G1132" s="61"/>
      <c r="H1132" s="61"/>
      <c r="I1132" s="61"/>
      <c r="J1132" s="1687" t="s">
        <v>5972</v>
      </c>
      <c r="K1132" s="63" t="str">
        <f t="shared" ca="1" si="299"/>
        <v>No</v>
      </c>
      <c r="L1132" s="76"/>
      <c r="M1132" s="63">
        <f t="shared" si="300"/>
        <v>0</v>
      </c>
      <c r="N1132" s="63" t="s">
        <v>4439</v>
      </c>
      <c r="O1132" s="64"/>
      <c r="P1132" s="660" t="str">
        <f t="shared" si="287"/>
        <v/>
      </c>
      <c r="Q1132" s="52" t="str">
        <f t="shared" ca="1" si="293"/>
        <v>No</v>
      </c>
      <c r="R1132" s="1574" t="str">
        <f t="shared" si="298"/>
        <v/>
      </c>
      <c r="S1132" s="52" t="str">
        <f t="shared" si="295"/>
        <v/>
      </c>
      <c r="T1132" s="52" t="str">
        <f t="shared" si="296"/>
        <v/>
      </c>
      <c r="U1132" s="52" t="str">
        <f t="shared" si="291"/>
        <v/>
      </c>
      <c r="V1132" s="52" t="str">
        <f t="shared" si="297"/>
        <v/>
      </c>
      <c r="W1132" s="1578"/>
      <c r="X1132" s="52" t="str">
        <f t="shared" si="288"/>
        <v/>
      </c>
      <c r="Y1132" s="52" t="str">
        <f t="shared" si="294"/>
        <v/>
      </c>
      <c r="AA1132" s="52" t="str">
        <f t="shared" si="301"/>
        <v/>
      </c>
    </row>
    <row r="1133" spans="2:27" ht="26">
      <c r="B1133" s="1532" t="str">
        <f t="shared" si="302"/>
        <v>Unclouded Judgement</v>
      </c>
      <c r="C1133" s="1795"/>
      <c r="D1133" s="920"/>
      <c r="E1133" s="61"/>
      <c r="F1133" s="61" t="s">
        <v>4445</v>
      </c>
      <c r="G1133" s="61"/>
      <c r="H1133" s="61"/>
      <c r="I1133" s="61"/>
      <c r="J1133" s="1687" t="s">
        <v>5973</v>
      </c>
      <c r="K1133" s="63" t="str">
        <f ca="1">IF(AND(Q1133="Yes",L1132&lt;&gt;""),"Yes","No")</f>
        <v>No</v>
      </c>
      <c r="L1133" s="76"/>
      <c r="M1133" s="63">
        <f t="shared" si="300"/>
        <v>0</v>
      </c>
      <c r="N1133" s="63" t="s">
        <v>4439</v>
      </c>
      <c r="O1133" s="64"/>
      <c r="P1133" s="660" t="str">
        <f t="shared" si="287"/>
        <v/>
      </c>
      <c r="Q1133" s="52" t="str">
        <f t="shared" ca="1" si="293"/>
        <v>No</v>
      </c>
      <c r="R1133" s="1574" t="str">
        <f t="shared" si="298"/>
        <v/>
      </c>
      <c r="S1133" s="52" t="str">
        <f t="shared" si="295"/>
        <v/>
      </c>
      <c r="T1133" s="52" t="str">
        <f t="shared" si="296"/>
        <v/>
      </c>
      <c r="U1133" s="52" t="str">
        <f t="shared" si="291"/>
        <v/>
      </c>
      <c r="V1133" s="52" t="str">
        <f t="shared" si="297"/>
        <v/>
      </c>
      <c r="W1133" s="1578"/>
      <c r="X1133" s="52" t="str">
        <f t="shared" si="288"/>
        <v/>
      </c>
      <c r="Y1133" s="52" t="str">
        <f t="shared" si="294"/>
        <v/>
      </c>
      <c r="AA1133" s="52" t="str">
        <f t="shared" si="301"/>
        <v/>
      </c>
    </row>
    <row r="1134" spans="2:27">
      <c r="B1134" s="1532" t="str">
        <f t="shared" si="302"/>
        <v>Cover Your Tracks</v>
      </c>
      <c r="C1134" s="1795"/>
      <c r="D1134" s="920" t="s">
        <v>3394</v>
      </c>
      <c r="E1134" s="61" t="s">
        <v>3395</v>
      </c>
      <c r="F1134" s="61"/>
      <c r="G1134" s="61"/>
      <c r="H1134" s="61"/>
      <c r="I1134" s="61"/>
      <c r="J1134" s="1687" t="s">
        <v>5368</v>
      </c>
      <c r="K1134" s="63" t="str">
        <f t="shared" ca="1" si="289"/>
        <v>No</v>
      </c>
      <c r="L1134" s="76"/>
      <c r="M1134" s="63">
        <f t="shared" si="292"/>
        <v>0</v>
      </c>
      <c r="N1134" s="63" t="s">
        <v>3235</v>
      </c>
      <c r="O1134" s="64"/>
      <c r="P1134" s="660" t="str">
        <f t="shared" si="287"/>
        <v/>
      </c>
      <c r="Q1134" s="52" t="str">
        <f t="shared" ca="1" si="293"/>
        <v>No</v>
      </c>
      <c r="R1134" s="1574" t="str">
        <f t="shared" si="298"/>
        <v/>
      </c>
      <c r="S1134" s="52" t="str">
        <f t="shared" si="295"/>
        <v/>
      </c>
      <c r="T1134" s="52" t="str">
        <f t="shared" si="296"/>
        <v/>
      </c>
      <c r="U1134" s="52" t="str">
        <f t="shared" si="291"/>
        <v/>
      </c>
      <c r="V1134" s="52" t="str">
        <f t="shared" si="297"/>
        <v/>
      </c>
      <c r="W1134" s="1578"/>
      <c r="X1134" s="52" t="str">
        <f t="shared" si="288"/>
        <v/>
      </c>
      <c r="Y1134" s="52" t="str">
        <f t="shared" si="294"/>
        <v/>
      </c>
      <c r="AA1134" s="52" t="str">
        <f t="shared" si="301"/>
        <v/>
      </c>
    </row>
    <row r="1135" spans="2:27">
      <c r="B1135" s="1532" t="str">
        <f t="shared" si="302"/>
        <v>Difficult to Sense</v>
      </c>
      <c r="C1135" s="1795"/>
      <c r="D1135" s="920"/>
      <c r="E1135" s="61" t="s">
        <v>3396</v>
      </c>
      <c r="F1135" s="61"/>
      <c r="G1135" s="61"/>
      <c r="H1135" s="61"/>
      <c r="I1135" s="61"/>
      <c r="J1135" s="1687" t="s">
        <v>5369</v>
      </c>
      <c r="K1135" s="63" t="str">
        <f t="shared" ca="1" si="289"/>
        <v>No</v>
      </c>
      <c r="L1135" s="76"/>
      <c r="M1135" s="63">
        <f t="shared" si="292"/>
        <v>0</v>
      </c>
      <c r="N1135" s="63" t="s">
        <v>3235</v>
      </c>
      <c r="O1135" s="64"/>
      <c r="P1135" s="660" t="str">
        <f t="shared" si="287"/>
        <v/>
      </c>
      <c r="Q1135" s="52" t="str">
        <f t="shared" ca="1" si="293"/>
        <v>No</v>
      </c>
      <c r="R1135" s="1574" t="str">
        <f t="shared" si="298"/>
        <v/>
      </c>
      <c r="S1135" s="52" t="str">
        <f t="shared" si="295"/>
        <v/>
      </c>
      <c r="T1135" s="52" t="str">
        <f t="shared" si="296"/>
        <v/>
      </c>
      <c r="U1135" s="52" t="str">
        <f t="shared" si="291"/>
        <v/>
      </c>
      <c r="V1135" s="52" t="str">
        <f t="shared" si="297"/>
        <v/>
      </c>
      <c r="W1135" s="1578"/>
      <c r="X1135" s="52" t="str">
        <f t="shared" si="288"/>
        <v/>
      </c>
      <c r="Y1135" s="52" t="str">
        <f t="shared" si="294"/>
        <v/>
      </c>
      <c r="AA1135" s="52" t="str">
        <f t="shared" si="301"/>
        <v/>
      </c>
    </row>
    <row r="1136" spans="2:27">
      <c r="B1136" s="1532" t="str">
        <f t="shared" si="302"/>
        <v>Force Veil</v>
      </c>
      <c r="C1136" s="1795"/>
      <c r="D1136" s="920"/>
      <c r="E1136" s="61"/>
      <c r="F1136" s="61" t="s">
        <v>3397</v>
      </c>
      <c r="G1136" s="61"/>
      <c r="H1136" s="61"/>
      <c r="I1136" s="61"/>
      <c r="J1136" s="1687" t="s">
        <v>5370</v>
      </c>
      <c r="K1136" s="63" t="str">
        <f ca="1">IF(AND(Q1136="Yes",L1135&lt;&gt;""),"Yes","No")</f>
        <v>No</v>
      </c>
      <c r="L1136" s="76"/>
      <c r="M1136" s="63">
        <f t="shared" si="292"/>
        <v>0</v>
      </c>
      <c r="N1136" s="63" t="s">
        <v>3235</v>
      </c>
      <c r="O1136" s="64"/>
      <c r="P1136" s="660" t="str">
        <f t="shared" si="287"/>
        <v/>
      </c>
      <c r="Q1136" s="52" t="str">
        <f t="shared" ca="1" si="293"/>
        <v>No</v>
      </c>
      <c r="R1136" s="1574" t="str">
        <f t="shared" si="298"/>
        <v/>
      </c>
      <c r="S1136" s="52" t="str">
        <f t="shared" si="295"/>
        <v/>
      </c>
      <c r="T1136" s="52" t="str">
        <f t="shared" si="296"/>
        <v/>
      </c>
      <c r="U1136" s="52" t="str">
        <f t="shared" si="291"/>
        <v/>
      </c>
      <c r="V1136" s="52" t="str">
        <f t="shared" si="297"/>
        <v/>
      </c>
      <c r="W1136" s="1578"/>
      <c r="X1136" s="52" t="str">
        <f t="shared" si="288"/>
        <v/>
      </c>
      <c r="Y1136" s="52" t="str">
        <f t="shared" si="294"/>
        <v/>
      </c>
      <c r="AA1136" s="52" t="str">
        <f t="shared" si="301"/>
        <v/>
      </c>
    </row>
    <row r="1137" spans="2:27">
      <c r="B1137" s="1532" t="str">
        <f t="shared" si="302"/>
        <v>Jedi Network</v>
      </c>
      <c r="C1137" s="1795"/>
      <c r="D1137" s="920"/>
      <c r="E1137" s="61" t="s">
        <v>3398</v>
      </c>
      <c r="F1137" s="61"/>
      <c r="G1137" s="61"/>
      <c r="H1137" s="61"/>
      <c r="I1137" s="61"/>
      <c r="J1137" s="1687" t="s">
        <v>5371</v>
      </c>
      <c r="K1137" s="63" t="str">
        <f t="shared" ca="1" si="289"/>
        <v>No</v>
      </c>
      <c r="L1137" s="76"/>
      <c r="M1137" s="63">
        <f t="shared" si="292"/>
        <v>0</v>
      </c>
      <c r="N1137" s="63" t="s">
        <v>3399</v>
      </c>
      <c r="O1137" s="64"/>
      <c r="P1137" s="660" t="str">
        <f t="shared" si="287"/>
        <v/>
      </c>
      <c r="Q1137" s="52" t="str">
        <f t="shared" ca="1" si="293"/>
        <v>No</v>
      </c>
      <c r="R1137" s="1574" t="str">
        <f t="shared" si="298"/>
        <v/>
      </c>
      <c r="S1137" s="52" t="str">
        <f t="shared" si="295"/>
        <v/>
      </c>
      <c r="T1137" s="52" t="str">
        <f t="shared" si="296"/>
        <v/>
      </c>
      <c r="U1137" s="52" t="str">
        <f t="shared" si="291"/>
        <v/>
      </c>
      <c r="V1137" s="52" t="str">
        <f t="shared" si="297"/>
        <v/>
      </c>
      <c r="W1137" s="1578"/>
      <c r="X1137" s="52" t="str">
        <f t="shared" si="288"/>
        <v/>
      </c>
      <c r="Y1137" s="52" t="str">
        <f t="shared" si="294"/>
        <v/>
      </c>
      <c r="AA1137" s="52" t="str">
        <f t="shared" si="301"/>
        <v/>
      </c>
    </row>
    <row r="1138" spans="2:27" ht="39">
      <c r="B1138" s="1532" t="str">
        <f t="shared" si="302"/>
        <v>Dark Deception</v>
      </c>
      <c r="C1138" s="1795"/>
      <c r="D1138" s="920" t="s">
        <v>860</v>
      </c>
      <c r="E1138" s="61" t="s">
        <v>3400</v>
      </c>
      <c r="F1138" s="61"/>
      <c r="G1138" s="61"/>
      <c r="H1138" s="61"/>
      <c r="I1138" s="61"/>
      <c r="J1138" s="1687" t="s">
        <v>5372</v>
      </c>
      <c r="K1138" s="63" t="str">
        <f t="shared" ca="1" si="289"/>
        <v>No</v>
      </c>
      <c r="L1138" s="76"/>
      <c r="M1138" s="63">
        <f t="shared" si="292"/>
        <v>0</v>
      </c>
      <c r="N1138" s="63" t="s">
        <v>3317</v>
      </c>
      <c r="O1138" s="64"/>
      <c r="P1138" s="660" t="str">
        <f t="shared" si="287"/>
        <v/>
      </c>
      <c r="Q1138" s="52" t="str">
        <f t="shared" ca="1" si="293"/>
        <v>No</v>
      </c>
      <c r="R1138" s="1574" t="str">
        <f t="shared" si="298"/>
        <v/>
      </c>
      <c r="S1138" s="52" t="str">
        <f t="shared" si="295"/>
        <v/>
      </c>
      <c r="T1138" s="52" t="str">
        <f t="shared" si="296"/>
        <v/>
      </c>
      <c r="U1138" s="52" t="str">
        <f t="shared" si="291"/>
        <v/>
      </c>
      <c r="V1138" s="52" t="str">
        <f t="shared" si="297"/>
        <v/>
      </c>
      <c r="W1138" s="1578"/>
      <c r="X1138" s="52" t="str">
        <f t="shared" si="288"/>
        <v/>
      </c>
      <c r="Y1138" s="52" t="str">
        <f t="shared" si="294"/>
        <v/>
      </c>
      <c r="AA1138" s="52" t="str">
        <f t="shared" si="301"/>
        <v/>
      </c>
    </row>
    <row r="1139" spans="2:27">
      <c r="B1139" s="1532" t="str">
        <f t="shared" si="302"/>
        <v>Taint of the Dark Side</v>
      </c>
      <c r="C1139" s="1795"/>
      <c r="D1139" s="920"/>
      <c r="E1139" s="61"/>
      <c r="F1139" s="61" t="s">
        <v>3401</v>
      </c>
      <c r="G1139" s="61"/>
      <c r="H1139" s="61"/>
      <c r="I1139" s="61"/>
      <c r="J1139" s="1687" t="s">
        <v>5373</v>
      </c>
      <c r="K1139" s="63" t="str">
        <f ca="1">IF(AND(Q1138="Yes",L1138&lt;&gt;""),"Yes","No")</f>
        <v>No</v>
      </c>
      <c r="L1139" s="76"/>
      <c r="M1139" s="63">
        <f>IF(L1139&lt;&gt;"",L1139,0)</f>
        <v>0</v>
      </c>
      <c r="N1139" s="63" t="s">
        <v>3317</v>
      </c>
      <c r="O1139" s="64"/>
      <c r="P1139" s="660" t="str">
        <f t="shared" si="287"/>
        <v/>
      </c>
      <c r="Q1139" s="52" t="str">
        <f t="shared" ca="1" si="293"/>
        <v>No</v>
      </c>
      <c r="R1139" s="1574" t="str">
        <f t="shared" si="298"/>
        <v/>
      </c>
      <c r="S1139" s="52" t="str">
        <f t="shared" si="295"/>
        <v/>
      </c>
      <c r="T1139" s="52" t="str">
        <f t="shared" si="296"/>
        <v/>
      </c>
      <c r="U1139" s="52" t="str">
        <f t="shared" si="291"/>
        <v/>
      </c>
      <c r="V1139" s="52" t="str">
        <f t="shared" si="297"/>
        <v/>
      </c>
      <c r="W1139" s="1578"/>
      <c r="X1139" s="52" t="str">
        <f t="shared" si="288"/>
        <v/>
      </c>
      <c r="Y1139" s="52" t="str">
        <f t="shared" si="294"/>
        <v/>
      </c>
      <c r="AA1139" s="52" t="str">
        <f t="shared" si="301"/>
        <v/>
      </c>
    </row>
    <row r="1140" spans="2:27">
      <c r="B1140" s="1532" t="str">
        <f t="shared" si="302"/>
        <v>Improved Sentinel Strike</v>
      </c>
      <c r="C1140" s="1795"/>
      <c r="D1140" s="920"/>
      <c r="E1140" s="61" t="s">
        <v>3402</v>
      </c>
      <c r="F1140" s="61"/>
      <c r="G1140" s="61"/>
      <c r="H1140" s="61"/>
      <c r="I1140" s="61"/>
      <c r="J1140" s="1687" t="s">
        <v>5374</v>
      </c>
      <c r="K1140" s="63" t="str">
        <f t="shared" ca="1" si="289"/>
        <v>No</v>
      </c>
      <c r="L1140" s="76"/>
      <c r="M1140" s="63">
        <f t="shared" si="292"/>
        <v>0</v>
      </c>
      <c r="N1140" s="63" t="s">
        <v>3317</v>
      </c>
      <c r="O1140" s="64"/>
      <c r="P1140" s="660" t="str">
        <f t="shared" ref="P1140:P1203" si="303">IF(ShowTalentTrees,IF(D1140&lt;&gt;"",D1140,P1139),"")</f>
        <v/>
      </c>
      <c r="Q1140" s="52" t="str">
        <f t="shared" ca="1" si="293"/>
        <v>No</v>
      </c>
      <c r="R1140" s="1574" t="str">
        <f t="shared" si="298"/>
        <v/>
      </c>
      <c r="S1140" s="52" t="str">
        <f t="shared" si="295"/>
        <v/>
      </c>
      <c r="T1140" s="52" t="str">
        <f t="shared" si="296"/>
        <v/>
      </c>
      <c r="U1140" s="52" t="str">
        <f t="shared" si="291"/>
        <v/>
      </c>
      <c r="V1140" s="52" t="str">
        <f t="shared" si="297"/>
        <v/>
      </c>
      <c r="W1140" s="1578"/>
      <c r="X1140" s="52" t="str">
        <f t="shared" si="288"/>
        <v/>
      </c>
      <c r="Y1140" s="52" t="str">
        <f t="shared" si="294"/>
        <v/>
      </c>
      <c r="AA1140" s="52" t="str">
        <f t="shared" si="301"/>
        <v/>
      </c>
    </row>
    <row r="1141" spans="2:27">
      <c r="B1141" s="1532" t="str">
        <f t="shared" si="302"/>
        <v>Improved Sentinel's Gambit</v>
      </c>
      <c r="C1141" s="1795"/>
      <c r="D1141" s="920"/>
      <c r="E1141" s="61" t="s">
        <v>3403</v>
      </c>
      <c r="F1141" s="61"/>
      <c r="G1141" s="61"/>
      <c r="H1141" s="61"/>
      <c r="I1141" s="61"/>
      <c r="J1141" s="1687" t="s">
        <v>5375</v>
      </c>
      <c r="K1141" s="63" t="str">
        <f t="shared" ca="1" si="289"/>
        <v>No</v>
      </c>
      <c r="L1141" s="76"/>
      <c r="M1141" s="63">
        <f t="shared" si="292"/>
        <v>0</v>
      </c>
      <c r="N1141" s="63" t="s">
        <v>3317</v>
      </c>
      <c r="O1141" s="64"/>
      <c r="P1141" s="660" t="str">
        <f t="shared" si="303"/>
        <v/>
      </c>
      <c r="Q1141" s="52" t="str">
        <f t="shared" ca="1" si="293"/>
        <v>No</v>
      </c>
      <c r="R1141" s="1574" t="str">
        <f t="shared" si="298"/>
        <v/>
      </c>
      <c r="S1141" s="52" t="str">
        <f t="shared" si="295"/>
        <v/>
      </c>
      <c r="T1141" s="52" t="str">
        <f t="shared" si="296"/>
        <v/>
      </c>
      <c r="U1141" s="52" t="str">
        <f t="shared" si="291"/>
        <v/>
      </c>
      <c r="V1141" s="52" t="str">
        <f t="shared" si="297"/>
        <v/>
      </c>
      <c r="W1141" s="1578"/>
      <c r="X1141" s="52" t="str">
        <f t="shared" si="288"/>
        <v/>
      </c>
      <c r="Y1141" s="52" t="str">
        <f t="shared" si="294"/>
        <v/>
      </c>
      <c r="AA1141" s="52" t="str">
        <f t="shared" si="301"/>
        <v/>
      </c>
    </row>
    <row r="1142" spans="2:27">
      <c r="B1142" s="1532" t="str">
        <f t="shared" si="302"/>
        <v>Rebuke the Dark</v>
      </c>
      <c r="C1142" s="1795"/>
      <c r="D1142" s="920"/>
      <c r="E1142" s="61" t="s">
        <v>3404</v>
      </c>
      <c r="F1142" s="61"/>
      <c r="G1142" s="61"/>
      <c r="H1142" s="61"/>
      <c r="I1142" s="61"/>
      <c r="J1142" s="1687" t="s">
        <v>5376</v>
      </c>
      <c r="K1142" s="63" t="str">
        <f t="shared" ca="1" si="289"/>
        <v>No</v>
      </c>
      <c r="L1142" s="76"/>
      <c r="M1142" s="63">
        <f t="shared" si="292"/>
        <v>0</v>
      </c>
      <c r="N1142" s="63" t="s">
        <v>3317</v>
      </c>
      <c r="O1142" s="64"/>
      <c r="P1142" s="660" t="str">
        <f t="shared" si="303"/>
        <v/>
      </c>
      <c r="Q1142" s="52" t="str">
        <f t="shared" ca="1" si="293"/>
        <v>No</v>
      </c>
      <c r="R1142" s="1574" t="str">
        <f t="shared" si="298"/>
        <v/>
      </c>
      <c r="S1142" s="52" t="str">
        <f t="shared" si="295"/>
        <v/>
      </c>
      <c r="T1142" s="52" t="str">
        <f t="shared" si="296"/>
        <v/>
      </c>
      <c r="U1142" s="52" t="str">
        <f t="shared" si="291"/>
        <v/>
      </c>
      <c r="V1142" s="52" t="str">
        <f t="shared" si="297"/>
        <v/>
      </c>
      <c r="W1142" s="1578"/>
      <c r="X1142" s="52" t="str">
        <f t="shared" si="288"/>
        <v/>
      </c>
      <c r="Y1142" s="52" t="str">
        <f t="shared" si="294"/>
        <v/>
      </c>
      <c r="AA1142" s="52" t="str">
        <f t="shared" si="301"/>
        <v/>
      </c>
    </row>
    <row r="1143" spans="2:27" ht="26">
      <c r="B1143" s="1532" t="str">
        <f t="shared" si="302"/>
        <v>Force Warning</v>
      </c>
      <c r="C1143" s="1795"/>
      <c r="D1143" s="920" t="s">
        <v>3405</v>
      </c>
      <c r="E1143" s="61" t="s">
        <v>3406</v>
      </c>
      <c r="F1143" s="61"/>
      <c r="G1143" s="61"/>
      <c r="H1143" s="61"/>
      <c r="I1143" s="61"/>
      <c r="J1143" s="1687" t="s">
        <v>5377</v>
      </c>
      <c r="K1143" s="63" t="str">
        <f t="shared" ca="1" si="289"/>
        <v>No</v>
      </c>
      <c r="L1143" s="76"/>
      <c r="M1143" s="63">
        <f t="shared" si="292"/>
        <v>0</v>
      </c>
      <c r="N1143" s="63" t="s">
        <v>3407</v>
      </c>
      <c r="O1143" s="64"/>
      <c r="P1143" s="660" t="str">
        <f t="shared" si="303"/>
        <v/>
      </c>
      <c r="Q1143" s="52" t="str">
        <f t="shared" ca="1" si="293"/>
        <v>No</v>
      </c>
      <c r="R1143" s="1574" t="str">
        <f t="shared" si="298"/>
        <v/>
      </c>
      <c r="S1143" s="52" t="str">
        <f t="shared" si="295"/>
        <v/>
      </c>
      <c r="T1143" s="52" t="str">
        <f t="shared" si="296"/>
        <v/>
      </c>
      <c r="U1143" s="52" t="str">
        <f t="shared" si="291"/>
        <v/>
      </c>
      <c r="V1143" s="52" t="str">
        <f t="shared" si="297"/>
        <v/>
      </c>
      <c r="W1143" s="1578"/>
      <c r="X1143" s="52" t="str">
        <f t="shared" si="288"/>
        <v/>
      </c>
      <c r="Y1143" s="52" t="str">
        <f t="shared" si="294"/>
        <v/>
      </c>
      <c r="AA1143" s="52" t="str">
        <f t="shared" si="301"/>
        <v/>
      </c>
    </row>
    <row r="1144" spans="2:27">
      <c r="B1144" s="1532" t="str">
        <f t="shared" si="302"/>
        <v>Watchman's Advance</v>
      </c>
      <c r="C1144" s="1795"/>
      <c r="D1144" s="920"/>
      <c r="E1144" s="61"/>
      <c r="F1144" s="61" t="s">
        <v>3408</v>
      </c>
      <c r="G1144" s="61"/>
      <c r="H1144" s="61"/>
      <c r="I1144" s="61"/>
      <c r="J1144" s="1687" t="s">
        <v>5378</v>
      </c>
      <c r="K1144" s="63" t="str">
        <f ca="1">IF(AND(Q1143="Yes",L1143&lt;&gt;""),"Yes","No")</f>
        <v>No</v>
      </c>
      <c r="L1144" s="76"/>
      <c r="M1144" s="63">
        <f t="shared" si="292"/>
        <v>0</v>
      </c>
      <c r="N1144" s="63" t="s">
        <v>3407</v>
      </c>
      <c r="O1144" s="64"/>
      <c r="P1144" s="660" t="str">
        <f t="shared" si="303"/>
        <v/>
      </c>
      <c r="Q1144" s="52" t="str">
        <f t="shared" ca="1" si="293"/>
        <v>No</v>
      </c>
      <c r="R1144" s="1574" t="str">
        <f t="shared" si="298"/>
        <v/>
      </c>
      <c r="S1144" s="52" t="str">
        <f t="shared" si="295"/>
        <v/>
      </c>
      <c r="T1144" s="52" t="str">
        <f t="shared" si="296"/>
        <v/>
      </c>
      <c r="U1144" s="52" t="str">
        <f t="shared" si="291"/>
        <v/>
      </c>
      <c r="V1144" s="52" t="str">
        <f t="shared" si="297"/>
        <v/>
      </c>
      <c r="W1144" s="1578"/>
      <c r="X1144" s="52" t="str">
        <f t="shared" si="288"/>
        <v/>
      </c>
      <c r="Y1144" s="52" t="str">
        <f t="shared" si="294"/>
        <v/>
      </c>
      <c r="AA1144" s="52" t="str">
        <f t="shared" si="301"/>
        <v/>
      </c>
    </row>
    <row r="1145" spans="2:27" ht="26">
      <c r="B1145" s="1532" t="str">
        <f t="shared" si="302"/>
        <v>Improved Quick Draw (lightsabers)</v>
      </c>
      <c r="C1145" s="1795"/>
      <c r="D1145" s="920"/>
      <c r="E1145" s="61" t="s">
        <v>3409</v>
      </c>
      <c r="F1145" s="61"/>
      <c r="G1145" s="61"/>
      <c r="H1145" s="61"/>
      <c r="I1145" s="61"/>
      <c r="J1145" s="1687" t="s">
        <v>5379</v>
      </c>
      <c r="K1145" s="63" t="str">
        <f t="shared" ca="1" si="289"/>
        <v>No</v>
      </c>
      <c r="L1145" s="76"/>
      <c r="M1145" s="63">
        <f t="shared" si="292"/>
        <v>0</v>
      </c>
      <c r="N1145" s="63" t="s">
        <v>3407</v>
      </c>
      <c r="O1145" s="64"/>
      <c r="P1145" s="660" t="str">
        <f t="shared" si="303"/>
        <v/>
      </c>
      <c r="Q1145" s="52" t="str">
        <f t="shared" ca="1" si="293"/>
        <v>No</v>
      </c>
      <c r="R1145" s="1574" t="str">
        <f t="shared" si="298"/>
        <v/>
      </c>
      <c r="S1145" s="52" t="str">
        <f t="shared" si="295"/>
        <v/>
      </c>
      <c r="T1145" s="52" t="str">
        <f t="shared" si="296"/>
        <v/>
      </c>
      <c r="U1145" s="52" t="str">
        <f t="shared" si="291"/>
        <v/>
      </c>
      <c r="V1145" s="52" t="str">
        <f t="shared" si="297"/>
        <v/>
      </c>
      <c r="W1145" s="1578"/>
      <c r="X1145" s="52" t="str">
        <f t="shared" si="288"/>
        <v/>
      </c>
      <c r="Y1145" s="52" t="str">
        <f t="shared" si="294"/>
        <v/>
      </c>
      <c r="AA1145" s="52" t="str">
        <f t="shared" si="301"/>
        <v/>
      </c>
    </row>
    <row r="1146" spans="2:27">
      <c r="B1146" s="1532" t="str">
        <f t="shared" si="302"/>
        <v>Vigilance</v>
      </c>
      <c r="C1146" s="1795"/>
      <c r="D1146" s="920"/>
      <c r="E1146" s="61" t="s">
        <v>3410</v>
      </c>
      <c r="F1146" s="61"/>
      <c r="G1146" s="61"/>
      <c r="H1146" s="61"/>
      <c r="I1146" s="61"/>
      <c r="J1146" s="1687" t="s">
        <v>5380</v>
      </c>
      <c r="K1146" s="63" t="str">
        <f t="shared" ca="1" si="289"/>
        <v>No</v>
      </c>
      <c r="L1146" s="76"/>
      <c r="M1146" s="63">
        <f t="shared" si="292"/>
        <v>0</v>
      </c>
      <c r="N1146" s="63" t="s">
        <v>3407</v>
      </c>
      <c r="O1146" s="64"/>
      <c r="P1146" s="660" t="str">
        <f t="shared" si="303"/>
        <v/>
      </c>
      <c r="Q1146" s="52" t="str">
        <f t="shared" ca="1" si="293"/>
        <v>No</v>
      </c>
      <c r="R1146" s="1574" t="str">
        <f t="shared" si="298"/>
        <v/>
      </c>
      <c r="S1146" s="52" t="str">
        <f t="shared" si="295"/>
        <v/>
      </c>
      <c r="T1146" s="52" t="str">
        <f t="shared" si="296"/>
        <v/>
      </c>
      <c r="U1146" s="52" t="str">
        <f t="shared" si="291"/>
        <v/>
      </c>
      <c r="V1146" s="52" t="str">
        <f t="shared" si="297"/>
        <v/>
      </c>
      <c r="W1146" s="1578"/>
      <c r="X1146" s="52" t="str">
        <f t="shared" si="288"/>
        <v/>
      </c>
      <c r="Y1146" s="52" t="str">
        <f t="shared" si="294"/>
        <v/>
      </c>
      <c r="AA1146" s="52" t="str">
        <f t="shared" si="301"/>
        <v/>
      </c>
    </row>
    <row r="1147" spans="2:27">
      <c r="B1147" s="1532" t="str">
        <f t="shared" si="302"/>
        <v>Sheltering Stance</v>
      </c>
      <c r="C1147" s="1795"/>
      <c r="D1147" s="920"/>
      <c r="E1147" s="61"/>
      <c r="F1147" s="61" t="s">
        <v>3411</v>
      </c>
      <c r="G1147" s="61"/>
      <c r="H1147" s="61"/>
      <c r="I1147" s="61"/>
      <c r="J1147" s="1687" t="s">
        <v>5381</v>
      </c>
      <c r="K1147" s="63" t="str">
        <f ca="1">IF(AND(Q1146="Yes",L1146&lt;&gt;""),"Yes","No")</f>
        <v>No</v>
      </c>
      <c r="L1147" s="76"/>
      <c r="M1147" s="63">
        <f t="shared" si="292"/>
        <v>0</v>
      </c>
      <c r="N1147" s="63" t="s">
        <v>3407</v>
      </c>
      <c r="O1147" s="64"/>
      <c r="P1147" s="660" t="str">
        <f t="shared" si="303"/>
        <v/>
      </c>
      <c r="Q1147" s="52" t="str">
        <f t="shared" ca="1" si="293"/>
        <v>No</v>
      </c>
      <c r="R1147" s="1574" t="str">
        <f t="shared" si="298"/>
        <v/>
      </c>
      <c r="S1147" s="52" t="str">
        <f t="shared" si="295"/>
        <v/>
      </c>
      <c r="T1147" s="52" t="str">
        <f t="shared" si="296"/>
        <v/>
      </c>
      <c r="U1147" s="52" t="str">
        <f t="shared" si="291"/>
        <v/>
      </c>
      <c r="V1147" s="52" t="str">
        <f t="shared" si="297"/>
        <v/>
      </c>
      <c r="W1147" s="1578"/>
      <c r="X1147" s="52" t="str">
        <f t="shared" si="288"/>
        <v/>
      </c>
      <c r="Y1147" s="52" t="str">
        <f t="shared" si="294"/>
        <v/>
      </c>
      <c r="AA1147" s="52" t="str">
        <f t="shared" si="301"/>
        <v/>
      </c>
    </row>
    <row r="1148" spans="2:27" ht="26">
      <c r="B1148" s="1532" t="str">
        <f t="shared" si="302"/>
        <v>Combat Trance</v>
      </c>
      <c r="C1148" s="1795"/>
      <c r="D1148" s="920" t="s">
        <v>4429</v>
      </c>
      <c r="E1148" s="61" t="s">
        <v>4446</v>
      </c>
      <c r="F1148" s="61"/>
      <c r="G1148" s="61"/>
      <c r="H1148" s="61"/>
      <c r="I1148" s="61"/>
      <c r="J1148" s="1687" t="s">
        <v>5974</v>
      </c>
      <c r="K1148" s="63" t="str">
        <f ca="1">IF(Q1148="Yes","Yes","No")</f>
        <v>No</v>
      </c>
      <c r="L1148" s="76"/>
      <c r="M1148" s="63">
        <f>IF(L1148&lt;&gt;"",1,0)</f>
        <v>0</v>
      </c>
      <c r="N1148" s="63" t="s">
        <v>4440</v>
      </c>
      <c r="O1148" s="64"/>
      <c r="P1148" s="660" t="str">
        <f t="shared" si="303"/>
        <v/>
      </c>
      <c r="Q1148" s="52" t="str">
        <f t="shared" ca="1" si="293"/>
        <v>No</v>
      </c>
      <c r="R1148" s="1574" t="str">
        <f t="shared" si="298"/>
        <v/>
      </c>
      <c r="S1148" s="52" t="str">
        <f t="shared" si="295"/>
        <v/>
      </c>
      <c r="T1148" s="52" t="str">
        <f t="shared" si="296"/>
        <v/>
      </c>
      <c r="U1148" s="52" t="str">
        <f t="shared" si="291"/>
        <v/>
      </c>
      <c r="V1148" s="52" t="str">
        <f t="shared" si="297"/>
        <v/>
      </c>
      <c r="W1148" s="1578"/>
      <c r="X1148" s="52" t="str">
        <f t="shared" si="288"/>
        <v/>
      </c>
      <c r="Y1148" s="52" t="str">
        <f t="shared" si="294"/>
        <v/>
      </c>
      <c r="AA1148" s="52" t="str">
        <f t="shared" si="301"/>
        <v/>
      </c>
    </row>
    <row r="1149" spans="2:27">
      <c r="B1149" s="1532" t="str">
        <f t="shared" si="302"/>
        <v>Improvised Weapon Master</v>
      </c>
      <c r="C1149" s="1795"/>
      <c r="D1149" s="920"/>
      <c r="E1149" s="61" t="s">
        <v>4447</v>
      </c>
      <c r="F1149" s="61"/>
      <c r="G1149" s="61"/>
      <c r="H1149" s="61"/>
      <c r="I1149" s="61"/>
      <c r="J1149" s="1687" t="s">
        <v>5975</v>
      </c>
      <c r="K1149" s="63" t="str">
        <f ca="1">IF(Q1149="Yes","Yes","No")</f>
        <v>No</v>
      </c>
      <c r="L1149" s="76"/>
      <c r="M1149" s="63">
        <f>IF(L1149&lt;&gt;"",1,0)</f>
        <v>0</v>
      </c>
      <c r="N1149" s="63" t="s">
        <v>4440</v>
      </c>
      <c r="O1149" s="64"/>
      <c r="P1149" s="660" t="str">
        <f t="shared" si="303"/>
        <v/>
      </c>
      <c r="Q1149" s="52" t="str">
        <f t="shared" ca="1" si="293"/>
        <v>No</v>
      </c>
      <c r="R1149" s="1574" t="str">
        <f t="shared" si="298"/>
        <v/>
      </c>
      <c r="S1149" s="52" t="str">
        <f t="shared" si="295"/>
        <v/>
      </c>
      <c r="T1149" s="52" t="str">
        <f t="shared" si="296"/>
        <v/>
      </c>
      <c r="U1149" s="52" t="str">
        <f t="shared" si="291"/>
        <v/>
      </c>
      <c r="V1149" s="52" t="str">
        <f t="shared" si="297"/>
        <v/>
      </c>
      <c r="W1149" s="1578"/>
      <c r="X1149" s="52" t="str">
        <f t="shared" si="288"/>
        <v/>
      </c>
      <c r="Y1149" s="52" t="str">
        <f t="shared" si="294"/>
        <v/>
      </c>
      <c r="AA1149" s="52" t="str">
        <f t="shared" si="301"/>
        <v/>
      </c>
    </row>
    <row r="1150" spans="2:27" ht="26">
      <c r="B1150" s="1532" t="str">
        <f t="shared" si="302"/>
        <v>Twin Weapon Style</v>
      </c>
      <c r="C1150" s="1795"/>
      <c r="D1150" s="920"/>
      <c r="E1150" s="61" t="s">
        <v>4448</v>
      </c>
      <c r="F1150" s="61"/>
      <c r="G1150" s="61"/>
      <c r="H1150" s="61"/>
      <c r="I1150" s="61"/>
      <c r="J1150" s="1687" t="s">
        <v>5976</v>
      </c>
      <c r="K1150" s="63" t="str">
        <f ca="1">IF(Q1150="Yes","Yes","No")</f>
        <v>No</v>
      </c>
      <c r="L1150" s="76"/>
      <c r="M1150" s="63">
        <f>IF(L1150&lt;&gt;"",1,0)</f>
        <v>0</v>
      </c>
      <c r="N1150" s="63" t="s">
        <v>4440</v>
      </c>
      <c r="O1150" s="64"/>
      <c r="P1150" s="660" t="str">
        <f t="shared" si="303"/>
        <v/>
      </c>
      <c r="Q1150" s="52" t="str">
        <f t="shared" ca="1" si="293"/>
        <v>No</v>
      </c>
      <c r="R1150" s="1574" t="str">
        <f t="shared" si="298"/>
        <v/>
      </c>
      <c r="S1150" s="52" t="str">
        <f t="shared" si="295"/>
        <v/>
      </c>
      <c r="T1150" s="52" t="str">
        <f t="shared" si="296"/>
        <v/>
      </c>
      <c r="U1150" s="52" t="str">
        <f t="shared" si="291"/>
        <v/>
      </c>
      <c r="V1150" s="52" t="str">
        <f t="shared" si="297"/>
        <v/>
      </c>
      <c r="W1150" s="1578"/>
      <c r="X1150" s="52" t="str">
        <f t="shared" si="288"/>
        <v/>
      </c>
      <c r="Y1150" s="52" t="str">
        <f t="shared" si="294"/>
        <v/>
      </c>
      <c r="AA1150" s="52" t="str">
        <f t="shared" si="301"/>
        <v/>
      </c>
    </row>
    <row r="1151" spans="2:27" ht="26">
      <c r="B1151" s="1532" t="str">
        <f t="shared" si="302"/>
        <v>Twin Weapon Mastery</v>
      </c>
      <c r="C1151" s="1795"/>
      <c r="D1151" s="920"/>
      <c r="E1151" s="61" t="s">
        <v>4449</v>
      </c>
      <c r="F1151" s="61"/>
      <c r="G1151" s="61"/>
      <c r="H1151" s="61"/>
      <c r="I1151" s="61"/>
      <c r="J1151" s="1687" t="s">
        <v>5977</v>
      </c>
      <c r="K1151" s="63" t="str">
        <f ca="1">IF(Q1151="Yes","Yes","No")</f>
        <v>No</v>
      </c>
      <c r="L1151" s="76"/>
      <c r="M1151" s="63">
        <f>IF(L1151&lt;&gt;"",1,0)</f>
        <v>0</v>
      </c>
      <c r="N1151" s="63" t="s">
        <v>4440</v>
      </c>
      <c r="O1151" s="64"/>
      <c r="P1151" s="660" t="str">
        <f t="shared" si="303"/>
        <v/>
      </c>
      <c r="Q1151" s="52" t="str">
        <f t="shared" ca="1" si="293"/>
        <v>No</v>
      </c>
      <c r="R1151" s="1574" t="str">
        <f t="shared" si="298"/>
        <v/>
      </c>
      <c r="S1151" s="52" t="str">
        <f t="shared" si="295"/>
        <v/>
      </c>
      <c r="T1151" s="52" t="str">
        <f t="shared" si="296"/>
        <v/>
      </c>
      <c r="U1151" s="52" t="str">
        <f t="shared" si="291"/>
        <v/>
      </c>
      <c r="V1151" s="52" t="str">
        <f t="shared" si="297"/>
        <v/>
      </c>
      <c r="W1151" s="1578"/>
      <c r="X1151" s="52" t="str">
        <f t="shared" si="288"/>
        <v/>
      </c>
      <c r="Y1151" s="52" t="str">
        <f t="shared" si="294"/>
        <v/>
      </c>
      <c r="AA1151" s="52" t="str">
        <f t="shared" si="301"/>
        <v/>
      </c>
    </row>
    <row r="1152" spans="2:27" ht="26">
      <c r="B1152" s="1532" t="str">
        <f t="shared" si="302"/>
        <v>Shoto Pin</v>
      </c>
      <c r="C1152" s="1795"/>
      <c r="D1152" s="920"/>
      <c r="E1152" s="61" t="s">
        <v>4450</v>
      </c>
      <c r="F1152" s="61"/>
      <c r="G1152" s="61"/>
      <c r="H1152" s="61"/>
      <c r="I1152" s="61"/>
      <c r="J1152" s="1687" t="s">
        <v>5978</v>
      </c>
      <c r="K1152" s="63" t="str">
        <f ca="1">IF(AND(Q1152="Yes",M62&gt;0),"Yes","No")</f>
        <v>No</v>
      </c>
      <c r="L1152" s="76"/>
      <c r="M1152" s="63">
        <f>IF(L1152&lt;&gt;"",1,0)</f>
        <v>0</v>
      </c>
      <c r="N1152" s="63" t="s">
        <v>4440</v>
      </c>
      <c r="O1152" s="64"/>
      <c r="P1152" s="660" t="str">
        <f t="shared" si="303"/>
        <v/>
      </c>
      <c r="Q1152" s="52" t="str">
        <f t="shared" ca="1" si="293"/>
        <v>No</v>
      </c>
      <c r="R1152" s="1574" t="str">
        <f t="shared" si="298"/>
        <v/>
      </c>
      <c r="S1152" s="52" t="str">
        <f t="shared" si="295"/>
        <v/>
      </c>
      <c r="T1152" s="52" t="str">
        <f t="shared" si="296"/>
        <v/>
      </c>
      <c r="U1152" s="52" t="str">
        <f t="shared" si="291"/>
        <v/>
      </c>
      <c r="V1152" s="52" t="str">
        <f t="shared" si="297"/>
        <v/>
      </c>
      <c r="W1152" s="1578"/>
      <c r="X1152" s="52" t="str">
        <f t="shared" si="288"/>
        <v/>
      </c>
      <c r="Y1152" s="52" t="str">
        <f t="shared" si="294"/>
        <v/>
      </c>
      <c r="AA1152" s="52" t="str">
        <f t="shared" si="301"/>
        <v/>
      </c>
    </row>
    <row r="1153" spans="2:27">
      <c r="B1153" s="1532" t="str">
        <f t="shared" si="302"/>
        <v>Ataru</v>
      </c>
      <c r="C1153" s="1795"/>
      <c r="D1153" s="920" t="s">
        <v>3412</v>
      </c>
      <c r="E1153" s="61" t="s">
        <v>3413</v>
      </c>
      <c r="F1153" s="61"/>
      <c r="G1153" s="61"/>
      <c r="H1153" s="61"/>
      <c r="I1153" s="61"/>
      <c r="J1153" s="1687" t="s">
        <v>5382</v>
      </c>
      <c r="K1153" s="63" t="str">
        <f ca="1">IF(Q1153="Yes","Yes","No")</f>
        <v>No</v>
      </c>
      <c r="L1153" s="76"/>
      <c r="M1153" s="63">
        <f t="shared" si="292"/>
        <v>0</v>
      </c>
      <c r="N1153" s="63">
        <v>218</v>
      </c>
      <c r="O1153" s="64"/>
      <c r="P1153" s="660" t="str">
        <f t="shared" si="303"/>
        <v/>
      </c>
      <c r="Q1153" s="52" t="str">
        <f t="shared" ca="1" si="293"/>
        <v>No</v>
      </c>
      <c r="R1153" s="1574" t="str">
        <f t="shared" si="298"/>
        <v/>
      </c>
      <c r="S1153" s="52" t="str">
        <f t="shared" si="295"/>
        <v/>
      </c>
      <c r="T1153" s="52" t="str">
        <f t="shared" si="296"/>
        <v/>
      </c>
      <c r="U1153" s="52" t="str">
        <f t="shared" si="291"/>
        <v/>
      </c>
      <c r="V1153" s="52" t="str">
        <f t="shared" si="297"/>
        <v/>
      </c>
      <c r="W1153" s="1578"/>
      <c r="X1153" s="52" t="str">
        <f t="shared" ref="X1153:X1216" si="304">IF(U1153&lt;&gt;"",IF(W1153="Special Actions",U1153&amp;IF(X1154&lt;&gt;"",", ",""),"")&amp;X1154,X1154)</f>
        <v/>
      </c>
      <c r="Y1153" s="52" t="str">
        <f t="shared" si="294"/>
        <v/>
      </c>
      <c r="AA1153" s="52" t="str">
        <f t="shared" si="301"/>
        <v/>
      </c>
    </row>
    <row r="1154" spans="2:27">
      <c r="B1154" s="1532" t="str">
        <f t="shared" si="302"/>
        <v>Djem So</v>
      </c>
      <c r="C1154" s="1795"/>
      <c r="D1154" s="920"/>
      <c r="E1154" s="61" t="s">
        <v>3414</v>
      </c>
      <c r="F1154" s="61"/>
      <c r="G1154" s="61"/>
      <c r="H1154" s="61"/>
      <c r="I1154" s="61"/>
      <c r="J1154" s="1687" t="s">
        <v>5383</v>
      </c>
      <c r="K1154" s="63" t="str">
        <f t="shared" ca="1" si="289"/>
        <v>No</v>
      </c>
      <c r="L1154" s="76"/>
      <c r="M1154" s="63">
        <f t="shared" si="292"/>
        <v>0</v>
      </c>
      <c r="N1154" s="63">
        <v>218</v>
      </c>
      <c r="O1154" s="64"/>
      <c r="P1154" s="660" t="str">
        <f t="shared" si="303"/>
        <v/>
      </c>
      <c r="Q1154" s="52" t="str">
        <f t="shared" ca="1" si="293"/>
        <v>No</v>
      </c>
      <c r="R1154" s="1574" t="str">
        <f t="shared" si="298"/>
        <v/>
      </c>
      <c r="S1154" s="52" t="str">
        <f t="shared" si="295"/>
        <v/>
      </c>
      <c r="T1154" s="52" t="str">
        <f t="shared" si="296"/>
        <v/>
      </c>
      <c r="U1154" s="52" t="str">
        <f t="shared" si="291"/>
        <v/>
      </c>
      <c r="V1154" s="52" t="str">
        <f t="shared" si="297"/>
        <v/>
      </c>
      <c r="W1154" s="1578"/>
      <c r="X1154" s="52" t="str">
        <f t="shared" si="304"/>
        <v/>
      </c>
      <c r="Y1154" s="52" t="str">
        <f t="shared" si="294"/>
        <v/>
      </c>
      <c r="AA1154" s="52" t="str">
        <f t="shared" si="301"/>
        <v/>
      </c>
    </row>
    <row r="1155" spans="2:27" ht="26">
      <c r="B1155" s="1532" t="str">
        <f t="shared" si="302"/>
        <v>Juyo</v>
      </c>
      <c r="C1155" s="1795"/>
      <c r="D1155" s="920"/>
      <c r="E1155" s="61" t="s">
        <v>3415</v>
      </c>
      <c r="F1155" s="61"/>
      <c r="G1155" s="61"/>
      <c r="H1155" s="61"/>
      <c r="I1155" s="61"/>
      <c r="J1155" s="1687" t="s">
        <v>5384</v>
      </c>
      <c r="K1155" s="63" t="str">
        <f ca="1">IF(AND(Q1155="Yes",M71&gt;0),"Yes","No")</f>
        <v>No</v>
      </c>
      <c r="L1155" s="76"/>
      <c r="M1155" s="63">
        <f t="shared" si="292"/>
        <v>0</v>
      </c>
      <c r="N1155" s="63">
        <v>218</v>
      </c>
      <c r="O1155" s="64"/>
      <c r="P1155" s="660" t="str">
        <f t="shared" si="303"/>
        <v/>
      </c>
      <c r="Q1155" s="52" t="str">
        <f t="shared" ca="1" si="293"/>
        <v>No</v>
      </c>
      <c r="R1155" s="1574" t="str">
        <f t="shared" si="298"/>
        <v/>
      </c>
      <c r="S1155" s="52" t="str">
        <f t="shared" si="295"/>
        <v/>
      </c>
      <c r="T1155" s="52" t="str">
        <f t="shared" si="296"/>
        <v/>
      </c>
      <c r="U1155" s="52" t="str">
        <f t="shared" si="291"/>
        <v/>
      </c>
      <c r="V1155" s="52" t="str">
        <f t="shared" si="297"/>
        <v/>
      </c>
      <c r="W1155" s="1578"/>
      <c r="X1155" s="52" t="str">
        <f t="shared" si="304"/>
        <v/>
      </c>
      <c r="Y1155" s="52" t="str">
        <f t="shared" si="294"/>
        <v/>
      </c>
      <c r="AA1155" s="52" t="str">
        <f t="shared" si="301"/>
        <v/>
      </c>
    </row>
    <row r="1156" spans="2:27">
      <c r="B1156" s="1532" t="str">
        <f t="shared" si="302"/>
        <v>Vaapad</v>
      </c>
      <c r="C1156" s="1795"/>
      <c r="D1156" s="920"/>
      <c r="E1156" s="61"/>
      <c r="F1156" s="61" t="s">
        <v>3416</v>
      </c>
      <c r="G1156" s="61"/>
      <c r="H1156" s="61"/>
      <c r="I1156" s="61"/>
      <c r="J1156" s="1687" t="s">
        <v>5385</v>
      </c>
      <c r="K1156" s="63" t="str">
        <f ca="1">IF(AND(Q1155="Yes",L1155&lt;&gt;""),"Yes","No")</f>
        <v>No</v>
      </c>
      <c r="L1156" s="76"/>
      <c r="M1156" s="63">
        <f t="shared" si="292"/>
        <v>0</v>
      </c>
      <c r="N1156" s="63">
        <v>219</v>
      </c>
      <c r="O1156" s="64"/>
      <c r="P1156" s="660" t="str">
        <f t="shared" si="303"/>
        <v/>
      </c>
      <c r="Q1156" s="52" t="str">
        <f t="shared" ca="1" si="293"/>
        <v>No</v>
      </c>
      <c r="R1156" s="1574" t="str">
        <f t="shared" si="298"/>
        <v/>
      </c>
      <c r="S1156" s="52" t="str">
        <f t="shared" si="295"/>
        <v/>
      </c>
      <c r="T1156" s="52" t="str">
        <f t="shared" si="296"/>
        <v/>
      </c>
      <c r="U1156" s="52" t="str">
        <f t="shared" si="291"/>
        <v/>
      </c>
      <c r="V1156" s="52" t="str">
        <f t="shared" si="297"/>
        <v/>
      </c>
      <c r="W1156" s="1578"/>
      <c r="X1156" s="52" t="str">
        <f t="shared" si="304"/>
        <v/>
      </c>
      <c r="Y1156" s="52" t="str">
        <f t="shared" si="294"/>
        <v/>
      </c>
      <c r="AA1156" s="52" t="str">
        <f t="shared" si="301"/>
        <v/>
      </c>
    </row>
    <row r="1157" spans="2:27">
      <c r="B1157" s="1532" t="str">
        <f t="shared" si="302"/>
        <v>Makashi</v>
      </c>
      <c r="C1157" s="1795"/>
      <c r="D1157" s="920"/>
      <c r="E1157" s="61" t="s">
        <v>3417</v>
      </c>
      <c r="F1157" s="61"/>
      <c r="G1157" s="61"/>
      <c r="H1157" s="61"/>
      <c r="I1157" s="61"/>
      <c r="J1157" s="1687" t="s">
        <v>5386</v>
      </c>
      <c r="K1157" s="63" t="str">
        <f t="shared" ca="1" si="289"/>
        <v>No</v>
      </c>
      <c r="L1157" s="76"/>
      <c r="M1157" s="63">
        <f t="shared" si="292"/>
        <v>0</v>
      </c>
      <c r="N1157" s="63">
        <v>218</v>
      </c>
      <c r="O1157" s="64"/>
      <c r="P1157" s="660" t="str">
        <f t="shared" si="303"/>
        <v/>
      </c>
      <c r="Q1157" s="52" t="str">
        <f t="shared" ca="1" si="293"/>
        <v>No</v>
      </c>
      <c r="R1157" s="1574" t="str">
        <f t="shared" si="298"/>
        <v/>
      </c>
      <c r="S1157" s="52" t="str">
        <f t="shared" si="295"/>
        <v/>
      </c>
      <c r="T1157" s="52" t="str">
        <f t="shared" si="296"/>
        <v/>
      </c>
      <c r="U1157" s="52" t="str">
        <f t="shared" si="291"/>
        <v/>
      </c>
      <c r="V1157" s="52" t="str">
        <f t="shared" si="297"/>
        <v/>
      </c>
      <c r="W1157" s="1578"/>
      <c r="X1157" s="52" t="str">
        <f t="shared" si="304"/>
        <v/>
      </c>
      <c r="Y1157" s="52" t="str">
        <f t="shared" si="294"/>
        <v/>
      </c>
      <c r="AA1157" s="52" t="str">
        <f t="shared" si="301"/>
        <v/>
      </c>
    </row>
    <row r="1158" spans="2:27">
      <c r="B1158" s="1532" t="str">
        <f t="shared" si="302"/>
        <v>Niman</v>
      </c>
      <c r="C1158" s="1795"/>
      <c r="D1158" s="920"/>
      <c r="E1158" s="61" t="s">
        <v>3418</v>
      </c>
      <c r="F1158" s="61"/>
      <c r="G1158" s="61"/>
      <c r="H1158" s="61"/>
      <c r="I1158" s="61"/>
      <c r="J1158" s="1687" t="s">
        <v>5387</v>
      </c>
      <c r="K1158" s="63" t="str">
        <f t="shared" ca="1" si="289"/>
        <v>No</v>
      </c>
      <c r="L1158" s="76"/>
      <c r="M1158" s="63">
        <f t="shared" si="292"/>
        <v>0</v>
      </c>
      <c r="N1158" s="63">
        <v>218</v>
      </c>
      <c r="O1158" s="64"/>
      <c r="P1158" s="660" t="str">
        <f t="shared" si="303"/>
        <v/>
      </c>
      <c r="Q1158" s="52" t="str">
        <f t="shared" ca="1" si="293"/>
        <v>No</v>
      </c>
      <c r="R1158" s="1574" t="str">
        <f t="shared" si="298"/>
        <v/>
      </c>
      <c r="S1158" s="52" t="str">
        <f t="shared" si="295"/>
        <v/>
      </c>
      <c r="T1158" s="52" t="str">
        <f t="shared" si="296"/>
        <v/>
      </c>
      <c r="U1158" s="52" t="str">
        <f t="shared" si="291"/>
        <v/>
      </c>
      <c r="V1158" s="52" t="str">
        <f t="shared" si="297"/>
        <v/>
      </c>
      <c r="W1158" s="1578"/>
      <c r="X1158" s="52" t="str">
        <f t="shared" si="304"/>
        <v/>
      </c>
      <c r="Y1158" s="52" t="str">
        <f t="shared" si="294"/>
        <v/>
      </c>
      <c r="Z1158" s="54" t="s">
        <v>5688</v>
      </c>
      <c r="AA1158" s="52" t="str">
        <f t="shared" si="301"/>
        <v/>
      </c>
    </row>
    <row r="1159" spans="2:27">
      <c r="B1159" s="1532" t="str">
        <f t="shared" si="302"/>
        <v>Jar'Kai</v>
      </c>
      <c r="C1159" s="1795"/>
      <c r="D1159" s="920"/>
      <c r="E1159" s="61"/>
      <c r="F1159" s="61" t="s">
        <v>3419</v>
      </c>
      <c r="G1159" s="61"/>
      <c r="H1159" s="61"/>
      <c r="I1159" s="61"/>
      <c r="J1159" s="1687" t="s">
        <v>5388</v>
      </c>
      <c r="K1159" s="63" t="str">
        <f ca="1">IF(AND(Q1158="Yes",L1158&lt;&gt;"",M68&gt;0),"Yes","No")</f>
        <v>No</v>
      </c>
      <c r="L1159" s="76"/>
      <c r="M1159" s="63">
        <f t="shared" si="292"/>
        <v>0</v>
      </c>
      <c r="N1159" s="63">
        <v>218</v>
      </c>
      <c r="O1159" s="64"/>
      <c r="P1159" s="660" t="str">
        <f t="shared" si="303"/>
        <v/>
      </c>
      <c r="Q1159" s="52" t="str">
        <f t="shared" ca="1" si="293"/>
        <v>No</v>
      </c>
      <c r="R1159" s="1574" t="str">
        <f t="shared" si="298"/>
        <v/>
      </c>
      <c r="S1159" s="52" t="str">
        <f t="shared" si="295"/>
        <v/>
      </c>
      <c r="T1159" s="52" t="str">
        <f t="shared" si="296"/>
        <v/>
      </c>
      <c r="U1159" s="52" t="str">
        <f t="shared" si="291"/>
        <v/>
      </c>
      <c r="V1159" s="52" t="str">
        <f t="shared" si="297"/>
        <v/>
      </c>
      <c r="W1159" s="1578"/>
      <c r="X1159" s="52" t="str">
        <f t="shared" si="304"/>
        <v/>
      </c>
      <c r="Y1159" s="52" t="str">
        <f t="shared" si="294"/>
        <v/>
      </c>
      <c r="AA1159" s="52" t="str">
        <f t="shared" si="301"/>
        <v/>
      </c>
    </row>
    <row r="1160" spans="2:27">
      <c r="B1160" s="1532" t="str">
        <f t="shared" si="302"/>
        <v>Shien</v>
      </c>
      <c r="C1160" s="1795"/>
      <c r="D1160" s="920"/>
      <c r="E1160" s="61" t="s">
        <v>3420</v>
      </c>
      <c r="F1160" s="61"/>
      <c r="G1160" s="61"/>
      <c r="H1160" s="61"/>
      <c r="I1160" s="61"/>
      <c r="J1160" s="1687" t="s">
        <v>5389</v>
      </c>
      <c r="K1160" s="63" t="str">
        <f t="shared" ca="1" si="289"/>
        <v>No</v>
      </c>
      <c r="L1160" s="76"/>
      <c r="M1160" s="63">
        <f t="shared" si="292"/>
        <v>0</v>
      </c>
      <c r="N1160" s="63">
        <v>218</v>
      </c>
      <c r="O1160" s="64"/>
      <c r="P1160" s="660" t="str">
        <f t="shared" si="303"/>
        <v/>
      </c>
      <c r="Q1160" s="52" t="str">
        <f t="shared" ca="1" si="293"/>
        <v>No</v>
      </c>
      <c r="R1160" s="1574" t="str">
        <f t="shared" si="298"/>
        <v/>
      </c>
      <c r="S1160" s="52" t="str">
        <f t="shared" si="295"/>
        <v/>
      </c>
      <c r="T1160" s="52" t="str">
        <f t="shared" si="296"/>
        <v/>
      </c>
      <c r="U1160" s="52" t="str">
        <f t="shared" si="291"/>
        <v/>
      </c>
      <c r="V1160" s="52" t="str">
        <f t="shared" si="297"/>
        <v/>
      </c>
      <c r="W1160" s="1578"/>
      <c r="X1160" s="52" t="str">
        <f t="shared" si="304"/>
        <v/>
      </c>
      <c r="Y1160" s="52" t="str">
        <f t="shared" si="294"/>
        <v/>
      </c>
      <c r="AA1160" s="52" t="str">
        <f t="shared" si="301"/>
        <v/>
      </c>
    </row>
    <row r="1161" spans="2:27">
      <c r="B1161" s="1532" t="str">
        <f t="shared" si="302"/>
        <v>Shii-Cho</v>
      </c>
      <c r="C1161" s="1795"/>
      <c r="D1161" s="920"/>
      <c r="E1161" s="61" t="s">
        <v>3421</v>
      </c>
      <c r="F1161" s="61"/>
      <c r="G1161" s="61"/>
      <c r="H1161" s="61"/>
      <c r="I1161" s="61"/>
      <c r="J1161" s="1687" t="s">
        <v>5390</v>
      </c>
      <c r="K1161" s="63" t="str">
        <f t="shared" ca="1" si="289"/>
        <v>No</v>
      </c>
      <c r="L1161" s="76"/>
      <c r="M1161" s="63">
        <f t="shared" si="292"/>
        <v>0</v>
      </c>
      <c r="N1161" s="63">
        <v>219</v>
      </c>
      <c r="O1161" s="64"/>
      <c r="P1161" s="660" t="str">
        <f t="shared" si="303"/>
        <v/>
      </c>
      <c r="Q1161" s="52" t="str">
        <f t="shared" ca="1" si="293"/>
        <v>No</v>
      </c>
      <c r="R1161" s="1574" t="str">
        <f t="shared" si="298"/>
        <v/>
      </c>
      <c r="S1161" s="52" t="str">
        <f t="shared" si="295"/>
        <v/>
      </c>
      <c r="T1161" s="52" t="str">
        <f t="shared" si="296"/>
        <v/>
      </c>
      <c r="U1161" s="52" t="str">
        <f t="shared" si="291"/>
        <v/>
      </c>
      <c r="V1161" s="52" t="str">
        <f t="shared" si="297"/>
        <v/>
      </c>
      <c r="W1161" s="1578"/>
      <c r="X1161" s="52" t="str">
        <f t="shared" si="304"/>
        <v/>
      </c>
      <c r="Y1161" s="52" t="str">
        <f t="shared" si="294"/>
        <v/>
      </c>
      <c r="Z1161" s="54" t="s">
        <v>5688</v>
      </c>
      <c r="AA1161" s="52" t="str">
        <f t="shared" si="301"/>
        <v/>
      </c>
    </row>
    <row r="1162" spans="2:27" ht="26">
      <c r="B1162" s="1532" t="str">
        <f t="shared" ref="B1162:B1193" si="305">IF(E1162&lt;&gt;"",E1162,IF(F1162&lt;&gt;"",F1162,IF(G1162&lt;&gt;"",G1162,IF(H1162&lt;&gt;"",H1162))))</f>
        <v>Sokan</v>
      </c>
      <c r="C1162" s="1795"/>
      <c r="D1162" s="920"/>
      <c r="E1162" s="61" t="s">
        <v>3422</v>
      </c>
      <c r="F1162" s="61"/>
      <c r="G1162" s="61"/>
      <c r="H1162" s="61"/>
      <c r="I1162" s="61"/>
      <c r="J1162" s="1687" t="s">
        <v>5391</v>
      </c>
      <c r="K1162" s="63" t="str">
        <f t="shared" ca="1" si="289"/>
        <v>No</v>
      </c>
      <c r="L1162" s="76"/>
      <c r="M1162" s="63">
        <f t="shared" si="292"/>
        <v>0</v>
      </c>
      <c r="N1162" s="63">
        <v>219</v>
      </c>
      <c r="O1162" s="64"/>
      <c r="P1162" s="660" t="str">
        <f t="shared" si="303"/>
        <v/>
      </c>
      <c r="Q1162" s="52" t="str">
        <f t="shared" ca="1" si="293"/>
        <v>No</v>
      </c>
      <c r="R1162" s="1574" t="str">
        <f t="shared" si="298"/>
        <v/>
      </c>
      <c r="S1162" s="52" t="str">
        <f t="shared" si="295"/>
        <v/>
      </c>
      <c r="T1162" s="52" t="str">
        <f t="shared" si="296"/>
        <v/>
      </c>
      <c r="U1162" s="52" t="str">
        <f t="shared" si="291"/>
        <v/>
      </c>
      <c r="V1162" s="52" t="str">
        <f t="shared" si="297"/>
        <v/>
      </c>
      <c r="W1162" s="1578"/>
      <c r="X1162" s="52" t="str">
        <f t="shared" si="304"/>
        <v/>
      </c>
      <c r="Y1162" s="52" t="str">
        <f t="shared" si="294"/>
        <v/>
      </c>
      <c r="AA1162" s="52" t="str">
        <f t="shared" si="301"/>
        <v/>
      </c>
    </row>
    <row r="1163" spans="2:27">
      <c r="B1163" s="1532" t="str">
        <f t="shared" si="305"/>
        <v>Soresu</v>
      </c>
      <c r="C1163" s="1795"/>
      <c r="D1163" s="920"/>
      <c r="E1163" s="61" t="s">
        <v>3423</v>
      </c>
      <c r="F1163" s="61"/>
      <c r="G1163" s="61"/>
      <c r="H1163" s="61"/>
      <c r="I1163" s="61"/>
      <c r="J1163" s="1687" t="s">
        <v>5392</v>
      </c>
      <c r="K1163" s="63" t="str">
        <f t="shared" ca="1" si="289"/>
        <v>No</v>
      </c>
      <c r="L1163" s="76"/>
      <c r="M1163" s="63">
        <f t="shared" si="292"/>
        <v>0</v>
      </c>
      <c r="N1163" s="63">
        <v>219</v>
      </c>
      <c r="O1163" s="64"/>
      <c r="P1163" s="660" t="str">
        <f t="shared" si="303"/>
        <v/>
      </c>
      <c r="Q1163" s="52" t="str">
        <f t="shared" ca="1" si="293"/>
        <v>No</v>
      </c>
      <c r="R1163" s="1574" t="str">
        <f t="shared" si="298"/>
        <v/>
      </c>
      <c r="S1163" s="52" t="str">
        <f t="shared" si="295"/>
        <v/>
      </c>
      <c r="T1163" s="52" t="str">
        <f t="shared" si="296"/>
        <v/>
      </c>
      <c r="U1163" s="52" t="str">
        <f t="shared" si="291"/>
        <v/>
      </c>
      <c r="V1163" s="52" t="str">
        <f t="shared" si="297"/>
        <v/>
      </c>
      <c r="W1163" s="1578"/>
      <c r="X1163" s="52" t="str">
        <f t="shared" si="304"/>
        <v/>
      </c>
      <c r="Y1163" s="52" t="str">
        <f t="shared" si="294"/>
        <v/>
      </c>
      <c r="Z1163" s="54" t="s">
        <v>5688</v>
      </c>
      <c r="AA1163" s="52" t="str">
        <f t="shared" si="301"/>
        <v/>
      </c>
    </row>
    <row r="1164" spans="2:27">
      <c r="B1164" s="1532" t="str">
        <f t="shared" si="305"/>
        <v>Trakata</v>
      </c>
      <c r="C1164" s="1796"/>
      <c r="D1164" s="71"/>
      <c r="E1164" s="927" t="s">
        <v>3424</v>
      </c>
      <c r="F1164" s="927"/>
      <c r="G1164" s="927"/>
      <c r="H1164" s="927"/>
      <c r="I1164" s="927"/>
      <c r="J1164" s="1691" t="s">
        <v>5393</v>
      </c>
      <c r="K1164" s="928" t="str">
        <f t="shared" ca="1" si="289"/>
        <v>No</v>
      </c>
      <c r="L1164" s="929"/>
      <c r="M1164" s="928">
        <f>IF(L1164&lt;&gt;"",1,0)</f>
        <v>0</v>
      </c>
      <c r="N1164" s="928">
        <v>219</v>
      </c>
      <c r="O1164" s="64"/>
      <c r="P1164" s="660" t="str">
        <f t="shared" si="303"/>
        <v/>
      </c>
      <c r="Q1164" s="52" t="str">
        <f t="shared" ca="1" si="293"/>
        <v>No</v>
      </c>
      <c r="R1164" s="1574" t="str">
        <f t="shared" si="298"/>
        <v/>
      </c>
      <c r="S1164" s="52" t="str">
        <f t="shared" si="295"/>
        <v/>
      </c>
      <c r="T1164" s="52" t="str">
        <f t="shared" si="296"/>
        <v/>
      </c>
      <c r="U1164" s="52" t="str">
        <f t="shared" si="291"/>
        <v/>
      </c>
      <c r="V1164" s="52" t="str">
        <f t="shared" si="297"/>
        <v/>
      </c>
      <c r="W1164" s="1578"/>
      <c r="X1164" s="52" t="str">
        <f t="shared" si="304"/>
        <v/>
      </c>
      <c r="Y1164" s="52" t="str">
        <f t="shared" si="294"/>
        <v/>
      </c>
      <c r="AA1164" s="52" t="str">
        <f>IF(U1164&lt;&gt;"",IF(Z1164="Defenses",U1164&amp;IF(AA1165&lt;&gt;"",", ",""),"")&amp;AA1165,AA1165)</f>
        <v/>
      </c>
    </row>
    <row r="1165" spans="2:27" ht="68.5" customHeight="1">
      <c r="B1165" s="1532" t="str">
        <f t="shared" si="305"/>
        <v>Echani Expertise</v>
      </c>
      <c r="C1165" s="1794" t="s">
        <v>6757</v>
      </c>
      <c r="D1165" s="920" t="s">
        <v>6761</v>
      </c>
      <c r="E1165" s="61" t="s">
        <v>6762</v>
      </c>
      <c r="F1165" s="61"/>
      <c r="G1165" s="61"/>
      <c r="H1165" s="61"/>
      <c r="I1165" s="61"/>
      <c r="J1165" s="1690" t="s">
        <v>6763</v>
      </c>
      <c r="K1165" s="63" t="str">
        <f>IF(Q1165="Yes","Yes","No")</f>
        <v>No</v>
      </c>
      <c r="L1165" s="76"/>
      <c r="M1165" s="63">
        <f>IF(L1165&lt;&gt;"",1,0)</f>
        <v>0</v>
      </c>
      <c r="N1165" s="63" t="s">
        <v>6783</v>
      </c>
      <c r="O1165" s="64"/>
      <c r="P1165" s="660" t="str">
        <f t="shared" si="303"/>
        <v/>
      </c>
      <c r="Q1165" s="52" t="str">
        <f>IF(OR(AD46&gt;0),"Yes","No")</f>
        <v>No</v>
      </c>
      <c r="R1165" s="1574" t="str">
        <f t="shared" si="298"/>
        <v/>
      </c>
      <c r="S1165" s="52" t="str">
        <f t="shared" si="295"/>
        <v/>
      </c>
      <c r="T1165" s="52" t="str">
        <f t="shared" si="296"/>
        <v/>
      </c>
      <c r="U1165" s="52" t="str">
        <f t="shared" si="291"/>
        <v/>
      </c>
      <c r="V1165" s="52" t="str">
        <f t="shared" si="297"/>
        <v/>
      </c>
      <c r="W1165" s="1578"/>
      <c r="X1165" s="52" t="str">
        <f t="shared" si="304"/>
        <v/>
      </c>
      <c r="Y1165" s="52" t="str">
        <f t="shared" si="294"/>
        <v/>
      </c>
      <c r="AA1165" s="52" t="str">
        <f t="shared" ref="AA1165:AA1175" si="306">IF(U1165&lt;&gt;"",IF(Z1165="Defenses",U1165&amp;IF(AA1166&lt;&gt;"",", ",""),"")&amp;AA1166,AA1166)</f>
        <v/>
      </c>
    </row>
    <row r="1166" spans="2:27" ht="26">
      <c r="B1166" s="1532" t="str">
        <f t="shared" si="305"/>
        <v>Hijkata Expertise</v>
      </c>
      <c r="C1166" s="1795"/>
      <c r="D1166" s="920"/>
      <c r="E1166" s="61" t="s">
        <v>6764</v>
      </c>
      <c r="F1166" s="61"/>
      <c r="G1166" s="61"/>
      <c r="H1166" s="61"/>
      <c r="I1166" s="61"/>
      <c r="J1166" s="1687" t="s">
        <v>6765</v>
      </c>
      <c r="K1166" s="63" t="str">
        <f>IF(Q1166="Yes","Yes","No")</f>
        <v>No</v>
      </c>
      <c r="L1166" s="76"/>
      <c r="M1166" s="63">
        <f>IF(L1166&lt;&gt;"",1,0)</f>
        <v>0</v>
      </c>
      <c r="N1166" s="63" t="s">
        <v>6783</v>
      </c>
      <c r="O1166" s="64"/>
      <c r="P1166" s="660" t="str">
        <f t="shared" si="303"/>
        <v/>
      </c>
      <c r="Q1166" s="52" t="str">
        <f t="shared" si="293"/>
        <v>No</v>
      </c>
      <c r="R1166" s="1574" t="str">
        <f t="shared" si="298"/>
        <v/>
      </c>
      <c r="S1166" s="52" t="str">
        <f t="shared" si="295"/>
        <v/>
      </c>
      <c r="T1166" s="52" t="str">
        <f t="shared" si="296"/>
        <v/>
      </c>
      <c r="U1166" s="52" t="str">
        <f t="shared" si="291"/>
        <v/>
      </c>
      <c r="V1166" s="52" t="str">
        <f t="shared" si="297"/>
        <v/>
      </c>
      <c r="W1166" s="1578"/>
      <c r="X1166" s="52" t="str">
        <f t="shared" si="304"/>
        <v/>
      </c>
      <c r="Y1166" s="52" t="str">
        <f t="shared" si="294"/>
        <v/>
      </c>
      <c r="AA1166" s="52" t="str">
        <f t="shared" si="306"/>
        <v/>
      </c>
    </row>
    <row r="1167" spans="2:27" ht="26">
      <c r="B1167" s="1532" t="str">
        <f t="shared" si="305"/>
        <v>K'tara Expertise</v>
      </c>
      <c r="C1167" s="1795"/>
      <c r="D1167" s="920"/>
      <c r="E1167" s="61" t="s">
        <v>6766</v>
      </c>
      <c r="F1167" s="61"/>
      <c r="G1167" s="61"/>
      <c r="H1167" s="61"/>
      <c r="I1167" s="61"/>
      <c r="J1167" s="1687" t="s">
        <v>6767</v>
      </c>
      <c r="K1167" s="63" t="str">
        <f t="shared" ref="K1167:K1173" si="307">IF(Q1167="Yes","Yes","No")</f>
        <v>No</v>
      </c>
      <c r="L1167" s="76"/>
      <c r="M1167" s="63">
        <f t="shared" ref="M1167:M1173" si="308">IF(L1167&lt;&gt;"",1,0)</f>
        <v>0</v>
      </c>
      <c r="N1167" s="63" t="s">
        <v>6784</v>
      </c>
      <c r="O1167" s="64"/>
      <c r="P1167" s="660" t="str">
        <f t="shared" si="303"/>
        <v/>
      </c>
      <c r="Q1167" s="52" t="str">
        <f t="shared" si="293"/>
        <v>No</v>
      </c>
      <c r="R1167" s="1574" t="str">
        <f t="shared" si="298"/>
        <v/>
      </c>
      <c r="S1167" s="52" t="str">
        <f t="shared" si="295"/>
        <v/>
      </c>
      <c r="T1167" s="52" t="str">
        <f t="shared" si="296"/>
        <v/>
      </c>
      <c r="U1167" s="52" t="str">
        <f t="shared" si="291"/>
        <v/>
      </c>
      <c r="V1167" s="52" t="str">
        <f t="shared" si="297"/>
        <v/>
      </c>
      <c r="W1167" s="1578"/>
      <c r="X1167" s="52" t="str">
        <f t="shared" si="304"/>
        <v/>
      </c>
      <c r="Y1167" s="52" t="str">
        <f t="shared" si="294"/>
        <v/>
      </c>
      <c r="AA1167" s="52" t="str">
        <f t="shared" si="306"/>
        <v/>
      </c>
    </row>
    <row r="1168" spans="2:27" ht="26">
      <c r="B1168" s="1532" t="str">
        <f t="shared" si="305"/>
        <v>K'thri Expertise</v>
      </c>
      <c r="C1168" s="1795"/>
      <c r="D1168" s="920"/>
      <c r="E1168" s="61" t="s">
        <v>6768</v>
      </c>
      <c r="F1168" s="61"/>
      <c r="G1168" s="61"/>
      <c r="H1168" s="61"/>
      <c r="I1168" s="61"/>
      <c r="J1168" s="1687" t="s">
        <v>6769</v>
      </c>
      <c r="K1168" s="63" t="str">
        <f t="shared" si="307"/>
        <v>No</v>
      </c>
      <c r="L1168" s="76"/>
      <c r="M1168" s="63">
        <f t="shared" si="308"/>
        <v>0</v>
      </c>
      <c r="N1168" s="63" t="s">
        <v>6784</v>
      </c>
      <c r="O1168" s="64"/>
      <c r="P1168" s="660" t="str">
        <f t="shared" si="303"/>
        <v/>
      </c>
      <c r="Q1168" s="52" t="str">
        <f t="shared" si="293"/>
        <v>No</v>
      </c>
      <c r="R1168" s="1574" t="str">
        <f t="shared" si="298"/>
        <v/>
      </c>
      <c r="S1168" s="52" t="str">
        <f t="shared" si="295"/>
        <v/>
      </c>
      <c r="T1168" s="52" t="str">
        <f t="shared" si="296"/>
        <v/>
      </c>
      <c r="U1168" s="52" t="str">
        <f t="shared" ref="U1168:U1231" si="309">IF(L1168&lt;&gt;"",IF(ISNUMBER(L1168),"",E1168&amp;F1168&amp;G1168),"")</f>
        <v/>
      </c>
      <c r="V1168" s="52" t="str">
        <f t="shared" si="297"/>
        <v/>
      </c>
      <c r="W1168" s="1578"/>
      <c r="X1168" s="52" t="str">
        <f t="shared" si="304"/>
        <v/>
      </c>
      <c r="Y1168" s="52" t="str">
        <f t="shared" si="294"/>
        <v/>
      </c>
      <c r="AA1168" s="52" t="str">
        <f t="shared" si="306"/>
        <v/>
      </c>
    </row>
    <row r="1169" spans="2:27" ht="39">
      <c r="B1169" s="1532" t="str">
        <f t="shared" si="305"/>
        <v>Stava Expertise</v>
      </c>
      <c r="C1169" s="1795"/>
      <c r="D1169" s="920"/>
      <c r="E1169" s="61" t="s">
        <v>6770</v>
      </c>
      <c r="F1169" s="61"/>
      <c r="G1169" s="61"/>
      <c r="H1169" s="61"/>
      <c r="I1169" s="61"/>
      <c r="J1169" s="1687" t="s">
        <v>6771</v>
      </c>
      <c r="K1169" s="63" t="str">
        <f t="shared" si="307"/>
        <v>No</v>
      </c>
      <c r="L1169" s="76"/>
      <c r="M1169" s="63">
        <f t="shared" si="308"/>
        <v>0</v>
      </c>
      <c r="N1169" s="63" t="s">
        <v>6784</v>
      </c>
      <c r="O1169" s="64"/>
      <c r="P1169" s="660" t="str">
        <f t="shared" si="303"/>
        <v/>
      </c>
      <c r="Q1169" s="52" t="str">
        <f t="shared" si="293"/>
        <v>No</v>
      </c>
      <c r="R1169" s="1574" t="str">
        <f t="shared" si="298"/>
        <v/>
      </c>
      <c r="S1169" s="52" t="str">
        <f t="shared" si="295"/>
        <v/>
      </c>
      <c r="T1169" s="52" t="str">
        <f t="shared" si="296"/>
        <v/>
      </c>
      <c r="U1169" s="52" t="str">
        <f t="shared" si="309"/>
        <v/>
      </c>
      <c r="V1169" s="52" t="str">
        <f t="shared" si="297"/>
        <v/>
      </c>
      <c r="W1169" s="1578"/>
      <c r="X1169" s="52" t="str">
        <f t="shared" si="304"/>
        <v/>
      </c>
      <c r="Y1169" s="52" t="str">
        <f t="shared" si="294"/>
        <v/>
      </c>
      <c r="AA1169" s="52" t="str">
        <f t="shared" si="306"/>
        <v/>
      </c>
    </row>
    <row r="1170" spans="2:27" ht="39">
      <c r="B1170" s="1532" t="str">
        <f t="shared" si="305"/>
        <v>Tae-Jitsu Expertise</v>
      </c>
      <c r="C1170" s="1795"/>
      <c r="D1170" s="920"/>
      <c r="E1170" s="61" t="s">
        <v>6772</v>
      </c>
      <c r="F1170" s="61"/>
      <c r="G1170" s="61"/>
      <c r="H1170" s="61"/>
      <c r="I1170" s="61"/>
      <c r="J1170" s="1687" t="s">
        <v>6773</v>
      </c>
      <c r="K1170" s="63" t="str">
        <f t="shared" si="307"/>
        <v>No</v>
      </c>
      <c r="L1170" s="76"/>
      <c r="M1170" s="63">
        <f t="shared" si="308"/>
        <v>0</v>
      </c>
      <c r="N1170" s="63" t="s">
        <v>6784</v>
      </c>
      <c r="O1170" s="64"/>
      <c r="P1170" s="660" t="str">
        <f t="shared" si="303"/>
        <v/>
      </c>
      <c r="Q1170" s="52" t="str">
        <f t="shared" si="293"/>
        <v>No</v>
      </c>
      <c r="R1170" s="1574" t="str">
        <f t="shared" si="298"/>
        <v/>
      </c>
      <c r="S1170" s="52" t="str">
        <f t="shared" si="295"/>
        <v/>
      </c>
      <c r="T1170" s="52" t="str">
        <f t="shared" si="296"/>
        <v/>
      </c>
      <c r="U1170" s="52" t="str">
        <f t="shared" si="309"/>
        <v/>
      </c>
      <c r="V1170" s="52" t="str">
        <f t="shared" si="297"/>
        <v/>
      </c>
      <c r="W1170" s="1578"/>
      <c r="X1170" s="52" t="str">
        <f t="shared" si="304"/>
        <v/>
      </c>
      <c r="Y1170" s="52" t="str">
        <f t="shared" si="294"/>
        <v/>
      </c>
      <c r="AA1170" s="52" t="str">
        <f t="shared" si="306"/>
        <v/>
      </c>
    </row>
    <row r="1171" spans="2:27" ht="39">
      <c r="B1171" s="1532" t="str">
        <f t="shared" si="305"/>
        <v>Wrruushi Expertise</v>
      </c>
      <c r="C1171" s="1795"/>
      <c r="D1171" s="920"/>
      <c r="E1171" s="61" t="s">
        <v>6774</v>
      </c>
      <c r="F1171" s="61"/>
      <c r="G1171" s="61"/>
      <c r="H1171" s="61"/>
      <c r="I1171" s="61"/>
      <c r="J1171" s="1687" t="s">
        <v>6775</v>
      </c>
      <c r="K1171" s="63" t="str">
        <f t="shared" si="307"/>
        <v>No</v>
      </c>
      <c r="L1171" s="76"/>
      <c r="M1171" s="63">
        <f t="shared" si="308"/>
        <v>0</v>
      </c>
      <c r="N1171" s="63" t="s">
        <v>6784</v>
      </c>
      <c r="O1171" s="64"/>
      <c r="P1171" s="660" t="str">
        <f t="shared" si="303"/>
        <v/>
      </c>
      <c r="Q1171" s="52" t="str">
        <f t="shared" si="293"/>
        <v>No</v>
      </c>
      <c r="R1171" s="1574" t="str">
        <f t="shared" si="298"/>
        <v/>
      </c>
      <c r="S1171" s="52" t="str">
        <f t="shared" si="295"/>
        <v/>
      </c>
      <c r="T1171" s="52" t="str">
        <f t="shared" si="296"/>
        <v/>
      </c>
      <c r="U1171" s="52" t="str">
        <f t="shared" si="309"/>
        <v/>
      </c>
      <c r="V1171" s="52" t="str">
        <f t="shared" si="297"/>
        <v/>
      </c>
      <c r="W1171" s="1578"/>
      <c r="X1171" s="52" t="str">
        <f t="shared" si="304"/>
        <v/>
      </c>
      <c r="Y1171" s="52" t="str">
        <f t="shared" si="294"/>
        <v/>
      </c>
      <c r="AA1171" s="52" t="str">
        <f t="shared" si="306"/>
        <v/>
      </c>
    </row>
    <row r="1172" spans="2:27" ht="39">
      <c r="B1172" s="1532" t="str">
        <f t="shared" si="305"/>
        <v>Flurry of Blows</v>
      </c>
      <c r="C1172" s="1795"/>
      <c r="D1172" s="920" t="s">
        <v>6776</v>
      </c>
      <c r="E1172" s="61" t="s">
        <v>6777</v>
      </c>
      <c r="F1172" s="61"/>
      <c r="G1172" s="61"/>
      <c r="H1172" s="61"/>
      <c r="I1172" s="61"/>
      <c r="J1172" s="1687" t="s">
        <v>6778</v>
      </c>
      <c r="K1172" s="63" t="str">
        <f t="shared" si="307"/>
        <v>No</v>
      </c>
      <c r="L1172" s="76"/>
      <c r="M1172" s="63">
        <f t="shared" si="308"/>
        <v>0</v>
      </c>
      <c r="N1172" s="63" t="s">
        <v>6784</v>
      </c>
      <c r="O1172" s="64"/>
      <c r="P1172" s="660" t="str">
        <f t="shared" si="303"/>
        <v/>
      </c>
      <c r="Q1172" s="52" t="str">
        <f t="shared" si="293"/>
        <v>No</v>
      </c>
      <c r="R1172" s="1574" t="str">
        <f t="shared" si="298"/>
        <v/>
      </c>
      <c r="S1172" s="52" t="str">
        <f t="shared" si="295"/>
        <v/>
      </c>
      <c r="T1172" s="52" t="str">
        <f t="shared" si="296"/>
        <v/>
      </c>
      <c r="U1172" s="52" t="str">
        <f t="shared" si="309"/>
        <v/>
      </c>
      <c r="V1172" s="52" t="str">
        <f t="shared" si="297"/>
        <v/>
      </c>
      <c r="W1172" s="1578"/>
      <c r="X1172" s="52" t="str">
        <f t="shared" si="304"/>
        <v/>
      </c>
      <c r="Y1172" s="52" t="str">
        <f t="shared" si="294"/>
        <v/>
      </c>
      <c r="AA1172" s="52" t="str">
        <f t="shared" si="306"/>
        <v/>
      </c>
    </row>
    <row r="1173" spans="2:27" ht="26">
      <c r="B1173" s="1532" t="str">
        <f t="shared" si="305"/>
        <v>Hardened Strike</v>
      </c>
      <c r="C1173" s="1795"/>
      <c r="D1173" s="920"/>
      <c r="E1173" s="61" t="s">
        <v>6779</v>
      </c>
      <c r="F1173" s="61"/>
      <c r="G1173" s="61"/>
      <c r="H1173" s="61"/>
      <c r="I1173" s="61"/>
      <c r="J1173" s="1687" t="s">
        <v>6780</v>
      </c>
      <c r="K1173" s="63" t="str">
        <f t="shared" si="307"/>
        <v>No</v>
      </c>
      <c r="L1173" s="76"/>
      <c r="M1173" s="63">
        <f t="shared" si="308"/>
        <v>0</v>
      </c>
      <c r="N1173" s="63" t="s">
        <v>6784</v>
      </c>
      <c r="O1173" s="64"/>
      <c r="P1173" s="660" t="str">
        <f t="shared" si="303"/>
        <v/>
      </c>
      <c r="Q1173" s="52" t="str">
        <f t="shared" si="293"/>
        <v>No</v>
      </c>
      <c r="R1173" s="1574" t="str">
        <f t="shared" si="298"/>
        <v/>
      </c>
      <c r="S1173" s="52" t="str">
        <f t="shared" si="295"/>
        <v/>
      </c>
      <c r="T1173" s="52" t="str">
        <f t="shared" si="296"/>
        <v/>
      </c>
      <c r="U1173" s="52" t="str">
        <f t="shared" si="309"/>
        <v/>
      </c>
      <c r="V1173" s="52" t="str">
        <f t="shared" si="297"/>
        <v/>
      </c>
      <c r="W1173" s="1578"/>
      <c r="X1173" s="52" t="str">
        <f t="shared" si="304"/>
        <v/>
      </c>
      <c r="Y1173" s="52" t="str">
        <f t="shared" si="294"/>
        <v/>
      </c>
      <c r="AA1173" s="52" t="str">
        <f t="shared" si="306"/>
        <v/>
      </c>
    </row>
    <row r="1174" spans="2:27" ht="39">
      <c r="B1174" s="1532" t="str">
        <f t="shared" si="305"/>
        <v>Punishing Strike</v>
      </c>
      <c r="C1174" s="1796"/>
      <c r="D1174" s="920"/>
      <c r="E1174" s="61" t="s">
        <v>6781</v>
      </c>
      <c r="F1174" s="61"/>
      <c r="G1174" s="61"/>
      <c r="H1174" s="61"/>
      <c r="I1174" s="61"/>
      <c r="J1174" s="1691" t="s">
        <v>6782</v>
      </c>
      <c r="K1174" s="928" t="str">
        <f>IF(Q1174="Yes","Yes","No")</f>
        <v>No</v>
      </c>
      <c r="L1174" s="929"/>
      <c r="M1174" s="928">
        <f>IF(L1174&lt;&gt;"",1,0)</f>
        <v>0</v>
      </c>
      <c r="N1174" s="63" t="s">
        <v>6784</v>
      </c>
      <c r="O1174" s="64"/>
      <c r="P1174" s="660" t="str">
        <f t="shared" si="303"/>
        <v/>
      </c>
      <c r="Q1174" s="52" t="str">
        <f t="shared" si="293"/>
        <v>No</v>
      </c>
      <c r="R1174" s="1574" t="str">
        <f t="shared" si="298"/>
        <v/>
      </c>
      <c r="S1174" s="52" t="str">
        <f t="shared" si="295"/>
        <v/>
      </c>
      <c r="T1174" s="52" t="str">
        <f t="shared" si="296"/>
        <v/>
      </c>
      <c r="U1174" s="52" t="str">
        <f t="shared" si="309"/>
        <v/>
      </c>
      <c r="V1174" s="52" t="str">
        <f t="shared" si="297"/>
        <v/>
      </c>
      <c r="W1174" s="1578"/>
      <c r="X1174" s="52" t="str">
        <f t="shared" si="304"/>
        <v/>
      </c>
      <c r="Y1174" s="52" t="str">
        <f t="shared" si="294"/>
        <v/>
      </c>
      <c r="AA1174" s="52" t="str">
        <f t="shared" si="306"/>
        <v/>
      </c>
    </row>
    <row r="1175" spans="2:27" ht="15" customHeight="1">
      <c r="B1175" s="1532" t="str">
        <f t="shared" si="305"/>
        <v>Bloodthirsty</v>
      </c>
      <c r="C1175" s="1794" t="s">
        <v>1058</v>
      </c>
      <c r="D1175" s="922" t="s">
        <v>3425</v>
      </c>
      <c r="E1175" s="923" t="s">
        <v>3426</v>
      </c>
      <c r="F1175" s="923"/>
      <c r="G1175" s="923"/>
      <c r="H1175" s="923"/>
      <c r="I1175" s="923"/>
      <c r="J1175" s="1690" t="s">
        <v>5394</v>
      </c>
      <c r="K1175" s="63" t="str">
        <f t="shared" si="289"/>
        <v>No</v>
      </c>
      <c r="L1175" s="76"/>
      <c r="M1175" s="63">
        <f t="shared" si="292"/>
        <v>0</v>
      </c>
      <c r="N1175" s="924" t="s">
        <v>3427</v>
      </c>
      <c r="O1175" s="64"/>
      <c r="P1175" s="660" t="str">
        <f t="shared" si="303"/>
        <v/>
      </c>
      <c r="Q1175" s="52" t="str">
        <f>IF(OR(AD45&gt;0,AD32&gt;0),"Yes","No")</f>
        <v>No</v>
      </c>
      <c r="R1175" s="1574" t="str">
        <f t="shared" si="298"/>
        <v/>
      </c>
      <c r="S1175" s="52" t="str">
        <f t="shared" si="295"/>
        <v/>
      </c>
      <c r="T1175" s="52" t="str">
        <f t="shared" si="296"/>
        <v/>
      </c>
      <c r="U1175" s="52" t="str">
        <f t="shared" si="309"/>
        <v/>
      </c>
      <c r="V1175" s="52" t="str">
        <f t="shared" si="297"/>
        <v/>
      </c>
      <c r="W1175" s="1578"/>
      <c r="X1175" s="52" t="str">
        <f t="shared" si="304"/>
        <v/>
      </c>
      <c r="Y1175" s="52" t="str">
        <f t="shared" ref="Y1175:Y1238" si="310">IF(U1175&lt;&gt;"",IF(W1175="Att Options",U1175&amp;IF(Y1176&lt;&gt;"",", ",""),"")&amp;Y1176,Y1176)</f>
        <v/>
      </c>
      <c r="AA1175" s="52" t="str">
        <f t="shared" si="306"/>
        <v/>
      </c>
    </row>
    <row r="1176" spans="2:27">
      <c r="B1176" s="1532" t="str">
        <f t="shared" si="305"/>
        <v>Fight to the Death</v>
      </c>
      <c r="C1176" s="1795"/>
      <c r="D1176" s="920"/>
      <c r="E1176" s="61"/>
      <c r="F1176" s="61" t="s">
        <v>3428</v>
      </c>
      <c r="G1176" s="61"/>
      <c r="H1176" s="61"/>
      <c r="I1176" s="61"/>
      <c r="J1176" s="1687" t="s">
        <v>5395</v>
      </c>
      <c r="K1176" s="63" t="str">
        <f>IF(AND(Q1175="Yes",L1175&lt;&gt;""),"Yes","No")</f>
        <v>No</v>
      </c>
      <c r="L1176" s="76"/>
      <c r="M1176" s="63">
        <f t="shared" si="292"/>
        <v>0</v>
      </c>
      <c r="N1176" s="63" t="s">
        <v>3427</v>
      </c>
      <c r="O1176" s="64"/>
      <c r="P1176" s="660" t="str">
        <f t="shared" si="303"/>
        <v/>
      </c>
      <c r="Q1176" s="52" t="str">
        <f t="shared" si="293"/>
        <v>No</v>
      </c>
      <c r="R1176" s="1574" t="str">
        <f t="shared" si="298"/>
        <v/>
      </c>
      <c r="S1176" s="52" t="str">
        <f t="shared" si="295"/>
        <v/>
      </c>
      <c r="T1176" s="52" t="str">
        <f t="shared" si="296"/>
        <v/>
      </c>
      <c r="U1176" s="52" t="str">
        <f t="shared" si="309"/>
        <v/>
      </c>
      <c r="V1176" s="52" t="str">
        <f t="shared" si="297"/>
        <v/>
      </c>
      <c r="W1176" s="1578"/>
      <c r="X1176" s="52" t="str">
        <f t="shared" si="304"/>
        <v/>
      </c>
      <c r="Y1176" s="52" t="str">
        <f t="shared" si="310"/>
        <v/>
      </c>
      <c r="AA1176" s="52" t="str">
        <f t="shared" si="301"/>
        <v/>
      </c>
    </row>
    <row r="1177" spans="2:27">
      <c r="B1177" s="1532" t="str">
        <f t="shared" si="305"/>
        <v>Savage Reputation</v>
      </c>
      <c r="C1177" s="1795"/>
      <c r="D1177" s="920"/>
      <c r="E1177" s="61"/>
      <c r="F1177" s="61" t="s">
        <v>3429</v>
      </c>
      <c r="G1177" s="61"/>
      <c r="H1177" s="61"/>
      <c r="I1177" s="61"/>
      <c r="J1177" s="1687" t="s">
        <v>5396</v>
      </c>
      <c r="K1177" s="63" t="str">
        <f>IF(AND(Q1176="Yes",L1175&lt;&gt;""),"Yes","No")</f>
        <v>No</v>
      </c>
      <c r="L1177" s="76"/>
      <c r="M1177" s="63">
        <f t="shared" si="292"/>
        <v>0</v>
      </c>
      <c r="N1177" s="63" t="s">
        <v>3427</v>
      </c>
      <c r="O1177" s="64"/>
      <c r="P1177" s="660" t="str">
        <f t="shared" si="303"/>
        <v/>
      </c>
      <c r="Q1177" s="52" t="str">
        <f t="shared" si="293"/>
        <v>No</v>
      </c>
      <c r="R1177" s="1574" t="str">
        <f t="shared" si="298"/>
        <v/>
      </c>
      <c r="S1177" s="52" t="str">
        <f t="shared" si="295"/>
        <v/>
      </c>
      <c r="T1177" s="52" t="str">
        <f t="shared" si="296"/>
        <v/>
      </c>
      <c r="U1177" s="52" t="str">
        <f t="shared" si="309"/>
        <v/>
      </c>
      <c r="V1177" s="52" t="str">
        <f t="shared" si="297"/>
        <v/>
      </c>
      <c r="W1177" s="1578"/>
      <c r="X1177" s="52" t="str">
        <f t="shared" si="304"/>
        <v/>
      </c>
      <c r="Y1177" s="52" t="str">
        <f t="shared" si="310"/>
        <v/>
      </c>
      <c r="AA1177" s="52" t="str">
        <f t="shared" si="301"/>
        <v/>
      </c>
    </row>
    <row r="1178" spans="2:27" ht="26">
      <c r="B1178" s="1532" t="str">
        <f t="shared" si="305"/>
        <v>Keep Them Reeling</v>
      </c>
      <c r="C1178" s="1795"/>
      <c r="D1178" s="920"/>
      <c r="E1178" s="61" t="s">
        <v>3430</v>
      </c>
      <c r="F1178" s="61"/>
      <c r="G1178" s="61"/>
      <c r="H1178" s="61"/>
      <c r="I1178" s="61"/>
      <c r="J1178" s="1687" t="s">
        <v>5397</v>
      </c>
      <c r="K1178" s="63" t="str">
        <f t="shared" si="289"/>
        <v>No</v>
      </c>
      <c r="L1178" s="76"/>
      <c r="M1178" s="63">
        <f t="shared" si="292"/>
        <v>0</v>
      </c>
      <c r="N1178" s="63" t="s">
        <v>3427</v>
      </c>
      <c r="O1178" s="64"/>
      <c r="P1178" s="660" t="str">
        <f t="shared" si="303"/>
        <v/>
      </c>
      <c r="Q1178" s="52" t="str">
        <f t="shared" si="293"/>
        <v>No</v>
      </c>
      <c r="R1178" s="1574" t="str">
        <f t="shared" si="298"/>
        <v/>
      </c>
      <c r="S1178" s="52" t="str">
        <f t="shared" si="295"/>
        <v/>
      </c>
      <c r="T1178" s="52" t="str">
        <f t="shared" si="296"/>
        <v/>
      </c>
      <c r="U1178" s="52" t="str">
        <f t="shared" si="309"/>
        <v/>
      </c>
      <c r="V1178" s="52" t="str">
        <f t="shared" si="297"/>
        <v/>
      </c>
      <c r="W1178" s="1578"/>
      <c r="X1178" s="52" t="str">
        <f t="shared" si="304"/>
        <v/>
      </c>
      <c r="Y1178" s="52" t="str">
        <f t="shared" si="310"/>
        <v/>
      </c>
      <c r="AA1178" s="52" t="str">
        <f t="shared" si="301"/>
        <v/>
      </c>
    </row>
    <row r="1179" spans="2:27" ht="26">
      <c r="B1179" s="1532" t="str">
        <f t="shared" si="305"/>
        <v>Raider's Frenzy</v>
      </c>
      <c r="C1179" s="1795"/>
      <c r="D1179" s="920"/>
      <c r="E1179" s="61" t="s">
        <v>3431</v>
      </c>
      <c r="F1179" s="61"/>
      <c r="G1179" s="61"/>
      <c r="H1179" s="61"/>
      <c r="I1179" s="61"/>
      <c r="J1179" s="1687" t="s">
        <v>5398</v>
      </c>
      <c r="K1179" s="63" t="str">
        <f t="shared" si="289"/>
        <v>No</v>
      </c>
      <c r="L1179" s="76"/>
      <c r="M1179" s="63">
        <f t="shared" si="292"/>
        <v>0</v>
      </c>
      <c r="N1179" s="63" t="s">
        <v>3427</v>
      </c>
      <c r="O1179" s="64"/>
      <c r="P1179" s="660" t="str">
        <f t="shared" si="303"/>
        <v/>
      </c>
      <c r="Q1179" s="52" t="str">
        <f t="shared" si="293"/>
        <v>No</v>
      </c>
      <c r="R1179" s="1574" t="str">
        <f t="shared" si="298"/>
        <v/>
      </c>
      <c r="S1179" s="52" t="str">
        <f t="shared" si="295"/>
        <v/>
      </c>
      <c r="T1179" s="52" t="str">
        <f t="shared" si="296"/>
        <v/>
      </c>
      <c r="U1179" s="52" t="str">
        <f t="shared" si="309"/>
        <v/>
      </c>
      <c r="V1179" s="52" t="str">
        <f t="shared" si="297"/>
        <v/>
      </c>
      <c r="W1179" s="1578"/>
      <c r="X1179" s="52" t="str">
        <f t="shared" si="304"/>
        <v/>
      </c>
      <c r="Y1179" s="52" t="str">
        <f t="shared" si="310"/>
        <v/>
      </c>
      <c r="AA1179" s="52" t="str">
        <f t="shared" si="301"/>
        <v/>
      </c>
    </row>
    <row r="1180" spans="2:27" ht="26">
      <c r="B1180" s="1532" t="str">
        <f t="shared" si="305"/>
        <v>Raider's Surge</v>
      </c>
      <c r="C1180" s="1795"/>
      <c r="D1180" s="920"/>
      <c r="E1180" s="61" t="s">
        <v>3432</v>
      </c>
      <c r="F1180" s="61"/>
      <c r="G1180" s="61"/>
      <c r="H1180" s="61"/>
      <c r="I1180" s="61"/>
      <c r="J1180" s="1687" t="s">
        <v>5399</v>
      </c>
      <c r="K1180" s="63" t="str">
        <f t="shared" si="289"/>
        <v>No</v>
      </c>
      <c r="L1180" s="76"/>
      <c r="M1180" s="63">
        <f t="shared" si="292"/>
        <v>0</v>
      </c>
      <c r="N1180" s="63" t="s">
        <v>3427</v>
      </c>
      <c r="O1180" s="64"/>
      <c r="P1180" s="660" t="str">
        <f t="shared" si="303"/>
        <v/>
      </c>
      <c r="Q1180" s="52" t="str">
        <f t="shared" si="293"/>
        <v>No</v>
      </c>
      <c r="R1180" s="1574" t="str">
        <f t="shared" si="298"/>
        <v/>
      </c>
      <c r="S1180" s="52" t="str">
        <f t="shared" si="295"/>
        <v/>
      </c>
      <c r="T1180" s="52" t="str">
        <f t="shared" si="296"/>
        <v/>
      </c>
      <c r="U1180" s="52" t="str">
        <f t="shared" si="309"/>
        <v/>
      </c>
      <c r="V1180" s="52" t="str">
        <f t="shared" si="297"/>
        <v/>
      </c>
      <c r="W1180" s="1578"/>
      <c r="X1180" s="52" t="str">
        <f t="shared" si="304"/>
        <v/>
      </c>
      <c r="Y1180" s="52" t="str">
        <f t="shared" si="310"/>
        <v/>
      </c>
      <c r="AA1180" s="52" t="str">
        <f t="shared" si="301"/>
        <v/>
      </c>
    </row>
    <row r="1181" spans="2:27" ht="26">
      <c r="B1181" s="1532" t="str">
        <f t="shared" si="305"/>
        <v>Take Them Alive</v>
      </c>
      <c r="C1181" s="1795"/>
      <c r="D1181" s="920"/>
      <c r="E1181" s="61" t="s">
        <v>3433</v>
      </c>
      <c r="F1181" s="61"/>
      <c r="G1181" s="61"/>
      <c r="H1181" s="61"/>
      <c r="I1181" s="61"/>
      <c r="J1181" s="1687" t="s">
        <v>5400</v>
      </c>
      <c r="K1181" s="63" t="str">
        <f t="shared" si="289"/>
        <v>No</v>
      </c>
      <c r="L1181" s="76"/>
      <c r="M1181" s="63">
        <f t="shared" si="292"/>
        <v>0</v>
      </c>
      <c r="N1181" s="63" t="s">
        <v>3427</v>
      </c>
      <c r="O1181" s="64"/>
      <c r="P1181" s="660" t="str">
        <f t="shared" si="303"/>
        <v/>
      </c>
      <c r="Q1181" s="52" t="str">
        <f t="shared" si="293"/>
        <v>No</v>
      </c>
      <c r="R1181" s="1574" t="str">
        <f t="shared" si="298"/>
        <v/>
      </c>
      <c r="S1181" s="52" t="str">
        <f t="shared" si="295"/>
        <v/>
      </c>
      <c r="T1181" s="52" t="str">
        <f t="shared" si="296"/>
        <v/>
      </c>
      <c r="U1181" s="52" t="str">
        <f t="shared" si="309"/>
        <v/>
      </c>
      <c r="V1181" s="52" t="str">
        <f t="shared" si="297"/>
        <v/>
      </c>
      <c r="W1181" s="1578"/>
      <c r="X1181" s="52" t="str">
        <f t="shared" si="304"/>
        <v/>
      </c>
      <c r="Y1181" s="52" t="str">
        <f t="shared" si="310"/>
        <v/>
      </c>
      <c r="AA1181" s="52" t="str">
        <f t="shared" si="301"/>
        <v/>
      </c>
    </row>
    <row r="1182" spans="2:27">
      <c r="B1182" s="1532" t="str">
        <f t="shared" si="305"/>
        <v>Armored Spacer</v>
      </c>
      <c r="C1182" s="1795"/>
      <c r="D1182" s="920" t="s">
        <v>3434</v>
      </c>
      <c r="E1182" s="61" t="s">
        <v>3435</v>
      </c>
      <c r="F1182" s="61"/>
      <c r="G1182" s="61"/>
      <c r="H1182" s="61"/>
      <c r="I1182" s="61"/>
      <c r="J1182" s="1687" t="s">
        <v>5401</v>
      </c>
      <c r="K1182" s="63" t="str">
        <f t="shared" si="289"/>
        <v>No</v>
      </c>
      <c r="L1182" s="76"/>
      <c r="M1182" s="63">
        <f t="shared" si="292"/>
        <v>0</v>
      </c>
      <c r="N1182" s="63" t="s">
        <v>3436</v>
      </c>
      <c r="O1182" s="64"/>
      <c r="P1182" s="660" t="str">
        <f t="shared" si="303"/>
        <v/>
      </c>
      <c r="Q1182" s="52" t="str">
        <f t="shared" si="293"/>
        <v>No</v>
      </c>
      <c r="R1182" s="1574" t="str">
        <f t="shared" si="298"/>
        <v/>
      </c>
      <c r="S1182" s="52" t="str">
        <f t="shared" si="295"/>
        <v/>
      </c>
      <c r="T1182" s="52" t="str">
        <f t="shared" si="296"/>
        <v/>
      </c>
      <c r="U1182" s="52" t="str">
        <f t="shared" si="309"/>
        <v/>
      </c>
      <c r="V1182" s="52" t="str">
        <f t="shared" si="297"/>
        <v/>
      </c>
      <c r="W1182" s="1578"/>
      <c r="X1182" s="52" t="str">
        <f t="shared" si="304"/>
        <v/>
      </c>
      <c r="Y1182" s="52" t="str">
        <f t="shared" si="310"/>
        <v/>
      </c>
      <c r="AA1182" s="52" t="str">
        <f t="shared" si="301"/>
        <v/>
      </c>
    </row>
    <row r="1183" spans="2:27" ht="39">
      <c r="B1183" s="1532" t="str">
        <f t="shared" si="305"/>
        <v>Attract Privateer</v>
      </c>
      <c r="C1183" s="1795"/>
      <c r="D1183" s="920"/>
      <c r="E1183" s="61" t="s">
        <v>3437</v>
      </c>
      <c r="F1183" s="61"/>
      <c r="G1183" s="61"/>
      <c r="H1183" s="61"/>
      <c r="I1183" s="61"/>
      <c r="J1183" s="1687" t="s">
        <v>5402</v>
      </c>
      <c r="K1183" s="63" t="str">
        <f t="shared" si="289"/>
        <v>No</v>
      </c>
      <c r="L1183" s="76"/>
      <c r="M1183" s="63">
        <f>IF(L1183&lt;&gt;"",L1183,0)</f>
        <v>0</v>
      </c>
      <c r="N1183" s="63" t="s">
        <v>3436</v>
      </c>
      <c r="O1183" s="64"/>
      <c r="P1183" s="660" t="str">
        <f t="shared" si="303"/>
        <v/>
      </c>
      <c r="Q1183" s="52" t="str">
        <f t="shared" si="293"/>
        <v>No</v>
      </c>
      <c r="R1183" s="1574" t="str">
        <f t="shared" si="298"/>
        <v/>
      </c>
      <c r="S1183" s="52" t="str">
        <f t="shared" ref="S1183:S1246" si="311">IF(R1183&lt;&gt;"",R1183&amp;";"&amp;S1184,S1184)</f>
        <v/>
      </c>
      <c r="T1183" s="52" t="str">
        <f t="shared" ref="T1183:T1246" si="312">IF(R1183&lt;&gt;"",N1183&amp;";"&amp;T1184,T1184)</f>
        <v/>
      </c>
      <c r="U1183" s="52" t="str">
        <f t="shared" si="309"/>
        <v/>
      </c>
      <c r="V1183" s="52" t="str">
        <f t="shared" ref="V1183:V1246" si="313">IF(U1183&lt;&gt;"",U1183&amp;";"&amp;V1184,V1184)</f>
        <v/>
      </c>
      <c r="W1183" s="1578"/>
      <c r="X1183" s="52" t="str">
        <f t="shared" si="304"/>
        <v/>
      </c>
      <c r="Y1183" s="52" t="str">
        <f t="shared" si="310"/>
        <v/>
      </c>
      <c r="AA1183" s="52" t="str">
        <f t="shared" si="301"/>
        <v/>
      </c>
    </row>
    <row r="1184" spans="2:27">
      <c r="B1184" s="1532" t="str">
        <f t="shared" si="305"/>
        <v>Blaster and Blade I</v>
      </c>
      <c r="C1184" s="1795"/>
      <c r="D1184" s="920"/>
      <c r="E1184" s="61" t="s">
        <v>3438</v>
      </c>
      <c r="F1184" s="61"/>
      <c r="G1184" s="61"/>
      <c r="H1184" s="61"/>
      <c r="I1184" s="61"/>
      <c r="J1184" s="1687" t="s">
        <v>5403</v>
      </c>
      <c r="K1184" s="63" t="str">
        <f t="shared" si="289"/>
        <v>No</v>
      </c>
      <c r="L1184" s="76"/>
      <c r="M1184" s="63">
        <f t="shared" si="292"/>
        <v>0</v>
      </c>
      <c r="N1184" s="63" t="s">
        <v>3436</v>
      </c>
      <c r="O1184" s="64"/>
      <c r="P1184" s="660" t="str">
        <f t="shared" si="303"/>
        <v/>
      </c>
      <c r="Q1184" s="52" t="str">
        <f t="shared" si="293"/>
        <v>No</v>
      </c>
      <c r="R1184" s="1574" t="str">
        <f t="shared" si="298"/>
        <v/>
      </c>
      <c r="S1184" s="52" t="str">
        <f t="shared" si="311"/>
        <v/>
      </c>
      <c r="T1184" s="52" t="str">
        <f t="shared" si="312"/>
        <v/>
      </c>
      <c r="U1184" s="52" t="str">
        <f t="shared" si="309"/>
        <v/>
      </c>
      <c r="V1184" s="52" t="str">
        <f t="shared" si="313"/>
        <v/>
      </c>
      <c r="W1184" s="1578"/>
      <c r="X1184" s="52" t="str">
        <f t="shared" si="304"/>
        <v/>
      </c>
      <c r="Y1184" s="52" t="str">
        <f t="shared" si="310"/>
        <v/>
      </c>
      <c r="AA1184" s="52" t="str">
        <f t="shared" si="301"/>
        <v/>
      </c>
    </row>
    <row r="1185" spans="2:27">
      <c r="B1185" s="1532" t="str">
        <f t="shared" si="305"/>
        <v>Blaster and Blade II</v>
      </c>
      <c r="C1185" s="1795"/>
      <c r="D1185" s="920"/>
      <c r="E1185" s="61"/>
      <c r="F1185" s="61" t="s">
        <v>3439</v>
      </c>
      <c r="G1185" s="61"/>
      <c r="H1185" s="61"/>
      <c r="I1185" s="61"/>
      <c r="J1185" s="1687" t="s">
        <v>5404</v>
      </c>
      <c r="K1185" s="63" t="str">
        <f>IF(AND(Q1184="Yes",L1184&lt;&gt;""),"Yes","No")</f>
        <v>No</v>
      </c>
      <c r="L1185" s="76"/>
      <c r="M1185" s="63">
        <f t="shared" si="292"/>
        <v>0</v>
      </c>
      <c r="N1185" s="63" t="s">
        <v>3436</v>
      </c>
      <c r="O1185" s="64"/>
      <c r="P1185" s="660" t="str">
        <f t="shared" si="303"/>
        <v/>
      </c>
      <c r="Q1185" s="52" t="str">
        <f t="shared" si="293"/>
        <v>No</v>
      </c>
      <c r="R1185" s="1574" t="str">
        <f t="shared" si="298"/>
        <v/>
      </c>
      <c r="S1185" s="52" t="str">
        <f t="shared" si="311"/>
        <v/>
      </c>
      <c r="T1185" s="52" t="str">
        <f t="shared" si="312"/>
        <v/>
      </c>
      <c r="U1185" s="52" t="str">
        <f t="shared" si="309"/>
        <v/>
      </c>
      <c r="V1185" s="52" t="str">
        <f t="shared" si="313"/>
        <v/>
      </c>
      <c r="W1185" s="1578"/>
      <c r="X1185" s="52" t="str">
        <f t="shared" si="304"/>
        <v/>
      </c>
      <c r="Y1185" s="52" t="str">
        <f t="shared" si="310"/>
        <v/>
      </c>
      <c r="AA1185" s="52" t="str">
        <f t="shared" si="301"/>
        <v/>
      </c>
    </row>
    <row r="1186" spans="2:27">
      <c r="B1186" s="1532" t="str">
        <f t="shared" si="305"/>
        <v>Blaster and Blade III</v>
      </c>
      <c r="C1186" s="1795"/>
      <c r="D1186" s="920"/>
      <c r="E1186" s="61"/>
      <c r="F1186" s="61"/>
      <c r="G1186" s="61" t="s">
        <v>3440</v>
      </c>
      <c r="H1186" s="61"/>
      <c r="I1186" s="61"/>
      <c r="J1186" s="1687" t="s">
        <v>5405</v>
      </c>
      <c r="K1186" s="63" t="str">
        <f>IF(AND(Q1185="Yes",L1185&lt;&gt;""),"Yes","No")</f>
        <v>No</v>
      </c>
      <c r="L1186" s="76"/>
      <c r="M1186" s="63">
        <f t="shared" si="292"/>
        <v>0</v>
      </c>
      <c r="N1186" s="63" t="s">
        <v>3436</v>
      </c>
      <c r="O1186" s="64"/>
      <c r="P1186" s="660" t="str">
        <f t="shared" si="303"/>
        <v/>
      </c>
      <c r="Q1186" s="52" t="str">
        <f t="shared" si="293"/>
        <v>No</v>
      </c>
      <c r="R1186" s="1574" t="str">
        <f t="shared" ref="R1186:R1249" si="314">IF(L1186&lt;&gt;"",E1186&amp;F1186&amp;G1186&amp;IF(P1186&lt;&gt;""," ("&amp;P1186&amp;")",""),"")&amp;IF(M1186&gt;1," ("&amp;M1186&amp;")","")</f>
        <v/>
      </c>
      <c r="S1186" s="52" t="str">
        <f t="shared" si="311"/>
        <v/>
      </c>
      <c r="T1186" s="52" t="str">
        <f t="shared" si="312"/>
        <v/>
      </c>
      <c r="U1186" s="52" t="str">
        <f t="shared" si="309"/>
        <v/>
      </c>
      <c r="V1186" s="52" t="str">
        <f t="shared" si="313"/>
        <v/>
      </c>
      <c r="W1186" s="1578"/>
      <c r="X1186" s="52" t="str">
        <f t="shared" si="304"/>
        <v/>
      </c>
      <c r="Y1186" s="52" t="str">
        <f t="shared" si="310"/>
        <v/>
      </c>
      <c r="AA1186" s="52" t="str">
        <f t="shared" si="301"/>
        <v/>
      </c>
    </row>
    <row r="1187" spans="2:27">
      <c r="B1187" s="1532" t="str">
        <f t="shared" si="305"/>
        <v>Boarder</v>
      </c>
      <c r="C1187" s="1795"/>
      <c r="D1187" s="920"/>
      <c r="E1187" s="61" t="s">
        <v>3441</v>
      </c>
      <c r="F1187" s="61"/>
      <c r="G1187" s="61"/>
      <c r="H1187" s="61"/>
      <c r="I1187" s="61"/>
      <c r="J1187" s="1687" t="s">
        <v>5406</v>
      </c>
      <c r="K1187" s="63" t="str">
        <f t="shared" si="289"/>
        <v>No</v>
      </c>
      <c r="L1187" s="76"/>
      <c r="M1187" s="63">
        <f t="shared" si="292"/>
        <v>0</v>
      </c>
      <c r="N1187" s="63" t="s">
        <v>3436</v>
      </c>
      <c r="O1187" s="64"/>
      <c r="P1187" s="660" t="str">
        <f t="shared" si="303"/>
        <v/>
      </c>
      <c r="Q1187" s="52" t="str">
        <f t="shared" si="293"/>
        <v>No</v>
      </c>
      <c r="R1187" s="1574" t="str">
        <f t="shared" si="314"/>
        <v/>
      </c>
      <c r="S1187" s="52" t="str">
        <f t="shared" si="311"/>
        <v/>
      </c>
      <c r="T1187" s="52" t="str">
        <f t="shared" si="312"/>
        <v/>
      </c>
      <c r="U1187" s="52" t="str">
        <f t="shared" si="309"/>
        <v/>
      </c>
      <c r="V1187" s="52" t="str">
        <f t="shared" si="313"/>
        <v/>
      </c>
      <c r="W1187" s="1578"/>
      <c r="X1187" s="52" t="str">
        <f t="shared" si="304"/>
        <v/>
      </c>
      <c r="Y1187" s="52" t="str">
        <f t="shared" si="310"/>
        <v/>
      </c>
      <c r="AA1187" s="52" t="str">
        <f t="shared" si="301"/>
        <v/>
      </c>
    </row>
    <row r="1188" spans="2:27">
      <c r="B1188" s="1532" t="str">
        <f t="shared" si="305"/>
        <v>Ion Mastery</v>
      </c>
      <c r="C1188" s="1795"/>
      <c r="D1188" s="920"/>
      <c r="E1188" s="61" t="s">
        <v>3442</v>
      </c>
      <c r="F1188" s="61"/>
      <c r="G1188" s="61"/>
      <c r="H1188" s="61"/>
      <c r="I1188" s="61"/>
      <c r="J1188" s="1687" t="s">
        <v>5407</v>
      </c>
      <c r="K1188" s="63" t="str">
        <f t="shared" si="289"/>
        <v>No</v>
      </c>
      <c r="L1188" s="76"/>
      <c r="M1188" s="63">
        <f t="shared" si="292"/>
        <v>0</v>
      </c>
      <c r="N1188" s="63" t="s">
        <v>3436</v>
      </c>
      <c r="O1188" s="64"/>
      <c r="P1188" s="660" t="str">
        <f t="shared" si="303"/>
        <v/>
      </c>
      <c r="Q1188" s="52" t="str">
        <f t="shared" si="293"/>
        <v>No</v>
      </c>
      <c r="R1188" s="1574" t="str">
        <f t="shared" si="314"/>
        <v/>
      </c>
      <c r="S1188" s="52" t="str">
        <f t="shared" si="311"/>
        <v/>
      </c>
      <c r="T1188" s="52" t="str">
        <f t="shared" si="312"/>
        <v/>
      </c>
      <c r="U1188" s="52" t="str">
        <f t="shared" si="309"/>
        <v/>
      </c>
      <c r="V1188" s="52" t="str">
        <f t="shared" si="313"/>
        <v/>
      </c>
      <c r="W1188" s="1578"/>
      <c r="X1188" s="52" t="str">
        <f t="shared" si="304"/>
        <v/>
      </c>
      <c r="Y1188" s="52" t="str">
        <f t="shared" si="310"/>
        <v/>
      </c>
      <c r="AA1188" s="52" t="str">
        <f t="shared" si="301"/>
        <v/>
      </c>
    </row>
    <row r="1189" spans="2:27" ht="39">
      <c r="B1189" s="1532" t="str">
        <f t="shared" si="305"/>
        <v>Multiattack Proficiency (advanced melee weapons)</v>
      </c>
      <c r="C1189" s="1795"/>
      <c r="D1189" s="920"/>
      <c r="E1189" s="61" t="s">
        <v>3443</v>
      </c>
      <c r="F1189" s="61"/>
      <c r="G1189" s="61"/>
      <c r="H1189" s="61"/>
      <c r="I1189" s="61"/>
      <c r="J1189" s="1687" t="s">
        <v>5408</v>
      </c>
      <c r="K1189" s="63" t="str">
        <f t="shared" si="289"/>
        <v>No</v>
      </c>
      <c r="L1189" s="76"/>
      <c r="M1189" s="63">
        <f>IF(L1189&lt;&gt;"",L1189,0)</f>
        <v>0</v>
      </c>
      <c r="N1189" s="63" t="s">
        <v>3436</v>
      </c>
      <c r="O1189" s="64"/>
      <c r="P1189" s="660" t="str">
        <f t="shared" si="303"/>
        <v/>
      </c>
      <c r="Q1189" s="52" t="str">
        <f t="shared" si="293"/>
        <v>No</v>
      </c>
      <c r="R1189" s="1574" t="str">
        <f t="shared" si="314"/>
        <v/>
      </c>
      <c r="S1189" s="52" t="str">
        <f t="shared" si="311"/>
        <v/>
      </c>
      <c r="T1189" s="52" t="str">
        <f t="shared" si="312"/>
        <v/>
      </c>
      <c r="U1189" s="52" t="str">
        <f t="shared" si="309"/>
        <v/>
      </c>
      <c r="V1189" s="52" t="str">
        <f t="shared" si="313"/>
        <v/>
      </c>
      <c r="W1189" s="1578"/>
      <c r="X1189" s="52" t="str">
        <f t="shared" si="304"/>
        <v/>
      </c>
      <c r="Y1189" s="52" t="str">
        <f t="shared" si="310"/>
        <v/>
      </c>
      <c r="AA1189" s="52" t="str">
        <f t="shared" si="301"/>
        <v/>
      </c>
    </row>
    <row r="1190" spans="2:27" ht="26">
      <c r="B1190" s="1532" t="str">
        <f t="shared" si="305"/>
        <v>Preserving Shot</v>
      </c>
      <c r="C1190" s="1796"/>
      <c r="D1190" s="71"/>
      <c r="E1190" s="927" t="s">
        <v>3444</v>
      </c>
      <c r="F1190" s="927"/>
      <c r="G1190" s="927"/>
      <c r="H1190" s="927"/>
      <c r="I1190" s="927"/>
      <c r="J1190" s="1691" t="s">
        <v>5409</v>
      </c>
      <c r="K1190" s="928" t="str">
        <f t="shared" si="289"/>
        <v>No</v>
      </c>
      <c r="L1190" s="929"/>
      <c r="M1190" s="928">
        <f t="shared" si="292"/>
        <v>0</v>
      </c>
      <c r="N1190" s="928" t="s">
        <v>3436</v>
      </c>
      <c r="O1190" s="64"/>
      <c r="P1190" s="660" t="str">
        <f t="shared" si="303"/>
        <v/>
      </c>
      <c r="Q1190" s="52" t="str">
        <f t="shared" si="293"/>
        <v>No</v>
      </c>
      <c r="R1190" s="1574" t="str">
        <f t="shared" si="314"/>
        <v/>
      </c>
      <c r="S1190" s="52" t="str">
        <f t="shared" si="311"/>
        <v/>
      </c>
      <c r="T1190" s="52" t="str">
        <f t="shared" si="312"/>
        <v/>
      </c>
      <c r="U1190" s="52" t="str">
        <f t="shared" si="309"/>
        <v/>
      </c>
      <c r="V1190" s="52" t="str">
        <f t="shared" si="313"/>
        <v/>
      </c>
      <c r="W1190" s="1578"/>
      <c r="X1190" s="52" t="str">
        <f t="shared" si="304"/>
        <v/>
      </c>
      <c r="Y1190" s="52" t="str">
        <f t="shared" si="310"/>
        <v/>
      </c>
      <c r="AA1190" s="52" t="str">
        <f t="shared" si="301"/>
        <v/>
      </c>
    </row>
    <row r="1191" spans="2:27" ht="15" customHeight="1">
      <c r="B1191" s="1532" t="str">
        <f t="shared" si="305"/>
        <v>Bring them Back</v>
      </c>
      <c r="C1191" s="1794" t="s">
        <v>1082</v>
      </c>
      <c r="D1191" s="922" t="s">
        <v>3445</v>
      </c>
      <c r="E1191" s="923" t="s">
        <v>3446</v>
      </c>
      <c r="F1191" s="923"/>
      <c r="G1191" s="923"/>
      <c r="H1191" s="923"/>
      <c r="I1191" s="923"/>
      <c r="J1191" s="1690" t="s">
        <v>5410</v>
      </c>
      <c r="K1191" s="63" t="str">
        <f t="shared" si="289"/>
        <v>No</v>
      </c>
      <c r="L1191" s="76"/>
      <c r="M1191" s="63">
        <f t="shared" si="292"/>
        <v>0</v>
      </c>
      <c r="N1191" s="924" t="s">
        <v>3447</v>
      </c>
      <c r="O1191" s="64"/>
      <c r="P1191" s="660" t="str">
        <f t="shared" si="303"/>
        <v/>
      </c>
      <c r="Q1191" s="52" t="str">
        <f>IF(OR(AD45&gt;0,AD33&gt;0),"Yes","No")</f>
        <v>No</v>
      </c>
      <c r="R1191" s="1574" t="str">
        <f t="shared" si="314"/>
        <v/>
      </c>
      <c r="S1191" s="52" t="str">
        <f t="shared" si="311"/>
        <v/>
      </c>
      <c r="T1191" s="52" t="str">
        <f t="shared" si="312"/>
        <v/>
      </c>
      <c r="U1191" s="52" t="str">
        <f t="shared" si="309"/>
        <v/>
      </c>
      <c r="V1191" s="52" t="str">
        <f t="shared" si="313"/>
        <v/>
      </c>
      <c r="W1191" s="1578"/>
      <c r="X1191" s="52" t="str">
        <f t="shared" si="304"/>
        <v/>
      </c>
      <c r="Y1191" s="52" t="str">
        <f t="shared" si="310"/>
        <v/>
      </c>
      <c r="AA1191" s="52" t="str">
        <f t="shared" si="301"/>
        <v/>
      </c>
    </row>
    <row r="1192" spans="2:27">
      <c r="B1192" s="1532" t="str">
        <f t="shared" si="305"/>
        <v>Emergency Team</v>
      </c>
      <c r="C1192" s="1795"/>
      <c r="D1192" s="920"/>
      <c r="E1192" s="61" t="s">
        <v>3448</v>
      </c>
      <c r="F1192" s="61"/>
      <c r="G1192" s="61"/>
      <c r="H1192" s="61"/>
      <c r="I1192" s="61"/>
      <c r="J1192" s="1687" t="s">
        <v>5411</v>
      </c>
      <c r="K1192" s="63" t="str">
        <f t="shared" ref="K1192:K1274" si="315">IF(Q1192="Yes","Yes","No")</f>
        <v>No</v>
      </c>
      <c r="L1192" s="76"/>
      <c r="M1192" s="63">
        <f t="shared" si="292"/>
        <v>0</v>
      </c>
      <c r="N1192" s="63" t="s">
        <v>3447</v>
      </c>
      <c r="O1192" s="64"/>
      <c r="P1192" s="660" t="str">
        <f t="shared" si="303"/>
        <v/>
      </c>
      <c r="Q1192" s="52" t="str">
        <f t="shared" si="293"/>
        <v>No</v>
      </c>
      <c r="R1192" s="1574" t="str">
        <f t="shared" si="314"/>
        <v/>
      </c>
      <c r="S1192" s="52" t="str">
        <f t="shared" si="311"/>
        <v/>
      </c>
      <c r="T1192" s="52" t="str">
        <f t="shared" si="312"/>
        <v/>
      </c>
      <c r="U1192" s="52" t="str">
        <f t="shared" si="309"/>
        <v/>
      </c>
      <c r="V1192" s="52" t="str">
        <f t="shared" si="313"/>
        <v/>
      </c>
      <c r="W1192" s="1578"/>
      <c r="X1192" s="52" t="str">
        <f t="shared" si="304"/>
        <v/>
      </c>
      <c r="Y1192" s="52" t="str">
        <f t="shared" si="310"/>
        <v/>
      </c>
      <c r="AA1192" s="52" t="str">
        <f t="shared" si="301"/>
        <v/>
      </c>
    </row>
    <row r="1193" spans="2:27">
      <c r="B1193" s="1532" t="str">
        <f t="shared" si="305"/>
        <v>Extra First Aid</v>
      </c>
      <c r="C1193" s="1795"/>
      <c r="D1193" s="920"/>
      <c r="E1193" s="61" t="s">
        <v>3449</v>
      </c>
      <c r="F1193" s="61"/>
      <c r="G1193" s="61"/>
      <c r="H1193" s="61"/>
      <c r="I1193" s="61"/>
      <c r="J1193" s="1687" t="s">
        <v>5412</v>
      </c>
      <c r="K1193" s="63" t="str">
        <f t="shared" si="315"/>
        <v>No</v>
      </c>
      <c r="L1193" s="76"/>
      <c r="M1193" s="63">
        <f t="shared" si="292"/>
        <v>0</v>
      </c>
      <c r="N1193" s="63" t="s">
        <v>3447</v>
      </c>
      <c r="O1193" s="64"/>
      <c r="P1193" s="660" t="str">
        <f t="shared" si="303"/>
        <v/>
      </c>
      <c r="Q1193" s="52" t="str">
        <f t="shared" si="293"/>
        <v>No</v>
      </c>
      <c r="R1193" s="1574" t="str">
        <f t="shared" si="314"/>
        <v/>
      </c>
      <c r="S1193" s="52" t="str">
        <f t="shared" si="311"/>
        <v/>
      </c>
      <c r="T1193" s="52" t="str">
        <f t="shared" si="312"/>
        <v/>
      </c>
      <c r="U1193" s="52" t="str">
        <f t="shared" si="309"/>
        <v/>
      </c>
      <c r="V1193" s="52" t="str">
        <f t="shared" si="313"/>
        <v/>
      </c>
      <c r="W1193" s="1578"/>
      <c r="X1193" s="52" t="str">
        <f t="shared" si="304"/>
        <v/>
      </c>
      <c r="Y1193" s="52" t="str">
        <f t="shared" si="310"/>
        <v/>
      </c>
      <c r="AA1193" s="52" t="str">
        <f t="shared" si="301"/>
        <v/>
      </c>
    </row>
    <row r="1194" spans="2:27">
      <c r="B1194" s="1532" t="str">
        <f t="shared" ref="B1194:B1225" si="316">IF(E1194&lt;&gt;"",E1194,IF(F1194&lt;&gt;"",F1194,IF(G1194&lt;&gt;"",G1194,IF(H1194&lt;&gt;"",H1194))))</f>
        <v>Medical Miracle</v>
      </c>
      <c r="C1194" s="1795"/>
      <c r="D1194" s="920"/>
      <c r="E1194" s="61" t="s">
        <v>3450</v>
      </c>
      <c r="F1194" s="61"/>
      <c r="G1194" s="61"/>
      <c r="H1194" s="61"/>
      <c r="I1194" s="61"/>
      <c r="J1194" s="1687" t="s">
        <v>5413</v>
      </c>
      <c r="K1194" s="63" t="str">
        <f t="shared" si="315"/>
        <v>No</v>
      </c>
      <c r="L1194" s="76"/>
      <c r="M1194" s="63">
        <f t="shared" si="292"/>
        <v>0</v>
      </c>
      <c r="N1194" s="63" t="s">
        <v>3447</v>
      </c>
      <c r="O1194" s="64"/>
      <c r="P1194" s="660" t="str">
        <f t="shared" si="303"/>
        <v/>
      </c>
      <c r="Q1194" s="52" t="str">
        <f t="shared" si="293"/>
        <v>No</v>
      </c>
      <c r="R1194" s="1574" t="str">
        <f t="shared" si="314"/>
        <v/>
      </c>
      <c r="S1194" s="52" t="str">
        <f t="shared" si="311"/>
        <v/>
      </c>
      <c r="T1194" s="52" t="str">
        <f t="shared" si="312"/>
        <v/>
      </c>
      <c r="U1194" s="52" t="str">
        <f t="shared" si="309"/>
        <v/>
      </c>
      <c r="V1194" s="52" t="str">
        <f t="shared" si="313"/>
        <v/>
      </c>
      <c r="W1194" s="1578"/>
      <c r="X1194" s="52" t="str">
        <f t="shared" si="304"/>
        <v/>
      </c>
      <c r="Y1194" s="52" t="str">
        <f t="shared" si="310"/>
        <v/>
      </c>
      <c r="AA1194" s="52" t="str">
        <f t="shared" si="301"/>
        <v/>
      </c>
    </row>
    <row r="1195" spans="2:27">
      <c r="B1195" s="1532" t="str">
        <f t="shared" si="316"/>
        <v>Natural Healing</v>
      </c>
      <c r="C1195" s="1795"/>
      <c r="D1195" s="920"/>
      <c r="E1195" s="61" t="s">
        <v>3451</v>
      </c>
      <c r="F1195" s="61"/>
      <c r="G1195" s="61"/>
      <c r="H1195" s="61"/>
      <c r="I1195" s="61"/>
      <c r="J1195" s="1687" t="s">
        <v>5414</v>
      </c>
      <c r="K1195" s="63" t="str">
        <f t="shared" si="315"/>
        <v>No</v>
      </c>
      <c r="L1195" s="76"/>
      <c r="M1195" s="63">
        <f t="shared" si="292"/>
        <v>0</v>
      </c>
      <c r="N1195" s="63" t="s">
        <v>3447</v>
      </c>
      <c r="O1195" s="64"/>
      <c r="P1195" s="660" t="str">
        <f t="shared" si="303"/>
        <v/>
      </c>
      <c r="Q1195" s="52" t="str">
        <f t="shared" si="293"/>
        <v>No</v>
      </c>
      <c r="R1195" s="1574" t="str">
        <f t="shared" si="314"/>
        <v/>
      </c>
      <c r="S1195" s="52" t="str">
        <f t="shared" si="311"/>
        <v/>
      </c>
      <c r="T1195" s="52" t="str">
        <f t="shared" si="312"/>
        <v/>
      </c>
      <c r="U1195" s="52" t="str">
        <f t="shared" si="309"/>
        <v/>
      </c>
      <c r="V1195" s="52" t="str">
        <f t="shared" si="313"/>
        <v/>
      </c>
      <c r="W1195" s="1578"/>
      <c r="X1195" s="52" t="str">
        <f t="shared" si="304"/>
        <v/>
      </c>
      <c r="Y1195" s="52" t="str">
        <f t="shared" si="310"/>
        <v/>
      </c>
      <c r="AA1195" s="52" t="str">
        <f t="shared" si="301"/>
        <v/>
      </c>
    </row>
    <row r="1196" spans="2:27">
      <c r="B1196" s="1532" t="str">
        <f t="shared" si="316"/>
        <v>Steady Under Pressure</v>
      </c>
      <c r="C1196" s="1795"/>
      <c r="D1196" s="920"/>
      <c r="E1196" s="61" t="s">
        <v>3452</v>
      </c>
      <c r="F1196" s="61"/>
      <c r="G1196" s="61"/>
      <c r="H1196" s="61"/>
      <c r="I1196" s="61"/>
      <c r="J1196" s="1687" t="s">
        <v>5415</v>
      </c>
      <c r="K1196" s="63" t="str">
        <f t="shared" si="315"/>
        <v>No</v>
      </c>
      <c r="L1196" s="76"/>
      <c r="M1196" s="63">
        <f t="shared" si="292"/>
        <v>0</v>
      </c>
      <c r="N1196" s="63" t="s">
        <v>3447</v>
      </c>
      <c r="O1196" s="64"/>
      <c r="P1196" s="660" t="str">
        <f t="shared" si="303"/>
        <v/>
      </c>
      <c r="Q1196" s="52" t="str">
        <f t="shared" si="293"/>
        <v>No</v>
      </c>
      <c r="R1196" s="1574" t="str">
        <f t="shared" si="314"/>
        <v/>
      </c>
      <c r="S1196" s="52" t="str">
        <f t="shared" si="311"/>
        <v/>
      </c>
      <c r="T1196" s="52" t="str">
        <f t="shared" si="312"/>
        <v/>
      </c>
      <c r="U1196" s="52" t="str">
        <f t="shared" si="309"/>
        <v/>
      </c>
      <c r="V1196" s="52" t="str">
        <f t="shared" si="313"/>
        <v/>
      </c>
      <c r="W1196" s="1578"/>
      <c r="X1196" s="52" t="str">
        <f t="shared" si="304"/>
        <v/>
      </c>
      <c r="Y1196" s="52" t="str">
        <f t="shared" si="310"/>
        <v/>
      </c>
      <c r="AA1196" s="52" t="str">
        <f t="shared" si="301"/>
        <v/>
      </c>
    </row>
    <row r="1197" spans="2:27">
      <c r="B1197" s="1532" t="str">
        <f t="shared" si="316"/>
        <v>Battlefield Medic</v>
      </c>
      <c r="C1197" s="1795"/>
      <c r="D1197" s="920"/>
      <c r="E1197" s="61"/>
      <c r="F1197" s="61" t="s">
        <v>3453</v>
      </c>
      <c r="G1197" s="61"/>
      <c r="H1197" s="61"/>
      <c r="I1197" s="61"/>
      <c r="J1197" s="1687" t="s">
        <v>5416</v>
      </c>
      <c r="K1197" s="63" t="str">
        <f>IF(AND(Q1196="Yes",L1196&lt;&gt;""),"Yes","No")</f>
        <v>No</v>
      </c>
      <c r="L1197" s="76"/>
      <c r="M1197" s="63">
        <f t="shared" si="292"/>
        <v>0</v>
      </c>
      <c r="N1197" s="63" t="s">
        <v>3447</v>
      </c>
      <c r="O1197" s="64"/>
      <c r="P1197" s="660" t="str">
        <f t="shared" si="303"/>
        <v/>
      </c>
      <c r="Q1197" s="52" t="str">
        <f t="shared" si="293"/>
        <v>No</v>
      </c>
      <c r="R1197" s="1574" t="str">
        <f t="shared" si="314"/>
        <v/>
      </c>
      <c r="S1197" s="52" t="str">
        <f t="shared" si="311"/>
        <v/>
      </c>
      <c r="T1197" s="52" t="str">
        <f t="shared" si="312"/>
        <v/>
      </c>
      <c r="U1197" s="52" t="str">
        <f t="shared" si="309"/>
        <v/>
      </c>
      <c r="V1197" s="52" t="str">
        <f t="shared" si="313"/>
        <v/>
      </c>
      <c r="W1197" s="1578"/>
      <c r="X1197" s="52" t="str">
        <f t="shared" si="304"/>
        <v/>
      </c>
      <c r="Y1197" s="52" t="str">
        <f t="shared" si="310"/>
        <v/>
      </c>
      <c r="AA1197" s="52" t="str">
        <f t="shared" si="301"/>
        <v/>
      </c>
    </row>
    <row r="1198" spans="2:27">
      <c r="B1198" s="1532" t="str">
        <f t="shared" si="316"/>
        <v>Second Chance</v>
      </c>
      <c r="C1198" s="1796"/>
      <c r="D1198" s="71"/>
      <c r="E1198" s="927"/>
      <c r="F1198" s="927" t="s">
        <v>3454</v>
      </c>
      <c r="G1198" s="927"/>
      <c r="H1198" s="927"/>
      <c r="I1198" s="927"/>
      <c r="J1198" s="1691" t="s">
        <v>5417</v>
      </c>
      <c r="K1198" s="928" t="str">
        <f>IF(AND(Q1197="Yes",L1196&lt;&gt;""),"Yes","No")</f>
        <v>No</v>
      </c>
      <c r="L1198" s="929"/>
      <c r="M1198" s="928">
        <f t="shared" si="292"/>
        <v>0</v>
      </c>
      <c r="N1198" s="928" t="s">
        <v>3447</v>
      </c>
      <c r="O1198" s="64"/>
      <c r="P1198" s="660" t="str">
        <f t="shared" si="303"/>
        <v/>
      </c>
      <c r="Q1198" s="52" t="str">
        <f t="shared" si="293"/>
        <v>No</v>
      </c>
      <c r="R1198" s="1574" t="str">
        <f t="shared" si="314"/>
        <v/>
      </c>
      <c r="S1198" s="52" t="str">
        <f t="shared" si="311"/>
        <v/>
      </c>
      <c r="T1198" s="52" t="str">
        <f t="shared" si="312"/>
        <v/>
      </c>
      <c r="U1198" s="52" t="str">
        <f t="shared" si="309"/>
        <v/>
      </c>
      <c r="V1198" s="52" t="str">
        <f t="shared" si="313"/>
        <v/>
      </c>
      <c r="W1198" s="1578"/>
      <c r="X1198" s="52" t="str">
        <f t="shared" si="304"/>
        <v/>
      </c>
      <c r="Y1198" s="52" t="str">
        <f t="shared" si="310"/>
        <v/>
      </c>
      <c r="AA1198" s="52" t="str">
        <f t="shared" si="301"/>
        <v/>
      </c>
    </row>
    <row r="1199" spans="2:27" ht="15" customHeight="1">
      <c r="B1199" s="1532" t="str">
        <f t="shared" si="316"/>
        <v>Advantageous Strike</v>
      </c>
      <c r="C1199" s="1794" t="s">
        <v>974</v>
      </c>
      <c r="D1199" s="922" t="s">
        <v>974</v>
      </c>
      <c r="E1199" s="923" t="s">
        <v>3455</v>
      </c>
      <c r="F1199" s="923"/>
      <c r="G1199" s="923"/>
      <c r="H1199" s="923"/>
      <c r="I1199" s="923"/>
      <c r="J1199" s="1690" t="s">
        <v>5418</v>
      </c>
      <c r="K1199" s="63" t="str">
        <f t="shared" si="315"/>
        <v>No</v>
      </c>
      <c r="L1199" s="76"/>
      <c r="M1199" s="63">
        <f t="shared" ref="M1199:M1281" si="317">IF(L1199&lt;&gt;"",1,0)</f>
        <v>0</v>
      </c>
      <c r="N1199" s="924" t="s">
        <v>3456</v>
      </c>
      <c r="O1199" s="64"/>
      <c r="P1199" s="660" t="str">
        <f t="shared" si="303"/>
        <v/>
      </c>
      <c r="Q1199" s="52" t="str">
        <f>IF(OR($AD$45&gt;0,$AD$28&gt;0),"Yes","No")</f>
        <v>No</v>
      </c>
      <c r="R1199" s="1574" t="str">
        <f t="shared" si="314"/>
        <v/>
      </c>
      <c r="S1199" s="52" t="str">
        <f t="shared" si="311"/>
        <v/>
      </c>
      <c r="T1199" s="52" t="str">
        <f t="shared" si="312"/>
        <v/>
      </c>
      <c r="U1199" s="52" t="str">
        <f t="shared" si="309"/>
        <v/>
      </c>
      <c r="V1199" s="52" t="str">
        <f t="shared" si="313"/>
        <v/>
      </c>
      <c r="W1199" s="1578"/>
      <c r="X1199" s="52" t="str">
        <f t="shared" si="304"/>
        <v/>
      </c>
      <c r="Y1199" s="52" t="str">
        <f t="shared" si="310"/>
        <v/>
      </c>
      <c r="AA1199" s="52" t="str">
        <f t="shared" ref="AA1199:AA1281" si="318">IF(U1199&lt;&gt;"",IF(Z1199="Defenses",U1199&amp;IF(AA1200&lt;&gt;"",", ",""),"")&amp;AA1200,AA1200)</f>
        <v/>
      </c>
    </row>
    <row r="1200" spans="2:27">
      <c r="B1200" s="1532" t="str">
        <f t="shared" si="316"/>
        <v>Dirty Tricks</v>
      </c>
      <c r="C1200" s="1795"/>
      <c r="D1200" s="920"/>
      <c r="E1200" s="61" t="s">
        <v>3457</v>
      </c>
      <c r="F1200" s="61"/>
      <c r="G1200" s="61"/>
      <c r="H1200" s="61"/>
      <c r="I1200" s="61"/>
      <c r="J1200" s="1687" t="s">
        <v>5419</v>
      </c>
      <c r="K1200" s="63" t="str">
        <f t="shared" si="315"/>
        <v>No</v>
      </c>
      <c r="L1200" s="76"/>
      <c r="M1200" s="63">
        <f t="shared" si="317"/>
        <v>0</v>
      </c>
      <c r="N1200" s="63" t="s">
        <v>3456</v>
      </c>
      <c r="O1200" s="64"/>
      <c r="P1200" s="660" t="str">
        <f t="shared" si="303"/>
        <v/>
      </c>
      <c r="Q1200" s="52" t="str">
        <f t="shared" ref="Q1200:Q1281" si="319">Q1199</f>
        <v>No</v>
      </c>
      <c r="R1200" s="1574" t="str">
        <f t="shared" si="314"/>
        <v/>
      </c>
      <c r="S1200" s="52" t="str">
        <f t="shared" si="311"/>
        <v/>
      </c>
      <c r="T1200" s="52" t="str">
        <f t="shared" si="312"/>
        <v/>
      </c>
      <c r="U1200" s="52" t="str">
        <f t="shared" si="309"/>
        <v/>
      </c>
      <c r="V1200" s="52" t="str">
        <f t="shared" si="313"/>
        <v/>
      </c>
      <c r="W1200" s="1578"/>
      <c r="X1200" s="52" t="str">
        <f t="shared" si="304"/>
        <v/>
      </c>
      <c r="Y1200" s="52" t="str">
        <f t="shared" si="310"/>
        <v/>
      </c>
      <c r="AA1200" s="52" t="str">
        <f t="shared" si="318"/>
        <v/>
      </c>
    </row>
    <row r="1201" spans="2:27">
      <c r="B1201" s="1532" t="str">
        <f t="shared" si="316"/>
        <v>Dual Weapon Flourish I</v>
      </c>
      <c r="C1201" s="1795"/>
      <c r="D1201" s="920"/>
      <c r="E1201" s="61" t="s">
        <v>3458</v>
      </c>
      <c r="F1201" s="61"/>
      <c r="G1201" s="61"/>
      <c r="H1201" s="61"/>
      <c r="I1201" s="61"/>
      <c r="J1201" s="1687" t="s">
        <v>5420</v>
      </c>
      <c r="K1201" s="63" t="str">
        <f t="shared" si="315"/>
        <v>No</v>
      </c>
      <c r="L1201" s="76"/>
      <c r="M1201" s="63">
        <f t="shared" si="317"/>
        <v>0</v>
      </c>
      <c r="N1201" s="63" t="s">
        <v>3456</v>
      </c>
      <c r="O1201" s="64"/>
      <c r="P1201" s="660" t="str">
        <f t="shared" si="303"/>
        <v/>
      </c>
      <c r="Q1201" s="52" t="str">
        <f t="shared" si="319"/>
        <v>No</v>
      </c>
      <c r="R1201" s="1574" t="str">
        <f t="shared" si="314"/>
        <v/>
      </c>
      <c r="S1201" s="52" t="str">
        <f t="shared" si="311"/>
        <v/>
      </c>
      <c r="T1201" s="52" t="str">
        <f t="shared" si="312"/>
        <v/>
      </c>
      <c r="U1201" s="52" t="str">
        <f t="shared" si="309"/>
        <v/>
      </c>
      <c r="V1201" s="52" t="str">
        <f t="shared" si="313"/>
        <v/>
      </c>
      <c r="W1201" s="1578"/>
      <c r="X1201" s="52" t="str">
        <f t="shared" si="304"/>
        <v/>
      </c>
      <c r="Y1201" s="52" t="str">
        <f t="shared" si="310"/>
        <v/>
      </c>
      <c r="AA1201" s="52" t="str">
        <f t="shared" si="318"/>
        <v/>
      </c>
    </row>
    <row r="1202" spans="2:27">
      <c r="B1202" s="1532" t="str">
        <f t="shared" si="316"/>
        <v>Dual Weapon Flourish II</v>
      </c>
      <c r="C1202" s="1795"/>
      <c r="D1202" s="920"/>
      <c r="E1202" s="61"/>
      <c r="F1202" s="61" t="s">
        <v>3459</v>
      </c>
      <c r="G1202" s="61"/>
      <c r="H1202" s="61"/>
      <c r="I1202" s="61"/>
      <c r="J1202" s="1687" t="s">
        <v>5421</v>
      </c>
      <c r="K1202" s="63" t="str">
        <f>IF(AND(Q1201="Yes",L1201&lt;&gt;""),"Yes","No")</f>
        <v>No</v>
      </c>
      <c r="L1202" s="76"/>
      <c r="M1202" s="63">
        <f t="shared" si="317"/>
        <v>0</v>
      </c>
      <c r="N1202" s="63" t="s">
        <v>3456</v>
      </c>
      <c r="O1202" s="64"/>
      <c r="P1202" s="660" t="str">
        <f t="shared" si="303"/>
        <v/>
      </c>
      <c r="Q1202" s="52" t="str">
        <f t="shared" si="319"/>
        <v>No</v>
      </c>
      <c r="R1202" s="1574" t="str">
        <f t="shared" si="314"/>
        <v/>
      </c>
      <c r="S1202" s="52" t="str">
        <f t="shared" si="311"/>
        <v/>
      </c>
      <c r="T1202" s="52" t="str">
        <f t="shared" si="312"/>
        <v/>
      </c>
      <c r="U1202" s="52" t="str">
        <f t="shared" si="309"/>
        <v/>
      </c>
      <c r="V1202" s="52" t="str">
        <f t="shared" si="313"/>
        <v/>
      </c>
      <c r="W1202" s="1578"/>
      <c r="X1202" s="52" t="str">
        <f t="shared" si="304"/>
        <v/>
      </c>
      <c r="Y1202" s="52" t="str">
        <f t="shared" si="310"/>
        <v/>
      </c>
      <c r="AA1202" s="52" t="str">
        <f t="shared" si="318"/>
        <v/>
      </c>
    </row>
    <row r="1203" spans="2:27">
      <c r="B1203" s="1532" t="str">
        <f t="shared" si="316"/>
        <v>Master of Elegance</v>
      </c>
      <c r="C1203" s="1795"/>
      <c r="D1203" s="920"/>
      <c r="E1203" s="61" t="s">
        <v>3460</v>
      </c>
      <c r="F1203" s="61"/>
      <c r="G1203" s="61"/>
      <c r="H1203" s="61"/>
      <c r="I1203" s="61"/>
      <c r="J1203" s="1687" t="s">
        <v>5422</v>
      </c>
      <c r="K1203" s="63" t="str">
        <f t="shared" si="315"/>
        <v>No</v>
      </c>
      <c r="L1203" s="76"/>
      <c r="M1203" s="63">
        <f t="shared" si="317"/>
        <v>0</v>
      </c>
      <c r="N1203" s="63" t="s">
        <v>3456</v>
      </c>
      <c r="O1203" s="64"/>
      <c r="P1203" s="660" t="str">
        <f t="shared" si="303"/>
        <v/>
      </c>
      <c r="Q1203" s="52" t="str">
        <f t="shared" si="319"/>
        <v>No</v>
      </c>
      <c r="R1203" s="1574" t="str">
        <f t="shared" si="314"/>
        <v/>
      </c>
      <c r="S1203" s="52" t="str">
        <f t="shared" si="311"/>
        <v/>
      </c>
      <c r="T1203" s="52" t="str">
        <f t="shared" si="312"/>
        <v/>
      </c>
      <c r="U1203" s="52" t="str">
        <f t="shared" si="309"/>
        <v/>
      </c>
      <c r="V1203" s="52" t="str">
        <f t="shared" si="313"/>
        <v/>
      </c>
      <c r="W1203" s="1578"/>
      <c r="X1203" s="52" t="str">
        <f t="shared" si="304"/>
        <v/>
      </c>
      <c r="Y1203" s="52" t="str">
        <f t="shared" si="310"/>
        <v/>
      </c>
      <c r="AA1203" s="52" t="str">
        <f t="shared" si="318"/>
        <v/>
      </c>
    </row>
    <row r="1204" spans="2:27" ht="39">
      <c r="B1204" s="1532" t="str">
        <f t="shared" si="316"/>
        <v>Multiattack Proficiency (advanced melee weapons)</v>
      </c>
      <c r="C1204" s="1795"/>
      <c r="D1204" s="920"/>
      <c r="E1204" s="61" t="s">
        <v>3443</v>
      </c>
      <c r="F1204" s="61"/>
      <c r="G1204" s="61"/>
      <c r="H1204" s="61"/>
      <c r="I1204" s="61"/>
      <c r="J1204" s="1687" t="s">
        <v>5408</v>
      </c>
      <c r="K1204" s="63" t="str">
        <f t="shared" si="315"/>
        <v>No</v>
      </c>
      <c r="L1204" s="76"/>
      <c r="M1204" s="63">
        <f>IF(L1204&lt;&gt;"",L1204,0)</f>
        <v>0</v>
      </c>
      <c r="N1204" s="63" t="s">
        <v>3456</v>
      </c>
      <c r="O1204" s="64"/>
      <c r="P1204" s="660" t="str">
        <f t="shared" ref="P1204:P1267" si="320">IF(ShowTalentTrees,IF(D1204&lt;&gt;"",D1204,P1203),"")</f>
        <v/>
      </c>
      <c r="Q1204" s="52" t="str">
        <f t="shared" si="319"/>
        <v>No</v>
      </c>
      <c r="R1204" s="1574" t="str">
        <f t="shared" si="314"/>
        <v/>
      </c>
      <c r="S1204" s="52" t="str">
        <f t="shared" si="311"/>
        <v/>
      </c>
      <c r="T1204" s="52" t="str">
        <f t="shared" si="312"/>
        <v/>
      </c>
      <c r="U1204" s="52" t="str">
        <f t="shared" si="309"/>
        <v/>
      </c>
      <c r="V1204" s="52" t="str">
        <f t="shared" si="313"/>
        <v/>
      </c>
      <c r="W1204" s="1578"/>
      <c r="X1204" s="52" t="str">
        <f t="shared" si="304"/>
        <v/>
      </c>
      <c r="Y1204" s="52" t="str">
        <f t="shared" si="310"/>
        <v/>
      </c>
      <c r="AA1204" s="52" t="str">
        <f t="shared" si="318"/>
        <v/>
      </c>
    </row>
    <row r="1205" spans="2:27">
      <c r="B1205" s="1532" t="str">
        <f t="shared" si="316"/>
        <v>Out of Nowhere</v>
      </c>
      <c r="C1205" s="1795"/>
      <c r="D1205" s="920"/>
      <c r="E1205" s="61" t="s">
        <v>3461</v>
      </c>
      <c r="F1205" s="61"/>
      <c r="G1205" s="61"/>
      <c r="H1205" s="61"/>
      <c r="I1205" s="61"/>
      <c r="J1205" s="1687" t="s">
        <v>5423</v>
      </c>
      <c r="K1205" s="63" t="str">
        <f t="shared" si="315"/>
        <v>No</v>
      </c>
      <c r="L1205" s="76"/>
      <c r="M1205" s="63">
        <f t="shared" si="317"/>
        <v>0</v>
      </c>
      <c r="N1205" s="63" t="s">
        <v>3456</v>
      </c>
      <c r="O1205" s="64"/>
      <c r="P1205" s="660" t="str">
        <f t="shared" si="320"/>
        <v/>
      </c>
      <c r="Q1205" s="52" t="str">
        <f t="shared" si="319"/>
        <v>No</v>
      </c>
      <c r="R1205" s="1574" t="str">
        <f t="shared" si="314"/>
        <v/>
      </c>
      <c r="S1205" s="52" t="str">
        <f t="shared" si="311"/>
        <v/>
      </c>
      <c r="T1205" s="52" t="str">
        <f t="shared" si="312"/>
        <v/>
      </c>
      <c r="U1205" s="52" t="str">
        <f t="shared" si="309"/>
        <v/>
      </c>
      <c r="V1205" s="52" t="str">
        <f t="shared" si="313"/>
        <v/>
      </c>
      <c r="W1205" s="1578"/>
      <c r="X1205" s="52" t="str">
        <f t="shared" si="304"/>
        <v/>
      </c>
      <c r="Y1205" s="52" t="str">
        <f t="shared" si="310"/>
        <v/>
      </c>
      <c r="AA1205" s="52" t="str">
        <f t="shared" si="318"/>
        <v/>
      </c>
    </row>
    <row r="1206" spans="2:27">
      <c r="B1206" s="1532" t="str">
        <f t="shared" si="316"/>
        <v>Single Weapon Flourish I</v>
      </c>
      <c r="C1206" s="1795"/>
      <c r="D1206" s="920"/>
      <c r="E1206" s="61" t="s">
        <v>3462</v>
      </c>
      <c r="F1206" s="61"/>
      <c r="G1206" s="61"/>
      <c r="H1206" s="61"/>
      <c r="I1206" s="61"/>
      <c r="J1206" s="1687" t="s">
        <v>5424</v>
      </c>
      <c r="K1206" s="63" t="str">
        <f t="shared" si="315"/>
        <v>No</v>
      </c>
      <c r="L1206" s="76"/>
      <c r="M1206" s="63">
        <f t="shared" si="317"/>
        <v>0</v>
      </c>
      <c r="N1206" s="63" t="s">
        <v>3456</v>
      </c>
      <c r="O1206" s="64"/>
      <c r="P1206" s="660" t="str">
        <f t="shared" si="320"/>
        <v/>
      </c>
      <c r="Q1206" s="52" t="str">
        <f t="shared" si="319"/>
        <v>No</v>
      </c>
      <c r="R1206" s="1574" t="str">
        <f t="shared" si="314"/>
        <v/>
      </c>
      <c r="S1206" s="52" t="str">
        <f t="shared" si="311"/>
        <v/>
      </c>
      <c r="T1206" s="52" t="str">
        <f t="shared" si="312"/>
        <v/>
      </c>
      <c r="U1206" s="52" t="str">
        <f t="shared" si="309"/>
        <v/>
      </c>
      <c r="V1206" s="52" t="str">
        <f t="shared" si="313"/>
        <v/>
      </c>
      <c r="W1206" s="1578"/>
      <c r="X1206" s="52" t="str">
        <f t="shared" si="304"/>
        <v/>
      </c>
      <c r="Y1206" s="52" t="str">
        <f t="shared" si="310"/>
        <v/>
      </c>
      <c r="AA1206" s="52" t="str">
        <f t="shared" si="318"/>
        <v/>
      </c>
    </row>
    <row r="1207" spans="2:27">
      <c r="B1207" s="1532" t="str">
        <f t="shared" si="316"/>
        <v>Single Weapon Flourish II</v>
      </c>
      <c r="C1207" s="1796"/>
      <c r="D1207" s="71"/>
      <c r="E1207" s="927"/>
      <c r="F1207" s="927" t="s">
        <v>3463</v>
      </c>
      <c r="G1207" s="927"/>
      <c r="H1207" s="927"/>
      <c r="I1207" s="927"/>
      <c r="J1207" s="1691" t="s">
        <v>5425</v>
      </c>
      <c r="K1207" s="928" t="str">
        <f>IF(AND(Q1206="Yes",L1206&lt;&gt;""),"Yes","No")</f>
        <v>No</v>
      </c>
      <c r="L1207" s="929"/>
      <c r="M1207" s="928">
        <f t="shared" si="317"/>
        <v>0</v>
      </c>
      <c r="N1207" s="928" t="s">
        <v>3456</v>
      </c>
      <c r="O1207" s="64"/>
      <c r="P1207" s="660" t="str">
        <f t="shared" si="320"/>
        <v/>
      </c>
      <c r="Q1207" s="52" t="str">
        <f t="shared" si="319"/>
        <v>No</v>
      </c>
      <c r="R1207" s="1574" t="str">
        <f t="shared" si="314"/>
        <v/>
      </c>
      <c r="S1207" s="52" t="str">
        <f t="shared" si="311"/>
        <v/>
      </c>
      <c r="T1207" s="52" t="str">
        <f t="shared" si="312"/>
        <v/>
      </c>
      <c r="U1207" s="52" t="str">
        <f t="shared" si="309"/>
        <v/>
      </c>
      <c r="V1207" s="52" t="str">
        <f t="shared" si="313"/>
        <v/>
      </c>
      <c r="W1207" s="1578"/>
      <c r="X1207" s="52" t="str">
        <f t="shared" si="304"/>
        <v/>
      </c>
      <c r="Y1207" s="52" t="str">
        <f t="shared" si="310"/>
        <v/>
      </c>
      <c r="AA1207" s="52" t="str">
        <f t="shared" si="318"/>
        <v/>
      </c>
    </row>
    <row r="1208" spans="2:27" ht="15" customHeight="1">
      <c r="B1208" s="1532" t="str">
        <f t="shared" si="316"/>
        <v>Breach Cover</v>
      </c>
      <c r="C1208" s="1794" t="s">
        <v>1198</v>
      </c>
      <c r="D1208" s="922" t="s">
        <v>1198</v>
      </c>
      <c r="E1208" s="923" t="s">
        <v>3464</v>
      </c>
      <c r="F1208" s="923"/>
      <c r="G1208" s="923"/>
      <c r="H1208" s="923"/>
      <c r="I1208" s="923"/>
      <c r="J1208" s="1690" t="s">
        <v>5426</v>
      </c>
      <c r="K1208" s="63" t="str">
        <f t="shared" si="315"/>
        <v>No</v>
      </c>
      <c r="L1208" s="76"/>
      <c r="M1208" s="63">
        <f t="shared" si="317"/>
        <v>0</v>
      </c>
      <c r="N1208" s="924" t="s">
        <v>3465</v>
      </c>
      <c r="O1208" s="64"/>
      <c r="P1208" s="660" t="str">
        <f t="shared" si="320"/>
        <v/>
      </c>
      <c r="Q1208" s="52" t="str">
        <f>IF(OR(AD45&gt;0,AD39&gt;0),"Yes","No")</f>
        <v>No</v>
      </c>
      <c r="R1208" s="1574" t="str">
        <f t="shared" si="314"/>
        <v/>
      </c>
      <c r="S1208" s="52" t="str">
        <f t="shared" si="311"/>
        <v/>
      </c>
      <c r="T1208" s="52" t="str">
        <f t="shared" si="312"/>
        <v/>
      </c>
      <c r="U1208" s="52" t="str">
        <f t="shared" si="309"/>
        <v/>
      </c>
      <c r="V1208" s="52" t="str">
        <f t="shared" si="313"/>
        <v/>
      </c>
      <c r="W1208" s="1578"/>
      <c r="X1208" s="52" t="str">
        <f t="shared" si="304"/>
        <v/>
      </c>
      <c r="Y1208" s="52" t="str">
        <f t="shared" si="310"/>
        <v/>
      </c>
      <c r="AA1208" s="52" t="str">
        <f t="shared" si="318"/>
        <v/>
      </c>
    </row>
    <row r="1209" spans="2:27">
      <c r="B1209" s="1532" t="str">
        <f t="shared" si="316"/>
        <v>Breaching Explosive</v>
      </c>
      <c r="C1209" s="1795"/>
      <c r="D1209" s="920"/>
      <c r="E1209" s="61" t="s">
        <v>3466</v>
      </c>
      <c r="F1209" s="61"/>
      <c r="G1209" s="61"/>
      <c r="H1209" s="61"/>
      <c r="I1209" s="61"/>
      <c r="J1209" s="1687" t="s">
        <v>5427</v>
      </c>
      <c r="K1209" s="63" t="str">
        <f t="shared" si="315"/>
        <v>No</v>
      </c>
      <c r="L1209" s="76"/>
      <c r="M1209" s="63">
        <f t="shared" si="317"/>
        <v>0</v>
      </c>
      <c r="N1209" s="63" t="s">
        <v>3465</v>
      </c>
      <c r="O1209" s="64"/>
      <c r="P1209" s="660" t="str">
        <f t="shared" si="320"/>
        <v/>
      </c>
      <c r="Q1209" s="52" t="str">
        <f t="shared" si="319"/>
        <v>No</v>
      </c>
      <c r="R1209" s="1574" t="str">
        <f t="shared" si="314"/>
        <v/>
      </c>
      <c r="S1209" s="52" t="str">
        <f t="shared" si="311"/>
        <v/>
      </c>
      <c r="T1209" s="52" t="str">
        <f t="shared" si="312"/>
        <v/>
      </c>
      <c r="U1209" s="52" t="str">
        <f t="shared" si="309"/>
        <v/>
      </c>
      <c r="V1209" s="52" t="str">
        <f t="shared" si="313"/>
        <v/>
      </c>
      <c r="W1209" s="1578"/>
      <c r="X1209" s="52" t="str">
        <f t="shared" si="304"/>
        <v/>
      </c>
      <c r="Y1209" s="52" t="str">
        <f t="shared" si="310"/>
        <v/>
      </c>
      <c r="AA1209" s="52" t="str">
        <f t="shared" si="318"/>
        <v/>
      </c>
    </row>
    <row r="1210" spans="2:27" ht="26">
      <c r="B1210" s="1532" t="str">
        <f t="shared" si="316"/>
        <v>Prepared Explosive</v>
      </c>
      <c r="C1210" s="1795"/>
      <c r="D1210" s="920"/>
      <c r="E1210" s="61" t="s">
        <v>3467</v>
      </c>
      <c r="F1210" s="61"/>
      <c r="G1210" s="61"/>
      <c r="H1210" s="61"/>
      <c r="I1210" s="61"/>
      <c r="J1210" s="1687" t="s">
        <v>5428</v>
      </c>
      <c r="K1210" s="63" t="str">
        <f t="shared" si="315"/>
        <v>No</v>
      </c>
      <c r="L1210" s="76"/>
      <c r="M1210" s="63">
        <f t="shared" si="317"/>
        <v>0</v>
      </c>
      <c r="N1210" s="63" t="s">
        <v>3465</v>
      </c>
      <c r="O1210" s="64"/>
      <c r="P1210" s="660" t="str">
        <f t="shared" si="320"/>
        <v/>
      </c>
      <c r="Q1210" s="52" t="str">
        <f t="shared" si="319"/>
        <v>No</v>
      </c>
      <c r="R1210" s="1574" t="str">
        <f t="shared" si="314"/>
        <v/>
      </c>
      <c r="S1210" s="52" t="str">
        <f t="shared" si="311"/>
        <v/>
      </c>
      <c r="T1210" s="52" t="str">
        <f t="shared" si="312"/>
        <v/>
      </c>
      <c r="U1210" s="52" t="str">
        <f t="shared" si="309"/>
        <v/>
      </c>
      <c r="V1210" s="52" t="str">
        <f t="shared" si="313"/>
        <v/>
      </c>
      <c r="W1210" s="1578"/>
      <c r="X1210" s="52" t="str">
        <f t="shared" si="304"/>
        <v/>
      </c>
      <c r="Y1210" s="52" t="str">
        <f t="shared" si="310"/>
        <v/>
      </c>
      <c r="AA1210" s="52" t="str">
        <f t="shared" si="318"/>
        <v/>
      </c>
    </row>
    <row r="1211" spans="2:27" ht="26">
      <c r="B1211" s="1532" t="str">
        <f t="shared" si="316"/>
        <v>Problem Solver</v>
      </c>
      <c r="C1211" s="1795"/>
      <c r="D1211" s="920"/>
      <c r="E1211" s="61" t="s">
        <v>3468</v>
      </c>
      <c r="F1211" s="61"/>
      <c r="G1211" s="61"/>
      <c r="H1211" s="61"/>
      <c r="I1211" s="61"/>
      <c r="J1211" s="1687" t="s">
        <v>5429</v>
      </c>
      <c r="K1211" s="63" t="str">
        <f t="shared" si="315"/>
        <v>No</v>
      </c>
      <c r="L1211" s="76"/>
      <c r="M1211" s="63">
        <f t="shared" si="317"/>
        <v>0</v>
      </c>
      <c r="N1211" s="63" t="s">
        <v>3465</v>
      </c>
      <c r="O1211" s="64"/>
      <c r="P1211" s="660" t="str">
        <f t="shared" si="320"/>
        <v/>
      </c>
      <c r="Q1211" s="52" t="str">
        <f t="shared" si="319"/>
        <v>No</v>
      </c>
      <c r="R1211" s="1574" t="str">
        <f t="shared" si="314"/>
        <v/>
      </c>
      <c r="S1211" s="52" t="str">
        <f t="shared" si="311"/>
        <v/>
      </c>
      <c r="T1211" s="52" t="str">
        <f t="shared" si="312"/>
        <v/>
      </c>
      <c r="U1211" s="52" t="str">
        <f t="shared" si="309"/>
        <v/>
      </c>
      <c r="V1211" s="52" t="str">
        <f t="shared" si="313"/>
        <v/>
      </c>
      <c r="W1211" s="1578"/>
      <c r="X1211" s="52" t="str">
        <f t="shared" si="304"/>
        <v/>
      </c>
      <c r="Y1211" s="52" t="str">
        <f t="shared" si="310"/>
        <v/>
      </c>
      <c r="AA1211" s="52" t="str">
        <f t="shared" si="318"/>
        <v/>
      </c>
    </row>
    <row r="1212" spans="2:27" ht="26">
      <c r="B1212" s="1532" t="str">
        <f t="shared" si="316"/>
        <v>Repairs on the Fly</v>
      </c>
      <c r="C1212" s="1795"/>
      <c r="D1212" s="920"/>
      <c r="E1212" s="61" t="s">
        <v>3469</v>
      </c>
      <c r="F1212" s="61"/>
      <c r="G1212" s="61"/>
      <c r="H1212" s="61"/>
      <c r="I1212" s="61"/>
      <c r="J1212" s="1687" t="s">
        <v>5430</v>
      </c>
      <c r="K1212" s="63" t="str">
        <f t="shared" si="315"/>
        <v>No</v>
      </c>
      <c r="L1212" s="76"/>
      <c r="M1212" s="63">
        <f t="shared" si="317"/>
        <v>0</v>
      </c>
      <c r="N1212" s="63" t="s">
        <v>3465</v>
      </c>
      <c r="O1212" s="64"/>
      <c r="P1212" s="660" t="str">
        <f t="shared" si="320"/>
        <v/>
      </c>
      <c r="Q1212" s="52" t="str">
        <f t="shared" si="319"/>
        <v>No</v>
      </c>
      <c r="R1212" s="1574" t="str">
        <f t="shared" si="314"/>
        <v/>
      </c>
      <c r="S1212" s="52" t="str">
        <f t="shared" si="311"/>
        <v/>
      </c>
      <c r="T1212" s="52" t="str">
        <f t="shared" si="312"/>
        <v/>
      </c>
      <c r="U1212" s="52" t="str">
        <f t="shared" si="309"/>
        <v/>
      </c>
      <c r="V1212" s="52" t="str">
        <f t="shared" si="313"/>
        <v/>
      </c>
      <c r="W1212" s="1578"/>
      <c r="X1212" s="52" t="str">
        <f t="shared" si="304"/>
        <v/>
      </c>
      <c r="Y1212" s="52" t="str">
        <f t="shared" si="310"/>
        <v/>
      </c>
      <c r="AA1212" s="52" t="str">
        <f t="shared" si="318"/>
        <v/>
      </c>
    </row>
    <row r="1213" spans="2:27">
      <c r="B1213" s="1532" t="str">
        <f t="shared" si="316"/>
        <v>Droid Expert</v>
      </c>
      <c r="C1213" s="1795"/>
      <c r="D1213" s="920"/>
      <c r="E1213" s="61"/>
      <c r="F1213" s="61" t="s">
        <v>3470</v>
      </c>
      <c r="G1213" s="61"/>
      <c r="H1213" s="61"/>
      <c r="I1213" s="61"/>
      <c r="J1213" s="1687" t="s">
        <v>5431</v>
      </c>
      <c r="K1213" s="63" t="str">
        <f>IF(AND(Q1212="Yes",L1212&lt;&gt;""),"Yes","No")</f>
        <v>No</v>
      </c>
      <c r="L1213" s="76"/>
      <c r="M1213" s="63">
        <f t="shared" si="317"/>
        <v>0</v>
      </c>
      <c r="N1213" s="63" t="s">
        <v>3465</v>
      </c>
      <c r="O1213" s="64"/>
      <c r="P1213" s="660" t="str">
        <f t="shared" si="320"/>
        <v/>
      </c>
      <c r="Q1213" s="52" t="str">
        <f t="shared" si="319"/>
        <v>No</v>
      </c>
      <c r="R1213" s="1574" t="str">
        <f t="shared" si="314"/>
        <v/>
      </c>
      <c r="S1213" s="52" t="str">
        <f t="shared" si="311"/>
        <v/>
      </c>
      <c r="T1213" s="52" t="str">
        <f t="shared" si="312"/>
        <v/>
      </c>
      <c r="U1213" s="52" t="str">
        <f t="shared" si="309"/>
        <v/>
      </c>
      <c r="V1213" s="52" t="str">
        <f t="shared" si="313"/>
        <v/>
      </c>
      <c r="W1213" s="1578"/>
      <c r="X1213" s="52" t="str">
        <f t="shared" si="304"/>
        <v/>
      </c>
      <c r="Y1213" s="52" t="str">
        <f t="shared" si="310"/>
        <v/>
      </c>
      <c r="AA1213" s="52" t="str">
        <f t="shared" si="318"/>
        <v/>
      </c>
    </row>
    <row r="1214" spans="2:27" ht="26">
      <c r="B1214" s="1532" t="str">
        <f t="shared" si="316"/>
        <v>Quick Modifications</v>
      </c>
      <c r="C1214" s="1795"/>
      <c r="D1214" s="920"/>
      <c r="E1214" s="61"/>
      <c r="F1214" s="61" t="s">
        <v>3471</v>
      </c>
      <c r="G1214" s="61"/>
      <c r="H1214" s="61"/>
      <c r="I1214" s="61"/>
      <c r="J1214" s="1687" t="s">
        <v>5432</v>
      </c>
      <c r="K1214" s="63" t="str">
        <f>IF(AND(Q1213="Yes",L1212&lt;&gt;""),"Yes","No")</f>
        <v>No</v>
      </c>
      <c r="L1214" s="76"/>
      <c r="M1214" s="63">
        <f t="shared" si="317"/>
        <v>0</v>
      </c>
      <c r="N1214" s="63" t="s">
        <v>3465</v>
      </c>
      <c r="O1214" s="64"/>
      <c r="P1214" s="660" t="str">
        <f t="shared" si="320"/>
        <v/>
      </c>
      <c r="Q1214" s="52" t="str">
        <f t="shared" si="319"/>
        <v>No</v>
      </c>
      <c r="R1214" s="1574" t="str">
        <f t="shared" si="314"/>
        <v/>
      </c>
      <c r="S1214" s="52" t="str">
        <f t="shared" si="311"/>
        <v/>
      </c>
      <c r="T1214" s="52" t="str">
        <f t="shared" si="312"/>
        <v/>
      </c>
      <c r="U1214" s="52" t="str">
        <f t="shared" si="309"/>
        <v/>
      </c>
      <c r="V1214" s="52" t="str">
        <f t="shared" si="313"/>
        <v/>
      </c>
      <c r="W1214" s="1578"/>
      <c r="X1214" s="52" t="str">
        <f t="shared" si="304"/>
        <v/>
      </c>
      <c r="Y1214" s="52" t="str">
        <f t="shared" si="310"/>
        <v/>
      </c>
      <c r="AA1214" s="52" t="str">
        <f t="shared" si="318"/>
        <v/>
      </c>
    </row>
    <row r="1215" spans="2:27">
      <c r="B1215" s="1532" t="str">
        <f t="shared" si="316"/>
        <v>Sabotage Device</v>
      </c>
      <c r="C1215" s="1795"/>
      <c r="D1215" s="920"/>
      <c r="E1215" s="61" t="s">
        <v>3472</v>
      </c>
      <c r="F1215" s="61"/>
      <c r="G1215" s="61"/>
      <c r="H1215" s="61"/>
      <c r="I1215" s="61"/>
      <c r="J1215" s="1687" t="s">
        <v>5433</v>
      </c>
      <c r="K1215" s="63" t="str">
        <f t="shared" si="315"/>
        <v>No</v>
      </c>
      <c r="L1215" s="76"/>
      <c r="M1215" s="63">
        <f t="shared" si="317"/>
        <v>0</v>
      </c>
      <c r="N1215" s="63" t="s">
        <v>3473</v>
      </c>
      <c r="O1215" s="64"/>
      <c r="P1215" s="660" t="str">
        <f t="shared" si="320"/>
        <v/>
      </c>
      <c r="Q1215" s="52" t="str">
        <f t="shared" si="319"/>
        <v>No</v>
      </c>
      <c r="R1215" s="1574" t="str">
        <f t="shared" si="314"/>
        <v/>
      </c>
      <c r="S1215" s="52" t="str">
        <f t="shared" si="311"/>
        <v/>
      </c>
      <c r="T1215" s="52" t="str">
        <f t="shared" si="312"/>
        <v/>
      </c>
      <c r="U1215" s="52" t="str">
        <f t="shared" si="309"/>
        <v/>
      </c>
      <c r="V1215" s="52" t="str">
        <f t="shared" si="313"/>
        <v/>
      </c>
      <c r="W1215" s="1578"/>
      <c r="X1215" s="52" t="str">
        <f t="shared" si="304"/>
        <v/>
      </c>
      <c r="Y1215" s="52" t="str">
        <f t="shared" si="310"/>
        <v/>
      </c>
      <c r="AA1215" s="52" t="str">
        <f t="shared" si="318"/>
        <v/>
      </c>
    </row>
    <row r="1216" spans="2:27" ht="26">
      <c r="B1216" s="1532" t="str">
        <f t="shared" si="316"/>
        <v>Tech Savant</v>
      </c>
      <c r="C1216" s="1795"/>
      <c r="D1216" s="920"/>
      <c r="E1216" s="61" t="s">
        <v>3474</v>
      </c>
      <c r="F1216" s="61"/>
      <c r="G1216" s="61"/>
      <c r="H1216" s="61"/>
      <c r="I1216" s="61"/>
      <c r="J1216" s="1687" t="s">
        <v>5434</v>
      </c>
      <c r="K1216" s="63" t="str">
        <f t="shared" si="315"/>
        <v>No</v>
      </c>
      <c r="L1216" s="76"/>
      <c r="M1216" s="63">
        <f t="shared" si="317"/>
        <v>0</v>
      </c>
      <c r="N1216" s="63" t="s">
        <v>3473</v>
      </c>
      <c r="O1216" s="64"/>
      <c r="P1216" s="660" t="str">
        <f t="shared" si="320"/>
        <v/>
      </c>
      <c r="Q1216" s="52" t="str">
        <f t="shared" si="319"/>
        <v>No</v>
      </c>
      <c r="R1216" s="1574" t="str">
        <f t="shared" si="314"/>
        <v/>
      </c>
      <c r="S1216" s="52" t="str">
        <f t="shared" si="311"/>
        <v/>
      </c>
      <c r="T1216" s="52" t="str">
        <f t="shared" si="312"/>
        <v/>
      </c>
      <c r="U1216" s="52" t="str">
        <f t="shared" si="309"/>
        <v/>
      </c>
      <c r="V1216" s="52" t="str">
        <f t="shared" si="313"/>
        <v/>
      </c>
      <c r="W1216" s="1578"/>
      <c r="X1216" s="52" t="str">
        <f t="shared" si="304"/>
        <v/>
      </c>
      <c r="Y1216" s="52" t="str">
        <f t="shared" si="310"/>
        <v/>
      </c>
      <c r="AA1216" s="52" t="str">
        <f t="shared" si="318"/>
        <v/>
      </c>
    </row>
    <row r="1217" spans="2:27" ht="26">
      <c r="B1217" s="1532" t="str">
        <f t="shared" si="316"/>
        <v>Vehicular Boost</v>
      </c>
      <c r="C1217" s="1796"/>
      <c r="D1217" s="71"/>
      <c r="E1217" s="927" t="s">
        <v>3475</v>
      </c>
      <c r="F1217" s="927"/>
      <c r="G1217" s="927"/>
      <c r="H1217" s="927"/>
      <c r="I1217" s="927"/>
      <c r="J1217" s="1691" t="s">
        <v>5435</v>
      </c>
      <c r="K1217" s="928" t="str">
        <f t="shared" si="315"/>
        <v>No</v>
      </c>
      <c r="L1217" s="929"/>
      <c r="M1217" s="928">
        <f t="shared" si="317"/>
        <v>0</v>
      </c>
      <c r="N1217" s="928" t="s">
        <v>3473</v>
      </c>
      <c r="O1217" s="64"/>
      <c r="P1217" s="660" t="str">
        <f t="shared" si="320"/>
        <v/>
      </c>
      <c r="Q1217" s="52" t="str">
        <f t="shared" si="319"/>
        <v>No</v>
      </c>
      <c r="R1217" s="1574" t="str">
        <f t="shared" si="314"/>
        <v/>
      </c>
      <c r="S1217" s="52" t="str">
        <f t="shared" si="311"/>
        <v/>
      </c>
      <c r="T1217" s="52" t="str">
        <f t="shared" si="312"/>
        <v/>
      </c>
      <c r="U1217" s="52" t="str">
        <f t="shared" si="309"/>
        <v/>
      </c>
      <c r="V1217" s="52" t="str">
        <f t="shared" si="313"/>
        <v/>
      </c>
      <c r="W1217" s="1578"/>
      <c r="X1217" s="52" t="str">
        <f t="shared" ref="X1217:X1280" si="321">IF(U1217&lt;&gt;"",IF(W1217="Special Actions",U1217&amp;IF(X1218&lt;&gt;"",", ",""),"")&amp;X1218,X1218)</f>
        <v/>
      </c>
      <c r="Y1217" s="52" t="str">
        <f t="shared" si="310"/>
        <v/>
      </c>
      <c r="AA1217" s="52" t="str">
        <f t="shared" si="318"/>
        <v/>
      </c>
    </row>
    <row r="1218" spans="2:27" ht="15" customHeight="1">
      <c r="B1218" s="1532" t="str">
        <f t="shared" si="316"/>
        <v>Disciplined Trickery</v>
      </c>
      <c r="C1218" s="1794" t="s">
        <v>640</v>
      </c>
      <c r="D1218" s="920" t="s">
        <v>3476</v>
      </c>
      <c r="E1218" s="61" t="s">
        <v>3477</v>
      </c>
      <c r="F1218" s="61"/>
      <c r="G1218" s="61"/>
      <c r="H1218" s="61"/>
      <c r="I1218" s="61"/>
      <c r="J1218" s="1690" t="s">
        <v>5436</v>
      </c>
      <c r="K1218" s="63" t="str">
        <f t="shared" si="315"/>
        <v>No</v>
      </c>
      <c r="L1218" s="76"/>
      <c r="M1218" s="63">
        <f t="shared" si="317"/>
        <v>0</v>
      </c>
      <c r="N1218" s="63" t="s">
        <v>3399</v>
      </c>
      <c r="O1218" s="64"/>
      <c r="P1218" s="660" t="str">
        <f t="shared" si="320"/>
        <v/>
      </c>
      <c r="Q1218" s="52" t="str">
        <f>IF(OR(AD45&gt;0,AD20&gt;0),"Yes","No")</f>
        <v>No</v>
      </c>
      <c r="R1218" s="1574" t="str">
        <f t="shared" si="314"/>
        <v/>
      </c>
      <c r="S1218" s="52" t="str">
        <f t="shared" si="311"/>
        <v/>
      </c>
      <c r="T1218" s="52" t="str">
        <f t="shared" si="312"/>
        <v/>
      </c>
      <c r="U1218" s="52" t="str">
        <f t="shared" si="309"/>
        <v/>
      </c>
      <c r="V1218" s="52" t="str">
        <f t="shared" si="313"/>
        <v/>
      </c>
      <c r="W1218" s="1578"/>
      <c r="X1218" s="52" t="str">
        <f t="shared" si="321"/>
        <v/>
      </c>
      <c r="Y1218" s="52" t="str">
        <f t="shared" si="310"/>
        <v/>
      </c>
      <c r="AA1218" s="52" t="str">
        <f t="shared" si="318"/>
        <v/>
      </c>
    </row>
    <row r="1219" spans="2:27">
      <c r="B1219" s="1532" t="str">
        <f t="shared" si="316"/>
        <v>Group Perception</v>
      </c>
      <c r="C1219" s="1795"/>
      <c r="D1219" s="920"/>
      <c r="E1219" s="61" t="s">
        <v>3478</v>
      </c>
      <c r="F1219" s="61"/>
      <c r="G1219" s="61"/>
      <c r="H1219" s="61"/>
      <c r="I1219" s="61"/>
      <c r="J1219" s="1687" t="s">
        <v>5437</v>
      </c>
      <c r="K1219" s="63" t="str">
        <f t="shared" si="315"/>
        <v>No</v>
      </c>
      <c r="L1219" s="76"/>
      <c r="M1219" s="63">
        <f t="shared" si="317"/>
        <v>0</v>
      </c>
      <c r="N1219" s="63" t="s">
        <v>3399</v>
      </c>
      <c r="O1219" s="64"/>
      <c r="P1219" s="660" t="str">
        <f t="shared" si="320"/>
        <v/>
      </c>
      <c r="Q1219" s="52" t="str">
        <f t="shared" si="319"/>
        <v>No</v>
      </c>
      <c r="R1219" s="1574" t="str">
        <f t="shared" si="314"/>
        <v/>
      </c>
      <c r="S1219" s="52" t="str">
        <f t="shared" si="311"/>
        <v/>
      </c>
      <c r="T1219" s="52" t="str">
        <f t="shared" si="312"/>
        <v/>
      </c>
      <c r="U1219" s="52" t="str">
        <f t="shared" si="309"/>
        <v/>
      </c>
      <c r="V1219" s="52" t="str">
        <f t="shared" si="313"/>
        <v/>
      </c>
      <c r="W1219" s="1578"/>
      <c r="X1219" s="52" t="str">
        <f t="shared" si="321"/>
        <v/>
      </c>
      <c r="Y1219" s="52" t="str">
        <f t="shared" si="310"/>
        <v/>
      </c>
      <c r="AA1219" s="52" t="str">
        <f t="shared" si="318"/>
        <v/>
      </c>
    </row>
    <row r="1220" spans="2:27">
      <c r="B1220" s="1532" t="str">
        <f t="shared" si="316"/>
        <v>Hasty Withdrawl</v>
      </c>
      <c r="C1220" s="1795"/>
      <c r="D1220" s="920"/>
      <c r="E1220" s="61" t="s">
        <v>3479</v>
      </c>
      <c r="F1220" s="61"/>
      <c r="G1220" s="61"/>
      <c r="H1220" s="61"/>
      <c r="I1220" s="61"/>
      <c r="J1220" s="1687" t="s">
        <v>5438</v>
      </c>
      <c r="K1220" s="63" t="str">
        <f t="shared" si="315"/>
        <v>No</v>
      </c>
      <c r="L1220" s="76"/>
      <c r="M1220" s="63">
        <f t="shared" si="317"/>
        <v>0</v>
      </c>
      <c r="N1220" s="63" t="s">
        <v>3399</v>
      </c>
      <c r="O1220" s="64"/>
      <c r="P1220" s="660" t="str">
        <f t="shared" si="320"/>
        <v/>
      </c>
      <c r="Q1220" s="52" t="str">
        <f t="shared" si="319"/>
        <v>No</v>
      </c>
      <c r="R1220" s="1574" t="str">
        <f t="shared" si="314"/>
        <v/>
      </c>
      <c r="S1220" s="52" t="str">
        <f t="shared" si="311"/>
        <v/>
      </c>
      <c r="T1220" s="52" t="str">
        <f t="shared" si="312"/>
        <v/>
      </c>
      <c r="U1220" s="52" t="str">
        <f t="shared" si="309"/>
        <v/>
      </c>
      <c r="V1220" s="52" t="str">
        <f t="shared" si="313"/>
        <v/>
      </c>
      <c r="W1220" s="1578"/>
      <c r="X1220" s="52" t="str">
        <f t="shared" si="321"/>
        <v/>
      </c>
      <c r="Y1220" s="52" t="str">
        <f t="shared" si="310"/>
        <v/>
      </c>
      <c r="AA1220" s="52" t="str">
        <f t="shared" si="318"/>
        <v/>
      </c>
    </row>
    <row r="1221" spans="2:27">
      <c r="B1221" s="1532" t="str">
        <f t="shared" si="316"/>
        <v>Stealthy Withdrawl</v>
      </c>
      <c r="C1221" s="1795"/>
      <c r="D1221" s="920"/>
      <c r="E1221" s="61"/>
      <c r="F1221" s="61" t="s">
        <v>3480</v>
      </c>
      <c r="G1221" s="61"/>
      <c r="H1221" s="61"/>
      <c r="I1221" s="61"/>
      <c r="J1221" s="1687" t="s">
        <v>5439</v>
      </c>
      <c r="K1221" s="63" t="str">
        <f>IF(AND(Q1220="Yes",L1220&lt;&gt;""),"Yes","No")</f>
        <v>No</v>
      </c>
      <c r="L1221" s="76"/>
      <c r="M1221" s="63">
        <f t="shared" si="317"/>
        <v>0</v>
      </c>
      <c r="N1221" s="63" t="s">
        <v>3399</v>
      </c>
      <c r="O1221" s="64"/>
      <c r="P1221" s="660" t="str">
        <f t="shared" si="320"/>
        <v/>
      </c>
      <c r="Q1221" s="52" t="str">
        <f t="shared" si="319"/>
        <v>No</v>
      </c>
      <c r="R1221" s="1574" t="str">
        <f t="shared" si="314"/>
        <v/>
      </c>
      <c r="S1221" s="52" t="str">
        <f t="shared" si="311"/>
        <v/>
      </c>
      <c r="T1221" s="52" t="str">
        <f t="shared" si="312"/>
        <v/>
      </c>
      <c r="U1221" s="52" t="str">
        <f t="shared" si="309"/>
        <v/>
      </c>
      <c r="V1221" s="52" t="str">
        <f t="shared" si="313"/>
        <v/>
      </c>
      <c r="W1221" s="1578"/>
      <c r="X1221" s="52" t="str">
        <f t="shared" si="321"/>
        <v/>
      </c>
      <c r="Y1221" s="52" t="str">
        <f t="shared" si="310"/>
        <v/>
      </c>
      <c r="AA1221" s="52" t="str">
        <f t="shared" si="318"/>
        <v/>
      </c>
    </row>
    <row r="1222" spans="2:27">
      <c r="B1222" s="1532" t="str">
        <f t="shared" si="316"/>
        <v>Stalwart Subordanates</v>
      </c>
      <c r="C1222" s="1795"/>
      <c r="D1222" s="920"/>
      <c r="E1222" s="61" t="s">
        <v>3481</v>
      </c>
      <c r="F1222" s="61"/>
      <c r="G1222" s="61"/>
      <c r="H1222" s="61"/>
      <c r="I1222" s="61"/>
      <c r="J1222" s="1687" t="s">
        <v>5440</v>
      </c>
      <c r="K1222" s="63" t="str">
        <f t="shared" si="315"/>
        <v>No</v>
      </c>
      <c r="L1222" s="76"/>
      <c r="M1222" s="63">
        <f t="shared" si="317"/>
        <v>0</v>
      </c>
      <c r="N1222" s="63" t="s">
        <v>3399</v>
      </c>
      <c r="O1222" s="64"/>
      <c r="P1222" s="660" t="str">
        <f t="shared" si="320"/>
        <v/>
      </c>
      <c r="Q1222" s="52" t="str">
        <f t="shared" si="319"/>
        <v>No</v>
      </c>
      <c r="R1222" s="1574" t="str">
        <f t="shared" si="314"/>
        <v/>
      </c>
      <c r="S1222" s="52" t="str">
        <f t="shared" si="311"/>
        <v/>
      </c>
      <c r="T1222" s="52" t="str">
        <f t="shared" si="312"/>
        <v/>
      </c>
      <c r="U1222" s="52" t="str">
        <f t="shared" si="309"/>
        <v/>
      </c>
      <c r="V1222" s="52" t="str">
        <f t="shared" si="313"/>
        <v/>
      </c>
      <c r="W1222" s="1578"/>
      <c r="X1222" s="52" t="str">
        <f t="shared" si="321"/>
        <v/>
      </c>
      <c r="Y1222" s="52" t="str">
        <f t="shared" si="310"/>
        <v/>
      </c>
      <c r="AA1222" s="52" t="str">
        <f t="shared" si="318"/>
        <v/>
      </c>
    </row>
    <row r="1223" spans="2:27">
      <c r="B1223" s="1532" t="str">
        <f t="shared" si="316"/>
        <v>Stay in the Fight</v>
      </c>
      <c r="C1223" s="1795"/>
      <c r="D1223" s="920"/>
      <c r="E1223" s="61"/>
      <c r="F1223" s="61" t="s">
        <v>3482</v>
      </c>
      <c r="G1223" s="61"/>
      <c r="H1223" s="61"/>
      <c r="I1223" s="61"/>
      <c r="J1223" s="1687" t="s">
        <v>5441</v>
      </c>
      <c r="K1223" s="63" t="str">
        <f>IF(AND(Q1222="Yes",L1222&lt;&gt;""),"Yes","No")</f>
        <v>No</v>
      </c>
      <c r="L1223" s="76"/>
      <c r="M1223" s="63">
        <f t="shared" si="317"/>
        <v>0</v>
      </c>
      <c r="N1223" s="63" t="s">
        <v>3399</v>
      </c>
      <c r="O1223" s="64"/>
      <c r="P1223" s="660" t="str">
        <f t="shared" si="320"/>
        <v/>
      </c>
      <c r="Q1223" s="52" t="str">
        <f t="shared" si="319"/>
        <v>No</v>
      </c>
      <c r="R1223" s="1574" t="str">
        <f t="shared" si="314"/>
        <v/>
      </c>
      <c r="S1223" s="52" t="str">
        <f t="shared" si="311"/>
        <v/>
      </c>
      <c r="T1223" s="52" t="str">
        <f t="shared" si="312"/>
        <v/>
      </c>
      <c r="U1223" s="52" t="str">
        <f t="shared" si="309"/>
        <v/>
      </c>
      <c r="V1223" s="52" t="str">
        <f t="shared" si="313"/>
        <v/>
      </c>
      <c r="W1223" s="1578"/>
      <c r="X1223" s="52" t="str">
        <f t="shared" si="321"/>
        <v/>
      </c>
      <c r="Y1223" s="52" t="str">
        <f t="shared" si="310"/>
        <v/>
      </c>
      <c r="AA1223" s="52" t="str">
        <f t="shared" si="318"/>
        <v/>
      </c>
    </row>
    <row r="1224" spans="2:27" ht="26">
      <c r="B1224" s="1532" t="str">
        <f t="shared" si="316"/>
        <v>Assault Tactics</v>
      </c>
      <c r="C1224" s="1795"/>
      <c r="D1224" s="920" t="s">
        <v>3483</v>
      </c>
      <c r="E1224" s="61" t="s">
        <v>3484</v>
      </c>
      <c r="F1224" s="61"/>
      <c r="G1224" s="61"/>
      <c r="H1224" s="61"/>
      <c r="I1224" s="61"/>
      <c r="J1224" s="1687" t="s">
        <v>5442</v>
      </c>
      <c r="K1224" s="63" t="str">
        <f t="shared" si="315"/>
        <v>No</v>
      </c>
      <c r="L1224" s="76"/>
      <c r="M1224" s="63">
        <f t="shared" si="317"/>
        <v>0</v>
      </c>
      <c r="N1224" s="63">
        <v>221</v>
      </c>
      <c r="O1224" s="64"/>
      <c r="P1224" s="660" t="str">
        <f t="shared" si="320"/>
        <v/>
      </c>
      <c r="Q1224" s="52" t="str">
        <f t="shared" si="319"/>
        <v>No</v>
      </c>
      <c r="R1224" s="1574" t="str">
        <f t="shared" si="314"/>
        <v/>
      </c>
      <c r="S1224" s="52" t="str">
        <f t="shared" si="311"/>
        <v/>
      </c>
      <c r="T1224" s="52" t="str">
        <f t="shared" si="312"/>
        <v/>
      </c>
      <c r="U1224" s="52" t="str">
        <f t="shared" si="309"/>
        <v/>
      </c>
      <c r="V1224" s="52" t="str">
        <f t="shared" si="313"/>
        <v/>
      </c>
      <c r="W1224" s="1578"/>
      <c r="X1224" s="52" t="str">
        <f t="shared" si="321"/>
        <v/>
      </c>
      <c r="Y1224" s="52" t="str">
        <f t="shared" si="310"/>
        <v/>
      </c>
      <c r="AA1224" s="52" t="str">
        <f t="shared" si="318"/>
        <v/>
      </c>
    </row>
    <row r="1225" spans="2:27" ht="26">
      <c r="B1225" s="1532" t="str">
        <f t="shared" si="316"/>
        <v>Exploit Weakness</v>
      </c>
      <c r="C1225" s="1795"/>
      <c r="D1225" s="920"/>
      <c r="E1225" s="61"/>
      <c r="F1225" s="61" t="s">
        <v>3485</v>
      </c>
      <c r="G1225" s="61"/>
      <c r="H1225" s="61"/>
      <c r="I1225" s="61"/>
      <c r="J1225" s="1687" t="s">
        <v>5443</v>
      </c>
      <c r="K1225" s="63" t="str">
        <f>IF(AND(Q1224="Yes",L1224&lt;&gt;""),"Yes","No")</f>
        <v>No</v>
      </c>
      <c r="L1225" s="76"/>
      <c r="M1225" s="63">
        <f t="shared" si="317"/>
        <v>0</v>
      </c>
      <c r="N1225" s="63" t="s">
        <v>3486</v>
      </c>
      <c r="O1225" s="64"/>
      <c r="P1225" s="660" t="str">
        <f t="shared" si="320"/>
        <v/>
      </c>
      <c r="Q1225" s="52" t="str">
        <f t="shared" si="319"/>
        <v>No</v>
      </c>
      <c r="R1225" s="1574" t="str">
        <f t="shared" si="314"/>
        <v/>
      </c>
      <c r="S1225" s="52" t="str">
        <f t="shared" si="311"/>
        <v/>
      </c>
      <c r="T1225" s="52" t="str">
        <f t="shared" si="312"/>
        <v/>
      </c>
      <c r="U1225" s="52" t="str">
        <f t="shared" si="309"/>
        <v/>
      </c>
      <c r="V1225" s="52" t="str">
        <f t="shared" si="313"/>
        <v/>
      </c>
      <c r="W1225" s="1578"/>
      <c r="X1225" s="52" t="str">
        <f t="shared" si="321"/>
        <v/>
      </c>
      <c r="Y1225" s="52" t="str">
        <f t="shared" si="310"/>
        <v/>
      </c>
      <c r="AA1225" s="52" t="str">
        <f>IF(U1225&lt;&gt;"",IF(Z1225="Defenses",U1225&amp;IF(AA1228&lt;&gt;"",", ",""),"")&amp;AA1228,AA1228)</f>
        <v/>
      </c>
    </row>
    <row r="1226" spans="2:27" ht="26">
      <c r="B1226" s="1575"/>
      <c r="C1226" s="1795"/>
      <c r="D1226" s="920"/>
      <c r="E1226" s="61" t="s">
        <v>8424</v>
      </c>
      <c r="F1226" s="61"/>
      <c r="G1226" s="61"/>
      <c r="H1226" s="61"/>
      <c r="I1226" s="61"/>
      <c r="J1226" s="1687" t="s">
        <v>8425</v>
      </c>
      <c r="K1226" s="63" t="str">
        <f t="shared" si="315"/>
        <v>No</v>
      </c>
      <c r="L1226" s="76"/>
      <c r="M1226" s="63">
        <f t="shared" si="317"/>
        <v>0</v>
      </c>
      <c r="N1226" s="63" t="s">
        <v>8366</v>
      </c>
      <c r="O1226" s="64"/>
      <c r="P1226" s="660" t="str">
        <f t="shared" si="320"/>
        <v/>
      </c>
      <c r="Q1226" s="52" t="str">
        <f t="shared" si="319"/>
        <v>No</v>
      </c>
      <c r="R1226" s="1574" t="str">
        <f t="shared" si="314"/>
        <v/>
      </c>
      <c r="S1226" s="52" t="str">
        <f t="shared" si="311"/>
        <v/>
      </c>
      <c r="T1226" s="52" t="str">
        <f t="shared" si="312"/>
        <v/>
      </c>
      <c r="U1226" s="52" t="str">
        <f t="shared" si="309"/>
        <v/>
      </c>
      <c r="V1226" s="52" t="str">
        <f t="shared" si="313"/>
        <v/>
      </c>
      <c r="W1226" s="1578"/>
      <c r="X1226" s="52" t="str">
        <f t="shared" si="321"/>
        <v/>
      </c>
      <c r="Y1226" s="52" t="str">
        <f t="shared" si="310"/>
        <v/>
      </c>
    </row>
    <row r="1227" spans="2:27" ht="26">
      <c r="B1227" s="1575"/>
      <c r="C1227" s="1795"/>
      <c r="D1227" s="920"/>
      <c r="E1227" s="61"/>
      <c r="F1227" s="61" t="s">
        <v>8426</v>
      </c>
      <c r="G1227" s="61"/>
      <c r="H1227" s="61"/>
      <c r="I1227" s="61"/>
      <c r="J1227" s="1687" t="s">
        <v>8427</v>
      </c>
      <c r="K1227" s="63" t="str">
        <f>IF(AND(Q1226="Yes",L1226&lt;&gt;""),"Yes","No")</f>
        <v>No</v>
      </c>
      <c r="L1227" s="76"/>
      <c r="M1227" s="63">
        <f t="shared" si="317"/>
        <v>0</v>
      </c>
      <c r="N1227" s="63" t="s">
        <v>8366</v>
      </c>
      <c r="O1227" s="64"/>
      <c r="P1227" s="660" t="str">
        <f t="shared" si="320"/>
        <v/>
      </c>
      <c r="Q1227" s="52" t="str">
        <f t="shared" si="319"/>
        <v>No</v>
      </c>
      <c r="R1227" s="1574" t="str">
        <f t="shared" si="314"/>
        <v/>
      </c>
      <c r="S1227" s="52" t="str">
        <f t="shared" si="311"/>
        <v/>
      </c>
      <c r="T1227" s="52" t="str">
        <f t="shared" si="312"/>
        <v/>
      </c>
      <c r="U1227" s="52" t="str">
        <f t="shared" si="309"/>
        <v/>
      </c>
      <c r="V1227" s="52" t="str">
        <f t="shared" si="313"/>
        <v/>
      </c>
      <c r="W1227" s="1578"/>
      <c r="X1227" s="52" t="str">
        <f t="shared" si="321"/>
        <v/>
      </c>
      <c r="Y1227" s="52" t="str">
        <f t="shared" si="310"/>
        <v/>
      </c>
    </row>
    <row r="1228" spans="2:27" ht="26">
      <c r="B1228" s="1532" t="str">
        <f>IF(E1228&lt;&gt;"",E1228,IF(F1228&lt;&gt;"",F1228,IF(G1228&lt;&gt;"",G1228,IF(H1228&lt;&gt;"",H1228))))</f>
        <v>Deployment Tactics</v>
      </c>
      <c r="C1228" s="1795"/>
      <c r="D1228" s="920"/>
      <c r="E1228" s="61" t="s">
        <v>3487</v>
      </c>
      <c r="F1228" s="61"/>
      <c r="G1228" s="61"/>
      <c r="H1228" s="61"/>
      <c r="I1228" s="61"/>
      <c r="J1228" s="1687" t="s">
        <v>5444</v>
      </c>
      <c r="K1228" s="63" t="str">
        <f t="shared" si="315"/>
        <v>No</v>
      </c>
      <c r="L1228" s="76"/>
      <c r="M1228" s="63">
        <f t="shared" si="317"/>
        <v>0</v>
      </c>
      <c r="N1228" s="63">
        <v>221</v>
      </c>
      <c r="O1228" s="64"/>
      <c r="P1228" s="660" t="str">
        <f t="shared" si="320"/>
        <v/>
      </c>
      <c r="Q1228" s="52" t="str">
        <f>Q1225</f>
        <v>No</v>
      </c>
      <c r="R1228" s="1574" t="str">
        <f t="shared" si="314"/>
        <v/>
      </c>
      <c r="S1228" s="52" t="str">
        <f t="shared" si="311"/>
        <v/>
      </c>
      <c r="T1228" s="52" t="str">
        <f t="shared" si="312"/>
        <v/>
      </c>
      <c r="U1228" s="52" t="str">
        <f t="shared" si="309"/>
        <v/>
      </c>
      <c r="V1228" s="52" t="str">
        <f t="shared" si="313"/>
        <v/>
      </c>
      <c r="W1228" s="1578"/>
      <c r="X1228" s="52" t="str">
        <f t="shared" si="321"/>
        <v/>
      </c>
      <c r="Y1228" s="52" t="str">
        <f t="shared" si="310"/>
        <v/>
      </c>
      <c r="AA1228" s="52" t="str">
        <f t="shared" si="318"/>
        <v/>
      </c>
    </row>
    <row r="1229" spans="2:27" ht="26">
      <c r="B1229" s="1532" t="str">
        <f>IF(E1229&lt;&gt;"",E1229,IF(F1229&lt;&gt;"",F1229,IF(G1229&lt;&gt;"",G1229,IF(H1229&lt;&gt;"",H1229))))</f>
        <v>Field Tactics</v>
      </c>
      <c r="C1229" s="1795"/>
      <c r="D1229" s="920"/>
      <c r="E1229" s="61"/>
      <c r="F1229" s="61" t="s">
        <v>3488</v>
      </c>
      <c r="G1229" s="61"/>
      <c r="H1229" s="61"/>
      <c r="I1229" s="61"/>
      <c r="J1229" s="1687" t="s">
        <v>5445</v>
      </c>
      <c r="K1229" s="63" t="str">
        <f>IF(AND(Q1228="Yes",L1228&lt;&gt;""),"Yes","No")</f>
        <v>No</v>
      </c>
      <c r="L1229" s="76"/>
      <c r="M1229" s="63">
        <f t="shared" si="317"/>
        <v>0</v>
      </c>
      <c r="N1229" s="63">
        <v>221</v>
      </c>
      <c r="O1229" s="64"/>
      <c r="P1229" s="660" t="str">
        <f t="shared" si="320"/>
        <v/>
      </c>
      <c r="Q1229" s="52" t="str">
        <f t="shared" si="319"/>
        <v>No</v>
      </c>
      <c r="R1229" s="1574" t="str">
        <f t="shared" si="314"/>
        <v/>
      </c>
      <c r="S1229" s="52" t="str">
        <f t="shared" si="311"/>
        <v/>
      </c>
      <c r="T1229" s="52" t="str">
        <f t="shared" si="312"/>
        <v/>
      </c>
      <c r="U1229" s="52" t="str">
        <f t="shared" si="309"/>
        <v/>
      </c>
      <c r="V1229" s="52" t="str">
        <f t="shared" si="313"/>
        <v/>
      </c>
      <c r="W1229" s="1578"/>
      <c r="X1229" s="52" t="str">
        <f t="shared" si="321"/>
        <v/>
      </c>
      <c r="Y1229" s="52" t="str">
        <f t="shared" si="310"/>
        <v/>
      </c>
      <c r="AA1229" s="52" t="str">
        <f t="shared" si="318"/>
        <v/>
      </c>
    </row>
    <row r="1230" spans="2:27" ht="26">
      <c r="B1230" s="1532" t="str">
        <f>IF(E1230&lt;&gt;"",E1230,IF(F1230&lt;&gt;"",F1230,IF(G1230&lt;&gt;"",G1230,IF(H1230&lt;&gt;"",H1230))))</f>
        <v>Outmaneuver</v>
      </c>
      <c r="C1230" s="1795"/>
      <c r="D1230" s="920"/>
      <c r="E1230" s="61"/>
      <c r="F1230" s="61"/>
      <c r="G1230" s="61" t="s">
        <v>3489</v>
      </c>
      <c r="H1230" s="61"/>
      <c r="I1230" s="61"/>
      <c r="J1230" s="1687" t="s">
        <v>5446</v>
      </c>
      <c r="K1230" s="63" t="str">
        <f>IF(AND(Q1229="Yes",L1229&lt;&gt;""),"Yes","No")</f>
        <v>No</v>
      </c>
      <c r="L1230" s="76"/>
      <c r="M1230" s="63">
        <f t="shared" si="317"/>
        <v>0</v>
      </c>
      <c r="N1230" s="63">
        <v>221</v>
      </c>
      <c r="O1230" s="64"/>
      <c r="P1230" s="660" t="str">
        <f t="shared" si="320"/>
        <v/>
      </c>
      <c r="Q1230" s="52" t="str">
        <f t="shared" si="319"/>
        <v>No</v>
      </c>
      <c r="R1230" s="1574" t="str">
        <f t="shared" si="314"/>
        <v/>
      </c>
      <c r="S1230" s="52" t="str">
        <f t="shared" si="311"/>
        <v/>
      </c>
      <c r="T1230" s="52" t="str">
        <f t="shared" si="312"/>
        <v/>
      </c>
      <c r="U1230" s="52" t="str">
        <f t="shared" si="309"/>
        <v/>
      </c>
      <c r="V1230" s="52" t="str">
        <f t="shared" si="313"/>
        <v/>
      </c>
      <c r="W1230" s="1578"/>
      <c r="X1230" s="52" t="str">
        <f t="shared" si="321"/>
        <v/>
      </c>
      <c r="Y1230" s="52" t="str">
        <f t="shared" si="310"/>
        <v/>
      </c>
      <c r="AA1230" s="52" t="str">
        <f t="shared" si="318"/>
        <v/>
      </c>
    </row>
    <row r="1231" spans="2:27">
      <c r="B1231" s="1532" t="str">
        <f>IF(E1231&lt;&gt;"",E1231,IF(F1231&lt;&gt;"",F1231,IF(G1231&lt;&gt;"",G1231,IF(H1231&lt;&gt;"",H1231))))</f>
        <v>One for the Team</v>
      </c>
      <c r="C1231" s="1795"/>
      <c r="D1231" s="920"/>
      <c r="E1231" s="61"/>
      <c r="F1231" s="61" t="s">
        <v>3490</v>
      </c>
      <c r="G1231" s="61"/>
      <c r="H1231" s="61"/>
      <c r="I1231" s="61"/>
      <c r="J1231" s="1687" t="s">
        <v>5447</v>
      </c>
      <c r="K1231" s="63" t="str">
        <f>IF(AND(Q1230="Yes",L1228&lt;&gt;""),"Yes","No")</f>
        <v>No</v>
      </c>
      <c r="L1231" s="76"/>
      <c r="M1231" s="63">
        <f t="shared" si="317"/>
        <v>0</v>
      </c>
      <c r="N1231" s="63">
        <v>221</v>
      </c>
      <c r="O1231" s="64"/>
      <c r="P1231" s="660" t="str">
        <f t="shared" si="320"/>
        <v/>
      </c>
      <c r="Q1231" s="52" t="str">
        <f t="shared" si="319"/>
        <v>No</v>
      </c>
      <c r="R1231" s="1574" t="str">
        <f t="shared" si="314"/>
        <v/>
      </c>
      <c r="S1231" s="52" t="str">
        <f t="shared" si="311"/>
        <v/>
      </c>
      <c r="T1231" s="52" t="str">
        <f t="shared" si="312"/>
        <v/>
      </c>
      <c r="U1231" s="52" t="str">
        <f t="shared" si="309"/>
        <v/>
      </c>
      <c r="V1231" s="52" t="str">
        <f t="shared" si="313"/>
        <v/>
      </c>
      <c r="W1231" s="1578"/>
      <c r="X1231" s="52" t="str">
        <f t="shared" si="321"/>
        <v/>
      </c>
      <c r="Y1231" s="52" t="str">
        <f t="shared" si="310"/>
        <v/>
      </c>
      <c r="AA1231" s="52" t="str">
        <f t="shared" si="318"/>
        <v/>
      </c>
    </row>
    <row r="1232" spans="2:27" ht="26">
      <c r="B1232" s="1532" t="str">
        <f>IF(E1232&lt;&gt;"",E1232,IF(F1232&lt;&gt;"",F1232,IF(G1232&lt;&gt;"",G1232,IF(H1232&lt;&gt;"",H1232))))</f>
        <v>Grand Leader</v>
      </c>
      <c r="C1232" s="1795"/>
      <c r="D1232" s="920"/>
      <c r="E1232" s="61" t="s">
        <v>3491</v>
      </c>
      <c r="F1232" s="61"/>
      <c r="G1232" s="61"/>
      <c r="H1232" s="61"/>
      <c r="I1232" s="61"/>
      <c r="J1232" s="1687" t="s">
        <v>5448</v>
      </c>
      <c r="K1232" s="63" t="str">
        <f t="shared" si="315"/>
        <v>No</v>
      </c>
      <c r="L1232" s="76"/>
      <c r="M1232" s="63">
        <f t="shared" si="317"/>
        <v>0</v>
      </c>
      <c r="N1232" s="63" t="s">
        <v>3486</v>
      </c>
      <c r="O1232" s="64"/>
      <c r="P1232" s="660" t="str">
        <f t="shared" si="320"/>
        <v/>
      </c>
      <c r="Q1232" s="52" t="str">
        <f t="shared" si="319"/>
        <v>No</v>
      </c>
      <c r="R1232" s="1574" t="str">
        <f t="shared" si="314"/>
        <v/>
      </c>
      <c r="S1232" s="52" t="str">
        <f t="shared" si="311"/>
        <v/>
      </c>
      <c r="T1232" s="52" t="str">
        <f t="shared" si="312"/>
        <v/>
      </c>
      <c r="U1232" s="52" t="str">
        <f t="shared" ref="U1232:U1295" si="322">IF(L1232&lt;&gt;"",IF(ISNUMBER(L1232),"",E1232&amp;F1232&amp;G1232),"")</f>
        <v/>
      </c>
      <c r="V1232" s="52" t="str">
        <f t="shared" si="313"/>
        <v/>
      </c>
      <c r="W1232" s="1578"/>
      <c r="X1232" s="52" t="str">
        <f t="shared" si="321"/>
        <v/>
      </c>
      <c r="Y1232" s="52" t="str">
        <f t="shared" si="310"/>
        <v/>
      </c>
      <c r="AA1232" s="52" t="str">
        <f>IF(U1232&lt;&gt;"",IF(Z1232="Defenses",U1232&amp;IF(AA1235&lt;&gt;"",", ",""),"")&amp;AA1235,AA1235)</f>
        <v/>
      </c>
    </row>
    <row r="1233" spans="2:27">
      <c r="B1233" s="1575"/>
      <c r="C1233" s="1795"/>
      <c r="D1233" s="920"/>
      <c r="E1233" s="61" t="s">
        <v>8421</v>
      </c>
      <c r="F1233" s="61"/>
      <c r="G1233" s="61"/>
      <c r="H1233" s="61"/>
      <c r="I1233" s="61"/>
      <c r="J1233" s="1687" t="s">
        <v>8422</v>
      </c>
      <c r="K1233" s="63" t="str">
        <f t="shared" si="315"/>
        <v>No</v>
      </c>
      <c r="L1233" s="76"/>
      <c r="M1233" s="63">
        <f t="shared" si="317"/>
        <v>0</v>
      </c>
      <c r="N1233" s="63" t="s">
        <v>8366</v>
      </c>
      <c r="O1233" s="64"/>
      <c r="P1233" s="660" t="str">
        <f t="shared" si="320"/>
        <v/>
      </c>
      <c r="Q1233" s="52" t="str">
        <f t="shared" si="319"/>
        <v>No</v>
      </c>
      <c r="R1233" s="1574" t="str">
        <f t="shared" si="314"/>
        <v/>
      </c>
      <c r="S1233" s="52" t="str">
        <f t="shared" si="311"/>
        <v/>
      </c>
      <c r="T1233" s="52" t="str">
        <f t="shared" si="312"/>
        <v/>
      </c>
      <c r="U1233" s="52" t="str">
        <f t="shared" si="322"/>
        <v/>
      </c>
      <c r="V1233" s="52" t="str">
        <f t="shared" si="313"/>
        <v/>
      </c>
      <c r="W1233" s="1578"/>
      <c r="X1233" s="52" t="str">
        <f t="shared" si="321"/>
        <v/>
      </c>
      <c r="Y1233" s="52" t="str">
        <f t="shared" si="310"/>
        <v/>
      </c>
    </row>
    <row r="1234" spans="2:27">
      <c r="B1234" s="1575"/>
      <c r="C1234" s="1795"/>
      <c r="D1234" s="920"/>
      <c r="E1234" s="61" t="s">
        <v>2692</v>
      </c>
      <c r="F1234" s="61"/>
      <c r="G1234" s="61"/>
      <c r="H1234" s="61"/>
      <c r="I1234" s="61"/>
      <c r="J1234" s="1687" t="s">
        <v>8423</v>
      </c>
      <c r="K1234" s="63" t="str">
        <f t="shared" si="315"/>
        <v>No</v>
      </c>
      <c r="L1234" s="76"/>
      <c r="M1234" s="63">
        <f t="shared" si="317"/>
        <v>0</v>
      </c>
      <c r="N1234" s="63" t="s">
        <v>8366</v>
      </c>
      <c r="O1234" s="64"/>
      <c r="P1234" s="660" t="str">
        <f t="shared" si="320"/>
        <v/>
      </c>
      <c r="Q1234" s="52" t="str">
        <f t="shared" si="319"/>
        <v>No</v>
      </c>
      <c r="R1234" s="1574" t="str">
        <f t="shared" si="314"/>
        <v/>
      </c>
      <c r="S1234" s="52" t="str">
        <f t="shared" si="311"/>
        <v/>
      </c>
      <c r="T1234" s="52" t="str">
        <f t="shared" si="312"/>
        <v/>
      </c>
      <c r="U1234" s="52" t="str">
        <f t="shared" si="322"/>
        <v/>
      </c>
      <c r="V1234" s="52" t="str">
        <f t="shared" si="313"/>
        <v/>
      </c>
      <c r="W1234" s="1578"/>
      <c r="X1234" s="52" t="str">
        <f t="shared" si="321"/>
        <v/>
      </c>
      <c r="Y1234" s="52" t="str">
        <f t="shared" si="310"/>
        <v/>
      </c>
    </row>
    <row r="1235" spans="2:27">
      <c r="B1235" s="1532" t="str">
        <f t="shared" ref="B1235:B1266" si="323">IF(E1235&lt;&gt;"",E1235,IF(F1235&lt;&gt;"",F1235,IF(G1235&lt;&gt;"",G1235,IF(H1235&lt;&gt;"",H1235))))</f>
        <v>Shift Defense I</v>
      </c>
      <c r="C1235" s="1795"/>
      <c r="D1235" s="920"/>
      <c r="E1235" s="61" t="s">
        <v>3492</v>
      </c>
      <c r="F1235" s="61"/>
      <c r="G1235" s="61"/>
      <c r="H1235" s="61"/>
      <c r="I1235" s="61"/>
      <c r="J1235" s="1687" t="s">
        <v>5449</v>
      </c>
      <c r="K1235" s="63" t="str">
        <f t="shared" si="315"/>
        <v>No</v>
      </c>
      <c r="L1235" s="76"/>
      <c r="M1235" s="63">
        <f t="shared" si="317"/>
        <v>0</v>
      </c>
      <c r="N1235" s="63">
        <v>222</v>
      </c>
      <c r="O1235" s="64"/>
      <c r="P1235" s="660" t="str">
        <f t="shared" si="320"/>
        <v/>
      </c>
      <c r="Q1235" s="52" t="str">
        <f>Q1232</f>
        <v>No</v>
      </c>
      <c r="R1235" s="1574" t="str">
        <f t="shared" si="314"/>
        <v/>
      </c>
      <c r="S1235" s="52" t="str">
        <f t="shared" si="311"/>
        <v/>
      </c>
      <c r="T1235" s="52" t="str">
        <f t="shared" si="312"/>
        <v/>
      </c>
      <c r="U1235" s="52" t="str">
        <f t="shared" si="322"/>
        <v/>
      </c>
      <c r="V1235" s="52" t="str">
        <f t="shared" si="313"/>
        <v/>
      </c>
      <c r="W1235" s="1578"/>
      <c r="X1235" s="52" t="str">
        <f t="shared" si="321"/>
        <v/>
      </c>
      <c r="Y1235" s="52" t="str">
        <f t="shared" si="310"/>
        <v/>
      </c>
      <c r="AA1235" s="52" t="str">
        <f t="shared" si="318"/>
        <v/>
      </c>
    </row>
    <row r="1236" spans="2:27">
      <c r="B1236" s="1532" t="str">
        <f t="shared" si="323"/>
        <v>Shift Defense II</v>
      </c>
      <c r="C1236" s="1795"/>
      <c r="D1236" s="920"/>
      <c r="E1236" s="61"/>
      <c r="F1236" s="61" t="s">
        <v>3493</v>
      </c>
      <c r="G1236" s="61"/>
      <c r="H1236" s="61"/>
      <c r="I1236" s="61"/>
      <c r="J1236" s="1687" t="s">
        <v>5450</v>
      </c>
      <c r="K1236" s="63" t="str">
        <f>IF(AND(Q1235="Yes",L1235&lt;&gt;""),"Yes","No")</f>
        <v>No</v>
      </c>
      <c r="L1236" s="76"/>
      <c r="M1236" s="63">
        <f t="shared" si="317"/>
        <v>0</v>
      </c>
      <c r="N1236" s="63">
        <v>222</v>
      </c>
      <c r="O1236" s="64"/>
      <c r="P1236" s="660" t="str">
        <f t="shared" si="320"/>
        <v/>
      </c>
      <c r="Q1236" s="52" t="str">
        <f t="shared" si="319"/>
        <v>No</v>
      </c>
      <c r="R1236" s="1574" t="str">
        <f t="shared" si="314"/>
        <v/>
      </c>
      <c r="S1236" s="52" t="str">
        <f t="shared" si="311"/>
        <v/>
      </c>
      <c r="T1236" s="52" t="str">
        <f t="shared" si="312"/>
        <v/>
      </c>
      <c r="U1236" s="52" t="str">
        <f t="shared" si="322"/>
        <v/>
      </c>
      <c r="V1236" s="52" t="str">
        <f t="shared" si="313"/>
        <v/>
      </c>
      <c r="W1236" s="1578"/>
      <c r="X1236" s="52" t="str">
        <f t="shared" si="321"/>
        <v/>
      </c>
      <c r="Y1236" s="52" t="str">
        <f t="shared" si="310"/>
        <v/>
      </c>
      <c r="AA1236" s="52" t="str">
        <f t="shared" si="318"/>
        <v/>
      </c>
    </row>
    <row r="1237" spans="2:27" ht="26">
      <c r="B1237" s="1532" t="str">
        <f t="shared" si="323"/>
        <v>Shift Defense III</v>
      </c>
      <c r="C1237" s="1795"/>
      <c r="D1237" s="920"/>
      <c r="E1237" s="61"/>
      <c r="F1237" s="61"/>
      <c r="G1237" s="61" t="s">
        <v>3494</v>
      </c>
      <c r="H1237" s="61"/>
      <c r="I1237" s="61"/>
      <c r="J1237" s="1687" t="s">
        <v>5451</v>
      </c>
      <c r="K1237" s="63" t="str">
        <f>IF(AND(Q1236="Yes",L1236&lt;&gt;""),"Yes","No")</f>
        <v>No</v>
      </c>
      <c r="L1237" s="76"/>
      <c r="M1237" s="63">
        <f t="shared" si="317"/>
        <v>0</v>
      </c>
      <c r="N1237" s="63">
        <v>222</v>
      </c>
      <c r="O1237" s="64"/>
      <c r="P1237" s="660" t="str">
        <f t="shared" si="320"/>
        <v/>
      </c>
      <c r="Q1237" s="52" t="str">
        <f t="shared" si="319"/>
        <v>No</v>
      </c>
      <c r="R1237" s="1574" t="str">
        <f t="shared" si="314"/>
        <v/>
      </c>
      <c r="S1237" s="52" t="str">
        <f t="shared" si="311"/>
        <v/>
      </c>
      <c r="T1237" s="52" t="str">
        <f t="shared" si="312"/>
        <v/>
      </c>
      <c r="U1237" s="52" t="str">
        <f t="shared" si="322"/>
        <v/>
      </c>
      <c r="V1237" s="52" t="str">
        <f t="shared" si="313"/>
        <v/>
      </c>
      <c r="W1237" s="1578"/>
      <c r="X1237" s="52" t="str">
        <f t="shared" si="321"/>
        <v/>
      </c>
      <c r="Y1237" s="52" t="str">
        <f t="shared" si="310"/>
        <v/>
      </c>
      <c r="AA1237" s="52" t="str">
        <f t="shared" si="318"/>
        <v/>
      </c>
    </row>
    <row r="1238" spans="2:27">
      <c r="B1238" s="1532" t="str">
        <f t="shared" si="323"/>
        <v>Tactical Edge</v>
      </c>
      <c r="C1238" s="1795"/>
      <c r="D1238" s="920"/>
      <c r="E1238" s="61" t="s">
        <v>3495</v>
      </c>
      <c r="F1238" s="61"/>
      <c r="G1238" s="61"/>
      <c r="H1238" s="61"/>
      <c r="I1238" s="61"/>
      <c r="J1238" s="1687" t="s">
        <v>5452</v>
      </c>
      <c r="K1238" s="63" t="str">
        <f t="shared" si="315"/>
        <v>No</v>
      </c>
      <c r="L1238" s="76"/>
      <c r="M1238" s="63">
        <f t="shared" si="317"/>
        <v>0</v>
      </c>
      <c r="N1238" s="63">
        <v>222</v>
      </c>
      <c r="O1238" s="64"/>
      <c r="P1238" s="660" t="str">
        <f t="shared" si="320"/>
        <v/>
      </c>
      <c r="Q1238" s="52" t="str">
        <f t="shared" si="319"/>
        <v>No</v>
      </c>
      <c r="R1238" s="1574" t="str">
        <f t="shared" si="314"/>
        <v/>
      </c>
      <c r="S1238" s="52" t="str">
        <f t="shared" si="311"/>
        <v/>
      </c>
      <c r="T1238" s="52" t="str">
        <f t="shared" si="312"/>
        <v/>
      </c>
      <c r="U1238" s="52" t="str">
        <f t="shared" si="322"/>
        <v/>
      </c>
      <c r="V1238" s="52" t="str">
        <f t="shared" si="313"/>
        <v/>
      </c>
      <c r="W1238" s="1578"/>
      <c r="X1238" s="52" t="str">
        <f t="shared" si="321"/>
        <v/>
      </c>
      <c r="Y1238" s="52" t="str">
        <f t="shared" si="310"/>
        <v/>
      </c>
      <c r="AA1238" s="52" t="str">
        <f t="shared" si="318"/>
        <v/>
      </c>
    </row>
    <row r="1239" spans="2:27" ht="26">
      <c r="B1239" s="1532" t="str">
        <f t="shared" si="323"/>
        <v>Uncanny Defense</v>
      </c>
      <c r="C1239" s="1795"/>
      <c r="D1239" s="920"/>
      <c r="E1239" s="61" t="s">
        <v>3496</v>
      </c>
      <c r="F1239" s="61"/>
      <c r="G1239" s="61"/>
      <c r="H1239" s="61"/>
      <c r="I1239" s="61"/>
      <c r="J1239" s="1687" t="s">
        <v>5453</v>
      </c>
      <c r="K1239" s="63" t="str">
        <f t="shared" si="315"/>
        <v>No</v>
      </c>
      <c r="L1239" s="76"/>
      <c r="M1239" s="63">
        <f t="shared" si="317"/>
        <v>0</v>
      </c>
      <c r="N1239" s="63" t="s">
        <v>3486</v>
      </c>
      <c r="O1239" s="64"/>
      <c r="P1239" s="660" t="str">
        <f t="shared" si="320"/>
        <v/>
      </c>
      <c r="Q1239" s="52" t="str">
        <f t="shared" si="319"/>
        <v>No</v>
      </c>
      <c r="R1239" s="1574" t="str">
        <f t="shared" si="314"/>
        <v/>
      </c>
      <c r="S1239" s="52" t="str">
        <f t="shared" si="311"/>
        <v/>
      </c>
      <c r="T1239" s="52" t="str">
        <f t="shared" si="312"/>
        <v/>
      </c>
      <c r="U1239" s="52" t="str">
        <f t="shared" si="322"/>
        <v/>
      </c>
      <c r="V1239" s="52" t="str">
        <f t="shared" si="313"/>
        <v/>
      </c>
      <c r="W1239" s="1578"/>
      <c r="X1239" s="52" t="str">
        <f t="shared" si="321"/>
        <v/>
      </c>
      <c r="Y1239" s="52" t="str">
        <f t="shared" ref="Y1239:Y1302" si="324">IF(U1239&lt;&gt;"",IF(W1239="Att Options",U1239&amp;IF(Y1240&lt;&gt;"",", ",""),"")&amp;Y1240,Y1240)</f>
        <v/>
      </c>
      <c r="AA1239" s="52" t="str">
        <f t="shared" si="318"/>
        <v/>
      </c>
    </row>
    <row r="1240" spans="2:27" ht="26">
      <c r="B1240" s="1532" t="str">
        <f t="shared" si="323"/>
        <v>Combined Fire</v>
      </c>
      <c r="C1240" s="1795"/>
      <c r="D1240" s="920" t="s">
        <v>3497</v>
      </c>
      <c r="E1240" s="61" t="s">
        <v>2934</v>
      </c>
      <c r="F1240" s="61"/>
      <c r="G1240" s="61"/>
      <c r="H1240" s="61"/>
      <c r="I1240" s="61"/>
      <c r="J1240" s="1687" t="s">
        <v>5454</v>
      </c>
      <c r="K1240" s="63" t="str">
        <f t="shared" si="315"/>
        <v>No</v>
      </c>
      <c r="L1240" s="76"/>
      <c r="M1240" s="63">
        <f t="shared" si="317"/>
        <v>0</v>
      </c>
      <c r="N1240" s="63" t="s">
        <v>3109</v>
      </c>
      <c r="O1240" s="64"/>
      <c r="P1240" s="660" t="str">
        <f t="shared" si="320"/>
        <v/>
      </c>
      <c r="Q1240" s="52" t="str">
        <f t="shared" si="319"/>
        <v>No</v>
      </c>
      <c r="R1240" s="1574" t="str">
        <f t="shared" si="314"/>
        <v/>
      </c>
      <c r="S1240" s="52" t="str">
        <f t="shared" si="311"/>
        <v/>
      </c>
      <c r="T1240" s="52" t="str">
        <f t="shared" si="312"/>
        <v/>
      </c>
      <c r="U1240" s="52" t="str">
        <f t="shared" si="322"/>
        <v/>
      </c>
      <c r="V1240" s="52" t="str">
        <f t="shared" si="313"/>
        <v/>
      </c>
      <c r="W1240" s="1578"/>
      <c r="X1240" s="52" t="str">
        <f t="shared" si="321"/>
        <v/>
      </c>
      <c r="Y1240" s="52" t="str">
        <f t="shared" si="324"/>
        <v/>
      </c>
      <c r="AA1240" s="52" t="str">
        <f t="shared" si="318"/>
        <v/>
      </c>
    </row>
    <row r="1241" spans="2:27" ht="26">
      <c r="B1241" s="1532" t="str">
        <f t="shared" si="323"/>
        <v>Fleet Deployment</v>
      </c>
      <c r="C1241" s="1795"/>
      <c r="D1241" s="920"/>
      <c r="E1241" s="61" t="s">
        <v>3498</v>
      </c>
      <c r="F1241" s="61"/>
      <c r="G1241" s="61"/>
      <c r="H1241" s="61"/>
      <c r="I1241" s="61"/>
      <c r="J1241" s="1687" t="s">
        <v>5455</v>
      </c>
      <c r="K1241" s="63" t="str">
        <f t="shared" si="315"/>
        <v>No</v>
      </c>
      <c r="L1241" s="76"/>
      <c r="M1241" s="63">
        <f t="shared" si="317"/>
        <v>0</v>
      </c>
      <c r="N1241" s="63" t="s">
        <v>3109</v>
      </c>
      <c r="O1241" s="64"/>
      <c r="P1241" s="660" t="str">
        <f t="shared" si="320"/>
        <v/>
      </c>
      <c r="Q1241" s="52" t="str">
        <f t="shared" si="319"/>
        <v>No</v>
      </c>
      <c r="R1241" s="1574" t="str">
        <f t="shared" si="314"/>
        <v/>
      </c>
      <c r="S1241" s="52" t="str">
        <f t="shared" si="311"/>
        <v/>
      </c>
      <c r="T1241" s="52" t="str">
        <f t="shared" si="312"/>
        <v/>
      </c>
      <c r="U1241" s="52" t="str">
        <f t="shared" si="322"/>
        <v/>
      </c>
      <c r="V1241" s="52" t="str">
        <f t="shared" si="313"/>
        <v/>
      </c>
      <c r="W1241" s="1578"/>
      <c r="X1241" s="52" t="str">
        <f t="shared" si="321"/>
        <v/>
      </c>
      <c r="Y1241" s="52" t="str">
        <f t="shared" si="324"/>
        <v/>
      </c>
      <c r="AA1241" s="52" t="str">
        <f t="shared" si="318"/>
        <v/>
      </c>
    </row>
    <row r="1242" spans="2:27" ht="26">
      <c r="B1242" s="1532" t="str">
        <f t="shared" si="323"/>
        <v>Fleet Tactics</v>
      </c>
      <c r="C1242" s="1795"/>
      <c r="D1242" s="920"/>
      <c r="E1242" s="61"/>
      <c r="F1242" s="61" t="s">
        <v>3499</v>
      </c>
      <c r="G1242" s="61"/>
      <c r="H1242" s="61"/>
      <c r="I1242" s="61"/>
      <c r="J1242" s="1687" t="s">
        <v>5456</v>
      </c>
      <c r="K1242" s="63" t="str">
        <f>IF(AND(Q1241="Yes",L1241&lt;&gt;""),"Yes","No")</f>
        <v>No</v>
      </c>
      <c r="L1242" s="76"/>
      <c r="M1242" s="63">
        <f t="shared" si="317"/>
        <v>0</v>
      </c>
      <c r="N1242" s="63" t="s">
        <v>3109</v>
      </c>
      <c r="O1242" s="64"/>
      <c r="P1242" s="660" t="str">
        <f t="shared" si="320"/>
        <v/>
      </c>
      <c r="Q1242" s="52" t="str">
        <f t="shared" si="319"/>
        <v>No</v>
      </c>
      <c r="R1242" s="1574" t="str">
        <f t="shared" si="314"/>
        <v/>
      </c>
      <c r="S1242" s="52" t="str">
        <f t="shared" si="311"/>
        <v/>
      </c>
      <c r="T1242" s="52" t="str">
        <f t="shared" si="312"/>
        <v/>
      </c>
      <c r="U1242" s="52" t="str">
        <f t="shared" si="322"/>
        <v/>
      </c>
      <c r="V1242" s="52" t="str">
        <f t="shared" si="313"/>
        <v/>
      </c>
      <c r="W1242" s="1578"/>
      <c r="X1242" s="52" t="str">
        <f t="shared" si="321"/>
        <v/>
      </c>
      <c r="Y1242" s="52" t="str">
        <f t="shared" si="324"/>
        <v/>
      </c>
      <c r="AA1242" s="52" t="str">
        <f t="shared" si="318"/>
        <v/>
      </c>
    </row>
    <row r="1243" spans="2:27">
      <c r="B1243" s="1532" t="str">
        <f t="shared" si="323"/>
        <v>It's a Trap!</v>
      </c>
      <c r="C1243" s="1795"/>
      <c r="D1243" s="920"/>
      <c r="E1243" s="61" t="s">
        <v>3500</v>
      </c>
      <c r="F1243" s="61"/>
      <c r="G1243" s="61"/>
      <c r="H1243" s="61"/>
      <c r="I1243" s="61"/>
      <c r="J1243" s="1687" t="s">
        <v>5457</v>
      </c>
      <c r="K1243" s="63" t="str">
        <f t="shared" si="315"/>
        <v>No</v>
      </c>
      <c r="L1243" s="76"/>
      <c r="M1243" s="63">
        <f t="shared" si="317"/>
        <v>0</v>
      </c>
      <c r="N1243" s="63" t="s">
        <v>3109</v>
      </c>
      <c r="O1243" s="64"/>
      <c r="P1243" s="660" t="str">
        <f t="shared" si="320"/>
        <v/>
      </c>
      <c r="Q1243" s="52" t="str">
        <f t="shared" si="319"/>
        <v>No</v>
      </c>
      <c r="R1243" s="1574" t="str">
        <f t="shared" si="314"/>
        <v/>
      </c>
      <c r="S1243" s="52" t="str">
        <f t="shared" si="311"/>
        <v/>
      </c>
      <c r="T1243" s="52" t="str">
        <f t="shared" si="312"/>
        <v/>
      </c>
      <c r="U1243" s="52" t="str">
        <f t="shared" si="322"/>
        <v/>
      </c>
      <c r="V1243" s="52" t="str">
        <f t="shared" si="313"/>
        <v/>
      </c>
      <c r="W1243" s="1578"/>
      <c r="X1243" s="52" t="str">
        <f t="shared" si="321"/>
        <v/>
      </c>
      <c r="Y1243" s="52" t="str">
        <f t="shared" si="324"/>
        <v/>
      </c>
      <c r="AA1243" s="52" t="str">
        <f t="shared" ref="AA1243:AA1249" si="325">IF(U1243&lt;&gt;"",IF(Z1243="Defenses",U1243&amp;IF(AA1244&lt;&gt;"",", ",""),"")&amp;AA1244,AA1244)</f>
        <v/>
      </c>
    </row>
    <row r="1244" spans="2:27" ht="26">
      <c r="B1244" s="1532" t="str">
        <f t="shared" si="323"/>
        <v>Legendary Commander</v>
      </c>
      <c r="C1244" s="1795"/>
      <c r="D1244" s="920"/>
      <c r="E1244" s="61" t="s">
        <v>3501</v>
      </c>
      <c r="F1244" s="61"/>
      <c r="G1244" s="61"/>
      <c r="H1244" s="61"/>
      <c r="I1244" s="61"/>
      <c r="J1244" s="1687" t="s">
        <v>5458</v>
      </c>
      <c r="K1244" s="63" t="str">
        <f t="shared" si="315"/>
        <v>No</v>
      </c>
      <c r="L1244" s="76"/>
      <c r="M1244" s="63">
        <f t="shared" si="317"/>
        <v>0</v>
      </c>
      <c r="N1244" s="63" t="s">
        <v>3109</v>
      </c>
      <c r="O1244" s="64"/>
      <c r="P1244" s="660" t="str">
        <f t="shared" si="320"/>
        <v/>
      </c>
      <c r="Q1244" s="52" t="str">
        <f t="shared" si="319"/>
        <v>No</v>
      </c>
      <c r="R1244" s="1574" t="str">
        <f t="shared" si="314"/>
        <v/>
      </c>
      <c r="S1244" s="52" t="str">
        <f t="shared" si="311"/>
        <v/>
      </c>
      <c r="T1244" s="52" t="str">
        <f t="shared" si="312"/>
        <v/>
      </c>
      <c r="U1244" s="52" t="str">
        <f t="shared" si="322"/>
        <v/>
      </c>
      <c r="V1244" s="52" t="str">
        <f t="shared" si="313"/>
        <v/>
      </c>
      <c r="W1244" s="1578"/>
      <c r="X1244" s="52" t="str">
        <f t="shared" si="321"/>
        <v/>
      </c>
      <c r="Y1244" s="52" t="str">
        <f t="shared" si="324"/>
        <v/>
      </c>
      <c r="AA1244" s="52" t="str">
        <f t="shared" si="325"/>
        <v/>
      </c>
    </row>
    <row r="1245" spans="2:27" ht="39">
      <c r="B1245" s="1532" t="str">
        <f t="shared" si="323"/>
        <v>Recruit Enemy</v>
      </c>
      <c r="C1245" s="1795"/>
      <c r="D1245" s="920" t="s">
        <v>6409</v>
      </c>
      <c r="E1245" s="61" t="s">
        <v>6410</v>
      </c>
      <c r="F1245" s="61"/>
      <c r="G1245" s="61"/>
      <c r="H1245" s="61"/>
      <c r="I1245" s="61"/>
      <c r="J1245" s="1687" t="s">
        <v>6411</v>
      </c>
      <c r="K1245" s="63" t="str">
        <f t="shared" si="315"/>
        <v>No</v>
      </c>
      <c r="L1245" s="76"/>
      <c r="M1245" s="63">
        <f>IF(L1245&lt;&gt;"",1,0)</f>
        <v>0</v>
      </c>
      <c r="N1245" s="63" t="s">
        <v>6490</v>
      </c>
      <c r="O1245" s="64"/>
      <c r="P1245" s="660" t="str">
        <f t="shared" si="320"/>
        <v/>
      </c>
      <c r="Q1245" s="52" t="str">
        <f t="shared" si="319"/>
        <v>No</v>
      </c>
      <c r="R1245" s="1574" t="str">
        <f t="shared" si="314"/>
        <v/>
      </c>
      <c r="S1245" s="52" t="str">
        <f t="shared" si="311"/>
        <v/>
      </c>
      <c r="T1245" s="52" t="str">
        <f t="shared" si="312"/>
        <v/>
      </c>
      <c r="U1245" s="52" t="str">
        <f t="shared" si="322"/>
        <v/>
      </c>
      <c r="V1245" s="52" t="str">
        <f t="shared" si="313"/>
        <v/>
      </c>
      <c r="W1245" s="1578"/>
      <c r="X1245" s="52" t="str">
        <f t="shared" si="321"/>
        <v/>
      </c>
      <c r="Y1245" s="52" t="str">
        <f t="shared" si="324"/>
        <v/>
      </c>
      <c r="AA1245" s="52" t="str">
        <f t="shared" si="325"/>
        <v/>
      </c>
    </row>
    <row r="1246" spans="2:27" ht="39">
      <c r="B1246" s="1532" t="str">
        <f t="shared" si="323"/>
        <v>Bolstered Numbers</v>
      </c>
      <c r="C1246" s="1795"/>
      <c r="D1246" s="920"/>
      <c r="E1246" s="61"/>
      <c r="F1246" s="61" t="s">
        <v>6412</v>
      </c>
      <c r="G1246" s="61"/>
      <c r="H1246" s="61"/>
      <c r="I1246" s="61"/>
      <c r="J1246" s="1687" t="s">
        <v>6413</v>
      </c>
      <c r="K1246" s="63" t="str">
        <f>IF(AND(Q1245="Yes",L1245&lt;&gt;""),"Yes","No")</f>
        <v>No</v>
      </c>
      <c r="L1246" s="76"/>
      <c r="M1246" s="63">
        <f>IF(L1246&lt;&gt;"",1,0)</f>
        <v>0</v>
      </c>
      <c r="N1246" s="63" t="s">
        <v>6489</v>
      </c>
      <c r="O1246" s="64"/>
      <c r="P1246" s="660" t="str">
        <f t="shared" si="320"/>
        <v/>
      </c>
      <c r="Q1246" s="52" t="str">
        <f t="shared" si="319"/>
        <v>No</v>
      </c>
      <c r="R1246" s="1574" t="str">
        <f t="shared" si="314"/>
        <v/>
      </c>
      <c r="S1246" s="52" t="str">
        <f t="shared" si="311"/>
        <v/>
      </c>
      <c r="T1246" s="52" t="str">
        <f t="shared" si="312"/>
        <v/>
      </c>
      <c r="U1246" s="52" t="str">
        <f t="shared" si="322"/>
        <v/>
      </c>
      <c r="V1246" s="52" t="str">
        <f t="shared" si="313"/>
        <v/>
      </c>
      <c r="W1246" s="1578"/>
      <c r="X1246" s="52" t="str">
        <f t="shared" si="321"/>
        <v/>
      </c>
      <c r="Y1246" s="52" t="str">
        <f t="shared" si="324"/>
        <v/>
      </c>
      <c r="AA1246" s="52" t="str">
        <f t="shared" si="325"/>
        <v/>
      </c>
    </row>
    <row r="1247" spans="2:27" ht="78">
      <c r="B1247" s="1532" t="str">
        <f t="shared" si="323"/>
        <v>Noble Sacrifice</v>
      </c>
      <c r="C1247" s="1795"/>
      <c r="D1247" s="920"/>
      <c r="E1247" s="61"/>
      <c r="F1247" s="61" t="s">
        <v>6415</v>
      </c>
      <c r="G1247" s="61"/>
      <c r="H1247" s="61"/>
      <c r="I1247" s="61"/>
      <c r="J1247" s="1687" t="s">
        <v>6414</v>
      </c>
      <c r="K1247" s="63" t="str">
        <f>IF(AND(Q1246="Yes",L1245&lt;&gt;""),"Yes","No")</f>
        <v>No</v>
      </c>
      <c r="L1247" s="76"/>
      <c r="M1247" s="63">
        <f>IF(L1247&lt;&gt;"",1,0)</f>
        <v>0</v>
      </c>
      <c r="N1247" s="63" t="s">
        <v>6489</v>
      </c>
      <c r="O1247" s="64"/>
      <c r="P1247" s="660" t="str">
        <f t="shared" si="320"/>
        <v/>
      </c>
      <c r="Q1247" s="52" t="str">
        <f t="shared" si="319"/>
        <v>No</v>
      </c>
      <c r="R1247" s="1574" t="str">
        <f t="shared" si="314"/>
        <v/>
      </c>
      <c r="S1247" s="52" t="str">
        <f t="shared" ref="S1247:S1310" si="326">IF(R1247&lt;&gt;"",R1247&amp;";"&amp;S1248,S1248)</f>
        <v/>
      </c>
      <c r="T1247" s="52" t="str">
        <f t="shared" ref="T1247:T1310" si="327">IF(R1247&lt;&gt;"",N1247&amp;";"&amp;T1248,T1248)</f>
        <v/>
      </c>
      <c r="U1247" s="52" t="str">
        <f t="shared" si="322"/>
        <v/>
      </c>
      <c r="V1247" s="52" t="str">
        <f t="shared" ref="V1247:V1310" si="328">IF(U1247&lt;&gt;"",U1247&amp;";"&amp;V1248,V1248)</f>
        <v/>
      </c>
      <c r="W1247" s="1578"/>
      <c r="X1247" s="52" t="str">
        <f t="shared" si="321"/>
        <v/>
      </c>
      <c r="Y1247" s="52" t="str">
        <f t="shared" si="324"/>
        <v/>
      </c>
      <c r="AA1247" s="52" t="str">
        <f t="shared" si="325"/>
        <v/>
      </c>
    </row>
    <row r="1248" spans="2:27" ht="39">
      <c r="B1248" s="1532" t="str">
        <f t="shared" si="323"/>
        <v>Stay in the Fight</v>
      </c>
      <c r="C1248" s="1795"/>
      <c r="D1248" s="920"/>
      <c r="E1248" s="61"/>
      <c r="F1248" s="61" t="s">
        <v>3482</v>
      </c>
      <c r="G1248" s="61"/>
      <c r="H1248" s="61"/>
      <c r="I1248" s="61"/>
      <c r="J1248" s="1687" t="s">
        <v>6416</v>
      </c>
      <c r="K1248" s="63" t="str">
        <f>IF(AND(Q1247="Yes",L1245&lt;&gt;""),"Yes","No")</f>
        <v>No</v>
      </c>
      <c r="L1248" s="76"/>
      <c r="M1248" s="63">
        <f>IF(L1248&lt;&gt;"",1,0)</f>
        <v>0</v>
      </c>
      <c r="N1248" s="63" t="s">
        <v>6490</v>
      </c>
      <c r="O1248" s="64"/>
      <c r="P1248" s="660" t="str">
        <f t="shared" si="320"/>
        <v/>
      </c>
      <c r="Q1248" s="52" t="str">
        <f t="shared" si="319"/>
        <v>No</v>
      </c>
      <c r="R1248" s="1574" t="str">
        <f t="shared" si="314"/>
        <v/>
      </c>
      <c r="S1248" s="52" t="str">
        <f t="shared" si="326"/>
        <v/>
      </c>
      <c r="T1248" s="52" t="str">
        <f t="shared" si="327"/>
        <v/>
      </c>
      <c r="U1248" s="52" t="str">
        <f t="shared" si="322"/>
        <v/>
      </c>
      <c r="V1248" s="52" t="str">
        <f t="shared" si="328"/>
        <v/>
      </c>
      <c r="W1248" s="1578"/>
      <c r="X1248" s="52" t="str">
        <f t="shared" si="321"/>
        <v/>
      </c>
      <c r="Y1248" s="52" t="str">
        <f t="shared" si="324"/>
        <v/>
      </c>
      <c r="AA1248" s="52" t="str">
        <f t="shared" si="325"/>
        <v/>
      </c>
    </row>
    <row r="1249" spans="2:27" ht="39">
      <c r="B1249" s="1532" t="str">
        <f t="shared" si="323"/>
        <v>Team Recruiting</v>
      </c>
      <c r="C1249" s="1796"/>
      <c r="D1249" s="920"/>
      <c r="E1249" s="61"/>
      <c r="F1249" s="61" t="s">
        <v>6418</v>
      </c>
      <c r="G1249" s="61"/>
      <c r="H1249" s="61"/>
      <c r="I1249" s="61"/>
      <c r="J1249" s="1691" t="s">
        <v>6417</v>
      </c>
      <c r="K1249" s="928" t="str">
        <f>IF(AND(Q1248="Yes",L1245&lt;&gt;""),"Yes","No")</f>
        <v>No</v>
      </c>
      <c r="L1249" s="929"/>
      <c r="M1249" s="928">
        <f>IF(L1249&lt;&gt;"",1,0)</f>
        <v>0</v>
      </c>
      <c r="N1249" s="63" t="s">
        <v>6490</v>
      </c>
      <c r="O1249" s="64"/>
      <c r="P1249" s="660" t="str">
        <f t="shared" si="320"/>
        <v/>
      </c>
      <c r="Q1249" s="52" t="str">
        <f t="shared" si="319"/>
        <v>No</v>
      </c>
      <c r="R1249" s="1574" t="str">
        <f t="shared" si="314"/>
        <v/>
      </c>
      <c r="S1249" s="52" t="str">
        <f t="shared" si="326"/>
        <v/>
      </c>
      <c r="T1249" s="52" t="str">
        <f t="shared" si="327"/>
        <v/>
      </c>
      <c r="U1249" s="52" t="str">
        <f t="shared" si="322"/>
        <v/>
      </c>
      <c r="V1249" s="52" t="str">
        <f t="shared" si="328"/>
        <v/>
      </c>
      <c r="W1249" s="1578"/>
      <c r="X1249" s="52" t="str">
        <f t="shared" si="321"/>
        <v/>
      </c>
      <c r="Y1249" s="52" t="str">
        <f t="shared" si="324"/>
        <v/>
      </c>
      <c r="AA1249" s="52" t="str">
        <f t="shared" si="325"/>
        <v/>
      </c>
    </row>
    <row r="1250" spans="2:27" ht="15" customHeight="1">
      <c r="B1250" s="1532" t="str">
        <f t="shared" si="323"/>
        <v>Preternatural Senses</v>
      </c>
      <c r="C1250" s="1794" t="s">
        <v>1155</v>
      </c>
      <c r="D1250" s="922" t="s">
        <v>1155</v>
      </c>
      <c r="E1250" s="923" t="s">
        <v>3502</v>
      </c>
      <c r="F1250" s="923"/>
      <c r="G1250" s="923"/>
      <c r="H1250" s="923"/>
      <c r="I1250" s="923"/>
      <c r="J1250" s="1690" t="s">
        <v>5459</v>
      </c>
      <c r="K1250" s="63" t="str">
        <f t="shared" si="315"/>
        <v>No</v>
      </c>
      <c r="L1250" s="76"/>
      <c r="M1250" s="63">
        <f t="shared" si="317"/>
        <v>0</v>
      </c>
      <c r="N1250" s="924" t="s">
        <v>3503</v>
      </c>
      <c r="O1250" s="64"/>
      <c r="P1250" s="660" t="str">
        <f t="shared" si="320"/>
        <v/>
      </c>
      <c r="Q1250" s="52" t="str">
        <f>IF(OR(AD45&gt;0,AD37&gt;0),"Yes","No")</f>
        <v>No</v>
      </c>
      <c r="R1250" s="1574" t="str">
        <f t="shared" ref="R1250:R1317" si="329">IF(L1250&lt;&gt;"",E1250&amp;F1250&amp;G1250&amp;IF(P1250&lt;&gt;""," ("&amp;P1250&amp;")",""),"")&amp;IF(M1250&gt;1," ("&amp;M1250&amp;")","")</f>
        <v/>
      </c>
      <c r="S1250" s="52" t="str">
        <f t="shared" si="326"/>
        <v/>
      </c>
      <c r="T1250" s="52" t="str">
        <f t="shared" si="327"/>
        <v/>
      </c>
      <c r="U1250" s="52" t="str">
        <f t="shared" si="322"/>
        <v/>
      </c>
      <c r="V1250" s="52" t="str">
        <f t="shared" si="328"/>
        <v/>
      </c>
      <c r="W1250" s="1578"/>
      <c r="X1250" s="52" t="str">
        <f t="shared" si="321"/>
        <v/>
      </c>
      <c r="Y1250" s="52" t="str">
        <f t="shared" si="324"/>
        <v/>
      </c>
      <c r="AA1250" s="52" t="str">
        <f t="shared" si="318"/>
        <v/>
      </c>
    </row>
    <row r="1251" spans="2:27">
      <c r="B1251" s="1532" t="str">
        <f t="shared" si="323"/>
        <v>Seize the Moment</v>
      </c>
      <c r="C1251" s="1795"/>
      <c r="D1251" s="920"/>
      <c r="E1251" s="61" t="s">
        <v>2735</v>
      </c>
      <c r="F1251" s="61"/>
      <c r="G1251" s="61"/>
      <c r="H1251" s="61"/>
      <c r="I1251" s="61"/>
      <c r="J1251" s="1687" t="s">
        <v>5460</v>
      </c>
      <c r="K1251" s="63" t="str">
        <f t="shared" si="315"/>
        <v>No</v>
      </c>
      <c r="L1251" s="76"/>
      <c r="M1251" s="63">
        <f t="shared" si="317"/>
        <v>0</v>
      </c>
      <c r="N1251" s="63" t="s">
        <v>3503</v>
      </c>
      <c r="O1251" s="64"/>
      <c r="P1251" s="660" t="str">
        <f t="shared" si="320"/>
        <v/>
      </c>
      <c r="Q1251" s="52" t="str">
        <f t="shared" si="319"/>
        <v>No</v>
      </c>
      <c r="R1251" s="1574" t="str">
        <f t="shared" si="329"/>
        <v/>
      </c>
      <c r="S1251" s="52" t="str">
        <f t="shared" si="326"/>
        <v/>
      </c>
      <c r="T1251" s="52" t="str">
        <f t="shared" si="327"/>
        <v/>
      </c>
      <c r="U1251" s="52" t="str">
        <f t="shared" si="322"/>
        <v/>
      </c>
      <c r="V1251" s="52" t="str">
        <f t="shared" si="328"/>
        <v/>
      </c>
      <c r="W1251" s="1578"/>
      <c r="X1251" s="52" t="str">
        <f t="shared" si="321"/>
        <v/>
      </c>
      <c r="Y1251" s="52" t="str">
        <f t="shared" si="324"/>
        <v/>
      </c>
      <c r="AA1251" s="52" t="str">
        <f t="shared" si="318"/>
        <v/>
      </c>
    </row>
    <row r="1252" spans="2:27" ht="26">
      <c r="B1252" s="1532" t="str">
        <f t="shared" si="323"/>
        <v>Find an Opening</v>
      </c>
      <c r="C1252" s="1795"/>
      <c r="D1252" s="920"/>
      <c r="E1252" s="61"/>
      <c r="F1252" s="61" t="s">
        <v>3504</v>
      </c>
      <c r="G1252" s="61"/>
      <c r="H1252" s="61"/>
      <c r="I1252" s="61"/>
      <c r="J1252" s="1687" t="s">
        <v>5461</v>
      </c>
      <c r="K1252" s="63" t="str">
        <f>IF(AND(Q1251="Yes",L1251&lt;&gt;""),"Yes","No")</f>
        <v>No</v>
      </c>
      <c r="L1252" s="76"/>
      <c r="M1252" s="63">
        <f t="shared" si="317"/>
        <v>0</v>
      </c>
      <c r="N1252" s="63" t="s">
        <v>3503</v>
      </c>
      <c r="O1252" s="64"/>
      <c r="P1252" s="660" t="str">
        <f t="shared" si="320"/>
        <v/>
      </c>
      <c r="Q1252" s="52" t="str">
        <f t="shared" si="319"/>
        <v>No</v>
      </c>
      <c r="R1252" s="1574" t="str">
        <f t="shared" si="329"/>
        <v/>
      </c>
      <c r="S1252" s="52" t="str">
        <f t="shared" si="326"/>
        <v/>
      </c>
      <c r="T1252" s="52" t="str">
        <f t="shared" si="327"/>
        <v/>
      </c>
      <c r="U1252" s="52" t="str">
        <f t="shared" si="322"/>
        <v/>
      </c>
      <c r="V1252" s="52" t="str">
        <f t="shared" si="328"/>
        <v/>
      </c>
      <c r="W1252" s="1578"/>
      <c r="X1252" s="52" t="str">
        <f t="shared" si="321"/>
        <v/>
      </c>
      <c r="Y1252" s="52" t="str">
        <f t="shared" si="324"/>
        <v/>
      </c>
      <c r="AA1252" s="52" t="str">
        <f t="shared" si="318"/>
        <v/>
      </c>
    </row>
    <row r="1253" spans="2:27" ht="26">
      <c r="B1253" s="1532" t="str">
        <f t="shared" si="323"/>
        <v>Double Up</v>
      </c>
      <c r="C1253" s="1795"/>
      <c r="D1253" s="920"/>
      <c r="E1253" s="61"/>
      <c r="F1253" s="61"/>
      <c r="G1253" s="61" t="s">
        <v>3505</v>
      </c>
      <c r="H1253" s="61"/>
      <c r="I1253" s="61"/>
      <c r="J1253" s="1687" t="s">
        <v>5462</v>
      </c>
      <c r="K1253" s="63" t="str">
        <f>IF(AND(Q1252="Yes",L1252&lt;&gt;""),"Yes","No")</f>
        <v>No</v>
      </c>
      <c r="L1253" s="76"/>
      <c r="M1253" s="63">
        <f t="shared" si="317"/>
        <v>0</v>
      </c>
      <c r="N1253" s="63" t="s">
        <v>3503</v>
      </c>
      <c r="O1253" s="64"/>
      <c r="P1253" s="660" t="str">
        <f t="shared" si="320"/>
        <v/>
      </c>
      <c r="Q1253" s="52" t="str">
        <f t="shared" si="319"/>
        <v>No</v>
      </c>
      <c r="R1253" s="1574" t="str">
        <f t="shared" si="329"/>
        <v/>
      </c>
      <c r="S1253" s="52" t="str">
        <f t="shared" si="326"/>
        <v/>
      </c>
      <c r="T1253" s="52" t="str">
        <f t="shared" si="327"/>
        <v/>
      </c>
      <c r="U1253" s="52" t="str">
        <f t="shared" si="322"/>
        <v/>
      </c>
      <c r="V1253" s="52" t="str">
        <f t="shared" si="328"/>
        <v/>
      </c>
      <c r="W1253" s="1578"/>
      <c r="X1253" s="52" t="str">
        <f t="shared" si="321"/>
        <v/>
      </c>
      <c r="Y1253" s="52" t="str">
        <f t="shared" si="324"/>
        <v/>
      </c>
      <c r="AA1253" s="52" t="str">
        <f t="shared" si="318"/>
        <v/>
      </c>
    </row>
    <row r="1254" spans="2:27" ht="26">
      <c r="B1254" s="1532" t="str">
        <f t="shared" si="323"/>
        <v>Uncanny Instincts</v>
      </c>
      <c r="C1254" s="1795"/>
      <c r="D1254" s="920"/>
      <c r="E1254" s="61" t="s">
        <v>3506</v>
      </c>
      <c r="F1254" s="61"/>
      <c r="G1254" s="61"/>
      <c r="H1254" s="61"/>
      <c r="I1254" s="61"/>
      <c r="J1254" s="1687" t="s">
        <v>5463</v>
      </c>
      <c r="K1254" s="63" t="str">
        <f t="shared" si="315"/>
        <v>No</v>
      </c>
      <c r="L1254" s="76"/>
      <c r="M1254" s="63">
        <f t="shared" si="317"/>
        <v>0</v>
      </c>
      <c r="N1254" s="63" t="s">
        <v>3503</v>
      </c>
      <c r="O1254" s="64"/>
      <c r="P1254" s="660" t="str">
        <f t="shared" si="320"/>
        <v/>
      </c>
      <c r="Q1254" s="52" t="str">
        <f t="shared" si="319"/>
        <v>No</v>
      </c>
      <c r="R1254" s="1574" t="str">
        <f t="shared" si="329"/>
        <v/>
      </c>
      <c r="S1254" s="52" t="str">
        <f t="shared" si="326"/>
        <v/>
      </c>
      <c r="T1254" s="52" t="str">
        <f t="shared" si="327"/>
        <v/>
      </c>
      <c r="U1254" s="52" t="str">
        <f t="shared" si="322"/>
        <v/>
      </c>
      <c r="V1254" s="52" t="str">
        <f t="shared" si="328"/>
        <v/>
      </c>
      <c r="W1254" s="1578"/>
      <c r="X1254" s="52" t="str">
        <f t="shared" si="321"/>
        <v/>
      </c>
      <c r="Y1254" s="52" t="str">
        <f t="shared" si="324"/>
        <v/>
      </c>
      <c r="AA1254" s="52" t="str">
        <f t="shared" si="318"/>
        <v/>
      </c>
    </row>
    <row r="1255" spans="2:27" ht="26">
      <c r="B1255" s="1532" t="str">
        <f t="shared" si="323"/>
        <v>Opportunistic Defense</v>
      </c>
      <c r="C1255" s="1795"/>
      <c r="D1255" s="920"/>
      <c r="E1255" s="61"/>
      <c r="F1255" s="61" t="s">
        <v>3507</v>
      </c>
      <c r="G1255" s="61"/>
      <c r="H1255" s="61"/>
      <c r="I1255" s="61"/>
      <c r="J1255" s="1687" t="s">
        <v>5464</v>
      </c>
      <c r="K1255" s="63" t="str">
        <f>IF(AND(Q1254="Yes",L1254&lt;&gt;""),"Yes","No")</f>
        <v>No</v>
      </c>
      <c r="L1255" s="76"/>
      <c r="M1255" s="63">
        <f t="shared" si="317"/>
        <v>0</v>
      </c>
      <c r="N1255" s="63" t="s">
        <v>3503</v>
      </c>
      <c r="O1255" s="64"/>
      <c r="P1255" s="660" t="str">
        <f t="shared" si="320"/>
        <v/>
      </c>
      <c r="Q1255" s="52" t="str">
        <f t="shared" si="319"/>
        <v>No</v>
      </c>
      <c r="R1255" s="1574" t="str">
        <f t="shared" si="329"/>
        <v/>
      </c>
      <c r="S1255" s="52" t="str">
        <f t="shared" si="326"/>
        <v/>
      </c>
      <c r="T1255" s="52" t="str">
        <f t="shared" si="327"/>
        <v/>
      </c>
      <c r="U1255" s="52" t="str">
        <f t="shared" si="322"/>
        <v/>
      </c>
      <c r="V1255" s="52" t="str">
        <f t="shared" si="328"/>
        <v/>
      </c>
      <c r="W1255" s="1578"/>
      <c r="X1255" s="52" t="str">
        <f t="shared" si="321"/>
        <v/>
      </c>
      <c r="Y1255" s="52" t="str">
        <f t="shared" si="324"/>
        <v/>
      </c>
      <c r="AA1255" s="52" t="str">
        <f t="shared" si="318"/>
        <v/>
      </c>
    </row>
    <row r="1256" spans="2:27" ht="26">
      <c r="B1256" s="1532" t="str">
        <f t="shared" si="323"/>
        <v>Tangle Up</v>
      </c>
      <c r="C1256" s="1795"/>
      <c r="D1256" s="920"/>
      <c r="E1256" s="61"/>
      <c r="F1256" s="61" t="s">
        <v>3508</v>
      </c>
      <c r="G1256" s="61"/>
      <c r="H1256" s="61"/>
      <c r="I1256" s="61"/>
      <c r="J1256" s="1687" t="s">
        <v>5465</v>
      </c>
      <c r="K1256" s="63" t="str">
        <f>IF(AND(Q1255="Yes",L1254&lt;&gt;""),"Yes","No")</f>
        <v>No</v>
      </c>
      <c r="L1256" s="76"/>
      <c r="M1256" s="63">
        <f t="shared" si="317"/>
        <v>0</v>
      </c>
      <c r="N1256" s="63" t="s">
        <v>3503</v>
      </c>
      <c r="O1256" s="64"/>
      <c r="P1256" s="660" t="str">
        <f t="shared" si="320"/>
        <v/>
      </c>
      <c r="Q1256" s="52" t="str">
        <f t="shared" si="319"/>
        <v>No</v>
      </c>
      <c r="R1256" s="1574" t="str">
        <f t="shared" si="329"/>
        <v/>
      </c>
      <c r="S1256" s="52" t="str">
        <f t="shared" si="326"/>
        <v/>
      </c>
      <c r="T1256" s="52" t="str">
        <f t="shared" si="327"/>
        <v/>
      </c>
      <c r="U1256" s="52" t="str">
        <f t="shared" si="322"/>
        <v/>
      </c>
      <c r="V1256" s="52" t="str">
        <f t="shared" si="328"/>
        <v/>
      </c>
      <c r="W1256" s="1578"/>
      <c r="X1256" s="52" t="str">
        <f t="shared" si="321"/>
        <v/>
      </c>
      <c r="Y1256" s="52" t="str">
        <f t="shared" si="324"/>
        <v/>
      </c>
      <c r="AA1256" s="52" t="str">
        <f t="shared" si="318"/>
        <v/>
      </c>
    </row>
    <row r="1257" spans="2:27" ht="26">
      <c r="B1257" s="1532" t="str">
        <f t="shared" si="323"/>
        <v>Confounding Attack</v>
      </c>
      <c r="C1257" s="1796"/>
      <c r="D1257" s="71"/>
      <c r="E1257" s="927"/>
      <c r="F1257" s="927"/>
      <c r="G1257" s="927" t="s">
        <v>3509</v>
      </c>
      <c r="H1257" s="927"/>
      <c r="I1257" s="927"/>
      <c r="J1257" s="1691" t="s">
        <v>5466</v>
      </c>
      <c r="K1257" s="928" t="str">
        <f>IF(AND(Q1256="Yes",L1256&lt;&gt;""),"Yes","No")</f>
        <v>No</v>
      </c>
      <c r="L1257" s="929"/>
      <c r="M1257" s="928">
        <f t="shared" si="317"/>
        <v>0</v>
      </c>
      <c r="N1257" s="928" t="s">
        <v>3510</v>
      </c>
      <c r="O1257" s="64"/>
      <c r="P1257" s="660" t="str">
        <f t="shared" si="320"/>
        <v/>
      </c>
      <c r="Q1257" s="52" t="str">
        <f t="shared" si="319"/>
        <v>No</v>
      </c>
      <c r="R1257" s="1574" t="str">
        <f t="shared" si="329"/>
        <v/>
      </c>
      <c r="S1257" s="52" t="str">
        <f t="shared" si="326"/>
        <v/>
      </c>
      <c r="T1257" s="52" t="str">
        <f t="shared" si="327"/>
        <v/>
      </c>
      <c r="U1257" s="52" t="str">
        <f t="shared" si="322"/>
        <v/>
      </c>
      <c r="V1257" s="52" t="str">
        <f t="shared" si="328"/>
        <v/>
      </c>
      <c r="W1257" s="1578"/>
      <c r="X1257" s="52" t="str">
        <f t="shared" si="321"/>
        <v/>
      </c>
      <c r="Y1257" s="52" t="str">
        <f t="shared" si="324"/>
        <v/>
      </c>
      <c r="AA1257" s="52" t="str">
        <f>IF(U1257&lt;&gt;"",IF(Z1257="Defenses",U1257&amp;IF(AA1258&lt;&gt;"",", ",""),"")&amp;AA1258,AA1258)</f>
        <v/>
      </c>
    </row>
    <row r="1258" spans="2:27" ht="14.5" customHeight="1">
      <c r="B1258" s="1532" t="str">
        <f t="shared" si="323"/>
        <v>Bunker Blaster</v>
      </c>
      <c r="C1258" s="1794" t="s">
        <v>6221</v>
      </c>
      <c r="D1258" s="922" t="s">
        <v>6221</v>
      </c>
      <c r="E1258" s="923" t="s">
        <v>6227</v>
      </c>
      <c r="F1258" s="923"/>
      <c r="G1258" s="923"/>
      <c r="H1258" s="923"/>
      <c r="I1258" s="923"/>
      <c r="J1258" s="1690" t="s">
        <v>6447</v>
      </c>
      <c r="K1258" s="63" t="str">
        <f>IF(Q1258="Yes","Yes","No")</f>
        <v>No</v>
      </c>
      <c r="L1258" s="76"/>
      <c r="M1258" s="63">
        <f t="shared" ref="M1258:M1266" si="330">IF(L1258&lt;&gt;"",1,0)</f>
        <v>0</v>
      </c>
      <c r="N1258" s="924" t="s">
        <v>6492</v>
      </c>
      <c r="O1258" s="64"/>
      <c r="P1258" s="660" t="str">
        <f t="shared" si="320"/>
        <v/>
      </c>
      <c r="Q1258" s="52" t="str">
        <f>IF(OR($AD$45&gt;0,$AD$44&gt;0),"Yes","No")</f>
        <v>No</v>
      </c>
      <c r="R1258" s="1574" t="str">
        <f t="shared" si="329"/>
        <v/>
      </c>
      <c r="S1258" s="52" t="str">
        <f t="shared" si="326"/>
        <v/>
      </c>
      <c r="T1258" s="52" t="str">
        <f t="shared" si="327"/>
        <v/>
      </c>
      <c r="U1258" s="52" t="str">
        <f t="shared" si="322"/>
        <v/>
      </c>
      <c r="V1258" s="52" t="str">
        <f t="shared" si="328"/>
        <v/>
      </c>
      <c r="W1258" s="1578"/>
      <c r="X1258" s="52" t="str">
        <f t="shared" si="321"/>
        <v/>
      </c>
      <c r="Y1258" s="52" t="str">
        <f t="shared" si="324"/>
        <v/>
      </c>
      <c r="AA1258" s="52" t="str">
        <f t="shared" si="318"/>
        <v/>
      </c>
    </row>
    <row r="1259" spans="2:27" ht="39">
      <c r="B1259" s="1532" t="str">
        <f t="shared" si="323"/>
        <v>Enhance Cover</v>
      </c>
      <c r="C1259" s="1795"/>
      <c r="D1259" s="920"/>
      <c r="E1259" s="61" t="s">
        <v>6228</v>
      </c>
      <c r="F1259" s="61"/>
      <c r="G1259" s="61"/>
      <c r="H1259" s="61"/>
      <c r="I1259" s="61"/>
      <c r="J1259" s="1687" t="s">
        <v>8914</v>
      </c>
      <c r="K1259" s="63" t="str">
        <f>IF(Q1259="Yes","Yes","No")</f>
        <v>No</v>
      </c>
      <c r="L1259" s="76"/>
      <c r="M1259" s="63">
        <f t="shared" si="330"/>
        <v>0</v>
      </c>
      <c r="N1259" s="63" t="s">
        <v>6492</v>
      </c>
      <c r="O1259" s="64"/>
      <c r="P1259" s="660" t="str">
        <f t="shared" si="320"/>
        <v/>
      </c>
      <c r="Q1259" s="52" t="str">
        <f t="shared" si="319"/>
        <v>No</v>
      </c>
      <c r="R1259" s="1574" t="str">
        <f t="shared" si="329"/>
        <v/>
      </c>
      <c r="S1259" s="52" t="str">
        <f t="shared" si="326"/>
        <v/>
      </c>
      <c r="T1259" s="52" t="str">
        <f t="shared" si="327"/>
        <v/>
      </c>
      <c r="U1259" s="52" t="str">
        <f t="shared" si="322"/>
        <v/>
      </c>
      <c r="V1259" s="52" t="str">
        <f t="shared" si="328"/>
        <v/>
      </c>
      <c r="W1259" s="1578"/>
      <c r="X1259" s="52" t="str">
        <f t="shared" si="321"/>
        <v/>
      </c>
      <c r="Y1259" s="52" t="str">
        <f t="shared" si="324"/>
        <v/>
      </c>
      <c r="AA1259" s="52" t="str">
        <f t="shared" si="318"/>
        <v/>
      </c>
    </row>
    <row r="1260" spans="2:27" ht="39">
      <c r="B1260" s="1532" t="str">
        <f t="shared" si="323"/>
        <v>Escort Fighter</v>
      </c>
      <c r="C1260" s="1795"/>
      <c r="D1260" s="920"/>
      <c r="E1260" s="61" t="s">
        <v>6229</v>
      </c>
      <c r="F1260" s="61"/>
      <c r="G1260" s="61"/>
      <c r="H1260" s="61"/>
      <c r="I1260" s="61"/>
      <c r="J1260" s="1687" t="s">
        <v>6449</v>
      </c>
      <c r="K1260" s="63" t="str">
        <f>IF(Q1260="Yes","Yes","No")</f>
        <v>No</v>
      </c>
      <c r="L1260" s="76"/>
      <c r="M1260" s="63">
        <f t="shared" si="330"/>
        <v>0</v>
      </c>
      <c r="N1260" s="63" t="s">
        <v>6492</v>
      </c>
      <c r="O1260" s="64"/>
      <c r="P1260" s="660" t="str">
        <f t="shared" si="320"/>
        <v/>
      </c>
      <c r="Q1260" s="52" t="str">
        <f t="shared" si="319"/>
        <v>No</v>
      </c>
      <c r="R1260" s="1574" t="str">
        <f t="shared" si="329"/>
        <v/>
      </c>
      <c r="S1260" s="52" t="str">
        <f t="shared" si="326"/>
        <v/>
      </c>
      <c r="T1260" s="52" t="str">
        <f t="shared" si="327"/>
        <v/>
      </c>
      <c r="U1260" s="52" t="str">
        <f t="shared" si="322"/>
        <v/>
      </c>
      <c r="V1260" s="52" t="str">
        <f t="shared" si="328"/>
        <v/>
      </c>
      <c r="W1260" s="1578"/>
      <c r="X1260" s="52" t="str">
        <f t="shared" si="321"/>
        <v/>
      </c>
      <c r="Y1260" s="52" t="str">
        <f t="shared" si="324"/>
        <v/>
      </c>
      <c r="AA1260" s="52" t="str">
        <f t="shared" si="318"/>
        <v/>
      </c>
    </row>
    <row r="1261" spans="2:27" ht="39">
      <c r="B1261" s="1532" t="str">
        <f t="shared" si="323"/>
        <v>Safe Passage</v>
      </c>
      <c r="C1261" s="1795"/>
      <c r="D1261" s="920"/>
      <c r="E1261" s="61"/>
      <c r="F1261" s="61" t="s">
        <v>6230</v>
      </c>
      <c r="G1261" s="61"/>
      <c r="H1261" s="61"/>
      <c r="I1261" s="61"/>
      <c r="J1261" s="1687" t="s">
        <v>6448</v>
      </c>
      <c r="K1261" s="63" t="str">
        <f>IF(AND(Q1261="Yes",L1260&lt;&gt;""),"Yes","No")</f>
        <v>No</v>
      </c>
      <c r="L1261" s="76"/>
      <c r="M1261" s="63">
        <f t="shared" si="330"/>
        <v>0</v>
      </c>
      <c r="N1261" s="63" t="s">
        <v>6492</v>
      </c>
      <c r="O1261" s="64"/>
      <c r="P1261" s="660" t="str">
        <f t="shared" si="320"/>
        <v/>
      </c>
      <c r="Q1261" s="52" t="str">
        <f t="shared" si="319"/>
        <v>No</v>
      </c>
      <c r="R1261" s="1574" t="str">
        <f t="shared" si="329"/>
        <v/>
      </c>
      <c r="S1261" s="52" t="str">
        <f t="shared" si="326"/>
        <v/>
      </c>
      <c r="T1261" s="52" t="str">
        <f t="shared" si="327"/>
        <v/>
      </c>
      <c r="U1261" s="52" t="str">
        <f t="shared" si="322"/>
        <v/>
      </c>
      <c r="V1261" s="52" t="str">
        <f t="shared" si="328"/>
        <v/>
      </c>
      <c r="W1261" s="1578"/>
      <c r="X1261" s="52" t="str">
        <f t="shared" si="321"/>
        <v/>
      </c>
      <c r="Y1261" s="52" t="str">
        <f t="shared" si="324"/>
        <v/>
      </c>
      <c r="AA1261" s="52" t="str">
        <f t="shared" si="318"/>
        <v/>
      </c>
    </row>
    <row r="1262" spans="2:27" ht="91">
      <c r="B1262" s="1532" t="str">
        <f t="shared" si="323"/>
        <v>Safe Zone</v>
      </c>
      <c r="C1262" s="1795"/>
      <c r="D1262" s="920"/>
      <c r="E1262" s="61" t="s">
        <v>6231</v>
      </c>
      <c r="F1262" s="61"/>
      <c r="G1262" s="61"/>
      <c r="H1262" s="61"/>
      <c r="I1262" s="61"/>
      <c r="J1262" s="1687" t="s">
        <v>6450</v>
      </c>
      <c r="K1262" s="63" t="str">
        <f>IF(Q1262="Yes","Yes","No")</f>
        <v>No</v>
      </c>
      <c r="L1262" s="76"/>
      <c r="M1262" s="63">
        <f t="shared" si="330"/>
        <v>0</v>
      </c>
      <c r="N1262" s="63" t="s">
        <v>6492</v>
      </c>
      <c r="O1262" s="64"/>
      <c r="P1262" s="660" t="str">
        <f t="shared" si="320"/>
        <v/>
      </c>
      <c r="Q1262" s="52" t="str">
        <f t="shared" si="319"/>
        <v>No</v>
      </c>
      <c r="R1262" s="1574" t="str">
        <f t="shared" si="329"/>
        <v/>
      </c>
      <c r="S1262" s="52" t="str">
        <f t="shared" si="326"/>
        <v/>
      </c>
      <c r="T1262" s="52" t="str">
        <f t="shared" si="327"/>
        <v/>
      </c>
      <c r="U1262" s="52" t="str">
        <f t="shared" si="322"/>
        <v/>
      </c>
      <c r="V1262" s="52" t="str">
        <f t="shared" si="328"/>
        <v/>
      </c>
      <c r="W1262" s="1578"/>
      <c r="X1262" s="52" t="str">
        <f t="shared" si="321"/>
        <v/>
      </c>
      <c r="Y1262" s="52" t="str">
        <f t="shared" si="324"/>
        <v/>
      </c>
      <c r="AA1262" s="52" t="str">
        <f t="shared" si="318"/>
        <v/>
      </c>
    </row>
    <row r="1263" spans="2:27" ht="26">
      <c r="B1263" s="1532" t="str">
        <f t="shared" si="323"/>
        <v>Defensive Measures</v>
      </c>
      <c r="C1263" s="1795"/>
      <c r="D1263" s="920"/>
      <c r="E1263" s="61"/>
      <c r="F1263" s="61" t="s">
        <v>6232</v>
      </c>
      <c r="G1263" s="61"/>
      <c r="H1263" s="61"/>
      <c r="I1263" s="61"/>
      <c r="J1263" s="1687" t="s">
        <v>6452</v>
      </c>
      <c r="K1263" s="63" t="str">
        <f>IF(AND(Q1263="Yes",L1262&lt;&gt;""),"Yes","No")</f>
        <v>No</v>
      </c>
      <c r="L1263" s="76"/>
      <c r="M1263" s="63">
        <f t="shared" si="330"/>
        <v>0</v>
      </c>
      <c r="N1263" s="63" t="s">
        <v>6492</v>
      </c>
      <c r="O1263" s="64"/>
      <c r="P1263" s="660" t="str">
        <f t="shared" si="320"/>
        <v/>
      </c>
      <c r="Q1263" s="52" t="str">
        <f t="shared" si="319"/>
        <v>No</v>
      </c>
      <c r="R1263" s="1574" t="str">
        <f t="shared" si="329"/>
        <v/>
      </c>
      <c r="S1263" s="52" t="str">
        <f t="shared" si="326"/>
        <v/>
      </c>
      <c r="T1263" s="52" t="str">
        <f t="shared" si="327"/>
        <v/>
      </c>
      <c r="U1263" s="52" t="str">
        <f t="shared" si="322"/>
        <v/>
      </c>
      <c r="V1263" s="52" t="str">
        <f t="shared" si="328"/>
        <v/>
      </c>
      <c r="W1263" s="1578"/>
      <c r="X1263" s="52" t="str">
        <f t="shared" si="321"/>
        <v/>
      </c>
      <c r="Y1263" s="52" t="str">
        <f t="shared" si="324"/>
        <v/>
      </c>
      <c r="AA1263" s="52" t="str">
        <f t="shared" si="318"/>
        <v/>
      </c>
    </row>
    <row r="1264" spans="2:27" ht="39">
      <c r="B1264" s="1532" t="str">
        <f t="shared" si="323"/>
        <v>Launch Point</v>
      </c>
      <c r="C1264" s="1795"/>
      <c r="D1264" s="920"/>
      <c r="E1264" s="61"/>
      <c r="F1264" s="61" t="s">
        <v>6233</v>
      </c>
      <c r="G1264" s="61"/>
      <c r="H1264" s="61"/>
      <c r="I1264" s="61"/>
      <c r="J1264" s="1687" t="s">
        <v>6453</v>
      </c>
      <c r="K1264" s="63" t="str">
        <f>IF(AND(Q1264="Yes",L1262&lt;&gt;""),"Yes","No")</f>
        <v>No</v>
      </c>
      <c r="L1264" s="76"/>
      <c r="M1264" s="63">
        <f t="shared" si="330"/>
        <v>0</v>
      </c>
      <c r="N1264" s="63" t="s">
        <v>6492</v>
      </c>
      <c r="O1264" s="64"/>
      <c r="P1264" s="660" t="str">
        <f t="shared" si="320"/>
        <v/>
      </c>
      <c r="Q1264" s="52" t="str">
        <f t="shared" si="319"/>
        <v>No</v>
      </c>
      <c r="R1264" s="1574" t="str">
        <f t="shared" si="329"/>
        <v/>
      </c>
      <c r="S1264" s="52" t="str">
        <f t="shared" si="326"/>
        <v/>
      </c>
      <c r="T1264" s="52" t="str">
        <f t="shared" si="327"/>
        <v/>
      </c>
      <c r="U1264" s="52" t="str">
        <f t="shared" si="322"/>
        <v/>
      </c>
      <c r="V1264" s="52" t="str">
        <f t="shared" si="328"/>
        <v/>
      </c>
      <c r="W1264" s="1578"/>
      <c r="X1264" s="52" t="str">
        <f t="shared" si="321"/>
        <v/>
      </c>
      <c r="Y1264" s="52" t="str">
        <f t="shared" si="324"/>
        <v/>
      </c>
      <c r="AA1264" s="52" t="str">
        <f t="shared" si="318"/>
        <v/>
      </c>
    </row>
    <row r="1265" spans="2:27" ht="26">
      <c r="B1265" s="1532" t="str">
        <f t="shared" si="323"/>
        <v>Obscuring Defenses</v>
      </c>
      <c r="C1265" s="1795"/>
      <c r="D1265" s="920"/>
      <c r="E1265" s="61"/>
      <c r="F1265" s="61" t="s">
        <v>6234</v>
      </c>
      <c r="G1265" s="61"/>
      <c r="H1265" s="61"/>
      <c r="I1265" s="61"/>
      <c r="J1265" s="1687" t="s">
        <v>6454</v>
      </c>
      <c r="K1265" s="63" t="str">
        <f>IF(AND(Q1265="Yes",L1262&lt;&gt;""),"Yes","No")</f>
        <v>No</v>
      </c>
      <c r="L1265" s="76"/>
      <c r="M1265" s="63">
        <f t="shared" si="330"/>
        <v>0</v>
      </c>
      <c r="N1265" s="63" t="s">
        <v>6492</v>
      </c>
      <c r="O1265" s="64"/>
      <c r="P1265" s="660" t="str">
        <f t="shared" si="320"/>
        <v/>
      </c>
      <c r="Q1265" s="52" t="str">
        <f t="shared" si="319"/>
        <v>No</v>
      </c>
      <c r="R1265" s="1574" t="str">
        <f t="shared" si="329"/>
        <v/>
      </c>
      <c r="S1265" s="52" t="str">
        <f t="shared" si="326"/>
        <v/>
      </c>
      <c r="T1265" s="52" t="str">
        <f t="shared" si="327"/>
        <v/>
      </c>
      <c r="U1265" s="52" t="str">
        <f t="shared" si="322"/>
        <v/>
      </c>
      <c r="V1265" s="52" t="str">
        <f t="shared" si="328"/>
        <v/>
      </c>
      <c r="W1265" s="1578"/>
      <c r="X1265" s="52" t="str">
        <f t="shared" si="321"/>
        <v/>
      </c>
      <c r="Y1265" s="52" t="str">
        <f t="shared" si="324"/>
        <v/>
      </c>
      <c r="AA1265" s="52" t="str">
        <f t="shared" si="318"/>
        <v/>
      </c>
    </row>
    <row r="1266" spans="2:27" ht="52">
      <c r="B1266" s="1532" t="str">
        <f t="shared" si="323"/>
        <v>Relocate</v>
      </c>
      <c r="C1266" s="1795"/>
      <c r="D1266" s="920"/>
      <c r="E1266" s="61"/>
      <c r="F1266" s="61" t="s">
        <v>6235</v>
      </c>
      <c r="G1266" s="61"/>
      <c r="H1266" s="61"/>
      <c r="I1266" s="61"/>
      <c r="J1266" s="1687" t="s">
        <v>6455</v>
      </c>
      <c r="K1266" s="63" t="str">
        <f>IF(AND(Q1266="Yes",L1262&lt;&gt;""),"Yes","No")</f>
        <v>No</v>
      </c>
      <c r="L1266" s="76"/>
      <c r="M1266" s="63">
        <f t="shared" si="330"/>
        <v>0</v>
      </c>
      <c r="N1266" s="63" t="s">
        <v>6492</v>
      </c>
      <c r="O1266" s="64"/>
      <c r="P1266" s="660" t="str">
        <f t="shared" si="320"/>
        <v/>
      </c>
      <c r="Q1266" s="52" t="str">
        <f t="shared" si="319"/>
        <v>No</v>
      </c>
      <c r="R1266" s="1574" t="str">
        <f t="shared" si="329"/>
        <v/>
      </c>
      <c r="S1266" s="52" t="str">
        <f t="shared" si="326"/>
        <v/>
      </c>
      <c r="T1266" s="52" t="str">
        <f t="shared" si="327"/>
        <v/>
      </c>
      <c r="U1266" s="52" t="str">
        <f t="shared" si="322"/>
        <v/>
      </c>
      <c r="V1266" s="52" t="str">
        <f t="shared" si="328"/>
        <v/>
      </c>
      <c r="W1266" s="1578"/>
      <c r="X1266" s="52" t="str">
        <f t="shared" si="321"/>
        <v/>
      </c>
      <c r="Y1266" s="52" t="str">
        <f t="shared" si="324"/>
        <v/>
      </c>
      <c r="AA1266" s="52" t="str">
        <f t="shared" si="318"/>
        <v/>
      </c>
    </row>
    <row r="1267" spans="2:27" ht="26">
      <c r="B1267" s="1532" t="str">
        <f t="shared" ref="B1267:B1298" si="331">IF(E1267&lt;&gt;"",E1267,IF(F1267&lt;&gt;"",F1267,IF(G1267&lt;&gt;"",G1267,IF(H1267&lt;&gt;"",H1267))))</f>
        <v>Zone of Recouperation</v>
      </c>
      <c r="C1267" s="1796"/>
      <c r="D1267" s="71"/>
      <c r="E1267" s="927"/>
      <c r="F1267" s="927" t="s">
        <v>6236</v>
      </c>
      <c r="G1267" s="927"/>
      <c r="H1267" s="927"/>
      <c r="I1267" s="927"/>
      <c r="J1267" s="1687" t="s">
        <v>6451</v>
      </c>
      <c r="K1267" s="928" t="str">
        <f>IF(AND(Q1267="Yes",L1262&lt;&gt;""),"Yes","No")</f>
        <v>No</v>
      </c>
      <c r="L1267" s="929"/>
      <c r="M1267" s="928">
        <f>IF(L1267&lt;&gt;"",1,0)</f>
        <v>0</v>
      </c>
      <c r="N1267" s="928" t="s">
        <v>6492</v>
      </c>
      <c r="O1267" s="64"/>
      <c r="P1267" s="660" t="str">
        <f t="shared" si="320"/>
        <v/>
      </c>
      <c r="Q1267" s="52" t="str">
        <f t="shared" si="319"/>
        <v>No</v>
      </c>
      <c r="R1267" s="1574" t="str">
        <f t="shared" si="329"/>
        <v/>
      </c>
      <c r="S1267" s="52" t="str">
        <f t="shared" si="326"/>
        <v/>
      </c>
      <c r="T1267" s="52" t="str">
        <f t="shared" si="327"/>
        <v/>
      </c>
      <c r="U1267" s="52" t="str">
        <f t="shared" si="322"/>
        <v/>
      </c>
      <c r="V1267" s="52" t="str">
        <f t="shared" si="328"/>
        <v/>
      </c>
      <c r="W1267" s="1578"/>
      <c r="X1267" s="52" t="str">
        <f t="shared" si="321"/>
        <v/>
      </c>
      <c r="Y1267" s="52" t="str">
        <f t="shared" si="324"/>
        <v/>
      </c>
      <c r="AA1267" s="52" t="str">
        <f t="shared" si="318"/>
        <v/>
      </c>
    </row>
    <row r="1268" spans="2:27" ht="15" customHeight="1">
      <c r="B1268" s="1532" t="str">
        <f t="shared" si="331"/>
        <v>Device Jammer</v>
      </c>
      <c r="C1268" s="1794" t="s">
        <v>1103</v>
      </c>
      <c r="D1268" s="920" t="s">
        <v>3511</v>
      </c>
      <c r="E1268" s="61" t="s">
        <v>3512</v>
      </c>
      <c r="F1268" s="61"/>
      <c r="G1268" s="61"/>
      <c r="H1268" s="61"/>
      <c r="I1268" s="61"/>
      <c r="J1268" s="1687" t="s">
        <v>5467</v>
      </c>
      <c r="K1268" s="63" t="str">
        <f t="shared" si="315"/>
        <v>No</v>
      </c>
      <c r="L1268" s="76"/>
      <c r="M1268" s="63">
        <f t="shared" si="317"/>
        <v>0</v>
      </c>
      <c r="N1268" s="63" t="s">
        <v>3513</v>
      </c>
      <c r="O1268" s="64"/>
      <c r="P1268" s="660" t="str">
        <f t="shared" ref="P1268:P1317" si="332">IF(ShowTalentTrees,IF(D1268&lt;&gt;"",D1268,P1267),"")</f>
        <v/>
      </c>
      <c r="Q1268" s="52" t="str">
        <f>IF(OR(AD45&gt;0,AD34&gt;0),"Yes","No")</f>
        <v>No</v>
      </c>
      <c r="R1268" s="1574" t="str">
        <f t="shared" si="329"/>
        <v/>
      </c>
      <c r="S1268" s="52" t="str">
        <f t="shared" si="326"/>
        <v/>
      </c>
      <c r="T1268" s="52" t="str">
        <f t="shared" si="327"/>
        <v/>
      </c>
      <c r="U1268" s="52" t="str">
        <f t="shared" si="322"/>
        <v/>
      </c>
      <c r="V1268" s="52" t="str">
        <f t="shared" si="328"/>
        <v/>
      </c>
      <c r="W1268" s="1578"/>
      <c r="X1268" s="52" t="str">
        <f t="shared" si="321"/>
        <v/>
      </c>
      <c r="Y1268" s="52" t="str">
        <f t="shared" si="324"/>
        <v/>
      </c>
      <c r="AA1268" s="52" t="str">
        <f t="shared" si="318"/>
        <v/>
      </c>
    </row>
    <row r="1269" spans="2:27" ht="26">
      <c r="B1269" s="1532" t="str">
        <f t="shared" si="331"/>
        <v>Droid Jammer</v>
      </c>
      <c r="C1269" s="1795"/>
      <c r="D1269" s="920"/>
      <c r="E1269" s="61" t="s">
        <v>3514</v>
      </c>
      <c r="F1269" s="61"/>
      <c r="G1269" s="61"/>
      <c r="H1269" s="61"/>
      <c r="I1269" s="61"/>
      <c r="J1269" s="1687" t="s">
        <v>5468</v>
      </c>
      <c r="K1269" s="63" t="str">
        <f t="shared" si="315"/>
        <v>No</v>
      </c>
      <c r="L1269" s="76"/>
      <c r="M1269" s="63">
        <f t="shared" si="317"/>
        <v>0</v>
      </c>
      <c r="N1269" s="63" t="s">
        <v>3513</v>
      </c>
      <c r="O1269" s="64"/>
      <c r="P1269" s="660" t="str">
        <f t="shared" si="332"/>
        <v/>
      </c>
      <c r="Q1269" s="52" t="str">
        <f t="shared" si="319"/>
        <v>No</v>
      </c>
      <c r="R1269" s="1574" t="str">
        <f t="shared" si="329"/>
        <v/>
      </c>
      <c r="S1269" s="52" t="str">
        <f t="shared" si="326"/>
        <v/>
      </c>
      <c r="T1269" s="52" t="str">
        <f t="shared" si="327"/>
        <v/>
      </c>
      <c r="U1269" s="52" t="str">
        <f t="shared" si="322"/>
        <v/>
      </c>
      <c r="V1269" s="52" t="str">
        <f t="shared" si="328"/>
        <v/>
      </c>
      <c r="W1269" s="1578"/>
      <c r="X1269" s="52" t="str">
        <f t="shared" si="321"/>
        <v/>
      </c>
      <c r="Y1269" s="52" t="str">
        <f t="shared" si="324"/>
        <v/>
      </c>
      <c r="AA1269" s="52" t="str">
        <f t="shared" si="318"/>
        <v/>
      </c>
    </row>
    <row r="1270" spans="2:27">
      <c r="B1270" s="1532" t="str">
        <f t="shared" si="331"/>
        <v>Mine Mastery</v>
      </c>
      <c r="C1270" s="1795"/>
      <c r="D1270" s="920"/>
      <c r="E1270" s="61" t="s">
        <v>3515</v>
      </c>
      <c r="F1270" s="61"/>
      <c r="G1270" s="61"/>
      <c r="H1270" s="61"/>
      <c r="I1270" s="61"/>
      <c r="J1270" s="1687" t="s">
        <v>5469</v>
      </c>
      <c r="K1270" s="63" t="str">
        <f t="shared" si="315"/>
        <v>No</v>
      </c>
      <c r="L1270" s="76"/>
      <c r="M1270" s="63">
        <f t="shared" si="317"/>
        <v>0</v>
      </c>
      <c r="N1270" s="63" t="s">
        <v>3516</v>
      </c>
      <c r="O1270" s="64"/>
      <c r="P1270" s="660" t="str">
        <f t="shared" si="332"/>
        <v/>
      </c>
      <c r="Q1270" s="52" t="str">
        <f t="shared" si="319"/>
        <v>No</v>
      </c>
      <c r="R1270" s="1574" t="str">
        <f t="shared" si="329"/>
        <v/>
      </c>
      <c r="S1270" s="52" t="str">
        <f t="shared" si="326"/>
        <v/>
      </c>
      <c r="T1270" s="52" t="str">
        <f t="shared" si="327"/>
        <v/>
      </c>
      <c r="U1270" s="52" t="str">
        <f t="shared" si="322"/>
        <v/>
      </c>
      <c r="V1270" s="52" t="str">
        <f t="shared" si="328"/>
        <v/>
      </c>
      <c r="W1270" s="1578"/>
      <c r="X1270" s="52" t="str">
        <f t="shared" si="321"/>
        <v/>
      </c>
      <c r="Y1270" s="52" t="str">
        <f t="shared" si="324"/>
        <v/>
      </c>
      <c r="AA1270" s="52" t="str">
        <f t="shared" si="318"/>
        <v/>
      </c>
    </row>
    <row r="1271" spans="2:27">
      <c r="B1271" s="1532" t="str">
        <f t="shared" si="331"/>
        <v>Skilled Demolitionist</v>
      </c>
      <c r="C1271" s="1795"/>
      <c r="D1271" s="920"/>
      <c r="E1271" s="61" t="s">
        <v>3517</v>
      </c>
      <c r="F1271" s="61"/>
      <c r="G1271" s="61"/>
      <c r="H1271" s="61"/>
      <c r="I1271" s="61"/>
      <c r="J1271" s="1687" t="s">
        <v>5470</v>
      </c>
      <c r="K1271" s="63" t="str">
        <f t="shared" si="315"/>
        <v>No</v>
      </c>
      <c r="L1271" s="76"/>
      <c r="M1271" s="63">
        <f t="shared" si="317"/>
        <v>0</v>
      </c>
      <c r="N1271" s="63" t="s">
        <v>3516</v>
      </c>
      <c r="O1271" s="64"/>
      <c r="P1271" s="660" t="str">
        <f t="shared" si="332"/>
        <v/>
      </c>
      <c r="Q1271" s="52" t="str">
        <f t="shared" si="319"/>
        <v>No</v>
      </c>
      <c r="R1271" s="1574" t="str">
        <f t="shared" si="329"/>
        <v/>
      </c>
      <c r="S1271" s="52" t="str">
        <f t="shared" si="326"/>
        <v/>
      </c>
      <c r="T1271" s="52" t="str">
        <f t="shared" si="327"/>
        <v/>
      </c>
      <c r="U1271" s="52" t="str">
        <f t="shared" si="322"/>
        <v/>
      </c>
      <c r="V1271" s="52" t="str">
        <f t="shared" si="328"/>
        <v/>
      </c>
      <c r="W1271" s="1578"/>
      <c r="X1271" s="52" t="str">
        <f t="shared" si="321"/>
        <v/>
      </c>
      <c r="Y1271" s="52" t="str">
        <f t="shared" si="324"/>
        <v/>
      </c>
      <c r="AA1271" s="52" t="str">
        <f t="shared" si="318"/>
        <v/>
      </c>
    </row>
    <row r="1272" spans="2:27">
      <c r="B1272" s="1532" t="str">
        <f t="shared" si="331"/>
        <v>Shaped Explosion</v>
      </c>
      <c r="C1272" s="1795"/>
      <c r="D1272" s="920"/>
      <c r="E1272" s="61"/>
      <c r="F1272" s="61" t="s">
        <v>3518</v>
      </c>
      <c r="G1272" s="61"/>
      <c r="H1272" s="61"/>
      <c r="I1272" s="61"/>
      <c r="J1272" s="1687" t="s">
        <v>5471</v>
      </c>
      <c r="K1272" s="63" t="str">
        <f>IF(AND(Q1271="Yes",L1271&lt;&gt;""),"Yes","No")</f>
        <v>No</v>
      </c>
      <c r="L1272" s="76"/>
      <c r="M1272" s="63">
        <f t="shared" si="317"/>
        <v>0</v>
      </c>
      <c r="N1272" s="63" t="s">
        <v>3516</v>
      </c>
      <c r="O1272" s="64"/>
      <c r="P1272" s="660" t="str">
        <f t="shared" si="332"/>
        <v/>
      </c>
      <c r="Q1272" s="52" t="str">
        <f t="shared" si="319"/>
        <v>No</v>
      </c>
      <c r="R1272" s="1574" t="str">
        <f t="shared" si="329"/>
        <v/>
      </c>
      <c r="S1272" s="52" t="str">
        <f t="shared" si="326"/>
        <v/>
      </c>
      <c r="T1272" s="52" t="str">
        <f t="shared" si="327"/>
        <v/>
      </c>
      <c r="U1272" s="52" t="str">
        <f t="shared" si="322"/>
        <v/>
      </c>
      <c r="V1272" s="52" t="str">
        <f t="shared" si="328"/>
        <v/>
      </c>
      <c r="W1272" s="1578"/>
      <c r="X1272" s="52" t="str">
        <f t="shared" si="321"/>
        <v/>
      </c>
      <c r="Y1272" s="52" t="str">
        <f t="shared" si="324"/>
        <v/>
      </c>
      <c r="AA1272" s="52" t="str">
        <f t="shared" si="318"/>
        <v/>
      </c>
    </row>
    <row r="1273" spans="2:27">
      <c r="B1273" s="1532" t="str">
        <f t="shared" si="331"/>
        <v>Extreme Explosion</v>
      </c>
      <c r="C1273" s="1795"/>
      <c r="D1273" s="920"/>
      <c r="E1273" s="61"/>
      <c r="F1273" s="61"/>
      <c r="G1273" s="61" t="s">
        <v>3519</v>
      </c>
      <c r="H1273" s="61"/>
      <c r="I1273" s="61"/>
      <c r="J1273" s="1687" t="s">
        <v>5472</v>
      </c>
      <c r="K1273" s="63" t="str">
        <f>IF(AND(Q1272="Yes",L1272&lt;&gt;""),"Yes","No")</f>
        <v>No</v>
      </c>
      <c r="L1273" s="76"/>
      <c r="M1273" s="63">
        <f t="shared" si="317"/>
        <v>0</v>
      </c>
      <c r="N1273" s="63" t="s">
        <v>3516</v>
      </c>
      <c r="O1273" s="64"/>
      <c r="P1273" s="660" t="str">
        <f t="shared" si="332"/>
        <v/>
      </c>
      <c r="Q1273" s="52" t="str">
        <f t="shared" si="319"/>
        <v>No</v>
      </c>
      <c r="R1273" s="1574" t="str">
        <f t="shared" si="329"/>
        <v/>
      </c>
      <c r="S1273" s="52" t="str">
        <f t="shared" si="326"/>
        <v/>
      </c>
      <c r="T1273" s="52" t="str">
        <f t="shared" si="327"/>
        <v/>
      </c>
      <c r="U1273" s="52" t="str">
        <f t="shared" si="322"/>
        <v/>
      </c>
      <c r="V1273" s="52" t="str">
        <f t="shared" si="328"/>
        <v/>
      </c>
      <c r="W1273" s="1578"/>
      <c r="X1273" s="52" t="str">
        <f t="shared" si="321"/>
        <v/>
      </c>
      <c r="Y1273" s="52" t="str">
        <f t="shared" si="324"/>
        <v/>
      </c>
      <c r="AA1273" s="52" t="str">
        <f t="shared" si="318"/>
        <v/>
      </c>
    </row>
    <row r="1274" spans="2:27">
      <c r="B1274" s="1532" t="str">
        <f t="shared" si="331"/>
        <v>Blaster Turret I</v>
      </c>
      <c r="C1274" s="1795"/>
      <c r="D1274" s="920" t="s">
        <v>3520</v>
      </c>
      <c r="E1274" s="61" t="s">
        <v>3521</v>
      </c>
      <c r="F1274" s="61"/>
      <c r="G1274" s="61"/>
      <c r="H1274" s="61"/>
      <c r="I1274" s="61"/>
      <c r="J1274" s="1687" t="s">
        <v>5473</v>
      </c>
      <c r="K1274" s="63" t="str">
        <f t="shared" si="315"/>
        <v>No</v>
      </c>
      <c r="L1274" s="76"/>
      <c r="M1274" s="63">
        <f t="shared" si="317"/>
        <v>0</v>
      </c>
      <c r="N1274" s="63" t="s">
        <v>3516</v>
      </c>
      <c r="O1274" s="64"/>
      <c r="P1274" s="660" t="str">
        <f t="shared" si="332"/>
        <v/>
      </c>
      <c r="Q1274" s="52" t="str">
        <f t="shared" si="319"/>
        <v>No</v>
      </c>
      <c r="R1274" s="1574" t="str">
        <f t="shared" si="329"/>
        <v/>
      </c>
      <c r="S1274" s="52" t="str">
        <f t="shared" si="326"/>
        <v/>
      </c>
      <c r="T1274" s="52" t="str">
        <f t="shared" si="327"/>
        <v/>
      </c>
      <c r="U1274" s="52" t="str">
        <f t="shared" si="322"/>
        <v/>
      </c>
      <c r="V1274" s="52" t="str">
        <f t="shared" si="328"/>
        <v/>
      </c>
      <c r="W1274" s="1578"/>
      <c r="X1274" s="52" t="str">
        <f t="shared" si="321"/>
        <v/>
      </c>
      <c r="Y1274" s="52" t="str">
        <f t="shared" si="324"/>
        <v/>
      </c>
      <c r="AA1274" s="52" t="str">
        <f t="shared" si="318"/>
        <v/>
      </c>
    </row>
    <row r="1275" spans="2:27">
      <c r="B1275" s="1532" t="str">
        <f t="shared" si="331"/>
        <v>Blaster Turret II</v>
      </c>
      <c r="C1275" s="1795"/>
      <c r="D1275" s="920"/>
      <c r="E1275" s="61"/>
      <c r="F1275" s="61" t="s">
        <v>3522</v>
      </c>
      <c r="G1275" s="61"/>
      <c r="H1275" s="61"/>
      <c r="I1275" s="61"/>
      <c r="J1275" s="1687" t="s">
        <v>5474</v>
      </c>
      <c r="K1275" s="63" t="str">
        <f>IF(AND(Q1274="Yes",L1274&lt;&gt;""),"Yes","No")</f>
        <v>No</v>
      </c>
      <c r="L1275" s="76"/>
      <c r="M1275" s="63">
        <f t="shared" si="317"/>
        <v>0</v>
      </c>
      <c r="N1275" s="63" t="s">
        <v>3516</v>
      </c>
      <c r="O1275" s="64"/>
      <c r="P1275" s="660" t="str">
        <f t="shared" si="332"/>
        <v/>
      </c>
      <c r="Q1275" s="52" t="str">
        <f t="shared" si="319"/>
        <v>No</v>
      </c>
      <c r="R1275" s="1574" t="str">
        <f t="shared" si="329"/>
        <v/>
      </c>
      <c r="S1275" s="52" t="str">
        <f t="shared" si="326"/>
        <v/>
      </c>
      <c r="T1275" s="52" t="str">
        <f t="shared" si="327"/>
        <v/>
      </c>
      <c r="U1275" s="52" t="str">
        <f t="shared" si="322"/>
        <v/>
      </c>
      <c r="V1275" s="52" t="str">
        <f t="shared" si="328"/>
        <v/>
      </c>
      <c r="W1275" s="1578"/>
      <c r="X1275" s="52" t="str">
        <f t="shared" si="321"/>
        <v/>
      </c>
      <c r="Y1275" s="52" t="str">
        <f t="shared" si="324"/>
        <v/>
      </c>
      <c r="AA1275" s="52" t="str">
        <f t="shared" si="318"/>
        <v/>
      </c>
    </row>
    <row r="1276" spans="2:27">
      <c r="B1276" s="1532" t="str">
        <f t="shared" si="331"/>
        <v>Blaster Turret III</v>
      </c>
      <c r="C1276" s="1795"/>
      <c r="D1276" s="920"/>
      <c r="E1276" s="61"/>
      <c r="F1276" s="61"/>
      <c r="G1276" s="61" t="s">
        <v>3523</v>
      </c>
      <c r="H1276" s="61"/>
      <c r="I1276" s="61"/>
      <c r="J1276" s="1687" t="s">
        <v>5475</v>
      </c>
      <c r="K1276" s="63" t="str">
        <f>IF(AND(Q1275="Yes",L1275&lt;&gt;""),"Yes","No")</f>
        <v>No</v>
      </c>
      <c r="L1276" s="76"/>
      <c r="M1276" s="63">
        <f t="shared" si="317"/>
        <v>0</v>
      </c>
      <c r="N1276" s="63" t="s">
        <v>3516</v>
      </c>
      <c r="O1276" s="64"/>
      <c r="P1276" s="660" t="str">
        <f t="shared" si="332"/>
        <v/>
      </c>
      <c r="Q1276" s="52" t="str">
        <f t="shared" si="319"/>
        <v>No</v>
      </c>
      <c r="R1276" s="1574" t="str">
        <f t="shared" si="329"/>
        <v/>
      </c>
      <c r="S1276" s="52" t="str">
        <f t="shared" si="326"/>
        <v/>
      </c>
      <c r="T1276" s="52" t="str">
        <f t="shared" si="327"/>
        <v/>
      </c>
      <c r="U1276" s="52" t="str">
        <f t="shared" si="322"/>
        <v/>
      </c>
      <c r="V1276" s="52" t="str">
        <f t="shared" si="328"/>
        <v/>
      </c>
      <c r="W1276" s="1578"/>
      <c r="X1276" s="52" t="str">
        <f t="shared" si="321"/>
        <v/>
      </c>
      <c r="Y1276" s="52" t="str">
        <f t="shared" si="324"/>
        <v/>
      </c>
      <c r="AA1276" s="52" t="str">
        <f t="shared" si="318"/>
        <v/>
      </c>
    </row>
    <row r="1277" spans="2:27">
      <c r="B1277" s="1532" t="str">
        <f t="shared" si="331"/>
        <v>Ion Turret</v>
      </c>
      <c r="C1277" s="1795"/>
      <c r="D1277" s="920"/>
      <c r="E1277" s="61"/>
      <c r="F1277" s="61" t="s">
        <v>3524</v>
      </c>
      <c r="G1277" s="61"/>
      <c r="H1277" s="61"/>
      <c r="I1277" s="61"/>
      <c r="J1277" s="1687" t="s">
        <v>5476</v>
      </c>
      <c r="K1277" s="63" t="str">
        <f t="shared" ref="K1277:K1316" si="333">IF(Q1277="Yes","Yes","No")</f>
        <v>No</v>
      </c>
      <c r="L1277" s="76"/>
      <c r="M1277" s="63">
        <f t="shared" si="317"/>
        <v>0</v>
      </c>
      <c r="N1277" s="63" t="s">
        <v>3516</v>
      </c>
      <c r="O1277" s="64"/>
      <c r="P1277" s="660" t="str">
        <f t="shared" si="332"/>
        <v/>
      </c>
      <c r="Q1277" s="52" t="str">
        <f t="shared" si="319"/>
        <v>No</v>
      </c>
      <c r="R1277" s="1574" t="str">
        <f t="shared" si="329"/>
        <v/>
      </c>
      <c r="S1277" s="52" t="str">
        <f t="shared" si="326"/>
        <v/>
      </c>
      <c r="T1277" s="52" t="str">
        <f t="shared" si="327"/>
        <v/>
      </c>
      <c r="U1277" s="52" t="str">
        <f t="shared" si="322"/>
        <v/>
      </c>
      <c r="V1277" s="52" t="str">
        <f t="shared" si="328"/>
        <v/>
      </c>
      <c r="W1277" s="1578"/>
      <c r="X1277" s="52" t="str">
        <f t="shared" si="321"/>
        <v/>
      </c>
      <c r="Y1277" s="52" t="str">
        <f t="shared" si="324"/>
        <v/>
      </c>
      <c r="AA1277" s="52" t="str">
        <f t="shared" si="318"/>
        <v/>
      </c>
    </row>
    <row r="1278" spans="2:27">
      <c r="B1278" s="1532" t="str">
        <f t="shared" si="331"/>
        <v>Stun Turret</v>
      </c>
      <c r="C1278" s="1795"/>
      <c r="D1278" s="920"/>
      <c r="E1278" s="61"/>
      <c r="F1278" s="61" t="s">
        <v>3525</v>
      </c>
      <c r="G1278" s="61"/>
      <c r="H1278" s="61"/>
      <c r="I1278" s="61"/>
      <c r="J1278" s="1687" t="s">
        <v>5477</v>
      </c>
      <c r="K1278" s="63" t="str">
        <f t="shared" si="333"/>
        <v>No</v>
      </c>
      <c r="L1278" s="76"/>
      <c r="M1278" s="63">
        <f t="shared" si="317"/>
        <v>0</v>
      </c>
      <c r="N1278" s="63" t="s">
        <v>3516</v>
      </c>
      <c r="O1278" s="64"/>
      <c r="P1278" s="660" t="str">
        <f t="shared" si="332"/>
        <v/>
      </c>
      <c r="Q1278" s="52" t="str">
        <f t="shared" si="319"/>
        <v>No</v>
      </c>
      <c r="R1278" s="1574" t="str">
        <f t="shared" si="329"/>
        <v/>
      </c>
      <c r="S1278" s="52" t="str">
        <f t="shared" si="326"/>
        <v/>
      </c>
      <c r="T1278" s="52" t="str">
        <f t="shared" si="327"/>
        <v/>
      </c>
      <c r="U1278" s="52" t="str">
        <f t="shared" si="322"/>
        <v/>
      </c>
      <c r="V1278" s="52" t="str">
        <f t="shared" si="328"/>
        <v/>
      </c>
      <c r="W1278" s="1578"/>
      <c r="X1278" s="52" t="str">
        <f t="shared" si="321"/>
        <v/>
      </c>
      <c r="Y1278" s="52" t="str">
        <f t="shared" si="324"/>
        <v/>
      </c>
      <c r="AA1278" s="52" t="str">
        <f t="shared" si="318"/>
        <v/>
      </c>
    </row>
    <row r="1279" spans="2:27">
      <c r="B1279" s="1532" t="str">
        <f t="shared" si="331"/>
        <v>Turret Self-Destruct</v>
      </c>
      <c r="C1279" s="1796"/>
      <c r="D1279" s="920"/>
      <c r="E1279" s="61"/>
      <c r="F1279" s="61" t="s">
        <v>3526</v>
      </c>
      <c r="G1279" s="61"/>
      <c r="H1279" s="61"/>
      <c r="I1279" s="61"/>
      <c r="J1279" s="1691" t="s">
        <v>5478</v>
      </c>
      <c r="K1279" s="928" t="str">
        <f t="shared" si="333"/>
        <v>No</v>
      </c>
      <c r="L1279" s="929"/>
      <c r="M1279" s="928">
        <f t="shared" si="317"/>
        <v>0</v>
      </c>
      <c r="N1279" s="63" t="s">
        <v>3516</v>
      </c>
      <c r="O1279" s="64"/>
      <c r="P1279" s="660" t="str">
        <f t="shared" si="332"/>
        <v/>
      </c>
      <c r="Q1279" s="52" t="str">
        <f t="shared" si="319"/>
        <v>No</v>
      </c>
      <c r="R1279" s="1574" t="str">
        <f t="shared" si="329"/>
        <v/>
      </c>
      <c r="S1279" s="52" t="str">
        <f t="shared" si="326"/>
        <v/>
      </c>
      <c r="T1279" s="52" t="str">
        <f t="shared" si="327"/>
        <v/>
      </c>
      <c r="U1279" s="52" t="str">
        <f t="shared" si="322"/>
        <v/>
      </c>
      <c r="V1279" s="52" t="str">
        <f t="shared" si="328"/>
        <v/>
      </c>
      <c r="W1279" s="1578"/>
      <c r="X1279" s="52" t="str">
        <f t="shared" si="321"/>
        <v/>
      </c>
      <c r="Y1279" s="52" t="str">
        <f t="shared" si="324"/>
        <v/>
      </c>
      <c r="AA1279" s="52" t="str">
        <f t="shared" si="318"/>
        <v/>
      </c>
    </row>
    <row r="1280" spans="2:27" ht="15" customHeight="1">
      <c r="B1280" s="1532" t="str">
        <f t="shared" si="331"/>
        <v>Adrenaline Implant</v>
      </c>
      <c r="C1280" s="1794" t="s">
        <v>2196</v>
      </c>
      <c r="D1280" s="922" t="s">
        <v>137</v>
      </c>
      <c r="E1280" s="923" t="s">
        <v>3527</v>
      </c>
      <c r="F1280" s="923"/>
      <c r="G1280" s="923"/>
      <c r="H1280" s="923"/>
      <c r="I1280" s="923"/>
      <c r="J1280" s="1690" t="s">
        <v>5479</v>
      </c>
      <c r="K1280" s="63" t="str">
        <f t="shared" si="333"/>
        <v>No</v>
      </c>
      <c r="L1280" s="76"/>
      <c r="M1280" s="63">
        <f t="shared" si="317"/>
        <v>0</v>
      </c>
      <c r="N1280" s="924" t="s">
        <v>3528</v>
      </c>
      <c r="O1280" s="64"/>
      <c r="P1280" s="660" t="str">
        <f t="shared" si="332"/>
        <v/>
      </c>
      <c r="Q1280" s="52" t="str">
        <f>IF(OR(AD45&gt;0,AD42&gt;0),"Yes","No")</f>
        <v>No</v>
      </c>
      <c r="R1280" s="1574" t="str">
        <f t="shared" si="329"/>
        <v/>
      </c>
      <c r="S1280" s="52" t="str">
        <f t="shared" si="326"/>
        <v/>
      </c>
      <c r="T1280" s="52" t="str">
        <f t="shared" si="327"/>
        <v/>
      </c>
      <c r="U1280" s="52" t="str">
        <f t="shared" si="322"/>
        <v/>
      </c>
      <c r="V1280" s="52" t="str">
        <f t="shared" si="328"/>
        <v/>
      </c>
      <c r="W1280" s="1578"/>
      <c r="X1280" s="52" t="str">
        <f t="shared" si="321"/>
        <v/>
      </c>
      <c r="Y1280" s="52" t="str">
        <f t="shared" si="324"/>
        <v/>
      </c>
      <c r="AA1280" s="52" t="str">
        <f t="shared" si="318"/>
        <v/>
      </c>
    </row>
    <row r="1281" spans="2:27">
      <c r="B1281" s="1532" t="str">
        <f t="shared" si="331"/>
        <v>Precision Implant</v>
      </c>
      <c r="C1281" s="1795"/>
      <c r="D1281" s="920"/>
      <c r="E1281" s="61" t="s">
        <v>3529</v>
      </c>
      <c r="F1281" s="61"/>
      <c r="G1281" s="61"/>
      <c r="H1281" s="61"/>
      <c r="I1281" s="61"/>
      <c r="J1281" s="1687" t="s">
        <v>5480</v>
      </c>
      <c r="K1281" s="63" t="str">
        <f t="shared" si="333"/>
        <v>No</v>
      </c>
      <c r="L1281" s="76"/>
      <c r="M1281" s="63">
        <f t="shared" si="317"/>
        <v>0</v>
      </c>
      <c r="N1281" s="63" t="s">
        <v>3528</v>
      </c>
      <c r="O1281" s="64"/>
      <c r="P1281" s="660" t="str">
        <f t="shared" si="332"/>
        <v/>
      </c>
      <c r="Q1281" s="52" t="str">
        <f t="shared" si="319"/>
        <v>No</v>
      </c>
      <c r="R1281" s="1574" t="str">
        <f t="shared" si="329"/>
        <v/>
      </c>
      <c r="S1281" s="52" t="str">
        <f t="shared" si="326"/>
        <v/>
      </c>
      <c r="T1281" s="52" t="str">
        <f t="shared" si="327"/>
        <v/>
      </c>
      <c r="U1281" s="52" t="str">
        <f t="shared" si="322"/>
        <v/>
      </c>
      <c r="V1281" s="52" t="str">
        <f t="shared" si="328"/>
        <v/>
      </c>
      <c r="W1281" s="1578"/>
      <c r="X1281" s="52" t="str">
        <f t="shared" ref="X1281:X1316" si="334">IF(U1281&lt;&gt;"",IF(W1281="Special Actions",U1281&amp;IF(X1282&lt;&gt;"",", ",""),"")&amp;X1282,X1282)</f>
        <v/>
      </c>
      <c r="Y1281" s="52" t="str">
        <f t="shared" si="324"/>
        <v/>
      </c>
      <c r="AA1281" s="52" t="str">
        <f t="shared" si="318"/>
        <v/>
      </c>
    </row>
    <row r="1282" spans="2:27">
      <c r="B1282" s="1532" t="str">
        <f t="shared" si="331"/>
        <v>Resilience Implant</v>
      </c>
      <c r="C1282" s="1795"/>
      <c r="D1282" s="920"/>
      <c r="E1282" s="61" t="s">
        <v>3530</v>
      </c>
      <c r="F1282" s="61"/>
      <c r="G1282" s="61"/>
      <c r="H1282" s="61"/>
      <c r="I1282" s="61"/>
      <c r="J1282" s="1687" t="s">
        <v>5481</v>
      </c>
      <c r="K1282" s="63" t="str">
        <f t="shared" si="333"/>
        <v>No</v>
      </c>
      <c r="L1282" s="76"/>
      <c r="M1282" s="63">
        <f t="shared" ref="M1282:M1317" si="335">IF(L1282&lt;&gt;"",1,0)</f>
        <v>0</v>
      </c>
      <c r="N1282" s="63" t="s">
        <v>3528</v>
      </c>
      <c r="O1282" s="64"/>
      <c r="P1282" s="660" t="str">
        <f t="shared" si="332"/>
        <v/>
      </c>
      <c r="Q1282" s="52" t="str">
        <f t="shared" ref="Q1282:Q1317" si="336">Q1281</f>
        <v>No</v>
      </c>
      <c r="R1282" s="1574" t="str">
        <f t="shared" si="329"/>
        <v/>
      </c>
      <c r="S1282" s="52" t="str">
        <f t="shared" si="326"/>
        <v/>
      </c>
      <c r="T1282" s="52" t="str">
        <f t="shared" si="327"/>
        <v/>
      </c>
      <c r="U1282" s="52" t="str">
        <f t="shared" si="322"/>
        <v/>
      </c>
      <c r="V1282" s="52" t="str">
        <f t="shared" si="328"/>
        <v/>
      </c>
      <c r="W1282" s="1578"/>
      <c r="X1282" s="52" t="str">
        <f t="shared" si="334"/>
        <v/>
      </c>
      <c r="Y1282" s="52" t="str">
        <f t="shared" si="324"/>
        <v/>
      </c>
      <c r="AA1282" s="52" t="str">
        <f t="shared" ref="AA1282:AA1317" si="337">IF(U1282&lt;&gt;"",IF(Z1282="Defenses",U1282&amp;IF(AA1283&lt;&gt;"",", ",""),"")&amp;AA1283,AA1283)</f>
        <v/>
      </c>
    </row>
    <row r="1283" spans="2:27">
      <c r="B1283" s="1532" t="str">
        <f t="shared" si="331"/>
        <v>Speed Implant</v>
      </c>
      <c r="C1283" s="1795"/>
      <c r="D1283" s="920"/>
      <c r="E1283" s="61" t="s">
        <v>3531</v>
      </c>
      <c r="F1283" s="61"/>
      <c r="G1283" s="61"/>
      <c r="H1283" s="61"/>
      <c r="I1283" s="61"/>
      <c r="J1283" s="1687" t="s">
        <v>5482</v>
      </c>
      <c r="K1283" s="63" t="str">
        <f t="shared" si="333"/>
        <v>No</v>
      </c>
      <c r="L1283" s="76"/>
      <c r="M1283" s="63">
        <f t="shared" si="335"/>
        <v>0</v>
      </c>
      <c r="N1283" s="63" t="s">
        <v>3528</v>
      </c>
      <c r="O1283" s="64"/>
      <c r="P1283" s="660" t="str">
        <f t="shared" si="332"/>
        <v/>
      </c>
      <c r="Q1283" s="52" t="str">
        <f t="shared" si="336"/>
        <v>No</v>
      </c>
      <c r="R1283" s="1574" t="str">
        <f t="shared" si="329"/>
        <v/>
      </c>
      <c r="S1283" s="52" t="str">
        <f t="shared" si="326"/>
        <v/>
      </c>
      <c r="T1283" s="52" t="str">
        <f t="shared" si="327"/>
        <v/>
      </c>
      <c r="U1283" s="52" t="str">
        <f t="shared" si="322"/>
        <v/>
      </c>
      <c r="V1283" s="52" t="str">
        <f t="shared" si="328"/>
        <v/>
      </c>
      <c r="W1283" s="1578"/>
      <c r="X1283" s="52" t="str">
        <f t="shared" si="334"/>
        <v/>
      </c>
      <c r="Y1283" s="52" t="str">
        <f t="shared" si="324"/>
        <v/>
      </c>
      <c r="AA1283" s="52" t="str">
        <f t="shared" si="337"/>
        <v/>
      </c>
    </row>
    <row r="1284" spans="2:27">
      <c r="B1284" s="1532" t="str">
        <f t="shared" si="331"/>
        <v>Strength Implant</v>
      </c>
      <c r="C1284" s="1795"/>
      <c r="D1284" s="920"/>
      <c r="E1284" s="61" t="s">
        <v>3532</v>
      </c>
      <c r="F1284" s="61"/>
      <c r="G1284" s="61"/>
      <c r="H1284" s="61"/>
      <c r="I1284" s="61"/>
      <c r="J1284" s="1687" t="s">
        <v>5483</v>
      </c>
      <c r="K1284" s="63" t="str">
        <f t="shared" si="333"/>
        <v>No</v>
      </c>
      <c r="L1284" s="76"/>
      <c r="M1284" s="63">
        <f t="shared" si="335"/>
        <v>0</v>
      </c>
      <c r="N1284" s="63" t="s">
        <v>3528</v>
      </c>
      <c r="O1284" s="64"/>
      <c r="P1284" s="660" t="str">
        <f t="shared" si="332"/>
        <v/>
      </c>
      <c r="Q1284" s="52" t="str">
        <f t="shared" si="336"/>
        <v>No</v>
      </c>
      <c r="R1284" s="1574" t="str">
        <f t="shared" si="329"/>
        <v/>
      </c>
      <c r="S1284" s="52" t="str">
        <f t="shared" si="326"/>
        <v/>
      </c>
      <c r="T1284" s="52" t="str">
        <f t="shared" si="327"/>
        <v/>
      </c>
      <c r="U1284" s="52" t="str">
        <f t="shared" si="322"/>
        <v/>
      </c>
      <c r="V1284" s="52" t="str">
        <f t="shared" si="328"/>
        <v/>
      </c>
      <c r="W1284" s="1578"/>
      <c r="X1284" s="52" t="str">
        <f t="shared" si="334"/>
        <v/>
      </c>
      <c r="Y1284" s="52" t="str">
        <f t="shared" si="324"/>
        <v/>
      </c>
      <c r="AA1284" s="52" t="str">
        <f t="shared" si="337"/>
        <v/>
      </c>
    </row>
    <row r="1285" spans="2:27">
      <c r="B1285" s="1532" t="str">
        <f t="shared" si="331"/>
        <v>Biotech Mastery</v>
      </c>
      <c r="C1285" s="1795"/>
      <c r="D1285" s="920" t="s">
        <v>2196</v>
      </c>
      <c r="E1285" s="61" t="s">
        <v>3533</v>
      </c>
      <c r="F1285" s="61"/>
      <c r="G1285" s="61"/>
      <c r="H1285" s="61"/>
      <c r="I1285" s="61"/>
      <c r="J1285" s="1687" t="s">
        <v>5484</v>
      </c>
      <c r="K1285" s="63" t="str">
        <f t="shared" si="333"/>
        <v>No</v>
      </c>
      <c r="L1285" s="76"/>
      <c r="M1285" s="63">
        <f t="shared" si="335"/>
        <v>0</v>
      </c>
      <c r="N1285" s="63" t="s">
        <v>3528</v>
      </c>
      <c r="O1285" s="64"/>
      <c r="P1285" s="660" t="str">
        <f t="shared" si="332"/>
        <v/>
      </c>
      <c r="Q1285" s="52" t="str">
        <f t="shared" si="336"/>
        <v>No</v>
      </c>
      <c r="R1285" s="1574" t="str">
        <f t="shared" si="329"/>
        <v/>
      </c>
      <c r="S1285" s="52" t="str">
        <f t="shared" si="326"/>
        <v/>
      </c>
      <c r="T1285" s="52" t="str">
        <f t="shared" si="327"/>
        <v/>
      </c>
      <c r="U1285" s="52" t="str">
        <f t="shared" si="322"/>
        <v/>
      </c>
      <c r="V1285" s="52" t="str">
        <f t="shared" si="328"/>
        <v/>
      </c>
      <c r="W1285" s="1578"/>
      <c r="X1285" s="52" t="str">
        <f t="shared" si="334"/>
        <v/>
      </c>
      <c r="Y1285" s="52" t="str">
        <f t="shared" si="324"/>
        <v/>
      </c>
      <c r="AA1285" s="52" t="str">
        <f t="shared" si="337"/>
        <v/>
      </c>
    </row>
    <row r="1286" spans="2:27">
      <c r="B1286" s="1532" t="str">
        <f t="shared" si="331"/>
        <v>Expert Shaper</v>
      </c>
      <c r="C1286" s="1795"/>
      <c r="D1286" s="920"/>
      <c r="E1286" s="61" t="s">
        <v>3534</v>
      </c>
      <c r="F1286" s="61"/>
      <c r="G1286" s="61"/>
      <c r="H1286" s="61"/>
      <c r="I1286" s="61"/>
      <c r="J1286" s="1687" t="s">
        <v>5485</v>
      </c>
      <c r="K1286" s="63" t="str">
        <f t="shared" si="333"/>
        <v>No</v>
      </c>
      <c r="L1286" s="76"/>
      <c r="M1286" s="63">
        <f t="shared" si="335"/>
        <v>0</v>
      </c>
      <c r="N1286" s="63" t="s">
        <v>3528</v>
      </c>
      <c r="O1286" s="64"/>
      <c r="P1286" s="660" t="str">
        <f t="shared" si="332"/>
        <v/>
      </c>
      <c r="Q1286" s="52" t="str">
        <f t="shared" si="336"/>
        <v>No</v>
      </c>
      <c r="R1286" s="1574" t="str">
        <f t="shared" si="329"/>
        <v/>
      </c>
      <c r="S1286" s="52" t="str">
        <f t="shared" si="326"/>
        <v/>
      </c>
      <c r="T1286" s="52" t="str">
        <f t="shared" si="327"/>
        <v/>
      </c>
      <c r="U1286" s="52" t="str">
        <f t="shared" si="322"/>
        <v/>
      </c>
      <c r="V1286" s="52" t="str">
        <f t="shared" si="328"/>
        <v/>
      </c>
      <c r="W1286" s="1578"/>
      <c r="X1286" s="52" t="str">
        <f t="shared" si="334"/>
        <v/>
      </c>
      <c r="Y1286" s="52" t="str">
        <f t="shared" si="324"/>
        <v/>
      </c>
      <c r="AA1286" s="52" t="str">
        <f t="shared" si="337"/>
        <v/>
      </c>
    </row>
    <row r="1287" spans="2:27">
      <c r="B1287" s="1532" t="str">
        <f t="shared" si="331"/>
        <v>Expedient Mending</v>
      </c>
      <c r="C1287" s="1795"/>
      <c r="D1287" s="920"/>
      <c r="E1287" s="61"/>
      <c r="F1287" s="61" t="s">
        <v>3535</v>
      </c>
      <c r="G1287" s="61"/>
      <c r="H1287" s="61"/>
      <c r="I1287" s="61"/>
      <c r="J1287" s="1687" t="s">
        <v>5486</v>
      </c>
      <c r="K1287" s="63" t="str">
        <f>IF(AND(Q1286="Yes",L1286&lt;&gt;""),"Yes","No")</f>
        <v>No</v>
      </c>
      <c r="L1287" s="76"/>
      <c r="M1287" s="63">
        <f t="shared" si="335"/>
        <v>0</v>
      </c>
      <c r="N1287" s="63" t="s">
        <v>3528</v>
      </c>
      <c r="O1287" s="64"/>
      <c r="P1287" s="660" t="str">
        <f t="shared" si="332"/>
        <v/>
      </c>
      <c r="Q1287" s="52" t="str">
        <f t="shared" si="336"/>
        <v>No</v>
      </c>
      <c r="R1287" s="1574" t="str">
        <f t="shared" si="329"/>
        <v/>
      </c>
      <c r="S1287" s="52" t="str">
        <f t="shared" si="326"/>
        <v/>
      </c>
      <c r="T1287" s="52" t="str">
        <f t="shared" si="327"/>
        <v/>
      </c>
      <c r="U1287" s="52" t="str">
        <f t="shared" si="322"/>
        <v/>
      </c>
      <c r="V1287" s="52" t="str">
        <f t="shared" si="328"/>
        <v/>
      </c>
      <c r="W1287" s="1578"/>
      <c r="X1287" s="52" t="str">
        <f t="shared" si="334"/>
        <v/>
      </c>
      <c r="Y1287" s="52" t="str">
        <f t="shared" si="324"/>
        <v/>
      </c>
      <c r="AA1287" s="52" t="str">
        <f t="shared" si="337"/>
        <v/>
      </c>
    </row>
    <row r="1288" spans="2:27">
      <c r="B1288" s="1532" t="str">
        <f t="shared" si="331"/>
        <v>Master Mender</v>
      </c>
      <c r="C1288" s="1795"/>
      <c r="D1288" s="920"/>
      <c r="E1288" s="61"/>
      <c r="F1288" s="61" t="s">
        <v>3536</v>
      </c>
      <c r="G1288" s="61"/>
      <c r="H1288" s="61"/>
      <c r="I1288" s="61"/>
      <c r="J1288" s="1687" t="s">
        <v>5487</v>
      </c>
      <c r="K1288" s="63" t="str">
        <f>IF(AND(Q1287="Yes",L1286&lt;&gt;""),"Yes","No")</f>
        <v>No</v>
      </c>
      <c r="L1288" s="76"/>
      <c r="M1288" s="63">
        <f t="shared" si="335"/>
        <v>0</v>
      </c>
      <c r="N1288" s="63" t="s">
        <v>3528</v>
      </c>
      <c r="O1288" s="64"/>
      <c r="P1288" s="660" t="str">
        <f t="shared" si="332"/>
        <v/>
      </c>
      <c r="Q1288" s="52" t="str">
        <f t="shared" si="336"/>
        <v>No</v>
      </c>
      <c r="R1288" s="1574" t="str">
        <f t="shared" si="329"/>
        <v/>
      </c>
      <c r="S1288" s="52" t="str">
        <f t="shared" si="326"/>
        <v/>
      </c>
      <c r="T1288" s="52" t="str">
        <f t="shared" si="327"/>
        <v/>
      </c>
      <c r="U1288" s="52" t="str">
        <f t="shared" si="322"/>
        <v/>
      </c>
      <c r="V1288" s="52" t="str">
        <f t="shared" si="328"/>
        <v/>
      </c>
      <c r="W1288" s="1578"/>
      <c r="X1288" s="52" t="str">
        <f t="shared" si="334"/>
        <v/>
      </c>
      <c r="Y1288" s="52" t="str">
        <f t="shared" si="324"/>
        <v/>
      </c>
      <c r="AA1288" s="52" t="str">
        <f t="shared" si="337"/>
        <v/>
      </c>
    </row>
    <row r="1289" spans="2:27">
      <c r="B1289" s="1532" t="str">
        <f t="shared" si="331"/>
        <v>Skilled Implanter</v>
      </c>
      <c r="C1289" s="1796"/>
      <c r="D1289" s="71"/>
      <c r="E1289" s="927" t="s">
        <v>3537</v>
      </c>
      <c r="F1289" s="927"/>
      <c r="G1289" s="927"/>
      <c r="H1289" s="927"/>
      <c r="I1289" s="927"/>
      <c r="J1289" s="1691" t="s">
        <v>5488</v>
      </c>
      <c r="K1289" s="928" t="str">
        <f t="shared" si="333"/>
        <v>No</v>
      </c>
      <c r="L1289" s="929"/>
      <c r="M1289" s="928">
        <f t="shared" si="335"/>
        <v>0</v>
      </c>
      <c r="N1289" s="928" t="s">
        <v>3528</v>
      </c>
      <c r="O1289" s="64"/>
      <c r="P1289" s="660" t="str">
        <f t="shared" si="332"/>
        <v/>
      </c>
      <c r="Q1289" s="52" t="str">
        <f t="shared" si="336"/>
        <v>No</v>
      </c>
      <c r="R1289" s="1574" t="str">
        <f t="shared" si="329"/>
        <v/>
      </c>
      <c r="S1289" s="52" t="str">
        <f t="shared" si="326"/>
        <v/>
      </c>
      <c r="T1289" s="52" t="str">
        <f t="shared" si="327"/>
        <v/>
      </c>
      <c r="U1289" s="52" t="str">
        <f t="shared" si="322"/>
        <v/>
      </c>
      <c r="V1289" s="52" t="str">
        <f t="shared" si="328"/>
        <v/>
      </c>
      <c r="W1289" s="1578"/>
      <c r="X1289" s="52" t="str">
        <f t="shared" si="334"/>
        <v/>
      </c>
      <c r="Y1289" s="52" t="str">
        <f t="shared" si="324"/>
        <v/>
      </c>
      <c r="AA1289" s="52" t="str">
        <f t="shared" si="337"/>
        <v/>
      </c>
    </row>
    <row r="1290" spans="2:27" ht="15" customHeight="1">
      <c r="B1290" s="1532" t="str">
        <f t="shared" si="331"/>
        <v>Affliction</v>
      </c>
      <c r="C1290" s="1794" t="s">
        <v>667</v>
      </c>
      <c r="D1290" s="922" t="s">
        <v>1649</v>
      </c>
      <c r="E1290" s="923" t="s">
        <v>3538</v>
      </c>
      <c r="F1290" s="923"/>
      <c r="G1290" s="923"/>
      <c r="H1290" s="923"/>
      <c r="I1290" s="923"/>
      <c r="J1290" s="1690" t="s">
        <v>5489</v>
      </c>
      <c r="K1290" s="63" t="str">
        <f t="shared" si="333"/>
        <v>No</v>
      </c>
      <c r="L1290" s="76"/>
      <c r="M1290" s="63">
        <f t="shared" si="335"/>
        <v>0</v>
      </c>
      <c r="N1290" s="924" t="s">
        <v>3407</v>
      </c>
      <c r="O1290" s="64"/>
      <c r="P1290" s="660" t="str">
        <f t="shared" si="332"/>
        <v/>
      </c>
      <c r="Q1290" s="52" t="str">
        <f>IF(OR($AD$45&gt;0,$AD$21&gt;0,$AD$24&gt;0),"Yes","No")</f>
        <v>No</v>
      </c>
      <c r="R1290" s="1574" t="str">
        <f t="shared" si="329"/>
        <v/>
      </c>
      <c r="S1290" s="52" t="str">
        <f t="shared" si="326"/>
        <v/>
      </c>
      <c r="T1290" s="52" t="str">
        <f t="shared" si="327"/>
        <v/>
      </c>
      <c r="U1290" s="52" t="str">
        <f t="shared" si="322"/>
        <v/>
      </c>
      <c r="V1290" s="52" t="str">
        <f t="shared" si="328"/>
        <v/>
      </c>
      <c r="W1290" s="1578"/>
      <c r="X1290" s="52" t="str">
        <f t="shared" si="334"/>
        <v/>
      </c>
      <c r="Y1290" s="52" t="str">
        <f t="shared" si="324"/>
        <v/>
      </c>
      <c r="AA1290" s="52" t="str">
        <f t="shared" si="337"/>
        <v/>
      </c>
    </row>
    <row r="1291" spans="2:27">
      <c r="B1291" s="1532" t="str">
        <f t="shared" si="331"/>
        <v>Drain Force</v>
      </c>
      <c r="C1291" s="1795"/>
      <c r="D1291" s="920"/>
      <c r="E1291" s="61"/>
      <c r="F1291" s="61" t="s">
        <v>3539</v>
      </c>
      <c r="G1291" s="61"/>
      <c r="H1291" s="61"/>
      <c r="I1291" s="61"/>
      <c r="J1291" s="1687" t="s">
        <v>5490</v>
      </c>
      <c r="K1291" s="63" t="str">
        <f>IF(AND(Q1290="Yes",L1290&lt;&gt;""),"Yes","No")</f>
        <v>No</v>
      </c>
      <c r="L1291" s="76"/>
      <c r="M1291" s="63">
        <f t="shared" si="335"/>
        <v>0</v>
      </c>
      <c r="N1291" s="63" t="s">
        <v>3407</v>
      </c>
      <c r="O1291" s="64"/>
      <c r="P1291" s="660" t="str">
        <f t="shared" si="332"/>
        <v/>
      </c>
      <c r="Q1291" s="52" t="str">
        <f t="shared" si="336"/>
        <v>No</v>
      </c>
      <c r="R1291" s="1574" t="str">
        <f t="shared" si="329"/>
        <v/>
      </c>
      <c r="S1291" s="52" t="str">
        <f t="shared" si="326"/>
        <v/>
      </c>
      <c r="T1291" s="52" t="str">
        <f t="shared" si="327"/>
        <v/>
      </c>
      <c r="U1291" s="52" t="str">
        <f t="shared" si="322"/>
        <v/>
      </c>
      <c r="V1291" s="52" t="str">
        <f t="shared" si="328"/>
        <v/>
      </c>
      <c r="W1291" s="1578"/>
      <c r="X1291" s="52" t="str">
        <f t="shared" si="334"/>
        <v/>
      </c>
      <c r="Y1291" s="52" t="str">
        <f t="shared" si="324"/>
        <v/>
      </c>
      <c r="AA1291" s="52" t="str">
        <f t="shared" si="337"/>
        <v/>
      </c>
    </row>
    <row r="1292" spans="2:27" ht="26">
      <c r="B1292" s="1532" t="str">
        <f t="shared" si="331"/>
        <v>Dark Healing</v>
      </c>
      <c r="C1292" s="1795"/>
      <c r="D1292" s="920"/>
      <c r="E1292" s="61" t="s">
        <v>3540</v>
      </c>
      <c r="F1292" s="61"/>
      <c r="G1292" s="61"/>
      <c r="H1292" s="61"/>
      <c r="I1292" s="61"/>
      <c r="J1292" s="1687" t="s">
        <v>5491</v>
      </c>
      <c r="K1292" s="63" t="str">
        <f t="shared" si="333"/>
        <v>No</v>
      </c>
      <c r="L1292" s="76"/>
      <c r="M1292" s="63">
        <f t="shared" si="335"/>
        <v>0</v>
      </c>
      <c r="N1292" s="63">
        <v>223</v>
      </c>
      <c r="O1292" s="64"/>
      <c r="P1292" s="660" t="str">
        <f t="shared" si="332"/>
        <v/>
      </c>
      <c r="Q1292" s="52" t="str">
        <f t="shared" si="336"/>
        <v>No</v>
      </c>
      <c r="R1292" s="1574" t="str">
        <f t="shared" si="329"/>
        <v/>
      </c>
      <c r="S1292" s="52" t="str">
        <f t="shared" si="326"/>
        <v/>
      </c>
      <c r="T1292" s="52" t="str">
        <f t="shared" si="327"/>
        <v/>
      </c>
      <c r="U1292" s="52" t="str">
        <f t="shared" si="322"/>
        <v/>
      </c>
      <c r="V1292" s="52" t="str">
        <f t="shared" si="328"/>
        <v/>
      </c>
      <c r="W1292" s="1578"/>
      <c r="X1292" s="52" t="str">
        <f t="shared" si="334"/>
        <v/>
      </c>
      <c r="Y1292" s="52" t="str">
        <f t="shared" si="324"/>
        <v/>
      </c>
      <c r="AA1292" s="52" t="str">
        <f t="shared" si="337"/>
        <v/>
      </c>
    </row>
    <row r="1293" spans="2:27">
      <c r="B1293" s="1532" t="str">
        <f t="shared" si="331"/>
        <v>Improved Dark Healing</v>
      </c>
      <c r="C1293" s="1795"/>
      <c r="D1293" s="920"/>
      <c r="E1293" s="61"/>
      <c r="F1293" s="61" t="s">
        <v>3541</v>
      </c>
      <c r="G1293" s="61"/>
      <c r="H1293" s="61"/>
      <c r="I1293" s="61"/>
      <c r="J1293" s="1687" t="s">
        <v>5492</v>
      </c>
      <c r="K1293" s="63" t="str">
        <f>IF(AND(Q1292="Yes",L1292&lt;&gt;""),"Yes","No")</f>
        <v>No</v>
      </c>
      <c r="L1293" s="76"/>
      <c r="M1293" s="63">
        <f t="shared" si="335"/>
        <v>0</v>
      </c>
      <c r="N1293" s="63">
        <v>224</v>
      </c>
      <c r="O1293" s="64"/>
      <c r="P1293" s="660" t="str">
        <f t="shared" si="332"/>
        <v/>
      </c>
      <c r="Q1293" s="52" t="str">
        <f t="shared" si="336"/>
        <v>No</v>
      </c>
      <c r="R1293" s="1574" t="str">
        <f t="shared" si="329"/>
        <v/>
      </c>
      <c r="S1293" s="52" t="str">
        <f t="shared" si="326"/>
        <v/>
      </c>
      <c r="T1293" s="52" t="str">
        <f t="shared" si="327"/>
        <v/>
      </c>
      <c r="U1293" s="52" t="str">
        <f t="shared" si="322"/>
        <v/>
      </c>
      <c r="V1293" s="52" t="str">
        <f t="shared" si="328"/>
        <v/>
      </c>
      <c r="W1293" s="1578"/>
      <c r="X1293" s="52" t="str">
        <f t="shared" si="334"/>
        <v/>
      </c>
      <c r="Y1293" s="52" t="str">
        <f t="shared" si="324"/>
        <v/>
      </c>
      <c r="AA1293" s="52" t="str">
        <f t="shared" si="337"/>
        <v/>
      </c>
    </row>
    <row r="1294" spans="2:27" ht="26">
      <c r="B1294" s="1532" t="str">
        <f t="shared" si="331"/>
        <v>Dark Healing Field</v>
      </c>
      <c r="C1294" s="1795"/>
      <c r="D1294" s="920"/>
      <c r="E1294" s="61"/>
      <c r="F1294" s="61"/>
      <c r="G1294" s="61" t="s">
        <v>3542</v>
      </c>
      <c r="H1294" s="61"/>
      <c r="I1294" s="61"/>
      <c r="J1294" s="1687" t="s">
        <v>5493</v>
      </c>
      <c r="K1294" s="63" t="str">
        <f>IF(AND(Q1293="Yes",L1293&lt;&gt;""),"Yes","No")</f>
        <v>No</v>
      </c>
      <c r="L1294" s="76"/>
      <c r="M1294" s="63">
        <f t="shared" si="335"/>
        <v>0</v>
      </c>
      <c r="N1294" s="63" t="s">
        <v>3407</v>
      </c>
      <c r="O1294" s="64"/>
      <c r="P1294" s="660" t="str">
        <f t="shared" si="332"/>
        <v/>
      </c>
      <c r="Q1294" s="52" t="str">
        <f t="shared" si="336"/>
        <v>No</v>
      </c>
      <c r="R1294" s="1574" t="str">
        <f t="shared" si="329"/>
        <v/>
      </c>
      <c r="S1294" s="52" t="str">
        <f t="shared" si="326"/>
        <v/>
      </c>
      <c r="T1294" s="52" t="str">
        <f t="shared" si="327"/>
        <v/>
      </c>
      <c r="U1294" s="52" t="str">
        <f t="shared" si="322"/>
        <v/>
      </c>
      <c r="V1294" s="52" t="str">
        <f t="shared" si="328"/>
        <v/>
      </c>
      <c r="W1294" s="1578"/>
      <c r="X1294" s="52" t="str">
        <f t="shared" si="334"/>
        <v/>
      </c>
      <c r="Y1294" s="52" t="str">
        <f t="shared" si="324"/>
        <v/>
      </c>
      <c r="AA1294" s="52" t="str">
        <f t="shared" si="337"/>
        <v/>
      </c>
    </row>
    <row r="1295" spans="2:27">
      <c r="B1295" s="1532" t="str">
        <f t="shared" si="331"/>
        <v>Dark Scourge</v>
      </c>
      <c r="C1295" s="1795"/>
      <c r="D1295" s="920"/>
      <c r="E1295" s="61" t="s">
        <v>3543</v>
      </c>
      <c r="F1295" s="61"/>
      <c r="G1295" s="61"/>
      <c r="H1295" s="61"/>
      <c r="I1295" s="61"/>
      <c r="J1295" s="1687" t="s">
        <v>5494</v>
      </c>
      <c r="K1295" s="63" t="str">
        <f t="shared" si="333"/>
        <v>No</v>
      </c>
      <c r="L1295" s="76"/>
      <c r="M1295" s="63">
        <f t="shared" si="335"/>
        <v>0</v>
      </c>
      <c r="N1295" s="63">
        <v>223</v>
      </c>
      <c r="O1295" s="64"/>
      <c r="P1295" s="660" t="str">
        <f t="shared" si="332"/>
        <v/>
      </c>
      <c r="Q1295" s="52" t="str">
        <f t="shared" si="336"/>
        <v>No</v>
      </c>
      <c r="R1295" s="1574" t="str">
        <f t="shared" si="329"/>
        <v/>
      </c>
      <c r="S1295" s="52" t="str">
        <f t="shared" si="326"/>
        <v/>
      </c>
      <c r="T1295" s="52" t="str">
        <f t="shared" si="327"/>
        <v/>
      </c>
      <c r="U1295" s="52" t="str">
        <f t="shared" si="322"/>
        <v/>
      </c>
      <c r="V1295" s="52" t="str">
        <f t="shared" si="328"/>
        <v/>
      </c>
      <c r="W1295" s="1578"/>
      <c r="X1295" s="52" t="str">
        <f t="shared" si="334"/>
        <v/>
      </c>
      <c r="Y1295" s="52" t="str">
        <f t="shared" si="324"/>
        <v/>
      </c>
      <c r="AA1295" s="52" t="str">
        <f t="shared" si="337"/>
        <v/>
      </c>
    </row>
    <row r="1296" spans="2:27">
      <c r="B1296" s="1532" t="str">
        <f t="shared" si="331"/>
        <v>Dark Side Adept</v>
      </c>
      <c r="C1296" s="1795"/>
      <c r="D1296" s="920"/>
      <c r="E1296" s="61" t="s">
        <v>3544</v>
      </c>
      <c r="F1296" s="61"/>
      <c r="G1296" s="61"/>
      <c r="H1296" s="61"/>
      <c r="I1296" s="61"/>
      <c r="J1296" s="1687" t="s">
        <v>5495</v>
      </c>
      <c r="K1296" s="63" t="str">
        <f t="shared" si="333"/>
        <v>No</v>
      </c>
      <c r="L1296" s="76"/>
      <c r="M1296" s="63">
        <f t="shared" si="335"/>
        <v>0</v>
      </c>
      <c r="N1296" s="63">
        <v>223</v>
      </c>
      <c r="O1296" s="64"/>
      <c r="P1296" s="660" t="str">
        <f t="shared" si="332"/>
        <v/>
      </c>
      <c r="Q1296" s="52" t="str">
        <f t="shared" si="336"/>
        <v>No</v>
      </c>
      <c r="R1296" s="1574" t="str">
        <f t="shared" si="329"/>
        <v/>
      </c>
      <c r="S1296" s="52" t="str">
        <f t="shared" si="326"/>
        <v/>
      </c>
      <c r="T1296" s="52" t="str">
        <f t="shared" si="327"/>
        <v/>
      </c>
      <c r="U1296" s="52" t="str">
        <f t="shared" ref="U1296:U1317" si="338">IF(L1296&lt;&gt;"",IF(ISNUMBER(L1296),"",E1296&amp;F1296&amp;G1296),"")</f>
        <v/>
      </c>
      <c r="V1296" s="52" t="str">
        <f t="shared" si="328"/>
        <v/>
      </c>
      <c r="W1296" s="1578"/>
      <c r="X1296" s="52" t="str">
        <f t="shared" si="334"/>
        <v/>
      </c>
      <c r="Y1296" s="52" t="str">
        <f t="shared" si="324"/>
        <v/>
      </c>
      <c r="AA1296" s="52" t="str">
        <f t="shared" si="337"/>
        <v/>
      </c>
    </row>
    <row r="1297" spans="2:27">
      <c r="B1297" s="1532" t="str">
        <f t="shared" si="331"/>
        <v>Dark Side Master</v>
      </c>
      <c r="C1297" s="1795"/>
      <c r="D1297" s="920"/>
      <c r="E1297" s="61"/>
      <c r="F1297" s="61" t="s">
        <v>3545</v>
      </c>
      <c r="G1297" s="61"/>
      <c r="H1297" s="61"/>
      <c r="I1297" s="61"/>
      <c r="J1297" s="1687" t="s">
        <v>5496</v>
      </c>
      <c r="K1297" s="63" t="str">
        <f>IF(AND(Q1296="Yes",L1296&lt;&gt;""),"Yes","No")</f>
        <v>No</v>
      </c>
      <c r="L1297" s="76"/>
      <c r="M1297" s="63">
        <f t="shared" si="335"/>
        <v>0</v>
      </c>
      <c r="N1297" s="63">
        <v>223</v>
      </c>
      <c r="O1297" s="64"/>
      <c r="P1297" s="660" t="str">
        <f t="shared" si="332"/>
        <v/>
      </c>
      <c r="Q1297" s="52" t="str">
        <f t="shared" si="336"/>
        <v>No</v>
      </c>
      <c r="R1297" s="1574" t="str">
        <f t="shared" si="329"/>
        <v/>
      </c>
      <c r="S1297" s="52" t="str">
        <f t="shared" si="326"/>
        <v/>
      </c>
      <c r="T1297" s="52" t="str">
        <f t="shared" si="327"/>
        <v/>
      </c>
      <c r="U1297" s="52" t="str">
        <f t="shared" si="338"/>
        <v/>
      </c>
      <c r="V1297" s="52" t="str">
        <f t="shared" si="328"/>
        <v/>
      </c>
      <c r="W1297" s="1578"/>
      <c r="X1297" s="52" t="str">
        <f t="shared" si="334"/>
        <v/>
      </c>
      <c r="Y1297" s="52" t="str">
        <f t="shared" si="324"/>
        <v/>
      </c>
      <c r="AA1297" s="52" t="str">
        <f t="shared" si="337"/>
        <v/>
      </c>
    </row>
    <row r="1298" spans="2:27">
      <c r="B1298" s="1532" t="str">
        <f t="shared" si="331"/>
        <v>Sith Alchemy</v>
      </c>
      <c r="C1298" s="1795"/>
      <c r="D1298" s="920"/>
      <c r="E1298" s="61"/>
      <c r="F1298" s="61"/>
      <c r="G1298" s="61" t="s">
        <v>3546</v>
      </c>
      <c r="H1298" s="61"/>
      <c r="I1298" s="61"/>
      <c r="J1298" s="1687" t="s">
        <v>5497</v>
      </c>
      <c r="K1298" s="63" t="str">
        <f>IF(AND(Q1297="Yes",L1297&lt;&gt;""),"Yes","No")</f>
        <v>No</v>
      </c>
      <c r="L1298" s="76"/>
      <c r="M1298" s="63">
        <f t="shared" si="335"/>
        <v>0</v>
      </c>
      <c r="N1298" s="63" t="s">
        <v>3547</v>
      </c>
      <c r="O1298" s="64"/>
      <c r="P1298" s="660" t="str">
        <f t="shared" si="332"/>
        <v/>
      </c>
      <c r="Q1298" s="52" t="str">
        <f t="shared" si="336"/>
        <v>No</v>
      </c>
      <c r="R1298" s="1574" t="str">
        <f t="shared" si="329"/>
        <v/>
      </c>
      <c r="S1298" s="52" t="str">
        <f t="shared" si="326"/>
        <v/>
      </c>
      <c r="T1298" s="52" t="str">
        <f t="shared" si="327"/>
        <v/>
      </c>
      <c r="U1298" s="52" t="str">
        <f t="shared" si="338"/>
        <v/>
      </c>
      <c r="V1298" s="52" t="str">
        <f t="shared" si="328"/>
        <v/>
      </c>
      <c r="W1298" s="1578"/>
      <c r="X1298" s="52" t="str">
        <f t="shared" si="334"/>
        <v/>
      </c>
      <c r="Y1298" s="52" t="str">
        <f t="shared" si="324"/>
        <v/>
      </c>
      <c r="AA1298" s="52" t="str">
        <f t="shared" si="337"/>
        <v/>
      </c>
    </row>
    <row r="1299" spans="2:27">
      <c r="B1299" s="1532" t="str">
        <f t="shared" ref="B1299:B1317" si="339">IF(E1299&lt;&gt;"",E1299,IF(F1299&lt;&gt;"",F1299,IF(G1299&lt;&gt;"",G1299,IF(H1299&lt;&gt;"",H1299))))</f>
        <v>Force Deception</v>
      </c>
      <c r="C1299" s="1795"/>
      <c r="D1299" s="920"/>
      <c r="E1299" s="61" t="s">
        <v>3548</v>
      </c>
      <c r="F1299" s="61"/>
      <c r="G1299" s="61"/>
      <c r="H1299" s="61"/>
      <c r="I1299" s="61"/>
      <c r="J1299" s="1687" t="s">
        <v>5498</v>
      </c>
      <c r="K1299" s="63" t="str">
        <f t="shared" si="333"/>
        <v>No</v>
      </c>
      <c r="L1299" s="76"/>
      <c r="M1299" s="63">
        <f t="shared" si="335"/>
        <v>0</v>
      </c>
      <c r="N1299" s="63">
        <v>223</v>
      </c>
      <c r="O1299" s="64"/>
      <c r="P1299" s="660" t="str">
        <f t="shared" si="332"/>
        <v/>
      </c>
      <c r="Q1299" s="52" t="str">
        <f t="shared" si="336"/>
        <v>No</v>
      </c>
      <c r="R1299" s="1574" t="str">
        <f t="shared" si="329"/>
        <v/>
      </c>
      <c r="S1299" s="52" t="str">
        <f t="shared" si="326"/>
        <v/>
      </c>
      <c r="T1299" s="52" t="str">
        <f t="shared" si="327"/>
        <v/>
      </c>
      <c r="U1299" s="52" t="str">
        <f t="shared" si="338"/>
        <v/>
      </c>
      <c r="V1299" s="52" t="str">
        <f t="shared" si="328"/>
        <v/>
      </c>
      <c r="W1299" s="1578"/>
      <c r="X1299" s="52" t="str">
        <f t="shared" si="334"/>
        <v/>
      </c>
      <c r="Y1299" s="52" t="str">
        <f t="shared" si="324"/>
        <v/>
      </c>
      <c r="AA1299" s="52" t="str">
        <f t="shared" si="337"/>
        <v/>
      </c>
    </row>
    <row r="1300" spans="2:27" ht="39">
      <c r="B1300" s="1532" t="str">
        <f t="shared" si="339"/>
        <v>Stolen Form</v>
      </c>
      <c r="C1300" s="1795"/>
      <c r="D1300" s="920"/>
      <c r="E1300" s="61" t="s">
        <v>3549</v>
      </c>
      <c r="F1300" s="61"/>
      <c r="G1300" s="61"/>
      <c r="H1300" s="61"/>
      <c r="I1300" s="61"/>
      <c r="J1300" s="1687" t="s">
        <v>5499</v>
      </c>
      <c r="K1300" s="63" t="str">
        <f t="shared" si="333"/>
        <v>No</v>
      </c>
      <c r="L1300" s="76"/>
      <c r="M1300" s="63">
        <f>IF(L1300&lt;&gt;"",L1300,0)</f>
        <v>0</v>
      </c>
      <c r="N1300" s="63" t="s">
        <v>3550</v>
      </c>
      <c r="O1300" s="64"/>
      <c r="P1300" s="660" t="str">
        <f t="shared" si="332"/>
        <v/>
      </c>
      <c r="Q1300" s="52" t="str">
        <f t="shared" si="336"/>
        <v>No</v>
      </c>
      <c r="R1300" s="1574" t="str">
        <f t="shared" si="329"/>
        <v/>
      </c>
      <c r="S1300" s="52" t="str">
        <f t="shared" si="326"/>
        <v/>
      </c>
      <c r="T1300" s="52" t="str">
        <f t="shared" si="327"/>
        <v/>
      </c>
      <c r="U1300" s="52" t="str">
        <f t="shared" si="338"/>
        <v/>
      </c>
      <c r="V1300" s="52" t="str">
        <f t="shared" si="328"/>
        <v/>
      </c>
      <c r="W1300" s="1578"/>
      <c r="X1300" s="52" t="str">
        <f t="shared" si="334"/>
        <v/>
      </c>
      <c r="Y1300" s="52" t="str">
        <f t="shared" si="324"/>
        <v/>
      </c>
      <c r="AA1300" s="52" t="str">
        <f t="shared" si="337"/>
        <v/>
      </c>
    </row>
    <row r="1301" spans="2:27">
      <c r="B1301" s="1532" t="str">
        <f t="shared" si="339"/>
        <v>Wicked Strike</v>
      </c>
      <c r="C1301" s="1795"/>
      <c r="D1301" s="920"/>
      <c r="E1301" s="61" t="s">
        <v>2531</v>
      </c>
      <c r="F1301" s="61"/>
      <c r="G1301" s="61"/>
      <c r="H1301" s="61"/>
      <c r="I1301" s="61"/>
      <c r="J1301" s="1687" t="s">
        <v>5500</v>
      </c>
      <c r="K1301" s="63" t="str">
        <f>IF(Q1301="Yes","Yes","No")</f>
        <v>No</v>
      </c>
      <c r="L1301" s="76"/>
      <c r="M1301" s="63">
        <f t="shared" si="335"/>
        <v>0</v>
      </c>
      <c r="N1301" s="63">
        <v>224</v>
      </c>
      <c r="O1301" s="64"/>
      <c r="P1301" s="660" t="str">
        <f t="shared" si="332"/>
        <v/>
      </c>
      <c r="Q1301" s="52" t="str">
        <f t="shared" si="336"/>
        <v>No</v>
      </c>
      <c r="R1301" s="1574" t="str">
        <f t="shared" si="329"/>
        <v/>
      </c>
      <c r="S1301" s="52" t="str">
        <f t="shared" si="326"/>
        <v/>
      </c>
      <c r="T1301" s="52" t="str">
        <f t="shared" si="327"/>
        <v/>
      </c>
      <c r="U1301" s="52" t="str">
        <f t="shared" si="338"/>
        <v/>
      </c>
      <c r="V1301" s="52" t="str">
        <f t="shared" si="328"/>
        <v/>
      </c>
      <c r="W1301" s="1578"/>
      <c r="X1301" s="52" t="str">
        <f t="shared" si="334"/>
        <v/>
      </c>
      <c r="Y1301" s="52" t="str">
        <f t="shared" si="324"/>
        <v/>
      </c>
      <c r="AA1301" s="52" t="str">
        <f t="shared" si="337"/>
        <v/>
      </c>
    </row>
    <row r="1302" spans="2:27" ht="26">
      <c r="B1302" s="1532" t="str">
        <f t="shared" si="339"/>
        <v>Sith Alchemy</v>
      </c>
      <c r="C1302" s="1795"/>
      <c r="D1302" s="920" t="s">
        <v>3546</v>
      </c>
      <c r="E1302" s="61" t="s">
        <v>3546</v>
      </c>
      <c r="F1302" s="61"/>
      <c r="G1302" s="61"/>
      <c r="H1302" s="61"/>
      <c r="I1302" s="61"/>
      <c r="J1302" s="1687" t="s">
        <v>5981</v>
      </c>
      <c r="K1302" s="63" t="str">
        <f>IF(Q1302="Yes","Yes","No")</f>
        <v>No</v>
      </c>
      <c r="L1302" s="76"/>
      <c r="M1302" s="63">
        <f>IF(L1302&lt;&gt;"",1,0)</f>
        <v>0</v>
      </c>
      <c r="N1302" s="63" t="s">
        <v>4440</v>
      </c>
      <c r="O1302" s="64"/>
      <c r="P1302" s="660" t="str">
        <f t="shared" si="332"/>
        <v/>
      </c>
      <c r="Q1302" s="52" t="str">
        <f t="shared" si="336"/>
        <v>No</v>
      </c>
      <c r="R1302" s="1574" t="str">
        <f t="shared" si="329"/>
        <v/>
      </c>
      <c r="S1302" s="52" t="str">
        <f t="shared" si="326"/>
        <v/>
      </c>
      <c r="T1302" s="52" t="str">
        <f t="shared" si="327"/>
        <v/>
      </c>
      <c r="U1302" s="52" t="str">
        <f t="shared" si="338"/>
        <v/>
      </c>
      <c r="V1302" s="52" t="str">
        <f t="shared" si="328"/>
        <v/>
      </c>
      <c r="W1302" s="1578"/>
      <c r="X1302" s="52" t="str">
        <f t="shared" si="334"/>
        <v/>
      </c>
      <c r="Y1302" s="52" t="str">
        <f t="shared" si="324"/>
        <v/>
      </c>
      <c r="AA1302" s="52" t="str">
        <f t="shared" si="337"/>
        <v/>
      </c>
    </row>
    <row r="1303" spans="2:27" ht="65">
      <c r="B1303" s="1532" t="str">
        <f t="shared" si="339"/>
        <v>Cause Mutation</v>
      </c>
      <c r="C1303" s="1795"/>
      <c r="D1303" s="920"/>
      <c r="E1303" s="61"/>
      <c r="F1303" s="61" t="s">
        <v>4451</v>
      </c>
      <c r="G1303" s="61"/>
      <c r="H1303" s="61"/>
      <c r="I1303" s="61"/>
      <c r="J1303" s="1687" t="s">
        <v>5979</v>
      </c>
      <c r="K1303" s="63" t="str">
        <f>IF(AND(Q1303="Yes",M$1302&gt;0),"Yes","No")</f>
        <v>No</v>
      </c>
      <c r="L1303" s="76"/>
      <c r="M1303" s="63">
        <f>IF(L1303&lt;&gt;"",1,0)</f>
        <v>0</v>
      </c>
      <c r="N1303" s="63" t="s">
        <v>4440</v>
      </c>
      <c r="O1303" s="64"/>
      <c r="P1303" s="660" t="str">
        <f t="shared" si="332"/>
        <v/>
      </c>
      <c r="Q1303" s="52" t="str">
        <f t="shared" si="336"/>
        <v>No</v>
      </c>
      <c r="R1303" s="1574" t="str">
        <f t="shared" si="329"/>
        <v/>
      </c>
      <c r="S1303" s="52" t="str">
        <f t="shared" si="326"/>
        <v/>
      </c>
      <c r="T1303" s="52" t="str">
        <f t="shared" si="327"/>
        <v/>
      </c>
      <c r="U1303" s="52" t="str">
        <f t="shared" si="338"/>
        <v/>
      </c>
      <c r="V1303" s="52" t="str">
        <f t="shared" si="328"/>
        <v/>
      </c>
      <c r="W1303" s="1578"/>
      <c r="X1303" s="52" t="str">
        <f t="shared" si="334"/>
        <v/>
      </c>
      <c r="Y1303" s="52" t="str">
        <f t="shared" ref="Y1303:Y1317" si="340">IF(U1303&lt;&gt;"",IF(W1303="Att Options",U1303&amp;IF(Y1304&lt;&gt;"",", ",""),"")&amp;Y1304,Y1304)</f>
        <v/>
      </c>
      <c r="AA1303" s="52" t="str">
        <f t="shared" si="337"/>
        <v/>
      </c>
    </row>
    <row r="1304" spans="2:27" ht="52">
      <c r="B1304" s="1532" t="str">
        <f t="shared" si="339"/>
        <v>Sith Alchemy Specialist</v>
      </c>
      <c r="C1304" s="1795"/>
      <c r="D1304" s="920"/>
      <c r="E1304" s="61"/>
      <c r="F1304" s="61" t="s">
        <v>4452</v>
      </c>
      <c r="G1304" s="61"/>
      <c r="H1304" s="61"/>
      <c r="I1304" s="61"/>
      <c r="J1304" s="1687" t="s">
        <v>5982</v>
      </c>
      <c r="K1304" s="63" t="str">
        <f>IF(AND(Q1304="Yes",M$1302&gt;0),"Yes","No")</f>
        <v>No</v>
      </c>
      <c r="L1304" s="76"/>
      <c r="M1304" s="63">
        <f>IF(L1304&lt;&gt;"",1,0)</f>
        <v>0</v>
      </c>
      <c r="N1304" s="63" t="s">
        <v>4440</v>
      </c>
      <c r="O1304" s="64"/>
      <c r="P1304" s="660" t="str">
        <f t="shared" si="332"/>
        <v/>
      </c>
      <c r="Q1304" s="52" t="str">
        <f t="shared" si="336"/>
        <v>No</v>
      </c>
      <c r="R1304" s="1574" t="str">
        <f t="shared" si="329"/>
        <v/>
      </c>
      <c r="S1304" s="52" t="str">
        <f t="shared" si="326"/>
        <v/>
      </c>
      <c r="T1304" s="52" t="str">
        <f t="shared" si="327"/>
        <v/>
      </c>
      <c r="U1304" s="52" t="str">
        <f t="shared" si="338"/>
        <v/>
      </c>
      <c r="V1304" s="52" t="str">
        <f t="shared" si="328"/>
        <v/>
      </c>
      <c r="W1304" s="1578"/>
      <c r="X1304" s="52" t="str">
        <f t="shared" si="334"/>
        <v/>
      </c>
      <c r="Y1304" s="52" t="str">
        <f t="shared" si="340"/>
        <v/>
      </c>
      <c r="AA1304" s="52" t="str">
        <f t="shared" si="337"/>
        <v/>
      </c>
    </row>
    <row r="1305" spans="2:27" ht="39">
      <c r="B1305" s="1532" t="str">
        <f t="shared" si="339"/>
        <v>Rapid Alchemy</v>
      </c>
      <c r="C1305" s="1795"/>
      <c r="D1305" s="920"/>
      <c r="E1305" s="61" t="s">
        <v>4453</v>
      </c>
      <c r="F1305" s="61"/>
      <c r="G1305" s="61"/>
      <c r="H1305" s="61"/>
      <c r="I1305" s="61"/>
      <c r="J1305" s="1687" t="s">
        <v>5980</v>
      </c>
      <c r="K1305" s="63" t="str">
        <f>IF(Q1305="Yes","Yes","No")</f>
        <v>No</v>
      </c>
      <c r="L1305" s="76"/>
      <c r="M1305" s="63">
        <f>IF(L1305&lt;&gt;"",1,0)</f>
        <v>0</v>
      </c>
      <c r="N1305" s="63" t="s">
        <v>4440</v>
      </c>
      <c r="O1305" s="64"/>
      <c r="P1305" s="660" t="str">
        <f t="shared" si="332"/>
        <v/>
      </c>
      <c r="Q1305" s="52" t="str">
        <f t="shared" si="336"/>
        <v>No</v>
      </c>
      <c r="R1305" s="1574" t="str">
        <f t="shared" si="329"/>
        <v/>
      </c>
      <c r="S1305" s="52" t="str">
        <f t="shared" si="326"/>
        <v/>
      </c>
      <c r="T1305" s="52" t="str">
        <f t="shared" si="327"/>
        <v/>
      </c>
      <c r="U1305" s="52" t="str">
        <f t="shared" si="338"/>
        <v/>
      </c>
      <c r="V1305" s="52" t="str">
        <f t="shared" si="328"/>
        <v/>
      </c>
      <c r="W1305" s="1578"/>
      <c r="X1305" s="52" t="str">
        <f t="shared" si="334"/>
        <v/>
      </c>
      <c r="Y1305" s="52" t="str">
        <f t="shared" si="340"/>
        <v/>
      </c>
      <c r="AA1305" s="52" t="str">
        <f t="shared" si="337"/>
        <v/>
      </c>
    </row>
    <row r="1306" spans="2:27">
      <c r="B1306" s="1532" t="str">
        <f t="shared" si="339"/>
        <v>Focus Terror</v>
      </c>
      <c r="C1306" s="1795"/>
      <c r="D1306" s="920" t="s">
        <v>3551</v>
      </c>
      <c r="E1306" s="61" t="s">
        <v>3552</v>
      </c>
      <c r="F1306" s="61"/>
      <c r="G1306" s="61"/>
      <c r="H1306" s="61"/>
      <c r="I1306" s="61"/>
      <c r="J1306" s="1687" t="s">
        <v>5501</v>
      </c>
      <c r="K1306" s="63" t="str">
        <f t="shared" si="333"/>
        <v>No</v>
      </c>
      <c r="L1306" s="76"/>
      <c r="M1306" s="63">
        <f t="shared" si="335"/>
        <v>0</v>
      </c>
      <c r="N1306" s="63" t="s">
        <v>3553</v>
      </c>
      <c r="O1306" s="64"/>
      <c r="P1306" s="660" t="str">
        <f t="shared" si="332"/>
        <v/>
      </c>
      <c r="Q1306" s="52" t="str">
        <f t="shared" si="336"/>
        <v>No</v>
      </c>
      <c r="R1306" s="1574" t="str">
        <f t="shared" si="329"/>
        <v/>
      </c>
      <c r="S1306" s="52" t="str">
        <f t="shared" si="326"/>
        <v/>
      </c>
      <c r="T1306" s="52" t="str">
        <f t="shared" si="327"/>
        <v/>
      </c>
      <c r="U1306" s="52" t="str">
        <f t="shared" si="338"/>
        <v/>
      </c>
      <c r="V1306" s="52" t="str">
        <f t="shared" si="328"/>
        <v/>
      </c>
      <c r="W1306" s="1578"/>
      <c r="X1306" s="52" t="str">
        <f t="shared" si="334"/>
        <v/>
      </c>
      <c r="Y1306" s="52" t="str">
        <f t="shared" si="340"/>
        <v/>
      </c>
      <c r="AA1306" s="52" t="str">
        <f t="shared" si="337"/>
        <v/>
      </c>
    </row>
    <row r="1307" spans="2:27">
      <c r="B1307" s="1532" t="str">
        <f t="shared" si="339"/>
        <v>Desperate Measures</v>
      </c>
      <c r="C1307" s="1795"/>
      <c r="D1307" s="920"/>
      <c r="E1307" s="61"/>
      <c r="F1307" s="61" t="s">
        <v>3554</v>
      </c>
      <c r="G1307" s="61"/>
      <c r="H1307" s="61"/>
      <c r="I1307" s="61"/>
      <c r="J1307" s="1687" t="s">
        <v>5502</v>
      </c>
      <c r="K1307" s="63" t="str">
        <f>IF(AND(Q1306="Yes",L1306&lt;&gt;""),"Yes","No")</f>
        <v>No</v>
      </c>
      <c r="L1307" s="76"/>
      <c r="M1307" s="63">
        <f t="shared" si="335"/>
        <v>0</v>
      </c>
      <c r="N1307" s="63" t="s">
        <v>3553</v>
      </c>
      <c r="O1307" s="64"/>
      <c r="P1307" s="660" t="str">
        <f t="shared" si="332"/>
        <v/>
      </c>
      <c r="Q1307" s="52" t="str">
        <f t="shared" si="336"/>
        <v>No</v>
      </c>
      <c r="R1307" s="1574" t="str">
        <f t="shared" si="329"/>
        <v/>
      </c>
      <c r="S1307" s="52" t="str">
        <f t="shared" si="326"/>
        <v/>
      </c>
      <c r="T1307" s="52" t="str">
        <f t="shared" si="327"/>
        <v/>
      </c>
      <c r="U1307" s="52" t="str">
        <f t="shared" si="338"/>
        <v/>
      </c>
      <c r="V1307" s="52" t="str">
        <f t="shared" si="328"/>
        <v/>
      </c>
      <c r="W1307" s="1578"/>
      <c r="X1307" s="52" t="str">
        <f t="shared" si="334"/>
        <v/>
      </c>
      <c r="Y1307" s="52" t="str">
        <f t="shared" si="340"/>
        <v/>
      </c>
      <c r="AA1307" s="52" t="str">
        <f t="shared" si="337"/>
        <v/>
      </c>
    </row>
    <row r="1308" spans="2:27">
      <c r="B1308" s="1532" t="str">
        <f t="shared" si="339"/>
        <v>Incite Rage</v>
      </c>
      <c r="C1308" s="1795"/>
      <c r="D1308" s="920"/>
      <c r="E1308" s="61" t="s">
        <v>3555</v>
      </c>
      <c r="F1308" s="61"/>
      <c r="G1308" s="61"/>
      <c r="H1308" s="61"/>
      <c r="I1308" s="61"/>
      <c r="J1308" s="1687" t="s">
        <v>5503</v>
      </c>
      <c r="K1308" s="63" t="str">
        <f t="shared" si="333"/>
        <v>No</v>
      </c>
      <c r="L1308" s="76"/>
      <c r="M1308" s="63">
        <f t="shared" si="335"/>
        <v>0</v>
      </c>
      <c r="N1308" s="63" t="s">
        <v>3553</v>
      </c>
      <c r="O1308" s="64"/>
      <c r="P1308" s="660" t="str">
        <f t="shared" si="332"/>
        <v/>
      </c>
      <c r="Q1308" s="52" t="str">
        <f t="shared" si="336"/>
        <v>No</v>
      </c>
      <c r="R1308" s="1574" t="str">
        <f t="shared" si="329"/>
        <v/>
      </c>
      <c r="S1308" s="52" t="str">
        <f t="shared" si="326"/>
        <v/>
      </c>
      <c r="T1308" s="52" t="str">
        <f t="shared" si="327"/>
        <v/>
      </c>
      <c r="U1308" s="52" t="str">
        <f t="shared" si="338"/>
        <v/>
      </c>
      <c r="V1308" s="52" t="str">
        <f t="shared" si="328"/>
        <v/>
      </c>
      <c r="W1308" s="1578"/>
      <c r="X1308" s="52" t="str">
        <f t="shared" si="334"/>
        <v/>
      </c>
      <c r="Y1308" s="52" t="str">
        <f t="shared" si="340"/>
        <v/>
      </c>
      <c r="AA1308" s="52" t="str">
        <f t="shared" si="337"/>
        <v/>
      </c>
    </row>
    <row r="1309" spans="2:27">
      <c r="B1309" s="1532" t="str">
        <f t="shared" si="339"/>
        <v>Power of Hatred</v>
      </c>
      <c r="C1309" s="1796"/>
      <c r="D1309" s="71"/>
      <c r="E1309" s="927"/>
      <c r="F1309" s="927" t="s">
        <v>3556</v>
      </c>
      <c r="G1309" s="927"/>
      <c r="H1309" s="927"/>
      <c r="I1309" s="927"/>
      <c r="J1309" s="1691" t="s">
        <v>5504</v>
      </c>
      <c r="K1309" s="928" t="str">
        <f>IF(AND(Q1308="Yes",L1308&lt;&gt;""),"Yes","No")</f>
        <v>No</v>
      </c>
      <c r="L1309" s="929"/>
      <c r="M1309" s="928">
        <f t="shared" si="335"/>
        <v>0</v>
      </c>
      <c r="N1309" s="928" t="s">
        <v>3553</v>
      </c>
      <c r="O1309" s="64"/>
      <c r="P1309" s="660" t="str">
        <f t="shared" si="332"/>
        <v/>
      </c>
      <c r="Q1309" s="52" t="str">
        <f t="shared" si="336"/>
        <v>No</v>
      </c>
      <c r="R1309" s="1574" t="str">
        <f t="shared" si="329"/>
        <v/>
      </c>
      <c r="S1309" s="52" t="str">
        <f t="shared" si="326"/>
        <v/>
      </c>
      <c r="T1309" s="52" t="str">
        <f t="shared" si="327"/>
        <v/>
      </c>
      <c r="U1309" s="52" t="str">
        <f t="shared" si="338"/>
        <v/>
      </c>
      <c r="V1309" s="52" t="str">
        <f t="shared" si="328"/>
        <v/>
      </c>
      <c r="W1309" s="1578"/>
      <c r="X1309" s="52" t="str">
        <f t="shared" si="334"/>
        <v/>
      </c>
      <c r="Y1309" s="52" t="str">
        <f t="shared" si="340"/>
        <v/>
      </c>
      <c r="AA1309" s="52" t="str">
        <f t="shared" si="337"/>
        <v/>
      </c>
    </row>
    <row r="1310" spans="2:27" ht="15" customHeight="1">
      <c r="B1310" s="1532" t="str">
        <f t="shared" si="339"/>
        <v>Enhanced Vision</v>
      </c>
      <c r="C1310" s="1794" t="s">
        <v>1215</v>
      </c>
      <c r="D1310" s="920" t="s">
        <v>1215</v>
      </c>
      <c r="E1310" s="61" t="s">
        <v>3557</v>
      </c>
      <c r="F1310" s="61"/>
      <c r="G1310" s="61"/>
      <c r="H1310" s="61"/>
      <c r="I1310" s="61"/>
      <c r="J1310" s="1690" t="s">
        <v>5983</v>
      </c>
      <c r="K1310" s="63" t="str">
        <f t="shared" si="333"/>
        <v>No</v>
      </c>
      <c r="L1310" s="76"/>
      <c r="M1310" s="63">
        <f t="shared" si="335"/>
        <v>0</v>
      </c>
      <c r="N1310" s="63" t="s">
        <v>3558</v>
      </c>
      <c r="O1310" s="64"/>
      <c r="P1310" s="660" t="str">
        <f t="shared" si="332"/>
        <v/>
      </c>
      <c r="Q1310" s="52" t="str">
        <f>IF(OR(AD45&gt;0,AD40&gt;0),"Yes","No")</f>
        <v>No</v>
      </c>
      <c r="R1310" s="1574" t="str">
        <f t="shared" si="329"/>
        <v/>
      </c>
      <c r="S1310" s="52" t="str">
        <f t="shared" si="326"/>
        <v/>
      </c>
      <c r="T1310" s="52" t="str">
        <f t="shared" si="327"/>
        <v/>
      </c>
      <c r="U1310" s="52" t="str">
        <f t="shared" si="338"/>
        <v/>
      </c>
      <c r="V1310" s="52" t="str">
        <f t="shared" si="328"/>
        <v/>
      </c>
      <c r="W1310" s="1578"/>
      <c r="X1310" s="52" t="str">
        <f t="shared" si="334"/>
        <v/>
      </c>
      <c r="Y1310" s="52" t="str">
        <f t="shared" si="340"/>
        <v/>
      </c>
      <c r="AA1310" s="52" t="str">
        <f t="shared" si="337"/>
        <v/>
      </c>
    </row>
    <row r="1311" spans="2:27" ht="39">
      <c r="B1311" s="1532" t="str">
        <f t="shared" si="339"/>
        <v>Triangulate</v>
      </c>
      <c r="C1311" s="1795"/>
      <c r="D1311" s="920"/>
      <c r="E1311" s="61"/>
      <c r="F1311" s="61" t="s">
        <v>3559</v>
      </c>
      <c r="G1311" s="61"/>
      <c r="H1311" s="61"/>
      <c r="I1311" s="61"/>
      <c r="J1311" s="1687" t="s">
        <v>5984</v>
      </c>
      <c r="K1311" s="63" t="str">
        <f>IF(AND(Q1310="Yes",L1310&lt;&gt;""),"Yes","No")</f>
        <v>No</v>
      </c>
      <c r="L1311" s="76"/>
      <c r="M1311" s="63">
        <f t="shared" si="335"/>
        <v>0</v>
      </c>
      <c r="N1311" s="63" t="s">
        <v>3558</v>
      </c>
      <c r="O1311" s="64"/>
      <c r="P1311" s="660" t="str">
        <f t="shared" si="332"/>
        <v/>
      </c>
      <c r="Q1311" s="52" t="str">
        <f t="shared" si="336"/>
        <v>No</v>
      </c>
      <c r="R1311" s="1574" t="str">
        <f t="shared" si="329"/>
        <v/>
      </c>
      <c r="S1311" s="52" t="str">
        <f t="shared" ref="S1311:S1317" si="341">IF(R1311&lt;&gt;"",R1311&amp;";"&amp;S1312,S1312)</f>
        <v/>
      </c>
      <c r="T1311" s="52" t="str">
        <f t="shared" ref="T1311:T1317" si="342">IF(R1311&lt;&gt;"",N1311&amp;";"&amp;T1312,T1312)</f>
        <v/>
      </c>
      <c r="U1311" s="52" t="str">
        <f t="shared" si="338"/>
        <v/>
      </c>
      <c r="V1311" s="52" t="str">
        <f t="shared" ref="V1311:V1317" si="343">IF(U1311&lt;&gt;"",U1311&amp;";"&amp;V1312,V1312)</f>
        <v/>
      </c>
      <c r="W1311" s="1578"/>
      <c r="X1311" s="52" t="str">
        <f t="shared" si="334"/>
        <v/>
      </c>
      <c r="Y1311" s="52" t="str">
        <f t="shared" si="340"/>
        <v/>
      </c>
      <c r="AA1311" s="52" t="str">
        <f t="shared" si="337"/>
        <v/>
      </c>
    </row>
    <row r="1312" spans="2:27" ht="26">
      <c r="B1312" s="1532" t="str">
        <f t="shared" si="339"/>
        <v>Mark the Target</v>
      </c>
      <c r="C1312" s="1795"/>
      <c r="D1312" s="920"/>
      <c r="E1312" s="61" t="s">
        <v>3560</v>
      </c>
      <c r="F1312" s="61"/>
      <c r="G1312" s="61"/>
      <c r="H1312" s="61"/>
      <c r="I1312" s="61"/>
      <c r="J1312" s="1687" t="s">
        <v>5505</v>
      </c>
      <c r="K1312" s="63" t="str">
        <f t="shared" si="333"/>
        <v>No</v>
      </c>
      <c r="L1312" s="76"/>
      <c r="M1312" s="63">
        <f t="shared" si="335"/>
        <v>0</v>
      </c>
      <c r="N1312" s="63" t="s">
        <v>3558</v>
      </c>
      <c r="O1312" s="64"/>
      <c r="P1312" s="660" t="str">
        <f t="shared" si="332"/>
        <v/>
      </c>
      <c r="Q1312" s="52" t="str">
        <f t="shared" si="336"/>
        <v>No</v>
      </c>
      <c r="R1312" s="1574" t="str">
        <f t="shared" si="329"/>
        <v/>
      </c>
      <c r="S1312" s="52" t="str">
        <f t="shared" si="341"/>
        <v/>
      </c>
      <c r="T1312" s="52" t="str">
        <f t="shared" si="342"/>
        <v/>
      </c>
      <c r="U1312" s="52" t="str">
        <f t="shared" si="338"/>
        <v/>
      </c>
      <c r="V1312" s="52" t="str">
        <f t="shared" si="343"/>
        <v/>
      </c>
      <c r="W1312" s="1578"/>
      <c r="X1312" s="52" t="str">
        <f t="shared" si="334"/>
        <v/>
      </c>
      <c r="Y1312" s="52" t="str">
        <f t="shared" si="340"/>
        <v/>
      </c>
      <c r="AA1312" s="52" t="str">
        <f t="shared" si="337"/>
        <v/>
      </c>
    </row>
    <row r="1313" spans="2:27" ht="26">
      <c r="B1313" s="1532" t="str">
        <f t="shared" si="339"/>
        <v>Maximize Cover</v>
      </c>
      <c r="C1313" s="1795"/>
      <c r="D1313" s="920"/>
      <c r="E1313" s="61" t="s">
        <v>3561</v>
      </c>
      <c r="F1313" s="61"/>
      <c r="G1313" s="61"/>
      <c r="H1313" s="61"/>
      <c r="I1313" s="61"/>
      <c r="J1313" s="1687" t="s">
        <v>5506</v>
      </c>
      <c r="K1313" s="63" t="str">
        <f t="shared" si="333"/>
        <v>No</v>
      </c>
      <c r="L1313" s="76"/>
      <c r="M1313" s="63">
        <f t="shared" si="335"/>
        <v>0</v>
      </c>
      <c r="N1313" s="63" t="s">
        <v>3558</v>
      </c>
      <c r="O1313" s="64"/>
      <c r="P1313" s="660" t="str">
        <f t="shared" si="332"/>
        <v/>
      </c>
      <c r="Q1313" s="52" t="str">
        <f t="shared" si="336"/>
        <v>No</v>
      </c>
      <c r="R1313" s="1574" t="str">
        <f t="shared" si="329"/>
        <v/>
      </c>
      <c r="S1313" s="52" t="str">
        <f t="shared" si="341"/>
        <v/>
      </c>
      <c r="T1313" s="52" t="str">
        <f t="shared" si="342"/>
        <v/>
      </c>
      <c r="U1313" s="52" t="str">
        <f t="shared" si="338"/>
        <v/>
      </c>
      <c r="V1313" s="52" t="str">
        <f t="shared" si="343"/>
        <v/>
      </c>
      <c r="W1313" s="1578"/>
      <c r="X1313" s="52" t="str">
        <f t="shared" si="334"/>
        <v/>
      </c>
      <c r="Y1313" s="52" t="str">
        <f t="shared" si="340"/>
        <v/>
      </c>
      <c r="AA1313" s="52" t="str">
        <f t="shared" si="337"/>
        <v/>
      </c>
    </row>
    <row r="1314" spans="2:27" ht="26">
      <c r="B1314" s="1532" t="str">
        <f t="shared" si="339"/>
        <v>Impenetrable Cover</v>
      </c>
      <c r="C1314" s="1795"/>
      <c r="D1314" s="920"/>
      <c r="E1314" s="61"/>
      <c r="F1314" s="61" t="s">
        <v>3562</v>
      </c>
      <c r="G1314" s="61"/>
      <c r="H1314" s="61"/>
      <c r="I1314" s="61"/>
      <c r="J1314" s="1687" t="s">
        <v>5507</v>
      </c>
      <c r="K1314" s="63" t="str">
        <f>IF(AND(Q1313="Yes",L1313&lt;&gt;""),"Yes","No")</f>
        <v>No</v>
      </c>
      <c r="L1314" s="76"/>
      <c r="M1314" s="63">
        <f t="shared" si="335"/>
        <v>0</v>
      </c>
      <c r="N1314" s="63" t="s">
        <v>3558</v>
      </c>
      <c r="O1314" s="64"/>
      <c r="P1314" s="660" t="str">
        <f t="shared" si="332"/>
        <v/>
      </c>
      <c r="Q1314" s="52" t="str">
        <f t="shared" si="336"/>
        <v>No</v>
      </c>
      <c r="R1314" s="1574" t="str">
        <f t="shared" si="329"/>
        <v/>
      </c>
      <c r="S1314" s="52" t="str">
        <f t="shared" si="341"/>
        <v/>
      </c>
      <c r="T1314" s="52" t="str">
        <f t="shared" si="342"/>
        <v/>
      </c>
      <c r="U1314" s="52" t="str">
        <f t="shared" si="338"/>
        <v/>
      </c>
      <c r="V1314" s="52" t="str">
        <f t="shared" si="343"/>
        <v/>
      </c>
      <c r="W1314" s="1578"/>
      <c r="X1314" s="52" t="str">
        <f t="shared" si="334"/>
        <v/>
      </c>
      <c r="Y1314" s="52" t="str">
        <f t="shared" si="340"/>
        <v/>
      </c>
      <c r="AA1314" s="52" t="str">
        <f t="shared" si="337"/>
        <v/>
      </c>
    </row>
    <row r="1315" spans="2:27">
      <c r="B1315" s="1532" t="str">
        <f t="shared" si="339"/>
        <v>Invisible Attacker</v>
      </c>
      <c r="C1315" s="1795"/>
      <c r="D1315" s="920"/>
      <c r="E1315" s="61"/>
      <c r="F1315" s="61" t="s">
        <v>3563</v>
      </c>
      <c r="G1315" s="61"/>
      <c r="H1315" s="61"/>
      <c r="I1315" s="61"/>
      <c r="J1315" s="1687" t="s">
        <v>5508</v>
      </c>
      <c r="K1315" s="63" t="str">
        <f>IF(AND(Q1314="Yes",L1313&lt;&gt;""),"Yes","No")</f>
        <v>No</v>
      </c>
      <c r="L1315" s="76"/>
      <c r="M1315" s="63">
        <f t="shared" si="335"/>
        <v>0</v>
      </c>
      <c r="N1315" s="63" t="s">
        <v>3558</v>
      </c>
      <c r="O1315" s="64"/>
      <c r="P1315" s="660" t="str">
        <f t="shared" si="332"/>
        <v/>
      </c>
      <c r="Q1315" s="52" t="str">
        <f t="shared" si="336"/>
        <v>No</v>
      </c>
      <c r="R1315" s="1574" t="str">
        <f t="shared" si="329"/>
        <v/>
      </c>
      <c r="S1315" s="52" t="str">
        <f t="shared" si="341"/>
        <v/>
      </c>
      <c r="T1315" s="52" t="str">
        <f t="shared" si="342"/>
        <v/>
      </c>
      <c r="U1315" s="52" t="str">
        <f t="shared" si="338"/>
        <v/>
      </c>
      <c r="V1315" s="52" t="str">
        <f t="shared" si="343"/>
        <v/>
      </c>
      <c r="W1315" s="1578"/>
      <c r="X1315" s="52" t="str">
        <f t="shared" si="334"/>
        <v/>
      </c>
      <c r="Y1315" s="52" t="str">
        <f t="shared" si="340"/>
        <v/>
      </c>
      <c r="AA1315" s="52" t="str">
        <f t="shared" si="337"/>
        <v/>
      </c>
    </row>
    <row r="1316" spans="2:27" ht="26">
      <c r="B1316" s="1532" t="str">
        <f t="shared" si="339"/>
        <v>Soften the Target</v>
      </c>
      <c r="C1316" s="1795"/>
      <c r="D1316" s="920"/>
      <c r="E1316" s="61" t="s">
        <v>3564</v>
      </c>
      <c r="F1316" s="61"/>
      <c r="G1316" s="61"/>
      <c r="H1316" s="61"/>
      <c r="I1316" s="61"/>
      <c r="J1316" s="1687" t="s">
        <v>5509</v>
      </c>
      <c r="K1316" s="63" t="str">
        <f t="shared" si="333"/>
        <v>No</v>
      </c>
      <c r="L1316" s="76"/>
      <c r="M1316" s="63">
        <f t="shared" si="335"/>
        <v>0</v>
      </c>
      <c r="N1316" s="63" t="s">
        <v>3558</v>
      </c>
      <c r="O1316" s="64"/>
      <c r="P1316" s="660" t="str">
        <f t="shared" si="332"/>
        <v/>
      </c>
      <c r="Q1316" s="52" t="str">
        <f t="shared" si="336"/>
        <v>No</v>
      </c>
      <c r="R1316" s="1574" t="str">
        <f t="shared" si="329"/>
        <v/>
      </c>
      <c r="S1316" s="52" t="str">
        <f t="shared" si="341"/>
        <v/>
      </c>
      <c r="T1316" s="52" t="str">
        <f t="shared" si="342"/>
        <v/>
      </c>
      <c r="U1316" s="52" t="str">
        <f t="shared" si="338"/>
        <v/>
      </c>
      <c r="V1316" s="52" t="str">
        <f t="shared" si="343"/>
        <v/>
      </c>
      <c r="W1316" s="1578"/>
      <c r="X1316" s="52" t="str">
        <f t="shared" si="334"/>
        <v/>
      </c>
      <c r="Y1316" s="52" t="str">
        <f t="shared" si="340"/>
        <v/>
      </c>
      <c r="AA1316" s="52" t="str">
        <f t="shared" si="337"/>
        <v/>
      </c>
    </row>
    <row r="1317" spans="2:27" ht="26">
      <c r="B1317" s="1532" t="str">
        <f t="shared" si="339"/>
        <v>Shellshock</v>
      </c>
      <c r="C1317" s="1795"/>
      <c r="D1317" s="920"/>
      <c r="E1317" s="61"/>
      <c r="F1317" s="61" t="s">
        <v>3565</v>
      </c>
      <c r="G1317" s="61"/>
      <c r="H1317" s="61"/>
      <c r="I1317" s="61"/>
      <c r="J1317" s="1687" t="s">
        <v>5510</v>
      </c>
      <c r="K1317" s="63" t="str">
        <f>IF(AND(Q1316="Yes",L1316&lt;&gt;""),"Yes","No")</f>
        <v>No</v>
      </c>
      <c r="L1317" s="76"/>
      <c r="M1317" s="63">
        <f t="shared" si="335"/>
        <v>0</v>
      </c>
      <c r="N1317" s="63" t="s">
        <v>3558</v>
      </c>
      <c r="O1317" s="64"/>
      <c r="P1317" s="660" t="str">
        <f t="shared" si="332"/>
        <v/>
      </c>
      <c r="Q1317" s="52" t="str">
        <f t="shared" si="336"/>
        <v>No</v>
      </c>
      <c r="R1317" s="1574" t="str">
        <f t="shared" si="329"/>
        <v/>
      </c>
      <c r="S1317" s="52" t="str">
        <f t="shared" si="341"/>
        <v/>
      </c>
      <c r="T1317" s="52" t="str">
        <f t="shared" si="342"/>
        <v/>
      </c>
      <c r="U1317" s="52" t="str">
        <f t="shared" si="338"/>
        <v/>
      </c>
      <c r="V1317" s="52" t="str">
        <f t="shared" si="343"/>
        <v/>
      </c>
      <c r="W1317" s="1578"/>
      <c r="X1317" s="52" t="str">
        <f>IF(U1317&lt;&gt;"",IF(W1317="Special Actions",U1317&amp;IF(X1318&lt;&gt;"",", ",""),"")&amp;X1318,X1318)</f>
        <v/>
      </c>
      <c r="Y1317" s="52" t="str">
        <f t="shared" si="340"/>
        <v/>
      </c>
      <c r="AA1317" s="52" t="str">
        <f t="shared" si="337"/>
        <v/>
      </c>
    </row>
    <row r="1318" spans="2:27" ht="15" thickBot="1">
      <c r="B1318" s="65"/>
      <c r="C1318" s="85"/>
      <c r="D1318" s="930"/>
      <c r="E1318" s="66"/>
      <c r="F1318" s="66"/>
      <c r="G1318" s="66"/>
      <c r="H1318" s="66"/>
      <c r="I1318" s="66"/>
      <c r="J1318" s="1693"/>
      <c r="K1318" s="68"/>
      <c r="L1318" s="68"/>
      <c r="M1318" s="68"/>
      <c r="N1318" s="68"/>
      <c r="O1318" s="69"/>
      <c r="P1318" s="660"/>
      <c r="S1318" s="509" t="s">
        <v>195</v>
      </c>
      <c r="T1318" s="509" t="s">
        <v>195</v>
      </c>
      <c r="U1318" s="509"/>
      <c r="V1318" s="509" t="s">
        <v>195</v>
      </c>
      <c r="X1318" s="509" t="s">
        <v>195</v>
      </c>
      <c r="Y1318" s="509" t="s">
        <v>195</v>
      </c>
      <c r="Z1318" s="934"/>
      <c r="AA1318" s="509" t="s">
        <v>195</v>
      </c>
    </row>
  </sheetData>
  <sortState xmlns:xlrd2="http://schemas.microsoft.com/office/spreadsheetml/2017/richdata2" ref="J463:J464">
    <sortCondition ref="J463"/>
  </sortState>
  <mergeCells count="49">
    <mergeCell ref="C1045:C1054"/>
    <mergeCell ref="C1083:C1093"/>
    <mergeCell ref="C1094:C1164"/>
    <mergeCell ref="C1175:C1190"/>
    <mergeCell ref="C1055:C1064"/>
    <mergeCell ref="C1165:C1174"/>
    <mergeCell ref="C1065:C1082"/>
    <mergeCell ref="C1310:C1317"/>
    <mergeCell ref="C1258:C1267"/>
    <mergeCell ref="C1191:C1198"/>
    <mergeCell ref="C1199:C1207"/>
    <mergeCell ref="C1208:C1217"/>
    <mergeCell ref="C1250:C1257"/>
    <mergeCell ref="C1268:C1279"/>
    <mergeCell ref="C1280:C1289"/>
    <mergeCell ref="C1290:C1309"/>
    <mergeCell ref="C1218:C1249"/>
    <mergeCell ref="C735:C768"/>
    <mergeCell ref="C809:C821"/>
    <mergeCell ref="C615:C734"/>
    <mergeCell ref="C1010:C1044"/>
    <mergeCell ref="C822:C850"/>
    <mergeCell ref="C851:C856"/>
    <mergeCell ref="C857:C863"/>
    <mergeCell ref="C864:C890"/>
    <mergeCell ref="C903:C953"/>
    <mergeCell ref="C956:C962"/>
    <mergeCell ref="C1002:C1009"/>
    <mergeCell ref="C963:C1001"/>
    <mergeCell ref="C891:C902"/>
    <mergeCell ref="C770:C808"/>
    <mergeCell ref="C7:C72"/>
    <mergeCell ref="C73:C130"/>
    <mergeCell ref="C131:C344"/>
    <mergeCell ref="C345:C434"/>
    <mergeCell ref="C515:C614"/>
    <mergeCell ref="C435:C514"/>
    <mergeCell ref="D136:D140"/>
    <mergeCell ref="D131:D135"/>
    <mergeCell ref="D198:D201"/>
    <mergeCell ref="D157:D161"/>
    <mergeCell ref="D152:D156"/>
    <mergeCell ref="D147:D151"/>
    <mergeCell ref="D141:D146"/>
    <mergeCell ref="D180:D190"/>
    <mergeCell ref="D173:D179"/>
    <mergeCell ref="D167:D172"/>
    <mergeCell ref="D162:D166"/>
    <mergeCell ref="D191:D197"/>
  </mergeCells>
  <phoneticPr fontId="118" type="noConversion"/>
  <conditionalFormatting sqref="D827:N1317 D7:N131 D191:N191 E181:N190 D180:N180 E174:N179 D173:N173 E168:N172 D167:N167 E163:N166 D198:N198 E192:N197 E199:N201 D162:N162 E158:N161 D157:N157 E153:N156 D152:N152 E148:N151 D147:N147 E142:N146 D141:N141 E137:N140 D136:N136 E132:N135 D202:N205 D208:N821 D206:D207 E207 F206:N207">
    <cfRule type="expression" dxfId="135" priority="21">
      <formula>$L7&lt;&gt;""</formula>
    </cfRule>
    <cfRule type="expression" dxfId="134" priority="22">
      <formula>$F$5&lt;=0</formula>
    </cfRule>
    <cfRule type="expression" dxfId="133" priority="23">
      <formula>$K7="No"</formula>
    </cfRule>
  </conditionalFormatting>
  <conditionalFormatting sqref="D824:K825 M824:N825">
    <cfRule type="expression" dxfId="132" priority="27">
      <formula>$L827&lt;&gt;""</formula>
    </cfRule>
    <cfRule type="expression" dxfId="131" priority="28">
      <formula>$F$5&lt;=0</formula>
    </cfRule>
    <cfRule type="expression" dxfId="130" priority="29">
      <formula>$K824="No"</formula>
    </cfRule>
  </conditionalFormatting>
  <conditionalFormatting sqref="D826:K826 M826:N826">
    <cfRule type="expression" dxfId="129" priority="30">
      <formula>#REF!&lt;&gt;""</formula>
    </cfRule>
    <cfRule type="expression" dxfId="128" priority="31">
      <formula>$F$5&lt;=0</formula>
    </cfRule>
    <cfRule type="expression" dxfId="127" priority="32">
      <formula>$K826="No"</formula>
    </cfRule>
  </conditionalFormatting>
  <conditionalFormatting sqref="L826">
    <cfRule type="expression" dxfId="126" priority="45">
      <formula>$L826&lt;&gt;""</formula>
    </cfRule>
    <cfRule type="expression" dxfId="125" priority="46">
      <formula>$F$5&lt;=0</formula>
    </cfRule>
    <cfRule type="expression" dxfId="124" priority="47">
      <formula>$K822="No"</formula>
    </cfRule>
  </conditionalFormatting>
  <conditionalFormatting sqref="L826 Q826">
    <cfRule type="expression" dxfId="123" priority="52">
      <formula>$K822=""</formula>
    </cfRule>
  </conditionalFormatting>
  <conditionalFormatting sqref="L825 L822:L823">
    <cfRule type="expression" dxfId="122" priority="17">
      <formula>$L822&lt;&gt;""</formula>
    </cfRule>
    <cfRule type="expression" dxfId="121" priority="18">
      <formula>$F$5&lt;=0</formula>
    </cfRule>
    <cfRule type="expression" dxfId="120" priority="19">
      <formula>$K821="No"</formula>
    </cfRule>
  </conditionalFormatting>
  <conditionalFormatting sqref="L822:L823 L825">
    <cfRule type="expression" dxfId="119" priority="16">
      <formula>$K821=""</formula>
    </cfRule>
  </conditionalFormatting>
  <conditionalFormatting sqref="Q826">
    <cfRule type="expression" dxfId="118" priority="15">
      <formula>$K826=""</formula>
    </cfRule>
  </conditionalFormatting>
  <conditionalFormatting sqref="D822:K823 M822:N823">
    <cfRule type="expression" dxfId="117" priority="53">
      <formula>$L826&lt;&gt;""</formula>
    </cfRule>
    <cfRule type="expression" dxfId="116" priority="54">
      <formula>$F$5&lt;=0</formula>
    </cfRule>
    <cfRule type="expression" dxfId="115" priority="55">
      <formula>$K822="No"</formula>
    </cfRule>
  </conditionalFormatting>
  <conditionalFormatting sqref="L824">
    <cfRule type="expression" dxfId="114" priority="69">
      <formula>$L824&lt;&gt;""</formula>
    </cfRule>
    <cfRule type="expression" dxfId="113" priority="70">
      <formula>$F$5&lt;=0</formula>
    </cfRule>
    <cfRule type="expression" dxfId="112" priority="71">
      <formula>$K822="No"</formula>
    </cfRule>
  </conditionalFormatting>
  <conditionalFormatting sqref="L824">
    <cfRule type="expression" dxfId="111" priority="76">
      <formula>$K822=""</formula>
    </cfRule>
  </conditionalFormatting>
  <conditionalFormatting sqref="Q823:Q825">
    <cfRule type="expression" dxfId="110" priority="14">
      <formula>$K819=""</formula>
    </cfRule>
  </conditionalFormatting>
  <conditionalFormatting sqref="Q823:Q825">
    <cfRule type="expression" dxfId="109" priority="13">
      <formula>$K823=""</formula>
    </cfRule>
  </conditionalFormatting>
  <conditionalFormatting sqref="M822:M826">
    <cfRule type="expression" dxfId="108" priority="10">
      <formula>$L822&lt;&gt;""</formula>
    </cfRule>
    <cfRule type="expression" dxfId="107" priority="11">
      <formula>$F$5&lt;=0</formula>
    </cfRule>
    <cfRule type="expression" dxfId="106" priority="12">
      <formula>$K822="No"</formula>
    </cfRule>
  </conditionalFormatting>
  <conditionalFormatting sqref="K822">
    <cfRule type="expression" dxfId="105" priority="7">
      <formula>#REF!&lt;&gt;""</formula>
    </cfRule>
    <cfRule type="expression" dxfId="104" priority="8">
      <formula>$F$5&lt;=0</formula>
    </cfRule>
    <cfRule type="expression" dxfId="103" priority="9">
      <formula>$K822="No"</formula>
    </cfRule>
  </conditionalFormatting>
  <conditionalFormatting sqref="K824:K825">
    <cfRule type="expression" dxfId="102" priority="4">
      <formula>#REF!&lt;&gt;""</formula>
    </cfRule>
    <cfRule type="expression" dxfId="101" priority="5">
      <formula>$F$5&lt;=0</formula>
    </cfRule>
    <cfRule type="expression" dxfId="100" priority="6">
      <formula>$K824="No"</formula>
    </cfRule>
  </conditionalFormatting>
  <conditionalFormatting sqref="K823">
    <cfRule type="expression" dxfId="99" priority="1">
      <formula>$L823&lt;&gt;""</formula>
    </cfRule>
    <cfRule type="expression" dxfId="98" priority="2">
      <formula>$F$5&lt;=0</formula>
    </cfRule>
    <cfRule type="expression" dxfId="97" priority="3">
      <formula>$K823="No"</formula>
    </cfRule>
  </conditionalFormatting>
  <conditionalFormatting sqref="E206">
    <cfRule type="expression" dxfId="96" priority="147">
      <formula>$L207&lt;&gt;""</formula>
    </cfRule>
    <cfRule type="expression" dxfId="95" priority="148">
      <formula>$F$5&lt;=0</formula>
    </cfRule>
    <cfRule type="expression" dxfId="94" priority="149">
      <formula>$K207="No"</formula>
    </cfRule>
  </conditionalFormatting>
  <dataValidations count="6">
    <dataValidation type="list" allowBlank="1" showInputMessage="1" showErrorMessage="1" sqref="L1190:L1203 L1184:L1188 L1140:L1182 L1003:L1004 L788:L838 L840:L874 L876:L905 L1205:L1299 L1014:L1025 L956:L973 L1006:L1012 L1103:L1138 L921:L947 L913:L919 L1301:L1317 L907:L911 L1027:L1100 L603 L356:L378 L617:L786 L559:L564 L566:L601 L975:L1001 L380:L557 L189:L195 L69:L84 L86:L92 L7:L56 L94:L157 L159:L187 L58:L67 L610:L615 L197:L352" xr:uid="{00000000-0002-0000-0B00-000000000000}">
      <formula1>ClassTalentTakenDropdown</formula1>
    </dataValidation>
    <dataValidation type="whole" allowBlank="1" showInputMessage="1" showErrorMessage="1" sqref="L1204 L1189 L1183 L1026 L787 L839 L875 L1101:L1102 L1013 L1005 L1139 L974 L1002 L920 L912 L906 L604:L609 L616 L565 L558 L353:L355 L602 L379 L948:L955 L57 L85 L93 L68 L188 L196 L158" xr:uid="{00000000-0002-0000-0B00-000001000000}">
      <formula1>0</formula1>
      <formula2>5</formula2>
    </dataValidation>
    <dataValidation type="whole" allowBlank="1" showInputMessage="1" showErrorMessage="1" promptTitle="Enter Times Taken" sqref="L1300" xr:uid="{00000000-0002-0000-0B00-000002000000}">
      <formula1>0</formula1>
      <formula2>5</formula2>
    </dataValidation>
    <dataValidation type="list" allowBlank="1" showInputMessage="1" showErrorMessage="1" sqref="W7:W1317" xr:uid="{00000000-0002-0000-0B00-000003000000}">
      <formula1>"Att Options,Special Actions,"</formula1>
    </dataValidation>
    <dataValidation type="list" allowBlank="1" showInputMessage="1" showErrorMessage="1" sqref="Z7:Z1317" xr:uid="{00000000-0002-0000-0B00-000004000000}">
      <formula1>"Defenses"</formula1>
    </dataValidation>
    <dataValidation type="list" allowBlank="1" showInputMessage="1" showErrorMessage="1" sqref="AJ7:AJ46 AJ48:AJ1317" xr:uid="{00000000-0002-0000-0B00-000005000000}">
      <formula1>"Speed"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ClearTalents">
                <anchor moveWithCells="1" sizeWithCells="1">
                  <from>
                    <xdr:col>12</xdr:col>
                    <xdr:colOff>69850</xdr:colOff>
                    <xdr:row>2</xdr:row>
                    <xdr:rowOff>50800</xdr:rowOff>
                  </from>
                  <to>
                    <xdr:col>13</xdr:col>
                    <xdr:colOff>298450</xdr:colOff>
                    <xdr:row>3</xdr:row>
                    <xdr:rowOff>69850</xdr:rowOff>
                  </to>
                </anchor>
              </controlPr>
            </control>
          </mc:Choice>
        </mc:AlternateContent>
        <mc:AlternateContent xmlns:mc="http://schemas.openxmlformats.org/markup-compatibility/2006">
          <mc:Choice Requires="x14">
            <control shapeId="5129" r:id="rId5" name="Button 9">
              <controlPr defaultSize="0" print="0" autoFill="0" autoPict="0" macro="[0]!UnhideTalentDescriptions">
                <anchor moveWithCells="1" sizeWithCells="1">
                  <from>
                    <xdr:col>6</xdr:col>
                    <xdr:colOff>285750</xdr:colOff>
                    <xdr:row>2</xdr:row>
                    <xdr:rowOff>19050</xdr:rowOff>
                  </from>
                  <to>
                    <xdr:col>8</xdr:col>
                    <xdr:colOff>342900</xdr:colOff>
                    <xdr:row>3</xdr:row>
                    <xdr:rowOff>57150</xdr:rowOff>
                  </to>
                </anchor>
              </controlPr>
            </control>
          </mc:Choice>
        </mc:AlternateContent>
        <mc:AlternateContent xmlns:mc="http://schemas.openxmlformats.org/markup-compatibility/2006">
          <mc:Choice Requires="x14">
            <control shapeId="5130" r:id="rId6" name="Button 10">
              <controlPr defaultSize="0" print="0" autoFill="0" autoPict="0" macro="[0]!HideTalentDescriptions">
                <anchor moveWithCells="1" sizeWithCells="1">
                  <from>
                    <xdr:col>9</xdr:col>
                    <xdr:colOff>285750</xdr:colOff>
                    <xdr:row>2</xdr:row>
                    <xdr:rowOff>19050</xdr:rowOff>
                  </from>
                  <to>
                    <xdr:col>9</xdr:col>
                    <xdr:colOff>1155700</xdr:colOff>
                    <xdr:row>3</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A1:AR76"/>
  <sheetViews>
    <sheetView showGridLines="0" showRowColHeaders="0" zoomScaleNormal="100" workbookViewId="0">
      <selection activeCell="E14" sqref="E14"/>
    </sheetView>
  </sheetViews>
  <sheetFormatPr defaultColWidth="9.1796875" defaultRowHeight="14.5"/>
  <cols>
    <col min="1" max="1" width="3.453125" style="726" customWidth="1"/>
    <col min="2" max="2" width="2.81640625" style="726" customWidth="1"/>
    <col min="3" max="3" width="32.1796875" style="726" customWidth="1"/>
    <col min="4" max="4" width="5.54296875" style="726" customWidth="1"/>
    <col min="5" max="12" width="5" style="726" customWidth="1"/>
    <col min="13" max="13" width="2.81640625" style="726" customWidth="1"/>
    <col min="14" max="14" width="3.1796875" style="726" hidden="1" customWidth="1"/>
    <col min="15" max="31" width="9.1796875" style="726" hidden="1" customWidth="1"/>
    <col min="32" max="32" width="2.1796875" style="726" hidden="1" customWidth="1"/>
    <col min="33" max="40" width="9.1796875" style="726" hidden="1" customWidth="1"/>
    <col min="41" max="62" width="9.1796875" style="726" customWidth="1"/>
    <col min="63" max="16384" width="9.1796875" style="726"/>
  </cols>
  <sheetData>
    <row r="1" spans="2:40" ht="15" thickBot="1"/>
    <row r="2" spans="2:40">
      <c r="B2" s="22"/>
      <c r="C2" s="722"/>
      <c r="D2" s="722"/>
      <c r="E2" s="722"/>
      <c r="F2" s="722"/>
      <c r="G2" s="722"/>
      <c r="H2" s="722"/>
      <c r="I2" s="722"/>
      <c r="J2" s="722"/>
      <c r="K2" s="722"/>
      <c r="L2" s="722"/>
      <c r="M2" s="25"/>
    </row>
    <row r="3" spans="2:40" ht="21">
      <c r="B3" s="26"/>
      <c r="C3" s="723" t="s">
        <v>4128</v>
      </c>
      <c r="D3" s="723"/>
      <c r="E3" s="720"/>
      <c r="F3" s="720"/>
      <c r="G3" s="720"/>
      <c r="H3" s="720"/>
      <c r="I3" s="720"/>
      <c r="J3" s="833"/>
      <c r="K3" s="720"/>
      <c r="L3" s="720"/>
      <c r="M3" s="29"/>
    </row>
    <row r="4" spans="2:40" ht="15" thickBot="1">
      <c r="B4" s="32"/>
      <c r="C4" s="724"/>
      <c r="D4" s="724"/>
      <c r="E4" s="724"/>
      <c r="F4" s="724"/>
      <c r="G4" s="724"/>
      <c r="H4" s="724"/>
      <c r="I4" s="724"/>
      <c r="J4" s="724"/>
      <c r="K4" s="724"/>
      <c r="L4" s="724"/>
      <c r="M4" s="35"/>
    </row>
    <row r="5" spans="2:40" ht="15" thickBot="1"/>
    <row r="6" spans="2:40">
      <c r="B6" s="22"/>
      <c r="C6" s="722"/>
      <c r="D6" s="722"/>
      <c r="E6" s="722"/>
      <c r="F6" s="722"/>
      <c r="G6" s="722"/>
      <c r="H6" s="722"/>
      <c r="I6" s="722"/>
      <c r="J6" s="722"/>
      <c r="K6" s="722"/>
      <c r="L6" s="722"/>
      <c r="M6" s="25"/>
    </row>
    <row r="7" spans="2:40" ht="21">
      <c r="B7" s="26"/>
      <c r="C7" s="723" t="s">
        <v>350</v>
      </c>
      <c r="D7" s="723"/>
      <c r="E7" s="720"/>
      <c r="F7" s="720"/>
      <c r="G7" s="720"/>
      <c r="H7" s="720"/>
      <c r="I7" s="720"/>
      <c r="J7" s="720"/>
      <c r="K7" s="720"/>
      <c r="L7" s="720"/>
      <c r="M7" s="29"/>
    </row>
    <row r="8" spans="2:40">
      <c r="B8" s="26"/>
      <c r="C8" s="721"/>
      <c r="D8" s="721"/>
      <c r="E8" s="1797" t="s">
        <v>1381</v>
      </c>
      <c r="F8" s="1797" t="s">
        <v>651</v>
      </c>
      <c r="G8" s="1797" t="s">
        <v>1520</v>
      </c>
      <c r="H8" s="1797" t="s">
        <v>563</v>
      </c>
      <c r="I8" s="1797" t="s">
        <v>531</v>
      </c>
      <c r="J8" s="1797" t="s">
        <v>461</v>
      </c>
      <c r="K8" s="1797" t="str">
        <f>IF(Feats!D$100&lt;&gt;"",Feats!D$100,"")</f>
        <v/>
      </c>
      <c r="L8" s="1797" t="str">
        <f>IF(Feats!D101&lt;&gt;"",Feats!D$101,"")</f>
        <v/>
      </c>
      <c r="M8" s="29"/>
    </row>
    <row r="9" spans="2:40">
      <c r="B9" s="26"/>
      <c r="C9" s="721"/>
      <c r="D9" s="721"/>
      <c r="E9" s="1797"/>
      <c r="F9" s="1797"/>
      <c r="G9" s="1797"/>
      <c r="H9" s="1797"/>
      <c r="I9" s="1797"/>
      <c r="J9" s="1797"/>
      <c r="K9" s="1797"/>
      <c r="L9" s="1797"/>
      <c r="M9" s="29"/>
    </row>
    <row r="10" spans="2:40">
      <c r="B10" s="26"/>
      <c r="C10" s="721"/>
      <c r="D10" s="721"/>
      <c r="E10" s="1797"/>
      <c r="F10" s="1797"/>
      <c r="G10" s="1797"/>
      <c r="H10" s="1797"/>
      <c r="I10" s="1797"/>
      <c r="J10" s="1797"/>
      <c r="K10" s="1797"/>
      <c r="L10" s="1797"/>
      <c r="M10" s="29"/>
    </row>
    <row r="11" spans="2:40">
      <c r="B11" s="26"/>
      <c r="C11" s="721"/>
      <c r="D11" s="721"/>
      <c r="E11" s="1797"/>
      <c r="F11" s="1797"/>
      <c r="G11" s="1797"/>
      <c r="H11" s="1797"/>
      <c r="I11" s="1797"/>
      <c r="J11" s="1797"/>
      <c r="K11" s="1797"/>
      <c r="L11" s="1797"/>
      <c r="M11" s="29"/>
    </row>
    <row r="12" spans="2:40">
      <c r="B12" s="26"/>
      <c r="C12" s="721"/>
      <c r="D12" s="721"/>
      <c r="E12" s="1797"/>
      <c r="F12" s="1797"/>
      <c r="G12" s="1797"/>
      <c r="H12" s="1797"/>
      <c r="I12" s="1797"/>
      <c r="J12" s="1797"/>
      <c r="K12" s="1797"/>
      <c r="L12" s="1797"/>
      <c r="M12" s="29"/>
      <c r="O12" s="726" t="str">
        <f>O13&amp;P13&amp;Q13&amp;R13&amp;S13&amp;T13&amp;U13&amp;V13&amp;O30&amp;O40&amp;O58</f>
        <v/>
      </c>
      <c r="X12" s="726" t="str">
        <f>X13&amp;Y13&amp;Z13&amp;AA13&amp;AB13&amp;AC13&amp;AD13&amp;AE13&amp;X30&amp;X40&amp;X58</f>
        <v/>
      </c>
      <c r="AG12" s="726" t="str">
        <f>AG13&amp;AH13&amp;AI13&amp;AJ13&amp;AK13&amp;AL13&amp;AM13&amp;AN13&amp;AG30&amp;AG40&amp;AG58</f>
        <v/>
      </c>
    </row>
    <row r="13" spans="2:40" ht="15" customHeight="1">
      <c r="B13" s="26"/>
      <c r="C13" s="49" t="s">
        <v>4129</v>
      </c>
      <c r="D13" s="49" t="s">
        <v>3808</v>
      </c>
      <c r="E13" s="1798"/>
      <c r="F13" s="1798"/>
      <c r="G13" s="1798"/>
      <c r="H13" s="1798"/>
      <c r="I13" s="1798"/>
      <c r="J13" s="1798"/>
      <c r="K13" s="1798"/>
      <c r="L13" s="1798"/>
      <c r="M13" s="29"/>
      <c r="O13" s="726" t="str">
        <f>O14&amp;O15&amp;O16&amp;O17&amp;O18&amp;O19&amp;O20</f>
        <v/>
      </c>
      <c r="P13" s="738" t="str">
        <f t="shared" ref="P13:V13" si="0">P14&amp;P15&amp;P16&amp;P17&amp;P18&amp;P19&amp;P20</f>
        <v/>
      </c>
      <c r="Q13" s="738" t="str">
        <f t="shared" si="0"/>
        <v/>
      </c>
      <c r="R13" s="738" t="str">
        <f t="shared" si="0"/>
        <v/>
      </c>
      <c r="S13" s="738" t="str">
        <f t="shared" si="0"/>
        <v/>
      </c>
      <c r="T13" s="738" t="str">
        <f t="shared" si="0"/>
        <v/>
      </c>
      <c r="U13" s="738" t="str">
        <f t="shared" si="0"/>
        <v/>
      </c>
      <c r="V13" s="738" t="str">
        <f t="shared" si="0"/>
        <v/>
      </c>
      <c r="X13" s="726" t="str">
        <f>X14&amp;X15&amp;X16&amp;X17&amp;X18&amp;X19&amp;X20</f>
        <v/>
      </c>
      <c r="Y13" s="738" t="str">
        <f t="shared" ref="Y13:AE13" si="1">Y14&amp;Y15&amp;Y16&amp;Y17&amp;Y18&amp;Y19&amp;Y20</f>
        <v/>
      </c>
      <c r="Z13" s="738" t="str">
        <f t="shared" si="1"/>
        <v/>
      </c>
      <c r="AA13" s="738" t="str">
        <f t="shared" si="1"/>
        <v/>
      </c>
      <c r="AB13" s="738" t="str">
        <f t="shared" si="1"/>
        <v/>
      </c>
      <c r="AC13" s="738" t="str">
        <f t="shared" si="1"/>
        <v/>
      </c>
      <c r="AD13" s="738" t="str">
        <f t="shared" si="1"/>
        <v/>
      </c>
      <c r="AE13" s="738" t="str">
        <f t="shared" si="1"/>
        <v/>
      </c>
      <c r="AG13" s="726" t="str">
        <f>AG14&amp;AG15&amp;AG16&amp;AG17&amp;AG18&amp;AG19&amp;AG20</f>
        <v/>
      </c>
      <c r="AH13" s="738" t="str">
        <f t="shared" ref="AH13:AN13" si="2">AH14&amp;AH15&amp;AH16&amp;AH17&amp;AH18&amp;AH19&amp;AH20</f>
        <v/>
      </c>
      <c r="AI13" s="738" t="str">
        <f t="shared" si="2"/>
        <v/>
      </c>
      <c r="AJ13" s="738" t="str">
        <f t="shared" si="2"/>
        <v/>
      </c>
      <c r="AK13" s="738" t="str">
        <f t="shared" si="2"/>
        <v/>
      </c>
      <c r="AL13" s="738" t="str">
        <f t="shared" si="2"/>
        <v/>
      </c>
      <c r="AM13" s="738" t="str">
        <f t="shared" si="2"/>
        <v/>
      </c>
      <c r="AN13" s="738" t="str">
        <f t="shared" si="2"/>
        <v/>
      </c>
    </row>
    <row r="14" spans="2:40">
      <c r="B14" s="26"/>
      <c r="C14" s="720" t="s">
        <v>2963</v>
      </c>
      <c r="D14" s="727">
        <f>Talents!M602</f>
        <v>0</v>
      </c>
      <c r="E14" s="725"/>
      <c r="F14" s="725"/>
      <c r="G14" s="725"/>
      <c r="H14" s="1656"/>
      <c r="I14" s="1101"/>
      <c r="J14" s="725"/>
      <c r="K14" s="725"/>
      <c r="L14" s="725"/>
      <c r="M14" s="29"/>
      <c r="O14" s="746" t="str">
        <f>IF(E14="Yes",$C14&amp;" ("&amp;E$8&amp;");","")</f>
        <v/>
      </c>
      <c r="P14" s="746" t="str">
        <f t="shared" ref="P14:P20" si="3">IF(F14="Yes",$C14&amp;" ("&amp;F$8&amp;");","")</f>
        <v/>
      </c>
      <c r="Q14" s="746" t="str">
        <f t="shared" ref="Q14:Q20" si="4">IF(G14="Yes",$C14&amp;" ("&amp;G$8&amp;");","")</f>
        <v/>
      </c>
      <c r="R14" s="746" t="str">
        <f t="shared" ref="R14:R20" si="5">IF(H14="Yes",$C14&amp;" ("&amp;H$8&amp;");","")</f>
        <v/>
      </c>
      <c r="S14" s="746" t="str">
        <f t="shared" ref="S14:S20" si="6">IF(I14="Yes",$C14&amp;" ("&amp;I$8&amp;");","")</f>
        <v/>
      </c>
      <c r="T14" s="746" t="str">
        <f t="shared" ref="T14:T20" si="7">IF(J14="Yes",$C14&amp;" ("&amp;J$8&amp;");","")</f>
        <v/>
      </c>
      <c r="U14" s="746" t="str">
        <f>IF(AND(K14="Yes",K$8&lt;&gt;""),$C14&amp;" ("&amp;K$8&amp;");","")</f>
        <v/>
      </c>
      <c r="V14" s="746" t="str">
        <f t="shared" ref="V14:V20" si="8">IF(AND(L14="Yes",L$8&lt;&gt;""),$C14&amp;" ("&amp;L$8&amp;");","")</f>
        <v/>
      </c>
      <c r="W14" s="16">
        <v>53</v>
      </c>
      <c r="X14" s="746" t="str">
        <f>IF(O14&lt;&gt;"",$W14&amp;";","")</f>
        <v/>
      </c>
      <c r="Y14" s="746" t="str">
        <f t="shared" ref="Y14:Y20" si="9">IF(P14&lt;&gt;"",$W14&amp;";","")</f>
        <v/>
      </c>
      <c r="Z14" s="746" t="str">
        <f t="shared" ref="Z14:Z20" si="10">IF(Q14&lt;&gt;"",$W14&amp;";","")</f>
        <v/>
      </c>
      <c r="AA14" s="746" t="str">
        <f t="shared" ref="AA14:AA20" si="11">IF(R14&lt;&gt;"",$W14&amp;";","")</f>
        <v/>
      </c>
      <c r="AB14" s="746" t="str">
        <f t="shared" ref="AB14:AB20" si="12">IF(S14&lt;&gt;"",$W14&amp;";","")</f>
        <v/>
      </c>
      <c r="AC14" s="746" t="str">
        <f t="shared" ref="AC14:AC20" si="13">IF(T14&lt;&gt;"",$W14&amp;";","")</f>
        <v/>
      </c>
      <c r="AD14" s="746" t="str">
        <f t="shared" ref="AD14:AD20" si="14">IF(U14&lt;&gt;"",$W14&amp;";","")</f>
        <v/>
      </c>
      <c r="AE14" s="746" t="str">
        <f t="shared" ref="AE14:AE20" si="15">IF(V14&lt;&gt;"",$W14&amp;";","")</f>
        <v/>
      </c>
      <c r="AG14" s="746" t="str">
        <f>IF(E14="Yes",$C14&amp;" ("&amp;E$8&amp;") (Weapon Specialist);","")</f>
        <v/>
      </c>
      <c r="AH14" s="746" t="str">
        <f t="shared" ref="AH14:AH20" si="16">IF(F14="Yes",$C14&amp;" ("&amp;F$8&amp;") (Weapon Specialist);","")</f>
        <v/>
      </c>
      <c r="AI14" s="746" t="str">
        <f t="shared" ref="AI14:AI20" si="17">IF(G14="Yes",$C14&amp;" ("&amp;G$8&amp;") (Weapon Specialist);","")</f>
        <v/>
      </c>
      <c r="AJ14" s="746" t="str">
        <f t="shared" ref="AJ14:AJ20" si="18">IF(H14="Yes",$C14&amp;" ("&amp;H$8&amp;") (Weapon Specialist);","")</f>
        <v/>
      </c>
      <c r="AK14" s="746" t="str">
        <f t="shared" ref="AK14:AK20" si="19">IF(I14="Yes",$C14&amp;" ("&amp;I$8&amp;") (Weapon Specialist);","")</f>
        <v/>
      </c>
      <c r="AL14" s="746" t="str">
        <f t="shared" ref="AL14:AL20" si="20">IF(J14="Yes",$C14&amp;" ("&amp;J$8&amp;") (Weapon Specialist);","")</f>
        <v/>
      </c>
      <c r="AM14" s="746" t="str">
        <f>IF(AND(K14="Yes",K$8&lt;&gt;""),$C14&amp;" ("&amp;K$8&amp;") (Weapon Specialist);","")</f>
        <v/>
      </c>
      <c r="AN14" s="746" t="str">
        <f t="shared" ref="AN14:AN20" si="21">IF(AND(L14="Yes",L$8&lt;&gt;""),$C14&amp;" ("&amp;L$8&amp;") (Weapon Specialist);","")</f>
        <v/>
      </c>
    </row>
    <row r="15" spans="2:40">
      <c r="B15" s="26"/>
      <c r="C15" s="720" t="s">
        <v>2965</v>
      </c>
      <c r="D15" s="727">
        <f>Talents!M604</f>
        <v>0</v>
      </c>
      <c r="E15" s="725"/>
      <c r="F15" s="725"/>
      <c r="G15" s="725"/>
      <c r="H15" s="1656"/>
      <c r="I15" s="725"/>
      <c r="J15" s="725"/>
      <c r="K15" s="725"/>
      <c r="L15" s="725"/>
      <c r="M15" s="29"/>
      <c r="O15" s="746" t="str">
        <f t="shared" ref="O15:O20" si="22">IF(E15="Yes",$C15&amp;" ("&amp;E$8&amp;");","")</f>
        <v/>
      </c>
      <c r="P15" s="746" t="str">
        <f t="shared" si="3"/>
        <v/>
      </c>
      <c r="Q15" s="746" t="str">
        <f t="shared" si="4"/>
        <v/>
      </c>
      <c r="R15" s="746" t="str">
        <f t="shared" si="5"/>
        <v/>
      </c>
      <c r="S15" s="746" t="str">
        <f t="shared" si="6"/>
        <v/>
      </c>
      <c r="T15" s="746" t="str">
        <f t="shared" si="7"/>
        <v/>
      </c>
      <c r="U15" s="746" t="str">
        <f t="shared" ref="U15:U20" si="23">IF(AND(K15="Yes",K$8&lt;&gt;""),$C15&amp;" ("&amp;K$8&amp;");","")</f>
        <v/>
      </c>
      <c r="V15" s="746" t="str">
        <f t="shared" si="8"/>
        <v/>
      </c>
      <c r="W15" s="16">
        <v>53</v>
      </c>
      <c r="X15" s="746" t="str">
        <f t="shared" ref="X15:X20" si="24">IF(O15&lt;&gt;"",$W15&amp;";","")</f>
        <v/>
      </c>
      <c r="Y15" s="746" t="str">
        <f t="shared" si="9"/>
        <v/>
      </c>
      <c r="Z15" s="746" t="str">
        <f t="shared" si="10"/>
        <v/>
      </c>
      <c r="AA15" s="746" t="str">
        <f t="shared" si="11"/>
        <v/>
      </c>
      <c r="AB15" s="746" t="str">
        <f t="shared" si="12"/>
        <v/>
      </c>
      <c r="AC15" s="746" t="str">
        <f t="shared" si="13"/>
        <v/>
      </c>
      <c r="AD15" s="746" t="str">
        <f t="shared" si="14"/>
        <v/>
      </c>
      <c r="AE15" s="746" t="str">
        <f t="shared" si="15"/>
        <v/>
      </c>
      <c r="AG15" s="746" t="str">
        <f t="shared" ref="AG15:AG20" si="25">IF(E15="Yes",$C15&amp;" ("&amp;E$8&amp;") (Weapon Specialist);","")</f>
        <v/>
      </c>
      <c r="AH15" s="746" t="str">
        <f>IF(F15="Yes",$C15&amp;" ("&amp;F$8&amp;") (Weapon Specialist);","")</f>
        <v/>
      </c>
      <c r="AI15" s="746" t="str">
        <f t="shared" si="17"/>
        <v/>
      </c>
      <c r="AJ15" s="746" t="str">
        <f t="shared" si="18"/>
        <v/>
      </c>
      <c r="AK15" s="746" t="str">
        <f t="shared" si="19"/>
        <v/>
      </c>
      <c r="AL15" s="746" t="str">
        <f t="shared" si="20"/>
        <v/>
      </c>
      <c r="AM15" s="746" t="str">
        <f t="shared" ref="AM15:AM20" si="26">IF(AND(K15="Yes",K$8&lt;&gt;""),$C15&amp;" ("&amp;K$8&amp;") (Weapon Specialist);","")</f>
        <v/>
      </c>
      <c r="AN15" s="746" t="str">
        <f t="shared" si="21"/>
        <v/>
      </c>
    </row>
    <row r="16" spans="2:40">
      <c r="B16" s="26"/>
      <c r="C16" s="720" t="s">
        <v>2966</v>
      </c>
      <c r="D16" s="727">
        <f>Talents!M605</f>
        <v>0</v>
      </c>
      <c r="E16" s="1341"/>
      <c r="F16" s="725"/>
      <c r="G16" s="825"/>
      <c r="H16" s="1656"/>
      <c r="I16" s="1656"/>
      <c r="J16" s="725"/>
      <c r="K16" s="1126"/>
      <c r="L16" s="725"/>
      <c r="M16" s="29"/>
      <c r="O16" s="746" t="str">
        <f t="shared" si="22"/>
        <v/>
      </c>
      <c r="P16" s="746" t="str">
        <f t="shared" si="3"/>
        <v/>
      </c>
      <c r="Q16" s="746" t="str">
        <f t="shared" si="4"/>
        <v/>
      </c>
      <c r="R16" s="746" t="str">
        <f t="shared" si="5"/>
        <v/>
      </c>
      <c r="S16" s="746" t="str">
        <f t="shared" si="6"/>
        <v/>
      </c>
      <c r="T16" s="746" t="str">
        <f t="shared" si="7"/>
        <v/>
      </c>
      <c r="U16" s="746" t="str">
        <f t="shared" si="23"/>
        <v/>
      </c>
      <c r="V16" s="746" t="str">
        <f t="shared" si="8"/>
        <v/>
      </c>
      <c r="W16" s="16">
        <v>41</v>
      </c>
      <c r="X16" s="746" t="str">
        <f t="shared" si="24"/>
        <v/>
      </c>
      <c r="Y16" s="746" t="str">
        <f t="shared" si="9"/>
        <v/>
      </c>
      <c r="Z16" s="746" t="str">
        <f t="shared" si="10"/>
        <v/>
      </c>
      <c r="AA16" s="746" t="str">
        <f t="shared" si="11"/>
        <v/>
      </c>
      <c r="AB16" s="746" t="str">
        <f t="shared" si="12"/>
        <v/>
      </c>
      <c r="AC16" s="746" t="str">
        <f t="shared" si="13"/>
        <v/>
      </c>
      <c r="AD16" s="746" t="str">
        <f t="shared" si="14"/>
        <v/>
      </c>
      <c r="AE16" s="746" t="str">
        <f t="shared" si="15"/>
        <v/>
      </c>
      <c r="AG16" s="746" t="str">
        <f t="shared" si="25"/>
        <v/>
      </c>
      <c r="AH16" s="746" t="str">
        <f>IF(F16="Yes",$C16&amp;" ("&amp;F$8&amp;") (Weapon Specialist);","")</f>
        <v/>
      </c>
      <c r="AI16" s="746" t="str">
        <f t="shared" si="17"/>
        <v/>
      </c>
      <c r="AJ16" s="746" t="str">
        <f t="shared" si="18"/>
        <v/>
      </c>
      <c r="AK16" s="746" t="str">
        <f t="shared" si="19"/>
        <v/>
      </c>
      <c r="AL16" s="746" t="str">
        <f t="shared" si="20"/>
        <v/>
      </c>
      <c r="AM16" s="746" t="str">
        <f t="shared" si="26"/>
        <v/>
      </c>
      <c r="AN16" s="746" t="str">
        <f t="shared" si="21"/>
        <v/>
      </c>
    </row>
    <row r="17" spans="1:40">
      <c r="B17" s="26"/>
      <c r="C17" s="720" t="s">
        <v>2967</v>
      </c>
      <c r="D17" s="727">
        <f>Talents!M606</f>
        <v>0</v>
      </c>
      <c r="E17" s="725"/>
      <c r="F17" s="725"/>
      <c r="G17" s="725"/>
      <c r="H17" s="1656"/>
      <c r="I17" s="725"/>
      <c r="J17" s="725"/>
      <c r="K17" s="725"/>
      <c r="L17" s="725"/>
      <c r="M17" s="29"/>
      <c r="O17" s="746" t="str">
        <f t="shared" si="22"/>
        <v/>
      </c>
      <c r="P17" s="746" t="str">
        <f t="shared" si="3"/>
        <v/>
      </c>
      <c r="Q17" s="746" t="str">
        <f t="shared" si="4"/>
        <v/>
      </c>
      <c r="R17" s="746" t="str">
        <f t="shared" si="5"/>
        <v/>
      </c>
      <c r="S17" s="746" t="str">
        <f t="shared" si="6"/>
        <v/>
      </c>
      <c r="T17" s="746" t="str">
        <f t="shared" si="7"/>
        <v/>
      </c>
      <c r="U17" s="746" t="str">
        <f t="shared" si="23"/>
        <v/>
      </c>
      <c r="V17" s="746" t="str">
        <f t="shared" si="8"/>
        <v/>
      </c>
      <c r="W17" s="16" t="s">
        <v>2897</v>
      </c>
      <c r="X17" s="746" t="str">
        <f t="shared" si="24"/>
        <v/>
      </c>
      <c r="Y17" s="746" t="str">
        <f t="shared" si="9"/>
        <v/>
      </c>
      <c r="Z17" s="746" t="str">
        <f t="shared" si="10"/>
        <v/>
      </c>
      <c r="AA17" s="746" t="str">
        <f t="shared" si="11"/>
        <v/>
      </c>
      <c r="AB17" s="746" t="str">
        <f t="shared" si="12"/>
        <v/>
      </c>
      <c r="AC17" s="746" t="str">
        <f t="shared" si="13"/>
        <v/>
      </c>
      <c r="AD17" s="746" t="str">
        <f t="shared" si="14"/>
        <v/>
      </c>
      <c r="AE17" s="746" t="str">
        <f t="shared" si="15"/>
        <v/>
      </c>
      <c r="AG17" s="746" t="str">
        <f t="shared" si="25"/>
        <v/>
      </c>
      <c r="AH17" s="746" t="str">
        <f t="shared" si="16"/>
        <v/>
      </c>
      <c r="AI17" s="746" t="str">
        <f t="shared" si="17"/>
        <v/>
      </c>
      <c r="AJ17" s="746" t="str">
        <f t="shared" si="18"/>
        <v/>
      </c>
      <c r="AK17" s="746" t="str">
        <f t="shared" si="19"/>
        <v/>
      </c>
      <c r="AL17" s="746" t="str">
        <f t="shared" si="20"/>
        <v/>
      </c>
      <c r="AM17" s="746" t="str">
        <f t="shared" si="26"/>
        <v/>
      </c>
      <c r="AN17" s="746" t="str">
        <f t="shared" si="21"/>
        <v/>
      </c>
    </row>
    <row r="18" spans="1:40">
      <c r="B18" s="26"/>
      <c r="C18" s="720" t="s">
        <v>2968</v>
      </c>
      <c r="D18" s="727">
        <f>Talents!M607</f>
        <v>0</v>
      </c>
      <c r="E18" s="725"/>
      <c r="F18" s="725"/>
      <c r="G18" s="725"/>
      <c r="H18" s="1656"/>
      <c r="I18" s="725"/>
      <c r="J18" s="725"/>
      <c r="K18" s="725"/>
      <c r="L18" s="725"/>
      <c r="M18" s="29"/>
      <c r="O18" s="746" t="str">
        <f t="shared" si="22"/>
        <v/>
      </c>
      <c r="P18" s="746" t="str">
        <f t="shared" si="3"/>
        <v/>
      </c>
      <c r="Q18" s="746" t="str">
        <f t="shared" si="4"/>
        <v/>
      </c>
      <c r="R18" s="746" t="str">
        <f t="shared" si="5"/>
        <v/>
      </c>
      <c r="S18" s="746" t="str">
        <f t="shared" si="6"/>
        <v/>
      </c>
      <c r="T18" s="746" t="str">
        <f t="shared" si="7"/>
        <v/>
      </c>
      <c r="U18" s="746" t="str">
        <f t="shared" si="23"/>
        <v/>
      </c>
      <c r="V18" s="746" t="str">
        <f t="shared" si="8"/>
        <v/>
      </c>
      <c r="W18" s="16" t="s">
        <v>2854</v>
      </c>
      <c r="X18" s="746" t="str">
        <f t="shared" si="24"/>
        <v/>
      </c>
      <c r="Y18" s="746" t="str">
        <f t="shared" si="9"/>
        <v/>
      </c>
      <c r="Z18" s="746" t="str">
        <f t="shared" si="10"/>
        <v/>
      </c>
      <c r="AA18" s="746" t="str">
        <f t="shared" si="11"/>
        <v/>
      </c>
      <c r="AB18" s="746" t="str">
        <f t="shared" si="12"/>
        <v/>
      </c>
      <c r="AC18" s="746" t="str">
        <f t="shared" si="13"/>
        <v/>
      </c>
      <c r="AD18" s="746" t="str">
        <f t="shared" si="14"/>
        <v/>
      </c>
      <c r="AE18" s="746" t="str">
        <f t="shared" si="15"/>
        <v/>
      </c>
      <c r="AG18" s="746" t="str">
        <f t="shared" si="25"/>
        <v/>
      </c>
      <c r="AH18" s="746" t="str">
        <f t="shared" si="16"/>
        <v/>
      </c>
      <c r="AI18" s="746" t="str">
        <f t="shared" si="17"/>
        <v/>
      </c>
      <c r="AJ18" s="746" t="str">
        <f t="shared" si="18"/>
        <v/>
      </c>
      <c r="AK18" s="746" t="str">
        <f t="shared" si="19"/>
        <v/>
      </c>
      <c r="AL18" s="746" t="str">
        <f t="shared" si="20"/>
        <v/>
      </c>
      <c r="AM18" s="746" t="str">
        <f t="shared" si="26"/>
        <v/>
      </c>
      <c r="AN18" s="746" t="str">
        <f t="shared" si="21"/>
        <v/>
      </c>
    </row>
    <row r="19" spans="1:40">
      <c r="B19" s="26"/>
      <c r="C19" s="720" t="s">
        <v>2969</v>
      </c>
      <c r="D19" s="727">
        <f>Talents!M608</f>
        <v>0</v>
      </c>
      <c r="E19" s="725"/>
      <c r="F19" s="725"/>
      <c r="G19" s="725"/>
      <c r="H19" s="1656"/>
      <c r="I19" s="725"/>
      <c r="J19" s="740"/>
      <c r="K19" s="725"/>
      <c r="L19" s="725"/>
      <c r="M19" s="29"/>
      <c r="O19" s="746" t="str">
        <f t="shared" si="22"/>
        <v/>
      </c>
      <c r="P19" s="746" t="str">
        <f t="shared" si="3"/>
        <v/>
      </c>
      <c r="Q19" s="746" t="str">
        <f t="shared" si="4"/>
        <v/>
      </c>
      <c r="R19" s="746" t="str">
        <f t="shared" si="5"/>
        <v/>
      </c>
      <c r="S19" s="746" t="str">
        <f t="shared" si="6"/>
        <v/>
      </c>
      <c r="T19" s="746" t="str">
        <f t="shared" si="7"/>
        <v/>
      </c>
      <c r="U19" s="746" t="str">
        <f t="shared" si="23"/>
        <v/>
      </c>
      <c r="V19" s="746" t="str">
        <f t="shared" si="8"/>
        <v/>
      </c>
      <c r="W19" s="16" t="s">
        <v>2897</v>
      </c>
      <c r="X19" s="746" t="str">
        <f t="shared" si="24"/>
        <v/>
      </c>
      <c r="Y19" s="746" t="str">
        <f t="shared" si="9"/>
        <v/>
      </c>
      <c r="Z19" s="746" t="str">
        <f t="shared" si="10"/>
        <v/>
      </c>
      <c r="AA19" s="746" t="str">
        <f t="shared" si="11"/>
        <v/>
      </c>
      <c r="AB19" s="746" t="str">
        <f t="shared" si="12"/>
        <v/>
      </c>
      <c r="AC19" s="746" t="str">
        <f t="shared" si="13"/>
        <v/>
      </c>
      <c r="AD19" s="746" t="str">
        <f t="shared" si="14"/>
        <v/>
      </c>
      <c r="AE19" s="746" t="str">
        <f t="shared" si="15"/>
        <v/>
      </c>
      <c r="AG19" s="746" t="str">
        <f t="shared" si="25"/>
        <v/>
      </c>
      <c r="AH19" s="746" t="str">
        <f t="shared" si="16"/>
        <v/>
      </c>
      <c r="AI19" s="746" t="str">
        <f t="shared" si="17"/>
        <v/>
      </c>
      <c r="AJ19" s="746" t="str">
        <f t="shared" si="18"/>
        <v/>
      </c>
      <c r="AK19" s="746" t="str">
        <f t="shared" si="19"/>
        <v/>
      </c>
      <c r="AL19" s="746" t="str">
        <f t="shared" si="20"/>
        <v/>
      </c>
      <c r="AM19" s="746" t="str">
        <f t="shared" si="26"/>
        <v/>
      </c>
      <c r="AN19" s="746" t="str">
        <f t="shared" si="21"/>
        <v/>
      </c>
    </row>
    <row r="20" spans="1:40">
      <c r="B20" s="26"/>
      <c r="C20" s="720" t="s">
        <v>2970</v>
      </c>
      <c r="D20" s="727">
        <f>Talents!M614</f>
        <v>0</v>
      </c>
      <c r="E20" s="725"/>
      <c r="F20" s="725"/>
      <c r="G20" s="725"/>
      <c r="H20" s="1656"/>
      <c r="I20" s="725"/>
      <c r="J20" s="725"/>
      <c r="K20" s="725"/>
      <c r="L20" s="725"/>
      <c r="M20" s="29"/>
      <c r="O20" s="746" t="str">
        <f t="shared" si="22"/>
        <v/>
      </c>
      <c r="P20" s="746" t="str">
        <f t="shared" si="3"/>
        <v/>
      </c>
      <c r="Q20" s="746" t="str">
        <f t="shared" si="4"/>
        <v/>
      </c>
      <c r="R20" s="746" t="str">
        <f t="shared" si="5"/>
        <v/>
      </c>
      <c r="S20" s="746" t="str">
        <f t="shared" si="6"/>
        <v/>
      </c>
      <c r="T20" s="746" t="str">
        <f t="shared" si="7"/>
        <v/>
      </c>
      <c r="U20" s="746" t="str">
        <f t="shared" si="23"/>
        <v/>
      </c>
      <c r="V20" s="746" t="str">
        <f t="shared" si="8"/>
        <v/>
      </c>
      <c r="W20" s="16" t="s">
        <v>2897</v>
      </c>
      <c r="X20" s="746" t="str">
        <f t="shared" si="24"/>
        <v/>
      </c>
      <c r="Y20" s="746" t="str">
        <f t="shared" si="9"/>
        <v/>
      </c>
      <c r="Z20" s="746" t="str">
        <f t="shared" si="10"/>
        <v/>
      </c>
      <c r="AA20" s="746" t="str">
        <f t="shared" si="11"/>
        <v/>
      </c>
      <c r="AB20" s="746" t="str">
        <f t="shared" si="12"/>
        <v/>
      </c>
      <c r="AC20" s="746" t="str">
        <f t="shared" si="13"/>
        <v/>
      </c>
      <c r="AD20" s="746" t="str">
        <f t="shared" si="14"/>
        <v/>
      </c>
      <c r="AE20" s="746" t="str">
        <f t="shared" si="15"/>
        <v/>
      </c>
      <c r="AG20" s="746" t="str">
        <f t="shared" si="25"/>
        <v/>
      </c>
      <c r="AH20" s="746" t="str">
        <f t="shared" si="16"/>
        <v/>
      </c>
      <c r="AI20" s="746" t="str">
        <f t="shared" si="17"/>
        <v/>
      </c>
      <c r="AJ20" s="746" t="str">
        <f t="shared" si="18"/>
        <v/>
      </c>
      <c r="AK20" s="746" t="str">
        <f t="shared" si="19"/>
        <v/>
      </c>
      <c r="AL20" s="746" t="str">
        <f t="shared" si="20"/>
        <v/>
      </c>
      <c r="AM20" s="746" t="str">
        <f t="shared" si="26"/>
        <v/>
      </c>
      <c r="AN20" s="746" t="str">
        <f t="shared" si="21"/>
        <v/>
      </c>
    </row>
    <row r="21" spans="1:40" ht="15" thickBot="1">
      <c r="B21" s="32"/>
      <c r="C21" s="724"/>
      <c r="D21" s="724"/>
      <c r="E21" s="724"/>
      <c r="F21" s="724"/>
      <c r="G21" s="724"/>
      <c r="H21" s="724"/>
      <c r="I21" s="724"/>
      <c r="J21" s="724"/>
      <c r="K21" s="724"/>
      <c r="L21" s="724"/>
      <c r="M21" s="35"/>
    </row>
    <row r="22" spans="1:40" ht="15" thickBot="1"/>
    <row r="23" spans="1:40">
      <c r="A23" s="829"/>
      <c r="B23" s="22"/>
      <c r="C23" s="826"/>
      <c r="D23" s="826"/>
      <c r="E23" s="826"/>
      <c r="F23" s="826"/>
      <c r="G23" s="826"/>
      <c r="H23" s="826"/>
      <c r="I23" s="826"/>
      <c r="J23" s="826"/>
      <c r="K23" s="826"/>
      <c r="L23" s="826"/>
      <c r="M23" s="25"/>
      <c r="N23" s="829"/>
    </row>
    <row r="24" spans="1:40" ht="21">
      <c r="A24" s="829"/>
      <c r="B24" s="26"/>
      <c r="C24" s="827" t="s">
        <v>410</v>
      </c>
      <c r="D24" s="827"/>
      <c r="E24" s="824"/>
      <c r="F24" s="824"/>
      <c r="G24" s="824"/>
      <c r="H24" s="824"/>
      <c r="I24" s="824"/>
      <c r="J24" s="824"/>
      <c r="K24" s="824"/>
      <c r="L24" s="824"/>
      <c r="M24" s="29"/>
      <c r="N24" s="829"/>
    </row>
    <row r="25" spans="1:40">
      <c r="B25" s="26"/>
      <c r="C25" s="828"/>
      <c r="D25" s="828"/>
      <c r="E25" s="1797" t="s">
        <v>4534</v>
      </c>
      <c r="F25" s="1797" t="s">
        <v>4533</v>
      </c>
      <c r="G25" s="1797" t="s">
        <v>4535</v>
      </c>
      <c r="H25" s="1797" t="s">
        <v>4536</v>
      </c>
      <c r="I25" s="1797" t="s">
        <v>4537</v>
      </c>
      <c r="J25" s="1797" t="s">
        <v>4538</v>
      </c>
      <c r="K25" s="1797"/>
      <c r="L25" s="1797"/>
      <c r="M25" s="29"/>
    </row>
    <row r="26" spans="1:40">
      <c r="B26" s="26"/>
      <c r="C26" s="828"/>
      <c r="D26" s="828"/>
      <c r="E26" s="1797"/>
      <c r="F26" s="1797"/>
      <c r="G26" s="1797"/>
      <c r="H26" s="1797"/>
      <c r="I26" s="1797"/>
      <c r="J26" s="1797"/>
      <c r="K26" s="1797"/>
      <c r="L26" s="1797"/>
      <c r="M26" s="29"/>
    </row>
    <row r="27" spans="1:40">
      <c r="B27" s="26"/>
      <c r="C27" s="828"/>
      <c r="D27" s="828"/>
      <c r="E27" s="1797"/>
      <c r="F27" s="1797"/>
      <c r="G27" s="1797"/>
      <c r="H27" s="1797"/>
      <c r="I27" s="1797"/>
      <c r="J27" s="1797"/>
      <c r="K27" s="1797"/>
      <c r="L27" s="1797"/>
      <c r="M27" s="29"/>
    </row>
    <row r="28" spans="1:40">
      <c r="B28" s="26"/>
      <c r="C28" s="828"/>
      <c r="D28" s="828"/>
      <c r="E28" s="1797"/>
      <c r="F28" s="1797"/>
      <c r="G28" s="1797"/>
      <c r="H28" s="1797"/>
      <c r="I28" s="1797"/>
      <c r="J28" s="1797"/>
      <c r="K28" s="1797"/>
      <c r="L28" s="1797"/>
      <c r="M28" s="29"/>
    </row>
    <row r="29" spans="1:40">
      <c r="B29" s="26"/>
      <c r="C29" s="828"/>
      <c r="D29" s="828"/>
      <c r="E29" s="1797"/>
      <c r="F29" s="1797"/>
      <c r="G29" s="1797"/>
      <c r="H29" s="1797"/>
      <c r="I29" s="1797"/>
      <c r="J29" s="1797"/>
      <c r="K29" s="1797"/>
      <c r="L29" s="1797"/>
      <c r="M29" s="29"/>
    </row>
    <row r="30" spans="1:40">
      <c r="B30" s="26"/>
      <c r="C30" s="831" t="s">
        <v>4129</v>
      </c>
      <c r="D30" s="831" t="s">
        <v>3808</v>
      </c>
      <c r="E30" s="1798"/>
      <c r="F30" s="1798"/>
      <c r="G30" s="1798"/>
      <c r="H30" s="1798"/>
      <c r="I30" s="1798"/>
      <c r="J30" s="1798"/>
      <c r="K30" s="1797"/>
      <c r="L30" s="1797"/>
      <c r="M30" s="29"/>
      <c r="O30" s="829" t="str">
        <f>O31&amp;P31&amp;Q31&amp;R31&amp;S31&amp;T31&amp;U31&amp;V31&amp;O58</f>
        <v/>
      </c>
      <c r="P30" s="829"/>
      <c r="Q30" s="829"/>
      <c r="R30" s="829"/>
      <c r="S30" s="829"/>
      <c r="T30" s="829"/>
      <c r="U30" s="829"/>
      <c r="V30" s="829"/>
      <c r="W30" s="829"/>
      <c r="X30" s="829" t="str">
        <f>X31&amp;Y31&amp;Z31&amp;AA31&amp;AB31&amp;AC31&amp;AD31&amp;AE31&amp;X58</f>
        <v/>
      </c>
      <c r="Y30" s="829"/>
      <c r="Z30" s="829"/>
      <c r="AA30" s="829"/>
      <c r="AB30" s="829"/>
      <c r="AC30" s="829"/>
      <c r="AD30" s="829"/>
      <c r="AE30" s="829"/>
      <c r="AF30" s="829"/>
      <c r="AG30" s="829" t="str">
        <f>AG31&amp;AH31&amp;AI31&amp;AJ31&amp;AK31&amp;AL31&amp;AM31&amp;AN31&amp;AG58</f>
        <v/>
      </c>
    </row>
    <row r="31" spans="1:40" s="829" customFormat="1">
      <c r="B31" s="26"/>
      <c r="C31" s="824" t="s">
        <v>3094</v>
      </c>
      <c r="D31" s="833">
        <f>Talents!M787</f>
        <v>0</v>
      </c>
      <c r="E31" s="902"/>
      <c r="F31" s="902"/>
      <c r="G31" s="825"/>
      <c r="H31" s="825"/>
      <c r="I31" s="825"/>
      <c r="J31" s="825"/>
      <c r="K31" s="848"/>
      <c r="L31" s="824"/>
      <c r="M31" s="29"/>
      <c r="O31" s="746" t="str">
        <f t="shared" ref="O31:T31" si="27">IF(E31="Yes",$C31&amp;" ("&amp;E25&amp;");","")</f>
        <v/>
      </c>
      <c r="P31" s="746" t="str">
        <f t="shared" si="27"/>
        <v/>
      </c>
      <c r="Q31" s="746" t="str">
        <f t="shared" si="27"/>
        <v/>
      </c>
      <c r="R31" s="746" t="str">
        <f t="shared" si="27"/>
        <v/>
      </c>
      <c r="S31" s="746" t="str">
        <f t="shared" si="27"/>
        <v/>
      </c>
      <c r="T31" s="746" t="str">
        <f t="shared" si="27"/>
        <v/>
      </c>
      <c r="U31" s="746"/>
      <c r="V31" s="746"/>
      <c r="W31" s="16" t="s">
        <v>2785</v>
      </c>
      <c r="X31" s="746" t="str">
        <f t="shared" ref="X31:AC31" si="28">IF(O31&lt;&gt;"",$W31&amp;";","")</f>
        <v/>
      </c>
      <c r="Y31" s="746" t="str">
        <f t="shared" si="28"/>
        <v/>
      </c>
      <c r="Z31" s="746" t="str">
        <f t="shared" si="28"/>
        <v/>
      </c>
      <c r="AA31" s="746" t="str">
        <f t="shared" si="28"/>
        <v/>
      </c>
      <c r="AB31" s="746" t="str">
        <f t="shared" si="28"/>
        <v/>
      </c>
      <c r="AC31" s="746" t="str">
        <f t="shared" si="28"/>
        <v/>
      </c>
      <c r="AD31" s="746"/>
      <c r="AE31" s="746"/>
      <c r="AG31" s="746" t="str">
        <f>IF(E31="Yes",$C31&amp;" ("&amp;E25&amp;") (Expert Pilot);","")</f>
        <v/>
      </c>
      <c r="AH31" s="746" t="str">
        <f>IF(F31="Yes",$C31&amp;" ("&amp;F$25&amp;") (Expert Pilot);","")</f>
        <v/>
      </c>
      <c r="AI31" s="746" t="str">
        <f>IF(G31="Yes",$C31&amp;" ("&amp;G$25&amp;") (Expert Pilot);","")</f>
        <v/>
      </c>
      <c r="AJ31" s="746" t="str">
        <f>IF(H31="Yes",$C31&amp;" ("&amp;H$25&amp;") (Expert Pilot);","")</f>
        <v/>
      </c>
      <c r="AK31" s="746" t="str">
        <f>IF(I31="Yes",$C31&amp;" ("&amp;I$25&amp;") (Expert Pilot);","")</f>
        <v/>
      </c>
      <c r="AL31" s="746" t="str">
        <f>IF(J31="Yes",$C31&amp;" ("&amp;J$25&amp;") (Expert Pilot);","")</f>
        <v/>
      </c>
      <c r="AM31" s="746"/>
      <c r="AN31" s="746"/>
    </row>
    <row r="32" spans="1:40" s="829" customFormat="1" ht="15" thickBot="1">
      <c r="B32" s="32"/>
      <c r="C32" s="80"/>
      <c r="D32" s="80"/>
      <c r="E32" s="855"/>
      <c r="F32" s="855"/>
      <c r="G32" s="855"/>
      <c r="H32" s="855"/>
      <c r="I32" s="855"/>
      <c r="J32" s="855"/>
      <c r="K32" s="855"/>
      <c r="L32" s="855"/>
      <c r="M32" s="35"/>
    </row>
    <row r="33" spans="1:40" ht="15" thickBot="1">
      <c r="A33" s="829"/>
      <c r="B33" s="829"/>
      <c r="C33" s="829"/>
      <c r="D33" s="829"/>
      <c r="E33" s="829"/>
      <c r="F33" s="829"/>
      <c r="G33" s="829"/>
      <c r="H33" s="829"/>
      <c r="I33" s="829"/>
      <c r="J33" s="829"/>
      <c r="K33" s="829"/>
      <c r="L33" s="829"/>
      <c r="M33" s="829"/>
      <c r="N33" s="829"/>
    </row>
    <row r="34" spans="1:40">
      <c r="A34" s="829"/>
      <c r="B34" s="22"/>
      <c r="C34" s="826"/>
      <c r="D34" s="826"/>
      <c r="E34" s="826"/>
      <c r="F34" s="826"/>
      <c r="G34" s="826"/>
      <c r="H34" s="826"/>
      <c r="I34" s="826"/>
      <c r="J34" s="826"/>
      <c r="K34" s="826"/>
      <c r="L34" s="826"/>
      <c r="M34" s="25"/>
      <c r="N34" s="829"/>
    </row>
    <row r="35" spans="1:40" ht="21">
      <c r="A35" s="829"/>
      <c r="B35" s="26"/>
      <c r="C35" s="827" t="s">
        <v>520</v>
      </c>
      <c r="D35" s="827"/>
      <c r="E35" s="824"/>
      <c r="F35" s="824"/>
      <c r="G35" s="824"/>
      <c r="H35" s="824"/>
      <c r="I35" s="824"/>
      <c r="J35" s="824"/>
      <c r="K35" s="824"/>
      <c r="L35" s="824"/>
      <c r="M35" s="29"/>
      <c r="N35" s="829"/>
    </row>
    <row r="36" spans="1:40">
      <c r="B36" s="26"/>
      <c r="C36" s="828"/>
      <c r="D36" s="828"/>
      <c r="E36" s="1797" t="s">
        <v>1381</v>
      </c>
      <c r="F36" s="1797" t="s">
        <v>651</v>
      </c>
      <c r="G36" s="1797" t="s">
        <v>1520</v>
      </c>
      <c r="H36" s="1797" t="s">
        <v>563</v>
      </c>
      <c r="I36" s="1797" t="s">
        <v>531</v>
      </c>
      <c r="J36" s="1797" t="s">
        <v>461</v>
      </c>
      <c r="K36" s="1797" t="str">
        <f>IF(Feats!D$100&lt;&gt;"",Feats!D$100,"")</f>
        <v/>
      </c>
      <c r="L36" s="1797" t="str">
        <f>IF(Feats!D146&lt;&gt;"",Feats!D$101,"")</f>
        <v/>
      </c>
      <c r="M36" s="29"/>
    </row>
    <row r="37" spans="1:40">
      <c r="B37" s="26"/>
      <c r="C37" s="828"/>
      <c r="D37" s="828"/>
      <c r="E37" s="1797"/>
      <c r="F37" s="1797"/>
      <c r="G37" s="1797"/>
      <c r="H37" s="1797"/>
      <c r="I37" s="1797"/>
      <c r="J37" s="1797"/>
      <c r="K37" s="1797"/>
      <c r="L37" s="1797"/>
      <c r="M37" s="29"/>
    </row>
    <row r="38" spans="1:40">
      <c r="B38" s="26"/>
      <c r="C38" s="828"/>
      <c r="D38" s="828"/>
      <c r="E38" s="1797"/>
      <c r="F38" s="1797"/>
      <c r="G38" s="1797"/>
      <c r="H38" s="1797"/>
      <c r="I38" s="1797"/>
      <c r="J38" s="1797"/>
      <c r="K38" s="1797"/>
      <c r="L38" s="1797"/>
      <c r="M38" s="29"/>
    </row>
    <row r="39" spans="1:40">
      <c r="B39" s="26"/>
      <c r="C39" s="828"/>
      <c r="D39" s="828"/>
      <c r="E39" s="1797"/>
      <c r="F39" s="1797"/>
      <c r="G39" s="1797"/>
      <c r="H39" s="1797"/>
      <c r="I39" s="1797"/>
      <c r="J39" s="1797"/>
      <c r="K39" s="1797"/>
      <c r="L39" s="1797"/>
      <c r="M39" s="29"/>
    </row>
    <row r="40" spans="1:40">
      <c r="B40" s="26"/>
      <c r="C40" s="828"/>
      <c r="D40" s="828"/>
      <c r="E40" s="1797"/>
      <c r="F40" s="1797"/>
      <c r="G40" s="1797"/>
      <c r="H40" s="1797"/>
      <c r="I40" s="1797"/>
      <c r="J40" s="1797"/>
      <c r="K40" s="1797"/>
      <c r="L40" s="1797"/>
      <c r="M40" s="29"/>
      <c r="O40" s="829" t="str">
        <f>O41&amp;P41&amp;Q41&amp;R41&amp;S41&amp;T41&amp;U41&amp;V41</f>
        <v/>
      </c>
      <c r="P40" s="829"/>
      <c r="Q40" s="829"/>
      <c r="R40" s="829"/>
      <c r="S40" s="829"/>
      <c r="T40" s="829"/>
      <c r="U40" s="829"/>
      <c r="V40" s="829"/>
      <c r="W40" s="829"/>
      <c r="X40" s="829" t="str">
        <f>X41&amp;Y41&amp;Z41&amp;AA41&amp;AB41&amp;AC41&amp;AD41&amp;AE41</f>
        <v/>
      </c>
      <c r="Y40" s="829"/>
      <c r="Z40" s="829"/>
      <c r="AA40" s="829"/>
      <c r="AB40" s="829"/>
      <c r="AC40" s="829"/>
      <c r="AD40" s="829"/>
      <c r="AE40" s="829"/>
      <c r="AF40" s="829"/>
      <c r="AG40" s="829" t="str">
        <f>AG41&amp;AH41&amp;AI41&amp;AJ41&amp;AK41&amp;AL41&amp;AM41&amp;AN41</f>
        <v/>
      </c>
      <c r="AH40" s="829"/>
      <c r="AI40" s="829"/>
      <c r="AJ40" s="829"/>
      <c r="AK40" s="829"/>
      <c r="AL40" s="829"/>
      <c r="AM40" s="829"/>
      <c r="AN40" s="829"/>
    </row>
    <row r="41" spans="1:40">
      <c r="B41" s="26"/>
      <c r="C41" s="831" t="s">
        <v>4129</v>
      </c>
      <c r="D41" s="831" t="s">
        <v>3808</v>
      </c>
      <c r="E41" s="1798"/>
      <c r="F41" s="1798"/>
      <c r="G41" s="1798"/>
      <c r="H41" s="1798"/>
      <c r="I41" s="1798"/>
      <c r="J41" s="1798"/>
      <c r="K41" s="1798"/>
      <c r="L41" s="1798"/>
      <c r="M41" s="29"/>
      <c r="O41" s="829" t="str">
        <f>O42&amp;O43&amp;O44&amp;O45&amp;O46&amp;O47&amp;O48</f>
        <v/>
      </c>
      <c r="P41" s="829" t="str">
        <f t="shared" ref="P41:V41" si="29">P42&amp;P43&amp;P44&amp;P45&amp;P46&amp;P47&amp;P48</f>
        <v/>
      </c>
      <c r="Q41" s="829" t="str">
        <f t="shared" si="29"/>
        <v/>
      </c>
      <c r="R41" s="829" t="str">
        <f t="shared" si="29"/>
        <v/>
      </c>
      <c r="S41" s="829" t="str">
        <f t="shared" si="29"/>
        <v/>
      </c>
      <c r="T41" s="829" t="str">
        <f t="shared" si="29"/>
        <v/>
      </c>
      <c r="U41" s="829" t="str">
        <f t="shared" si="29"/>
        <v/>
      </c>
      <c r="V41" s="829" t="str">
        <f t="shared" si="29"/>
        <v/>
      </c>
      <c r="W41" s="829"/>
      <c r="X41" s="829" t="str">
        <f>X42&amp;X43&amp;X44&amp;X45&amp;X46&amp;X47&amp;X48</f>
        <v/>
      </c>
      <c r="Y41" s="829" t="str">
        <f t="shared" ref="Y41:AE41" si="30">Y42&amp;Y43&amp;Y44&amp;Y45&amp;Y46&amp;Y47&amp;Y48</f>
        <v/>
      </c>
      <c r="Z41" s="829" t="str">
        <f t="shared" si="30"/>
        <v/>
      </c>
      <c r="AA41" s="829" t="str">
        <f t="shared" si="30"/>
        <v/>
      </c>
      <c r="AB41" s="829" t="str">
        <f t="shared" si="30"/>
        <v/>
      </c>
      <c r="AC41" s="829" t="str">
        <f t="shared" si="30"/>
        <v/>
      </c>
      <c r="AD41" s="829" t="str">
        <f t="shared" si="30"/>
        <v/>
      </c>
      <c r="AE41" s="829" t="str">
        <f t="shared" si="30"/>
        <v/>
      </c>
      <c r="AF41" s="829"/>
      <c r="AG41" s="829" t="str">
        <f>AG42&amp;AG43&amp;AG44&amp;AG45&amp;AG46&amp;AG47&amp;AG48</f>
        <v/>
      </c>
      <c r="AH41" s="829" t="str">
        <f t="shared" ref="AH41:AN41" si="31">AH42&amp;AH43&amp;AH44&amp;AH45&amp;AH46&amp;AH47&amp;AH48</f>
        <v/>
      </c>
      <c r="AI41" s="829" t="str">
        <f t="shared" si="31"/>
        <v/>
      </c>
      <c r="AJ41" s="829" t="str">
        <f t="shared" si="31"/>
        <v/>
      </c>
      <c r="AK41" s="829" t="str">
        <f t="shared" si="31"/>
        <v/>
      </c>
      <c r="AL41" s="829" t="str">
        <f t="shared" si="31"/>
        <v/>
      </c>
      <c r="AM41" s="829" t="str">
        <f t="shared" si="31"/>
        <v/>
      </c>
      <c r="AN41" s="829" t="str">
        <f t="shared" si="31"/>
        <v/>
      </c>
    </row>
    <row r="42" spans="1:40">
      <c r="B42" s="26"/>
      <c r="C42" s="824" t="s">
        <v>3210</v>
      </c>
      <c r="D42" s="833">
        <f>Talents!M906</f>
        <v>0</v>
      </c>
      <c r="E42" s="1341"/>
      <c r="F42" s="825"/>
      <c r="G42" s="825"/>
      <c r="H42" s="825"/>
      <c r="I42" s="825"/>
      <c r="J42" s="825"/>
      <c r="K42" s="825"/>
      <c r="L42" s="825"/>
      <c r="M42" s="29"/>
      <c r="O42" s="746" t="str">
        <f t="shared" ref="O42:T48" si="32">IF(E42="Yes",$C42&amp;" ("&amp;E$8&amp;");","")</f>
        <v/>
      </c>
      <c r="P42" s="746" t="str">
        <f t="shared" si="32"/>
        <v/>
      </c>
      <c r="Q42" s="746" t="str">
        <f t="shared" si="32"/>
        <v/>
      </c>
      <c r="R42" s="746" t="str">
        <f t="shared" si="32"/>
        <v/>
      </c>
      <c r="S42" s="746" t="str">
        <f t="shared" si="32"/>
        <v/>
      </c>
      <c r="T42" s="746" t="str">
        <f t="shared" si="32"/>
        <v/>
      </c>
      <c r="U42" s="746" t="str">
        <f t="shared" ref="U42:V48" si="33">IF(AND(K42="Yes",K$8&lt;&gt;""),$C42&amp;" ("&amp;K$8&amp;");","")</f>
        <v/>
      </c>
      <c r="V42" s="746" t="str">
        <f t="shared" si="33"/>
        <v/>
      </c>
      <c r="W42" s="16" t="s">
        <v>3134</v>
      </c>
      <c r="X42" s="746" t="str">
        <f>IF(O42&lt;&gt;"",$W42&amp;";","")</f>
        <v/>
      </c>
      <c r="Y42" s="746" t="str">
        <f t="shared" ref="Y42:Y48" si="34">IF(P42&lt;&gt;"",$W42&amp;";","")</f>
        <v/>
      </c>
      <c r="Z42" s="746" t="str">
        <f t="shared" ref="Z42:Z48" si="35">IF(Q42&lt;&gt;"",$W42&amp;";","")</f>
        <v/>
      </c>
      <c r="AA42" s="746" t="str">
        <f t="shared" ref="AA42:AA48" si="36">IF(R42&lt;&gt;"",$W42&amp;";","")</f>
        <v/>
      </c>
      <c r="AB42" s="746" t="str">
        <f t="shared" ref="AB42:AB48" si="37">IF(S42&lt;&gt;"",$W42&amp;";","")</f>
        <v/>
      </c>
      <c r="AC42" s="746" t="str">
        <f t="shared" ref="AC42:AC48" si="38">IF(T42&lt;&gt;"",$W42&amp;";","")</f>
        <v/>
      </c>
      <c r="AD42" s="746" t="str">
        <f t="shared" ref="AD42:AD48" si="39">IF(U42&lt;&gt;"",$W42&amp;";","")</f>
        <v/>
      </c>
      <c r="AE42" s="746" t="str">
        <f t="shared" ref="AE42:AE48" si="40">IF(V42&lt;&gt;"",$W42&amp;";","")</f>
        <v/>
      </c>
      <c r="AF42" s="829"/>
      <c r="AG42" s="746" t="str">
        <f t="shared" ref="AG42:AL42" si="41">IF(E42="Yes",$C42&amp;" ("&amp;E$8&amp;") (Critical Master);","")</f>
        <v/>
      </c>
      <c r="AH42" s="746" t="str">
        <f t="shared" si="41"/>
        <v/>
      </c>
      <c r="AI42" s="746" t="str">
        <f t="shared" si="41"/>
        <v/>
      </c>
      <c r="AJ42" s="746" t="str">
        <f t="shared" si="41"/>
        <v/>
      </c>
      <c r="AK42" s="746" t="str">
        <f t="shared" si="41"/>
        <v/>
      </c>
      <c r="AL42" s="746" t="str">
        <f t="shared" si="41"/>
        <v/>
      </c>
      <c r="AM42" s="746" t="str">
        <f>IF(AND(K42="Yes",K$8&lt;&gt;""),$C42&amp;" ("&amp;K$8&amp;") (Critical Master);","")</f>
        <v/>
      </c>
      <c r="AN42" s="746" t="str">
        <f>IF(AND(L42="Yes",L$8&lt;&gt;""),$C42&amp;" ("&amp;L$8&amp;") (Critical Master);","")</f>
        <v/>
      </c>
    </row>
    <row r="43" spans="1:40">
      <c r="B43" s="26"/>
      <c r="C43" s="824" t="s">
        <v>3218</v>
      </c>
      <c r="D43" s="833">
        <f>Talents!M912</f>
        <v>0</v>
      </c>
      <c r="E43" s="825"/>
      <c r="F43" s="825"/>
      <c r="G43" s="825"/>
      <c r="H43" s="825"/>
      <c r="I43" s="825"/>
      <c r="J43" s="825"/>
      <c r="K43" s="825"/>
      <c r="L43" s="825"/>
      <c r="M43" s="29"/>
      <c r="O43" s="746" t="str">
        <f t="shared" si="32"/>
        <v/>
      </c>
      <c r="P43" s="746" t="str">
        <f t="shared" si="32"/>
        <v/>
      </c>
      <c r="Q43" s="746" t="str">
        <f t="shared" si="32"/>
        <v/>
      </c>
      <c r="R43" s="746" t="str">
        <f t="shared" si="32"/>
        <v/>
      </c>
      <c r="S43" s="746" t="str">
        <f t="shared" si="32"/>
        <v/>
      </c>
      <c r="T43" s="746" t="str">
        <f t="shared" si="32"/>
        <v/>
      </c>
      <c r="U43" s="746" t="str">
        <f t="shared" si="33"/>
        <v/>
      </c>
      <c r="V43" s="746" t="str">
        <f t="shared" si="33"/>
        <v/>
      </c>
      <c r="W43" s="16" t="s">
        <v>3217</v>
      </c>
      <c r="X43" s="746" t="str">
        <f t="shared" ref="X43:X48" si="42">IF(O43&lt;&gt;"",$W43&amp;";","")</f>
        <v/>
      </c>
      <c r="Y43" s="746" t="str">
        <f t="shared" si="34"/>
        <v/>
      </c>
      <c r="Z43" s="746" t="str">
        <f t="shared" si="35"/>
        <v/>
      </c>
      <c r="AA43" s="746" t="str">
        <f t="shared" si="36"/>
        <v/>
      </c>
      <c r="AB43" s="746" t="str">
        <f t="shared" si="37"/>
        <v/>
      </c>
      <c r="AC43" s="746" t="str">
        <f t="shared" si="38"/>
        <v/>
      </c>
      <c r="AD43" s="746" t="str">
        <f t="shared" si="39"/>
        <v/>
      </c>
      <c r="AE43" s="746" t="str">
        <f t="shared" si="40"/>
        <v/>
      </c>
      <c r="AF43" s="829"/>
      <c r="AG43" s="746" t="str">
        <f t="shared" ref="AG43:AL43" si="43">IF(E43="Yes",$C43&amp;" ("&amp;E$8&amp;") (Mandalorian Warrior);","")</f>
        <v/>
      </c>
      <c r="AH43" s="746" t="str">
        <f t="shared" si="43"/>
        <v/>
      </c>
      <c r="AI43" s="746" t="str">
        <f t="shared" si="43"/>
        <v/>
      </c>
      <c r="AJ43" s="746" t="str">
        <f t="shared" si="43"/>
        <v/>
      </c>
      <c r="AK43" s="746" t="str">
        <f t="shared" si="43"/>
        <v/>
      </c>
      <c r="AL43" s="746" t="str">
        <f t="shared" si="43"/>
        <v/>
      </c>
      <c r="AM43" s="746" t="str">
        <f>IF(AND(K43="Yes",K$8&lt;&gt;""),$C43&amp;" ("&amp;K$8&amp;") (Mandalorian Warrior);","")</f>
        <v/>
      </c>
      <c r="AN43" s="746" t="str">
        <f>IF(AND(L43="Yes",L$8&lt;&gt;""),$C43&amp;" ("&amp;L$8&amp;") (Mandalorian Warrior);","")</f>
        <v/>
      </c>
    </row>
    <row r="44" spans="1:40">
      <c r="B44" s="26"/>
      <c r="C44" s="824" t="s">
        <v>3229</v>
      </c>
      <c r="D44" s="833">
        <f>Talents!M920</f>
        <v>0</v>
      </c>
      <c r="E44" s="825"/>
      <c r="F44" s="825"/>
      <c r="G44" s="825"/>
      <c r="H44" s="825"/>
      <c r="I44" s="825"/>
      <c r="J44" s="825"/>
      <c r="K44" s="825"/>
      <c r="L44" s="825"/>
      <c r="M44" s="29"/>
      <c r="O44" s="746" t="str">
        <f t="shared" si="32"/>
        <v/>
      </c>
      <c r="P44" s="746" t="str">
        <f t="shared" si="32"/>
        <v/>
      </c>
      <c r="Q44" s="746" t="str">
        <f t="shared" si="32"/>
        <v/>
      </c>
      <c r="R44" s="746" t="str">
        <f t="shared" si="32"/>
        <v/>
      </c>
      <c r="S44" s="746" t="str">
        <f t="shared" si="32"/>
        <v/>
      </c>
      <c r="T44" s="746" t="str">
        <f t="shared" si="32"/>
        <v/>
      </c>
      <c r="U44" s="746" t="str">
        <f t="shared" si="33"/>
        <v/>
      </c>
      <c r="V44" s="746" t="str">
        <f t="shared" si="33"/>
        <v/>
      </c>
      <c r="W44" s="16" t="s">
        <v>3093</v>
      </c>
      <c r="X44" s="746" t="str">
        <f t="shared" si="42"/>
        <v/>
      </c>
      <c r="Y44" s="746" t="str">
        <f t="shared" si="34"/>
        <v/>
      </c>
      <c r="Z44" s="746" t="str">
        <f t="shared" si="35"/>
        <v/>
      </c>
      <c r="AA44" s="746" t="str">
        <f t="shared" si="36"/>
        <v/>
      </c>
      <c r="AB44" s="746" t="str">
        <f t="shared" si="37"/>
        <v/>
      </c>
      <c r="AC44" s="746" t="str">
        <f t="shared" si="38"/>
        <v/>
      </c>
      <c r="AD44" s="746" t="str">
        <f t="shared" si="39"/>
        <v/>
      </c>
      <c r="AE44" s="746" t="str">
        <f t="shared" si="40"/>
        <v/>
      </c>
      <c r="AF44" s="829"/>
      <c r="AG44" s="746" t="str">
        <f t="shared" ref="AG44:AL44" si="44">IF(E44="Yes",$C44&amp;" ("&amp;E$8&amp;") (Melee Specialist);","")</f>
        <v/>
      </c>
      <c r="AH44" s="746" t="str">
        <f t="shared" si="44"/>
        <v/>
      </c>
      <c r="AI44" s="746" t="str">
        <f t="shared" si="44"/>
        <v/>
      </c>
      <c r="AJ44" s="746" t="str">
        <f t="shared" si="44"/>
        <v/>
      </c>
      <c r="AK44" s="746" t="str">
        <f t="shared" si="44"/>
        <v/>
      </c>
      <c r="AL44" s="746" t="str">
        <f t="shared" si="44"/>
        <v/>
      </c>
      <c r="AM44" s="746" t="str">
        <f>IF(AND(K44="Yes",K$8&lt;&gt;""),$C44&amp;" ("&amp;K$8&amp;") (Melee Specialist);","")</f>
        <v/>
      </c>
      <c r="AN44" s="746" t="str">
        <f>IF(AND(L44="Yes",L$8&lt;&gt;""),$C44&amp;" ("&amp;L$8&amp;") (Melee Specialist);","")</f>
        <v/>
      </c>
    </row>
    <row r="45" spans="1:40">
      <c r="B45" s="26"/>
      <c r="C45" s="824" t="s">
        <v>3252</v>
      </c>
      <c r="D45" s="833">
        <f>Talents!M948</f>
        <v>0</v>
      </c>
      <c r="E45" s="1152"/>
      <c r="F45" s="1144"/>
      <c r="G45" s="825"/>
      <c r="H45" s="825"/>
      <c r="I45" s="1101"/>
      <c r="J45" s="825"/>
      <c r="K45" s="1126"/>
      <c r="L45" s="825"/>
      <c r="M45" s="29"/>
      <c r="O45" s="746" t="str">
        <f t="shared" si="32"/>
        <v/>
      </c>
      <c r="P45" s="746" t="str">
        <f t="shared" si="32"/>
        <v/>
      </c>
      <c r="Q45" s="746" t="str">
        <f t="shared" si="32"/>
        <v/>
      </c>
      <c r="R45" s="746" t="str">
        <f t="shared" si="32"/>
        <v/>
      </c>
      <c r="S45" s="746" t="str">
        <f t="shared" si="32"/>
        <v/>
      </c>
      <c r="T45" s="746" t="str">
        <f t="shared" si="32"/>
        <v/>
      </c>
      <c r="U45" s="746" t="str">
        <f t="shared" si="33"/>
        <v/>
      </c>
      <c r="V45" s="746" t="str">
        <f t="shared" si="33"/>
        <v/>
      </c>
      <c r="W45" s="16">
        <v>212</v>
      </c>
      <c r="X45" s="746" t="str">
        <f t="shared" si="42"/>
        <v/>
      </c>
      <c r="Y45" s="746" t="str">
        <f t="shared" si="34"/>
        <v/>
      </c>
      <c r="Z45" s="746" t="str">
        <f t="shared" si="35"/>
        <v/>
      </c>
      <c r="AA45" s="746" t="str">
        <f t="shared" si="36"/>
        <v/>
      </c>
      <c r="AB45" s="746" t="str">
        <f t="shared" si="37"/>
        <v/>
      </c>
      <c r="AC45" s="746" t="str">
        <f t="shared" si="38"/>
        <v/>
      </c>
      <c r="AD45" s="746" t="str">
        <f t="shared" si="39"/>
        <v/>
      </c>
      <c r="AE45" s="746" t="str">
        <f t="shared" si="40"/>
        <v/>
      </c>
      <c r="AF45" s="829"/>
      <c r="AG45" s="746" t="str">
        <f t="shared" ref="AG45:AL48" si="45">IF(E45="Yes",$C45&amp;" ("&amp;E$8&amp;") (Weapon Master);","")</f>
        <v/>
      </c>
      <c r="AH45" s="746" t="str">
        <f t="shared" si="45"/>
        <v/>
      </c>
      <c r="AI45" s="746" t="str">
        <f t="shared" si="45"/>
        <v/>
      </c>
      <c r="AJ45" s="746" t="str">
        <f t="shared" si="45"/>
        <v/>
      </c>
      <c r="AK45" s="746" t="str">
        <f t="shared" si="45"/>
        <v/>
      </c>
      <c r="AL45" s="746" t="str">
        <f t="shared" si="45"/>
        <v/>
      </c>
      <c r="AM45" s="746" t="str">
        <f t="shared" ref="AM45:AN48" si="46">IF(AND(K45="Yes",K$8&lt;&gt;""),$C45&amp;" ("&amp;K$8&amp;") (Weapon Master);","")</f>
        <v/>
      </c>
      <c r="AN45" s="746" t="str">
        <f t="shared" si="46"/>
        <v/>
      </c>
    </row>
    <row r="46" spans="1:40">
      <c r="B46" s="26"/>
      <c r="C46" s="824" t="s">
        <v>3253</v>
      </c>
      <c r="D46" s="833">
        <f>Talents!M949</f>
        <v>0</v>
      </c>
      <c r="E46" s="825"/>
      <c r="F46" s="825"/>
      <c r="G46" s="825"/>
      <c r="H46" s="825"/>
      <c r="I46" s="825"/>
      <c r="J46" s="825"/>
      <c r="K46" s="825"/>
      <c r="L46" s="825"/>
      <c r="M46" s="29"/>
      <c r="O46" s="746" t="str">
        <f t="shared" si="32"/>
        <v/>
      </c>
      <c r="P46" s="746" t="str">
        <f t="shared" si="32"/>
        <v/>
      </c>
      <c r="Q46" s="746" t="str">
        <f t="shared" si="32"/>
        <v/>
      </c>
      <c r="R46" s="746" t="str">
        <f t="shared" si="32"/>
        <v/>
      </c>
      <c r="S46" s="746" t="str">
        <f t="shared" si="32"/>
        <v/>
      </c>
      <c r="T46" s="746" t="str">
        <f t="shared" si="32"/>
        <v/>
      </c>
      <c r="U46" s="746" t="str">
        <f t="shared" si="33"/>
        <v/>
      </c>
      <c r="V46" s="746" t="str">
        <f t="shared" si="33"/>
        <v/>
      </c>
      <c r="W46" s="16">
        <v>212</v>
      </c>
      <c r="X46" s="746" t="str">
        <f t="shared" si="42"/>
        <v/>
      </c>
      <c r="Y46" s="746" t="str">
        <f t="shared" si="34"/>
        <v/>
      </c>
      <c r="Z46" s="746" t="str">
        <f t="shared" si="35"/>
        <v/>
      </c>
      <c r="AA46" s="746" t="str">
        <f t="shared" si="36"/>
        <v/>
      </c>
      <c r="AB46" s="746" t="str">
        <f t="shared" si="37"/>
        <v/>
      </c>
      <c r="AC46" s="746" t="str">
        <f t="shared" si="38"/>
        <v/>
      </c>
      <c r="AD46" s="746" t="str">
        <f t="shared" si="39"/>
        <v/>
      </c>
      <c r="AE46" s="746" t="str">
        <f t="shared" si="40"/>
        <v/>
      </c>
      <c r="AF46" s="829"/>
      <c r="AG46" s="746" t="str">
        <f t="shared" si="45"/>
        <v/>
      </c>
      <c r="AH46" s="746" t="str">
        <f t="shared" si="45"/>
        <v/>
      </c>
      <c r="AI46" s="746" t="str">
        <f t="shared" si="45"/>
        <v/>
      </c>
      <c r="AJ46" s="746" t="str">
        <f t="shared" si="45"/>
        <v/>
      </c>
      <c r="AK46" s="746" t="str">
        <f t="shared" si="45"/>
        <v/>
      </c>
      <c r="AL46" s="746" t="str">
        <f t="shared" si="45"/>
        <v/>
      </c>
      <c r="AM46" s="746" t="str">
        <f t="shared" si="46"/>
        <v/>
      </c>
      <c r="AN46" s="746" t="str">
        <f t="shared" si="46"/>
        <v/>
      </c>
    </row>
    <row r="47" spans="1:40">
      <c r="B47" s="26"/>
      <c r="C47" s="824" t="s">
        <v>3254</v>
      </c>
      <c r="D47" s="833">
        <f>Talents!M950</f>
        <v>0</v>
      </c>
      <c r="E47" s="825"/>
      <c r="F47" s="825"/>
      <c r="G47" s="825"/>
      <c r="H47" s="825"/>
      <c r="I47" s="825"/>
      <c r="J47" s="825"/>
      <c r="K47" s="825"/>
      <c r="L47" s="825"/>
      <c r="M47" s="29"/>
      <c r="O47" s="746" t="str">
        <f t="shared" si="32"/>
        <v/>
      </c>
      <c r="P47" s="746" t="str">
        <f t="shared" si="32"/>
        <v/>
      </c>
      <c r="Q47" s="746" t="str">
        <f t="shared" si="32"/>
        <v/>
      </c>
      <c r="R47" s="746" t="str">
        <f t="shared" si="32"/>
        <v/>
      </c>
      <c r="S47" s="746" t="str">
        <f t="shared" si="32"/>
        <v/>
      </c>
      <c r="T47" s="746" t="str">
        <f t="shared" si="32"/>
        <v/>
      </c>
      <c r="U47" s="746" t="str">
        <f t="shared" si="33"/>
        <v/>
      </c>
      <c r="V47" s="746" t="str">
        <f t="shared" si="33"/>
        <v/>
      </c>
      <c r="W47" s="16">
        <v>212</v>
      </c>
      <c r="X47" s="746" t="str">
        <f t="shared" si="42"/>
        <v/>
      </c>
      <c r="Y47" s="746" t="str">
        <f t="shared" si="34"/>
        <v/>
      </c>
      <c r="Z47" s="746" t="str">
        <f t="shared" si="35"/>
        <v/>
      </c>
      <c r="AA47" s="746" t="str">
        <f t="shared" si="36"/>
        <v/>
      </c>
      <c r="AB47" s="746" t="str">
        <f t="shared" si="37"/>
        <v/>
      </c>
      <c r="AC47" s="746" t="str">
        <f t="shared" si="38"/>
        <v/>
      </c>
      <c r="AD47" s="746" t="str">
        <f t="shared" si="39"/>
        <v/>
      </c>
      <c r="AE47" s="746" t="str">
        <f t="shared" si="40"/>
        <v/>
      </c>
      <c r="AF47" s="829"/>
      <c r="AG47" s="746" t="str">
        <f t="shared" si="45"/>
        <v/>
      </c>
      <c r="AH47" s="746" t="str">
        <f t="shared" si="45"/>
        <v/>
      </c>
      <c r="AI47" s="746" t="str">
        <f t="shared" si="45"/>
        <v/>
      </c>
      <c r="AJ47" s="746" t="str">
        <f t="shared" si="45"/>
        <v/>
      </c>
      <c r="AK47" s="746" t="str">
        <f t="shared" si="45"/>
        <v/>
      </c>
      <c r="AL47" s="746" t="str">
        <f t="shared" si="45"/>
        <v/>
      </c>
      <c r="AM47" s="746" t="str">
        <f t="shared" si="46"/>
        <v/>
      </c>
      <c r="AN47" s="746" t="str">
        <f t="shared" si="46"/>
        <v/>
      </c>
    </row>
    <row r="48" spans="1:40">
      <c r="B48" s="26"/>
      <c r="C48" s="824" t="s">
        <v>3255</v>
      </c>
      <c r="D48" s="833">
        <f>Talents!M951</f>
        <v>0</v>
      </c>
      <c r="E48" s="825"/>
      <c r="F48" s="825"/>
      <c r="G48" s="825"/>
      <c r="H48" s="825"/>
      <c r="I48" s="825"/>
      <c r="J48" s="825"/>
      <c r="K48" s="1126"/>
      <c r="L48" s="825"/>
      <c r="M48" s="29"/>
      <c r="O48" s="746" t="str">
        <f t="shared" si="32"/>
        <v/>
      </c>
      <c r="P48" s="746" t="str">
        <f t="shared" si="32"/>
        <v/>
      </c>
      <c r="Q48" s="746" t="str">
        <f t="shared" si="32"/>
        <v/>
      </c>
      <c r="R48" s="746" t="str">
        <f t="shared" si="32"/>
        <v/>
      </c>
      <c r="S48" s="746" t="str">
        <f t="shared" si="32"/>
        <v/>
      </c>
      <c r="T48" s="746" t="str">
        <f t="shared" si="32"/>
        <v/>
      </c>
      <c r="U48" s="746" t="str">
        <f t="shared" si="33"/>
        <v/>
      </c>
      <c r="V48" s="746" t="str">
        <f t="shared" si="33"/>
        <v/>
      </c>
      <c r="W48" s="16">
        <v>212</v>
      </c>
      <c r="X48" s="746" t="str">
        <f t="shared" si="42"/>
        <v/>
      </c>
      <c r="Y48" s="746" t="str">
        <f t="shared" si="34"/>
        <v/>
      </c>
      <c r="Z48" s="746" t="str">
        <f t="shared" si="35"/>
        <v/>
      </c>
      <c r="AA48" s="746" t="str">
        <f t="shared" si="36"/>
        <v/>
      </c>
      <c r="AB48" s="746" t="str">
        <f t="shared" si="37"/>
        <v/>
      </c>
      <c r="AC48" s="746" t="str">
        <f t="shared" si="38"/>
        <v/>
      </c>
      <c r="AD48" s="746" t="str">
        <f t="shared" si="39"/>
        <v/>
      </c>
      <c r="AE48" s="746" t="str">
        <f t="shared" si="40"/>
        <v/>
      </c>
      <c r="AF48" s="829"/>
      <c r="AG48" s="746" t="str">
        <f t="shared" si="45"/>
        <v/>
      </c>
      <c r="AH48" s="746" t="str">
        <f t="shared" si="45"/>
        <v/>
      </c>
      <c r="AI48" s="746" t="str">
        <f t="shared" si="45"/>
        <v/>
      </c>
      <c r="AJ48" s="746" t="str">
        <f t="shared" si="45"/>
        <v/>
      </c>
      <c r="AK48" s="746" t="str">
        <f t="shared" si="45"/>
        <v/>
      </c>
      <c r="AL48" s="746" t="str">
        <f t="shared" si="45"/>
        <v/>
      </c>
      <c r="AM48" s="746" t="str">
        <f t="shared" si="46"/>
        <v/>
      </c>
      <c r="AN48" s="746" t="str">
        <f t="shared" si="46"/>
        <v/>
      </c>
    </row>
    <row r="49" spans="1:44" ht="15" thickBot="1">
      <c r="B49" s="32"/>
      <c r="C49" s="830"/>
      <c r="D49" s="830"/>
      <c r="E49" s="830"/>
      <c r="F49" s="830"/>
      <c r="G49" s="830"/>
      <c r="H49" s="830"/>
      <c r="I49" s="830"/>
      <c r="J49" s="830"/>
      <c r="K49" s="830"/>
      <c r="L49" s="830"/>
      <c r="M49" s="35"/>
    </row>
    <row r="50" spans="1:44" ht="15" thickBot="1">
      <c r="C50" s="829"/>
    </row>
    <row r="51" spans="1:44">
      <c r="A51" s="829"/>
      <c r="B51" s="22"/>
      <c r="C51" s="826"/>
      <c r="D51" s="826"/>
      <c r="E51" s="826"/>
      <c r="F51" s="826"/>
      <c r="G51" s="826"/>
      <c r="H51" s="826"/>
      <c r="I51" s="826"/>
      <c r="J51" s="826"/>
      <c r="K51" s="826"/>
      <c r="L51" s="826"/>
      <c r="M51" s="25"/>
      <c r="N51" s="829"/>
    </row>
    <row r="52" spans="1:44" ht="21">
      <c r="A52" s="829"/>
      <c r="B52" s="26"/>
      <c r="C52" s="827" t="s">
        <v>956</v>
      </c>
      <c r="D52" s="827"/>
      <c r="E52" s="824"/>
      <c r="F52" s="824"/>
      <c r="G52" s="824"/>
      <c r="H52" s="824"/>
      <c r="I52" s="824"/>
      <c r="J52" s="824"/>
      <c r="K52" s="824"/>
      <c r="L52" s="824"/>
      <c r="M52" s="29"/>
      <c r="N52" s="829"/>
    </row>
    <row r="53" spans="1:44">
      <c r="A53" s="829"/>
      <c r="B53" s="26"/>
      <c r="C53" s="828"/>
      <c r="D53" s="828"/>
      <c r="E53" s="1797" t="s">
        <v>1381</v>
      </c>
      <c r="F53" s="1797" t="s">
        <v>651</v>
      </c>
      <c r="G53" s="1797" t="s">
        <v>1520</v>
      </c>
      <c r="H53" s="1797" t="s">
        <v>563</v>
      </c>
      <c r="I53" s="1797" t="s">
        <v>531</v>
      </c>
      <c r="J53" s="1797" t="s">
        <v>461</v>
      </c>
      <c r="K53" s="1797" t="str">
        <f>IF(Feats!D$100&lt;&gt;"",Feats!D$100,"")</f>
        <v/>
      </c>
      <c r="L53" s="1797" t="str">
        <f>IF(Feats!D171&lt;&gt;"",Feats!D$101,"")</f>
        <v/>
      </c>
      <c r="M53" s="29"/>
      <c r="N53" s="829"/>
    </row>
    <row r="54" spans="1:44">
      <c r="A54" s="829"/>
      <c r="B54" s="26"/>
      <c r="C54" s="828"/>
      <c r="D54" s="828"/>
      <c r="E54" s="1797"/>
      <c r="F54" s="1797"/>
      <c r="G54" s="1797"/>
      <c r="H54" s="1797"/>
      <c r="I54" s="1797"/>
      <c r="J54" s="1797"/>
      <c r="K54" s="1797"/>
      <c r="L54" s="1797"/>
      <c r="M54" s="29"/>
      <c r="N54" s="829"/>
    </row>
    <row r="55" spans="1:44">
      <c r="A55" s="829"/>
      <c r="B55" s="26"/>
      <c r="C55" s="828"/>
      <c r="D55" s="828"/>
      <c r="E55" s="1797"/>
      <c r="F55" s="1797"/>
      <c r="G55" s="1797"/>
      <c r="H55" s="1797"/>
      <c r="I55" s="1797"/>
      <c r="J55" s="1797"/>
      <c r="K55" s="1797"/>
      <c r="L55" s="1797"/>
      <c r="M55" s="29"/>
      <c r="N55" s="829"/>
    </row>
    <row r="56" spans="1:44">
      <c r="A56" s="829"/>
      <c r="B56" s="26"/>
      <c r="C56" s="828"/>
      <c r="D56" s="828"/>
      <c r="E56" s="1797"/>
      <c r="F56" s="1797"/>
      <c r="G56" s="1797"/>
      <c r="H56" s="1797"/>
      <c r="I56" s="1797"/>
      <c r="J56" s="1797"/>
      <c r="K56" s="1797"/>
      <c r="L56" s="1797"/>
      <c r="M56" s="29"/>
      <c r="N56" s="829"/>
    </row>
    <row r="57" spans="1:44">
      <c r="A57" s="829"/>
      <c r="B57" s="26"/>
      <c r="C57" s="828"/>
      <c r="D57" s="828"/>
      <c r="E57" s="1797"/>
      <c r="F57" s="1797"/>
      <c r="G57" s="1797"/>
      <c r="H57" s="1797"/>
      <c r="I57" s="1797"/>
      <c r="J57" s="1797"/>
      <c r="K57" s="1797"/>
      <c r="L57" s="1797"/>
      <c r="M57" s="29"/>
      <c r="N57" s="829"/>
    </row>
    <row r="58" spans="1:44">
      <c r="A58" s="829"/>
      <c r="B58" s="26"/>
      <c r="C58" s="831" t="s">
        <v>4129</v>
      </c>
      <c r="D58" s="831" t="s">
        <v>3808</v>
      </c>
      <c r="E58" s="1798"/>
      <c r="F58" s="1798"/>
      <c r="G58" s="1798"/>
      <c r="H58" s="1798"/>
      <c r="I58" s="1798"/>
      <c r="J58" s="1798"/>
      <c r="K58" s="1798"/>
      <c r="L58" s="1798"/>
      <c r="M58" s="29"/>
      <c r="N58" s="829"/>
      <c r="O58" s="829" t="str">
        <f>O59&amp;P59&amp;Q59&amp;R59&amp;S59&amp;T59&amp;U59&amp;V59&amp;O86</f>
        <v/>
      </c>
      <c r="P58" s="829"/>
      <c r="Q58" s="829"/>
      <c r="R58" s="829"/>
      <c r="S58" s="829"/>
      <c r="T58" s="829"/>
      <c r="U58" s="829"/>
      <c r="V58" s="829"/>
      <c r="W58" s="829"/>
      <c r="X58" s="829" t="str">
        <f>X59&amp;Y59&amp;Z59&amp;AA59&amp;AB59&amp;AC59&amp;AD59&amp;AE59&amp;X86</f>
        <v/>
      </c>
      <c r="Y58" s="829"/>
      <c r="Z58" s="829"/>
      <c r="AA58" s="829"/>
      <c r="AB58" s="829"/>
      <c r="AC58" s="829"/>
      <c r="AD58" s="829"/>
      <c r="AE58" s="829"/>
      <c r="AF58" s="829"/>
      <c r="AG58" s="829" t="str">
        <f>AG59&amp;AH59&amp;AI59&amp;AJ59&amp;AK59&amp;AL59&amp;AM59&amp;AN59&amp;AG86</f>
        <v/>
      </c>
    </row>
    <row r="59" spans="1:44" s="829" customFormat="1">
      <c r="B59" s="26"/>
      <c r="C59" s="824" t="s">
        <v>3291</v>
      </c>
      <c r="D59" s="833">
        <f>Talents!M1002</f>
        <v>0</v>
      </c>
      <c r="E59" s="825"/>
      <c r="F59" s="825"/>
      <c r="G59" s="1144"/>
      <c r="H59" s="825"/>
      <c r="I59" s="825"/>
      <c r="J59" s="825"/>
      <c r="K59" s="825"/>
      <c r="L59" s="825"/>
      <c r="M59" s="29"/>
      <c r="O59" s="746" t="str">
        <f t="shared" ref="O59:T59" si="47">IF(E59="Yes",$C59&amp;" ("&amp;E$8&amp;");","")</f>
        <v/>
      </c>
      <c r="P59" s="746" t="str">
        <f t="shared" si="47"/>
        <v/>
      </c>
      <c r="Q59" s="746" t="str">
        <f t="shared" si="47"/>
        <v/>
      </c>
      <c r="R59" s="746" t="str">
        <f t="shared" si="47"/>
        <v/>
      </c>
      <c r="S59" s="746" t="str">
        <f t="shared" si="47"/>
        <v/>
      </c>
      <c r="T59" s="746" t="str">
        <f t="shared" si="47"/>
        <v/>
      </c>
      <c r="U59" s="746" t="str">
        <f>IF(AND(K59="Yes",K$8&lt;&gt;""),$C59&amp;" ("&amp;K$8&amp;");","")</f>
        <v/>
      </c>
      <c r="V59" s="746" t="str">
        <f>IF(AND(L59="Yes",L$8&lt;&gt;""),$C59&amp;" ("&amp;L$8&amp;");","")</f>
        <v/>
      </c>
      <c r="W59" s="16" t="s">
        <v>3292</v>
      </c>
      <c r="X59" s="746" t="str">
        <f t="shared" ref="X59:AE59" si="48">IF(O59&lt;&gt;"",$W59&amp;";","")</f>
        <v/>
      </c>
      <c r="Y59" s="746" t="str">
        <f t="shared" si="48"/>
        <v/>
      </c>
      <c r="Z59" s="746" t="str">
        <f t="shared" si="48"/>
        <v/>
      </c>
      <c r="AA59" s="746" t="str">
        <f t="shared" si="48"/>
        <v/>
      </c>
      <c r="AB59" s="746" t="str">
        <f t="shared" si="48"/>
        <v/>
      </c>
      <c r="AC59" s="746" t="str">
        <f t="shared" si="48"/>
        <v/>
      </c>
      <c r="AD59" s="746" t="str">
        <f t="shared" si="48"/>
        <v/>
      </c>
      <c r="AE59" s="746" t="str">
        <f t="shared" si="48"/>
        <v/>
      </c>
      <c r="AG59" s="746" t="str">
        <f t="shared" ref="AG59:AL59" si="49">IF(E59="Yes",$C59&amp;" ("&amp;E$8&amp;") (Gladiatorial Combat);","")</f>
        <v/>
      </c>
      <c r="AH59" s="746" t="str">
        <f t="shared" si="49"/>
        <v/>
      </c>
      <c r="AI59" s="746" t="str">
        <f t="shared" si="49"/>
        <v/>
      </c>
      <c r="AJ59" s="746" t="str">
        <f t="shared" si="49"/>
        <v/>
      </c>
      <c r="AK59" s="746" t="str">
        <f t="shared" si="49"/>
        <v/>
      </c>
      <c r="AL59" s="746" t="str">
        <f t="shared" si="49"/>
        <v/>
      </c>
      <c r="AM59" s="746" t="str">
        <f>IF(AND(K59="Yes",K$8&lt;&gt;""),$C59&amp;" ("&amp;K$8&amp;") (Gladiatorial Combat);","")</f>
        <v/>
      </c>
      <c r="AN59" s="746" t="str">
        <f>IF(AND(L59="Yes",L$8&lt;&gt;""),$C59&amp;" ("&amp;L$8&amp;") (Gladiatorial Combat);","")</f>
        <v/>
      </c>
    </row>
    <row r="60" spans="1:44" ht="15" thickBot="1">
      <c r="A60" s="829"/>
      <c r="B60" s="32"/>
      <c r="C60" s="830"/>
      <c r="D60" s="830"/>
      <c r="E60" s="830"/>
      <c r="F60" s="830"/>
      <c r="G60" s="830"/>
      <c r="H60" s="830"/>
      <c r="I60" s="830"/>
      <c r="J60" s="830"/>
      <c r="K60" s="830"/>
      <c r="L60" s="830"/>
      <c r="M60" s="35"/>
      <c r="N60" s="829"/>
    </row>
    <row r="61" spans="1:44" ht="15" thickBot="1"/>
    <row r="62" spans="1:44">
      <c r="B62" s="22"/>
      <c r="C62" s="1146"/>
      <c r="D62" s="1146"/>
      <c r="E62" s="1146"/>
      <c r="F62" s="1146"/>
      <c r="G62" s="1146"/>
      <c r="H62" s="1146"/>
      <c r="I62" s="1146"/>
      <c r="J62" s="1146"/>
      <c r="K62" s="1146"/>
      <c r="L62" s="1146"/>
      <c r="M62" s="25"/>
    </row>
    <row r="63" spans="1:44" ht="21">
      <c r="B63" s="26"/>
      <c r="C63" s="1147" t="s">
        <v>667</v>
      </c>
      <c r="D63" s="1143"/>
      <c r="E63" s="1151" t="str">
        <f>COUNTIF(E64:E75,"Yes")&amp;"/"&amp;StolenForms</f>
        <v>0/0</v>
      </c>
      <c r="F63" s="512">
        <f>COUNTIF(E64:E75,"Yes")</f>
        <v>0</v>
      </c>
      <c r="G63" s="1143"/>
      <c r="H63" s="1143"/>
      <c r="I63" s="1143"/>
      <c r="J63" s="1143"/>
      <c r="K63" s="1143"/>
      <c r="L63" s="1143"/>
      <c r="M63" s="29"/>
      <c r="P63" s="726" t="str">
        <f>P64</f>
        <v/>
      </c>
      <c r="R63" s="726" t="str">
        <f>R64</f>
        <v/>
      </c>
      <c r="AQ63" s="1148"/>
      <c r="AR63" s="1148"/>
    </row>
    <row r="64" spans="1:44">
      <c r="B64" s="26"/>
      <c r="C64" s="1145" t="s">
        <v>3549</v>
      </c>
      <c r="D64" s="1143"/>
      <c r="E64" s="1378"/>
      <c r="F64" s="1143"/>
      <c r="G64" s="1145" t="s">
        <v>3413</v>
      </c>
      <c r="H64" s="1143"/>
      <c r="I64" s="1143"/>
      <c r="J64" s="1143"/>
      <c r="K64" s="1143"/>
      <c r="L64" s="1143"/>
      <c r="M64" s="29"/>
      <c r="O64" s="726" t="str">
        <f>IF(E64&lt;&gt;"",G64,"")</f>
        <v/>
      </c>
      <c r="P64" s="1148" t="str">
        <f t="shared" ref="P64:P74" si="50">IF(O64&lt;&gt;"",O64&amp;IF(P65&lt;&gt;"",", "&amp;P65,""),P65)</f>
        <v/>
      </c>
      <c r="Q64" s="1148" t="s">
        <v>3550</v>
      </c>
      <c r="R64" s="1148" t="str">
        <f t="shared" ref="R64:R74" si="51">IF(O64&lt;&gt;"",Q64&amp;IF(R65&lt;&gt;"",", "&amp;R65,""),R65)</f>
        <v/>
      </c>
      <c r="AQ64" s="1148"/>
      <c r="AR64" s="1148"/>
    </row>
    <row r="65" spans="2:44">
      <c r="B65" s="26"/>
      <c r="C65" s="1143"/>
      <c r="D65" s="1143"/>
      <c r="E65" s="1150"/>
      <c r="F65" s="1143"/>
      <c r="G65" s="1145" t="s">
        <v>3414</v>
      </c>
      <c r="H65" s="1145"/>
      <c r="I65" s="1143"/>
      <c r="J65" s="1143"/>
      <c r="K65" s="1143"/>
      <c r="L65" s="1143"/>
      <c r="M65" s="29"/>
      <c r="O65" s="1148" t="str">
        <f>IF(E65&lt;&gt;"",G65,"")</f>
        <v/>
      </c>
      <c r="P65" s="1148" t="str">
        <f t="shared" si="50"/>
        <v/>
      </c>
      <c r="Q65" s="1148" t="s">
        <v>3550</v>
      </c>
      <c r="R65" s="1148" t="str">
        <f t="shared" si="51"/>
        <v/>
      </c>
      <c r="AQ65" s="1148"/>
      <c r="AR65" s="1148"/>
    </row>
    <row r="66" spans="2:44">
      <c r="B66" s="26"/>
      <c r="C66" s="1143"/>
      <c r="D66" s="1143"/>
      <c r="E66" s="1372"/>
      <c r="F66" s="1143"/>
      <c r="G66" s="1145" t="s">
        <v>3415</v>
      </c>
      <c r="H66" s="1145"/>
      <c r="I66" s="1143"/>
      <c r="J66" s="1143"/>
      <c r="K66" s="1143"/>
      <c r="L66" s="1143"/>
      <c r="M66" s="29"/>
      <c r="O66" s="1148" t="str">
        <f>IF(E66&lt;&gt;"",G66,"")</f>
        <v/>
      </c>
      <c r="P66" s="1148" t="str">
        <f t="shared" si="50"/>
        <v/>
      </c>
      <c r="Q66" s="1148" t="s">
        <v>3550</v>
      </c>
      <c r="R66" s="1148" t="str">
        <f t="shared" si="51"/>
        <v/>
      </c>
      <c r="AQ66" s="1148"/>
      <c r="AR66" s="1148"/>
    </row>
    <row r="67" spans="2:44">
      <c r="B67" s="26"/>
      <c r="C67" s="1143"/>
      <c r="D67" s="1143"/>
      <c r="E67" s="1372"/>
      <c r="F67" s="1143"/>
      <c r="G67" s="1145"/>
      <c r="H67" s="1145" t="s">
        <v>3416</v>
      </c>
      <c r="I67" s="1143"/>
      <c r="J67" s="1143"/>
      <c r="K67" s="1143"/>
      <c r="L67" s="1143"/>
      <c r="M67" s="29"/>
      <c r="O67" s="1148" t="str">
        <f>IF(E67&lt;&gt;"",H67,"")</f>
        <v/>
      </c>
      <c r="P67" s="1148" t="str">
        <f t="shared" si="50"/>
        <v/>
      </c>
      <c r="Q67" s="1148" t="s">
        <v>3550</v>
      </c>
      <c r="R67" s="1148" t="str">
        <f t="shared" si="51"/>
        <v/>
      </c>
      <c r="AQ67" s="1148"/>
      <c r="AR67" s="1148"/>
    </row>
    <row r="68" spans="2:44">
      <c r="B68" s="26"/>
      <c r="C68" s="1143"/>
      <c r="D68" s="1143"/>
      <c r="E68" s="1150"/>
      <c r="F68" s="1143"/>
      <c r="G68" s="1145" t="s">
        <v>3417</v>
      </c>
      <c r="H68" s="1145"/>
      <c r="I68" s="1143"/>
      <c r="J68" s="1143"/>
      <c r="K68" s="1143"/>
      <c r="L68" s="1143"/>
      <c r="M68" s="29"/>
      <c r="O68" s="1148" t="str">
        <f>IF(E68&lt;&gt;"",G68,"")</f>
        <v/>
      </c>
      <c r="P68" s="1148" t="str">
        <f t="shared" si="50"/>
        <v/>
      </c>
      <c r="Q68" s="1148" t="s">
        <v>3550</v>
      </c>
      <c r="R68" s="1148" t="str">
        <f t="shared" si="51"/>
        <v/>
      </c>
      <c r="AQ68" s="1148"/>
      <c r="AR68" s="1148"/>
    </row>
    <row r="69" spans="2:44">
      <c r="B69" s="26"/>
      <c r="C69" s="1143"/>
      <c r="D69" s="1143"/>
      <c r="E69" s="1150"/>
      <c r="F69" s="1143"/>
      <c r="G69" s="1145" t="s">
        <v>3418</v>
      </c>
      <c r="H69" s="1145"/>
      <c r="I69" s="1143"/>
      <c r="J69" s="1143"/>
      <c r="K69" s="1143"/>
      <c r="L69" s="1143"/>
      <c r="M69" s="29"/>
      <c r="O69" s="1148" t="str">
        <f>IF(E69&lt;&gt;"",G69,"")</f>
        <v/>
      </c>
      <c r="P69" s="1148" t="str">
        <f t="shared" si="50"/>
        <v/>
      </c>
      <c r="Q69" s="1148" t="s">
        <v>3550</v>
      </c>
      <c r="R69" s="1148" t="str">
        <f t="shared" si="51"/>
        <v/>
      </c>
      <c r="AQ69" s="1148"/>
      <c r="AR69" s="1148"/>
    </row>
    <row r="70" spans="2:44">
      <c r="B70" s="26"/>
      <c r="C70" s="1143"/>
      <c r="D70" s="1143"/>
      <c r="E70" s="1150"/>
      <c r="F70" s="1143"/>
      <c r="G70" s="1145"/>
      <c r="H70" s="1145" t="s">
        <v>3419</v>
      </c>
      <c r="I70" s="1143"/>
      <c r="J70" s="1143"/>
      <c r="K70" s="1143"/>
      <c r="L70" s="1143"/>
      <c r="M70" s="29"/>
      <c r="O70" s="1148" t="str">
        <f>IF(E70&lt;&gt;"",H70,"")</f>
        <v/>
      </c>
      <c r="P70" s="1148" t="str">
        <f t="shared" si="50"/>
        <v/>
      </c>
      <c r="Q70" s="1148" t="s">
        <v>3550</v>
      </c>
      <c r="R70" s="1148" t="str">
        <f t="shared" si="51"/>
        <v/>
      </c>
      <c r="AQ70" s="1148"/>
      <c r="AR70" s="1148"/>
    </row>
    <row r="71" spans="2:44">
      <c r="B71" s="26"/>
      <c r="C71" s="1143"/>
      <c r="D71" s="1143"/>
      <c r="E71" s="1150"/>
      <c r="F71" s="1143"/>
      <c r="G71" s="1145" t="s">
        <v>3420</v>
      </c>
      <c r="H71" s="1145"/>
      <c r="I71" s="1143"/>
      <c r="J71" s="1143"/>
      <c r="K71" s="1143"/>
      <c r="L71" s="1143"/>
      <c r="M71" s="29"/>
      <c r="O71" s="1148" t="str">
        <f>IF(E71&lt;&gt;"",G71,"")</f>
        <v/>
      </c>
      <c r="P71" s="1148" t="str">
        <f t="shared" si="50"/>
        <v/>
      </c>
      <c r="Q71" s="1148" t="s">
        <v>3550</v>
      </c>
      <c r="R71" s="1148" t="str">
        <f t="shared" si="51"/>
        <v/>
      </c>
      <c r="AQ71" s="1148"/>
      <c r="AR71" s="1148"/>
    </row>
    <row r="72" spans="2:44">
      <c r="B72" s="26"/>
      <c r="C72" s="1143"/>
      <c r="D72" s="1143"/>
      <c r="E72" s="1150"/>
      <c r="F72" s="1143"/>
      <c r="G72" s="1145" t="s">
        <v>3421</v>
      </c>
      <c r="H72" s="1145"/>
      <c r="I72" s="1143"/>
      <c r="J72" s="1143"/>
      <c r="K72" s="1143"/>
      <c r="L72" s="1143"/>
      <c r="M72" s="29"/>
      <c r="O72" s="1148" t="str">
        <f>IF(E72&lt;&gt;"",G72,"")</f>
        <v/>
      </c>
      <c r="P72" s="1148" t="str">
        <f t="shared" si="50"/>
        <v/>
      </c>
      <c r="Q72" s="1148" t="s">
        <v>3550</v>
      </c>
      <c r="R72" s="1148" t="str">
        <f t="shared" si="51"/>
        <v/>
      </c>
      <c r="AQ72" s="1148"/>
      <c r="AR72" s="1148"/>
    </row>
    <row r="73" spans="2:44">
      <c r="B73" s="26"/>
      <c r="C73" s="1143"/>
      <c r="D73" s="1143"/>
      <c r="E73" s="1150"/>
      <c r="F73" s="1143"/>
      <c r="G73" s="1145" t="s">
        <v>3422</v>
      </c>
      <c r="H73" s="1145"/>
      <c r="I73" s="1143"/>
      <c r="J73" s="1143"/>
      <c r="K73" s="1143"/>
      <c r="L73" s="1143"/>
      <c r="M73" s="29"/>
      <c r="O73" s="1148" t="str">
        <f>IF(E73&lt;&gt;"",G73,"")</f>
        <v/>
      </c>
      <c r="P73" s="1148" t="str">
        <f t="shared" si="50"/>
        <v/>
      </c>
      <c r="Q73" s="1148" t="s">
        <v>3550</v>
      </c>
      <c r="R73" s="1148" t="str">
        <f t="shared" si="51"/>
        <v/>
      </c>
      <c r="AQ73" s="1148"/>
      <c r="AR73" s="1148"/>
    </row>
    <row r="74" spans="2:44">
      <c r="B74" s="26"/>
      <c r="C74" s="1143"/>
      <c r="D74" s="1143"/>
      <c r="E74" s="1150"/>
      <c r="F74" s="1143"/>
      <c r="G74" s="1145" t="s">
        <v>3423</v>
      </c>
      <c r="H74" s="1145"/>
      <c r="I74" s="1143"/>
      <c r="J74" s="1143"/>
      <c r="K74" s="1143"/>
      <c r="L74" s="1143"/>
      <c r="M74" s="29"/>
      <c r="O74" s="1148" t="str">
        <f>IF(E74&lt;&gt;"",G74,"")</f>
        <v/>
      </c>
      <c r="P74" s="1148" t="str">
        <f t="shared" si="50"/>
        <v/>
      </c>
      <c r="Q74" s="1148" t="s">
        <v>3550</v>
      </c>
      <c r="R74" s="1148" t="str">
        <f t="shared" si="51"/>
        <v/>
      </c>
      <c r="AQ74" s="1148"/>
      <c r="AR74" s="1148"/>
    </row>
    <row r="75" spans="2:44">
      <c r="B75" s="26"/>
      <c r="C75" s="1143"/>
      <c r="D75" s="1143"/>
      <c r="E75" s="1150"/>
      <c r="F75" s="1143"/>
      <c r="G75" s="1145" t="s">
        <v>3424</v>
      </c>
      <c r="H75" s="1145"/>
      <c r="I75" s="1143"/>
      <c r="J75" s="1143"/>
      <c r="K75" s="1143"/>
      <c r="L75" s="1143"/>
      <c r="M75" s="29"/>
      <c r="O75" s="1148" t="str">
        <f>IF(E75&lt;&gt;"",G75,"")</f>
        <v/>
      </c>
      <c r="P75" s="726" t="str">
        <f>IF(O75&lt;&gt;"",O75&amp;IF(P76&lt;&gt;"",", "&amp;P76,""),P76)</f>
        <v/>
      </c>
      <c r="Q75" s="1148" t="s">
        <v>3550</v>
      </c>
      <c r="R75" s="1148" t="str">
        <f>IF(O75&lt;&gt;"",Q75&amp;IF(R76&lt;&gt;"",", "&amp;R76,""),R76)</f>
        <v/>
      </c>
    </row>
    <row r="76" spans="2:44" ht="15" thickBot="1">
      <c r="B76" s="32"/>
      <c r="C76" s="1149"/>
      <c r="D76" s="1149"/>
      <c r="E76" s="1149"/>
      <c r="F76" s="1149"/>
      <c r="G76" s="1149"/>
      <c r="H76" s="1149"/>
      <c r="I76" s="1149"/>
      <c r="J76" s="1149"/>
      <c r="K76" s="1149"/>
      <c r="L76" s="1149"/>
      <c r="M76" s="35"/>
      <c r="P76" s="383" t="s">
        <v>195</v>
      </c>
      <c r="R76" s="383" t="s">
        <v>195</v>
      </c>
    </row>
  </sheetData>
  <mergeCells count="32">
    <mergeCell ref="J53:J58"/>
    <mergeCell ref="K53:K58"/>
    <mergeCell ref="L53:L58"/>
    <mergeCell ref="E53:E58"/>
    <mergeCell ref="F53:F58"/>
    <mergeCell ref="G53:G58"/>
    <mergeCell ref="H53:H58"/>
    <mergeCell ref="I53:I58"/>
    <mergeCell ref="J36:J41"/>
    <mergeCell ref="K36:K41"/>
    <mergeCell ref="L36:L41"/>
    <mergeCell ref="E25:E30"/>
    <mergeCell ref="F25:F30"/>
    <mergeCell ref="G25:G30"/>
    <mergeCell ref="H25:H30"/>
    <mergeCell ref="I25:I30"/>
    <mergeCell ref="J25:J30"/>
    <mergeCell ref="K25:K30"/>
    <mergeCell ref="L25:L30"/>
    <mergeCell ref="E36:E41"/>
    <mergeCell ref="F36:F41"/>
    <mergeCell ref="G36:G41"/>
    <mergeCell ref="H36:H41"/>
    <mergeCell ref="I36:I41"/>
    <mergeCell ref="K8:K13"/>
    <mergeCell ref="L8:L13"/>
    <mergeCell ref="E8:E13"/>
    <mergeCell ref="F8:F13"/>
    <mergeCell ref="G8:G13"/>
    <mergeCell ref="H8:H13"/>
    <mergeCell ref="I8:I13"/>
    <mergeCell ref="J8:J13"/>
  </mergeCells>
  <conditionalFormatting sqref="C14:L20">
    <cfRule type="expression" dxfId="93" priority="9">
      <formula>$D14=0</formula>
    </cfRule>
  </conditionalFormatting>
  <conditionalFormatting sqref="C42:C48">
    <cfRule type="expression" dxfId="92" priority="5">
      <formula>$D42=0</formula>
    </cfRule>
  </conditionalFormatting>
  <conditionalFormatting sqref="D42:L47">
    <cfRule type="expression" dxfId="91" priority="8">
      <formula>$D42=0</formula>
    </cfRule>
  </conditionalFormatting>
  <conditionalFormatting sqref="D48:L48">
    <cfRule type="expression" dxfId="90" priority="7">
      <formula>$D48=0</formula>
    </cfRule>
  </conditionalFormatting>
  <conditionalFormatting sqref="D48">
    <cfRule type="expression" dxfId="89" priority="6">
      <formula>$D48=0</formula>
    </cfRule>
  </conditionalFormatting>
  <conditionalFormatting sqref="C31:J31">
    <cfRule type="expression" dxfId="88" priority="4">
      <formula>$D31=0</formula>
    </cfRule>
  </conditionalFormatting>
  <conditionalFormatting sqref="C59">
    <cfRule type="expression" dxfId="87" priority="3">
      <formula>$D59=0</formula>
    </cfRule>
  </conditionalFormatting>
  <conditionalFormatting sqref="D59:L59">
    <cfRule type="expression" dxfId="86" priority="2">
      <formula>$D59=0</formula>
    </cfRule>
  </conditionalFormatting>
  <conditionalFormatting sqref="E64:E75">
    <cfRule type="expression" dxfId="85" priority="1">
      <formula>$F$63&gt;=StolenForms</formula>
    </cfRule>
  </conditionalFormatting>
  <dataValidations count="1">
    <dataValidation type="list" allowBlank="1" showInputMessage="1" showErrorMessage="1" sqref="E14:L20 E42:L48 E31:J31 E59:L59 E64:E75" xr:uid="{00000000-0002-0000-0C00-000000000000}">
      <formula1>"Yes"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9" r:id="rId3" name="Button 3">
              <controlPr defaultSize="0" print="0" autoFill="0" autoPict="0" macro="[0]!ClearTalents2">
                <anchor moveWithCells="1" sizeWithCells="1">
                  <from>
                    <xdr:col>9</xdr:col>
                    <xdr:colOff>69850</xdr:colOff>
                    <xdr:row>1</xdr:row>
                    <xdr:rowOff>127000</xdr:rowOff>
                  </from>
                  <to>
                    <xdr:col>11</xdr:col>
                    <xdr:colOff>165100</xdr:colOff>
                    <xdr:row>3</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BJ177"/>
  <sheetViews>
    <sheetView showGridLines="0" showRowColHeaders="0" zoomScaleNormal="100" workbookViewId="0">
      <pane ySplit="8" topLeftCell="A9" activePane="bottomLeft" state="frozen"/>
      <selection pane="bottomLeft" activeCell="J10" sqref="J10"/>
    </sheetView>
  </sheetViews>
  <sheetFormatPr defaultColWidth="9.1796875" defaultRowHeight="14.5"/>
  <cols>
    <col min="1" max="1" width="3.453125" style="579" customWidth="1"/>
    <col min="2" max="2" width="2.81640625" style="579" customWidth="1"/>
    <col min="3" max="3" width="26.1796875" style="579" customWidth="1"/>
    <col min="4" max="4" width="2.54296875" style="579" customWidth="1"/>
    <col min="5" max="5" width="24.26953125" style="579" hidden="1" customWidth="1"/>
    <col min="6" max="9" width="13.453125" style="762" hidden="1" customWidth="1"/>
    <col min="10" max="15" width="9.1796875" style="16" customWidth="1"/>
    <col min="16" max="16" width="9.1796875" style="16" hidden="1" customWidth="1"/>
    <col min="17" max="21" width="2.81640625" style="16" hidden="1" customWidth="1"/>
    <col min="22" max="22" width="10.453125" style="16" customWidth="1"/>
    <col min="23" max="23" width="2.81640625" style="16" customWidth="1"/>
    <col min="24" max="24" width="3.453125" style="20" customWidth="1"/>
    <col min="25" max="32" width="11.7265625" style="20" hidden="1" customWidth="1"/>
    <col min="33" max="33" width="2.81640625" style="20" customWidth="1"/>
    <col min="34" max="35" width="9.1796875" style="579"/>
    <col min="36" max="36" width="14.81640625" style="579" customWidth="1"/>
    <col min="37" max="38" width="9.1796875" style="16"/>
    <col min="39" max="39" width="3" style="579" customWidth="1"/>
    <col min="40" max="40" width="3.453125" style="579" customWidth="1"/>
    <col min="41" max="41" width="17.453125" style="579" hidden="1" customWidth="1"/>
    <col min="42" max="42" width="26.1796875" style="579" hidden="1" customWidth="1"/>
    <col min="43" max="43" width="20.81640625" style="579" hidden="1" customWidth="1"/>
    <col min="44" max="44" width="9.1796875" style="869" hidden="1" customWidth="1"/>
    <col min="45" max="45" width="44.453125" style="869" hidden="1" customWidth="1"/>
    <col min="46" max="46" width="58.1796875" style="579" hidden="1" customWidth="1"/>
    <col min="47" max="47" width="25.26953125" style="579" hidden="1" customWidth="1"/>
    <col min="48" max="48" width="3.1796875" style="579" customWidth="1"/>
    <col min="49" max="49" width="9.1796875" style="579"/>
    <col min="50" max="50" width="20.7265625" style="579" customWidth="1"/>
    <col min="51" max="51" width="9.1796875" style="579"/>
    <col min="52" max="52" width="9.1796875" style="16"/>
    <col min="53" max="53" width="3" style="579" customWidth="1"/>
    <col min="54" max="62" width="9.1796875" style="579" hidden="1" customWidth="1"/>
    <col min="63" max="63" width="9.1796875" style="579" customWidth="1"/>
    <col min="64" max="16384" width="9.1796875" style="579"/>
  </cols>
  <sheetData>
    <row r="1" spans="2:56" ht="15" thickBot="1"/>
    <row r="2" spans="2:56">
      <c r="B2" s="22"/>
      <c r="C2" s="760"/>
      <c r="D2" s="760"/>
      <c r="E2" s="760"/>
      <c r="F2" s="760"/>
      <c r="G2" s="760"/>
      <c r="H2" s="760"/>
      <c r="I2" s="760"/>
      <c r="J2" s="24"/>
      <c r="K2" s="24"/>
      <c r="L2" s="24"/>
      <c r="M2" s="24"/>
      <c r="N2" s="865"/>
      <c r="O2" s="865"/>
      <c r="P2" s="865"/>
      <c r="Q2" s="24"/>
      <c r="R2" s="24"/>
      <c r="S2" s="24"/>
      <c r="T2" s="24"/>
      <c r="U2" s="24"/>
      <c r="V2" s="24"/>
      <c r="W2" s="618"/>
      <c r="AG2" s="622"/>
      <c r="AH2" s="760"/>
      <c r="AI2" s="760"/>
      <c r="AJ2" s="760"/>
      <c r="AK2" s="24"/>
      <c r="AL2" s="24"/>
      <c r="AM2" s="25"/>
      <c r="AV2" s="22"/>
      <c r="AW2" s="760"/>
      <c r="AX2" s="760"/>
      <c r="AY2" s="760"/>
      <c r="AZ2" s="24"/>
      <c r="BA2" s="25"/>
    </row>
    <row r="3" spans="2:56" ht="21">
      <c r="B3" s="26"/>
      <c r="C3" s="761" t="s">
        <v>3806</v>
      </c>
      <c r="D3" s="758"/>
      <c r="E3" s="758"/>
      <c r="F3" s="758"/>
      <c r="G3" s="758"/>
      <c r="H3" s="758"/>
      <c r="I3" s="758"/>
      <c r="J3" s="765"/>
      <c r="K3" s="876"/>
      <c r="L3" s="876"/>
      <c r="M3" s="876"/>
      <c r="N3" s="876"/>
      <c r="O3" s="864"/>
      <c r="P3" s="864"/>
      <c r="Q3" s="765"/>
      <c r="R3" s="765"/>
      <c r="S3" s="765"/>
      <c r="T3" s="765"/>
      <c r="U3" s="765"/>
      <c r="V3" s="898"/>
      <c r="W3" s="619"/>
      <c r="AG3" s="623"/>
      <c r="AH3" s="761" t="s">
        <v>82</v>
      </c>
      <c r="AI3" s="758"/>
      <c r="AJ3" s="758"/>
      <c r="AK3" s="765"/>
      <c r="AL3" s="898"/>
      <c r="AM3" s="29"/>
      <c r="AV3" s="26"/>
      <c r="AW3" s="761" t="s">
        <v>83</v>
      </c>
      <c r="AX3" s="758"/>
      <c r="AY3" s="758"/>
      <c r="AZ3" s="898"/>
      <c r="BA3" s="29"/>
    </row>
    <row r="4" spans="2:56">
      <c r="B4" s="26"/>
      <c r="C4" s="758"/>
      <c r="D4" s="74" t="s">
        <v>3951</v>
      </c>
      <c r="E4" s="74"/>
      <c r="F4" s="74"/>
      <c r="G4" s="74"/>
      <c r="H4" s="74"/>
      <c r="I4" s="74"/>
      <c r="J4" s="765">
        <f ca="1">IF(Feats!M124&gt;0,MAX(WisMod+1+IF(AND(Race="Twi'lek",Feats!M386&gt;0),2,0),1)*Feats!M124,0)+ForcePowerBonus</f>
        <v>0</v>
      </c>
      <c r="K4" s="876"/>
      <c r="L4" s="876"/>
      <c r="M4" s="876"/>
      <c r="N4" s="876"/>
      <c r="O4" s="876"/>
      <c r="P4" s="765"/>
      <c r="Q4" s="765"/>
      <c r="R4" s="765"/>
      <c r="S4" s="765"/>
      <c r="T4" s="765"/>
      <c r="U4" s="765"/>
      <c r="V4" s="898"/>
      <c r="W4" s="619"/>
      <c r="AG4" s="623"/>
      <c r="AH4" s="758"/>
      <c r="AI4" s="758"/>
      <c r="AJ4" s="74" t="s">
        <v>4046</v>
      </c>
      <c r="AK4" s="765">
        <f>SUM(Data!CX3:CX47)+ForceTechniqueBonus</f>
        <v>0</v>
      </c>
      <c r="AL4" s="898"/>
      <c r="AM4" s="29"/>
      <c r="AV4" s="26"/>
      <c r="AW4" s="758"/>
      <c r="AX4" s="74" t="s">
        <v>4073</v>
      </c>
      <c r="AY4" s="765">
        <f>SUM(Data!CY3:CY46)+ForceSecretBonus</f>
        <v>0</v>
      </c>
      <c r="AZ4" s="898"/>
      <c r="BA4" s="29"/>
    </row>
    <row r="5" spans="2:56">
      <c r="B5" s="26"/>
      <c r="C5" s="758"/>
      <c r="D5" s="74" t="s">
        <v>3952</v>
      </c>
      <c r="E5" s="74"/>
      <c r="F5" s="74"/>
      <c r="G5" s="74"/>
      <c r="H5" s="74"/>
      <c r="I5" s="74"/>
      <c r="J5" s="765">
        <f ca="1">J4-SUM(J10:J100)</f>
        <v>0</v>
      </c>
      <c r="K5" s="876">
        <f>AK20-COUNTIF(K10:K98,"&lt;&gt;"&amp;"")</f>
        <v>0</v>
      </c>
      <c r="L5" s="876">
        <f>Talents!M974-COUNTIF(L10:L98,"&lt;&gt;"&amp;"")</f>
        <v>0</v>
      </c>
      <c r="M5" s="876">
        <f>Talents!M1139-COUNTIF(M10:M98,"&lt;&gt;"&amp;"")</f>
        <v>0</v>
      </c>
      <c r="N5" s="876">
        <f>IF(Talents!M$85&gt;0,J55-COUNTIF(N10:N98,"&lt;&gt;"&amp;""),0)</f>
        <v>0</v>
      </c>
      <c r="O5" s="876">
        <f>ForceExertion-COUNTIF(O10:O98,"&lt;&gt;"&amp;"")</f>
        <v>0</v>
      </c>
      <c r="P5" s="765"/>
      <c r="Q5" s="765"/>
      <c r="R5" s="765"/>
      <c r="S5" s="765"/>
      <c r="T5" s="765"/>
      <c r="U5" s="765"/>
      <c r="V5" s="898"/>
      <c r="W5" s="619"/>
      <c r="AG5" s="623"/>
      <c r="AH5" s="758"/>
      <c r="AI5" s="758"/>
      <c r="AJ5" s="74" t="s">
        <v>4075</v>
      </c>
      <c r="AK5" s="765">
        <f>SUM(Data!CX3:CX47)-COUNTIF(AK10:AK67,"Yes")-SUM(AK19:AK20)</f>
        <v>0</v>
      </c>
      <c r="AL5" s="898"/>
      <c r="AM5" s="29"/>
      <c r="AV5" s="26"/>
      <c r="AW5" s="758"/>
      <c r="AX5" s="74" t="s">
        <v>4074</v>
      </c>
      <c r="AY5" s="765">
        <f>SUM(Data!CY3:CY46)-COUNTIF(AY10:AY24,"Yes")</f>
        <v>0</v>
      </c>
      <c r="AZ5" s="898"/>
      <c r="BA5" s="29"/>
    </row>
    <row r="6" spans="2:56">
      <c r="B6" s="26"/>
      <c r="C6" s="758"/>
      <c r="D6" s="758"/>
      <c r="E6" s="758"/>
      <c r="F6" s="758"/>
      <c r="G6" s="758"/>
      <c r="H6" s="758"/>
      <c r="I6" s="758"/>
      <c r="J6" s="765"/>
      <c r="K6" s="877" t="s">
        <v>4208</v>
      </c>
      <c r="L6" s="877" t="s">
        <v>4208</v>
      </c>
      <c r="M6" s="877" t="s">
        <v>4714</v>
      </c>
      <c r="N6" s="876"/>
      <c r="O6" s="876"/>
      <c r="P6" s="765"/>
      <c r="Q6" s="1799" t="s">
        <v>3813</v>
      </c>
      <c r="R6" s="1799" t="s">
        <v>230</v>
      </c>
      <c r="S6" s="1799" t="s">
        <v>408</v>
      </c>
      <c r="T6" s="1799" t="s">
        <v>2146</v>
      </c>
      <c r="U6" s="1799" t="s">
        <v>3814</v>
      </c>
      <c r="V6" s="894"/>
      <c r="W6" s="620"/>
      <c r="X6" s="617"/>
      <c r="Y6" s="617"/>
      <c r="Z6" s="617"/>
      <c r="AA6" s="617"/>
      <c r="AB6" s="617"/>
      <c r="AC6" s="617"/>
      <c r="AD6" s="617"/>
      <c r="AE6" s="617"/>
      <c r="AF6" s="617"/>
      <c r="AG6" s="624"/>
      <c r="AH6" s="758"/>
      <c r="AI6" s="758"/>
      <c r="AJ6" s="758"/>
      <c r="AK6" s="765"/>
      <c r="AL6" s="898"/>
      <c r="AM6" s="29"/>
      <c r="AV6" s="26"/>
      <c r="AW6" s="758"/>
      <c r="AX6" s="557"/>
      <c r="AY6" s="758"/>
      <c r="AZ6" s="898"/>
      <c r="BA6" s="29"/>
    </row>
    <row r="7" spans="2:56" s="869" customFormat="1">
      <c r="B7" s="26"/>
      <c r="C7" s="864"/>
      <c r="D7" s="864"/>
      <c r="E7" s="864"/>
      <c r="F7" s="864"/>
      <c r="G7" s="864"/>
      <c r="H7" s="864"/>
      <c r="I7" s="864"/>
      <c r="J7" s="876"/>
      <c r="K7" s="877" t="s">
        <v>3807</v>
      </c>
      <c r="L7" s="877" t="s">
        <v>3807</v>
      </c>
      <c r="M7" s="877" t="s">
        <v>4713</v>
      </c>
      <c r="N7" s="877" t="s">
        <v>4221</v>
      </c>
      <c r="O7" s="877" t="s">
        <v>4208</v>
      </c>
      <c r="P7" s="876"/>
      <c r="Q7" s="1799"/>
      <c r="R7" s="1799"/>
      <c r="S7" s="1799"/>
      <c r="T7" s="1799"/>
      <c r="U7" s="1799"/>
      <c r="V7" s="894"/>
      <c r="W7" s="620"/>
      <c r="X7" s="617"/>
      <c r="Y7" s="617"/>
      <c r="Z7" s="617"/>
      <c r="AA7" s="617"/>
      <c r="AB7" s="617"/>
      <c r="AC7" s="617"/>
      <c r="AD7" s="617"/>
      <c r="AE7" s="617"/>
      <c r="AF7" s="617"/>
      <c r="AG7" s="624"/>
      <c r="AH7" s="864"/>
      <c r="AI7" s="864"/>
      <c r="AJ7" s="864"/>
      <c r="AK7" s="876"/>
      <c r="AL7" s="898"/>
      <c r="AM7" s="29"/>
      <c r="AV7" s="26"/>
      <c r="AW7" s="864"/>
      <c r="AX7" s="557"/>
      <c r="AY7" s="864"/>
      <c r="AZ7" s="898"/>
      <c r="BA7" s="29"/>
    </row>
    <row r="8" spans="2:56">
      <c r="B8" s="26"/>
      <c r="C8" s="770" t="s">
        <v>3807</v>
      </c>
      <c r="D8" s="75"/>
      <c r="E8" s="75"/>
      <c r="F8" s="75" t="s">
        <v>4221</v>
      </c>
      <c r="G8" s="75" t="s">
        <v>4222</v>
      </c>
      <c r="H8" s="75" t="s">
        <v>4223</v>
      </c>
      <c r="I8" s="75" t="s">
        <v>2636</v>
      </c>
      <c r="J8" s="764" t="s">
        <v>3808</v>
      </c>
      <c r="K8" s="870" t="s">
        <v>3809</v>
      </c>
      <c r="L8" s="870" t="s">
        <v>3810</v>
      </c>
      <c r="M8" s="870" t="s">
        <v>2636</v>
      </c>
      <c r="N8" s="870" t="s">
        <v>3811</v>
      </c>
      <c r="O8" s="870" t="s">
        <v>3812</v>
      </c>
      <c r="P8" s="765"/>
      <c r="Q8" s="1799"/>
      <c r="R8" s="1799"/>
      <c r="S8" s="1799"/>
      <c r="T8" s="1799"/>
      <c r="U8" s="1799"/>
      <c r="V8" s="899" t="s">
        <v>2258</v>
      </c>
      <c r="W8" s="620"/>
      <c r="X8" s="617"/>
      <c r="Y8" s="617"/>
      <c r="Z8" s="617"/>
      <c r="AA8" s="617"/>
      <c r="AB8" s="617"/>
      <c r="AC8" s="617"/>
      <c r="AD8" s="617"/>
      <c r="AE8" s="617"/>
      <c r="AF8" s="617"/>
      <c r="AG8" s="624"/>
      <c r="AH8" s="868" t="s">
        <v>4022</v>
      </c>
      <c r="AI8" s="75"/>
      <c r="AJ8" s="75"/>
      <c r="AK8" s="870" t="s">
        <v>2538</v>
      </c>
      <c r="AL8" s="899" t="s">
        <v>2258</v>
      </c>
      <c r="AM8" s="29"/>
      <c r="AV8" s="26"/>
      <c r="AW8" s="868" t="s">
        <v>4715</v>
      </c>
      <c r="AX8" s="770"/>
      <c r="AY8" s="770" t="s">
        <v>2538</v>
      </c>
      <c r="AZ8" s="899" t="s">
        <v>2258</v>
      </c>
      <c r="BA8" s="29"/>
    </row>
    <row r="9" spans="2:56">
      <c r="B9" s="26"/>
      <c r="C9" s="758"/>
      <c r="D9" s="758"/>
      <c r="E9" s="758"/>
      <c r="F9" s="758"/>
      <c r="G9" s="758"/>
      <c r="H9" s="758"/>
      <c r="I9" s="758"/>
      <c r="J9" s="765"/>
      <c r="K9" s="876"/>
      <c r="L9" s="876"/>
      <c r="M9" s="876"/>
      <c r="N9" s="876"/>
      <c r="O9" s="876"/>
      <c r="P9" s="765"/>
      <c r="Q9" s="1800"/>
      <c r="R9" s="1800"/>
      <c r="S9" s="1800"/>
      <c r="T9" s="1800"/>
      <c r="U9" s="1800"/>
      <c r="V9" s="894"/>
      <c r="W9" s="620"/>
      <c r="X9" s="617"/>
      <c r="Y9" s="617"/>
      <c r="Z9" s="20" t="str">
        <f>Z10</f>
        <v/>
      </c>
      <c r="AB9" s="20" t="str">
        <f>AB10</f>
        <v/>
      </c>
      <c r="AD9" s="20" t="str">
        <f>AD10</f>
        <v/>
      </c>
      <c r="AF9" s="20" t="str">
        <f>AF10</f>
        <v/>
      </c>
      <c r="AG9" s="624"/>
      <c r="AH9" s="758"/>
      <c r="AI9" s="758"/>
      <c r="AJ9" s="758"/>
      <c r="AK9" s="765"/>
      <c r="AL9" s="898"/>
      <c r="AM9" s="29"/>
      <c r="AO9" s="859" t="str">
        <f>IF(J9&lt;&gt;"",IF(J9&gt;1,J9&amp;"× ","")&amp;C9,"")</f>
        <v/>
      </c>
      <c r="AP9" s="579" t="str">
        <f>AP10</f>
        <v/>
      </c>
      <c r="AS9" s="869" t="str">
        <f>AS10</f>
        <v/>
      </c>
      <c r="AT9" s="579" t="str">
        <f>AT10</f>
        <v/>
      </c>
      <c r="AU9" s="869"/>
      <c r="AV9" s="26"/>
      <c r="AW9" s="758"/>
      <c r="AX9" s="758"/>
      <c r="AY9" s="758"/>
      <c r="AZ9" s="898"/>
      <c r="BA9" s="29"/>
      <c r="BD9" s="579" t="str">
        <f>BD10</f>
        <v/>
      </c>
    </row>
    <row r="10" spans="2:56">
      <c r="B10" s="26"/>
      <c r="C10" s="1525" t="s">
        <v>3818</v>
      </c>
      <c r="D10" s="758"/>
      <c r="E10" s="758" t="s">
        <v>3819</v>
      </c>
      <c r="F10" s="758" t="s">
        <v>4221</v>
      </c>
      <c r="G10" s="758"/>
      <c r="H10" s="758"/>
      <c r="I10" s="758"/>
      <c r="J10" s="626"/>
      <c r="K10" s="889"/>
      <c r="L10" s="607"/>
      <c r="M10" s="607"/>
      <c r="N10" s="607"/>
      <c r="O10" s="607"/>
      <c r="P10" s="765">
        <f t="shared" ref="P10:P41" si="0">J10</f>
        <v>0</v>
      </c>
      <c r="Q10" s="765"/>
      <c r="R10" s="765"/>
      <c r="S10" s="765"/>
      <c r="T10" s="765" t="s">
        <v>3816</v>
      </c>
      <c r="U10" s="765"/>
      <c r="V10" s="1000" t="s">
        <v>5903</v>
      </c>
      <c r="W10" s="619"/>
      <c r="Y10" s="20" t="str">
        <f>IF(L10&lt;&gt;"",E10,"")</f>
        <v/>
      </c>
      <c r="Z10" s="20" t="str">
        <f>IF(Y10&lt;&gt;"",Y10&amp;IF(Z11&lt;&gt;"",", ","")&amp;Z11,Z11)</f>
        <v/>
      </c>
      <c r="AA10" s="20" t="str">
        <f>IF(M10&lt;&gt;"",E10,"")</f>
        <v/>
      </c>
      <c r="AB10" s="20" t="str">
        <f>IF(AA10&lt;&gt;"",AA10&amp;IF(AB11&lt;&gt;"",", ","")&amp;AB11,AB11)</f>
        <v/>
      </c>
      <c r="AC10" s="20" t="str">
        <f>IF(N10&lt;&gt;"",E10,"")</f>
        <v/>
      </c>
      <c r="AD10" s="20" t="str">
        <f>IF(AC10&lt;&gt;"",AC10&amp;IF(AD11&lt;&gt;"",", ","")&amp;AD11,AD11)</f>
        <v/>
      </c>
      <c r="AE10" s="20" t="str">
        <f>IF(O10&lt;&gt;"",E10,"")</f>
        <v/>
      </c>
      <c r="AF10" s="20" t="str">
        <f>IF(AE10&lt;&gt;"",AE10&amp;IF(AF11&lt;&gt;"",", ","")&amp;AF11,AF11)</f>
        <v/>
      </c>
      <c r="AG10" s="623"/>
      <c r="AH10" s="758" t="s">
        <v>3817</v>
      </c>
      <c r="AI10" s="758"/>
      <c r="AJ10" s="758"/>
      <c r="AK10" s="1376"/>
      <c r="AL10" s="940" t="s">
        <v>5933</v>
      </c>
      <c r="AM10" s="29"/>
      <c r="AO10" s="997" t="str">
        <f t="shared" ref="AO10:AO54" si="1">IF(OR(J10&lt;&gt;"",N10&lt;&gt;""),C10&amp;IF(J10+N10&gt;1," ("&amp;J10+N10&amp;")",""),"")</f>
        <v/>
      </c>
      <c r="AP10" s="579" t="str">
        <f>IF(AO10&lt;&gt;"",AO10&amp;";"&amp;AP11,AP11)</f>
        <v/>
      </c>
      <c r="AQ10" s="671" t="str">
        <f>IF(AK10&lt;&gt;"",AH10,"")</f>
        <v/>
      </c>
      <c r="AR10" s="869" t="str">
        <f t="shared" ref="AR10:AR41" si="2">IF(AND(K10&gt;0,J10&gt;0),AH$20&amp;" ("&amp;C10&amp;")","")</f>
        <v/>
      </c>
      <c r="AS10" s="869" t="str">
        <f t="shared" ref="AS10:AS41" si="3">IF(AR10&lt;&gt;"",AR10&amp;IF(ShowForceDetails," (Technique)","")&amp;";"&amp;AS11,AS11)</f>
        <v/>
      </c>
      <c r="AT10" s="671" t="str">
        <f t="shared" ref="AT10:AT67" si="4">IF(AQ10&lt;&gt;"",AQ10&amp;IF(ShowForceDetails," (Technique)","")&amp;";"&amp;AT11,AT11)</f>
        <v/>
      </c>
      <c r="AU10" s="869" t="str">
        <f>IF(AT10&lt;&gt;"",AT10&amp;";"&amp;AU11,AU11)</f>
        <v/>
      </c>
      <c r="AV10" s="26"/>
      <c r="AW10" s="947" t="s">
        <v>5790</v>
      </c>
      <c r="AX10" s="758"/>
      <c r="AY10" s="909"/>
      <c r="AZ10" s="940" t="s">
        <v>5911</v>
      </c>
      <c r="BA10" s="29"/>
      <c r="BC10" s="671" t="str">
        <f>IF(AY10&lt;&gt;"",AW10&amp;IF(ShowForceDetails," (Secret)",""),"")</f>
        <v/>
      </c>
      <c r="BD10" s="671" t="str">
        <f>IF(BC10&lt;&gt;"",BC10&amp;";"&amp;BD11,BD11)</f>
        <v/>
      </c>
    </row>
    <row r="11" spans="2:56">
      <c r="B11" s="26"/>
      <c r="C11" s="758" t="s">
        <v>3823</v>
      </c>
      <c r="D11" s="758"/>
      <c r="E11" s="758" t="s">
        <v>3824</v>
      </c>
      <c r="F11" s="758"/>
      <c r="G11" s="758"/>
      <c r="H11" s="758"/>
      <c r="I11" s="758"/>
      <c r="J11" s="626"/>
      <c r="K11" s="889"/>
      <c r="L11" s="607"/>
      <c r="M11" s="607"/>
      <c r="N11" s="607"/>
      <c r="O11" s="607"/>
      <c r="P11" s="765">
        <f t="shared" si="0"/>
        <v>0</v>
      </c>
      <c r="Q11" s="765"/>
      <c r="R11" s="765"/>
      <c r="S11" s="765"/>
      <c r="T11" s="765"/>
      <c r="U11" s="765"/>
      <c r="V11" s="939">
        <v>96</v>
      </c>
      <c r="W11" s="619"/>
      <c r="Y11" s="20" t="str">
        <f t="shared" ref="Y11:Y74" si="5">IF(L11&lt;&gt;"",E11,"")</f>
        <v/>
      </c>
      <c r="Z11" s="20" t="str">
        <f t="shared" ref="Z11:Z74" si="6">IF(Y11&lt;&gt;"",Y11&amp;IF(Z12&lt;&gt;"",", ","")&amp;Z12,Z12)</f>
        <v/>
      </c>
      <c r="AA11" s="20" t="str">
        <f t="shared" ref="AA11:AA74" si="7">IF(M11&lt;&gt;"",E11,"")</f>
        <v/>
      </c>
      <c r="AB11" s="20" t="str">
        <f t="shared" ref="AB11:AB74" si="8">IF(AA11&lt;&gt;"",AA11&amp;IF(AB12&lt;&gt;"",", ","")&amp;AB12,AB12)</f>
        <v/>
      </c>
      <c r="AC11" s="20" t="str">
        <f t="shared" ref="AC11:AC74" si="9">IF(N11&lt;&gt;"",E11,"")</f>
        <v/>
      </c>
      <c r="AD11" s="20" t="str">
        <f t="shared" ref="AD11:AD74" si="10">IF(AC11&lt;&gt;"",AC11&amp;IF(AD12&lt;&gt;"",", ","")&amp;AD12,AD12)</f>
        <v/>
      </c>
      <c r="AE11" s="20" t="str">
        <f t="shared" ref="AE11:AE74" si="11">IF(O11&lt;&gt;"",E11,"")</f>
        <v/>
      </c>
      <c r="AF11" s="20" t="str">
        <f t="shared" ref="AF11:AF74" si="12">IF(AE11&lt;&gt;"",AE11&amp;IF(AF12&lt;&gt;"",", ","")&amp;AF12,AF12)</f>
        <v/>
      </c>
      <c r="AG11" s="623"/>
      <c r="AH11" s="766" t="s">
        <v>4262</v>
      </c>
      <c r="AI11" s="758"/>
      <c r="AJ11" s="758"/>
      <c r="AK11" s="1010"/>
      <c r="AL11" s="940" t="s">
        <v>5902</v>
      </c>
      <c r="AM11" s="29"/>
      <c r="AO11" s="997" t="str">
        <f t="shared" si="1"/>
        <v/>
      </c>
      <c r="AP11" s="579" t="str">
        <f t="shared" ref="AP11:AP74" si="13">IF(AO11&lt;&gt;"",AO11&amp;";"&amp;AP12,AP12)</f>
        <v/>
      </c>
      <c r="AQ11" s="671" t="str">
        <f t="shared" ref="AQ11:AQ16" si="14">IF(AK11&lt;&gt;"",AH11,"")</f>
        <v/>
      </c>
      <c r="AR11" s="869" t="str">
        <f t="shared" si="2"/>
        <v/>
      </c>
      <c r="AS11" s="869" t="str">
        <f t="shared" si="3"/>
        <v/>
      </c>
      <c r="AT11" s="630" t="str">
        <f t="shared" si="4"/>
        <v/>
      </c>
      <c r="AU11" s="869" t="str">
        <f>IF(AT11&lt;&gt;"",AT11&amp;";"&amp;AU12,AU12)</f>
        <v/>
      </c>
      <c r="AV11" s="26"/>
      <c r="AW11" s="947" t="s">
        <v>5791</v>
      </c>
      <c r="AX11" s="758"/>
      <c r="AY11" s="767"/>
      <c r="AZ11" s="940" t="s">
        <v>5911</v>
      </c>
      <c r="BA11" s="29"/>
      <c r="BC11" s="671" t="str">
        <f>IF(AY11&lt;&gt;"",AW11&amp;IF(ShowForceDetails," (Secret)",""),"")</f>
        <v/>
      </c>
      <c r="BD11" s="671" t="str">
        <f>IF(BC11&lt;&gt;"",BC11&amp;";"&amp;BD12,BD12)</f>
        <v/>
      </c>
    </row>
    <row r="12" spans="2:56">
      <c r="B12" s="26"/>
      <c r="C12" s="758" t="s">
        <v>4220</v>
      </c>
      <c r="D12" s="758"/>
      <c r="E12" s="758" t="str">
        <f>LOWER(C12)</f>
        <v>blind</v>
      </c>
      <c r="F12" s="758" t="s">
        <v>4221</v>
      </c>
      <c r="G12" s="758"/>
      <c r="H12" s="758"/>
      <c r="I12" s="758"/>
      <c r="J12" s="626"/>
      <c r="K12" s="889"/>
      <c r="L12" s="607"/>
      <c r="M12" s="876"/>
      <c r="N12" s="876"/>
      <c r="O12" s="876"/>
      <c r="P12" s="765">
        <f t="shared" si="0"/>
        <v>0</v>
      </c>
      <c r="Q12" s="765"/>
      <c r="R12" s="765"/>
      <c r="S12" s="765"/>
      <c r="T12" s="765"/>
      <c r="U12" s="765" t="s">
        <v>3816</v>
      </c>
      <c r="V12" s="939" t="s">
        <v>5693</v>
      </c>
      <c r="W12" s="619"/>
      <c r="Y12" s="20" t="str">
        <f t="shared" si="5"/>
        <v/>
      </c>
      <c r="Z12" s="20" t="str">
        <f t="shared" si="6"/>
        <v/>
      </c>
      <c r="AA12" s="20" t="str">
        <f t="shared" si="7"/>
        <v/>
      </c>
      <c r="AB12" s="20" t="str">
        <f t="shared" si="8"/>
        <v/>
      </c>
      <c r="AC12" s="20" t="str">
        <f t="shared" si="9"/>
        <v/>
      </c>
      <c r="AD12" s="20" t="str">
        <f t="shared" si="10"/>
        <v/>
      </c>
      <c r="AE12" s="20" t="str">
        <f t="shared" si="11"/>
        <v/>
      </c>
      <c r="AF12" s="20" t="str">
        <f t="shared" si="12"/>
        <v/>
      </c>
      <c r="AG12" s="623"/>
      <c r="AH12" s="758" t="s">
        <v>3820</v>
      </c>
      <c r="AI12" s="758"/>
      <c r="AJ12" s="758"/>
      <c r="AK12" s="908"/>
      <c r="AL12" s="940" t="s">
        <v>5935</v>
      </c>
      <c r="AM12" s="29"/>
      <c r="AO12" s="997" t="str">
        <f t="shared" si="1"/>
        <v/>
      </c>
      <c r="AP12" s="579" t="str">
        <f t="shared" si="13"/>
        <v/>
      </c>
      <c r="AQ12" s="671" t="str">
        <f t="shared" si="14"/>
        <v/>
      </c>
      <c r="AR12" s="869" t="str">
        <f t="shared" si="2"/>
        <v/>
      </c>
      <c r="AS12" s="869" t="str">
        <f t="shared" si="3"/>
        <v/>
      </c>
      <c r="AT12" s="671" t="str">
        <f t="shared" si="4"/>
        <v/>
      </c>
      <c r="AU12" s="869" t="str">
        <f>IF(AT12&lt;&gt;"",AT12&amp;";"&amp;AU13,AU13)</f>
        <v/>
      </c>
      <c r="AV12" s="26"/>
      <c r="AW12" s="947" t="s">
        <v>5792</v>
      </c>
      <c r="AX12" s="758"/>
      <c r="AY12" s="1535"/>
      <c r="AZ12" s="939">
        <v>103</v>
      </c>
      <c r="BA12" s="29"/>
      <c r="BC12" s="671" t="str">
        <f>IF(AY12&lt;&gt;"",AW12&amp;IF(ShowForceDetails," (Secret)",""),"")</f>
        <v/>
      </c>
      <c r="BD12" s="671" t="str">
        <f>IF(BC12&lt;&gt;"",BC12&amp;";"&amp;BD13,BD13)</f>
        <v/>
      </c>
    </row>
    <row r="13" spans="2:56">
      <c r="B13" s="26"/>
      <c r="C13" s="758" t="s">
        <v>3828</v>
      </c>
      <c r="D13" s="758"/>
      <c r="E13" s="758" t="s">
        <v>3829</v>
      </c>
      <c r="F13" s="758"/>
      <c r="G13" s="758"/>
      <c r="H13" s="758"/>
      <c r="I13" s="758"/>
      <c r="J13" s="626"/>
      <c r="K13" s="889"/>
      <c r="L13" s="607"/>
      <c r="M13" s="607"/>
      <c r="N13" s="607"/>
      <c r="O13" s="607"/>
      <c r="P13" s="765">
        <f t="shared" si="0"/>
        <v>0</v>
      </c>
      <c r="Q13" s="765"/>
      <c r="R13" s="765"/>
      <c r="S13" s="765" t="s">
        <v>3816</v>
      </c>
      <c r="T13" s="765"/>
      <c r="U13" s="765"/>
      <c r="V13" s="1000" t="s">
        <v>5930</v>
      </c>
      <c r="W13" s="619"/>
      <c r="Y13" s="20" t="str">
        <f t="shared" si="5"/>
        <v/>
      </c>
      <c r="Z13" s="20" t="str">
        <f t="shared" si="6"/>
        <v/>
      </c>
      <c r="AA13" s="20" t="str">
        <f t="shared" si="7"/>
        <v/>
      </c>
      <c r="AB13" s="20" t="str">
        <f t="shared" si="8"/>
        <v/>
      </c>
      <c r="AC13" s="20" t="str">
        <f t="shared" si="9"/>
        <v/>
      </c>
      <c r="AD13" s="20" t="str">
        <f t="shared" si="10"/>
        <v/>
      </c>
      <c r="AE13" s="20" t="str">
        <f t="shared" si="11"/>
        <v/>
      </c>
      <c r="AF13" s="20" t="str">
        <f t="shared" si="12"/>
        <v/>
      </c>
      <c r="AG13" s="623"/>
      <c r="AH13" s="758" t="s">
        <v>3822</v>
      </c>
      <c r="AI13" s="758"/>
      <c r="AJ13" s="758"/>
      <c r="AK13" s="1376"/>
      <c r="AL13" s="940" t="s">
        <v>5908</v>
      </c>
      <c r="AM13" s="29"/>
      <c r="AO13" s="997" t="str">
        <f t="shared" si="1"/>
        <v/>
      </c>
      <c r="AP13" s="579" t="str">
        <f t="shared" si="13"/>
        <v/>
      </c>
      <c r="AQ13" s="762" t="str">
        <f t="shared" si="14"/>
        <v/>
      </c>
      <c r="AR13" s="869" t="str">
        <f t="shared" si="2"/>
        <v/>
      </c>
      <c r="AS13" s="869" t="str">
        <f t="shared" si="3"/>
        <v/>
      </c>
      <c r="AT13" s="630" t="str">
        <f t="shared" si="4"/>
        <v/>
      </c>
      <c r="AU13" s="869" t="str">
        <f>IF(AT13&lt;&gt;"",AT13&amp;";"&amp;AU14,AU14)</f>
        <v/>
      </c>
      <c r="AV13" s="26"/>
      <c r="AW13" s="947" t="s">
        <v>5793</v>
      </c>
      <c r="AX13" s="758"/>
      <c r="AY13" s="1378"/>
      <c r="AZ13" s="939">
        <v>103</v>
      </c>
      <c r="BA13" s="29"/>
      <c r="BC13" s="762" t="str">
        <f t="shared" ref="BC13:BC24" si="15">IF(AY13&lt;&gt;"",AW13&amp;IF(ShowForceDetails," (Secret)",""),"")</f>
        <v/>
      </c>
      <c r="BD13" s="762" t="str">
        <f t="shared" ref="BD13:BD24" si="16">IF(BC13&lt;&gt;"",BC13&amp;";"&amp;BD14,BD14)</f>
        <v/>
      </c>
    </row>
    <row r="14" spans="2:56">
      <c r="B14" s="26"/>
      <c r="C14" s="758" t="s">
        <v>3831</v>
      </c>
      <c r="D14" s="758"/>
      <c r="E14" s="758" t="s">
        <v>3832</v>
      </c>
      <c r="F14" s="758"/>
      <c r="G14" s="758"/>
      <c r="H14" s="758"/>
      <c r="I14" s="758"/>
      <c r="J14" s="626"/>
      <c r="K14" s="889"/>
      <c r="L14" s="607"/>
      <c r="M14" s="607"/>
      <c r="N14" s="607"/>
      <c r="O14" s="607"/>
      <c r="P14" s="765">
        <f t="shared" si="0"/>
        <v>0</v>
      </c>
      <c r="Q14" s="765"/>
      <c r="R14" s="765"/>
      <c r="S14" s="765"/>
      <c r="T14" s="765" t="s">
        <v>3816</v>
      </c>
      <c r="U14" s="765"/>
      <c r="V14" s="1000" t="s">
        <v>5903</v>
      </c>
      <c r="W14" s="619"/>
      <c r="Y14" s="20" t="str">
        <f t="shared" si="5"/>
        <v/>
      </c>
      <c r="Z14" s="20" t="str">
        <f t="shared" si="6"/>
        <v/>
      </c>
      <c r="AA14" s="20" t="str">
        <f t="shared" si="7"/>
        <v/>
      </c>
      <c r="AB14" s="20" t="str">
        <f t="shared" si="8"/>
        <v/>
      </c>
      <c r="AC14" s="20" t="str">
        <f t="shared" si="9"/>
        <v/>
      </c>
      <c r="AD14" s="20" t="str">
        <f t="shared" si="10"/>
        <v/>
      </c>
      <c r="AE14" s="20" t="str">
        <f t="shared" si="11"/>
        <v/>
      </c>
      <c r="AF14" s="20" t="str">
        <f t="shared" si="12"/>
        <v/>
      </c>
      <c r="AG14" s="623"/>
      <c r="AH14" s="766" t="s">
        <v>4263</v>
      </c>
      <c r="AI14" s="758"/>
      <c r="AJ14" s="758"/>
      <c r="AK14" s="908"/>
      <c r="AL14" s="940" t="s">
        <v>5902</v>
      </c>
      <c r="AM14" s="29"/>
      <c r="AO14" s="997" t="str">
        <f t="shared" si="1"/>
        <v/>
      </c>
      <c r="AP14" s="579" t="str">
        <f t="shared" si="13"/>
        <v/>
      </c>
      <c r="AQ14" s="762" t="str">
        <f t="shared" si="14"/>
        <v/>
      </c>
      <c r="AR14" s="869" t="str">
        <f t="shared" si="2"/>
        <v/>
      </c>
      <c r="AS14" s="869" t="str">
        <f t="shared" si="3"/>
        <v/>
      </c>
      <c r="AT14" s="630" t="str">
        <f t="shared" si="4"/>
        <v/>
      </c>
      <c r="AU14" s="869" t="str">
        <f>IF(AT14&lt;&gt;"",AT14&amp;";"&amp;AU15,AU15)</f>
        <v/>
      </c>
      <c r="AV14" s="26"/>
      <c r="AW14" s="947" t="s">
        <v>5794</v>
      </c>
      <c r="AX14" s="758"/>
      <c r="AY14" s="1378"/>
      <c r="AZ14" s="940" t="s">
        <v>5911</v>
      </c>
      <c r="BA14" s="29"/>
      <c r="BC14" s="762" t="str">
        <f t="shared" si="15"/>
        <v/>
      </c>
      <c r="BD14" s="762" t="str">
        <f t="shared" si="16"/>
        <v/>
      </c>
    </row>
    <row r="15" spans="2:56">
      <c r="B15" s="26"/>
      <c r="C15" s="758" t="s">
        <v>4224</v>
      </c>
      <c r="D15" s="758"/>
      <c r="E15" s="758" t="str">
        <f>LOWER(C15)</f>
        <v>convection</v>
      </c>
      <c r="F15" s="758"/>
      <c r="G15" s="758"/>
      <c r="H15" s="758"/>
      <c r="I15" s="758"/>
      <c r="J15" s="626"/>
      <c r="K15" s="889"/>
      <c r="L15" s="607"/>
      <c r="M15" s="876"/>
      <c r="N15" s="876"/>
      <c r="O15" s="876"/>
      <c r="P15" s="765">
        <f t="shared" si="0"/>
        <v>0</v>
      </c>
      <c r="Q15" s="765"/>
      <c r="R15" s="765"/>
      <c r="S15" s="765"/>
      <c r="T15" s="765"/>
      <c r="U15" s="765" t="s">
        <v>3816</v>
      </c>
      <c r="V15" s="939" t="s">
        <v>5693</v>
      </c>
      <c r="W15" s="619"/>
      <c r="Y15" s="20" t="str">
        <f t="shared" si="5"/>
        <v/>
      </c>
      <c r="Z15" s="20" t="str">
        <f t="shared" si="6"/>
        <v/>
      </c>
      <c r="AA15" s="20" t="str">
        <f t="shared" si="7"/>
        <v/>
      </c>
      <c r="AB15" s="20" t="str">
        <f t="shared" si="8"/>
        <v/>
      </c>
      <c r="AC15" s="20" t="str">
        <f t="shared" si="9"/>
        <v/>
      </c>
      <c r="AD15" s="20" t="str">
        <f t="shared" si="10"/>
        <v/>
      </c>
      <c r="AE15" s="20" t="str">
        <f t="shared" si="11"/>
        <v/>
      </c>
      <c r="AF15" s="20" t="str">
        <f t="shared" si="12"/>
        <v/>
      </c>
      <c r="AG15" s="623"/>
      <c r="AH15" s="766" t="s">
        <v>4264</v>
      </c>
      <c r="AI15" s="758"/>
      <c r="AJ15" s="758"/>
      <c r="AK15" s="1010"/>
      <c r="AL15" s="940" t="s">
        <v>5902</v>
      </c>
      <c r="AM15" s="29"/>
      <c r="AO15" s="997" t="str">
        <f t="shared" si="1"/>
        <v/>
      </c>
      <c r="AP15" s="579" t="str">
        <f t="shared" si="13"/>
        <v/>
      </c>
      <c r="AQ15" s="762" t="str">
        <f t="shared" si="14"/>
        <v/>
      </c>
      <c r="AR15" s="869" t="str">
        <f t="shared" si="2"/>
        <v/>
      </c>
      <c r="AS15" s="869" t="str">
        <f t="shared" si="3"/>
        <v/>
      </c>
      <c r="AT15" s="671" t="str">
        <f t="shared" si="4"/>
        <v/>
      </c>
      <c r="AU15" s="579" t="str">
        <f t="shared" ref="AU15:AU53" si="17">IF(AT15&lt;&gt;"",AT15&amp;";"&amp;AU16,AU16)</f>
        <v/>
      </c>
      <c r="AV15" s="26"/>
      <c r="AW15" s="947" t="s">
        <v>5795</v>
      </c>
      <c r="AX15" s="758"/>
      <c r="AY15" s="1275"/>
      <c r="AZ15" s="1000" t="s">
        <v>5934</v>
      </c>
      <c r="BA15" s="29"/>
      <c r="BC15" s="762" t="str">
        <f t="shared" si="15"/>
        <v/>
      </c>
      <c r="BD15" s="762" t="str">
        <f t="shared" si="16"/>
        <v/>
      </c>
    </row>
    <row r="16" spans="2:56">
      <c r="B16" s="26"/>
      <c r="C16" s="758" t="s">
        <v>3836</v>
      </c>
      <c r="D16" s="758"/>
      <c r="E16" s="758" t="s">
        <v>3837</v>
      </c>
      <c r="F16" s="758"/>
      <c r="G16" s="758"/>
      <c r="H16" s="758"/>
      <c r="I16" s="758" t="s">
        <v>2636</v>
      </c>
      <c r="J16" s="626"/>
      <c r="K16" s="889"/>
      <c r="L16" s="607"/>
      <c r="M16" s="607"/>
      <c r="N16" s="607"/>
      <c r="O16" s="607"/>
      <c r="P16" s="765">
        <f t="shared" si="0"/>
        <v>0</v>
      </c>
      <c r="Q16" s="765"/>
      <c r="R16" s="765" t="s">
        <v>3816</v>
      </c>
      <c r="S16" s="765"/>
      <c r="T16" s="765"/>
      <c r="U16" s="765"/>
      <c r="V16" s="1000" t="s">
        <v>5926</v>
      </c>
      <c r="W16" s="619"/>
      <c r="Y16" s="20" t="str">
        <f t="shared" si="5"/>
        <v/>
      </c>
      <c r="Z16" s="20" t="str">
        <f t="shared" si="6"/>
        <v/>
      </c>
      <c r="AA16" s="20" t="str">
        <f t="shared" si="7"/>
        <v/>
      </c>
      <c r="AB16" s="20" t="str">
        <f t="shared" si="8"/>
        <v/>
      </c>
      <c r="AC16" s="20" t="str">
        <f t="shared" si="9"/>
        <v/>
      </c>
      <c r="AD16" s="20" t="str">
        <f t="shared" si="10"/>
        <v/>
      </c>
      <c r="AE16" s="20" t="str">
        <f t="shared" si="11"/>
        <v/>
      </c>
      <c r="AF16" s="20" t="str">
        <f t="shared" si="12"/>
        <v/>
      </c>
      <c r="AG16" s="623"/>
      <c r="AH16" s="766" t="s">
        <v>4265</v>
      </c>
      <c r="AI16" s="758"/>
      <c r="AJ16" s="758"/>
      <c r="AK16" s="908"/>
      <c r="AL16" s="940" t="s">
        <v>5902</v>
      </c>
      <c r="AM16" s="29"/>
      <c r="AO16" s="997" t="str">
        <f t="shared" si="1"/>
        <v/>
      </c>
      <c r="AP16" s="579" t="str">
        <f t="shared" si="13"/>
        <v/>
      </c>
      <c r="AQ16" s="762" t="str">
        <f t="shared" si="14"/>
        <v/>
      </c>
      <c r="AR16" s="869" t="str">
        <f t="shared" si="2"/>
        <v/>
      </c>
      <c r="AS16" s="869" t="str">
        <f t="shared" si="3"/>
        <v/>
      </c>
      <c r="AT16" s="671" t="str">
        <f t="shared" si="4"/>
        <v/>
      </c>
      <c r="AU16" s="579" t="str">
        <f t="shared" si="17"/>
        <v/>
      </c>
      <c r="AV16" s="26"/>
      <c r="AW16" s="947" t="s">
        <v>5796</v>
      </c>
      <c r="AX16" s="758"/>
      <c r="AY16" s="767"/>
      <c r="AZ16" s="1000" t="s">
        <v>5938</v>
      </c>
      <c r="BA16" s="29"/>
      <c r="BC16" s="762" t="str">
        <f t="shared" si="15"/>
        <v/>
      </c>
      <c r="BD16" s="762" t="str">
        <f t="shared" si="16"/>
        <v/>
      </c>
    </row>
    <row r="17" spans="1:56">
      <c r="B17" s="26"/>
      <c r="C17" s="1525" t="s">
        <v>4225</v>
      </c>
      <c r="D17" s="758"/>
      <c r="E17" s="758" t="str">
        <f>LOWER(C17)</f>
        <v>crucitorn</v>
      </c>
      <c r="F17" s="758"/>
      <c r="G17" s="758"/>
      <c r="H17" s="758"/>
      <c r="I17" s="758"/>
      <c r="J17" s="626"/>
      <c r="K17" s="889"/>
      <c r="L17" s="607"/>
      <c r="M17" s="876"/>
      <c r="N17" s="876"/>
      <c r="O17" s="876"/>
      <c r="P17" s="765">
        <f t="shared" si="0"/>
        <v>0</v>
      </c>
      <c r="Q17" s="765"/>
      <c r="R17" s="765"/>
      <c r="S17" s="765"/>
      <c r="T17" s="765"/>
      <c r="U17" s="765" t="s">
        <v>3816</v>
      </c>
      <c r="V17" s="939" t="s">
        <v>5693</v>
      </c>
      <c r="W17" s="619"/>
      <c r="Y17" s="20" t="str">
        <f t="shared" si="5"/>
        <v/>
      </c>
      <c r="Z17" s="20" t="str">
        <f t="shared" si="6"/>
        <v/>
      </c>
      <c r="AA17" s="20" t="str">
        <f t="shared" si="7"/>
        <v/>
      </c>
      <c r="AB17" s="20" t="str">
        <f t="shared" si="8"/>
        <v/>
      </c>
      <c r="AC17" s="20" t="str">
        <f t="shared" si="9"/>
        <v/>
      </c>
      <c r="AD17" s="20" t="str">
        <f t="shared" si="10"/>
        <v/>
      </c>
      <c r="AE17" s="20" t="str">
        <f t="shared" si="11"/>
        <v/>
      </c>
      <c r="AF17" s="20" t="str">
        <f t="shared" si="12"/>
        <v/>
      </c>
      <c r="AG17" s="623"/>
      <c r="AH17" s="766" t="s">
        <v>4266</v>
      </c>
      <c r="AI17" s="758"/>
      <c r="AJ17" s="758"/>
      <c r="AK17" s="908"/>
      <c r="AL17" s="940" t="s">
        <v>5902</v>
      </c>
      <c r="AM17" s="29"/>
      <c r="AO17" s="997" t="str">
        <f t="shared" si="1"/>
        <v/>
      </c>
      <c r="AP17" s="579" t="str">
        <f t="shared" si="13"/>
        <v/>
      </c>
      <c r="AQ17" s="671" t="str">
        <f t="shared" ref="AQ17:AQ67" si="18">IF(AK17&lt;&gt;"",AH17,"")</f>
        <v/>
      </c>
      <c r="AR17" s="869" t="str">
        <f t="shared" si="2"/>
        <v/>
      </c>
      <c r="AS17" s="869" t="str">
        <f t="shared" si="3"/>
        <v/>
      </c>
      <c r="AT17" s="671" t="str">
        <f t="shared" si="4"/>
        <v/>
      </c>
      <c r="AU17" s="579" t="str">
        <f t="shared" si="17"/>
        <v/>
      </c>
      <c r="AV17" s="26"/>
      <c r="AW17" s="947" t="s">
        <v>5797</v>
      </c>
      <c r="AX17" s="758"/>
      <c r="AY17" s="858"/>
      <c r="AZ17" s="1000" t="s">
        <v>5934</v>
      </c>
      <c r="BA17" s="29"/>
      <c r="BC17" s="762" t="str">
        <f t="shared" si="15"/>
        <v/>
      </c>
      <c r="BD17" s="762" t="str">
        <f t="shared" si="16"/>
        <v/>
      </c>
    </row>
    <row r="18" spans="1:56">
      <c r="B18" s="26"/>
      <c r="C18" s="1525" t="s">
        <v>4226</v>
      </c>
      <c r="D18" s="758"/>
      <c r="E18" s="758" t="str">
        <f>LOWER(C18)</f>
        <v>cryokinesis</v>
      </c>
      <c r="F18" s="758"/>
      <c r="G18" s="758"/>
      <c r="H18" s="758"/>
      <c r="I18" s="758"/>
      <c r="J18" s="783"/>
      <c r="K18" s="889"/>
      <c r="L18" s="607"/>
      <c r="M18" s="876"/>
      <c r="N18" s="876"/>
      <c r="O18" s="876"/>
      <c r="P18" s="765">
        <f t="shared" si="0"/>
        <v>0</v>
      </c>
      <c r="Q18" s="765"/>
      <c r="R18" s="765"/>
      <c r="S18" s="765"/>
      <c r="T18" s="765"/>
      <c r="U18" s="765" t="s">
        <v>3816</v>
      </c>
      <c r="V18" s="939" t="s">
        <v>5694</v>
      </c>
      <c r="W18" s="619"/>
      <c r="Y18" s="20" t="str">
        <f t="shared" si="5"/>
        <v/>
      </c>
      <c r="Z18" s="20" t="str">
        <f t="shared" si="6"/>
        <v/>
      </c>
      <c r="AA18" s="20" t="str">
        <f t="shared" si="7"/>
        <v/>
      </c>
      <c r="AB18" s="20" t="str">
        <f t="shared" si="8"/>
        <v/>
      </c>
      <c r="AC18" s="20" t="str">
        <f t="shared" si="9"/>
        <v/>
      </c>
      <c r="AD18" s="20" t="str">
        <f t="shared" si="10"/>
        <v/>
      </c>
      <c r="AE18" s="20" t="str">
        <f t="shared" si="11"/>
        <v/>
      </c>
      <c r="AF18" s="20" t="str">
        <f t="shared" si="12"/>
        <v/>
      </c>
      <c r="AG18" s="623"/>
      <c r="AH18" s="766" t="s">
        <v>4267</v>
      </c>
      <c r="AI18" s="758"/>
      <c r="AJ18" s="758"/>
      <c r="AK18" s="908"/>
      <c r="AL18" s="940" t="s">
        <v>5902</v>
      </c>
      <c r="AM18" s="29"/>
      <c r="AO18" s="997" t="str">
        <f t="shared" si="1"/>
        <v/>
      </c>
      <c r="AP18" s="579" t="str">
        <f t="shared" si="13"/>
        <v/>
      </c>
      <c r="AQ18" s="671" t="str">
        <f t="shared" si="18"/>
        <v/>
      </c>
      <c r="AR18" s="869" t="str">
        <f t="shared" si="2"/>
        <v/>
      </c>
      <c r="AS18" s="869" t="str">
        <f t="shared" si="3"/>
        <v/>
      </c>
      <c r="AT18" s="671" t="str">
        <f t="shared" si="4"/>
        <v/>
      </c>
      <c r="AU18" s="579" t="str">
        <f t="shared" si="17"/>
        <v/>
      </c>
      <c r="AV18" s="26"/>
      <c r="AW18" s="947" t="s">
        <v>5798</v>
      </c>
      <c r="AX18" s="758"/>
      <c r="AY18" s="767"/>
      <c r="AZ18" s="1000" t="s">
        <v>5938</v>
      </c>
      <c r="BA18" s="29"/>
      <c r="BC18" s="762" t="str">
        <f t="shared" si="15"/>
        <v/>
      </c>
      <c r="BD18" s="762" t="str">
        <f t="shared" si="16"/>
        <v/>
      </c>
    </row>
    <row r="19" spans="1:56">
      <c r="B19" s="26"/>
      <c r="C19" s="758" t="s">
        <v>3839</v>
      </c>
      <c r="D19" s="758"/>
      <c r="E19" s="758" t="s">
        <v>3840</v>
      </c>
      <c r="F19" s="758"/>
      <c r="G19" s="758"/>
      <c r="H19" s="758"/>
      <c r="I19" s="758" t="s">
        <v>2636</v>
      </c>
      <c r="J19" s="626"/>
      <c r="K19" s="889"/>
      <c r="L19" s="607"/>
      <c r="M19" s="607"/>
      <c r="N19" s="607"/>
      <c r="O19" s="607"/>
      <c r="P19" s="765">
        <f t="shared" si="0"/>
        <v>0</v>
      </c>
      <c r="Q19" s="765"/>
      <c r="R19" s="765"/>
      <c r="S19" s="765"/>
      <c r="T19" s="765"/>
      <c r="U19" s="765"/>
      <c r="V19" s="939">
        <v>96</v>
      </c>
      <c r="W19" s="619"/>
      <c r="Y19" s="20" t="str">
        <f t="shared" si="5"/>
        <v/>
      </c>
      <c r="Z19" s="20" t="str">
        <f t="shared" si="6"/>
        <v/>
      </c>
      <c r="AA19" s="20" t="str">
        <f t="shared" si="7"/>
        <v/>
      </c>
      <c r="AB19" s="20" t="str">
        <f t="shared" si="8"/>
        <v/>
      </c>
      <c r="AC19" s="20" t="str">
        <f t="shared" si="9"/>
        <v/>
      </c>
      <c r="AD19" s="20" t="str">
        <f t="shared" si="10"/>
        <v/>
      </c>
      <c r="AE19" s="20" t="str">
        <f t="shared" si="11"/>
        <v/>
      </c>
      <c r="AF19" s="20" t="str">
        <f t="shared" si="12"/>
        <v/>
      </c>
      <c r="AG19" s="623"/>
      <c r="AH19" s="758" t="s">
        <v>3825</v>
      </c>
      <c r="AI19" s="758"/>
      <c r="AJ19" s="758"/>
      <c r="AK19" s="908"/>
      <c r="AL19" s="940">
        <v>102</v>
      </c>
      <c r="AM19" s="29"/>
      <c r="AO19" s="997" t="str">
        <f t="shared" si="1"/>
        <v/>
      </c>
      <c r="AP19" s="579" t="str">
        <f t="shared" si="13"/>
        <v/>
      </c>
      <c r="AQ19" s="762" t="str">
        <f>IF(AK19&lt;&gt;"",IF(AK19&gt;1,AK19&amp;"× ","")&amp;AH19,"")</f>
        <v/>
      </c>
      <c r="AR19" s="869" t="str">
        <f t="shared" si="2"/>
        <v/>
      </c>
      <c r="AS19" s="869" t="str">
        <f t="shared" si="3"/>
        <v/>
      </c>
      <c r="AT19" s="671" t="str">
        <f t="shared" si="4"/>
        <v/>
      </c>
      <c r="AU19" s="579" t="str">
        <f t="shared" si="17"/>
        <v/>
      </c>
      <c r="AV19" s="26"/>
      <c r="AW19" s="947" t="s">
        <v>5799</v>
      </c>
      <c r="AX19" s="758"/>
      <c r="AY19" s="1378"/>
      <c r="AZ19" s="939">
        <v>103</v>
      </c>
      <c r="BA19" s="29"/>
      <c r="BC19" s="762" t="str">
        <f t="shared" si="15"/>
        <v/>
      </c>
      <c r="BD19" s="762" t="str">
        <f t="shared" si="16"/>
        <v/>
      </c>
    </row>
    <row r="20" spans="1:56">
      <c r="B20" s="26"/>
      <c r="C20" s="758" t="s">
        <v>3842</v>
      </c>
      <c r="D20" s="758"/>
      <c r="E20" s="758" t="s">
        <v>3843</v>
      </c>
      <c r="F20" s="758"/>
      <c r="G20" s="758"/>
      <c r="H20" s="758"/>
      <c r="I20" s="758" t="s">
        <v>2636</v>
      </c>
      <c r="J20" s="626"/>
      <c r="K20" s="889"/>
      <c r="L20" s="607"/>
      <c r="M20" s="607"/>
      <c r="N20" s="607"/>
      <c r="O20" s="607"/>
      <c r="P20" s="765">
        <f t="shared" si="0"/>
        <v>0</v>
      </c>
      <c r="Q20" s="765"/>
      <c r="R20" s="765"/>
      <c r="S20" s="765"/>
      <c r="T20" s="765"/>
      <c r="U20" s="765"/>
      <c r="V20" s="1000" t="s">
        <v>5903</v>
      </c>
      <c r="W20" s="619"/>
      <c r="Y20" s="20" t="str">
        <f t="shared" si="5"/>
        <v/>
      </c>
      <c r="Z20" s="20" t="str">
        <f t="shared" si="6"/>
        <v/>
      </c>
      <c r="AA20" s="20" t="str">
        <f t="shared" si="7"/>
        <v/>
      </c>
      <c r="AB20" s="20" t="str">
        <f t="shared" si="8"/>
        <v/>
      </c>
      <c r="AC20" s="20" t="str">
        <f t="shared" si="9"/>
        <v/>
      </c>
      <c r="AD20" s="20" t="str">
        <f t="shared" si="10"/>
        <v/>
      </c>
      <c r="AE20" s="20" t="str">
        <f t="shared" si="11"/>
        <v/>
      </c>
      <c r="AF20" s="20" t="str">
        <f t="shared" si="12"/>
        <v/>
      </c>
      <c r="AG20" s="623"/>
      <c r="AH20" s="758" t="s">
        <v>3827</v>
      </c>
      <c r="AI20" s="758"/>
      <c r="AJ20" s="758"/>
      <c r="AK20" s="908"/>
      <c r="AL20" s="940">
        <v>102</v>
      </c>
      <c r="AM20" s="29"/>
      <c r="AO20" s="997" t="str">
        <f t="shared" si="1"/>
        <v/>
      </c>
      <c r="AP20" s="579" t="str">
        <f t="shared" si="13"/>
        <v/>
      </c>
      <c r="AQ20" s="762" t="str">
        <f>IF(AK20&lt;&gt;"",AS9,"")</f>
        <v/>
      </c>
      <c r="AR20" s="869" t="str">
        <f t="shared" si="2"/>
        <v/>
      </c>
      <c r="AS20" s="869" t="str">
        <f t="shared" si="3"/>
        <v/>
      </c>
      <c r="AT20" s="671" t="str">
        <f>IF(AQ20&lt;&gt;"",AQ20&amp;AT21,AT21)</f>
        <v/>
      </c>
      <c r="AU20" s="579" t="str">
        <f>IF(AT20&lt;&gt;"",AT20&amp;";"&amp;AU21,AU21)</f>
        <v/>
      </c>
      <c r="AV20" s="26"/>
      <c r="AW20" s="947" t="s">
        <v>5800</v>
      </c>
      <c r="AX20" s="758"/>
      <c r="AY20" s="858"/>
      <c r="AZ20" s="940" t="s">
        <v>5911</v>
      </c>
      <c r="BA20" s="29"/>
      <c r="BC20" s="762" t="str">
        <f t="shared" si="15"/>
        <v/>
      </c>
      <c r="BD20" s="762" t="str">
        <f t="shared" si="16"/>
        <v/>
      </c>
    </row>
    <row r="21" spans="1:56">
      <c r="B21" s="26"/>
      <c r="C21" s="758" t="s">
        <v>3011</v>
      </c>
      <c r="D21" s="758"/>
      <c r="E21" s="758" t="s">
        <v>3845</v>
      </c>
      <c r="F21" s="1054" t="s">
        <v>4221</v>
      </c>
      <c r="G21" s="758"/>
      <c r="H21" s="758"/>
      <c r="I21" s="758"/>
      <c r="J21" s="626"/>
      <c r="K21" s="889"/>
      <c r="L21" s="607"/>
      <c r="M21" s="607"/>
      <c r="N21" s="607"/>
      <c r="O21" s="607"/>
      <c r="P21" s="765">
        <f t="shared" si="0"/>
        <v>0</v>
      </c>
      <c r="Q21" s="765"/>
      <c r="R21" s="765"/>
      <c r="S21" s="765"/>
      <c r="T21" s="765" t="s">
        <v>3816</v>
      </c>
      <c r="U21" s="765"/>
      <c r="V21" s="1000" t="s">
        <v>5903</v>
      </c>
      <c r="W21" s="619"/>
      <c r="Y21" s="20" t="str">
        <f t="shared" si="5"/>
        <v/>
      </c>
      <c r="Z21" s="20" t="str">
        <f t="shared" si="6"/>
        <v/>
      </c>
      <c r="AA21" s="20" t="str">
        <f t="shared" si="7"/>
        <v/>
      </c>
      <c r="AB21" s="20" t="str">
        <f t="shared" si="8"/>
        <v/>
      </c>
      <c r="AC21" s="20" t="str">
        <f t="shared" si="9"/>
        <v/>
      </c>
      <c r="AD21" s="20" t="str">
        <f t="shared" si="10"/>
        <v/>
      </c>
      <c r="AE21" s="20" t="str">
        <f t="shared" si="11"/>
        <v/>
      </c>
      <c r="AF21" s="20" t="str">
        <f t="shared" si="12"/>
        <v/>
      </c>
      <c r="AG21" s="623"/>
      <c r="AH21" s="758" t="s">
        <v>3830</v>
      </c>
      <c r="AI21" s="758"/>
      <c r="AJ21" s="758"/>
      <c r="AK21" s="908"/>
      <c r="AL21" s="940" t="s">
        <v>5935</v>
      </c>
      <c r="AM21" s="29"/>
      <c r="AO21" s="997" t="str">
        <f t="shared" si="1"/>
        <v/>
      </c>
      <c r="AP21" s="579" t="str">
        <f t="shared" si="13"/>
        <v/>
      </c>
      <c r="AQ21" s="762" t="str">
        <f t="shared" si="18"/>
        <v/>
      </c>
      <c r="AR21" s="869" t="str">
        <f t="shared" si="2"/>
        <v/>
      </c>
      <c r="AS21" s="869" t="str">
        <f t="shared" si="3"/>
        <v/>
      </c>
      <c r="AT21" s="762" t="str">
        <f t="shared" si="4"/>
        <v/>
      </c>
      <c r="AU21" s="579" t="str">
        <f>IF(AT21&lt;&gt;"",AT21&amp;";"&amp;AU22,AU22)</f>
        <v/>
      </c>
      <c r="AV21" s="26"/>
      <c r="AW21" s="947" t="s">
        <v>5801</v>
      </c>
      <c r="AX21" s="758"/>
      <c r="AY21" s="1535"/>
      <c r="AZ21" s="939">
        <v>103</v>
      </c>
      <c r="BA21" s="29"/>
      <c r="BC21" s="762" t="str">
        <f t="shared" si="15"/>
        <v/>
      </c>
      <c r="BD21" s="762" t="str">
        <f t="shared" si="16"/>
        <v/>
      </c>
    </row>
    <row r="22" spans="1:56">
      <c r="B22" s="26"/>
      <c r="C22" s="758" t="s">
        <v>4227</v>
      </c>
      <c r="D22" s="758"/>
      <c r="E22" s="758" t="str">
        <f>LOWER(C22)</f>
        <v>drain energy</v>
      </c>
      <c r="F22" s="758"/>
      <c r="G22" s="758"/>
      <c r="H22" s="758"/>
      <c r="I22" s="758"/>
      <c r="J22" s="626"/>
      <c r="K22" s="889"/>
      <c r="L22" s="607"/>
      <c r="M22" s="876"/>
      <c r="N22" s="876"/>
      <c r="O22" s="876"/>
      <c r="P22" s="765">
        <f t="shared" si="0"/>
        <v>0</v>
      </c>
      <c r="Q22" s="765"/>
      <c r="R22" s="765"/>
      <c r="S22" s="765"/>
      <c r="T22" s="765"/>
      <c r="U22" s="765" t="s">
        <v>3816</v>
      </c>
      <c r="V22" s="939" t="s">
        <v>5694</v>
      </c>
      <c r="W22" s="619"/>
      <c r="Y22" s="20" t="str">
        <f t="shared" si="5"/>
        <v/>
      </c>
      <c r="Z22" s="20" t="str">
        <f t="shared" si="6"/>
        <v/>
      </c>
      <c r="AA22" s="20" t="str">
        <f t="shared" si="7"/>
        <v/>
      </c>
      <c r="AB22" s="20" t="str">
        <f t="shared" si="8"/>
        <v/>
      </c>
      <c r="AC22" s="20" t="str">
        <f t="shared" si="9"/>
        <v/>
      </c>
      <c r="AD22" s="20" t="str">
        <f t="shared" si="10"/>
        <v/>
      </c>
      <c r="AE22" s="20" t="str">
        <f t="shared" si="11"/>
        <v/>
      </c>
      <c r="AF22" s="20" t="str">
        <f t="shared" si="12"/>
        <v/>
      </c>
      <c r="AG22" s="623"/>
      <c r="AH22" s="758" t="s">
        <v>3833</v>
      </c>
      <c r="AI22" s="758"/>
      <c r="AJ22" s="758"/>
      <c r="AK22" s="908"/>
      <c r="AL22" s="940" t="s">
        <v>5910</v>
      </c>
      <c r="AM22" s="29"/>
      <c r="AO22" s="997" t="str">
        <f t="shared" si="1"/>
        <v/>
      </c>
      <c r="AP22" s="579" t="str">
        <f t="shared" si="13"/>
        <v/>
      </c>
      <c r="AQ22" s="762" t="str">
        <f t="shared" si="18"/>
        <v/>
      </c>
      <c r="AR22" s="869" t="str">
        <f t="shared" si="2"/>
        <v/>
      </c>
      <c r="AS22" s="869" t="str">
        <f t="shared" si="3"/>
        <v/>
      </c>
      <c r="AT22" s="762" t="str">
        <f t="shared" si="4"/>
        <v/>
      </c>
      <c r="AU22" s="579" t="str">
        <f t="shared" si="17"/>
        <v/>
      </c>
      <c r="AV22" s="26"/>
      <c r="AW22" s="947" t="s">
        <v>5802</v>
      </c>
      <c r="AX22" s="758"/>
      <c r="AY22" s="858"/>
      <c r="AZ22" s="940" t="s">
        <v>5911</v>
      </c>
      <c r="BA22" s="29"/>
      <c r="BC22" s="762" t="str">
        <f t="shared" si="15"/>
        <v/>
      </c>
      <c r="BD22" s="762" t="str">
        <f t="shared" si="16"/>
        <v/>
      </c>
    </row>
    <row r="23" spans="1:56">
      <c r="B23" s="26"/>
      <c r="C23" s="758" t="s">
        <v>3847</v>
      </c>
      <c r="D23" s="758"/>
      <c r="E23" s="758" t="s">
        <v>3848</v>
      </c>
      <c r="F23" s="758"/>
      <c r="G23" s="758"/>
      <c r="H23" s="758"/>
      <c r="I23" s="758"/>
      <c r="J23" s="626"/>
      <c r="K23" s="889"/>
      <c r="L23" s="607"/>
      <c r="M23" s="607"/>
      <c r="N23" s="607"/>
      <c r="O23" s="607"/>
      <c r="P23" s="765">
        <f t="shared" si="0"/>
        <v>0</v>
      </c>
      <c r="Q23" s="765" t="s">
        <v>3816</v>
      </c>
      <c r="R23" s="765"/>
      <c r="S23" s="765"/>
      <c r="T23" s="765"/>
      <c r="U23" s="765"/>
      <c r="V23" s="1000" t="s">
        <v>5905</v>
      </c>
      <c r="W23" s="619"/>
      <c r="Y23" s="20" t="str">
        <f t="shared" si="5"/>
        <v/>
      </c>
      <c r="Z23" s="20" t="str">
        <f t="shared" si="6"/>
        <v/>
      </c>
      <c r="AA23" s="20" t="str">
        <f t="shared" si="7"/>
        <v/>
      </c>
      <c r="AB23" s="20" t="str">
        <f t="shared" si="8"/>
        <v/>
      </c>
      <c r="AC23" s="20" t="str">
        <f t="shared" si="9"/>
        <v/>
      </c>
      <c r="AD23" s="20" t="str">
        <f t="shared" si="10"/>
        <v/>
      </c>
      <c r="AE23" s="20" t="str">
        <f t="shared" si="11"/>
        <v/>
      </c>
      <c r="AF23" s="20" t="str">
        <f t="shared" si="12"/>
        <v/>
      </c>
      <c r="AG23" s="623"/>
      <c r="AH23" s="758" t="s">
        <v>3835</v>
      </c>
      <c r="AI23" s="758"/>
      <c r="AJ23" s="758"/>
      <c r="AK23" s="908"/>
      <c r="AL23" s="940" t="s">
        <v>5933</v>
      </c>
      <c r="AM23" s="29"/>
      <c r="AO23" s="997" t="str">
        <f t="shared" si="1"/>
        <v/>
      </c>
      <c r="AP23" s="579" t="str">
        <f t="shared" si="13"/>
        <v/>
      </c>
      <c r="AQ23" s="762" t="str">
        <f t="shared" si="18"/>
        <v/>
      </c>
      <c r="AR23" s="869" t="str">
        <f t="shared" si="2"/>
        <v/>
      </c>
      <c r="AS23" s="869" t="str">
        <f t="shared" si="3"/>
        <v/>
      </c>
      <c r="AT23" s="762" t="str">
        <f t="shared" si="4"/>
        <v/>
      </c>
      <c r="AU23" s="579" t="str">
        <f t="shared" si="17"/>
        <v/>
      </c>
      <c r="AV23" s="26"/>
      <c r="AW23" s="947" t="s">
        <v>5803</v>
      </c>
      <c r="AX23" s="758"/>
      <c r="AY23" s="858"/>
      <c r="AZ23" s="939">
        <v>103</v>
      </c>
      <c r="BA23" s="29"/>
      <c r="BC23" s="762" t="str">
        <f t="shared" si="15"/>
        <v/>
      </c>
      <c r="BD23" s="762" t="str">
        <f t="shared" si="16"/>
        <v/>
      </c>
    </row>
    <row r="24" spans="1:56">
      <c r="B24" s="26"/>
      <c r="C24" s="758" t="s">
        <v>3850</v>
      </c>
      <c r="D24" s="758"/>
      <c r="E24" s="758" t="s">
        <v>3851</v>
      </c>
      <c r="F24" s="758"/>
      <c r="G24" s="758" t="s">
        <v>4222</v>
      </c>
      <c r="H24" s="758"/>
      <c r="I24" s="758"/>
      <c r="J24" s="626"/>
      <c r="K24" s="889"/>
      <c r="L24" s="607"/>
      <c r="M24" s="607"/>
      <c r="N24" s="607"/>
      <c r="O24" s="607"/>
      <c r="P24" s="765">
        <f t="shared" si="0"/>
        <v>0</v>
      </c>
      <c r="Q24" s="765"/>
      <c r="R24" s="765"/>
      <c r="S24" s="765"/>
      <c r="T24" s="765" t="s">
        <v>3816</v>
      </c>
      <c r="U24" s="765"/>
      <c r="V24" s="1000" t="s">
        <v>5904</v>
      </c>
      <c r="W24" s="619"/>
      <c r="Y24" s="20" t="str">
        <f t="shared" si="5"/>
        <v/>
      </c>
      <c r="Z24" s="20" t="str">
        <f t="shared" si="6"/>
        <v/>
      </c>
      <c r="AA24" s="20" t="str">
        <f t="shared" si="7"/>
        <v/>
      </c>
      <c r="AB24" s="20" t="str">
        <f t="shared" si="8"/>
        <v/>
      </c>
      <c r="AC24" s="20" t="str">
        <f t="shared" si="9"/>
        <v/>
      </c>
      <c r="AD24" s="20" t="str">
        <f t="shared" si="10"/>
        <v/>
      </c>
      <c r="AE24" s="20" t="str">
        <f t="shared" si="11"/>
        <v/>
      </c>
      <c r="AF24" s="20" t="str">
        <f t="shared" si="12"/>
        <v/>
      </c>
      <c r="AG24" s="623"/>
      <c r="AH24" s="766" t="s">
        <v>4268</v>
      </c>
      <c r="AI24" s="758"/>
      <c r="AJ24" s="758"/>
      <c r="AK24" s="908"/>
      <c r="AL24" s="940" t="s">
        <v>5902</v>
      </c>
      <c r="AM24" s="29"/>
      <c r="AO24" s="997" t="str">
        <f t="shared" si="1"/>
        <v/>
      </c>
      <c r="AP24" s="579" t="str">
        <f t="shared" si="13"/>
        <v/>
      </c>
      <c r="AQ24" s="762" t="str">
        <f t="shared" si="18"/>
        <v/>
      </c>
      <c r="AR24" s="869" t="str">
        <f t="shared" si="2"/>
        <v/>
      </c>
      <c r="AS24" s="869" t="str">
        <f t="shared" si="3"/>
        <v/>
      </c>
      <c r="AT24" s="762" t="str">
        <f t="shared" si="4"/>
        <v/>
      </c>
      <c r="AU24" s="579" t="str">
        <f t="shared" si="17"/>
        <v/>
      </c>
      <c r="AV24" s="26"/>
      <c r="AW24" s="947" t="s">
        <v>5804</v>
      </c>
      <c r="AX24" s="758"/>
      <c r="AY24" s="767"/>
      <c r="AZ24" s="1000" t="s">
        <v>5934</v>
      </c>
      <c r="BA24" s="29"/>
      <c r="BC24" s="762" t="str">
        <f t="shared" si="15"/>
        <v/>
      </c>
      <c r="BD24" s="762" t="str">
        <f t="shared" si="16"/>
        <v/>
      </c>
    </row>
    <row r="25" spans="1:56" ht="15" thickBot="1">
      <c r="B25" s="26"/>
      <c r="C25" s="758" t="s">
        <v>3853</v>
      </c>
      <c r="D25" s="758"/>
      <c r="E25" s="758" t="s">
        <v>3854</v>
      </c>
      <c r="F25" s="758"/>
      <c r="G25" s="758"/>
      <c r="H25" s="758"/>
      <c r="I25" s="758"/>
      <c r="J25" s="626"/>
      <c r="K25" s="889"/>
      <c r="L25" s="607"/>
      <c r="M25" s="607"/>
      <c r="N25" s="607"/>
      <c r="O25" s="607"/>
      <c r="P25" s="765">
        <f t="shared" si="0"/>
        <v>0</v>
      </c>
      <c r="Q25" s="765"/>
      <c r="R25" s="765"/>
      <c r="S25" s="765"/>
      <c r="T25" s="765"/>
      <c r="U25" s="765"/>
      <c r="V25" s="939">
        <v>96</v>
      </c>
      <c r="W25" s="619"/>
      <c r="Y25" s="20" t="str">
        <f t="shared" si="5"/>
        <v/>
      </c>
      <c r="Z25" s="20" t="str">
        <f t="shared" si="6"/>
        <v/>
      </c>
      <c r="AA25" s="20" t="str">
        <f t="shared" si="7"/>
        <v/>
      </c>
      <c r="AB25" s="20" t="str">
        <f t="shared" si="8"/>
        <v/>
      </c>
      <c r="AC25" s="20" t="str">
        <f t="shared" si="9"/>
        <v/>
      </c>
      <c r="AD25" s="20" t="str">
        <f t="shared" si="10"/>
        <v/>
      </c>
      <c r="AE25" s="20" t="str">
        <f t="shared" si="11"/>
        <v/>
      </c>
      <c r="AF25" s="20" t="str">
        <f t="shared" si="12"/>
        <v/>
      </c>
      <c r="AG25" s="623"/>
      <c r="AH25" s="766" t="s">
        <v>4269</v>
      </c>
      <c r="AI25" s="758"/>
      <c r="AJ25" s="758"/>
      <c r="AK25" s="908"/>
      <c r="AL25" s="940" t="s">
        <v>5938</v>
      </c>
      <c r="AM25" s="29"/>
      <c r="AO25" s="997" t="str">
        <f t="shared" si="1"/>
        <v/>
      </c>
      <c r="AP25" s="579" t="str">
        <f t="shared" si="13"/>
        <v/>
      </c>
      <c r="AQ25" s="762" t="str">
        <f t="shared" si="18"/>
        <v/>
      </c>
      <c r="AR25" s="869" t="str">
        <f t="shared" si="2"/>
        <v/>
      </c>
      <c r="AS25" s="869" t="str">
        <f t="shared" si="3"/>
        <v/>
      </c>
      <c r="AT25" s="762" t="str">
        <f t="shared" si="4"/>
        <v/>
      </c>
      <c r="AU25" s="579" t="str">
        <f t="shared" si="17"/>
        <v/>
      </c>
      <c r="AV25" s="32"/>
      <c r="AW25" s="763"/>
      <c r="AX25" s="763"/>
      <c r="AY25" s="763"/>
      <c r="AZ25" s="34"/>
      <c r="BA25" s="35"/>
      <c r="BD25" s="383" t="s">
        <v>195</v>
      </c>
    </row>
    <row r="26" spans="1:56">
      <c r="B26" s="26"/>
      <c r="C26" s="758" t="s">
        <v>3856</v>
      </c>
      <c r="D26" s="758"/>
      <c r="E26" s="758" t="s">
        <v>3857</v>
      </c>
      <c r="F26" s="758"/>
      <c r="G26" s="758"/>
      <c r="H26" s="758"/>
      <c r="I26" s="758" t="s">
        <v>2636</v>
      </c>
      <c r="J26" s="626"/>
      <c r="K26" s="889"/>
      <c r="L26" s="607"/>
      <c r="M26" s="607"/>
      <c r="N26" s="607"/>
      <c r="O26" s="607"/>
      <c r="P26" s="765">
        <f t="shared" si="0"/>
        <v>0</v>
      </c>
      <c r="Q26" s="765" t="s">
        <v>3816</v>
      </c>
      <c r="R26" s="765"/>
      <c r="S26" s="765"/>
      <c r="T26" s="765"/>
      <c r="U26" s="765"/>
      <c r="V26" s="1000" t="s">
        <v>5905</v>
      </c>
      <c r="W26" s="619"/>
      <c r="Y26" s="20" t="str">
        <f t="shared" si="5"/>
        <v/>
      </c>
      <c r="Z26" s="20" t="str">
        <f t="shared" si="6"/>
        <v/>
      </c>
      <c r="AA26" s="20" t="str">
        <f t="shared" si="7"/>
        <v/>
      </c>
      <c r="AB26" s="20" t="str">
        <f t="shared" si="8"/>
        <v/>
      </c>
      <c r="AC26" s="20" t="str">
        <f t="shared" si="9"/>
        <v/>
      </c>
      <c r="AD26" s="20" t="str">
        <f t="shared" si="10"/>
        <v/>
      </c>
      <c r="AE26" s="20" t="str">
        <f t="shared" si="11"/>
        <v/>
      </c>
      <c r="AF26" s="20" t="str">
        <f t="shared" si="12"/>
        <v/>
      </c>
      <c r="AG26" s="623"/>
      <c r="AH26" s="766" t="s">
        <v>4270</v>
      </c>
      <c r="AI26" s="758"/>
      <c r="AJ26" s="758"/>
      <c r="AK26" s="908"/>
      <c r="AL26" s="940" t="s">
        <v>5938</v>
      </c>
      <c r="AM26" s="29"/>
      <c r="AO26" s="997" t="str">
        <f t="shared" si="1"/>
        <v/>
      </c>
      <c r="AP26" s="579" t="str">
        <f t="shared" si="13"/>
        <v/>
      </c>
      <c r="AQ26" s="762" t="str">
        <f t="shared" si="18"/>
        <v/>
      </c>
      <c r="AR26" s="869" t="str">
        <f t="shared" si="2"/>
        <v/>
      </c>
      <c r="AS26" s="869" t="str">
        <f t="shared" si="3"/>
        <v/>
      </c>
      <c r="AT26" s="762" t="str">
        <f t="shared" si="4"/>
        <v/>
      </c>
      <c r="AU26" s="579" t="str">
        <f t="shared" si="17"/>
        <v/>
      </c>
      <c r="AW26" s="671"/>
    </row>
    <row r="27" spans="1:56">
      <c r="B27" s="26"/>
      <c r="C27" s="758" t="s">
        <v>4228</v>
      </c>
      <c r="D27" s="758"/>
      <c r="E27" s="758" t="str">
        <f>LOWER(C27)</f>
        <v>fold space</v>
      </c>
      <c r="F27" s="758"/>
      <c r="G27" s="758"/>
      <c r="H27" s="758"/>
      <c r="I27" s="758"/>
      <c r="J27" s="626"/>
      <c r="K27" s="889"/>
      <c r="L27" s="607"/>
      <c r="M27" s="876"/>
      <c r="N27" s="876"/>
      <c r="O27" s="876"/>
      <c r="P27" s="765">
        <f t="shared" si="0"/>
        <v>0</v>
      </c>
      <c r="Q27" s="765"/>
      <c r="R27" s="765"/>
      <c r="S27" s="765"/>
      <c r="T27" s="765"/>
      <c r="U27" s="765" t="s">
        <v>3816</v>
      </c>
      <c r="V27" s="939" t="s">
        <v>5694</v>
      </c>
      <c r="W27" s="619"/>
      <c r="Y27" s="20" t="str">
        <f t="shared" si="5"/>
        <v/>
      </c>
      <c r="Z27" s="20" t="str">
        <f t="shared" si="6"/>
        <v/>
      </c>
      <c r="AA27" s="20" t="str">
        <f t="shared" si="7"/>
        <v/>
      </c>
      <c r="AB27" s="20" t="str">
        <f t="shared" si="8"/>
        <v/>
      </c>
      <c r="AC27" s="20" t="str">
        <f t="shared" si="9"/>
        <v/>
      </c>
      <c r="AD27" s="20" t="str">
        <f t="shared" si="10"/>
        <v/>
      </c>
      <c r="AE27" s="20" t="str">
        <f t="shared" si="11"/>
        <v/>
      </c>
      <c r="AF27" s="20" t="str">
        <f t="shared" si="12"/>
        <v/>
      </c>
      <c r="AG27" s="623"/>
      <c r="AH27" s="758" t="s">
        <v>3838</v>
      </c>
      <c r="AI27" s="758"/>
      <c r="AJ27" s="758"/>
      <c r="AK27" s="1412"/>
      <c r="AL27" s="940" t="s">
        <v>5910</v>
      </c>
      <c r="AM27" s="29"/>
      <c r="AO27" s="997" t="str">
        <f t="shared" si="1"/>
        <v/>
      </c>
      <c r="AP27" s="579" t="str">
        <f t="shared" si="13"/>
        <v/>
      </c>
      <c r="AQ27" s="762" t="str">
        <f t="shared" si="18"/>
        <v/>
      </c>
      <c r="AR27" s="869" t="str">
        <f t="shared" si="2"/>
        <v/>
      </c>
      <c r="AS27" s="869" t="str">
        <f t="shared" si="3"/>
        <v/>
      </c>
      <c r="AT27" s="762" t="str">
        <f t="shared" si="4"/>
        <v/>
      </c>
      <c r="AU27" s="579" t="str">
        <f t="shared" si="17"/>
        <v/>
      </c>
      <c r="AW27" s="671"/>
    </row>
    <row r="28" spans="1:56">
      <c r="B28" s="26"/>
      <c r="C28" s="758" t="s">
        <v>1391</v>
      </c>
      <c r="D28" s="758"/>
      <c r="E28" s="758" t="s">
        <v>3859</v>
      </c>
      <c r="F28" s="758"/>
      <c r="G28" s="758"/>
      <c r="H28" s="758"/>
      <c r="I28" s="758"/>
      <c r="J28" s="626"/>
      <c r="K28" s="889"/>
      <c r="L28" s="607"/>
      <c r="M28" s="607"/>
      <c r="N28" s="607"/>
      <c r="O28" s="607"/>
      <c r="P28" s="765">
        <f t="shared" si="0"/>
        <v>0</v>
      </c>
      <c r="Q28" s="765"/>
      <c r="R28" s="765" t="s">
        <v>3816</v>
      </c>
      <c r="S28" s="765"/>
      <c r="T28" s="765"/>
      <c r="U28" s="765"/>
      <c r="V28" s="1000" t="s">
        <v>5927</v>
      </c>
      <c r="W28" s="619"/>
      <c r="Y28" s="20" t="str">
        <f t="shared" si="5"/>
        <v/>
      </c>
      <c r="Z28" s="20" t="str">
        <f t="shared" si="6"/>
        <v/>
      </c>
      <c r="AA28" s="20" t="str">
        <f t="shared" si="7"/>
        <v/>
      </c>
      <c r="AB28" s="20" t="str">
        <f t="shared" si="8"/>
        <v/>
      </c>
      <c r="AC28" s="20" t="str">
        <f t="shared" si="9"/>
        <v/>
      </c>
      <c r="AD28" s="20" t="str">
        <f t="shared" si="10"/>
        <v/>
      </c>
      <c r="AE28" s="20" t="str">
        <f t="shared" si="11"/>
        <v/>
      </c>
      <c r="AF28" s="20" t="str">
        <f t="shared" si="12"/>
        <v/>
      </c>
      <c r="AG28" s="623"/>
      <c r="AH28" s="758" t="s">
        <v>3841</v>
      </c>
      <c r="AI28" s="758"/>
      <c r="AJ28" s="758"/>
      <c r="AK28" s="1369"/>
      <c r="AL28" s="940" t="s">
        <v>5935</v>
      </c>
      <c r="AM28" s="29"/>
      <c r="AO28" s="997" t="str">
        <f t="shared" si="1"/>
        <v/>
      </c>
      <c r="AP28" s="579" t="str">
        <f t="shared" si="13"/>
        <v/>
      </c>
      <c r="AQ28" s="762" t="str">
        <f t="shared" si="18"/>
        <v/>
      </c>
      <c r="AR28" s="869" t="str">
        <f t="shared" si="2"/>
        <v/>
      </c>
      <c r="AS28" s="869" t="str">
        <f t="shared" si="3"/>
        <v/>
      </c>
      <c r="AT28" s="762" t="str">
        <f t="shared" si="4"/>
        <v/>
      </c>
      <c r="AU28" s="579" t="str">
        <f t="shared" si="17"/>
        <v/>
      </c>
      <c r="AW28" s="671"/>
    </row>
    <row r="29" spans="1:56">
      <c r="A29" s="606"/>
      <c r="B29" s="26"/>
      <c r="C29" s="758" t="s">
        <v>3860</v>
      </c>
      <c r="D29" s="758"/>
      <c r="E29" s="758" t="s">
        <v>3861</v>
      </c>
      <c r="F29" s="758" t="s">
        <v>4221</v>
      </c>
      <c r="G29" s="758"/>
      <c r="H29" s="758"/>
      <c r="I29" s="758"/>
      <c r="J29" s="626"/>
      <c r="K29" s="889"/>
      <c r="L29" s="607"/>
      <c r="M29" s="607"/>
      <c r="N29" s="607"/>
      <c r="O29" s="607"/>
      <c r="P29" s="765">
        <f t="shared" si="0"/>
        <v>0</v>
      </c>
      <c r="Q29" s="765"/>
      <c r="R29" s="765"/>
      <c r="S29" s="765"/>
      <c r="T29" s="765"/>
      <c r="U29" s="765"/>
      <c r="V29" s="939">
        <v>97</v>
      </c>
      <c r="W29" s="619"/>
      <c r="Y29" s="20" t="str">
        <f t="shared" si="5"/>
        <v/>
      </c>
      <c r="Z29" s="20" t="str">
        <f t="shared" si="6"/>
        <v/>
      </c>
      <c r="AA29" s="20" t="str">
        <f t="shared" si="7"/>
        <v/>
      </c>
      <c r="AB29" s="20" t="str">
        <f t="shared" si="8"/>
        <v/>
      </c>
      <c r="AC29" s="20" t="str">
        <f t="shared" si="9"/>
        <v/>
      </c>
      <c r="AD29" s="20" t="str">
        <f t="shared" si="10"/>
        <v/>
      </c>
      <c r="AE29" s="20" t="str">
        <f t="shared" si="11"/>
        <v/>
      </c>
      <c r="AF29" s="20" t="str">
        <f t="shared" si="12"/>
        <v/>
      </c>
      <c r="AG29" s="623"/>
      <c r="AH29" s="758" t="s">
        <v>3844</v>
      </c>
      <c r="AI29" s="758"/>
      <c r="AJ29" s="758"/>
      <c r="AK29" s="908"/>
      <c r="AL29" s="940" t="s">
        <v>5936</v>
      </c>
      <c r="AM29" s="29"/>
      <c r="AO29" s="997" t="str">
        <f t="shared" si="1"/>
        <v/>
      </c>
      <c r="AP29" s="579" t="str">
        <f t="shared" si="13"/>
        <v/>
      </c>
      <c r="AQ29" s="762" t="str">
        <f t="shared" si="18"/>
        <v/>
      </c>
      <c r="AR29" s="869" t="str">
        <f t="shared" si="2"/>
        <v/>
      </c>
      <c r="AS29" s="869" t="str">
        <f t="shared" si="3"/>
        <v/>
      </c>
      <c r="AT29" s="762" t="str">
        <f t="shared" si="4"/>
        <v/>
      </c>
      <c r="AU29" s="579" t="str">
        <f t="shared" si="17"/>
        <v/>
      </c>
      <c r="AW29" s="671"/>
    </row>
    <row r="30" spans="1:56">
      <c r="A30" s="606"/>
      <c r="B30" s="26"/>
      <c r="C30" s="1413" t="s">
        <v>3863</v>
      </c>
      <c r="D30" s="758"/>
      <c r="E30" s="758" t="s">
        <v>3864</v>
      </c>
      <c r="F30" s="758" t="s">
        <v>4221</v>
      </c>
      <c r="G30" s="758"/>
      <c r="H30" s="758"/>
      <c r="I30" s="758"/>
      <c r="J30" s="626"/>
      <c r="K30" s="889"/>
      <c r="L30" s="607"/>
      <c r="M30" s="607"/>
      <c r="N30" s="607"/>
      <c r="O30" s="607"/>
      <c r="P30" s="765">
        <f t="shared" si="0"/>
        <v>0</v>
      </c>
      <c r="Q30" s="765"/>
      <c r="R30" s="765"/>
      <c r="S30" s="765"/>
      <c r="T30" s="765"/>
      <c r="U30" s="765"/>
      <c r="V30" s="939">
        <v>97</v>
      </c>
      <c r="W30" s="619"/>
      <c r="Y30" s="20" t="str">
        <f t="shared" si="5"/>
        <v/>
      </c>
      <c r="Z30" s="20" t="str">
        <f t="shared" si="6"/>
        <v/>
      </c>
      <c r="AA30" s="20" t="str">
        <f t="shared" si="7"/>
        <v/>
      </c>
      <c r="AB30" s="20" t="str">
        <f t="shared" si="8"/>
        <v/>
      </c>
      <c r="AC30" s="20" t="str">
        <f t="shared" si="9"/>
        <v/>
      </c>
      <c r="AD30" s="20" t="str">
        <f t="shared" si="10"/>
        <v/>
      </c>
      <c r="AE30" s="20" t="str">
        <f t="shared" si="11"/>
        <v/>
      </c>
      <c r="AF30" s="20" t="str">
        <f t="shared" si="12"/>
        <v/>
      </c>
      <c r="AG30" s="623"/>
      <c r="AH30" s="758" t="s">
        <v>3846</v>
      </c>
      <c r="AI30" s="758"/>
      <c r="AJ30" s="758"/>
      <c r="AK30" s="908"/>
      <c r="AL30" s="940" t="s">
        <v>5908</v>
      </c>
      <c r="AM30" s="29"/>
      <c r="AO30" s="997" t="str">
        <f t="shared" si="1"/>
        <v/>
      </c>
      <c r="AP30" s="579" t="str">
        <f t="shared" si="13"/>
        <v/>
      </c>
      <c r="AQ30" s="762" t="str">
        <f t="shared" si="18"/>
        <v/>
      </c>
      <c r="AR30" s="869" t="str">
        <f t="shared" si="2"/>
        <v/>
      </c>
      <c r="AS30" s="869" t="str">
        <f t="shared" si="3"/>
        <v/>
      </c>
      <c r="AT30" s="762" t="str">
        <f t="shared" si="4"/>
        <v/>
      </c>
      <c r="AU30" s="579" t="str">
        <f t="shared" si="17"/>
        <v/>
      </c>
      <c r="AW30" s="671"/>
    </row>
    <row r="31" spans="1:56">
      <c r="A31" s="606"/>
      <c r="B31" s="26"/>
      <c r="C31" s="1413" t="s">
        <v>4229</v>
      </c>
      <c r="D31" s="758"/>
      <c r="E31" s="758" t="s">
        <v>4240</v>
      </c>
      <c r="F31" s="758"/>
      <c r="G31" s="758"/>
      <c r="H31" s="758" t="s">
        <v>2646</v>
      </c>
      <c r="I31" s="758"/>
      <c r="J31" s="626"/>
      <c r="K31" s="889"/>
      <c r="L31" s="607"/>
      <c r="M31" s="876"/>
      <c r="N31" s="876"/>
      <c r="O31" s="876"/>
      <c r="P31" s="765">
        <f t="shared" si="0"/>
        <v>0</v>
      </c>
      <c r="Q31" s="765"/>
      <c r="R31" s="765"/>
      <c r="S31" s="765"/>
      <c r="T31" s="765"/>
      <c r="U31" s="765" t="s">
        <v>3816</v>
      </c>
      <c r="V31" s="939" t="s">
        <v>5694</v>
      </c>
      <c r="W31" s="619"/>
      <c r="Y31" s="20" t="str">
        <f t="shared" si="5"/>
        <v/>
      </c>
      <c r="Z31" s="20" t="str">
        <f t="shared" si="6"/>
        <v/>
      </c>
      <c r="AA31" s="20" t="str">
        <f t="shared" si="7"/>
        <v/>
      </c>
      <c r="AB31" s="20" t="str">
        <f t="shared" si="8"/>
        <v/>
      </c>
      <c r="AC31" s="20" t="str">
        <f t="shared" si="9"/>
        <v/>
      </c>
      <c r="AD31" s="20" t="str">
        <f t="shared" si="10"/>
        <v/>
      </c>
      <c r="AE31" s="20" t="str">
        <f t="shared" si="11"/>
        <v/>
      </c>
      <c r="AF31" s="20" t="str">
        <f t="shared" si="12"/>
        <v/>
      </c>
      <c r="AG31" s="623"/>
      <c r="AH31" s="758" t="s">
        <v>3849</v>
      </c>
      <c r="AI31" s="758"/>
      <c r="AJ31" s="758"/>
      <c r="AK31" s="908"/>
      <c r="AL31" s="940" t="s">
        <v>5936</v>
      </c>
      <c r="AM31" s="29"/>
      <c r="AO31" s="997" t="str">
        <f t="shared" si="1"/>
        <v/>
      </c>
      <c r="AP31" s="579" t="str">
        <f t="shared" si="13"/>
        <v/>
      </c>
      <c r="AQ31" s="762" t="str">
        <f t="shared" si="18"/>
        <v/>
      </c>
      <c r="AR31" s="869" t="str">
        <f t="shared" si="2"/>
        <v/>
      </c>
      <c r="AS31" s="869" t="str">
        <f t="shared" si="3"/>
        <v/>
      </c>
      <c r="AT31" s="762" t="str">
        <f t="shared" si="4"/>
        <v/>
      </c>
      <c r="AU31" s="579" t="str">
        <f t="shared" si="17"/>
        <v/>
      </c>
      <c r="AW31" s="671"/>
    </row>
    <row r="32" spans="1:56">
      <c r="A32" s="606"/>
      <c r="B32" s="26"/>
      <c r="C32" s="1413" t="s">
        <v>3866</v>
      </c>
      <c r="D32" s="758"/>
      <c r="E32" s="758" t="s">
        <v>3867</v>
      </c>
      <c r="F32" s="758"/>
      <c r="G32" s="758"/>
      <c r="H32" s="758"/>
      <c r="I32" s="758" t="s">
        <v>2636</v>
      </c>
      <c r="J32" s="626"/>
      <c r="K32" s="889"/>
      <c r="L32" s="607"/>
      <c r="M32" s="607"/>
      <c r="N32" s="607"/>
      <c r="O32" s="607"/>
      <c r="P32" s="765">
        <f t="shared" si="0"/>
        <v>0</v>
      </c>
      <c r="Q32" s="765"/>
      <c r="R32" s="765"/>
      <c r="S32" s="765"/>
      <c r="T32" s="765"/>
      <c r="U32" s="765"/>
      <c r="V32" s="939">
        <v>97</v>
      </c>
      <c r="W32" s="619"/>
      <c r="Y32" s="20" t="str">
        <f t="shared" si="5"/>
        <v/>
      </c>
      <c r="Z32" s="20" t="str">
        <f t="shared" si="6"/>
        <v/>
      </c>
      <c r="AA32" s="20" t="str">
        <f t="shared" si="7"/>
        <v/>
      </c>
      <c r="AB32" s="20" t="str">
        <f t="shared" si="8"/>
        <v/>
      </c>
      <c r="AC32" s="20" t="str">
        <f t="shared" si="9"/>
        <v/>
      </c>
      <c r="AD32" s="20" t="str">
        <f t="shared" si="10"/>
        <v/>
      </c>
      <c r="AE32" s="20" t="str">
        <f t="shared" si="11"/>
        <v/>
      </c>
      <c r="AF32" s="20" t="str">
        <f t="shared" si="12"/>
        <v/>
      </c>
      <c r="AG32" s="623"/>
      <c r="AH32" s="766" t="s">
        <v>4271</v>
      </c>
      <c r="AI32" s="758"/>
      <c r="AJ32" s="758"/>
      <c r="AK32" s="908"/>
      <c r="AL32" s="940" t="s">
        <v>5938</v>
      </c>
      <c r="AM32" s="29"/>
      <c r="AO32" s="997" t="str">
        <f t="shared" si="1"/>
        <v/>
      </c>
      <c r="AP32" s="579" t="str">
        <f t="shared" si="13"/>
        <v/>
      </c>
      <c r="AQ32" s="762" t="str">
        <f t="shared" si="18"/>
        <v/>
      </c>
      <c r="AR32" s="869" t="str">
        <f t="shared" si="2"/>
        <v/>
      </c>
      <c r="AS32" s="869" t="str">
        <f t="shared" si="3"/>
        <v/>
      </c>
      <c r="AT32" s="762" t="str">
        <f t="shared" si="4"/>
        <v/>
      </c>
      <c r="AU32" s="579" t="str">
        <f t="shared" si="17"/>
        <v/>
      </c>
      <c r="AW32" s="671"/>
    </row>
    <row r="33" spans="1:49">
      <c r="A33" s="606"/>
      <c r="B33" s="26"/>
      <c r="C33" s="758" t="s">
        <v>3869</v>
      </c>
      <c r="D33" s="758"/>
      <c r="E33" s="758" t="s">
        <v>3870</v>
      </c>
      <c r="F33" s="758"/>
      <c r="G33" s="758"/>
      <c r="H33" s="758"/>
      <c r="I33" s="758" t="s">
        <v>2636</v>
      </c>
      <c r="J33" s="626"/>
      <c r="K33" s="889"/>
      <c r="L33" s="607"/>
      <c r="M33" s="607"/>
      <c r="N33" s="607"/>
      <c r="O33" s="607"/>
      <c r="P33" s="765">
        <f t="shared" si="0"/>
        <v>0</v>
      </c>
      <c r="Q33" s="765" t="s">
        <v>3816</v>
      </c>
      <c r="R33" s="765"/>
      <c r="S33" s="765"/>
      <c r="T33" s="765"/>
      <c r="U33" s="765"/>
      <c r="V33" s="1000" t="s">
        <v>5905</v>
      </c>
      <c r="W33" s="619"/>
      <c r="Y33" s="20" t="str">
        <f t="shared" si="5"/>
        <v/>
      </c>
      <c r="Z33" s="20" t="str">
        <f t="shared" si="6"/>
        <v/>
      </c>
      <c r="AA33" s="20" t="str">
        <f t="shared" si="7"/>
        <v/>
      </c>
      <c r="AB33" s="20" t="str">
        <f t="shared" si="8"/>
        <v/>
      </c>
      <c r="AC33" s="20" t="str">
        <f t="shared" si="9"/>
        <v/>
      </c>
      <c r="AD33" s="20" t="str">
        <f t="shared" si="10"/>
        <v/>
      </c>
      <c r="AE33" s="20" t="str">
        <f t="shared" si="11"/>
        <v/>
      </c>
      <c r="AF33" s="20" t="str">
        <f t="shared" si="12"/>
        <v/>
      </c>
      <c r="AG33" s="623"/>
      <c r="AH33" s="758" t="s">
        <v>3852</v>
      </c>
      <c r="AI33" s="758"/>
      <c r="AJ33" s="758"/>
      <c r="AK33" s="908"/>
      <c r="AL33" s="940" t="s">
        <v>5910</v>
      </c>
      <c r="AM33" s="29"/>
      <c r="AO33" s="997" t="str">
        <f t="shared" si="1"/>
        <v/>
      </c>
      <c r="AP33" s="579" t="str">
        <f t="shared" si="13"/>
        <v/>
      </c>
      <c r="AQ33" s="762" t="str">
        <f t="shared" si="18"/>
        <v/>
      </c>
      <c r="AR33" s="869" t="str">
        <f t="shared" si="2"/>
        <v/>
      </c>
      <c r="AS33" s="869" t="str">
        <f t="shared" si="3"/>
        <v/>
      </c>
      <c r="AT33" s="762" t="str">
        <f t="shared" si="4"/>
        <v/>
      </c>
      <c r="AU33" s="579" t="str">
        <f t="shared" si="17"/>
        <v/>
      </c>
      <c r="AW33" s="671"/>
    </row>
    <row r="34" spans="1:49">
      <c r="A34" s="606"/>
      <c r="B34" s="26"/>
      <c r="C34" s="758" t="s">
        <v>3872</v>
      </c>
      <c r="D34" s="758"/>
      <c r="E34" s="758" t="s">
        <v>3873</v>
      </c>
      <c r="F34" s="1054" t="s">
        <v>4221</v>
      </c>
      <c r="G34" s="758"/>
      <c r="H34" s="758"/>
      <c r="I34" s="758"/>
      <c r="J34" s="626"/>
      <c r="K34" s="889"/>
      <c r="L34" s="607"/>
      <c r="M34" s="607"/>
      <c r="N34" s="607"/>
      <c r="O34" s="607"/>
      <c r="P34" s="765">
        <f t="shared" si="0"/>
        <v>0</v>
      </c>
      <c r="Q34" s="765"/>
      <c r="R34" s="765" t="s">
        <v>3816</v>
      </c>
      <c r="S34" s="765"/>
      <c r="T34" s="765"/>
      <c r="U34" s="765"/>
      <c r="V34" s="1000" t="s">
        <v>5928</v>
      </c>
      <c r="W34" s="619"/>
      <c r="Y34" s="20" t="str">
        <f t="shared" si="5"/>
        <v/>
      </c>
      <c r="Z34" s="20" t="str">
        <f t="shared" si="6"/>
        <v/>
      </c>
      <c r="AA34" s="20" t="str">
        <f t="shared" si="7"/>
        <v/>
      </c>
      <c r="AB34" s="20" t="str">
        <f t="shared" si="8"/>
        <v/>
      </c>
      <c r="AC34" s="20" t="str">
        <f t="shared" si="9"/>
        <v/>
      </c>
      <c r="AD34" s="20" t="str">
        <f t="shared" si="10"/>
        <v/>
      </c>
      <c r="AE34" s="20" t="str">
        <f t="shared" si="11"/>
        <v/>
      </c>
      <c r="AF34" s="20" t="str">
        <f t="shared" si="12"/>
        <v/>
      </c>
      <c r="AG34" s="623"/>
      <c r="AH34" s="758" t="s">
        <v>3855</v>
      </c>
      <c r="AI34" s="758"/>
      <c r="AJ34" s="758"/>
      <c r="AK34" s="1412"/>
      <c r="AL34" s="940" t="s">
        <v>5910</v>
      </c>
      <c r="AM34" s="29"/>
      <c r="AO34" s="997" t="str">
        <f t="shared" si="1"/>
        <v/>
      </c>
      <c r="AP34" s="579" t="str">
        <f t="shared" si="13"/>
        <v/>
      </c>
      <c r="AQ34" s="762" t="str">
        <f t="shared" si="18"/>
        <v/>
      </c>
      <c r="AR34" s="869" t="str">
        <f t="shared" si="2"/>
        <v/>
      </c>
      <c r="AS34" s="869" t="str">
        <f t="shared" si="3"/>
        <v/>
      </c>
      <c r="AT34" s="762" t="str">
        <f t="shared" si="4"/>
        <v/>
      </c>
      <c r="AU34" s="579" t="str">
        <f t="shared" si="17"/>
        <v/>
      </c>
      <c r="AW34" s="671"/>
    </row>
    <row r="35" spans="1:49">
      <c r="A35" s="606"/>
      <c r="B35" s="26"/>
      <c r="C35" s="758" t="s">
        <v>3875</v>
      </c>
      <c r="D35" s="758"/>
      <c r="E35" s="758" t="s">
        <v>3876</v>
      </c>
      <c r="F35" s="758" t="s">
        <v>4221</v>
      </c>
      <c r="G35" s="758"/>
      <c r="H35" s="758"/>
      <c r="I35" s="758"/>
      <c r="J35" s="626"/>
      <c r="K35" s="889"/>
      <c r="L35" s="607"/>
      <c r="M35" s="607"/>
      <c r="N35" s="607"/>
      <c r="O35" s="607"/>
      <c r="P35" s="765">
        <f t="shared" si="0"/>
        <v>0</v>
      </c>
      <c r="Q35" s="765"/>
      <c r="R35" s="765"/>
      <c r="S35" s="765"/>
      <c r="T35" s="765"/>
      <c r="U35" s="765"/>
      <c r="V35" s="939">
        <v>97</v>
      </c>
      <c r="W35" s="619"/>
      <c r="Y35" s="20" t="str">
        <f t="shared" si="5"/>
        <v/>
      </c>
      <c r="Z35" s="20" t="str">
        <f t="shared" si="6"/>
        <v/>
      </c>
      <c r="AA35" s="20" t="str">
        <f t="shared" si="7"/>
        <v/>
      </c>
      <c r="AB35" s="20" t="str">
        <f t="shared" si="8"/>
        <v/>
      </c>
      <c r="AC35" s="20" t="str">
        <f t="shared" si="9"/>
        <v/>
      </c>
      <c r="AD35" s="20" t="str">
        <f t="shared" si="10"/>
        <v/>
      </c>
      <c r="AE35" s="20" t="str">
        <f t="shared" si="11"/>
        <v/>
      </c>
      <c r="AF35" s="20" t="str">
        <f t="shared" si="12"/>
        <v/>
      </c>
      <c r="AG35" s="623"/>
      <c r="AH35" s="766" t="s">
        <v>4272</v>
      </c>
      <c r="AI35" s="758"/>
      <c r="AJ35" s="758"/>
      <c r="AK35" s="908"/>
      <c r="AL35" s="940" t="s">
        <v>5938</v>
      </c>
      <c r="AM35" s="29"/>
      <c r="AO35" s="997" t="str">
        <f t="shared" si="1"/>
        <v/>
      </c>
      <c r="AP35" s="579" t="str">
        <f t="shared" si="13"/>
        <v/>
      </c>
      <c r="AQ35" s="762" t="str">
        <f t="shared" si="18"/>
        <v/>
      </c>
      <c r="AR35" s="869" t="str">
        <f t="shared" si="2"/>
        <v/>
      </c>
      <c r="AS35" s="869" t="str">
        <f t="shared" si="3"/>
        <v/>
      </c>
      <c r="AT35" s="762" t="str">
        <f t="shared" si="4"/>
        <v/>
      </c>
      <c r="AU35" s="579" t="str">
        <f t="shared" si="17"/>
        <v/>
      </c>
      <c r="AW35" s="671"/>
    </row>
    <row r="36" spans="1:49">
      <c r="A36" s="606"/>
      <c r="B36" s="26"/>
      <c r="C36" s="758" t="s">
        <v>3878</v>
      </c>
      <c r="D36" s="758"/>
      <c r="E36" s="758" t="s">
        <v>3879</v>
      </c>
      <c r="F36" s="1054" t="s">
        <v>4221</v>
      </c>
      <c r="G36" s="758"/>
      <c r="H36" s="758"/>
      <c r="I36" s="758" t="s">
        <v>2636</v>
      </c>
      <c r="J36" s="626"/>
      <c r="K36" s="889"/>
      <c r="L36" s="607"/>
      <c r="M36" s="607"/>
      <c r="N36" s="607"/>
      <c r="O36" s="607"/>
      <c r="P36" s="765">
        <f t="shared" si="0"/>
        <v>0</v>
      </c>
      <c r="Q36" s="765"/>
      <c r="R36" s="765" t="s">
        <v>3816</v>
      </c>
      <c r="S36" s="765"/>
      <c r="T36" s="765"/>
      <c r="U36" s="765"/>
      <c r="V36" s="1000" t="s">
        <v>5927</v>
      </c>
      <c r="W36" s="619"/>
      <c r="Y36" s="20" t="str">
        <f t="shared" si="5"/>
        <v/>
      </c>
      <c r="Z36" s="20" t="str">
        <f t="shared" si="6"/>
        <v/>
      </c>
      <c r="AA36" s="20" t="str">
        <f t="shared" si="7"/>
        <v/>
      </c>
      <c r="AB36" s="20" t="str">
        <f t="shared" si="8"/>
        <v/>
      </c>
      <c r="AC36" s="20" t="str">
        <f t="shared" si="9"/>
        <v/>
      </c>
      <c r="AD36" s="20" t="str">
        <f t="shared" si="10"/>
        <v/>
      </c>
      <c r="AE36" s="20" t="str">
        <f t="shared" si="11"/>
        <v/>
      </c>
      <c r="AF36" s="20" t="str">
        <f t="shared" si="12"/>
        <v/>
      </c>
      <c r="AG36" s="623"/>
      <c r="AH36" s="758" t="s">
        <v>3858</v>
      </c>
      <c r="AI36" s="758"/>
      <c r="AJ36" s="758"/>
      <c r="AK36" s="1412"/>
      <c r="AL36" s="940" t="s">
        <v>5910</v>
      </c>
      <c r="AM36" s="29"/>
      <c r="AO36" s="997" t="str">
        <f t="shared" si="1"/>
        <v/>
      </c>
      <c r="AP36" s="579" t="str">
        <f t="shared" si="13"/>
        <v/>
      </c>
      <c r="AQ36" s="762" t="str">
        <f t="shared" si="18"/>
        <v/>
      </c>
      <c r="AR36" s="869" t="str">
        <f t="shared" si="2"/>
        <v/>
      </c>
      <c r="AS36" s="869" t="str">
        <f t="shared" si="3"/>
        <v/>
      </c>
      <c r="AT36" s="762" t="str">
        <f t="shared" si="4"/>
        <v/>
      </c>
      <c r="AU36" s="579" t="str">
        <f t="shared" si="17"/>
        <v/>
      </c>
      <c r="AW36" s="671"/>
    </row>
    <row r="37" spans="1:49">
      <c r="A37" s="606"/>
      <c r="B37" s="26"/>
      <c r="C37" s="758" t="s">
        <v>4230</v>
      </c>
      <c r="D37" s="758"/>
      <c r="E37" s="758" t="s">
        <v>4241</v>
      </c>
      <c r="F37" s="1054"/>
      <c r="G37" s="758"/>
      <c r="H37" s="758"/>
      <c r="I37" s="758" t="s">
        <v>2636</v>
      </c>
      <c r="J37" s="626"/>
      <c r="K37" s="889"/>
      <c r="L37" s="607"/>
      <c r="M37" s="876"/>
      <c r="N37" s="876"/>
      <c r="O37" s="876"/>
      <c r="P37" s="765">
        <f t="shared" si="0"/>
        <v>0</v>
      </c>
      <c r="Q37" s="765"/>
      <c r="R37" s="765"/>
      <c r="S37" s="765"/>
      <c r="T37" s="765"/>
      <c r="U37" s="765" t="s">
        <v>3816</v>
      </c>
      <c r="V37" s="939" t="s">
        <v>5695</v>
      </c>
      <c r="W37" s="619"/>
      <c r="Y37" s="20" t="str">
        <f t="shared" si="5"/>
        <v/>
      </c>
      <c r="Z37" s="20" t="str">
        <f t="shared" si="6"/>
        <v/>
      </c>
      <c r="AA37" s="20" t="str">
        <f t="shared" si="7"/>
        <v/>
      </c>
      <c r="AB37" s="20" t="str">
        <f t="shared" si="8"/>
        <v/>
      </c>
      <c r="AC37" s="20" t="str">
        <f t="shared" si="9"/>
        <v/>
      </c>
      <c r="AD37" s="20" t="str">
        <f t="shared" si="10"/>
        <v/>
      </c>
      <c r="AE37" s="20" t="str">
        <f t="shared" si="11"/>
        <v/>
      </c>
      <c r="AF37" s="20" t="str">
        <f t="shared" si="12"/>
        <v/>
      </c>
      <c r="AG37" s="623"/>
      <c r="AH37" s="992" t="s">
        <v>5937</v>
      </c>
      <c r="AI37" s="758"/>
      <c r="AJ37" s="758"/>
      <c r="AK37" s="908"/>
      <c r="AL37" s="940" t="s">
        <v>5936</v>
      </c>
      <c r="AM37" s="29"/>
      <c r="AO37" s="997" t="str">
        <f t="shared" si="1"/>
        <v/>
      </c>
      <c r="AP37" s="579" t="str">
        <f t="shared" si="13"/>
        <v/>
      </c>
      <c r="AQ37" s="762" t="str">
        <f t="shared" si="18"/>
        <v/>
      </c>
      <c r="AR37" s="869" t="str">
        <f t="shared" si="2"/>
        <v/>
      </c>
      <c r="AS37" s="869" t="str">
        <f t="shared" si="3"/>
        <v/>
      </c>
      <c r="AT37" s="762" t="str">
        <f t="shared" si="4"/>
        <v/>
      </c>
      <c r="AU37" s="579" t="str">
        <f t="shared" si="17"/>
        <v/>
      </c>
      <c r="AW37" s="671"/>
    </row>
    <row r="38" spans="1:49">
      <c r="A38" s="606"/>
      <c r="B38" s="26"/>
      <c r="C38" s="758" t="s">
        <v>3881</v>
      </c>
      <c r="D38" s="758"/>
      <c r="E38" s="758" t="s">
        <v>3882</v>
      </c>
      <c r="F38" s="758"/>
      <c r="G38" s="758"/>
      <c r="H38" s="758"/>
      <c r="I38" s="758"/>
      <c r="J38" s="626"/>
      <c r="K38" s="889"/>
      <c r="L38" s="607"/>
      <c r="M38" s="607"/>
      <c r="N38" s="607"/>
      <c r="O38" s="607"/>
      <c r="P38" s="765">
        <f t="shared" si="0"/>
        <v>0</v>
      </c>
      <c r="Q38" s="765"/>
      <c r="R38" s="765"/>
      <c r="S38" s="765"/>
      <c r="T38" s="765"/>
      <c r="U38" s="765"/>
      <c r="V38" s="939">
        <v>97</v>
      </c>
      <c r="W38" s="619"/>
      <c r="Y38" s="20" t="str">
        <f t="shared" si="5"/>
        <v/>
      </c>
      <c r="Z38" s="20" t="str">
        <f t="shared" si="6"/>
        <v/>
      </c>
      <c r="AA38" s="20" t="str">
        <f t="shared" si="7"/>
        <v/>
      </c>
      <c r="AB38" s="20" t="str">
        <f t="shared" si="8"/>
        <v/>
      </c>
      <c r="AC38" s="20" t="str">
        <f t="shared" si="9"/>
        <v/>
      </c>
      <c r="AD38" s="20" t="str">
        <f t="shared" si="10"/>
        <v/>
      </c>
      <c r="AE38" s="20" t="str">
        <f t="shared" si="11"/>
        <v/>
      </c>
      <c r="AF38" s="20" t="str">
        <f t="shared" si="12"/>
        <v/>
      </c>
      <c r="AG38" s="623"/>
      <c r="AH38" s="758" t="s">
        <v>3862</v>
      </c>
      <c r="AI38" s="758"/>
      <c r="AJ38" s="758"/>
      <c r="AK38" s="908"/>
      <c r="AL38" s="940" t="s">
        <v>5909</v>
      </c>
      <c r="AM38" s="29"/>
      <c r="AO38" s="997" t="str">
        <f t="shared" si="1"/>
        <v/>
      </c>
      <c r="AP38" s="579" t="str">
        <f t="shared" si="13"/>
        <v/>
      </c>
      <c r="AQ38" s="762" t="str">
        <f t="shared" si="18"/>
        <v/>
      </c>
      <c r="AR38" s="869" t="str">
        <f t="shared" si="2"/>
        <v/>
      </c>
      <c r="AS38" s="869" t="str">
        <f t="shared" si="3"/>
        <v/>
      </c>
      <c r="AT38" s="762" t="str">
        <f t="shared" si="4"/>
        <v/>
      </c>
      <c r="AU38" s="579" t="str">
        <f t="shared" si="17"/>
        <v/>
      </c>
      <c r="AW38" s="671"/>
    </row>
    <row r="39" spans="1:49">
      <c r="A39" s="606"/>
      <c r="B39" s="26"/>
      <c r="C39" s="758" t="s">
        <v>3884</v>
      </c>
      <c r="D39" s="758"/>
      <c r="E39" s="758" t="s">
        <v>3885</v>
      </c>
      <c r="F39" s="758" t="s">
        <v>4221</v>
      </c>
      <c r="G39" s="758"/>
      <c r="H39" s="758"/>
      <c r="I39" s="758"/>
      <c r="J39" s="626"/>
      <c r="K39" s="889"/>
      <c r="L39" s="607"/>
      <c r="M39" s="607"/>
      <c r="N39" s="607"/>
      <c r="O39" s="607"/>
      <c r="P39" s="765">
        <f t="shared" si="0"/>
        <v>0</v>
      </c>
      <c r="Q39" s="765"/>
      <c r="R39" s="765"/>
      <c r="S39" s="765"/>
      <c r="T39" s="765"/>
      <c r="U39" s="765"/>
      <c r="V39" s="939">
        <v>97</v>
      </c>
      <c r="W39" s="619"/>
      <c r="Y39" s="20" t="str">
        <f t="shared" si="5"/>
        <v/>
      </c>
      <c r="Z39" s="20" t="str">
        <f t="shared" si="6"/>
        <v/>
      </c>
      <c r="AA39" s="20" t="str">
        <f t="shared" si="7"/>
        <v/>
      </c>
      <c r="AB39" s="20" t="str">
        <f t="shared" si="8"/>
        <v/>
      </c>
      <c r="AC39" s="20" t="str">
        <f t="shared" si="9"/>
        <v/>
      </c>
      <c r="AD39" s="20" t="str">
        <f t="shared" si="10"/>
        <v/>
      </c>
      <c r="AE39" s="20" t="str">
        <f t="shared" si="11"/>
        <v/>
      </c>
      <c r="AF39" s="20" t="str">
        <f t="shared" si="12"/>
        <v/>
      </c>
      <c r="AG39" s="623"/>
      <c r="AH39" s="758" t="s">
        <v>3865</v>
      </c>
      <c r="AI39" s="758"/>
      <c r="AJ39" s="758"/>
      <c r="AK39" s="908"/>
      <c r="AL39" s="940" t="s">
        <v>5910</v>
      </c>
      <c r="AM39" s="29"/>
      <c r="AO39" s="997" t="str">
        <f t="shared" si="1"/>
        <v/>
      </c>
      <c r="AP39" s="579" t="str">
        <f t="shared" si="13"/>
        <v/>
      </c>
      <c r="AQ39" s="762" t="str">
        <f t="shared" si="18"/>
        <v/>
      </c>
      <c r="AR39" s="869" t="str">
        <f t="shared" si="2"/>
        <v/>
      </c>
      <c r="AS39" s="869" t="str">
        <f t="shared" si="3"/>
        <v/>
      </c>
      <c r="AT39" s="762" t="str">
        <f t="shared" si="4"/>
        <v/>
      </c>
      <c r="AU39" s="579" t="str">
        <f t="shared" si="17"/>
        <v/>
      </c>
      <c r="AW39" s="671"/>
    </row>
    <row r="40" spans="1:49">
      <c r="A40" s="606"/>
      <c r="B40" s="26"/>
      <c r="C40" s="758" t="s">
        <v>4231</v>
      </c>
      <c r="D40" s="758"/>
      <c r="E40" s="758" t="s">
        <v>4242</v>
      </c>
      <c r="F40" s="758"/>
      <c r="G40" s="758"/>
      <c r="H40" s="758"/>
      <c r="I40" s="758"/>
      <c r="J40" s="626"/>
      <c r="K40" s="889"/>
      <c r="L40" s="607"/>
      <c r="M40" s="876"/>
      <c r="N40" s="876"/>
      <c r="O40" s="876"/>
      <c r="P40" s="765">
        <f t="shared" si="0"/>
        <v>0</v>
      </c>
      <c r="Q40" s="765"/>
      <c r="R40" s="765"/>
      <c r="S40" s="765"/>
      <c r="T40" s="765"/>
      <c r="U40" s="765" t="s">
        <v>3816</v>
      </c>
      <c r="V40" s="939" t="s">
        <v>5695</v>
      </c>
      <c r="W40" s="619"/>
      <c r="Y40" s="20" t="str">
        <f t="shared" si="5"/>
        <v/>
      </c>
      <c r="Z40" s="20" t="str">
        <f t="shared" si="6"/>
        <v/>
      </c>
      <c r="AA40" s="20" t="str">
        <f t="shared" si="7"/>
        <v/>
      </c>
      <c r="AB40" s="20" t="str">
        <f t="shared" si="8"/>
        <v/>
      </c>
      <c r="AC40" s="20" t="str">
        <f t="shared" si="9"/>
        <v/>
      </c>
      <c r="AD40" s="20" t="str">
        <f t="shared" si="10"/>
        <v/>
      </c>
      <c r="AE40" s="20" t="str">
        <f t="shared" si="11"/>
        <v/>
      </c>
      <c r="AF40" s="20" t="str">
        <f t="shared" si="12"/>
        <v/>
      </c>
      <c r="AG40" s="623"/>
      <c r="AH40" s="766" t="s">
        <v>4273</v>
      </c>
      <c r="AI40" s="758"/>
      <c r="AJ40" s="758"/>
      <c r="AK40" s="908"/>
      <c r="AL40" s="940" t="s">
        <v>5938</v>
      </c>
      <c r="AM40" s="29"/>
      <c r="AO40" s="997" t="str">
        <f t="shared" si="1"/>
        <v/>
      </c>
      <c r="AP40" s="579" t="str">
        <f t="shared" si="13"/>
        <v/>
      </c>
      <c r="AQ40" s="762" t="str">
        <f t="shared" si="18"/>
        <v/>
      </c>
      <c r="AR40" s="869" t="str">
        <f t="shared" si="2"/>
        <v/>
      </c>
      <c r="AS40" s="869" t="str">
        <f t="shared" si="3"/>
        <v/>
      </c>
      <c r="AT40" s="762" t="str">
        <f t="shared" si="4"/>
        <v/>
      </c>
      <c r="AU40" s="579" t="str">
        <f t="shared" si="17"/>
        <v/>
      </c>
      <c r="AW40" s="671"/>
    </row>
    <row r="41" spans="1:49">
      <c r="A41" s="606"/>
      <c r="B41" s="26"/>
      <c r="C41" s="758" t="s">
        <v>3887</v>
      </c>
      <c r="D41" s="758"/>
      <c r="E41" s="758" t="s">
        <v>3888</v>
      </c>
      <c r="F41" s="1054" t="s">
        <v>4221</v>
      </c>
      <c r="G41" s="758"/>
      <c r="H41" s="758"/>
      <c r="I41" s="758"/>
      <c r="J41" s="626"/>
      <c r="K41" s="889"/>
      <c r="L41" s="607"/>
      <c r="M41" s="607"/>
      <c r="N41" s="607"/>
      <c r="O41" s="607"/>
      <c r="P41" s="765">
        <f t="shared" si="0"/>
        <v>0</v>
      </c>
      <c r="Q41" s="765" t="s">
        <v>3816</v>
      </c>
      <c r="R41" s="765"/>
      <c r="S41" s="765"/>
      <c r="T41" s="765"/>
      <c r="U41" s="765"/>
      <c r="V41" s="1000" t="s">
        <v>5906</v>
      </c>
      <c r="W41" s="619"/>
      <c r="Y41" s="20" t="str">
        <f t="shared" si="5"/>
        <v/>
      </c>
      <c r="Z41" s="20" t="str">
        <f t="shared" si="6"/>
        <v/>
      </c>
      <c r="AA41" s="20" t="str">
        <f t="shared" si="7"/>
        <v/>
      </c>
      <c r="AB41" s="20" t="str">
        <f t="shared" si="8"/>
        <v/>
      </c>
      <c r="AC41" s="20" t="str">
        <f t="shared" si="9"/>
        <v/>
      </c>
      <c r="AD41" s="20" t="str">
        <f t="shared" si="10"/>
        <v/>
      </c>
      <c r="AE41" s="20" t="str">
        <f t="shared" si="11"/>
        <v/>
      </c>
      <c r="AF41" s="20" t="str">
        <f t="shared" si="12"/>
        <v/>
      </c>
      <c r="AG41" s="623"/>
      <c r="AH41" s="758" t="s">
        <v>3868</v>
      </c>
      <c r="AI41" s="758"/>
      <c r="AJ41" s="758"/>
      <c r="AK41" s="908"/>
      <c r="AL41" s="940" t="s">
        <v>5909</v>
      </c>
      <c r="AM41" s="29"/>
      <c r="AO41" s="997" t="str">
        <f t="shared" si="1"/>
        <v/>
      </c>
      <c r="AP41" s="579" t="str">
        <f t="shared" si="13"/>
        <v/>
      </c>
      <c r="AQ41" s="762" t="str">
        <f t="shared" si="18"/>
        <v/>
      </c>
      <c r="AR41" s="869" t="str">
        <f t="shared" si="2"/>
        <v/>
      </c>
      <c r="AS41" s="869" t="str">
        <f t="shared" si="3"/>
        <v/>
      </c>
      <c r="AT41" s="762" t="str">
        <f t="shared" si="4"/>
        <v/>
      </c>
      <c r="AU41" s="579" t="str">
        <f t="shared" si="17"/>
        <v/>
      </c>
      <c r="AW41" s="671"/>
    </row>
    <row r="42" spans="1:49">
      <c r="A42" s="606"/>
      <c r="B42" s="26"/>
      <c r="C42" s="758" t="s">
        <v>4232</v>
      </c>
      <c r="D42" s="758"/>
      <c r="E42" s="758" t="str">
        <f>LOWER(C42)</f>
        <v>hatred</v>
      </c>
      <c r="F42" s="758"/>
      <c r="G42" s="758"/>
      <c r="H42" s="758"/>
      <c r="I42" s="758" t="s">
        <v>2636</v>
      </c>
      <c r="J42" s="626"/>
      <c r="K42" s="889"/>
      <c r="L42" s="607"/>
      <c r="M42" s="876"/>
      <c r="N42" s="876"/>
      <c r="O42" s="876"/>
      <c r="P42" s="765">
        <f t="shared" ref="P42:P74" si="19">J42</f>
        <v>0</v>
      </c>
      <c r="Q42" s="765"/>
      <c r="R42" s="765"/>
      <c r="S42" s="765"/>
      <c r="T42" s="765"/>
      <c r="U42" s="765" t="s">
        <v>3816</v>
      </c>
      <c r="V42" s="939" t="s">
        <v>5695</v>
      </c>
      <c r="W42" s="619"/>
      <c r="Y42" s="20" t="str">
        <f t="shared" si="5"/>
        <v/>
      </c>
      <c r="Z42" s="20" t="str">
        <f t="shared" si="6"/>
        <v/>
      </c>
      <c r="AA42" s="20" t="str">
        <f t="shared" si="7"/>
        <v/>
      </c>
      <c r="AB42" s="20" t="str">
        <f t="shared" si="8"/>
        <v/>
      </c>
      <c r="AC42" s="20" t="str">
        <f t="shared" si="9"/>
        <v/>
      </c>
      <c r="AD42" s="20" t="str">
        <f t="shared" si="10"/>
        <v/>
      </c>
      <c r="AE42" s="20" t="str">
        <f t="shared" si="11"/>
        <v/>
      </c>
      <c r="AF42" s="20" t="str">
        <f t="shared" si="12"/>
        <v/>
      </c>
      <c r="AG42" s="623"/>
      <c r="AH42" s="758" t="s">
        <v>3871</v>
      </c>
      <c r="AI42" s="758"/>
      <c r="AJ42" s="758"/>
      <c r="AK42" s="908"/>
      <c r="AL42" s="940" t="s">
        <v>5910</v>
      </c>
      <c r="AM42" s="29"/>
      <c r="AO42" s="997" t="str">
        <f t="shared" si="1"/>
        <v/>
      </c>
      <c r="AP42" s="579" t="str">
        <f t="shared" si="13"/>
        <v/>
      </c>
      <c r="AQ42" s="762" t="str">
        <f t="shared" si="18"/>
        <v/>
      </c>
      <c r="AR42" s="869" t="str">
        <f t="shared" ref="AR42:AR73" si="20">IF(AND(K42&gt;0,J42&gt;0),AH$20&amp;" ("&amp;C42&amp;")","")</f>
        <v/>
      </c>
      <c r="AS42" s="869" t="str">
        <f t="shared" ref="AS42:AS73" si="21">IF(AR42&lt;&gt;"",AR42&amp;IF(ShowForceDetails," (Technique)","")&amp;";"&amp;AS43,AS43)</f>
        <v/>
      </c>
      <c r="AT42" s="762" t="str">
        <f t="shared" si="4"/>
        <v/>
      </c>
      <c r="AU42" s="579" t="str">
        <f t="shared" si="17"/>
        <v/>
      </c>
      <c r="AW42" s="671"/>
    </row>
    <row r="43" spans="1:49">
      <c r="A43" s="606"/>
      <c r="B43" s="26"/>
      <c r="C43" s="758" t="s">
        <v>4233</v>
      </c>
      <c r="D43" s="758"/>
      <c r="E43" s="758" t="str">
        <f>LOWER(C43)</f>
        <v>inertia</v>
      </c>
      <c r="F43" s="758"/>
      <c r="G43" s="758"/>
      <c r="H43" s="758"/>
      <c r="I43" s="758"/>
      <c r="J43" s="626"/>
      <c r="K43" s="889"/>
      <c r="L43" s="607"/>
      <c r="M43" s="876"/>
      <c r="N43" s="876"/>
      <c r="O43" s="876"/>
      <c r="P43" s="765">
        <f t="shared" si="19"/>
        <v>0</v>
      </c>
      <c r="Q43" s="765"/>
      <c r="R43" s="765"/>
      <c r="S43" s="765"/>
      <c r="T43" s="765"/>
      <c r="U43" s="765" t="s">
        <v>3816</v>
      </c>
      <c r="V43" s="939" t="s">
        <v>5696</v>
      </c>
      <c r="W43" s="619"/>
      <c r="Y43" s="20" t="str">
        <f t="shared" si="5"/>
        <v/>
      </c>
      <c r="Z43" s="20" t="str">
        <f t="shared" si="6"/>
        <v/>
      </c>
      <c r="AA43" s="20" t="str">
        <f t="shared" si="7"/>
        <v/>
      </c>
      <c r="AB43" s="20" t="str">
        <f t="shared" si="8"/>
        <v/>
      </c>
      <c r="AC43" s="20" t="str">
        <f t="shared" si="9"/>
        <v/>
      </c>
      <c r="AD43" s="20" t="str">
        <f t="shared" si="10"/>
        <v/>
      </c>
      <c r="AE43" s="20" t="str">
        <f t="shared" si="11"/>
        <v/>
      </c>
      <c r="AF43" s="20" t="str">
        <f t="shared" si="12"/>
        <v/>
      </c>
      <c r="AG43" s="623"/>
      <c r="AH43" s="758" t="s">
        <v>3874</v>
      </c>
      <c r="AI43" s="758"/>
      <c r="AJ43" s="758"/>
      <c r="AK43" s="908"/>
      <c r="AL43" s="940">
        <v>102</v>
      </c>
      <c r="AM43" s="29"/>
      <c r="AO43" s="997" t="str">
        <f t="shared" si="1"/>
        <v/>
      </c>
      <c r="AP43" s="579" t="str">
        <f t="shared" si="13"/>
        <v/>
      </c>
      <c r="AQ43" s="762" t="str">
        <f t="shared" si="18"/>
        <v/>
      </c>
      <c r="AR43" s="869" t="str">
        <f t="shared" si="20"/>
        <v/>
      </c>
      <c r="AS43" s="869" t="str">
        <f t="shared" si="21"/>
        <v/>
      </c>
      <c r="AT43" s="762" t="str">
        <f t="shared" si="4"/>
        <v/>
      </c>
      <c r="AU43" s="579" t="str">
        <f t="shared" si="17"/>
        <v/>
      </c>
      <c r="AW43" s="671"/>
    </row>
    <row r="44" spans="1:49">
      <c r="A44" s="606"/>
      <c r="B44" s="26"/>
      <c r="C44" s="758" t="s">
        <v>4234</v>
      </c>
      <c r="D44" s="758"/>
      <c r="E44" s="758" t="str">
        <f>LOWER(C44)</f>
        <v>inspire</v>
      </c>
      <c r="F44" s="758"/>
      <c r="G44" s="758"/>
      <c r="H44" s="758" t="s">
        <v>2646</v>
      </c>
      <c r="I44" s="758"/>
      <c r="J44" s="626"/>
      <c r="K44" s="889"/>
      <c r="L44" s="607"/>
      <c r="M44" s="876"/>
      <c r="N44" s="876"/>
      <c r="O44" s="876"/>
      <c r="P44" s="765">
        <f t="shared" si="19"/>
        <v>0</v>
      </c>
      <c r="Q44" s="765"/>
      <c r="R44" s="765"/>
      <c r="S44" s="765"/>
      <c r="T44" s="765"/>
      <c r="U44" s="765" t="s">
        <v>3816</v>
      </c>
      <c r="V44" s="939" t="s">
        <v>5696</v>
      </c>
      <c r="W44" s="619"/>
      <c r="Y44" s="20" t="str">
        <f t="shared" si="5"/>
        <v/>
      </c>
      <c r="Z44" s="20" t="str">
        <f t="shared" si="6"/>
        <v/>
      </c>
      <c r="AA44" s="20" t="str">
        <f t="shared" si="7"/>
        <v/>
      </c>
      <c r="AB44" s="20" t="str">
        <f t="shared" si="8"/>
        <v/>
      </c>
      <c r="AC44" s="20" t="str">
        <f t="shared" si="9"/>
        <v/>
      </c>
      <c r="AD44" s="20" t="str">
        <f t="shared" si="10"/>
        <v/>
      </c>
      <c r="AE44" s="20" t="str">
        <f t="shared" si="11"/>
        <v/>
      </c>
      <c r="AF44" s="20" t="str">
        <f t="shared" si="12"/>
        <v/>
      </c>
      <c r="AG44" s="623"/>
      <c r="AH44" s="758" t="s">
        <v>3877</v>
      </c>
      <c r="AI44" s="758"/>
      <c r="AJ44" s="758"/>
      <c r="AK44" s="908"/>
      <c r="AL44" s="940" t="s">
        <v>5909</v>
      </c>
      <c r="AM44" s="29"/>
      <c r="AO44" s="997" t="str">
        <f t="shared" si="1"/>
        <v/>
      </c>
      <c r="AP44" s="579" t="str">
        <f t="shared" si="13"/>
        <v/>
      </c>
      <c r="AQ44" s="762" t="str">
        <f t="shared" si="18"/>
        <v/>
      </c>
      <c r="AR44" s="869" t="str">
        <f t="shared" si="20"/>
        <v/>
      </c>
      <c r="AS44" s="869" t="str">
        <f t="shared" si="21"/>
        <v/>
      </c>
      <c r="AT44" s="762" t="str">
        <f t="shared" si="4"/>
        <v/>
      </c>
      <c r="AU44" s="579" t="str">
        <f t="shared" si="17"/>
        <v/>
      </c>
      <c r="AW44" s="671"/>
    </row>
    <row r="45" spans="1:49">
      <c r="A45" s="606"/>
      <c r="B45" s="26"/>
      <c r="C45" s="758" t="s">
        <v>4235</v>
      </c>
      <c r="D45" s="758"/>
      <c r="E45" s="758" t="str">
        <f>LOWER(C45)</f>
        <v>intercept</v>
      </c>
      <c r="F45" s="758" t="s">
        <v>4221</v>
      </c>
      <c r="G45" s="758"/>
      <c r="H45" s="758"/>
      <c r="I45" s="758"/>
      <c r="J45" s="626"/>
      <c r="K45" s="889"/>
      <c r="L45" s="607"/>
      <c r="M45" s="876"/>
      <c r="N45" s="876"/>
      <c r="O45" s="876"/>
      <c r="P45" s="765">
        <f t="shared" si="19"/>
        <v>0</v>
      </c>
      <c r="Q45" s="765"/>
      <c r="R45" s="765"/>
      <c r="S45" s="765"/>
      <c r="T45" s="765"/>
      <c r="U45" s="765" t="s">
        <v>3816</v>
      </c>
      <c r="V45" s="939" t="s">
        <v>5696</v>
      </c>
      <c r="W45" s="619"/>
      <c r="Y45" s="20" t="str">
        <f t="shared" si="5"/>
        <v/>
      </c>
      <c r="Z45" s="20" t="str">
        <f t="shared" si="6"/>
        <v/>
      </c>
      <c r="AA45" s="20" t="str">
        <f t="shared" si="7"/>
        <v/>
      </c>
      <c r="AB45" s="20" t="str">
        <f t="shared" si="8"/>
        <v/>
      </c>
      <c r="AC45" s="20" t="str">
        <f t="shared" si="9"/>
        <v/>
      </c>
      <c r="AD45" s="20" t="str">
        <f t="shared" si="10"/>
        <v/>
      </c>
      <c r="AE45" s="20" t="str">
        <f t="shared" si="11"/>
        <v/>
      </c>
      <c r="AF45" s="20" t="str">
        <f t="shared" si="12"/>
        <v/>
      </c>
      <c r="AG45" s="623"/>
      <c r="AH45" s="758" t="s">
        <v>3880</v>
      </c>
      <c r="AI45" s="758"/>
      <c r="AJ45" s="758"/>
      <c r="AK45" s="908"/>
      <c r="AL45" s="940" t="s">
        <v>5909</v>
      </c>
      <c r="AM45" s="29"/>
      <c r="AO45" s="997" t="str">
        <f t="shared" si="1"/>
        <v/>
      </c>
      <c r="AP45" s="579" t="str">
        <f t="shared" si="13"/>
        <v/>
      </c>
      <c r="AQ45" s="762" t="str">
        <f t="shared" si="18"/>
        <v/>
      </c>
      <c r="AR45" s="869" t="str">
        <f t="shared" si="20"/>
        <v/>
      </c>
      <c r="AS45" s="869" t="str">
        <f t="shared" si="21"/>
        <v/>
      </c>
      <c r="AT45" s="762" t="str">
        <f t="shared" si="4"/>
        <v/>
      </c>
      <c r="AU45" s="579" t="str">
        <f t="shared" si="17"/>
        <v/>
      </c>
      <c r="AW45" s="671"/>
    </row>
    <row r="46" spans="1:49">
      <c r="A46" s="606"/>
      <c r="B46" s="26"/>
      <c r="C46" s="758" t="s">
        <v>3890</v>
      </c>
      <c r="D46" s="758"/>
      <c r="E46" s="758" t="s">
        <v>3891</v>
      </c>
      <c r="F46" s="758"/>
      <c r="G46" s="758"/>
      <c r="H46" s="758"/>
      <c r="I46" s="758"/>
      <c r="J46" s="626"/>
      <c r="K46" s="889"/>
      <c r="L46" s="607"/>
      <c r="M46" s="607"/>
      <c r="N46" s="607"/>
      <c r="O46" s="607"/>
      <c r="P46" s="765">
        <f t="shared" si="19"/>
        <v>0</v>
      </c>
      <c r="Q46" s="765" t="s">
        <v>3816</v>
      </c>
      <c r="R46" s="765"/>
      <c r="S46" s="765"/>
      <c r="T46" s="765"/>
      <c r="U46" s="765"/>
      <c r="V46" s="1000" t="s">
        <v>5906</v>
      </c>
      <c r="W46" s="619"/>
      <c r="Y46" s="20" t="str">
        <f t="shared" si="5"/>
        <v/>
      </c>
      <c r="Z46" s="20" t="str">
        <f t="shared" si="6"/>
        <v/>
      </c>
      <c r="AA46" s="20" t="str">
        <f t="shared" si="7"/>
        <v/>
      </c>
      <c r="AB46" s="20" t="str">
        <f t="shared" si="8"/>
        <v/>
      </c>
      <c r="AC46" s="20" t="str">
        <f t="shared" si="9"/>
        <v/>
      </c>
      <c r="AD46" s="20" t="str">
        <f t="shared" si="10"/>
        <v/>
      </c>
      <c r="AE46" s="20" t="str">
        <f t="shared" si="11"/>
        <v/>
      </c>
      <c r="AF46" s="20" t="str">
        <f t="shared" si="12"/>
        <v/>
      </c>
      <c r="AG46" s="623"/>
      <c r="AH46" s="758" t="s">
        <v>3883</v>
      </c>
      <c r="AI46" s="758"/>
      <c r="AJ46" s="758"/>
      <c r="AK46" s="908"/>
      <c r="AL46" s="940" t="s">
        <v>5933</v>
      </c>
      <c r="AM46" s="29"/>
      <c r="AO46" s="997" t="str">
        <f t="shared" si="1"/>
        <v/>
      </c>
      <c r="AP46" s="579" t="str">
        <f t="shared" si="13"/>
        <v/>
      </c>
      <c r="AQ46" s="762" t="str">
        <f t="shared" si="18"/>
        <v/>
      </c>
      <c r="AR46" s="869" t="str">
        <f t="shared" si="20"/>
        <v/>
      </c>
      <c r="AS46" s="869" t="str">
        <f t="shared" si="21"/>
        <v/>
      </c>
      <c r="AT46" s="762" t="str">
        <f t="shared" si="4"/>
        <v/>
      </c>
      <c r="AU46" s="579" t="str">
        <f t="shared" si="17"/>
        <v/>
      </c>
      <c r="AW46" s="671"/>
    </row>
    <row r="47" spans="1:49">
      <c r="A47" s="606"/>
      <c r="B47" s="26"/>
      <c r="C47" s="758" t="s">
        <v>3893</v>
      </c>
      <c r="D47" s="758"/>
      <c r="E47" s="758" t="s">
        <v>3894</v>
      </c>
      <c r="F47" s="758" t="s">
        <v>4221</v>
      </c>
      <c r="G47" s="758"/>
      <c r="H47" s="758"/>
      <c r="I47" s="758"/>
      <c r="J47" s="626"/>
      <c r="K47" s="889"/>
      <c r="L47" s="607"/>
      <c r="M47" s="607"/>
      <c r="N47" s="607"/>
      <c r="O47" s="607"/>
      <c r="P47" s="765">
        <f t="shared" si="19"/>
        <v>0</v>
      </c>
      <c r="Q47" s="765" t="s">
        <v>3816</v>
      </c>
      <c r="R47" s="765" t="s">
        <v>3816</v>
      </c>
      <c r="S47" s="765"/>
      <c r="T47" s="765"/>
      <c r="U47" s="765"/>
      <c r="V47" s="1000" t="s">
        <v>5906</v>
      </c>
      <c r="W47" s="619"/>
      <c r="Y47" s="20" t="str">
        <f t="shared" si="5"/>
        <v/>
      </c>
      <c r="Z47" s="20" t="str">
        <f t="shared" si="6"/>
        <v/>
      </c>
      <c r="AA47" s="20" t="str">
        <f t="shared" si="7"/>
        <v/>
      </c>
      <c r="AB47" s="20" t="str">
        <f t="shared" si="8"/>
        <v/>
      </c>
      <c r="AC47" s="20" t="str">
        <f t="shared" si="9"/>
        <v/>
      </c>
      <c r="AD47" s="20" t="str">
        <f t="shared" si="10"/>
        <v/>
      </c>
      <c r="AE47" s="20" t="str">
        <f t="shared" si="11"/>
        <v/>
      </c>
      <c r="AF47" s="20" t="str">
        <f t="shared" si="12"/>
        <v/>
      </c>
      <c r="AG47" s="623"/>
      <c r="AH47" s="758" t="s">
        <v>3886</v>
      </c>
      <c r="AI47" s="758"/>
      <c r="AJ47" s="758"/>
      <c r="AK47" s="908"/>
      <c r="AL47" s="940" t="s">
        <v>5936</v>
      </c>
      <c r="AM47" s="29"/>
      <c r="AO47" s="997" t="str">
        <f t="shared" si="1"/>
        <v/>
      </c>
      <c r="AP47" s="579" t="str">
        <f t="shared" si="13"/>
        <v/>
      </c>
      <c r="AQ47" s="762" t="str">
        <f t="shared" si="18"/>
        <v/>
      </c>
      <c r="AR47" s="869" t="str">
        <f t="shared" si="20"/>
        <v/>
      </c>
      <c r="AS47" s="869" t="str">
        <f t="shared" si="21"/>
        <v/>
      </c>
      <c r="AT47" s="762" t="str">
        <f t="shared" si="4"/>
        <v/>
      </c>
      <c r="AU47" s="579" t="str">
        <f t="shared" si="17"/>
        <v/>
      </c>
    </row>
    <row r="48" spans="1:49">
      <c r="A48" s="606"/>
      <c r="B48" s="26"/>
      <c r="C48" s="758" t="s">
        <v>3896</v>
      </c>
      <c r="D48" s="758"/>
      <c r="E48" s="758" t="s">
        <v>3897</v>
      </c>
      <c r="F48" s="1054" t="s">
        <v>4221</v>
      </c>
      <c r="G48" s="758"/>
      <c r="H48" s="758"/>
      <c r="I48" s="758"/>
      <c r="J48" s="626"/>
      <c r="K48" s="889"/>
      <c r="L48" s="607"/>
      <c r="M48" s="607"/>
      <c r="N48" s="607"/>
      <c r="O48" s="607"/>
      <c r="P48" s="765">
        <f t="shared" si="19"/>
        <v>0</v>
      </c>
      <c r="Q48" s="765"/>
      <c r="R48" s="765"/>
      <c r="S48" s="765" t="s">
        <v>3816</v>
      </c>
      <c r="T48" s="765"/>
      <c r="U48" s="765"/>
      <c r="V48" s="1000" t="s">
        <v>5930</v>
      </c>
      <c r="W48" s="619"/>
      <c r="Y48" s="20" t="str">
        <f t="shared" si="5"/>
        <v/>
      </c>
      <c r="Z48" s="20" t="str">
        <f t="shared" si="6"/>
        <v/>
      </c>
      <c r="AA48" s="20" t="str">
        <f t="shared" si="7"/>
        <v/>
      </c>
      <c r="AB48" s="20" t="str">
        <f t="shared" si="8"/>
        <v/>
      </c>
      <c r="AC48" s="20" t="str">
        <f t="shared" si="9"/>
        <v/>
      </c>
      <c r="AD48" s="20" t="str">
        <f t="shared" si="10"/>
        <v/>
      </c>
      <c r="AE48" s="20" t="str">
        <f t="shared" si="11"/>
        <v/>
      </c>
      <c r="AF48" s="20" t="str">
        <f t="shared" si="12"/>
        <v/>
      </c>
      <c r="AG48" s="623"/>
      <c r="AH48" s="758" t="s">
        <v>3889</v>
      </c>
      <c r="AI48" s="758"/>
      <c r="AJ48" s="758"/>
      <c r="AK48" s="908"/>
      <c r="AL48" s="940" t="s">
        <v>5933</v>
      </c>
      <c r="AM48" s="29"/>
      <c r="AO48" s="997" t="str">
        <f t="shared" si="1"/>
        <v/>
      </c>
      <c r="AP48" s="579" t="str">
        <f t="shared" si="13"/>
        <v/>
      </c>
      <c r="AQ48" s="762" t="str">
        <f t="shared" si="18"/>
        <v/>
      </c>
      <c r="AR48" s="869" t="str">
        <f t="shared" si="20"/>
        <v/>
      </c>
      <c r="AS48" s="869" t="str">
        <f t="shared" si="21"/>
        <v/>
      </c>
      <c r="AT48" s="762" t="str">
        <f t="shared" si="4"/>
        <v/>
      </c>
      <c r="AU48" s="579" t="str">
        <f t="shared" si="17"/>
        <v/>
      </c>
    </row>
    <row r="49" spans="1:47">
      <c r="A49" s="606"/>
      <c r="B49" s="26"/>
      <c r="C49" s="758" t="s">
        <v>3899</v>
      </c>
      <c r="D49" s="758"/>
      <c r="E49" s="758" t="s">
        <v>3900</v>
      </c>
      <c r="F49" s="758"/>
      <c r="G49" s="758"/>
      <c r="H49" s="758"/>
      <c r="I49" s="758"/>
      <c r="J49" s="626"/>
      <c r="K49" s="889"/>
      <c r="L49" s="607"/>
      <c r="M49" s="607"/>
      <c r="N49" s="607"/>
      <c r="O49" s="607"/>
      <c r="P49" s="765">
        <f t="shared" si="19"/>
        <v>0</v>
      </c>
      <c r="Q49" s="765"/>
      <c r="R49" s="765"/>
      <c r="S49" s="765"/>
      <c r="T49" s="765" t="s">
        <v>3816</v>
      </c>
      <c r="U49" s="765"/>
      <c r="V49" s="1000" t="s">
        <v>5904</v>
      </c>
      <c r="W49" s="619"/>
      <c r="Y49" s="20" t="str">
        <f t="shared" si="5"/>
        <v/>
      </c>
      <c r="Z49" s="20" t="str">
        <f t="shared" si="6"/>
        <v/>
      </c>
      <c r="AA49" s="20" t="str">
        <f t="shared" si="7"/>
        <v/>
      </c>
      <c r="AB49" s="20" t="str">
        <f t="shared" si="8"/>
        <v/>
      </c>
      <c r="AC49" s="20" t="str">
        <f t="shared" si="9"/>
        <v/>
      </c>
      <c r="AD49" s="20" t="str">
        <f t="shared" si="10"/>
        <v/>
      </c>
      <c r="AE49" s="20" t="str">
        <f t="shared" si="11"/>
        <v/>
      </c>
      <c r="AF49" s="20" t="str">
        <f t="shared" si="12"/>
        <v/>
      </c>
      <c r="AG49" s="623"/>
      <c r="AH49" s="758" t="s">
        <v>3892</v>
      </c>
      <c r="AI49" s="758"/>
      <c r="AJ49" s="758"/>
      <c r="AK49" s="908"/>
      <c r="AL49" s="940" t="s">
        <v>5911</v>
      </c>
      <c r="AM49" s="29"/>
      <c r="AO49" s="997" t="str">
        <f t="shared" si="1"/>
        <v/>
      </c>
      <c r="AP49" s="579" t="str">
        <f t="shared" si="13"/>
        <v/>
      </c>
      <c r="AQ49" s="762" t="str">
        <f t="shared" si="18"/>
        <v/>
      </c>
      <c r="AR49" s="869" t="str">
        <f t="shared" si="20"/>
        <v/>
      </c>
      <c r="AS49" s="869" t="str">
        <f t="shared" si="21"/>
        <v/>
      </c>
      <c r="AT49" s="762" t="str">
        <f t="shared" si="4"/>
        <v/>
      </c>
      <c r="AU49" s="579" t="str">
        <f t="shared" si="17"/>
        <v/>
      </c>
    </row>
    <row r="50" spans="1:47">
      <c r="A50" s="606"/>
      <c r="B50" s="26"/>
      <c r="C50" s="758" t="s">
        <v>3902</v>
      </c>
      <c r="D50" s="758"/>
      <c r="E50" s="758" t="s">
        <v>3902</v>
      </c>
      <c r="F50" s="758"/>
      <c r="G50" s="758"/>
      <c r="H50" s="758"/>
      <c r="I50" s="758"/>
      <c r="J50" s="626"/>
      <c r="K50" s="889"/>
      <c r="L50" s="607"/>
      <c r="M50" s="607"/>
      <c r="N50" s="607"/>
      <c r="O50" s="607"/>
      <c r="P50" s="765">
        <f t="shared" si="19"/>
        <v>0</v>
      </c>
      <c r="Q50" s="765"/>
      <c r="R50" s="765"/>
      <c r="S50" s="765" t="s">
        <v>3816</v>
      </c>
      <c r="T50" s="765"/>
      <c r="U50" s="765"/>
      <c r="V50" s="1000" t="s">
        <v>5931</v>
      </c>
      <c r="W50" s="619"/>
      <c r="Y50" s="20" t="str">
        <f t="shared" si="5"/>
        <v/>
      </c>
      <c r="Z50" s="20" t="str">
        <f t="shared" si="6"/>
        <v/>
      </c>
      <c r="AA50" s="20" t="str">
        <f t="shared" si="7"/>
        <v/>
      </c>
      <c r="AB50" s="20" t="str">
        <f t="shared" si="8"/>
        <v/>
      </c>
      <c r="AC50" s="20" t="str">
        <f t="shared" si="9"/>
        <v/>
      </c>
      <c r="AD50" s="20" t="str">
        <f t="shared" si="10"/>
        <v/>
      </c>
      <c r="AE50" s="20" t="str">
        <f t="shared" si="11"/>
        <v/>
      </c>
      <c r="AF50" s="20" t="str">
        <f t="shared" si="12"/>
        <v/>
      </c>
      <c r="AG50" s="623"/>
      <c r="AH50" s="758" t="s">
        <v>3895</v>
      </c>
      <c r="AI50" s="758"/>
      <c r="AJ50" s="758"/>
      <c r="AK50" s="1369"/>
      <c r="AL50" s="940">
        <v>103</v>
      </c>
      <c r="AM50" s="29"/>
      <c r="AO50" s="997" t="str">
        <f t="shared" si="1"/>
        <v/>
      </c>
      <c r="AP50" s="579" t="str">
        <f t="shared" si="13"/>
        <v/>
      </c>
      <c r="AQ50" s="762" t="str">
        <f t="shared" si="18"/>
        <v/>
      </c>
      <c r="AR50" s="869" t="str">
        <f t="shared" si="20"/>
        <v/>
      </c>
      <c r="AS50" s="869" t="str">
        <f t="shared" si="21"/>
        <v/>
      </c>
      <c r="AT50" s="762" t="str">
        <f t="shared" si="4"/>
        <v/>
      </c>
      <c r="AU50" s="579" t="str">
        <f t="shared" si="17"/>
        <v/>
      </c>
    </row>
    <row r="51" spans="1:47">
      <c r="A51" s="606"/>
      <c r="B51" s="26"/>
      <c r="C51" s="758" t="s">
        <v>4236</v>
      </c>
      <c r="D51" s="758"/>
      <c r="E51" s="758" t="str">
        <f>LOWER(C51)</f>
        <v>memory walk</v>
      </c>
      <c r="F51" s="758"/>
      <c r="G51" s="758" t="s">
        <v>4222</v>
      </c>
      <c r="H51" s="758"/>
      <c r="I51" s="758" t="s">
        <v>2636</v>
      </c>
      <c r="J51" s="626"/>
      <c r="K51" s="889"/>
      <c r="L51" s="607"/>
      <c r="M51" s="876"/>
      <c r="N51" s="876"/>
      <c r="O51" s="876"/>
      <c r="P51" s="765">
        <f t="shared" si="19"/>
        <v>0</v>
      </c>
      <c r="Q51" s="765"/>
      <c r="R51" s="765"/>
      <c r="S51" s="765"/>
      <c r="T51" s="765"/>
      <c r="U51" s="765" t="s">
        <v>3816</v>
      </c>
      <c r="V51" s="939" t="s">
        <v>5696</v>
      </c>
      <c r="W51" s="619"/>
      <c r="Y51" s="20" t="str">
        <f t="shared" si="5"/>
        <v/>
      </c>
      <c r="Z51" s="20" t="str">
        <f t="shared" si="6"/>
        <v/>
      </c>
      <c r="AA51" s="20" t="str">
        <f t="shared" si="7"/>
        <v/>
      </c>
      <c r="AB51" s="20" t="str">
        <f t="shared" si="8"/>
        <v/>
      </c>
      <c r="AC51" s="20" t="str">
        <f t="shared" si="9"/>
        <v/>
      </c>
      <c r="AD51" s="20" t="str">
        <f t="shared" si="10"/>
        <v/>
      </c>
      <c r="AE51" s="20" t="str">
        <f t="shared" si="11"/>
        <v/>
      </c>
      <c r="AF51" s="20" t="str">
        <f t="shared" si="12"/>
        <v/>
      </c>
      <c r="AG51" s="623"/>
      <c r="AH51" s="758" t="s">
        <v>3898</v>
      </c>
      <c r="AI51" s="758"/>
      <c r="AJ51" s="758"/>
      <c r="AK51" s="908"/>
      <c r="AL51" s="940" t="s">
        <v>5936</v>
      </c>
      <c r="AM51" s="29"/>
      <c r="AO51" s="997" t="str">
        <f t="shared" si="1"/>
        <v/>
      </c>
      <c r="AP51" s="579" t="str">
        <f t="shared" si="13"/>
        <v/>
      </c>
      <c r="AQ51" s="762" t="str">
        <f t="shared" si="18"/>
        <v/>
      </c>
      <c r="AR51" s="869" t="str">
        <f t="shared" si="20"/>
        <v/>
      </c>
      <c r="AS51" s="869" t="str">
        <f t="shared" si="21"/>
        <v/>
      </c>
      <c r="AT51" s="762" t="str">
        <f t="shared" si="4"/>
        <v/>
      </c>
      <c r="AU51" s="579" t="str">
        <f t="shared" si="17"/>
        <v/>
      </c>
    </row>
    <row r="52" spans="1:47">
      <c r="A52" s="606"/>
      <c r="B52" s="26"/>
      <c r="C52" s="758" t="s">
        <v>4237</v>
      </c>
      <c r="D52" s="758"/>
      <c r="E52" s="758" t="str">
        <f>LOWER(C52)</f>
        <v>mind shard</v>
      </c>
      <c r="F52" s="758"/>
      <c r="G52" s="758" t="s">
        <v>4222</v>
      </c>
      <c r="H52" s="758"/>
      <c r="I52" s="758"/>
      <c r="J52" s="626"/>
      <c r="K52" s="889"/>
      <c r="L52" s="607"/>
      <c r="M52" s="876"/>
      <c r="N52" s="876"/>
      <c r="O52" s="876"/>
      <c r="P52" s="765">
        <f t="shared" si="19"/>
        <v>0</v>
      </c>
      <c r="Q52" s="765"/>
      <c r="R52" s="765"/>
      <c r="S52" s="765"/>
      <c r="T52" s="765"/>
      <c r="U52" s="765" t="s">
        <v>3816</v>
      </c>
      <c r="V52" s="939" t="s">
        <v>5697</v>
      </c>
      <c r="W52" s="619"/>
      <c r="Y52" s="20" t="str">
        <f t="shared" si="5"/>
        <v/>
      </c>
      <c r="Z52" s="20" t="str">
        <f t="shared" si="6"/>
        <v/>
      </c>
      <c r="AA52" s="20" t="str">
        <f t="shared" si="7"/>
        <v/>
      </c>
      <c r="AB52" s="20" t="str">
        <f t="shared" si="8"/>
        <v/>
      </c>
      <c r="AC52" s="20" t="str">
        <f t="shared" si="9"/>
        <v/>
      </c>
      <c r="AD52" s="20" t="str">
        <f t="shared" si="10"/>
        <v/>
      </c>
      <c r="AE52" s="20" t="str">
        <f t="shared" si="11"/>
        <v/>
      </c>
      <c r="AF52" s="20" t="str">
        <f t="shared" si="12"/>
        <v/>
      </c>
      <c r="AG52" s="623"/>
      <c r="AH52" s="758" t="s">
        <v>3901</v>
      </c>
      <c r="AI52" s="758"/>
      <c r="AJ52" s="758"/>
      <c r="AK52" s="908"/>
      <c r="AL52" s="940" t="s">
        <v>5933</v>
      </c>
      <c r="AM52" s="29"/>
      <c r="AO52" s="997" t="str">
        <f t="shared" si="1"/>
        <v/>
      </c>
      <c r="AP52" s="579" t="str">
        <f t="shared" si="13"/>
        <v/>
      </c>
      <c r="AQ52" s="762" t="str">
        <f t="shared" si="18"/>
        <v/>
      </c>
      <c r="AR52" s="869" t="str">
        <f t="shared" si="20"/>
        <v/>
      </c>
      <c r="AS52" s="869" t="str">
        <f t="shared" si="21"/>
        <v/>
      </c>
      <c r="AT52" s="762" t="str">
        <f t="shared" si="4"/>
        <v/>
      </c>
      <c r="AU52" s="579" t="str">
        <f t="shared" si="17"/>
        <v/>
      </c>
    </row>
    <row r="53" spans="1:47">
      <c r="A53" s="606"/>
      <c r="B53" s="26"/>
      <c r="C53" s="758" t="s">
        <v>3904</v>
      </c>
      <c r="D53" s="758"/>
      <c r="E53" s="758" t="s">
        <v>3905</v>
      </c>
      <c r="F53" s="758"/>
      <c r="G53" s="758" t="s">
        <v>4222</v>
      </c>
      <c r="H53" s="758"/>
      <c r="I53" s="758"/>
      <c r="J53" s="626"/>
      <c r="K53" s="889"/>
      <c r="L53" s="607"/>
      <c r="M53" s="607"/>
      <c r="N53" s="607"/>
      <c r="O53" s="607"/>
      <c r="P53" s="765">
        <f t="shared" si="19"/>
        <v>0</v>
      </c>
      <c r="Q53" s="765"/>
      <c r="R53" s="765"/>
      <c r="S53" s="765"/>
      <c r="T53" s="765"/>
      <c r="U53" s="765"/>
      <c r="V53" s="939">
        <v>97</v>
      </c>
      <c r="W53" s="619"/>
      <c r="Y53" s="20" t="str">
        <f t="shared" si="5"/>
        <v/>
      </c>
      <c r="Z53" s="20" t="str">
        <f t="shared" si="6"/>
        <v/>
      </c>
      <c r="AA53" s="20" t="str">
        <f t="shared" si="7"/>
        <v/>
      </c>
      <c r="AB53" s="20" t="str">
        <f t="shared" si="8"/>
        <v/>
      </c>
      <c r="AC53" s="20" t="str">
        <f t="shared" si="9"/>
        <v/>
      </c>
      <c r="AD53" s="20" t="str">
        <f t="shared" si="10"/>
        <v/>
      </c>
      <c r="AE53" s="20" t="str">
        <f t="shared" si="11"/>
        <v/>
      </c>
      <c r="AF53" s="20" t="str">
        <f t="shared" si="12"/>
        <v/>
      </c>
      <c r="AG53" s="623"/>
      <c r="AH53" s="766" t="s">
        <v>4274</v>
      </c>
      <c r="AI53" s="758"/>
      <c r="AJ53" s="758"/>
      <c r="AK53" s="908"/>
      <c r="AL53" s="940" t="s">
        <v>5938</v>
      </c>
      <c r="AM53" s="29"/>
      <c r="AO53" s="997" t="str">
        <f t="shared" si="1"/>
        <v/>
      </c>
      <c r="AP53" s="579" t="str">
        <f t="shared" si="13"/>
        <v/>
      </c>
      <c r="AQ53" s="762" t="str">
        <f t="shared" si="18"/>
        <v/>
      </c>
      <c r="AR53" s="869" t="str">
        <f t="shared" si="20"/>
        <v/>
      </c>
      <c r="AS53" s="869" t="str">
        <f t="shared" si="21"/>
        <v/>
      </c>
      <c r="AT53" s="762" t="str">
        <f t="shared" si="4"/>
        <v/>
      </c>
      <c r="AU53" s="579" t="str">
        <f t="shared" si="17"/>
        <v/>
      </c>
    </row>
    <row r="54" spans="1:47">
      <c r="A54" s="606"/>
      <c r="B54" s="26"/>
      <c r="C54" s="758" t="s">
        <v>3907</v>
      </c>
      <c r="D54" s="758"/>
      <c r="E54" s="758" t="s">
        <v>3907</v>
      </c>
      <c r="F54" s="758"/>
      <c r="G54" s="758"/>
      <c r="H54" s="758"/>
      <c r="I54" s="758"/>
      <c r="J54" s="626"/>
      <c r="K54" s="889"/>
      <c r="L54" s="607"/>
      <c r="M54" s="607"/>
      <c r="N54" s="607"/>
      <c r="O54" s="607"/>
      <c r="P54" s="765">
        <f t="shared" si="19"/>
        <v>0</v>
      </c>
      <c r="Q54" s="765"/>
      <c r="R54" s="765"/>
      <c r="S54" s="765" t="s">
        <v>3816</v>
      </c>
      <c r="T54" s="765"/>
      <c r="U54" s="765"/>
      <c r="V54" s="1000" t="s">
        <v>5931</v>
      </c>
      <c r="W54" s="619"/>
      <c r="Y54" s="20" t="str">
        <f t="shared" si="5"/>
        <v/>
      </c>
      <c r="Z54" s="20" t="str">
        <f t="shared" si="6"/>
        <v/>
      </c>
      <c r="AA54" s="20" t="str">
        <f t="shared" si="7"/>
        <v/>
      </c>
      <c r="AB54" s="20" t="str">
        <f t="shared" si="8"/>
        <v/>
      </c>
      <c r="AC54" s="20" t="str">
        <f t="shared" si="9"/>
        <v/>
      </c>
      <c r="AD54" s="20" t="str">
        <f t="shared" si="10"/>
        <v/>
      </c>
      <c r="AE54" s="20" t="str">
        <f t="shared" si="11"/>
        <v/>
      </c>
      <c r="AF54" s="20" t="str">
        <f t="shared" si="12"/>
        <v/>
      </c>
      <c r="AG54" s="623"/>
      <c r="AH54" s="758" t="s">
        <v>3903</v>
      </c>
      <c r="AI54" s="758"/>
      <c r="AJ54" s="784"/>
      <c r="AK54" s="1534"/>
      <c r="AL54" s="940" t="s">
        <v>5911</v>
      </c>
      <c r="AM54" s="29"/>
      <c r="AO54" s="997" t="str">
        <f t="shared" si="1"/>
        <v/>
      </c>
      <c r="AP54" s="579" t="str">
        <f t="shared" si="13"/>
        <v/>
      </c>
      <c r="AQ54" s="762" t="str">
        <f t="shared" si="18"/>
        <v/>
      </c>
      <c r="AR54" s="869" t="str">
        <f t="shared" si="20"/>
        <v/>
      </c>
      <c r="AS54" s="869" t="str">
        <f t="shared" si="21"/>
        <v/>
      </c>
      <c r="AT54" s="762" t="str">
        <f t="shared" si="4"/>
        <v/>
      </c>
      <c r="AU54" s="383" t="s">
        <v>195</v>
      </c>
    </row>
    <row r="55" spans="1:47">
      <c r="A55" s="606"/>
      <c r="B55" s="26"/>
      <c r="C55" s="758" t="s">
        <v>3909</v>
      </c>
      <c r="D55" s="758"/>
      <c r="E55" s="758" t="s">
        <v>3910</v>
      </c>
      <c r="F55" s="758" t="s">
        <v>4221</v>
      </c>
      <c r="G55" s="758"/>
      <c r="H55" s="758"/>
      <c r="I55" s="758"/>
      <c r="J55" s="626"/>
      <c r="K55" s="889"/>
      <c r="L55" s="607"/>
      <c r="M55" s="607"/>
      <c r="N55" s="607"/>
      <c r="O55" s="607"/>
      <c r="P55" s="765">
        <f t="shared" si="19"/>
        <v>0</v>
      </c>
      <c r="Q55" s="765"/>
      <c r="R55" s="765"/>
      <c r="S55" s="765"/>
      <c r="T55" s="765"/>
      <c r="U55" s="765"/>
      <c r="V55" s="939">
        <v>97</v>
      </c>
      <c r="W55" s="619"/>
      <c r="Y55" s="20" t="str">
        <f t="shared" si="5"/>
        <v/>
      </c>
      <c r="Z55" s="20" t="str">
        <f t="shared" si="6"/>
        <v/>
      </c>
      <c r="AA55" s="20" t="str">
        <f t="shared" si="7"/>
        <v/>
      </c>
      <c r="AB55" s="20" t="str">
        <f t="shared" si="8"/>
        <v/>
      </c>
      <c r="AC55" s="20" t="str">
        <f t="shared" si="9"/>
        <v/>
      </c>
      <c r="AD55" s="20" t="str">
        <f t="shared" si="10"/>
        <v/>
      </c>
      <c r="AE55" s="20" t="str">
        <f t="shared" si="11"/>
        <v/>
      </c>
      <c r="AF55" s="20" t="str">
        <f t="shared" si="12"/>
        <v/>
      </c>
      <c r="AG55" s="785"/>
      <c r="AH55" s="758" t="s">
        <v>3906</v>
      </c>
      <c r="AI55" s="752"/>
      <c r="AJ55" s="752"/>
      <c r="AK55" s="908"/>
      <c r="AL55" s="940" t="s">
        <v>5933</v>
      </c>
      <c r="AM55" s="786"/>
      <c r="AO55" s="905" t="str">
        <f>IF(OR(J55&lt;&gt;"",N55&lt;&gt;""),C55&amp;IF(J55+N55&gt;1," ("&amp;J55+N55&amp;")",""),"")</f>
        <v/>
      </c>
      <c r="AP55" s="579" t="str">
        <f t="shared" si="13"/>
        <v/>
      </c>
      <c r="AQ55" s="762" t="str">
        <f t="shared" si="18"/>
        <v/>
      </c>
      <c r="AR55" s="869" t="str">
        <f t="shared" si="20"/>
        <v/>
      </c>
      <c r="AS55" s="869" t="str">
        <f t="shared" si="21"/>
        <v/>
      </c>
      <c r="AT55" s="762" t="str">
        <f t="shared" si="4"/>
        <v/>
      </c>
    </row>
    <row r="56" spans="1:47">
      <c r="A56" s="606"/>
      <c r="B56" s="26"/>
      <c r="C56" s="758" t="s">
        <v>3912</v>
      </c>
      <c r="D56" s="758"/>
      <c r="E56" s="758" t="s">
        <v>3913</v>
      </c>
      <c r="F56" s="758"/>
      <c r="G56" s="758"/>
      <c r="H56" s="758"/>
      <c r="I56" s="758"/>
      <c r="J56" s="626"/>
      <c r="K56" s="889"/>
      <c r="L56" s="607"/>
      <c r="M56" s="607"/>
      <c r="N56" s="607"/>
      <c r="O56" s="607"/>
      <c r="P56" s="765">
        <f t="shared" si="19"/>
        <v>0</v>
      </c>
      <c r="Q56" s="765"/>
      <c r="R56" s="765"/>
      <c r="S56" s="765"/>
      <c r="T56" s="765"/>
      <c r="U56" s="765"/>
      <c r="V56" s="939">
        <v>98</v>
      </c>
      <c r="W56" s="619"/>
      <c r="Y56" s="20" t="str">
        <f t="shared" si="5"/>
        <v/>
      </c>
      <c r="Z56" s="20" t="str">
        <f t="shared" si="6"/>
        <v/>
      </c>
      <c r="AA56" s="20" t="str">
        <f t="shared" si="7"/>
        <v/>
      </c>
      <c r="AB56" s="20" t="str">
        <f t="shared" si="8"/>
        <v/>
      </c>
      <c r="AC56" s="20" t="str">
        <f t="shared" si="9"/>
        <v/>
      </c>
      <c r="AD56" s="20" t="str">
        <f t="shared" si="10"/>
        <v/>
      </c>
      <c r="AE56" s="20" t="str">
        <f t="shared" si="11"/>
        <v/>
      </c>
      <c r="AF56" s="20" t="str">
        <f t="shared" si="12"/>
        <v/>
      </c>
      <c r="AG56" s="785"/>
      <c r="AH56" s="758" t="s">
        <v>3908</v>
      </c>
      <c r="AI56" s="752"/>
      <c r="AJ56" s="752"/>
      <c r="AK56" s="908"/>
      <c r="AL56" s="940" t="s">
        <v>5911</v>
      </c>
      <c r="AM56" s="786"/>
      <c r="AO56" s="997" t="str">
        <f t="shared" ref="AO56:AO97" si="22">IF(OR(J56&lt;&gt;"",N56&lt;&gt;""),C56&amp;IF(J56+N56&gt;1," ("&amp;J56+N56&amp;")",""),"")</f>
        <v/>
      </c>
      <c r="AP56" s="579" t="str">
        <f t="shared" si="13"/>
        <v/>
      </c>
      <c r="AQ56" s="762" t="str">
        <f t="shared" si="18"/>
        <v/>
      </c>
      <c r="AR56" s="869" t="str">
        <f t="shared" si="20"/>
        <v/>
      </c>
      <c r="AS56" s="869" t="str">
        <f t="shared" si="21"/>
        <v/>
      </c>
      <c r="AT56" s="762" t="str">
        <f t="shared" si="4"/>
        <v/>
      </c>
    </row>
    <row r="57" spans="1:47">
      <c r="A57" s="606"/>
      <c r="B57" s="26"/>
      <c r="C57" s="758" t="s">
        <v>3915</v>
      </c>
      <c r="D57" s="758"/>
      <c r="E57" s="758" t="s">
        <v>3916</v>
      </c>
      <c r="F57" s="758"/>
      <c r="G57" s="1054" t="s">
        <v>4222</v>
      </c>
      <c r="H57" s="758"/>
      <c r="I57" s="758"/>
      <c r="J57" s="626"/>
      <c r="K57" s="889"/>
      <c r="L57" s="607"/>
      <c r="M57" s="607"/>
      <c r="N57" s="607"/>
      <c r="O57" s="607"/>
      <c r="P57" s="765">
        <f t="shared" si="19"/>
        <v>0</v>
      </c>
      <c r="Q57" s="765"/>
      <c r="R57" s="765"/>
      <c r="S57" s="765"/>
      <c r="T57" s="765" t="s">
        <v>3816</v>
      </c>
      <c r="U57" s="765"/>
      <c r="V57" s="1000" t="s">
        <v>5904</v>
      </c>
      <c r="W57" s="619"/>
      <c r="Y57" s="20" t="str">
        <f t="shared" si="5"/>
        <v/>
      </c>
      <c r="Z57" s="20" t="str">
        <f t="shared" si="6"/>
        <v/>
      </c>
      <c r="AA57" s="20" t="str">
        <f t="shared" si="7"/>
        <v/>
      </c>
      <c r="AB57" s="20" t="str">
        <f t="shared" si="8"/>
        <v/>
      </c>
      <c r="AC57" s="20" t="str">
        <f t="shared" si="9"/>
        <v/>
      </c>
      <c r="AD57" s="20" t="str">
        <f t="shared" si="10"/>
        <v/>
      </c>
      <c r="AE57" s="20" t="str">
        <f t="shared" si="11"/>
        <v/>
      </c>
      <c r="AF57" s="20" t="str">
        <f t="shared" si="12"/>
        <v/>
      </c>
      <c r="AG57" s="785"/>
      <c r="AH57" s="758" t="s">
        <v>3911</v>
      </c>
      <c r="AI57" s="752"/>
      <c r="AJ57" s="752"/>
      <c r="AK57" s="908"/>
      <c r="AL57" s="940" t="s">
        <v>5909</v>
      </c>
      <c r="AM57" s="786"/>
      <c r="AO57" s="997" t="str">
        <f t="shared" si="22"/>
        <v/>
      </c>
      <c r="AP57" s="579" t="str">
        <f t="shared" si="13"/>
        <v/>
      </c>
      <c r="AQ57" s="762" t="str">
        <f t="shared" si="18"/>
        <v/>
      </c>
      <c r="AR57" s="869" t="str">
        <f t="shared" si="20"/>
        <v/>
      </c>
      <c r="AS57" s="869" t="str">
        <f t="shared" si="21"/>
        <v/>
      </c>
      <c r="AT57" s="762" t="str">
        <f t="shared" si="4"/>
        <v/>
      </c>
    </row>
    <row r="58" spans="1:47">
      <c r="A58" s="606"/>
      <c r="B58" s="26"/>
      <c r="C58" s="758" t="s">
        <v>3918</v>
      </c>
      <c r="D58" s="758"/>
      <c r="E58" s="758" t="s">
        <v>3919</v>
      </c>
      <c r="F58" s="758"/>
      <c r="G58" s="758"/>
      <c r="H58" s="758"/>
      <c r="I58" s="758"/>
      <c r="J58" s="626"/>
      <c r="K58" s="889"/>
      <c r="L58" s="607"/>
      <c r="M58" s="607"/>
      <c r="N58" s="607"/>
      <c r="O58" s="607"/>
      <c r="P58" s="765">
        <f t="shared" si="19"/>
        <v>0</v>
      </c>
      <c r="Q58" s="765"/>
      <c r="R58" s="765"/>
      <c r="S58" s="765" t="s">
        <v>3816</v>
      </c>
      <c r="T58" s="765"/>
      <c r="U58" s="765"/>
      <c r="V58" s="1000" t="s">
        <v>5931</v>
      </c>
      <c r="W58" s="619"/>
      <c r="Y58" s="20" t="str">
        <f t="shared" si="5"/>
        <v/>
      </c>
      <c r="Z58" s="20" t="str">
        <f t="shared" si="6"/>
        <v/>
      </c>
      <c r="AA58" s="20" t="str">
        <f t="shared" si="7"/>
        <v/>
      </c>
      <c r="AB58" s="20" t="str">
        <f t="shared" si="8"/>
        <v/>
      </c>
      <c r="AC58" s="20" t="str">
        <f t="shared" si="9"/>
        <v/>
      </c>
      <c r="AD58" s="20" t="str">
        <f t="shared" si="10"/>
        <v/>
      </c>
      <c r="AE58" s="20" t="str">
        <f t="shared" si="11"/>
        <v/>
      </c>
      <c r="AF58" s="20" t="str">
        <f t="shared" si="12"/>
        <v/>
      </c>
      <c r="AG58" s="785"/>
      <c r="AH58" s="758" t="s">
        <v>3914</v>
      </c>
      <c r="AI58" s="752"/>
      <c r="AJ58" s="752"/>
      <c r="AK58" s="908"/>
      <c r="AL58" s="940">
        <v>103</v>
      </c>
      <c r="AM58" s="786"/>
      <c r="AO58" s="997" t="str">
        <f t="shared" si="22"/>
        <v/>
      </c>
      <c r="AP58" s="579" t="str">
        <f t="shared" si="13"/>
        <v/>
      </c>
      <c r="AQ58" s="762" t="str">
        <f t="shared" si="18"/>
        <v/>
      </c>
      <c r="AR58" s="869" t="str">
        <f t="shared" si="20"/>
        <v/>
      </c>
      <c r="AS58" s="869" t="str">
        <f t="shared" si="21"/>
        <v/>
      </c>
      <c r="AT58" s="762" t="str">
        <f t="shared" si="4"/>
        <v/>
      </c>
    </row>
    <row r="59" spans="1:47">
      <c r="A59" s="606"/>
      <c r="B59" s="26"/>
      <c r="C59" s="758" t="s">
        <v>4238</v>
      </c>
      <c r="D59" s="758"/>
      <c r="E59" s="758" t="str">
        <f>LOWER(C59)</f>
        <v>plant surge</v>
      </c>
      <c r="F59" s="758"/>
      <c r="G59" s="758"/>
      <c r="H59" s="758"/>
      <c r="I59" s="758"/>
      <c r="J59" s="626"/>
      <c r="K59" s="889"/>
      <c r="L59" s="607"/>
      <c r="M59" s="876"/>
      <c r="N59" s="876"/>
      <c r="O59" s="876"/>
      <c r="P59" s="765">
        <f t="shared" si="19"/>
        <v>0</v>
      </c>
      <c r="Q59" s="765"/>
      <c r="R59" s="765"/>
      <c r="S59" s="765"/>
      <c r="T59" s="765"/>
      <c r="U59" s="765" t="s">
        <v>3816</v>
      </c>
      <c r="V59" s="939" t="s">
        <v>5697</v>
      </c>
      <c r="W59" s="619"/>
      <c r="Y59" s="20" t="str">
        <f t="shared" si="5"/>
        <v/>
      </c>
      <c r="Z59" s="20" t="str">
        <f t="shared" si="6"/>
        <v/>
      </c>
      <c r="AA59" s="20" t="str">
        <f t="shared" si="7"/>
        <v/>
      </c>
      <c r="AB59" s="20" t="str">
        <f t="shared" si="8"/>
        <v/>
      </c>
      <c r="AC59" s="20" t="str">
        <f t="shared" si="9"/>
        <v/>
      </c>
      <c r="AD59" s="20" t="str">
        <f t="shared" si="10"/>
        <v/>
      </c>
      <c r="AE59" s="20" t="str">
        <f t="shared" si="11"/>
        <v/>
      </c>
      <c r="AF59" s="20" t="str">
        <f t="shared" si="12"/>
        <v/>
      </c>
      <c r="AG59" s="785"/>
      <c r="AH59" s="758" t="s">
        <v>3917</v>
      </c>
      <c r="AI59" s="752"/>
      <c r="AJ59" s="752"/>
      <c r="AK59" s="1273"/>
      <c r="AL59" s="940">
        <v>103</v>
      </c>
      <c r="AM59" s="786"/>
      <c r="AO59" s="997" t="str">
        <f t="shared" si="22"/>
        <v/>
      </c>
      <c r="AP59" s="579" t="str">
        <f t="shared" si="13"/>
        <v/>
      </c>
      <c r="AQ59" s="762" t="str">
        <f t="shared" si="18"/>
        <v/>
      </c>
      <c r="AR59" s="869" t="str">
        <f t="shared" si="20"/>
        <v/>
      </c>
      <c r="AS59" s="869" t="str">
        <f t="shared" si="21"/>
        <v/>
      </c>
      <c r="AT59" s="762" t="str">
        <f t="shared" si="4"/>
        <v/>
      </c>
    </row>
    <row r="60" spans="1:47">
      <c r="A60" s="606"/>
      <c r="B60" s="26"/>
      <c r="C60" s="758" t="s">
        <v>3921</v>
      </c>
      <c r="D60" s="758"/>
      <c r="E60" s="758" t="s">
        <v>3922</v>
      </c>
      <c r="F60" s="758"/>
      <c r="G60" s="758"/>
      <c r="H60" s="758"/>
      <c r="I60" s="758"/>
      <c r="J60" s="626"/>
      <c r="K60" s="889"/>
      <c r="L60" s="607"/>
      <c r="M60" s="607"/>
      <c r="N60" s="607"/>
      <c r="O60" s="607"/>
      <c r="P60" s="765">
        <f t="shared" si="19"/>
        <v>0</v>
      </c>
      <c r="Q60" s="765"/>
      <c r="R60" s="765"/>
      <c r="S60" s="765"/>
      <c r="T60" s="765" t="s">
        <v>3816</v>
      </c>
      <c r="U60" s="765"/>
      <c r="V60" s="1000" t="s">
        <v>5904</v>
      </c>
      <c r="W60" s="619"/>
      <c r="Y60" s="20" t="str">
        <f t="shared" si="5"/>
        <v/>
      </c>
      <c r="Z60" s="20" t="str">
        <f t="shared" si="6"/>
        <v/>
      </c>
      <c r="AA60" s="20" t="str">
        <f t="shared" si="7"/>
        <v/>
      </c>
      <c r="AB60" s="20" t="str">
        <f t="shared" si="8"/>
        <v/>
      </c>
      <c r="AC60" s="20" t="str">
        <f t="shared" si="9"/>
        <v/>
      </c>
      <c r="AD60" s="20" t="str">
        <f t="shared" si="10"/>
        <v/>
      </c>
      <c r="AE60" s="20" t="str">
        <f t="shared" si="11"/>
        <v/>
      </c>
      <c r="AF60" s="20" t="str">
        <f t="shared" si="12"/>
        <v/>
      </c>
      <c r="AG60" s="785"/>
      <c r="AH60" s="758" t="s">
        <v>3920</v>
      </c>
      <c r="AI60" s="752"/>
      <c r="AJ60" s="752"/>
      <c r="AK60" s="908"/>
      <c r="AL60" s="940" t="s">
        <v>5933</v>
      </c>
      <c r="AM60" s="786"/>
      <c r="AO60" s="997" t="str">
        <f t="shared" si="22"/>
        <v/>
      </c>
      <c r="AP60" s="579" t="str">
        <f t="shared" si="13"/>
        <v/>
      </c>
      <c r="AQ60" s="762" t="str">
        <f t="shared" si="18"/>
        <v/>
      </c>
      <c r="AR60" s="869" t="str">
        <f t="shared" si="20"/>
        <v/>
      </c>
      <c r="AS60" s="869" t="str">
        <f t="shared" si="21"/>
        <v/>
      </c>
      <c r="AT60" s="762" t="str">
        <f t="shared" si="4"/>
        <v/>
      </c>
    </row>
    <row r="61" spans="1:47">
      <c r="A61" s="606"/>
      <c r="B61" s="26"/>
      <c r="C61" s="758" t="s">
        <v>3924</v>
      </c>
      <c r="D61" s="758"/>
      <c r="E61" s="758" t="s">
        <v>3925</v>
      </c>
      <c r="F61" s="758"/>
      <c r="G61" s="758"/>
      <c r="H61" s="758"/>
      <c r="I61" s="758"/>
      <c r="J61" s="626"/>
      <c r="K61" s="889"/>
      <c r="L61" s="607"/>
      <c r="M61" s="607"/>
      <c r="N61" s="607"/>
      <c r="O61" s="607"/>
      <c r="P61" s="765">
        <f t="shared" si="19"/>
        <v>0</v>
      </c>
      <c r="Q61" s="765"/>
      <c r="R61" s="765"/>
      <c r="S61" s="765"/>
      <c r="T61" s="765"/>
      <c r="U61" s="765"/>
      <c r="V61" s="939">
        <v>99</v>
      </c>
      <c r="W61" s="619"/>
      <c r="Y61" s="20" t="str">
        <f t="shared" si="5"/>
        <v/>
      </c>
      <c r="Z61" s="20" t="str">
        <f t="shared" si="6"/>
        <v/>
      </c>
      <c r="AA61" s="20" t="str">
        <f t="shared" si="7"/>
        <v/>
      </c>
      <c r="AB61" s="20" t="str">
        <f t="shared" si="8"/>
        <v/>
      </c>
      <c r="AC61" s="20" t="str">
        <f t="shared" si="9"/>
        <v/>
      </c>
      <c r="AD61" s="20" t="str">
        <f t="shared" si="10"/>
        <v/>
      </c>
      <c r="AE61" s="20" t="str">
        <f t="shared" si="11"/>
        <v/>
      </c>
      <c r="AF61" s="20" t="str">
        <f t="shared" si="12"/>
        <v/>
      </c>
      <c r="AG61" s="785"/>
      <c r="AH61" s="758" t="s">
        <v>3923</v>
      </c>
      <c r="AI61" s="752"/>
      <c r="AJ61" s="752"/>
      <c r="AK61" s="908"/>
      <c r="AL61" s="940" t="s">
        <v>5936</v>
      </c>
      <c r="AM61" s="786"/>
      <c r="AO61" s="997" t="str">
        <f t="shared" si="22"/>
        <v/>
      </c>
      <c r="AP61" s="579" t="str">
        <f t="shared" si="13"/>
        <v/>
      </c>
      <c r="AQ61" s="762" t="str">
        <f t="shared" si="18"/>
        <v/>
      </c>
      <c r="AR61" s="869" t="str">
        <f t="shared" si="20"/>
        <v/>
      </c>
      <c r="AS61" s="869" t="str">
        <f t="shared" si="21"/>
        <v/>
      </c>
      <c r="AT61" s="762" t="str">
        <f t="shared" si="4"/>
        <v/>
      </c>
    </row>
    <row r="62" spans="1:47">
      <c r="A62" s="606"/>
      <c r="B62" s="26"/>
      <c r="C62" s="758" t="s">
        <v>3927</v>
      </c>
      <c r="D62" s="758"/>
      <c r="E62" s="758" t="s">
        <v>3928</v>
      </c>
      <c r="F62" s="758"/>
      <c r="G62" s="758"/>
      <c r="H62" s="758"/>
      <c r="I62" s="758" t="s">
        <v>2636</v>
      </c>
      <c r="J62" s="626"/>
      <c r="K62" s="889"/>
      <c r="L62" s="607"/>
      <c r="M62" s="607"/>
      <c r="N62" s="607"/>
      <c r="O62" s="607"/>
      <c r="P62" s="765">
        <f t="shared" si="19"/>
        <v>0</v>
      </c>
      <c r="Q62" s="765"/>
      <c r="R62" s="765"/>
      <c r="S62" s="765" t="s">
        <v>3816</v>
      </c>
      <c r="T62" s="765"/>
      <c r="U62" s="765"/>
      <c r="V62" s="1000" t="s">
        <v>5932</v>
      </c>
      <c r="W62" s="619"/>
      <c r="Y62" s="20" t="str">
        <f t="shared" si="5"/>
        <v/>
      </c>
      <c r="Z62" s="20" t="str">
        <f t="shared" si="6"/>
        <v/>
      </c>
      <c r="AA62" s="20" t="str">
        <f t="shared" si="7"/>
        <v/>
      </c>
      <c r="AB62" s="20" t="str">
        <f t="shared" si="8"/>
        <v/>
      </c>
      <c r="AC62" s="20" t="str">
        <f t="shared" si="9"/>
        <v/>
      </c>
      <c r="AD62" s="20" t="str">
        <f t="shared" si="10"/>
        <v/>
      </c>
      <c r="AE62" s="20" t="str">
        <f t="shared" si="11"/>
        <v/>
      </c>
      <c r="AF62" s="20" t="str">
        <f t="shared" si="12"/>
        <v/>
      </c>
      <c r="AG62" s="785"/>
      <c r="AH62" s="758" t="s">
        <v>3926</v>
      </c>
      <c r="AI62" s="752"/>
      <c r="AJ62" s="752"/>
      <c r="AK62" s="908"/>
      <c r="AL62" s="940" t="s">
        <v>5933</v>
      </c>
      <c r="AM62" s="786"/>
      <c r="AO62" s="997" t="str">
        <f t="shared" si="22"/>
        <v/>
      </c>
      <c r="AP62" s="762" t="str">
        <f t="shared" si="13"/>
        <v/>
      </c>
      <c r="AQ62" s="762" t="str">
        <f t="shared" si="18"/>
        <v/>
      </c>
      <c r="AR62" s="869" t="str">
        <f t="shared" si="20"/>
        <v/>
      </c>
      <c r="AS62" s="869" t="str">
        <f t="shared" si="21"/>
        <v/>
      </c>
      <c r="AT62" s="762" t="str">
        <f t="shared" si="4"/>
        <v/>
      </c>
    </row>
    <row r="63" spans="1:47">
      <c r="A63" s="606"/>
      <c r="B63" s="26"/>
      <c r="C63" s="758" t="s">
        <v>3929</v>
      </c>
      <c r="D63" s="758"/>
      <c r="E63" s="758" t="s">
        <v>3930</v>
      </c>
      <c r="F63" s="758"/>
      <c r="G63" s="758"/>
      <c r="H63" s="758"/>
      <c r="I63" s="758"/>
      <c r="J63" s="626"/>
      <c r="K63" s="889"/>
      <c r="L63" s="607"/>
      <c r="M63" s="607"/>
      <c r="N63" s="607"/>
      <c r="O63" s="607"/>
      <c r="P63" s="765">
        <f t="shared" si="19"/>
        <v>0</v>
      </c>
      <c r="Q63" s="765"/>
      <c r="R63" s="765" t="s">
        <v>3816</v>
      </c>
      <c r="S63" s="765"/>
      <c r="T63" s="765"/>
      <c r="U63" s="765"/>
      <c r="V63" s="1000" t="s">
        <v>5929</v>
      </c>
      <c r="W63" s="619"/>
      <c r="Y63" s="20" t="str">
        <f t="shared" si="5"/>
        <v/>
      </c>
      <c r="Z63" s="20" t="str">
        <f t="shared" si="6"/>
        <v/>
      </c>
      <c r="AA63" s="20" t="str">
        <f t="shared" si="7"/>
        <v/>
      </c>
      <c r="AB63" s="20" t="str">
        <f t="shared" si="8"/>
        <v/>
      </c>
      <c r="AC63" s="20" t="str">
        <f t="shared" si="9"/>
        <v/>
      </c>
      <c r="AD63" s="20" t="str">
        <f t="shared" si="10"/>
        <v/>
      </c>
      <c r="AE63" s="20" t="str">
        <f t="shared" si="11"/>
        <v/>
      </c>
      <c r="AF63" s="20" t="str">
        <f t="shared" si="12"/>
        <v/>
      </c>
      <c r="AG63" s="623"/>
      <c r="AH63" s="758" t="s">
        <v>1653</v>
      </c>
      <c r="AI63" s="758"/>
      <c r="AJ63" s="758"/>
      <c r="AK63" s="908"/>
      <c r="AL63" s="940">
        <v>103</v>
      </c>
      <c r="AM63" s="29"/>
      <c r="AO63" s="997" t="str">
        <f t="shared" si="22"/>
        <v/>
      </c>
      <c r="AP63" s="762" t="str">
        <f t="shared" si="13"/>
        <v/>
      </c>
      <c r="AQ63" s="762" t="str">
        <f t="shared" si="18"/>
        <v/>
      </c>
      <c r="AR63" s="869" t="str">
        <f t="shared" si="20"/>
        <v/>
      </c>
      <c r="AS63" s="869" t="str">
        <f t="shared" si="21"/>
        <v/>
      </c>
      <c r="AT63" s="762" t="str">
        <f t="shared" si="4"/>
        <v/>
      </c>
    </row>
    <row r="64" spans="1:47">
      <c r="A64" s="606"/>
      <c r="B64" s="26"/>
      <c r="C64" s="758" t="s">
        <v>3932</v>
      </c>
      <c r="D64" s="758"/>
      <c r="E64" s="758" t="s">
        <v>3933</v>
      </c>
      <c r="F64" s="758"/>
      <c r="G64" s="758"/>
      <c r="H64" s="758"/>
      <c r="I64" s="758"/>
      <c r="J64" s="626"/>
      <c r="K64" s="889"/>
      <c r="L64" s="607"/>
      <c r="M64" s="607"/>
      <c r="N64" s="607"/>
      <c r="O64" s="607"/>
      <c r="P64" s="765">
        <f t="shared" si="19"/>
        <v>0</v>
      </c>
      <c r="Q64" s="765" t="s">
        <v>3816</v>
      </c>
      <c r="R64" s="765"/>
      <c r="S64" s="765"/>
      <c r="T64" s="765"/>
      <c r="U64" s="765"/>
      <c r="V64" s="1000" t="s">
        <v>5906</v>
      </c>
      <c r="W64" s="619"/>
      <c r="Y64" s="20" t="str">
        <f t="shared" si="5"/>
        <v/>
      </c>
      <c r="Z64" s="20" t="str">
        <f t="shared" si="6"/>
        <v/>
      </c>
      <c r="AA64" s="20" t="str">
        <f t="shared" si="7"/>
        <v/>
      </c>
      <c r="AB64" s="20" t="str">
        <f t="shared" si="8"/>
        <v/>
      </c>
      <c r="AC64" s="20" t="str">
        <f t="shared" si="9"/>
        <v/>
      </c>
      <c r="AD64" s="20" t="str">
        <f t="shared" si="10"/>
        <v/>
      </c>
      <c r="AE64" s="20" t="str">
        <f t="shared" si="11"/>
        <v/>
      </c>
      <c r="AF64" s="20" t="str">
        <f t="shared" si="12"/>
        <v/>
      </c>
      <c r="AG64" s="623"/>
      <c r="AH64" s="766" t="s">
        <v>4275</v>
      </c>
      <c r="AI64" s="758"/>
      <c r="AJ64" s="758"/>
      <c r="AK64" s="908"/>
      <c r="AL64" s="940" t="s">
        <v>5938</v>
      </c>
      <c r="AM64" s="29"/>
      <c r="AO64" s="997" t="str">
        <f t="shared" si="22"/>
        <v/>
      </c>
      <c r="AP64" s="762" t="str">
        <f t="shared" si="13"/>
        <v/>
      </c>
      <c r="AQ64" s="762" t="str">
        <f t="shared" si="18"/>
        <v/>
      </c>
      <c r="AR64" s="869" t="str">
        <f t="shared" si="20"/>
        <v/>
      </c>
      <c r="AS64" s="869" t="str">
        <f t="shared" si="21"/>
        <v/>
      </c>
      <c r="AT64" s="762" t="str">
        <f t="shared" si="4"/>
        <v/>
      </c>
    </row>
    <row r="65" spans="1:46">
      <c r="A65" s="606"/>
      <c r="B65" s="26"/>
      <c r="C65" s="758" t="s">
        <v>3935</v>
      </c>
      <c r="D65" s="758"/>
      <c r="E65" s="758" t="s">
        <v>3936</v>
      </c>
      <c r="F65" s="758"/>
      <c r="G65" s="758"/>
      <c r="H65" s="758"/>
      <c r="I65" s="758"/>
      <c r="J65" s="626"/>
      <c r="K65" s="889"/>
      <c r="L65" s="607"/>
      <c r="M65" s="607"/>
      <c r="N65" s="607"/>
      <c r="O65" s="607"/>
      <c r="P65" s="765">
        <f t="shared" si="19"/>
        <v>0</v>
      </c>
      <c r="Q65" s="765"/>
      <c r="R65" s="765"/>
      <c r="S65" s="765"/>
      <c r="T65" s="765"/>
      <c r="U65" s="765"/>
      <c r="V65" s="939"/>
      <c r="W65" s="619"/>
      <c r="Y65" s="20" t="str">
        <f t="shared" si="5"/>
        <v/>
      </c>
      <c r="Z65" s="20" t="str">
        <f t="shared" si="6"/>
        <v/>
      </c>
      <c r="AA65" s="20" t="str">
        <f t="shared" si="7"/>
        <v/>
      </c>
      <c r="AB65" s="20" t="str">
        <f t="shared" si="8"/>
        <v/>
      </c>
      <c r="AC65" s="20" t="str">
        <f t="shared" si="9"/>
        <v/>
      </c>
      <c r="AD65" s="20" t="str">
        <f t="shared" si="10"/>
        <v/>
      </c>
      <c r="AE65" s="20" t="str">
        <f t="shared" si="11"/>
        <v/>
      </c>
      <c r="AF65" s="20" t="str">
        <f t="shared" si="12"/>
        <v/>
      </c>
      <c r="AG65" s="623"/>
      <c r="AH65" s="758" t="s">
        <v>3931</v>
      </c>
      <c r="AI65" s="758"/>
      <c r="AJ65" s="758"/>
      <c r="AK65" s="908"/>
      <c r="AL65" s="940" t="s">
        <v>5909</v>
      </c>
      <c r="AM65" s="29"/>
      <c r="AO65" s="997" t="str">
        <f t="shared" si="22"/>
        <v/>
      </c>
      <c r="AP65" s="762" t="str">
        <f t="shared" si="13"/>
        <v/>
      </c>
      <c r="AQ65" s="762" t="str">
        <f t="shared" si="18"/>
        <v/>
      </c>
      <c r="AR65" s="869" t="str">
        <f t="shared" si="20"/>
        <v/>
      </c>
      <c r="AS65" s="869" t="str">
        <f t="shared" si="21"/>
        <v/>
      </c>
      <c r="AT65" s="762" t="str">
        <f t="shared" si="4"/>
        <v/>
      </c>
    </row>
    <row r="66" spans="1:46">
      <c r="A66" s="606"/>
      <c r="B66" s="26"/>
      <c r="C66" s="758" t="s">
        <v>3938</v>
      </c>
      <c r="D66" s="758"/>
      <c r="E66" s="758" t="s">
        <v>3938</v>
      </c>
      <c r="F66" s="758"/>
      <c r="G66" s="758"/>
      <c r="H66" s="758"/>
      <c r="I66" s="758"/>
      <c r="J66" s="626"/>
      <c r="K66" s="889"/>
      <c r="L66" s="607"/>
      <c r="M66" s="607"/>
      <c r="N66" s="607"/>
      <c r="O66" s="607"/>
      <c r="P66" s="765">
        <f t="shared" si="19"/>
        <v>0</v>
      </c>
      <c r="Q66" s="765"/>
      <c r="R66" s="765"/>
      <c r="S66" s="765" t="s">
        <v>3816</v>
      </c>
      <c r="T66" s="765"/>
      <c r="U66" s="765"/>
      <c r="V66" s="1000" t="s">
        <v>5932</v>
      </c>
      <c r="W66" s="619"/>
      <c r="Y66" s="20" t="str">
        <f t="shared" si="5"/>
        <v/>
      </c>
      <c r="Z66" s="20" t="str">
        <f t="shared" si="6"/>
        <v/>
      </c>
      <c r="AA66" s="20" t="str">
        <f t="shared" si="7"/>
        <v/>
      </c>
      <c r="AB66" s="20" t="str">
        <f t="shared" si="8"/>
        <v/>
      </c>
      <c r="AC66" s="20" t="str">
        <f t="shared" si="9"/>
        <v/>
      </c>
      <c r="AD66" s="20" t="str">
        <f t="shared" si="10"/>
        <v/>
      </c>
      <c r="AE66" s="20" t="str">
        <f t="shared" si="11"/>
        <v/>
      </c>
      <c r="AF66" s="20" t="str">
        <f t="shared" si="12"/>
        <v/>
      </c>
      <c r="AG66" s="623"/>
      <c r="AH66" s="758" t="s">
        <v>3934</v>
      </c>
      <c r="AI66" s="758"/>
      <c r="AJ66" s="758"/>
      <c r="AK66" s="1534"/>
      <c r="AL66" s="940" t="s">
        <v>5909</v>
      </c>
      <c r="AM66" s="29"/>
      <c r="AO66" s="997" t="str">
        <f t="shared" si="22"/>
        <v/>
      </c>
      <c r="AP66" s="762" t="str">
        <f t="shared" si="13"/>
        <v/>
      </c>
      <c r="AQ66" s="762" t="str">
        <f t="shared" si="18"/>
        <v/>
      </c>
      <c r="AR66" s="869" t="str">
        <f t="shared" si="20"/>
        <v/>
      </c>
      <c r="AS66" s="869" t="str">
        <f t="shared" si="21"/>
        <v/>
      </c>
      <c r="AT66" s="762" t="str">
        <f t="shared" si="4"/>
        <v/>
      </c>
    </row>
    <row r="67" spans="1:46">
      <c r="A67" s="606"/>
      <c r="B67" s="26"/>
      <c r="C67" s="758" t="s">
        <v>3939</v>
      </c>
      <c r="D67" s="758"/>
      <c r="E67" s="758" t="s">
        <v>3940</v>
      </c>
      <c r="F67" s="1054" t="s">
        <v>4221</v>
      </c>
      <c r="G67" s="758"/>
      <c r="H67" s="758"/>
      <c r="I67" s="758"/>
      <c r="J67" s="626"/>
      <c r="K67" s="889"/>
      <c r="L67" s="607"/>
      <c r="M67" s="607"/>
      <c r="N67" s="607"/>
      <c r="O67" s="607"/>
      <c r="P67" s="765">
        <f t="shared" si="19"/>
        <v>0</v>
      </c>
      <c r="Q67" s="765" t="s">
        <v>3816</v>
      </c>
      <c r="R67" s="765"/>
      <c r="S67" s="765"/>
      <c r="T67" s="765"/>
      <c r="U67" s="765"/>
      <c r="V67" s="1000" t="s">
        <v>5907</v>
      </c>
      <c r="W67" s="619"/>
      <c r="Y67" s="20" t="str">
        <f t="shared" si="5"/>
        <v/>
      </c>
      <c r="Z67" s="20" t="str">
        <f t="shared" si="6"/>
        <v/>
      </c>
      <c r="AA67" s="20" t="str">
        <f t="shared" si="7"/>
        <v/>
      </c>
      <c r="AB67" s="20" t="str">
        <f t="shared" si="8"/>
        <v/>
      </c>
      <c r="AC67" s="20" t="str">
        <f t="shared" si="9"/>
        <v/>
      </c>
      <c r="AD67" s="20" t="str">
        <f t="shared" si="10"/>
        <v/>
      </c>
      <c r="AE67" s="20" t="str">
        <f t="shared" si="11"/>
        <v/>
      </c>
      <c r="AF67" s="20" t="str">
        <f t="shared" si="12"/>
        <v/>
      </c>
      <c r="AG67" s="623"/>
      <c r="AH67" s="758" t="s">
        <v>3937</v>
      </c>
      <c r="AI67" s="758"/>
      <c r="AJ67" s="758"/>
      <c r="AK67" s="908"/>
      <c r="AL67" s="940" t="s">
        <v>5909</v>
      </c>
      <c r="AM67" s="29"/>
      <c r="AO67" s="997" t="str">
        <f t="shared" si="22"/>
        <v/>
      </c>
      <c r="AP67" s="762" t="str">
        <f t="shared" si="13"/>
        <v/>
      </c>
      <c r="AQ67" s="762" t="str">
        <f t="shared" si="18"/>
        <v/>
      </c>
      <c r="AR67" s="869" t="str">
        <f t="shared" si="20"/>
        <v/>
      </c>
      <c r="AS67" s="869" t="str">
        <f t="shared" si="21"/>
        <v/>
      </c>
      <c r="AT67" s="762" t="str">
        <f t="shared" si="4"/>
        <v/>
      </c>
    </row>
    <row r="68" spans="1:46" ht="15" thickBot="1">
      <c r="A68" s="606"/>
      <c r="B68" s="26"/>
      <c r="C68" s="758" t="s">
        <v>3941</v>
      </c>
      <c r="D68" s="758"/>
      <c r="E68" s="758" t="s">
        <v>3942</v>
      </c>
      <c r="F68" s="1054" t="s">
        <v>4221</v>
      </c>
      <c r="G68" s="758"/>
      <c r="H68" s="758"/>
      <c r="I68" s="758"/>
      <c r="J68" s="626"/>
      <c r="K68" s="889"/>
      <c r="L68" s="607"/>
      <c r="M68" s="607"/>
      <c r="N68" s="607"/>
      <c r="O68" s="607"/>
      <c r="P68" s="765">
        <f t="shared" si="19"/>
        <v>0</v>
      </c>
      <c r="Q68" s="765"/>
      <c r="R68" s="765"/>
      <c r="S68" s="765"/>
      <c r="T68" s="765" t="s">
        <v>3816</v>
      </c>
      <c r="U68" s="765"/>
      <c r="V68" s="1000" t="s">
        <v>5904</v>
      </c>
      <c r="W68" s="619"/>
      <c r="Y68" s="20" t="str">
        <f t="shared" si="5"/>
        <v/>
      </c>
      <c r="Z68" s="20" t="str">
        <f t="shared" si="6"/>
        <v/>
      </c>
      <c r="AA68" s="20" t="str">
        <f t="shared" si="7"/>
        <v/>
      </c>
      <c r="AB68" s="20" t="str">
        <f t="shared" si="8"/>
        <v/>
      </c>
      <c r="AC68" s="20" t="str">
        <f t="shared" si="9"/>
        <v/>
      </c>
      <c r="AD68" s="20" t="str">
        <f t="shared" si="10"/>
        <v/>
      </c>
      <c r="AE68" s="20" t="str">
        <f t="shared" si="11"/>
        <v/>
      </c>
      <c r="AF68" s="20" t="str">
        <f t="shared" si="12"/>
        <v/>
      </c>
      <c r="AG68" s="625"/>
      <c r="AH68" s="763"/>
      <c r="AI68" s="763"/>
      <c r="AJ68" s="763"/>
      <c r="AK68" s="34"/>
      <c r="AL68" s="34"/>
      <c r="AM68" s="35"/>
      <c r="AO68" s="997" t="str">
        <f t="shared" si="22"/>
        <v/>
      </c>
      <c r="AP68" s="762" t="str">
        <f t="shared" si="13"/>
        <v/>
      </c>
      <c r="AR68" s="869" t="str">
        <f t="shared" si="20"/>
        <v/>
      </c>
      <c r="AS68" s="869" t="str">
        <f t="shared" si="21"/>
        <v/>
      </c>
      <c r="AT68" s="383" t="s">
        <v>195</v>
      </c>
    </row>
    <row r="69" spans="1:46">
      <c r="A69" s="606"/>
      <c r="B69" s="26"/>
      <c r="C69" s="758" t="s">
        <v>2847</v>
      </c>
      <c r="D69" s="758"/>
      <c r="E69" s="758" t="s">
        <v>3943</v>
      </c>
      <c r="F69" s="758"/>
      <c r="G69" s="758"/>
      <c r="H69" s="758"/>
      <c r="I69" s="758"/>
      <c r="J69" s="626"/>
      <c r="K69" s="889"/>
      <c r="L69" s="607"/>
      <c r="M69" s="607"/>
      <c r="N69" s="607"/>
      <c r="O69" s="607"/>
      <c r="P69" s="765">
        <f t="shared" si="19"/>
        <v>0</v>
      </c>
      <c r="Q69" s="765"/>
      <c r="R69" s="765"/>
      <c r="S69" s="765"/>
      <c r="T69" s="765"/>
      <c r="U69" s="765"/>
      <c r="V69" s="939">
        <v>99</v>
      </c>
      <c r="W69" s="619"/>
      <c r="Y69" s="20" t="str">
        <f t="shared" si="5"/>
        <v/>
      </c>
      <c r="Z69" s="20" t="str">
        <f t="shared" si="6"/>
        <v/>
      </c>
      <c r="AA69" s="20" t="str">
        <f t="shared" si="7"/>
        <v/>
      </c>
      <c r="AB69" s="20" t="str">
        <f t="shared" si="8"/>
        <v/>
      </c>
      <c r="AC69" s="20" t="str">
        <f t="shared" si="9"/>
        <v/>
      </c>
      <c r="AD69" s="20" t="str">
        <f t="shared" si="10"/>
        <v/>
      </c>
      <c r="AE69" s="20" t="str">
        <f t="shared" si="11"/>
        <v/>
      </c>
      <c r="AF69" s="20" t="str">
        <f t="shared" si="12"/>
        <v/>
      </c>
      <c r="AH69" s="775"/>
      <c r="AO69" s="997" t="str">
        <f t="shared" si="22"/>
        <v/>
      </c>
      <c r="AP69" s="762" t="str">
        <f t="shared" si="13"/>
        <v/>
      </c>
      <c r="AR69" s="869" t="str">
        <f t="shared" si="20"/>
        <v/>
      </c>
      <c r="AS69" s="869" t="str">
        <f t="shared" si="21"/>
        <v/>
      </c>
    </row>
    <row r="70" spans="1:46">
      <c r="A70" s="606"/>
      <c r="B70" s="26"/>
      <c r="C70" s="758" t="s">
        <v>3944</v>
      </c>
      <c r="D70" s="758"/>
      <c r="E70" s="758" t="s">
        <v>3944</v>
      </c>
      <c r="F70" s="758"/>
      <c r="G70" s="758"/>
      <c r="H70" s="758"/>
      <c r="I70" s="758"/>
      <c r="J70" s="626"/>
      <c r="K70" s="889"/>
      <c r="L70" s="607"/>
      <c r="M70" s="607"/>
      <c r="N70" s="607"/>
      <c r="O70" s="607"/>
      <c r="P70" s="765">
        <f t="shared" si="19"/>
        <v>0</v>
      </c>
      <c r="Q70" s="765"/>
      <c r="R70" s="765"/>
      <c r="S70" s="765" t="s">
        <v>3816</v>
      </c>
      <c r="T70" s="765"/>
      <c r="U70" s="765"/>
      <c r="V70" s="1000" t="s">
        <v>5932</v>
      </c>
      <c r="W70" s="619"/>
      <c r="Y70" s="20" t="str">
        <f t="shared" si="5"/>
        <v/>
      </c>
      <c r="Z70" s="20" t="str">
        <f t="shared" si="6"/>
        <v/>
      </c>
      <c r="AA70" s="20" t="str">
        <f t="shared" si="7"/>
        <v/>
      </c>
      <c r="AB70" s="20" t="str">
        <f t="shared" si="8"/>
        <v/>
      </c>
      <c r="AC70" s="20" t="str">
        <f t="shared" si="9"/>
        <v/>
      </c>
      <c r="AD70" s="20" t="str">
        <f t="shared" si="10"/>
        <v/>
      </c>
      <c r="AE70" s="20" t="str">
        <f t="shared" si="11"/>
        <v/>
      </c>
      <c r="AF70" s="20" t="str">
        <f t="shared" si="12"/>
        <v/>
      </c>
      <c r="AO70" s="997" t="str">
        <f t="shared" si="22"/>
        <v/>
      </c>
      <c r="AP70" s="762" t="str">
        <f t="shared" si="13"/>
        <v/>
      </c>
      <c r="AR70" s="869" t="str">
        <f t="shared" si="20"/>
        <v/>
      </c>
      <c r="AS70" s="869" t="str">
        <f t="shared" si="21"/>
        <v/>
      </c>
    </row>
    <row r="71" spans="1:46">
      <c r="A71" s="606"/>
      <c r="B71" s="26"/>
      <c r="C71" s="758" t="s">
        <v>4239</v>
      </c>
      <c r="D71" s="758"/>
      <c r="E71" s="758" t="str">
        <f>LOWER(C71)</f>
        <v>thought bomb</v>
      </c>
      <c r="F71" s="758"/>
      <c r="G71" s="758" t="s">
        <v>4222</v>
      </c>
      <c r="H71" s="758"/>
      <c r="I71" s="758"/>
      <c r="J71" s="626"/>
      <c r="K71" s="889"/>
      <c r="L71" s="607"/>
      <c r="M71" s="876"/>
      <c r="N71" s="876"/>
      <c r="O71" s="876"/>
      <c r="P71" s="765">
        <f t="shared" si="19"/>
        <v>0</v>
      </c>
      <c r="Q71" s="765"/>
      <c r="R71" s="765"/>
      <c r="S71" s="765"/>
      <c r="T71" s="765"/>
      <c r="U71" s="765" t="s">
        <v>3816</v>
      </c>
      <c r="V71" s="939" t="s">
        <v>5697</v>
      </c>
      <c r="W71" s="619"/>
      <c r="Y71" s="20" t="str">
        <f t="shared" si="5"/>
        <v/>
      </c>
      <c r="Z71" s="20" t="str">
        <f t="shared" si="6"/>
        <v/>
      </c>
      <c r="AA71" s="20" t="str">
        <f t="shared" si="7"/>
        <v/>
      </c>
      <c r="AB71" s="20" t="str">
        <f t="shared" si="8"/>
        <v/>
      </c>
      <c r="AC71" s="20" t="str">
        <f t="shared" si="9"/>
        <v/>
      </c>
      <c r="AD71" s="20" t="str">
        <f t="shared" si="10"/>
        <v/>
      </c>
      <c r="AE71" s="20" t="str">
        <f t="shared" si="11"/>
        <v/>
      </c>
      <c r="AF71" s="20" t="str">
        <f t="shared" si="12"/>
        <v/>
      </c>
      <c r="AO71" s="997" t="str">
        <f t="shared" si="22"/>
        <v/>
      </c>
      <c r="AP71" s="762" t="str">
        <f t="shared" si="13"/>
        <v/>
      </c>
      <c r="AR71" s="869" t="str">
        <f t="shared" si="20"/>
        <v/>
      </c>
      <c r="AS71" s="869" t="str">
        <f t="shared" si="21"/>
        <v/>
      </c>
    </row>
    <row r="72" spans="1:46">
      <c r="A72" s="606"/>
      <c r="B72" s="26"/>
      <c r="C72" s="758" t="s">
        <v>3945</v>
      </c>
      <c r="D72" s="758"/>
      <c r="E72" s="758" t="s">
        <v>3946</v>
      </c>
      <c r="F72" s="758"/>
      <c r="G72" s="758"/>
      <c r="H72" s="758"/>
      <c r="I72" s="758"/>
      <c r="J72" s="626"/>
      <c r="K72" s="889"/>
      <c r="L72" s="607"/>
      <c r="M72" s="607"/>
      <c r="N72" s="607"/>
      <c r="O72" s="607"/>
      <c r="P72" s="765">
        <f t="shared" si="19"/>
        <v>0</v>
      </c>
      <c r="Q72" s="765" t="s">
        <v>3816</v>
      </c>
      <c r="R72" s="765"/>
      <c r="S72" s="765"/>
      <c r="T72" s="765"/>
      <c r="U72" s="765"/>
      <c r="V72" s="1000" t="s">
        <v>5907</v>
      </c>
      <c r="W72" s="619"/>
      <c r="Y72" s="20" t="str">
        <f t="shared" si="5"/>
        <v/>
      </c>
      <c r="Z72" s="20" t="str">
        <f t="shared" si="6"/>
        <v/>
      </c>
      <c r="AA72" s="20" t="str">
        <f t="shared" si="7"/>
        <v/>
      </c>
      <c r="AB72" s="20" t="str">
        <f t="shared" si="8"/>
        <v/>
      </c>
      <c r="AC72" s="20" t="str">
        <f t="shared" si="9"/>
        <v/>
      </c>
      <c r="AD72" s="20" t="str">
        <f t="shared" si="10"/>
        <v/>
      </c>
      <c r="AE72" s="20" t="str">
        <f t="shared" si="11"/>
        <v/>
      </c>
      <c r="AF72" s="20" t="str">
        <f t="shared" si="12"/>
        <v/>
      </c>
      <c r="AO72" s="997" t="str">
        <f t="shared" si="22"/>
        <v/>
      </c>
      <c r="AP72" s="762" t="str">
        <f t="shared" si="13"/>
        <v/>
      </c>
      <c r="AR72" s="869" t="str">
        <f t="shared" si="20"/>
        <v/>
      </c>
      <c r="AS72" s="869" t="str">
        <f t="shared" si="21"/>
        <v/>
      </c>
    </row>
    <row r="73" spans="1:46">
      <c r="A73" s="606"/>
      <c r="B73" s="26"/>
      <c r="C73" s="758" t="s">
        <v>3947</v>
      </c>
      <c r="D73" s="758"/>
      <c r="E73" s="758" t="s">
        <v>3948</v>
      </c>
      <c r="F73" s="758"/>
      <c r="G73" s="758"/>
      <c r="H73" s="758" t="s">
        <v>2646</v>
      </c>
      <c r="I73" s="758"/>
      <c r="J73" s="626"/>
      <c r="K73" s="889"/>
      <c r="L73" s="607"/>
      <c r="M73" s="607"/>
      <c r="N73" s="607"/>
      <c r="O73" s="607"/>
      <c r="P73" s="765">
        <f t="shared" si="19"/>
        <v>0</v>
      </c>
      <c r="Q73" s="765"/>
      <c r="R73" s="765"/>
      <c r="S73" s="765"/>
      <c r="T73" s="765"/>
      <c r="U73" s="765"/>
      <c r="V73" s="939">
        <v>99</v>
      </c>
      <c r="W73" s="619"/>
      <c r="Y73" s="20" t="str">
        <f t="shared" si="5"/>
        <v/>
      </c>
      <c r="Z73" s="20" t="str">
        <f t="shared" si="6"/>
        <v/>
      </c>
      <c r="AA73" s="20" t="str">
        <f t="shared" si="7"/>
        <v/>
      </c>
      <c r="AB73" s="20" t="str">
        <f t="shared" si="8"/>
        <v/>
      </c>
      <c r="AC73" s="20" t="str">
        <f t="shared" si="9"/>
        <v/>
      </c>
      <c r="AD73" s="20" t="str">
        <f t="shared" si="10"/>
        <v/>
      </c>
      <c r="AE73" s="20" t="str">
        <f t="shared" si="11"/>
        <v/>
      </c>
      <c r="AF73" s="20" t="str">
        <f t="shared" si="12"/>
        <v/>
      </c>
      <c r="AO73" s="997" t="str">
        <f t="shared" si="22"/>
        <v/>
      </c>
      <c r="AP73" s="762" t="str">
        <f t="shared" si="13"/>
        <v/>
      </c>
      <c r="AR73" s="869" t="str">
        <f t="shared" si="20"/>
        <v/>
      </c>
      <c r="AS73" s="869" t="str">
        <f t="shared" si="21"/>
        <v/>
      </c>
    </row>
    <row r="74" spans="1:46">
      <c r="A74" s="606"/>
      <c r="B74" s="26"/>
      <c r="C74" s="758" t="s">
        <v>3949</v>
      </c>
      <c r="D74" s="758"/>
      <c r="E74" s="758" t="s">
        <v>3950</v>
      </c>
      <c r="F74" s="758"/>
      <c r="G74" s="758"/>
      <c r="H74" s="758"/>
      <c r="I74" s="758" t="s">
        <v>2636</v>
      </c>
      <c r="J74" s="626"/>
      <c r="K74" s="889"/>
      <c r="L74" s="607"/>
      <c r="M74" s="607"/>
      <c r="N74" s="607"/>
      <c r="O74" s="607"/>
      <c r="P74" s="765">
        <f t="shared" si="19"/>
        <v>0</v>
      </c>
      <c r="Q74" s="765" t="s">
        <v>3816</v>
      </c>
      <c r="R74" s="765"/>
      <c r="S74" s="765"/>
      <c r="T74" s="765"/>
      <c r="U74" s="765"/>
      <c r="V74" s="1000" t="s">
        <v>5907</v>
      </c>
      <c r="W74" s="619"/>
      <c r="Y74" s="20" t="str">
        <f t="shared" si="5"/>
        <v/>
      </c>
      <c r="Z74" s="20" t="str">
        <f t="shared" si="6"/>
        <v/>
      </c>
      <c r="AA74" s="20" t="str">
        <f t="shared" si="7"/>
        <v/>
      </c>
      <c r="AB74" s="20" t="str">
        <f t="shared" si="8"/>
        <v/>
      </c>
      <c r="AC74" s="20" t="str">
        <f t="shared" si="9"/>
        <v/>
      </c>
      <c r="AD74" s="20" t="str">
        <f t="shared" si="10"/>
        <v/>
      </c>
      <c r="AE74" s="20" t="str">
        <f t="shared" si="11"/>
        <v/>
      </c>
      <c r="AF74" s="20" t="str">
        <f t="shared" si="12"/>
        <v/>
      </c>
      <c r="AO74" s="997" t="str">
        <f t="shared" si="22"/>
        <v/>
      </c>
      <c r="AP74" s="762" t="str">
        <f t="shared" si="13"/>
        <v/>
      </c>
      <c r="AR74" s="869" t="str">
        <f t="shared" ref="AR74:AR97" si="23">IF(AND(K74&gt;0,J74&gt;0),AH$20&amp;" ("&amp;C74&amp;")","")</f>
        <v/>
      </c>
      <c r="AS74" s="869" t="str">
        <f t="shared" ref="AS74:AS97" si="24">IF(AR74&lt;&gt;"",AR74&amp;IF(ShowForceDetails," (Technique)","")&amp;";"&amp;AS75,AS75)</f>
        <v/>
      </c>
    </row>
    <row r="75" spans="1:46">
      <c r="A75" s="606"/>
      <c r="B75" s="26"/>
      <c r="C75" s="758"/>
      <c r="D75" s="758"/>
      <c r="E75" s="758"/>
      <c r="F75" s="758"/>
      <c r="G75" s="758"/>
      <c r="H75" s="758"/>
      <c r="I75" s="758"/>
      <c r="J75" s="765"/>
      <c r="K75" s="876"/>
      <c r="L75" s="876"/>
      <c r="M75" s="876"/>
      <c r="N75" s="876"/>
      <c r="O75" s="876"/>
      <c r="P75" s="765"/>
      <c r="Q75" s="765"/>
      <c r="R75" s="765"/>
      <c r="S75" s="765"/>
      <c r="T75" s="765"/>
      <c r="U75" s="765"/>
      <c r="V75" s="939"/>
      <c r="W75" s="619"/>
      <c r="Y75" s="20" t="str">
        <f t="shared" ref="Y75:Y100" si="25">IF(L75&lt;&gt;"",E75,"")</f>
        <v/>
      </c>
      <c r="Z75" s="20" t="str">
        <f t="shared" ref="Z75:Z97" si="26">IF(Y75&lt;&gt;"",Y75&amp;IF(Z76&lt;&gt;"",", ","")&amp;Z76,Z76)</f>
        <v/>
      </c>
      <c r="AA75" s="20" t="str">
        <f t="shared" ref="AA75:AA100" si="27">IF(M75&lt;&gt;"",E75,"")</f>
        <v/>
      </c>
      <c r="AB75" s="20" t="str">
        <f t="shared" ref="AB75:AB97" si="28">IF(AA75&lt;&gt;"",AA75&amp;IF(AB76&lt;&gt;"",", ","")&amp;AB76,AB76)</f>
        <v/>
      </c>
      <c r="AC75" s="20" t="str">
        <f t="shared" ref="AC75:AC100" si="29">IF(N75&lt;&gt;"",E75,"")</f>
        <v/>
      </c>
      <c r="AD75" s="20" t="str">
        <f t="shared" ref="AD75:AD97" si="30">IF(AC75&lt;&gt;"",AC75&amp;IF(AD76&lt;&gt;"",", ","")&amp;AD76,AD76)</f>
        <v/>
      </c>
      <c r="AE75" s="20" t="str">
        <f t="shared" ref="AE75:AE100" si="31">IF(O75&lt;&gt;"",E75,"")</f>
        <v/>
      </c>
      <c r="AF75" s="20" t="str">
        <f t="shared" ref="AF75:AF97" si="32">IF(AE75&lt;&gt;"",AE75&amp;IF(AF76&lt;&gt;"",", ","")&amp;AF76,AF76)</f>
        <v/>
      </c>
      <c r="AO75" s="997" t="str">
        <f t="shared" si="22"/>
        <v/>
      </c>
      <c r="AP75" s="762" t="str">
        <f t="shared" ref="AP75:AP97" si="33">IF(AO75&lt;&gt;"",AO75&amp;";"&amp;AP76,AP76)</f>
        <v/>
      </c>
      <c r="AR75" s="869" t="str">
        <f t="shared" si="23"/>
        <v/>
      </c>
      <c r="AS75" s="869" t="str">
        <f t="shared" si="24"/>
        <v/>
      </c>
    </row>
    <row r="76" spans="1:46">
      <c r="A76" s="606"/>
      <c r="B76" s="26"/>
      <c r="C76" s="759" t="s">
        <v>3412</v>
      </c>
      <c r="D76" s="758"/>
      <c r="E76" s="758"/>
      <c r="F76" s="758"/>
      <c r="G76" s="758"/>
      <c r="H76" s="758"/>
      <c r="I76" s="758"/>
      <c r="J76" s="765"/>
      <c r="K76" s="876"/>
      <c r="L76" s="876"/>
      <c r="M76" s="876"/>
      <c r="N76" s="876"/>
      <c r="O76" s="876"/>
      <c r="P76" s="765"/>
      <c r="Q76" s="765"/>
      <c r="R76" s="765"/>
      <c r="S76" s="765"/>
      <c r="T76" s="765"/>
      <c r="U76" s="765"/>
      <c r="V76" s="939"/>
      <c r="W76" s="619"/>
      <c r="Y76" s="20" t="str">
        <f t="shared" si="25"/>
        <v/>
      </c>
      <c r="Z76" s="20" t="str">
        <f t="shared" si="26"/>
        <v/>
      </c>
      <c r="AA76" s="20" t="str">
        <f t="shared" si="27"/>
        <v/>
      </c>
      <c r="AB76" s="20" t="str">
        <f t="shared" si="28"/>
        <v/>
      </c>
      <c r="AC76" s="20" t="str">
        <f t="shared" si="29"/>
        <v/>
      </c>
      <c r="AD76" s="20" t="str">
        <f t="shared" si="30"/>
        <v/>
      </c>
      <c r="AE76" s="20" t="str">
        <f t="shared" si="31"/>
        <v/>
      </c>
      <c r="AF76" s="20" t="str">
        <f t="shared" si="32"/>
        <v/>
      </c>
      <c r="AO76" s="997" t="str">
        <f t="shared" si="22"/>
        <v/>
      </c>
      <c r="AP76" s="762" t="str">
        <f t="shared" si="33"/>
        <v/>
      </c>
      <c r="AR76" s="869" t="str">
        <f t="shared" si="23"/>
        <v/>
      </c>
      <c r="AS76" s="869" t="str">
        <f t="shared" si="24"/>
        <v/>
      </c>
    </row>
    <row r="77" spans="1:46">
      <c r="A77" s="606"/>
      <c r="B77" s="26"/>
      <c r="C77" s="758" t="s">
        <v>3815</v>
      </c>
      <c r="D77" s="758"/>
      <c r="E77" s="758" t="str">
        <f t="shared" ref="E77:E92" si="34">LOWER(C77)</f>
        <v>assured strike</v>
      </c>
      <c r="F77" s="758"/>
      <c r="G77" s="758"/>
      <c r="H77" s="758"/>
      <c r="I77" s="758"/>
      <c r="J77" s="626"/>
      <c r="K77" s="889"/>
      <c r="L77" s="607"/>
      <c r="M77" s="607"/>
      <c r="N77" s="607"/>
      <c r="O77" s="607"/>
      <c r="P77" s="765">
        <f t="shared" ref="P77:P98" si="35">J77</f>
        <v>0</v>
      </c>
      <c r="Q77" s="765"/>
      <c r="R77" s="765"/>
      <c r="S77" s="765"/>
      <c r="T77" s="765"/>
      <c r="U77" s="765" t="s">
        <v>3816</v>
      </c>
      <c r="V77" s="939" t="s">
        <v>5698</v>
      </c>
      <c r="W77" s="619"/>
      <c r="Y77" s="20" t="str">
        <f t="shared" si="25"/>
        <v/>
      </c>
      <c r="Z77" s="20" t="str">
        <f t="shared" si="26"/>
        <v/>
      </c>
      <c r="AA77" s="20" t="str">
        <f t="shared" si="27"/>
        <v/>
      </c>
      <c r="AB77" s="20" t="str">
        <f t="shared" si="28"/>
        <v/>
      </c>
      <c r="AC77" s="20" t="str">
        <f t="shared" si="29"/>
        <v/>
      </c>
      <c r="AD77" s="20" t="str">
        <f t="shared" si="30"/>
        <v/>
      </c>
      <c r="AE77" s="20" t="str">
        <f t="shared" si="31"/>
        <v/>
      </c>
      <c r="AF77" s="20" t="str">
        <f t="shared" si="32"/>
        <v/>
      </c>
      <c r="AO77" s="997" t="str">
        <f t="shared" si="22"/>
        <v/>
      </c>
      <c r="AP77" s="762" t="str">
        <f t="shared" si="33"/>
        <v/>
      </c>
      <c r="AR77" s="869" t="str">
        <f t="shared" si="23"/>
        <v/>
      </c>
      <c r="AS77" s="869" t="str">
        <f t="shared" si="24"/>
        <v/>
      </c>
    </row>
    <row r="78" spans="1:46">
      <c r="A78" s="606"/>
      <c r="B78" s="26"/>
      <c r="C78" s="758" t="s">
        <v>3821</v>
      </c>
      <c r="D78" s="758"/>
      <c r="E78" s="758" t="str">
        <f t="shared" si="34"/>
        <v>barrier of blades</v>
      </c>
      <c r="F78" s="758"/>
      <c r="G78" s="758"/>
      <c r="H78" s="758"/>
      <c r="I78" s="758"/>
      <c r="J78" s="626"/>
      <c r="K78" s="889"/>
      <c r="L78" s="607"/>
      <c r="M78" s="607"/>
      <c r="N78" s="607"/>
      <c r="O78" s="607"/>
      <c r="P78" s="765">
        <f t="shared" si="35"/>
        <v>0</v>
      </c>
      <c r="Q78" s="765"/>
      <c r="R78" s="765"/>
      <c r="S78" s="765"/>
      <c r="T78" s="765"/>
      <c r="U78" s="765" t="s">
        <v>3816</v>
      </c>
      <c r="V78" s="939" t="s">
        <v>5698</v>
      </c>
      <c r="W78" s="619"/>
      <c r="Y78" s="20" t="str">
        <f t="shared" si="25"/>
        <v/>
      </c>
      <c r="Z78" s="20" t="str">
        <f t="shared" si="26"/>
        <v/>
      </c>
      <c r="AA78" s="20" t="str">
        <f t="shared" si="27"/>
        <v/>
      </c>
      <c r="AB78" s="20" t="str">
        <f t="shared" si="28"/>
        <v/>
      </c>
      <c r="AC78" s="20" t="str">
        <f t="shared" si="29"/>
        <v/>
      </c>
      <c r="AD78" s="20" t="str">
        <f t="shared" si="30"/>
        <v/>
      </c>
      <c r="AE78" s="20" t="str">
        <f t="shared" si="31"/>
        <v/>
      </c>
      <c r="AF78" s="20" t="str">
        <f t="shared" si="32"/>
        <v/>
      </c>
      <c r="AO78" s="997" t="str">
        <f t="shared" si="22"/>
        <v/>
      </c>
      <c r="AP78" s="762" t="str">
        <f t="shared" si="33"/>
        <v/>
      </c>
      <c r="AR78" s="869" t="str">
        <f t="shared" si="23"/>
        <v/>
      </c>
      <c r="AS78" s="869" t="str">
        <f t="shared" si="24"/>
        <v/>
      </c>
    </row>
    <row r="79" spans="1:46">
      <c r="A79" s="606"/>
      <c r="B79" s="26"/>
      <c r="C79" s="758" t="s">
        <v>3826</v>
      </c>
      <c r="D79" s="758"/>
      <c r="E79" s="758" t="str">
        <f t="shared" si="34"/>
        <v>circle of shelter</v>
      </c>
      <c r="F79" s="758"/>
      <c r="G79" s="758"/>
      <c r="H79" s="758"/>
      <c r="I79" s="758"/>
      <c r="J79" s="626"/>
      <c r="K79" s="889"/>
      <c r="L79" s="607"/>
      <c r="M79" s="607"/>
      <c r="N79" s="607"/>
      <c r="O79" s="607"/>
      <c r="P79" s="765">
        <f t="shared" si="35"/>
        <v>0</v>
      </c>
      <c r="Q79" s="765"/>
      <c r="R79" s="765"/>
      <c r="S79" s="765"/>
      <c r="T79" s="765"/>
      <c r="U79" s="765" t="s">
        <v>3816</v>
      </c>
      <c r="V79" s="939" t="s">
        <v>5698</v>
      </c>
      <c r="W79" s="619"/>
      <c r="Y79" s="20" t="str">
        <f t="shared" si="25"/>
        <v/>
      </c>
      <c r="Z79" s="20" t="str">
        <f t="shared" si="26"/>
        <v/>
      </c>
      <c r="AA79" s="20" t="str">
        <f t="shared" si="27"/>
        <v/>
      </c>
      <c r="AB79" s="20" t="str">
        <f t="shared" si="28"/>
        <v/>
      </c>
      <c r="AC79" s="20" t="str">
        <f t="shared" si="29"/>
        <v/>
      </c>
      <c r="AD79" s="20" t="str">
        <f t="shared" si="30"/>
        <v/>
      </c>
      <c r="AE79" s="20" t="str">
        <f t="shared" si="31"/>
        <v/>
      </c>
      <c r="AF79" s="20" t="str">
        <f t="shared" si="32"/>
        <v/>
      </c>
      <c r="AO79" s="997" t="str">
        <f t="shared" si="22"/>
        <v/>
      </c>
      <c r="AP79" s="762" t="str">
        <f t="shared" si="33"/>
        <v/>
      </c>
      <c r="AR79" s="869" t="str">
        <f t="shared" si="23"/>
        <v/>
      </c>
      <c r="AS79" s="869" t="str">
        <f t="shared" si="24"/>
        <v/>
      </c>
    </row>
    <row r="80" spans="1:46">
      <c r="A80" s="606"/>
      <c r="B80" s="26"/>
      <c r="C80" s="758" t="s">
        <v>3834</v>
      </c>
      <c r="D80" s="758"/>
      <c r="E80" s="758" t="str">
        <f t="shared" si="34"/>
        <v>contentious opportunity</v>
      </c>
      <c r="F80" s="758"/>
      <c r="G80" s="758"/>
      <c r="H80" s="758"/>
      <c r="I80" s="758"/>
      <c r="J80" s="626"/>
      <c r="K80" s="889"/>
      <c r="L80" s="607"/>
      <c r="M80" s="607"/>
      <c r="N80" s="607"/>
      <c r="O80" s="607"/>
      <c r="P80" s="765">
        <f t="shared" si="35"/>
        <v>0</v>
      </c>
      <c r="Q80" s="765"/>
      <c r="R80" s="765"/>
      <c r="S80" s="765"/>
      <c r="T80" s="765"/>
      <c r="U80" s="765" t="s">
        <v>3816</v>
      </c>
      <c r="V80" s="939" t="s">
        <v>5698</v>
      </c>
      <c r="W80" s="619"/>
      <c r="Y80" s="20" t="str">
        <f t="shared" si="25"/>
        <v/>
      </c>
      <c r="Z80" s="20" t="str">
        <f t="shared" si="26"/>
        <v/>
      </c>
      <c r="AA80" s="20" t="str">
        <f t="shared" si="27"/>
        <v/>
      </c>
      <c r="AB80" s="20" t="str">
        <f t="shared" si="28"/>
        <v/>
      </c>
      <c r="AC80" s="20" t="str">
        <f t="shared" si="29"/>
        <v/>
      </c>
      <c r="AD80" s="20" t="str">
        <f t="shared" si="30"/>
        <v/>
      </c>
      <c r="AE80" s="20" t="str">
        <f t="shared" si="31"/>
        <v/>
      </c>
      <c r="AF80" s="20" t="str">
        <f t="shared" si="32"/>
        <v/>
      </c>
      <c r="AO80" s="997" t="str">
        <f t="shared" si="22"/>
        <v/>
      </c>
      <c r="AP80" s="762" t="str">
        <f t="shared" si="33"/>
        <v/>
      </c>
      <c r="AR80" s="869" t="str">
        <f t="shared" si="23"/>
        <v/>
      </c>
      <c r="AS80" s="869" t="str">
        <f t="shared" si="24"/>
        <v/>
      </c>
    </row>
    <row r="81" spans="1:45">
      <c r="A81" s="606"/>
      <c r="B81" s="26"/>
      <c r="C81" s="758" t="s">
        <v>4243</v>
      </c>
      <c r="D81" s="758"/>
      <c r="E81" s="758" t="str">
        <f t="shared" si="34"/>
        <v>deflecting slash</v>
      </c>
      <c r="F81" s="758"/>
      <c r="G81" s="758"/>
      <c r="H81" s="758"/>
      <c r="I81" s="758"/>
      <c r="J81" s="626"/>
      <c r="K81" s="889"/>
      <c r="L81" s="607"/>
      <c r="M81" s="607"/>
      <c r="N81" s="607"/>
      <c r="O81" s="607"/>
      <c r="P81" s="765">
        <f t="shared" si="35"/>
        <v>0</v>
      </c>
      <c r="Q81" s="765"/>
      <c r="R81" s="765"/>
      <c r="S81" s="765"/>
      <c r="T81" s="765"/>
      <c r="U81" s="765" t="s">
        <v>3816</v>
      </c>
      <c r="V81" s="939" t="s">
        <v>5699</v>
      </c>
      <c r="W81" s="619"/>
      <c r="Y81" s="20" t="str">
        <f t="shared" si="25"/>
        <v/>
      </c>
      <c r="Z81" s="20" t="str">
        <f t="shared" si="26"/>
        <v/>
      </c>
      <c r="AA81" s="20" t="str">
        <f t="shared" si="27"/>
        <v/>
      </c>
      <c r="AB81" s="20" t="str">
        <f t="shared" si="28"/>
        <v/>
      </c>
      <c r="AC81" s="20" t="str">
        <f t="shared" si="29"/>
        <v/>
      </c>
      <c r="AD81" s="20" t="str">
        <f t="shared" si="30"/>
        <v/>
      </c>
      <c r="AE81" s="20" t="str">
        <f t="shared" si="31"/>
        <v/>
      </c>
      <c r="AF81" s="20" t="str">
        <f t="shared" si="32"/>
        <v/>
      </c>
      <c r="AO81" s="997" t="str">
        <f t="shared" si="22"/>
        <v/>
      </c>
      <c r="AP81" s="762" t="str">
        <f t="shared" si="33"/>
        <v/>
      </c>
      <c r="AR81" s="869" t="str">
        <f t="shared" si="23"/>
        <v/>
      </c>
      <c r="AS81" s="869" t="str">
        <f t="shared" si="24"/>
        <v/>
      </c>
    </row>
    <row r="82" spans="1:45">
      <c r="A82" s="606"/>
      <c r="B82" s="26"/>
      <c r="C82" s="758" t="s">
        <v>4244</v>
      </c>
      <c r="D82" s="758"/>
      <c r="E82" s="758" t="str">
        <f t="shared" si="34"/>
        <v>disarming slash</v>
      </c>
      <c r="F82" s="758"/>
      <c r="G82" s="758"/>
      <c r="H82" s="758"/>
      <c r="I82" s="758"/>
      <c r="J82" s="626"/>
      <c r="K82" s="889"/>
      <c r="L82" s="607"/>
      <c r="M82" s="607"/>
      <c r="N82" s="607"/>
      <c r="O82" s="607"/>
      <c r="P82" s="765">
        <f t="shared" si="35"/>
        <v>0</v>
      </c>
      <c r="Q82" s="765"/>
      <c r="R82" s="765"/>
      <c r="S82" s="765"/>
      <c r="T82" s="765"/>
      <c r="U82" s="765" t="s">
        <v>3816</v>
      </c>
      <c r="V82" s="939" t="s">
        <v>5699</v>
      </c>
      <c r="W82" s="619"/>
      <c r="Y82" s="20" t="str">
        <f t="shared" si="25"/>
        <v/>
      </c>
      <c r="Z82" s="20" t="str">
        <f t="shared" si="26"/>
        <v/>
      </c>
      <c r="AA82" s="20" t="str">
        <f t="shared" si="27"/>
        <v/>
      </c>
      <c r="AB82" s="20" t="str">
        <f t="shared" si="28"/>
        <v/>
      </c>
      <c r="AC82" s="20" t="str">
        <f t="shared" si="29"/>
        <v/>
      </c>
      <c r="AD82" s="20" t="str">
        <f t="shared" si="30"/>
        <v/>
      </c>
      <c r="AE82" s="20" t="str">
        <f t="shared" si="31"/>
        <v/>
      </c>
      <c r="AF82" s="20" t="str">
        <f t="shared" si="32"/>
        <v/>
      </c>
      <c r="AO82" s="997" t="str">
        <f t="shared" si="22"/>
        <v/>
      </c>
      <c r="AP82" s="762" t="str">
        <f t="shared" si="33"/>
        <v/>
      </c>
      <c r="AR82" s="869" t="str">
        <f t="shared" si="23"/>
        <v/>
      </c>
      <c r="AS82" s="869" t="str">
        <f t="shared" si="24"/>
        <v/>
      </c>
    </row>
    <row r="83" spans="1:45">
      <c r="A83" s="606"/>
      <c r="B83" s="26"/>
      <c r="C83" s="758" t="s">
        <v>4245</v>
      </c>
      <c r="D83" s="758"/>
      <c r="E83" s="758" t="str">
        <f t="shared" si="34"/>
        <v>draw closer</v>
      </c>
      <c r="F83" s="758" t="s">
        <v>4221</v>
      </c>
      <c r="G83" s="758"/>
      <c r="H83" s="758"/>
      <c r="I83" s="758"/>
      <c r="J83" s="626"/>
      <c r="K83" s="889"/>
      <c r="L83" s="607"/>
      <c r="M83" s="607"/>
      <c r="N83" s="607"/>
      <c r="O83" s="607"/>
      <c r="P83" s="765">
        <f t="shared" si="35"/>
        <v>0</v>
      </c>
      <c r="Q83" s="765"/>
      <c r="R83" s="765"/>
      <c r="S83" s="765"/>
      <c r="T83" s="765"/>
      <c r="U83" s="765" t="s">
        <v>3816</v>
      </c>
      <c r="V83" s="939" t="s">
        <v>5699</v>
      </c>
      <c r="W83" s="619"/>
      <c r="Y83" s="20" t="str">
        <f t="shared" si="25"/>
        <v/>
      </c>
      <c r="Z83" s="20" t="str">
        <f t="shared" si="26"/>
        <v/>
      </c>
      <c r="AA83" s="20" t="str">
        <f t="shared" si="27"/>
        <v/>
      </c>
      <c r="AB83" s="20" t="str">
        <f t="shared" si="28"/>
        <v/>
      </c>
      <c r="AC83" s="20" t="str">
        <f t="shared" si="29"/>
        <v/>
      </c>
      <c r="AD83" s="20" t="str">
        <f t="shared" si="30"/>
        <v/>
      </c>
      <c r="AE83" s="20" t="str">
        <f t="shared" si="31"/>
        <v/>
      </c>
      <c r="AF83" s="20" t="str">
        <f t="shared" si="32"/>
        <v/>
      </c>
      <c r="AO83" s="997" t="str">
        <f t="shared" si="22"/>
        <v/>
      </c>
      <c r="AP83" s="762" t="str">
        <f t="shared" si="33"/>
        <v/>
      </c>
      <c r="AR83" s="869" t="str">
        <f t="shared" si="23"/>
        <v/>
      </c>
      <c r="AS83" s="869" t="str">
        <f t="shared" si="24"/>
        <v/>
      </c>
    </row>
    <row r="84" spans="1:45">
      <c r="A84" s="606"/>
      <c r="B84" s="26"/>
      <c r="C84" s="758" t="s">
        <v>4246</v>
      </c>
      <c r="D84" s="758"/>
      <c r="E84" s="758" t="str">
        <f t="shared" si="34"/>
        <v>falling avalanche</v>
      </c>
      <c r="F84" s="758"/>
      <c r="G84" s="758"/>
      <c r="H84" s="758"/>
      <c r="I84" s="758"/>
      <c r="J84" s="626"/>
      <c r="K84" s="889"/>
      <c r="L84" s="607"/>
      <c r="M84" s="607"/>
      <c r="N84" s="607"/>
      <c r="O84" s="607"/>
      <c r="P84" s="765">
        <f t="shared" si="35"/>
        <v>0</v>
      </c>
      <c r="Q84" s="765"/>
      <c r="R84" s="765"/>
      <c r="S84" s="765"/>
      <c r="T84" s="765"/>
      <c r="U84" s="765" t="s">
        <v>3816</v>
      </c>
      <c r="V84" s="939" t="s">
        <v>5700</v>
      </c>
      <c r="W84" s="619"/>
      <c r="Y84" s="20" t="str">
        <f t="shared" si="25"/>
        <v/>
      </c>
      <c r="Z84" s="20" t="str">
        <f t="shared" si="26"/>
        <v/>
      </c>
      <c r="AA84" s="20" t="str">
        <f t="shared" si="27"/>
        <v/>
      </c>
      <c r="AB84" s="20" t="str">
        <f t="shared" si="28"/>
        <v/>
      </c>
      <c r="AC84" s="20" t="str">
        <f t="shared" si="29"/>
        <v/>
      </c>
      <c r="AD84" s="20" t="str">
        <f t="shared" si="30"/>
        <v/>
      </c>
      <c r="AE84" s="20" t="str">
        <f t="shared" si="31"/>
        <v/>
      </c>
      <c r="AF84" s="20" t="str">
        <f t="shared" si="32"/>
        <v/>
      </c>
      <c r="AO84" s="997" t="str">
        <f t="shared" si="22"/>
        <v/>
      </c>
      <c r="AP84" s="762" t="str">
        <f t="shared" si="33"/>
        <v/>
      </c>
      <c r="AR84" s="869" t="str">
        <f t="shared" si="23"/>
        <v/>
      </c>
      <c r="AS84" s="869" t="str">
        <f t="shared" si="24"/>
        <v/>
      </c>
    </row>
    <row r="85" spans="1:45">
      <c r="A85" s="606"/>
      <c r="B85" s="26"/>
      <c r="C85" s="758" t="s">
        <v>4247</v>
      </c>
      <c r="D85" s="758"/>
      <c r="E85" s="758" t="str">
        <f t="shared" si="34"/>
        <v>fluid riposte</v>
      </c>
      <c r="F85" s="758"/>
      <c r="G85" s="758"/>
      <c r="H85" s="758"/>
      <c r="I85" s="758"/>
      <c r="J85" s="626"/>
      <c r="K85" s="889"/>
      <c r="L85" s="607"/>
      <c r="M85" s="607"/>
      <c r="N85" s="607"/>
      <c r="O85" s="607"/>
      <c r="P85" s="765">
        <f t="shared" si="35"/>
        <v>0</v>
      </c>
      <c r="Q85" s="765"/>
      <c r="R85" s="765"/>
      <c r="S85" s="765"/>
      <c r="T85" s="765"/>
      <c r="U85" s="765" t="s">
        <v>3816</v>
      </c>
      <c r="V85" s="939" t="s">
        <v>5700</v>
      </c>
      <c r="W85" s="619"/>
      <c r="Y85" s="20" t="str">
        <f t="shared" si="25"/>
        <v/>
      </c>
      <c r="Z85" s="20" t="str">
        <f t="shared" si="26"/>
        <v/>
      </c>
      <c r="AA85" s="20" t="str">
        <f t="shared" si="27"/>
        <v/>
      </c>
      <c r="AB85" s="20" t="str">
        <f t="shared" si="28"/>
        <v/>
      </c>
      <c r="AC85" s="20" t="str">
        <f t="shared" si="29"/>
        <v/>
      </c>
      <c r="AD85" s="20" t="str">
        <f t="shared" si="30"/>
        <v/>
      </c>
      <c r="AE85" s="20" t="str">
        <f t="shared" si="31"/>
        <v/>
      </c>
      <c r="AF85" s="20" t="str">
        <f t="shared" si="32"/>
        <v/>
      </c>
      <c r="AO85" s="997" t="str">
        <f t="shared" si="22"/>
        <v/>
      </c>
      <c r="AP85" s="762" t="str">
        <f t="shared" si="33"/>
        <v/>
      </c>
      <c r="AR85" s="869" t="str">
        <f t="shared" si="23"/>
        <v/>
      </c>
      <c r="AS85" s="869" t="str">
        <f t="shared" si="24"/>
        <v/>
      </c>
    </row>
    <row r="86" spans="1:45">
      <c r="A86" s="606"/>
      <c r="B86" s="26"/>
      <c r="C86" s="758" t="s">
        <v>4248</v>
      </c>
      <c r="D86" s="758"/>
      <c r="E86" s="758" t="str">
        <f t="shared" si="34"/>
        <v>hawk-bat swoop</v>
      </c>
      <c r="F86" s="758"/>
      <c r="G86" s="758"/>
      <c r="H86" s="758"/>
      <c r="I86" s="758"/>
      <c r="J86" s="626"/>
      <c r="K86" s="889"/>
      <c r="L86" s="607"/>
      <c r="M86" s="607"/>
      <c r="N86" s="607"/>
      <c r="O86" s="607"/>
      <c r="P86" s="765">
        <f t="shared" si="35"/>
        <v>0</v>
      </c>
      <c r="Q86" s="765"/>
      <c r="R86" s="765"/>
      <c r="S86" s="765"/>
      <c r="T86" s="765"/>
      <c r="U86" s="765" t="s">
        <v>3816</v>
      </c>
      <c r="V86" s="939" t="s">
        <v>5700</v>
      </c>
      <c r="W86" s="619"/>
      <c r="Y86" s="20" t="str">
        <f t="shared" si="25"/>
        <v/>
      </c>
      <c r="Z86" s="20" t="str">
        <f t="shared" si="26"/>
        <v/>
      </c>
      <c r="AA86" s="20" t="str">
        <f t="shared" si="27"/>
        <v/>
      </c>
      <c r="AB86" s="20" t="str">
        <f t="shared" si="28"/>
        <v/>
      </c>
      <c r="AC86" s="20" t="str">
        <f t="shared" si="29"/>
        <v/>
      </c>
      <c r="AD86" s="20" t="str">
        <f t="shared" si="30"/>
        <v/>
      </c>
      <c r="AE86" s="20" t="str">
        <f t="shared" si="31"/>
        <v/>
      </c>
      <c r="AF86" s="20" t="str">
        <f t="shared" si="32"/>
        <v/>
      </c>
      <c r="AO86" s="997" t="str">
        <f t="shared" si="22"/>
        <v/>
      </c>
      <c r="AP86" s="762" t="str">
        <f t="shared" si="33"/>
        <v/>
      </c>
      <c r="AR86" s="869" t="str">
        <f t="shared" si="23"/>
        <v/>
      </c>
      <c r="AS86" s="869" t="str">
        <f t="shared" si="24"/>
        <v/>
      </c>
    </row>
    <row r="87" spans="1:45">
      <c r="A87" s="606"/>
      <c r="B87" s="26"/>
      <c r="C87" s="758" t="s">
        <v>4249</v>
      </c>
      <c r="D87" s="758"/>
      <c r="E87" s="758" t="str">
        <f t="shared" si="34"/>
        <v>high ground defense</v>
      </c>
      <c r="F87" s="758"/>
      <c r="G87" s="758"/>
      <c r="H87" s="758"/>
      <c r="I87" s="758"/>
      <c r="J87" s="626"/>
      <c r="K87" s="889"/>
      <c r="L87" s="607"/>
      <c r="M87" s="607"/>
      <c r="N87" s="607"/>
      <c r="O87" s="607"/>
      <c r="P87" s="765">
        <f t="shared" si="35"/>
        <v>0</v>
      </c>
      <c r="Q87" s="765"/>
      <c r="R87" s="765"/>
      <c r="S87" s="765"/>
      <c r="T87" s="765"/>
      <c r="U87" s="765" t="s">
        <v>3816</v>
      </c>
      <c r="V87" s="939" t="s">
        <v>5701</v>
      </c>
      <c r="W87" s="619"/>
      <c r="Y87" s="20" t="str">
        <f t="shared" si="25"/>
        <v/>
      </c>
      <c r="Z87" s="20" t="str">
        <f t="shared" si="26"/>
        <v/>
      </c>
      <c r="AA87" s="20" t="str">
        <f t="shared" si="27"/>
        <v/>
      </c>
      <c r="AB87" s="20" t="str">
        <f t="shared" si="28"/>
        <v/>
      </c>
      <c r="AC87" s="20" t="str">
        <f t="shared" si="29"/>
        <v/>
      </c>
      <c r="AD87" s="20" t="str">
        <f t="shared" si="30"/>
        <v/>
      </c>
      <c r="AE87" s="20" t="str">
        <f t="shared" si="31"/>
        <v/>
      </c>
      <c r="AF87" s="20" t="str">
        <f t="shared" si="32"/>
        <v/>
      </c>
      <c r="AO87" s="997" t="str">
        <f t="shared" si="22"/>
        <v/>
      </c>
      <c r="AP87" s="762" t="str">
        <f t="shared" si="33"/>
        <v/>
      </c>
      <c r="AR87" s="869" t="str">
        <f t="shared" si="23"/>
        <v/>
      </c>
      <c r="AS87" s="869" t="str">
        <f t="shared" si="24"/>
        <v/>
      </c>
    </row>
    <row r="88" spans="1:45">
      <c r="A88" s="606"/>
      <c r="B88" s="26"/>
      <c r="C88" s="758" t="s">
        <v>4250</v>
      </c>
      <c r="D88" s="758"/>
      <c r="E88" s="758" t="str">
        <f t="shared" si="34"/>
        <v>makashi riposte</v>
      </c>
      <c r="F88" s="758"/>
      <c r="G88" s="758"/>
      <c r="H88" s="758"/>
      <c r="I88" s="758"/>
      <c r="J88" s="626"/>
      <c r="K88" s="889"/>
      <c r="L88" s="607"/>
      <c r="M88" s="607"/>
      <c r="N88" s="607"/>
      <c r="O88" s="607"/>
      <c r="P88" s="765">
        <f t="shared" si="35"/>
        <v>0</v>
      </c>
      <c r="Q88" s="765"/>
      <c r="R88" s="765"/>
      <c r="S88" s="765"/>
      <c r="T88" s="765"/>
      <c r="U88" s="765" t="s">
        <v>3816</v>
      </c>
      <c r="V88" s="939" t="s">
        <v>5701</v>
      </c>
      <c r="W88" s="619"/>
      <c r="Y88" s="20" t="str">
        <f t="shared" si="25"/>
        <v/>
      </c>
      <c r="Z88" s="20" t="str">
        <f t="shared" si="26"/>
        <v/>
      </c>
      <c r="AA88" s="20" t="str">
        <f t="shared" si="27"/>
        <v/>
      </c>
      <c r="AB88" s="20" t="str">
        <f t="shared" si="28"/>
        <v/>
      </c>
      <c r="AC88" s="20" t="str">
        <f t="shared" si="29"/>
        <v/>
      </c>
      <c r="AD88" s="20" t="str">
        <f t="shared" si="30"/>
        <v/>
      </c>
      <c r="AE88" s="20" t="str">
        <f t="shared" si="31"/>
        <v/>
      </c>
      <c r="AF88" s="20" t="str">
        <f t="shared" si="32"/>
        <v/>
      </c>
      <c r="AO88" s="997" t="str">
        <f t="shared" si="22"/>
        <v/>
      </c>
      <c r="AP88" s="762" t="str">
        <f t="shared" si="33"/>
        <v/>
      </c>
      <c r="AR88" s="869" t="str">
        <f t="shared" si="23"/>
        <v/>
      </c>
      <c r="AS88" s="869" t="str">
        <f t="shared" si="24"/>
        <v/>
      </c>
    </row>
    <row r="89" spans="1:45">
      <c r="A89" s="606"/>
      <c r="B89" s="26"/>
      <c r="C89" s="758" t="s">
        <v>4251</v>
      </c>
      <c r="D89" s="758"/>
      <c r="E89" s="758" t="str">
        <f t="shared" si="34"/>
        <v>pass the blade</v>
      </c>
      <c r="F89" s="758"/>
      <c r="G89" s="758"/>
      <c r="H89" s="758"/>
      <c r="I89" s="758"/>
      <c r="J89" s="626"/>
      <c r="K89" s="889"/>
      <c r="L89" s="607"/>
      <c r="M89" s="607"/>
      <c r="N89" s="607"/>
      <c r="O89" s="607"/>
      <c r="P89" s="765">
        <f t="shared" si="35"/>
        <v>0</v>
      </c>
      <c r="Q89" s="765"/>
      <c r="R89" s="765"/>
      <c r="S89" s="765"/>
      <c r="T89" s="765"/>
      <c r="U89" s="765" t="s">
        <v>3816</v>
      </c>
      <c r="V89" s="939" t="s">
        <v>5701</v>
      </c>
      <c r="W89" s="619"/>
      <c r="Y89" s="20" t="str">
        <f t="shared" si="25"/>
        <v/>
      </c>
      <c r="Z89" s="20" t="str">
        <f t="shared" si="26"/>
        <v/>
      </c>
      <c r="AA89" s="20" t="str">
        <f t="shared" si="27"/>
        <v/>
      </c>
      <c r="AB89" s="20" t="str">
        <f t="shared" si="28"/>
        <v/>
      </c>
      <c r="AC89" s="20" t="str">
        <f t="shared" si="29"/>
        <v/>
      </c>
      <c r="AD89" s="20" t="str">
        <f t="shared" si="30"/>
        <v/>
      </c>
      <c r="AE89" s="20" t="str">
        <f t="shared" si="31"/>
        <v/>
      </c>
      <c r="AF89" s="20" t="str">
        <f t="shared" si="32"/>
        <v/>
      </c>
      <c r="AO89" s="997" t="str">
        <f t="shared" si="22"/>
        <v/>
      </c>
      <c r="AP89" s="762" t="str">
        <f t="shared" si="33"/>
        <v/>
      </c>
      <c r="AR89" s="869" t="str">
        <f t="shared" si="23"/>
        <v/>
      </c>
      <c r="AS89" s="869" t="str">
        <f t="shared" si="24"/>
        <v/>
      </c>
    </row>
    <row r="90" spans="1:45">
      <c r="A90" s="606"/>
      <c r="B90" s="26"/>
      <c r="C90" s="758" t="s">
        <v>4252</v>
      </c>
      <c r="D90" s="758"/>
      <c r="E90" s="758" t="str">
        <f t="shared" si="34"/>
        <v>pushing slash</v>
      </c>
      <c r="F90" s="758" t="s">
        <v>4221</v>
      </c>
      <c r="G90" s="758"/>
      <c r="H90" s="758"/>
      <c r="I90" s="758"/>
      <c r="J90" s="626"/>
      <c r="K90" s="889"/>
      <c r="L90" s="607"/>
      <c r="M90" s="607"/>
      <c r="N90" s="607"/>
      <c r="O90" s="607"/>
      <c r="P90" s="765">
        <f t="shared" si="35"/>
        <v>0</v>
      </c>
      <c r="Q90" s="765"/>
      <c r="R90" s="765"/>
      <c r="S90" s="765"/>
      <c r="T90" s="765"/>
      <c r="U90" s="765" t="s">
        <v>3816</v>
      </c>
      <c r="V90" s="939" t="s">
        <v>5702</v>
      </c>
      <c r="W90" s="619"/>
      <c r="Y90" s="20" t="str">
        <f t="shared" si="25"/>
        <v/>
      </c>
      <c r="Z90" s="20" t="str">
        <f t="shared" si="26"/>
        <v/>
      </c>
      <c r="AA90" s="20" t="str">
        <f t="shared" si="27"/>
        <v/>
      </c>
      <c r="AB90" s="20" t="str">
        <f t="shared" si="28"/>
        <v/>
      </c>
      <c r="AC90" s="20" t="str">
        <f t="shared" si="29"/>
        <v/>
      </c>
      <c r="AD90" s="20" t="str">
        <f t="shared" si="30"/>
        <v/>
      </c>
      <c r="AE90" s="20" t="str">
        <f t="shared" si="31"/>
        <v/>
      </c>
      <c r="AF90" s="20" t="str">
        <f t="shared" si="32"/>
        <v/>
      </c>
      <c r="AO90" s="997" t="str">
        <f t="shared" si="22"/>
        <v/>
      </c>
      <c r="AP90" s="762" t="str">
        <f t="shared" si="33"/>
        <v/>
      </c>
      <c r="AR90" s="869" t="str">
        <f t="shared" si="23"/>
        <v/>
      </c>
      <c r="AS90" s="869" t="str">
        <f t="shared" si="24"/>
        <v/>
      </c>
    </row>
    <row r="91" spans="1:45">
      <c r="A91" s="606"/>
      <c r="B91" s="26"/>
      <c r="C91" s="758" t="s">
        <v>4253</v>
      </c>
      <c r="D91" s="758"/>
      <c r="E91" s="758" t="str">
        <f t="shared" si="34"/>
        <v>rising whirlwind</v>
      </c>
      <c r="F91" s="758"/>
      <c r="G91" s="758"/>
      <c r="H91" s="758"/>
      <c r="I91" s="758"/>
      <c r="J91" s="626"/>
      <c r="K91" s="889"/>
      <c r="L91" s="607"/>
      <c r="M91" s="607"/>
      <c r="N91" s="607"/>
      <c r="O91" s="607"/>
      <c r="P91" s="765">
        <f t="shared" si="35"/>
        <v>0</v>
      </c>
      <c r="Q91" s="765"/>
      <c r="R91" s="765"/>
      <c r="S91" s="765"/>
      <c r="T91" s="765"/>
      <c r="U91" s="765" t="s">
        <v>3816</v>
      </c>
      <c r="V91" s="939" t="s">
        <v>5702</v>
      </c>
      <c r="W91" s="619"/>
      <c r="Y91" s="20" t="str">
        <f t="shared" si="25"/>
        <v/>
      </c>
      <c r="Z91" s="20" t="str">
        <f t="shared" si="26"/>
        <v/>
      </c>
      <c r="AA91" s="20" t="str">
        <f t="shared" si="27"/>
        <v/>
      </c>
      <c r="AB91" s="20" t="str">
        <f t="shared" si="28"/>
        <v/>
      </c>
      <c r="AC91" s="20" t="str">
        <f t="shared" si="29"/>
        <v/>
      </c>
      <c r="AD91" s="20" t="str">
        <f t="shared" si="30"/>
        <v/>
      </c>
      <c r="AE91" s="20" t="str">
        <f t="shared" si="31"/>
        <v/>
      </c>
      <c r="AF91" s="20" t="str">
        <f t="shared" si="32"/>
        <v/>
      </c>
      <c r="AO91" s="997" t="str">
        <f t="shared" si="22"/>
        <v/>
      </c>
      <c r="AP91" s="762" t="str">
        <f t="shared" si="33"/>
        <v/>
      </c>
      <c r="AR91" s="869" t="str">
        <f t="shared" si="23"/>
        <v/>
      </c>
      <c r="AS91" s="869" t="str">
        <f t="shared" si="24"/>
        <v/>
      </c>
    </row>
    <row r="92" spans="1:45">
      <c r="A92" s="606"/>
      <c r="B92" s="26"/>
      <c r="C92" s="758" t="s">
        <v>4254</v>
      </c>
      <c r="D92" s="758"/>
      <c r="E92" s="758" t="str">
        <f t="shared" si="34"/>
        <v>saber swarm</v>
      </c>
      <c r="F92" s="758"/>
      <c r="G92" s="758"/>
      <c r="H92" s="758"/>
      <c r="I92" s="758"/>
      <c r="J92" s="626"/>
      <c r="K92" s="889"/>
      <c r="L92" s="607"/>
      <c r="M92" s="607"/>
      <c r="N92" s="607"/>
      <c r="O92" s="607"/>
      <c r="P92" s="765">
        <f t="shared" si="35"/>
        <v>0</v>
      </c>
      <c r="Q92" s="765"/>
      <c r="R92" s="765"/>
      <c r="S92" s="765"/>
      <c r="T92" s="765"/>
      <c r="U92" s="765" t="s">
        <v>3816</v>
      </c>
      <c r="V92" s="939" t="s">
        <v>5703</v>
      </c>
      <c r="W92" s="619"/>
      <c r="Y92" s="20" t="str">
        <f t="shared" si="25"/>
        <v/>
      </c>
      <c r="Z92" s="20" t="str">
        <f t="shared" si="26"/>
        <v/>
      </c>
      <c r="AA92" s="20" t="str">
        <f t="shared" si="27"/>
        <v/>
      </c>
      <c r="AB92" s="20" t="str">
        <f t="shared" si="28"/>
        <v/>
      </c>
      <c r="AC92" s="20" t="str">
        <f t="shared" si="29"/>
        <v/>
      </c>
      <c r="AD92" s="20" t="str">
        <f t="shared" si="30"/>
        <v/>
      </c>
      <c r="AE92" s="20" t="str">
        <f t="shared" si="31"/>
        <v/>
      </c>
      <c r="AF92" s="20" t="str">
        <f t="shared" si="32"/>
        <v/>
      </c>
      <c r="AO92" s="997" t="str">
        <f t="shared" si="22"/>
        <v/>
      </c>
      <c r="AP92" s="762" t="str">
        <f t="shared" si="33"/>
        <v/>
      </c>
      <c r="AR92" s="869" t="str">
        <f t="shared" si="23"/>
        <v/>
      </c>
      <c r="AS92" s="869" t="str">
        <f t="shared" si="24"/>
        <v/>
      </c>
    </row>
    <row r="93" spans="1:45">
      <c r="A93" s="606"/>
      <c r="B93" s="26"/>
      <c r="C93" s="758" t="s">
        <v>4255</v>
      </c>
      <c r="D93" s="758"/>
      <c r="E93" s="758" t="s">
        <v>4256</v>
      </c>
      <c r="F93" s="758"/>
      <c r="G93" s="758"/>
      <c r="H93" s="758"/>
      <c r="I93" s="758"/>
      <c r="J93" s="626"/>
      <c r="K93" s="889"/>
      <c r="L93" s="607"/>
      <c r="M93" s="607"/>
      <c r="N93" s="607"/>
      <c r="O93" s="607"/>
      <c r="P93" s="765">
        <f t="shared" si="35"/>
        <v>0</v>
      </c>
      <c r="Q93" s="765"/>
      <c r="R93" s="765"/>
      <c r="S93" s="765"/>
      <c r="T93" s="765"/>
      <c r="U93" s="765" t="s">
        <v>3816</v>
      </c>
      <c r="V93" s="939" t="s">
        <v>5703</v>
      </c>
      <c r="W93" s="619"/>
      <c r="Y93" s="20" t="str">
        <f t="shared" si="25"/>
        <v/>
      </c>
      <c r="Z93" s="20" t="str">
        <f t="shared" si="26"/>
        <v/>
      </c>
      <c r="AA93" s="20" t="str">
        <f t="shared" si="27"/>
        <v/>
      </c>
      <c r="AB93" s="20" t="str">
        <f t="shared" si="28"/>
        <v/>
      </c>
      <c r="AC93" s="20" t="str">
        <f t="shared" si="29"/>
        <v/>
      </c>
      <c r="AD93" s="20" t="str">
        <f t="shared" si="30"/>
        <v/>
      </c>
      <c r="AE93" s="20" t="str">
        <f t="shared" si="31"/>
        <v/>
      </c>
      <c r="AF93" s="20" t="str">
        <f t="shared" si="32"/>
        <v/>
      </c>
      <c r="AO93" s="997" t="str">
        <f t="shared" si="22"/>
        <v/>
      </c>
      <c r="AP93" s="762" t="str">
        <f t="shared" si="33"/>
        <v/>
      </c>
      <c r="AR93" s="869" t="str">
        <f t="shared" si="23"/>
        <v/>
      </c>
      <c r="AS93" s="869" t="str">
        <f t="shared" si="24"/>
        <v/>
      </c>
    </row>
    <row r="94" spans="1:45">
      <c r="A94" s="606"/>
      <c r="B94" s="26"/>
      <c r="C94" s="758" t="s">
        <v>4257</v>
      </c>
      <c r="D94" s="758"/>
      <c r="E94" s="758" t="str">
        <f t="shared" ref="E94:E100" si="36">LOWER(C94)</f>
        <v>shien deflection</v>
      </c>
      <c r="F94" s="758"/>
      <c r="G94" s="758"/>
      <c r="H94" s="758"/>
      <c r="I94" s="758"/>
      <c r="J94" s="626"/>
      <c r="K94" s="889"/>
      <c r="L94" s="607"/>
      <c r="M94" s="607"/>
      <c r="N94" s="607"/>
      <c r="O94" s="607"/>
      <c r="P94" s="765">
        <f t="shared" si="35"/>
        <v>0</v>
      </c>
      <c r="Q94" s="765"/>
      <c r="R94" s="765"/>
      <c r="S94" s="765"/>
      <c r="T94" s="765"/>
      <c r="U94" s="765" t="s">
        <v>3816</v>
      </c>
      <c r="V94" s="939" t="s">
        <v>5703</v>
      </c>
      <c r="W94" s="619"/>
      <c r="Y94" s="20" t="str">
        <f t="shared" si="25"/>
        <v/>
      </c>
      <c r="Z94" s="20" t="str">
        <f t="shared" si="26"/>
        <v/>
      </c>
      <c r="AA94" s="20" t="str">
        <f t="shared" si="27"/>
        <v/>
      </c>
      <c r="AB94" s="20" t="str">
        <f t="shared" si="28"/>
        <v/>
      </c>
      <c r="AC94" s="20" t="str">
        <f t="shared" si="29"/>
        <v/>
      </c>
      <c r="AD94" s="20" t="str">
        <f t="shared" si="30"/>
        <v/>
      </c>
      <c r="AE94" s="20" t="str">
        <f t="shared" si="31"/>
        <v/>
      </c>
      <c r="AF94" s="20" t="str">
        <f t="shared" si="32"/>
        <v/>
      </c>
      <c r="AO94" s="997" t="str">
        <f t="shared" si="22"/>
        <v/>
      </c>
      <c r="AP94" s="762" t="str">
        <f t="shared" si="33"/>
        <v/>
      </c>
      <c r="AR94" s="869" t="str">
        <f t="shared" si="23"/>
        <v/>
      </c>
      <c r="AS94" s="869" t="str">
        <f t="shared" si="24"/>
        <v/>
      </c>
    </row>
    <row r="95" spans="1:45">
      <c r="A95" s="606"/>
      <c r="B95" s="26"/>
      <c r="C95" s="758" t="s">
        <v>4258</v>
      </c>
      <c r="D95" s="758"/>
      <c r="E95" s="758" t="str">
        <f t="shared" si="36"/>
        <v>swift flank</v>
      </c>
      <c r="F95" s="758"/>
      <c r="G95" s="758"/>
      <c r="H95" s="758"/>
      <c r="I95" s="758"/>
      <c r="J95" s="626"/>
      <c r="K95" s="889"/>
      <c r="L95" s="607"/>
      <c r="M95" s="607"/>
      <c r="N95" s="607"/>
      <c r="O95" s="607"/>
      <c r="P95" s="765">
        <f t="shared" si="35"/>
        <v>0</v>
      </c>
      <c r="Q95" s="765"/>
      <c r="R95" s="765"/>
      <c r="S95" s="765"/>
      <c r="T95" s="765"/>
      <c r="U95" s="765" t="s">
        <v>3816</v>
      </c>
      <c r="V95" s="939" t="s">
        <v>5703</v>
      </c>
      <c r="W95" s="619"/>
      <c r="Y95" s="20" t="str">
        <f t="shared" si="25"/>
        <v/>
      </c>
      <c r="Z95" s="20" t="str">
        <f t="shared" si="26"/>
        <v/>
      </c>
      <c r="AA95" s="20" t="str">
        <f t="shared" si="27"/>
        <v/>
      </c>
      <c r="AB95" s="20" t="str">
        <f t="shared" si="28"/>
        <v/>
      </c>
      <c r="AC95" s="20" t="str">
        <f t="shared" si="29"/>
        <v/>
      </c>
      <c r="AD95" s="20" t="str">
        <f t="shared" si="30"/>
        <v/>
      </c>
      <c r="AE95" s="20" t="str">
        <f t="shared" si="31"/>
        <v/>
      </c>
      <c r="AF95" s="20" t="str">
        <f t="shared" si="32"/>
        <v/>
      </c>
      <c r="AO95" s="997" t="str">
        <f t="shared" si="22"/>
        <v/>
      </c>
      <c r="AP95" s="762" t="str">
        <f t="shared" si="33"/>
        <v/>
      </c>
      <c r="AR95" s="869" t="str">
        <f t="shared" si="23"/>
        <v/>
      </c>
      <c r="AS95" s="869" t="str">
        <f t="shared" si="24"/>
        <v/>
      </c>
    </row>
    <row r="96" spans="1:45">
      <c r="A96" s="606"/>
      <c r="B96" s="26"/>
      <c r="C96" s="758" t="s">
        <v>4259</v>
      </c>
      <c r="D96" s="758"/>
      <c r="E96" s="758" t="str">
        <f t="shared" si="36"/>
        <v>tempered aggression</v>
      </c>
      <c r="F96" s="758"/>
      <c r="G96" s="758"/>
      <c r="H96" s="758"/>
      <c r="I96" s="758" t="s">
        <v>2636</v>
      </c>
      <c r="J96" s="626"/>
      <c r="K96" s="889"/>
      <c r="L96" s="607"/>
      <c r="M96" s="607"/>
      <c r="N96" s="607"/>
      <c r="O96" s="607"/>
      <c r="P96" s="765">
        <f t="shared" si="35"/>
        <v>0</v>
      </c>
      <c r="Q96" s="765"/>
      <c r="R96" s="765"/>
      <c r="S96" s="765"/>
      <c r="T96" s="765"/>
      <c r="U96" s="765" t="s">
        <v>3816</v>
      </c>
      <c r="V96" s="939" t="s">
        <v>5704</v>
      </c>
      <c r="W96" s="619"/>
      <c r="Y96" s="20" t="str">
        <f t="shared" si="25"/>
        <v/>
      </c>
      <c r="Z96" s="20" t="str">
        <f t="shared" si="26"/>
        <v/>
      </c>
      <c r="AA96" s="20" t="str">
        <f t="shared" si="27"/>
        <v/>
      </c>
      <c r="AB96" s="20" t="str">
        <f t="shared" si="28"/>
        <v/>
      </c>
      <c r="AC96" s="20" t="str">
        <f t="shared" si="29"/>
        <v/>
      </c>
      <c r="AD96" s="20" t="str">
        <f t="shared" si="30"/>
        <v/>
      </c>
      <c r="AE96" s="20" t="str">
        <f t="shared" si="31"/>
        <v/>
      </c>
      <c r="AF96" s="20" t="str">
        <f t="shared" si="32"/>
        <v/>
      </c>
      <c r="AO96" s="997" t="str">
        <f t="shared" si="22"/>
        <v/>
      </c>
      <c r="AP96" s="762" t="str">
        <f t="shared" si="33"/>
        <v/>
      </c>
      <c r="AR96" s="869" t="str">
        <f t="shared" si="23"/>
        <v/>
      </c>
      <c r="AS96" s="869" t="str">
        <f t="shared" si="24"/>
        <v/>
      </c>
    </row>
    <row r="97" spans="1:52">
      <c r="A97" s="606"/>
      <c r="B97" s="26"/>
      <c r="C97" s="758" t="s">
        <v>4260</v>
      </c>
      <c r="D97" s="758"/>
      <c r="E97" s="758" t="str">
        <f t="shared" si="36"/>
        <v>twin strike</v>
      </c>
      <c r="F97" s="758"/>
      <c r="G97" s="758"/>
      <c r="H97" s="758"/>
      <c r="I97" s="758"/>
      <c r="J97" s="626"/>
      <c r="K97" s="889"/>
      <c r="L97" s="607"/>
      <c r="M97" s="607"/>
      <c r="N97" s="607"/>
      <c r="O97" s="607"/>
      <c r="P97" s="765">
        <f t="shared" si="35"/>
        <v>0</v>
      </c>
      <c r="Q97" s="765"/>
      <c r="R97" s="765"/>
      <c r="S97" s="765"/>
      <c r="T97" s="765"/>
      <c r="U97" s="765" t="s">
        <v>3816</v>
      </c>
      <c r="V97" s="939" t="s">
        <v>5704</v>
      </c>
      <c r="W97" s="619"/>
      <c r="Y97" s="20" t="str">
        <f t="shared" si="25"/>
        <v/>
      </c>
      <c r="Z97" s="20" t="str">
        <f t="shared" si="26"/>
        <v/>
      </c>
      <c r="AA97" s="20" t="str">
        <f t="shared" si="27"/>
        <v/>
      </c>
      <c r="AB97" s="20" t="str">
        <f t="shared" si="28"/>
        <v/>
      </c>
      <c r="AC97" s="20" t="str">
        <f t="shared" si="29"/>
        <v/>
      </c>
      <c r="AD97" s="20" t="str">
        <f t="shared" si="30"/>
        <v/>
      </c>
      <c r="AE97" s="20" t="str">
        <f t="shared" si="31"/>
        <v/>
      </c>
      <c r="AF97" s="20" t="str">
        <f t="shared" si="32"/>
        <v/>
      </c>
      <c r="AO97" s="997" t="str">
        <f t="shared" si="22"/>
        <v/>
      </c>
      <c r="AP97" s="762" t="str">
        <f t="shared" si="33"/>
        <v/>
      </c>
      <c r="AR97" s="869" t="str">
        <f t="shared" si="23"/>
        <v/>
      </c>
      <c r="AS97" s="869" t="str">
        <f t="shared" si="24"/>
        <v/>
      </c>
    </row>
    <row r="98" spans="1:52">
      <c r="A98" s="606"/>
      <c r="B98" s="26"/>
      <c r="C98" s="758" t="s">
        <v>4261</v>
      </c>
      <c r="D98" s="758"/>
      <c r="E98" s="758" t="str">
        <f t="shared" si="36"/>
        <v>unbalancing block</v>
      </c>
      <c r="F98" s="758"/>
      <c r="G98" s="758"/>
      <c r="H98" s="758"/>
      <c r="I98" s="758"/>
      <c r="J98" s="626"/>
      <c r="K98" s="889"/>
      <c r="L98" s="607"/>
      <c r="M98" s="607"/>
      <c r="N98" s="607"/>
      <c r="O98" s="607"/>
      <c r="P98" s="765">
        <f t="shared" si="35"/>
        <v>0</v>
      </c>
      <c r="Q98" s="765"/>
      <c r="R98" s="765"/>
      <c r="S98" s="765"/>
      <c r="T98" s="765"/>
      <c r="U98" s="765" t="s">
        <v>3816</v>
      </c>
      <c r="V98" s="939" t="s">
        <v>5704</v>
      </c>
      <c r="W98" s="619"/>
      <c r="Y98" s="20" t="str">
        <f t="shared" si="25"/>
        <v/>
      </c>
      <c r="Z98" s="20" t="str">
        <f>IF(Y98&lt;&gt;"",Y98&amp;IF(Z101&lt;&gt;"",", ","")&amp;Z101,Z101)</f>
        <v/>
      </c>
      <c r="AA98" s="20" t="str">
        <f t="shared" si="27"/>
        <v/>
      </c>
      <c r="AB98" s="20" t="str">
        <f>IF(AA98&lt;&gt;"",AA98&amp;IF(AB101&lt;&gt;"",", ","")&amp;AB101,AB101)</f>
        <v/>
      </c>
      <c r="AC98" s="20" t="str">
        <f t="shared" si="29"/>
        <v/>
      </c>
      <c r="AD98" s="20" t="str">
        <f>IF(AC98&lt;&gt;"",AC98&amp;IF(AD101&lt;&gt;"",", ","")&amp;AD101,AD101)</f>
        <v/>
      </c>
      <c r="AE98" s="20" t="str">
        <f t="shared" si="31"/>
        <v/>
      </c>
      <c r="AF98" s="20" t="str">
        <f>IF(AE98&lt;&gt;"",AE98&amp;IF(AF101&lt;&gt;"",", ","")&amp;AF101,AF101)</f>
        <v/>
      </c>
      <c r="AO98" s="997" t="str">
        <f>IF(OR(J98&lt;&gt;"",N98&lt;&gt;""),C98&amp;IF(J98+N98&gt;1," ("&amp;J98+N98&amp;")",""),"")</f>
        <v/>
      </c>
      <c r="AP98" s="997" t="str">
        <f>IF(AO98&lt;&gt;"",AO98&amp;";"&amp;AP99,AP99)</f>
        <v/>
      </c>
      <c r="AQ98" s="997"/>
      <c r="AR98" s="997" t="str">
        <f>IF(AND(K98&gt;0,J98&gt;0),AH$20&amp;" ("&amp;C98&amp;")","")</f>
        <v/>
      </c>
      <c r="AS98" s="997" t="str">
        <f>IF(AR98&lt;&gt;"",AR98&amp;IF(ShowForceDetails," (Technique)","")&amp;";"&amp;AS99,AS99)</f>
        <v/>
      </c>
      <c r="AT98" s="997"/>
      <c r="AU98" s="997"/>
    </row>
    <row r="99" spans="1:52" s="997" customFormat="1">
      <c r="A99" s="606"/>
      <c r="B99" s="26"/>
      <c r="C99" s="992" t="s">
        <v>5901</v>
      </c>
      <c r="D99" s="992"/>
      <c r="E99" s="992" t="str">
        <f t="shared" si="36"/>
        <v>unhindered charge</v>
      </c>
      <c r="F99" s="992"/>
      <c r="G99" s="992"/>
      <c r="H99" s="992"/>
      <c r="I99" s="992"/>
      <c r="J99" s="626"/>
      <c r="K99" s="607"/>
      <c r="L99" s="607"/>
      <c r="M99" s="607"/>
      <c r="N99" s="607"/>
      <c r="O99" s="607"/>
      <c r="P99" s="1000"/>
      <c r="Q99" s="1000"/>
      <c r="R99" s="1000"/>
      <c r="S99" s="1000"/>
      <c r="T99" s="1000"/>
      <c r="U99" s="1000"/>
      <c r="V99" s="1000" t="s">
        <v>5902</v>
      </c>
      <c r="W99" s="619"/>
      <c r="X99" s="20"/>
      <c r="Y99" s="20" t="str">
        <f t="shared" si="25"/>
        <v/>
      </c>
      <c r="Z99" s="20"/>
      <c r="AA99" s="20" t="str">
        <f t="shared" si="27"/>
        <v/>
      </c>
      <c r="AB99" s="20"/>
      <c r="AC99" s="20" t="str">
        <f t="shared" si="29"/>
        <v/>
      </c>
      <c r="AD99" s="20"/>
      <c r="AE99" s="20" t="str">
        <f t="shared" si="31"/>
        <v/>
      </c>
      <c r="AF99" s="20"/>
      <c r="AG99" s="20"/>
      <c r="AK99" s="16"/>
      <c r="AL99" s="16"/>
      <c r="AO99" s="997" t="str">
        <f>IF(OR(J99&lt;&gt;"",N99&lt;&gt;""),C99&amp;IF(J99+N99&gt;1," ("&amp;J99+N99&amp;")",""),"")</f>
        <v/>
      </c>
      <c r="AP99" s="997" t="str">
        <f>IF(AO99&lt;&gt;"",AO99&amp;";"&amp;AP100,AP100)</f>
        <v/>
      </c>
      <c r="AR99" s="997" t="str">
        <f>IF(AND(K99&gt;0,J99&gt;0),AH$20&amp;" ("&amp;C99&amp;")","")</f>
        <v/>
      </c>
      <c r="AS99" s="997" t="str">
        <f>IF(AR99&lt;&gt;"",AR99&amp;IF(ShowForceDetails," (Technique)","")&amp;";"&amp;AS100,AS100)</f>
        <v/>
      </c>
      <c r="AZ99" s="16"/>
    </row>
    <row r="100" spans="1:52" s="997" customFormat="1">
      <c r="A100" s="606"/>
      <c r="B100" s="26"/>
      <c r="C100" s="1413" t="s">
        <v>7199</v>
      </c>
      <c r="D100" s="992"/>
      <c r="E100" s="992" t="str">
        <f t="shared" si="36"/>
        <v>vornskr's ferocity</v>
      </c>
      <c r="F100" s="992"/>
      <c r="G100" s="992"/>
      <c r="H100" s="992"/>
      <c r="I100" s="992" t="s">
        <v>2636</v>
      </c>
      <c r="J100" s="626"/>
      <c r="K100" s="607"/>
      <c r="L100" s="607"/>
      <c r="M100" s="607"/>
      <c r="N100" s="607"/>
      <c r="O100" s="607"/>
      <c r="P100" s="1000"/>
      <c r="Q100" s="1000"/>
      <c r="R100" s="1000"/>
      <c r="S100" s="1000"/>
      <c r="T100" s="1000"/>
      <c r="U100" s="1000"/>
      <c r="V100" s="1000" t="s">
        <v>5902</v>
      </c>
      <c r="W100" s="619"/>
      <c r="X100" s="20"/>
      <c r="Y100" s="20" t="str">
        <f t="shared" si="25"/>
        <v/>
      </c>
      <c r="Z100" s="20"/>
      <c r="AA100" s="20" t="str">
        <f t="shared" si="27"/>
        <v/>
      </c>
      <c r="AB100" s="20"/>
      <c r="AC100" s="20" t="str">
        <f t="shared" si="29"/>
        <v/>
      </c>
      <c r="AD100" s="20"/>
      <c r="AE100" s="20" t="str">
        <f t="shared" si="31"/>
        <v/>
      </c>
      <c r="AF100" s="20"/>
      <c r="AG100" s="20"/>
      <c r="AK100" s="16"/>
      <c r="AL100" s="16"/>
      <c r="AO100" s="997" t="str">
        <f>IF(OR(J100&lt;&gt;"",N100&lt;&gt;""),C100&amp;IF(J100+N100&gt;1," ("&amp;J100+N100&amp;")",""),"")</f>
        <v/>
      </c>
      <c r="AP100" s="997" t="str">
        <f>IF(AO100&lt;&gt;"",AO100&amp;";"&amp;AP101,AP101)</f>
        <v/>
      </c>
      <c r="AR100" s="997" t="str">
        <f>IF(AND(K100&gt;0,J100&gt;0),AH$20&amp;" ("&amp;C100&amp;")","")</f>
        <v/>
      </c>
      <c r="AS100" s="997" t="str">
        <f>IF(AR100&lt;&gt;"",AR100&amp;IF(ShowForceDetails," (Technique)","")&amp;";"&amp;AS101,AS101)</f>
        <v/>
      </c>
      <c r="AZ100" s="16"/>
    </row>
    <row r="101" spans="1:52" ht="15" thickBot="1">
      <c r="A101" s="606"/>
      <c r="B101" s="32"/>
      <c r="C101" s="763"/>
      <c r="D101" s="763"/>
      <c r="E101" s="763"/>
      <c r="F101" s="763"/>
      <c r="G101" s="763"/>
      <c r="H101" s="763"/>
      <c r="I101" s="763"/>
      <c r="J101" s="34"/>
      <c r="K101" s="34"/>
      <c r="L101" s="34"/>
      <c r="M101" s="34"/>
      <c r="N101" s="34"/>
      <c r="O101" s="34"/>
      <c r="P101" s="34"/>
      <c r="Q101" s="34"/>
      <c r="R101" s="34"/>
      <c r="S101" s="34"/>
      <c r="T101" s="34"/>
      <c r="U101" s="34"/>
      <c r="V101" s="34"/>
      <c r="W101" s="621"/>
      <c r="Z101" s="892" t="s">
        <v>195</v>
      </c>
      <c r="AB101" s="892" t="s">
        <v>195</v>
      </c>
      <c r="AC101" s="892"/>
      <c r="AD101" s="892" t="s">
        <v>195</v>
      </c>
      <c r="AE101" s="892"/>
      <c r="AF101" s="892" t="s">
        <v>195</v>
      </c>
      <c r="AP101" s="383" t="s">
        <v>195</v>
      </c>
      <c r="AS101" s="383" t="s">
        <v>195</v>
      </c>
    </row>
    <row r="102" spans="1:52">
      <c r="A102" s="606"/>
      <c r="B102" s="508"/>
      <c r="C102" s="762"/>
      <c r="D102" s="762"/>
      <c r="E102" s="762"/>
      <c r="J102" s="20"/>
      <c r="K102" s="20"/>
      <c r="L102" s="20"/>
      <c r="M102" s="20"/>
      <c r="N102" s="20"/>
    </row>
    <row r="103" spans="1:52">
      <c r="A103" s="606"/>
      <c r="B103" s="508"/>
      <c r="C103" s="508"/>
      <c r="D103" s="508"/>
      <c r="E103" s="508"/>
      <c r="F103" s="508"/>
      <c r="G103" s="508"/>
      <c r="H103" s="508"/>
      <c r="I103" s="508"/>
      <c r="J103" s="20"/>
      <c r="K103" s="20"/>
      <c r="L103" s="20"/>
      <c r="M103" s="20"/>
      <c r="N103" s="20"/>
      <c r="O103" s="20"/>
      <c r="P103" s="20"/>
      <c r="Q103" s="20"/>
      <c r="R103" s="20"/>
      <c r="S103" s="20"/>
      <c r="T103" s="20"/>
      <c r="U103" s="20"/>
      <c r="V103" s="20"/>
    </row>
    <row r="104" spans="1:52">
      <c r="A104" s="606"/>
      <c r="B104" s="508"/>
      <c r="C104" s="508"/>
      <c r="D104" s="508"/>
      <c r="E104" s="508"/>
      <c r="F104" s="508"/>
      <c r="G104" s="508"/>
      <c r="H104" s="508"/>
      <c r="I104" s="508"/>
      <c r="J104" s="20"/>
      <c r="K104" s="20"/>
      <c r="L104" s="20"/>
      <c r="M104" s="20"/>
      <c r="N104" s="20"/>
    </row>
    <row r="105" spans="1:52">
      <c r="A105" s="606"/>
      <c r="B105" s="508"/>
      <c r="C105" s="508"/>
      <c r="D105" s="508"/>
      <c r="E105" s="508"/>
      <c r="F105" s="508"/>
      <c r="G105" s="508"/>
      <c r="H105" s="508"/>
      <c r="I105" s="508"/>
      <c r="J105" s="20"/>
      <c r="K105" s="20"/>
      <c r="L105" s="20"/>
      <c r="M105" s="20"/>
      <c r="N105" s="20"/>
    </row>
    <row r="106" spans="1:52">
      <c r="A106" s="606"/>
      <c r="B106" s="508"/>
      <c r="C106" s="508"/>
      <c r="D106" s="508"/>
      <c r="E106" s="508"/>
      <c r="F106" s="508"/>
      <c r="G106" s="508"/>
      <c r="H106" s="508"/>
      <c r="I106" s="508"/>
      <c r="J106" s="20"/>
      <c r="K106" s="20"/>
      <c r="L106" s="20"/>
      <c r="M106" s="20"/>
      <c r="N106" s="20"/>
    </row>
    <row r="107" spans="1:52">
      <c r="A107" s="606"/>
      <c r="B107" s="508"/>
      <c r="C107" s="508"/>
      <c r="D107" s="508"/>
      <c r="E107" s="508"/>
      <c r="F107" s="508"/>
      <c r="G107" s="508"/>
      <c r="H107" s="508"/>
      <c r="I107" s="508"/>
      <c r="J107" s="20"/>
      <c r="K107" s="20"/>
      <c r="L107" s="20"/>
      <c r="M107" s="20"/>
      <c r="N107" s="20"/>
    </row>
    <row r="108" spans="1:52">
      <c r="A108" s="606"/>
      <c r="B108" s="508"/>
      <c r="C108" s="508"/>
      <c r="D108" s="508"/>
      <c r="E108" s="508"/>
      <c r="F108" s="508"/>
      <c r="G108" s="508"/>
      <c r="H108" s="508"/>
      <c r="I108" s="508"/>
    </row>
    <row r="109" spans="1:52">
      <c r="A109" s="606"/>
      <c r="B109" s="508"/>
      <c r="C109" s="508"/>
      <c r="D109" s="508"/>
      <c r="E109" s="508"/>
      <c r="F109" s="508"/>
      <c r="G109" s="508"/>
      <c r="H109" s="508"/>
      <c r="I109" s="508"/>
    </row>
    <row r="110" spans="1:52">
      <c r="A110" s="606"/>
      <c r="B110" s="508"/>
      <c r="C110" s="508"/>
      <c r="D110" s="508"/>
      <c r="E110" s="508"/>
      <c r="F110" s="508"/>
      <c r="G110" s="508"/>
      <c r="H110" s="508"/>
      <c r="I110" s="508"/>
    </row>
    <row r="111" spans="1:52">
      <c r="A111" s="606"/>
      <c r="B111" s="508"/>
      <c r="C111" s="508"/>
      <c r="D111" s="508"/>
      <c r="E111" s="508"/>
      <c r="F111" s="508"/>
      <c r="G111" s="508"/>
      <c r="H111" s="508"/>
      <c r="I111" s="508"/>
    </row>
    <row r="112" spans="1:52">
      <c r="A112" s="606"/>
      <c r="B112" s="508"/>
      <c r="C112" s="508"/>
      <c r="D112" s="508"/>
      <c r="E112" s="508"/>
      <c r="F112" s="508"/>
      <c r="G112" s="508"/>
      <c r="H112" s="508"/>
      <c r="I112" s="508"/>
    </row>
    <row r="113" spans="1:9">
      <c r="A113" s="606"/>
      <c r="B113" s="508"/>
      <c r="C113" s="508"/>
      <c r="D113" s="508"/>
      <c r="E113" s="508"/>
      <c r="F113" s="508"/>
      <c r="G113" s="508"/>
      <c r="H113" s="508"/>
      <c r="I113" s="508"/>
    </row>
    <row r="114" spans="1:9">
      <c r="A114" s="606"/>
      <c r="B114" s="508"/>
      <c r="C114" s="508"/>
      <c r="D114" s="508"/>
      <c r="E114" s="508"/>
      <c r="F114" s="508"/>
      <c r="G114" s="508"/>
      <c r="H114" s="508"/>
      <c r="I114" s="508"/>
    </row>
    <row r="115" spans="1:9">
      <c r="A115" s="606"/>
      <c r="B115" s="508"/>
      <c r="C115" s="508"/>
      <c r="D115" s="508"/>
      <c r="E115" s="508"/>
      <c r="F115" s="508"/>
      <c r="G115" s="508"/>
      <c r="H115" s="508"/>
      <c r="I115" s="508"/>
    </row>
    <row r="116" spans="1:9">
      <c r="A116" s="606"/>
      <c r="B116" s="508"/>
      <c r="C116" s="508"/>
      <c r="D116" s="508"/>
      <c r="E116" s="508"/>
      <c r="F116" s="508"/>
      <c r="G116" s="508"/>
      <c r="H116" s="508"/>
      <c r="I116" s="508"/>
    </row>
    <row r="117" spans="1:9">
      <c r="A117" s="606"/>
      <c r="B117" s="508"/>
      <c r="C117" s="508"/>
      <c r="D117" s="508"/>
      <c r="E117" s="508"/>
      <c r="F117" s="508"/>
      <c r="G117" s="508"/>
      <c r="H117" s="508"/>
      <c r="I117" s="508"/>
    </row>
    <row r="118" spans="1:9">
      <c r="A118" s="606"/>
      <c r="B118" s="508"/>
      <c r="C118" s="508"/>
      <c r="D118" s="508"/>
      <c r="E118" s="508"/>
      <c r="F118" s="508"/>
      <c r="G118" s="508"/>
      <c r="H118" s="508"/>
      <c r="I118" s="508"/>
    </row>
    <row r="119" spans="1:9">
      <c r="A119" s="606"/>
      <c r="B119" s="508"/>
      <c r="C119" s="508"/>
      <c r="D119" s="508"/>
      <c r="E119" s="508"/>
      <c r="F119" s="508"/>
      <c r="G119" s="508"/>
      <c r="H119" s="508"/>
      <c r="I119" s="508"/>
    </row>
    <row r="120" spans="1:9">
      <c r="A120" s="606"/>
      <c r="B120" s="508"/>
      <c r="C120" s="508"/>
      <c r="D120" s="508"/>
      <c r="E120" s="508"/>
      <c r="F120" s="508"/>
      <c r="G120" s="508"/>
      <c r="H120" s="508"/>
      <c r="I120" s="508"/>
    </row>
    <row r="121" spans="1:9">
      <c r="A121" s="606"/>
      <c r="B121" s="508"/>
      <c r="C121" s="508"/>
      <c r="D121" s="508"/>
      <c r="E121" s="508"/>
      <c r="F121" s="508"/>
      <c r="G121" s="508"/>
      <c r="H121" s="508"/>
      <c r="I121" s="508"/>
    </row>
    <row r="122" spans="1:9">
      <c r="A122" s="606"/>
      <c r="B122" s="508"/>
      <c r="C122" s="508"/>
      <c r="D122" s="508"/>
      <c r="E122" s="508"/>
      <c r="F122" s="508"/>
      <c r="G122" s="508"/>
      <c r="H122" s="508"/>
      <c r="I122" s="508"/>
    </row>
    <row r="123" spans="1:9">
      <c r="A123" s="606"/>
      <c r="B123" s="508"/>
      <c r="C123" s="508"/>
      <c r="D123" s="508"/>
      <c r="E123" s="508"/>
      <c r="F123" s="508"/>
      <c r="G123" s="508"/>
      <c r="H123" s="508"/>
      <c r="I123" s="508"/>
    </row>
    <row r="124" spans="1:9">
      <c r="A124" s="606"/>
      <c r="B124" s="508"/>
      <c r="C124" s="508"/>
      <c r="D124" s="508"/>
      <c r="E124" s="508"/>
      <c r="F124" s="508"/>
      <c r="G124" s="508"/>
      <c r="H124" s="508"/>
      <c r="I124" s="508"/>
    </row>
    <row r="125" spans="1:9">
      <c r="A125" s="606"/>
      <c r="B125" s="508"/>
      <c r="C125" s="508"/>
      <c r="D125" s="508"/>
      <c r="E125" s="508"/>
      <c r="F125" s="508"/>
      <c r="G125" s="508"/>
      <c r="H125" s="508"/>
      <c r="I125" s="508"/>
    </row>
    <row r="126" spans="1:9">
      <c r="A126" s="606"/>
      <c r="B126" s="508"/>
      <c r="C126" s="508"/>
      <c r="D126" s="508"/>
      <c r="E126" s="508"/>
      <c r="F126" s="508"/>
      <c r="G126" s="508"/>
      <c r="H126" s="508"/>
      <c r="I126" s="508"/>
    </row>
    <row r="127" spans="1:9">
      <c r="A127" s="606"/>
      <c r="B127" s="508"/>
      <c r="C127" s="508"/>
      <c r="D127" s="508"/>
      <c r="E127" s="508"/>
      <c r="F127" s="508"/>
      <c r="G127" s="508"/>
      <c r="H127" s="508"/>
      <c r="I127" s="508"/>
    </row>
    <row r="128" spans="1:9">
      <c r="A128" s="606"/>
      <c r="B128" s="508"/>
      <c r="C128" s="508"/>
      <c r="D128" s="508"/>
      <c r="E128" s="508"/>
      <c r="F128" s="508"/>
      <c r="G128" s="508"/>
      <c r="H128" s="508"/>
      <c r="I128" s="508"/>
    </row>
    <row r="129" spans="1:9">
      <c r="A129" s="606"/>
      <c r="B129" s="508"/>
      <c r="C129" s="508"/>
      <c r="D129" s="508"/>
      <c r="E129" s="508"/>
      <c r="F129" s="508"/>
      <c r="G129" s="508"/>
      <c r="H129" s="508"/>
      <c r="I129" s="508"/>
    </row>
    <row r="130" spans="1:9">
      <c r="A130" s="606"/>
      <c r="B130" s="508"/>
      <c r="C130" s="508"/>
      <c r="D130" s="508"/>
      <c r="E130" s="508"/>
      <c r="F130" s="508"/>
      <c r="G130" s="508"/>
      <c r="H130" s="508"/>
      <c r="I130" s="508"/>
    </row>
    <row r="131" spans="1:9">
      <c r="A131" s="606"/>
      <c r="B131" s="508"/>
      <c r="C131" s="508"/>
      <c r="D131" s="508"/>
      <c r="E131" s="508"/>
      <c r="F131" s="508"/>
      <c r="G131" s="508"/>
      <c r="H131" s="508"/>
      <c r="I131" s="508"/>
    </row>
    <row r="132" spans="1:9">
      <c r="A132" s="606"/>
      <c r="B132" s="508"/>
      <c r="C132" s="508"/>
      <c r="D132" s="508"/>
      <c r="E132" s="508"/>
      <c r="F132" s="508"/>
      <c r="G132" s="508"/>
      <c r="H132" s="508"/>
      <c r="I132" s="508"/>
    </row>
    <row r="133" spans="1:9">
      <c r="A133" s="606"/>
      <c r="B133" s="508"/>
      <c r="C133" s="508"/>
      <c r="D133" s="508"/>
      <c r="E133" s="508"/>
      <c r="F133" s="508"/>
      <c r="G133" s="508"/>
      <c r="H133" s="508"/>
      <c r="I133" s="508"/>
    </row>
    <row r="134" spans="1:9">
      <c r="A134" s="606"/>
      <c r="B134" s="508"/>
      <c r="C134" s="508"/>
      <c r="D134" s="508"/>
      <c r="E134" s="508"/>
      <c r="F134" s="508"/>
      <c r="G134" s="508"/>
      <c r="H134" s="508"/>
      <c r="I134" s="508"/>
    </row>
    <row r="135" spans="1:9">
      <c r="A135" s="606"/>
      <c r="B135" s="508"/>
      <c r="C135" s="508"/>
      <c r="D135" s="508"/>
      <c r="E135" s="508"/>
      <c r="F135" s="508"/>
      <c r="G135" s="508"/>
      <c r="H135" s="508"/>
      <c r="I135" s="508"/>
    </row>
    <row r="136" spans="1:9">
      <c r="A136" s="606"/>
      <c r="B136" s="508"/>
      <c r="C136" s="508"/>
      <c r="D136" s="508"/>
      <c r="E136" s="508"/>
      <c r="F136" s="508"/>
      <c r="G136" s="508"/>
      <c r="H136" s="508"/>
      <c r="I136" s="508"/>
    </row>
    <row r="137" spans="1:9">
      <c r="A137" s="606"/>
      <c r="B137" s="508"/>
      <c r="C137" s="508"/>
      <c r="D137" s="508"/>
      <c r="E137" s="508"/>
      <c r="F137" s="508"/>
      <c r="G137" s="508"/>
      <c r="H137" s="508"/>
      <c r="I137" s="508"/>
    </row>
    <row r="138" spans="1:9">
      <c r="A138" s="606"/>
      <c r="B138" s="508"/>
      <c r="C138" s="508"/>
      <c r="D138" s="508"/>
      <c r="E138" s="508"/>
      <c r="F138" s="508"/>
      <c r="G138" s="508"/>
      <c r="H138" s="508"/>
      <c r="I138" s="508"/>
    </row>
    <row r="139" spans="1:9">
      <c r="A139" s="606"/>
      <c r="B139" s="508"/>
      <c r="C139" s="508"/>
      <c r="D139" s="508"/>
      <c r="E139" s="508"/>
      <c r="F139" s="508"/>
      <c r="G139" s="508"/>
      <c r="H139" s="508"/>
      <c r="I139" s="508"/>
    </row>
    <row r="140" spans="1:9">
      <c r="A140" s="606"/>
      <c r="B140" s="508"/>
      <c r="C140" s="508"/>
      <c r="D140" s="508"/>
      <c r="E140" s="508"/>
      <c r="F140" s="508"/>
      <c r="G140" s="508"/>
      <c r="H140" s="508"/>
      <c r="I140" s="508"/>
    </row>
    <row r="141" spans="1:9">
      <c r="A141" s="606"/>
      <c r="B141" s="508"/>
      <c r="C141" s="508"/>
      <c r="D141" s="508"/>
      <c r="E141" s="508"/>
      <c r="F141" s="508"/>
      <c r="G141" s="508"/>
      <c r="H141" s="508"/>
      <c r="I141" s="508"/>
    </row>
    <row r="142" spans="1:9">
      <c r="A142" s="606"/>
      <c r="B142" s="508"/>
      <c r="C142" s="508"/>
      <c r="D142" s="508"/>
      <c r="E142" s="508"/>
      <c r="F142" s="508"/>
      <c r="G142" s="508"/>
      <c r="H142" s="508"/>
      <c r="I142" s="508"/>
    </row>
    <row r="143" spans="1:9">
      <c r="A143" s="606"/>
      <c r="B143" s="508"/>
      <c r="C143" s="508"/>
      <c r="D143" s="508"/>
      <c r="E143" s="508"/>
      <c r="F143" s="508"/>
      <c r="G143" s="508"/>
      <c r="H143" s="508"/>
      <c r="I143" s="508"/>
    </row>
    <row r="144" spans="1:9">
      <c r="A144" s="606"/>
      <c r="B144" s="508"/>
      <c r="C144" s="508"/>
      <c r="D144" s="508"/>
      <c r="E144" s="508"/>
      <c r="F144" s="508"/>
      <c r="G144" s="508"/>
      <c r="H144" s="508"/>
      <c r="I144" s="508"/>
    </row>
    <row r="145" spans="1:9">
      <c r="A145" s="606"/>
      <c r="B145" s="508"/>
      <c r="C145" s="508"/>
      <c r="D145" s="508"/>
      <c r="E145" s="508"/>
      <c r="F145" s="508"/>
      <c r="G145" s="508"/>
      <c r="H145" s="508"/>
      <c r="I145" s="508"/>
    </row>
    <row r="146" spans="1:9">
      <c r="A146" s="606"/>
      <c r="B146" s="508"/>
      <c r="C146" s="508"/>
      <c r="D146" s="508"/>
      <c r="E146" s="508"/>
      <c r="F146" s="508"/>
      <c r="G146" s="508"/>
      <c r="H146" s="508"/>
      <c r="I146" s="508"/>
    </row>
    <row r="147" spans="1:9">
      <c r="A147" s="606"/>
      <c r="B147" s="508"/>
      <c r="C147" s="508"/>
      <c r="D147" s="508"/>
      <c r="E147" s="508"/>
      <c r="F147" s="508"/>
      <c r="G147" s="508"/>
      <c r="H147" s="508"/>
      <c r="I147" s="508"/>
    </row>
    <row r="148" spans="1:9">
      <c r="A148" s="606"/>
      <c r="B148" s="508"/>
      <c r="C148" s="508"/>
      <c r="D148" s="508"/>
      <c r="E148" s="508"/>
      <c r="F148" s="508"/>
      <c r="G148" s="508"/>
      <c r="H148" s="508"/>
      <c r="I148" s="508"/>
    </row>
    <row r="149" spans="1:9">
      <c r="A149" s="606"/>
      <c r="B149" s="508"/>
      <c r="C149" s="508"/>
      <c r="D149" s="508"/>
      <c r="E149" s="508"/>
      <c r="F149" s="508"/>
      <c r="G149" s="508"/>
      <c r="H149" s="508"/>
      <c r="I149" s="508"/>
    </row>
    <row r="150" spans="1:9">
      <c r="A150" s="606"/>
      <c r="B150" s="508"/>
      <c r="C150" s="508"/>
      <c r="D150" s="508"/>
      <c r="E150" s="508"/>
      <c r="F150" s="508"/>
      <c r="G150" s="508"/>
      <c r="H150" s="508"/>
      <c r="I150" s="508"/>
    </row>
    <row r="151" spans="1:9">
      <c r="A151" s="606"/>
      <c r="B151" s="508"/>
      <c r="C151" s="508"/>
      <c r="D151" s="508"/>
      <c r="E151" s="508"/>
      <c r="F151" s="508"/>
      <c r="G151" s="508"/>
      <c r="H151" s="508"/>
      <c r="I151" s="508"/>
    </row>
    <row r="152" spans="1:9">
      <c r="A152" s="606"/>
      <c r="B152" s="508"/>
      <c r="C152" s="508"/>
      <c r="D152" s="508"/>
      <c r="E152" s="508"/>
      <c r="F152" s="508"/>
      <c r="G152" s="508"/>
      <c r="H152" s="508"/>
      <c r="I152" s="508"/>
    </row>
    <row r="153" spans="1:9">
      <c r="A153" s="606"/>
      <c r="B153" s="508"/>
      <c r="C153" s="508"/>
      <c r="D153" s="508"/>
      <c r="E153" s="508"/>
      <c r="F153" s="508"/>
      <c r="G153" s="508"/>
      <c r="H153" s="508"/>
      <c r="I153" s="508"/>
    </row>
    <row r="154" spans="1:9">
      <c r="A154" s="606"/>
      <c r="B154" s="508"/>
      <c r="C154" s="508"/>
      <c r="D154" s="508"/>
      <c r="E154" s="508"/>
      <c r="F154" s="508"/>
      <c r="G154" s="508"/>
      <c r="H154" s="508"/>
      <c r="I154" s="508"/>
    </row>
    <row r="155" spans="1:9">
      <c r="A155" s="606"/>
      <c r="B155" s="508"/>
      <c r="C155" s="508"/>
      <c r="D155" s="508"/>
      <c r="E155" s="508"/>
      <c r="F155" s="508"/>
      <c r="G155" s="508"/>
      <c r="H155" s="508"/>
      <c r="I155" s="508"/>
    </row>
    <row r="156" spans="1:9">
      <c r="A156" s="606"/>
      <c r="B156" s="508"/>
      <c r="C156" s="508"/>
      <c r="D156" s="508"/>
      <c r="E156" s="508"/>
      <c r="F156" s="508"/>
      <c r="G156" s="508"/>
      <c r="H156" s="508"/>
      <c r="I156" s="508"/>
    </row>
    <row r="157" spans="1:9">
      <c r="A157" s="606"/>
      <c r="B157" s="508"/>
      <c r="C157" s="508"/>
      <c r="D157" s="508"/>
      <c r="E157" s="508"/>
      <c r="F157" s="508"/>
      <c r="G157" s="508"/>
      <c r="H157" s="508"/>
      <c r="I157" s="508"/>
    </row>
    <row r="158" spans="1:9">
      <c r="A158" s="606"/>
      <c r="B158" s="508"/>
      <c r="C158" s="508"/>
      <c r="D158" s="508"/>
      <c r="E158" s="508"/>
      <c r="F158" s="508"/>
      <c r="G158" s="508"/>
      <c r="H158" s="508"/>
      <c r="I158" s="508"/>
    </row>
    <row r="159" spans="1:9">
      <c r="A159" s="606"/>
      <c r="B159" s="508"/>
      <c r="C159" s="508"/>
      <c r="D159" s="508"/>
      <c r="E159" s="508"/>
      <c r="F159" s="508"/>
      <c r="G159" s="508"/>
      <c r="H159" s="508"/>
      <c r="I159" s="508"/>
    </row>
    <row r="160" spans="1:9">
      <c r="A160" s="606"/>
      <c r="B160" s="508"/>
      <c r="C160" s="508"/>
      <c r="D160" s="508"/>
      <c r="E160" s="508"/>
      <c r="F160" s="508"/>
      <c r="G160" s="508"/>
      <c r="H160" s="508"/>
      <c r="I160" s="508"/>
    </row>
    <row r="161" spans="1:9">
      <c r="A161" s="606"/>
      <c r="B161" s="508"/>
      <c r="C161" s="508"/>
      <c r="D161" s="508"/>
      <c r="E161" s="508"/>
      <c r="F161" s="508"/>
      <c r="G161" s="508"/>
      <c r="H161" s="508"/>
      <c r="I161" s="508"/>
    </row>
    <row r="162" spans="1:9">
      <c r="A162" s="606"/>
      <c r="B162" s="508"/>
      <c r="C162" s="508"/>
      <c r="D162" s="508"/>
      <c r="E162" s="508"/>
      <c r="F162" s="508"/>
      <c r="G162" s="508"/>
      <c r="H162" s="508"/>
      <c r="I162" s="508"/>
    </row>
    <row r="163" spans="1:9">
      <c r="A163" s="606"/>
      <c r="B163" s="508"/>
      <c r="C163" s="508"/>
      <c r="D163" s="508"/>
      <c r="E163" s="508"/>
      <c r="F163" s="508"/>
      <c r="G163" s="508"/>
      <c r="H163" s="508"/>
      <c r="I163" s="508"/>
    </row>
    <row r="164" spans="1:9">
      <c r="A164" s="606"/>
      <c r="B164" s="508"/>
      <c r="C164" s="508"/>
      <c r="D164" s="508"/>
      <c r="E164" s="508"/>
      <c r="F164" s="508"/>
      <c r="G164" s="508"/>
      <c r="H164" s="508"/>
      <c r="I164" s="508"/>
    </row>
    <row r="165" spans="1:9">
      <c r="A165" s="606"/>
      <c r="B165" s="508"/>
      <c r="C165" s="508"/>
      <c r="D165" s="508"/>
      <c r="E165" s="508"/>
      <c r="F165" s="508"/>
      <c r="G165" s="508"/>
      <c r="H165" s="508"/>
      <c r="I165" s="508"/>
    </row>
    <row r="166" spans="1:9">
      <c r="A166" s="606"/>
      <c r="B166" s="508"/>
      <c r="C166" s="508"/>
      <c r="D166" s="508"/>
      <c r="E166" s="508"/>
      <c r="F166" s="508"/>
      <c r="G166" s="508"/>
      <c r="H166" s="508"/>
      <c r="I166" s="508"/>
    </row>
    <row r="167" spans="1:9">
      <c r="A167" s="606"/>
      <c r="B167" s="508"/>
      <c r="C167" s="508"/>
      <c r="D167" s="508"/>
      <c r="E167" s="508"/>
      <c r="F167" s="508"/>
      <c r="G167" s="508"/>
      <c r="H167" s="508"/>
      <c r="I167" s="508"/>
    </row>
    <row r="168" spans="1:9">
      <c r="A168" s="606"/>
      <c r="B168" s="508"/>
      <c r="C168" s="508"/>
      <c r="D168" s="508"/>
      <c r="E168" s="508"/>
      <c r="F168" s="508"/>
      <c r="G168" s="508"/>
      <c r="H168" s="508"/>
      <c r="I168" s="508"/>
    </row>
    <row r="169" spans="1:9">
      <c r="A169" s="606"/>
      <c r="B169" s="508"/>
      <c r="C169" s="508"/>
      <c r="D169" s="508"/>
      <c r="E169" s="508"/>
      <c r="F169" s="508"/>
      <c r="G169" s="508"/>
      <c r="H169" s="508"/>
      <c r="I169" s="508"/>
    </row>
    <row r="170" spans="1:9">
      <c r="A170" s="606"/>
      <c r="B170" s="508"/>
      <c r="C170" s="508"/>
      <c r="D170" s="508"/>
      <c r="E170" s="508"/>
      <c r="F170" s="508"/>
      <c r="G170" s="508"/>
      <c r="H170" s="508"/>
      <c r="I170" s="508"/>
    </row>
    <row r="171" spans="1:9">
      <c r="A171" s="606"/>
      <c r="B171" s="508"/>
      <c r="C171" s="508"/>
      <c r="D171" s="508"/>
      <c r="E171" s="508"/>
      <c r="F171" s="508"/>
      <c r="G171" s="508"/>
      <c r="H171" s="508"/>
      <c r="I171" s="508"/>
    </row>
    <row r="172" spans="1:9">
      <c r="A172" s="606"/>
      <c r="B172" s="508"/>
      <c r="C172" s="508"/>
      <c r="D172" s="508"/>
      <c r="E172" s="508"/>
      <c r="F172" s="508"/>
      <c r="G172" s="508"/>
      <c r="H172" s="508"/>
      <c r="I172" s="508"/>
    </row>
    <row r="173" spans="1:9">
      <c r="A173" s="606"/>
      <c r="B173" s="508"/>
      <c r="C173" s="508"/>
      <c r="D173" s="508"/>
      <c r="E173" s="508"/>
      <c r="F173" s="508"/>
      <c r="G173" s="508"/>
      <c r="H173" s="508"/>
      <c r="I173" s="508"/>
    </row>
    <row r="174" spans="1:9">
      <c r="A174" s="606"/>
      <c r="B174" s="508"/>
      <c r="C174" s="508"/>
      <c r="D174" s="508"/>
      <c r="E174" s="508"/>
      <c r="F174" s="508"/>
      <c r="G174" s="508"/>
      <c r="H174" s="508"/>
      <c r="I174" s="508"/>
    </row>
    <row r="175" spans="1:9">
      <c r="A175" s="606"/>
      <c r="B175" s="508"/>
      <c r="C175" s="508"/>
      <c r="D175" s="508"/>
      <c r="E175" s="508"/>
      <c r="F175" s="508"/>
      <c r="G175" s="508"/>
      <c r="H175" s="508"/>
      <c r="I175" s="508"/>
    </row>
    <row r="176" spans="1:9">
      <c r="A176" s="606"/>
      <c r="B176" s="508"/>
      <c r="C176" s="508"/>
      <c r="D176" s="508"/>
      <c r="E176" s="508"/>
      <c r="F176" s="508"/>
      <c r="G176" s="508"/>
      <c r="H176" s="508"/>
      <c r="I176" s="508"/>
    </row>
    <row r="177" spans="1:9">
      <c r="A177" s="606"/>
      <c r="B177" s="508"/>
      <c r="C177" s="508"/>
      <c r="D177" s="508"/>
      <c r="E177" s="508"/>
      <c r="F177" s="508"/>
      <c r="G177" s="508"/>
      <c r="H177" s="508"/>
      <c r="I177" s="508"/>
    </row>
  </sheetData>
  <sortState xmlns:xlrd2="http://schemas.microsoft.com/office/spreadsheetml/2017/richdata2" ref="AW9:AW23">
    <sortCondition ref="AW23"/>
  </sortState>
  <mergeCells count="5">
    <mergeCell ref="Q6:Q9"/>
    <mergeCell ref="R6:R9"/>
    <mergeCell ref="S6:S9"/>
    <mergeCell ref="T6:T9"/>
    <mergeCell ref="U6:U9"/>
  </mergeCells>
  <conditionalFormatting sqref="M10:M100">
    <cfRule type="expression" dxfId="84" priority="25">
      <formula>$M10&lt;&gt;""</formula>
    </cfRule>
    <cfRule type="expression" dxfId="83" priority="39">
      <formula>AND($I10="Dark Side",$M$5&gt;0,$J10&gt;0)</formula>
    </cfRule>
  </conditionalFormatting>
  <conditionalFormatting sqref="N10:N100">
    <cfRule type="expression" dxfId="82" priority="36">
      <formula>$N10&lt;&gt;""</formula>
    </cfRule>
    <cfRule type="expression" dxfId="81" priority="38">
      <formula>AND($F10="Telekinetic",$N$5&gt;0)</formula>
    </cfRule>
  </conditionalFormatting>
  <conditionalFormatting sqref="C77:J100 C10:J74">
    <cfRule type="expression" dxfId="80" priority="34">
      <formula>$J10&lt;&gt;""</formula>
    </cfRule>
    <cfRule type="expression" dxfId="79" priority="35">
      <formula>$J$5&lt;=0</formula>
    </cfRule>
  </conditionalFormatting>
  <conditionalFormatting sqref="AH10:AL67">
    <cfRule type="expression" dxfId="78" priority="32">
      <formula>$AK10&lt;&gt;""</formula>
    </cfRule>
    <cfRule type="expression" dxfId="77" priority="33">
      <formula>$AK$5&lt;=0</formula>
    </cfRule>
  </conditionalFormatting>
  <conditionalFormatting sqref="AW10:AZ24">
    <cfRule type="expression" dxfId="76" priority="30">
      <formula>$AY10&lt;&gt;""</formula>
    </cfRule>
    <cfRule type="expression" dxfId="75" priority="31">
      <formula>$AY$5&lt;=0</formula>
    </cfRule>
  </conditionalFormatting>
  <conditionalFormatting sqref="K10:K100">
    <cfRule type="expression" dxfId="74" priority="28">
      <formula>$K10&gt;0</formula>
    </cfRule>
    <cfRule type="expression" dxfId="73" priority="29">
      <formula>AND($K$5&gt;0,$J10&lt;&gt;"")</formula>
    </cfRule>
  </conditionalFormatting>
  <conditionalFormatting sqref="O10:O100">
    <cfRule type="expression" dxfId="72" priority="26">
      <formula>$O10&gt;0</formula>
    </cfRule>
    <cfRule type="expression" dxfId="71" priority="27">
      <formula>AND(ForceExertion&gt;0,$J10&gt;0,$O$5&gt;0)</formula>
    </cfRule>
  </conditionalFormatting>
  <conditionalFormatting sqref="L10:L100">
    <cfRule type="expression" dxfId="70" priority="23">
      <formula>$L10&lt;&gt;""</formula>
    </cfRule>
    <cfRule type="expression" dxfId="69" priority="24">
      <formula>AND($J10&lt;&gt;"",$L$5&gt;0)</formula>
    </cfRule>
  </conditionalFormatting>
  <conditionalFormatting sqref="AL10:AL67">
    <cfRule type="expression" dxfId="68" priority="21">
      <formula>$K10&gt;0</formula>
    </cfRule>
    <cfRule type="expression" dxfId="67" priority="22">
      <formula>AND($K$5&gt;0,$J10&lt;&gt;"")</formula>
    </cfRule>
  </conditionalFormatting>
  <dataValidations count="2">
    <dataValidation type="list" allowBlank="1" showInputMessage="1" showErrorMessage="1" sqref="AK21:AK67 AK10:AK18 AY10:AY24" xr:uid="{00000000-0002-0000-0D00-000000000000}">
      <formula1>"Yes"</formula1>
    </dataValidation>
    <dataValidation type="whole" allowBlank="1" showInputMessage="1" showErrorMessage="1" sqref="AK19:AK20" xr:uid="{00000000-0002-0000-0D00-000001000000}">
      <formula1>0</formula1>
      <formula2>10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30" r:id="rId3" name="Button 2">
              <controlPr defaultSize="0" print="0" autoFill="0" autoPict="0" macro="[0]!ForceSheetClear">
                <anchor moveWithCells="1" sizeWithCells="1">
                  <from>
                    <xdr:col>13</xdr:col>
                    <xdr:colOff>69850</xdr:colOff>
                    <xdr:row>1</xdr:row>
                    <xdr:rowOff>127000</xdr:rowOff>
                  </from>
                  <to>
                    <xdr:col>15</xdr:col>
                    <xdr:colOff>165100</xdr:colOff>
                    <xdr:row>3</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dimension ref="A1:Q95"/>
  <sheetViews>
    <sheetView zoomScaleNormal="100" workbookViewId="0"/>
  </sheetViews>
  <sheetFormatPr defaultRowHeight="14.5"/>
  <cols>
    <col min="1" max="1" width="20.1796875" customWidth="1"/>
    <col min="2" max="2" width="13" style="1379" customWidth="1"/>
    <col min="4" max="6" width="5.81640625" customWidth="1"/>
    <col min="7" max="7" width="46.26953125" style="1380" customWidth="1"/>
    <col min="8" max="11" width="1.81640625" customWidth="1"/>
    <col min="13" max="13" width="9.1796875" style="456"/>
    <col min="14" max="14" width="75.26953125" style="1380" customWidth="1"/>
    <col min="15" max="15" width="33" customWidth="1"/>
    <col min="16" max="16" width="17.453125" customWidth="1"/>
  </cols>
  <sheetData>
    <row r="1" spans="1:17" s="613" customFormat="1">
      <c r="A1" s="613" t="s">
        <v>7141</v>
      </c>
      <c r="B1" s="613" t="s">
        <v>7190</v>
      </c>
      <c r="C1" s="613" t="s">
        <v>7142</v>
      </c>
      <c r="D1" s="613" t="s">
        <v>7143</v>
      </c>
      <c r="E1" s="613" t="s">
        <v>7144</v>
      </c>
      <c r="F1" s="613" t="s">
        <v>7145</v>
      </c>
      <c r="G1" s="1404" t="s">
        <v>7146</v>
      </c>
      <c r="H1" s="613" t="s">
        <v>7147</v>
      </c>
      <c r="I1" s="613" t="s">
        <v>1618</v>
      </c>
      <c r="J1" s="613" t="s">
        <v>7148</v>
      </c>
      <c r="K1" s="613" t="s">
        <v>4221</v>
      </c>
      <c r="L1" s="613" t="s">
        <v>8</v>
      </c>
      <c r="M1" s="1403" t="s">
        <v>7219</v>
      </c>
      <c r="N1" s="1404" t="s">
        <v>2114</v>
      </c>
      <c r="O1" s="613" t="str">
        <f>O2</f>
        <v/>
      </c>
      <c r="Q1" s="613" t="str">
        <f>Q2</f>
        <v/>
      </c>
    </row>
    <row r="2" spans="1:17" ht="101.5">
      <c r="A2" s="1379" t="s">
        <v>3815</v>
      </c>
      <c r="B2" s="1379" t="s">
        <v>7191</v>
      </c>
      <c r="C2" s="1379" t="s">
        <v>7092</v>
      </c>
      <c r="D2" s="1397" t="s">
        <v>7221</v>
      </c>
      <c r="E2" s="1379"/>
      <c r="F2" s="1379"/>
      <c r="G2" s="1380" t="str">
        <f>"DC 15: make a single attack rolling twice and keep the better result, -5 damage 
DC 20: as DC 15 but -2 damage 
DC 25: as DC 15 but -1 damage 
DC 30: as DC 15 but no penalty to damage"&amp;IF(OR(Talents!M1155&gt;0,'Talents 2'!E66&gt;0),"
Lightsaber form (Juyo): if you miss with both this power remains in your suite","")&amp;"
Spend a Force Point for three rolls, keeping the highest"</f>
        <v>DC 15: make a single attack rolling twice and keep the better result, -5 damage 
DC 20: as DC 15 but -2 damage 
DC 25: as DC 15 but -1 damage 
DC 30: as DC 15 but no penalty to damage
Spend a Force Point for three rolls, keeping the highest</v>
      </c>
      <c r="H2" s="1379"/>
      <c r="I2" s="1379" t="s">
        <v>3816</v>
      </c>
      <c r="J2" s="1379"/>
      <c r="K2" s="1379"/>
      <c r="L2" s="1379" t="s">
        <v>5698</v>
      </c>
      <c r="N2" s="1380" t="str">
        <f>A2&amp;" ("&amp;C2&amp;"; "&amp;D2&amp;") "&amp;IF(B2&lt;&gt;"","• "&amp;PROPER(B2)&amp;"","")&amp;"
"&amp;G2</f>
        <v>Assured Strike (standard; one creature) • Lightsaber Form
DC 15: make a single attack rolling twice and keep the better result, -5 damage 
DC 20: as DC 15 but -2 damage 
DC 25: as DC 15 but -1 damage 
DC 30: as DC 15 but no penalty to damage
Spend a Force Point for three rolls, keeping the highest</v>
      </c>
      <c r="O2" s="1423" t="str">
        <f>IF(NOT(ISERROR(FIND("lightsaber form",B2,1))),IF(INDEX(LightsaberFormsTable,MATCH(A2,LightsaberFormsList,0),8)&gt;0,IF(ForcePowerNumbers,INDEX(LightsaberFormsTable,MATCH(A2,LightsaberFormsList,0),8)&amp;"× ","")&amp;N2&amp;"
"&amp;O3,O3),IF(INDEX(ForcePowersTable,MATCH(A2,ForcePowersList,0),8)&gt;0,IF(ForcePowerNumbers,INDEX(ForcePowersTable,MATCH(A2,ForcePowersList,0),8)&amp;"× ","")&amp;N2&amp;"
"&amp;O3,O3))</f>
        <v/>
      </c>
      <c r="P2" s="1393" t="str">
        <f>IF(HTML,TRB&amp;WFS&amp;"u"&amp;WFF&amp;BS,"//")&amp;" "&amp;A2&amp;" ("&amp;C2&amp;"; "&amp;D2&amp;") "&amp;IF(B2&lt;&gt;"",IF(HTML,WFS&amp;"v"&amp;WFF&amp;BS,"•")&amp;" "&amp;PROPER(B2)&amp;"","")&amp;TRF&amp;TRW&amp;G2&amp;TRF</f>
        <v>// Assured Strike (standard; one creature) • Lightsaber Form&lt;BR&gt;DC 15: make a single attack rolling twice and keep the better result, -5 damage 
DC 20: as DC 15 but -2 damage 
DC 25: as DC 15 but -1 damage 
DC 30: as DC 15 but no penalty to damage
Spend a Force Point for three rolls, keeping the highest&lt;BR&gt;</v>
      </c>
      <c r="Q2" t="str">
        <f t="shared" ref="Q2:Q33" si="0">IF(NOT(ISERROR(FIND("lightsaber form",B2,1))),IF(INDEX(LightsaberFormsTable,MATCH(A2,LightsaberFormsList,0),8)&gt;0,IF(ForcePowerNumbers,INDEX(LightsaberFormsTable,MATCH(A2,LightsaberFormsList,0),8)&amp;"× ","")&amp;P2&amp;Enter&amp;Q3,Q3),IF(INDEX(ForcePowersTable,MATCH(A2,ForcePowersList,0),8)&gt;0,IF(ForcePowerNumbers,INDEX(ForcePowersTable,MATCH(A2,ForcePowersList,0),8)&amp;"× ","")&amp;P2&amp;Enter&amp;Q3,Q3))</f>
        <v/>
      </c>
    </row>
    <row r="3" spans="1:17" ht="72.5">
      <c r="A3" s="1379" t="s">
        <v>3818</v>
      </c>
      <c r="B3" s="1379" t="s">
        <v>7192</v>
      </c>
      <c r="C3" s="1379" t="s">
        <v>7092</v>
      </c>
      <c r="D3" s="1397" t="s">
        <v>7222</v>
      </c>
      <c r="E3" s="1379">
        <v>12</v>
      </c>
      <c r="F3" s="1379" t="s">
        <v>7150</v>
      </c>
      <c r="G3" s="1380" t="str">
        <f ca="1">"+"&amp;UsetheForce&amp;" vs. Reflex; deal 3d8 bludgeoning, piercing or slashing damage and targets take -2 penalty attack until the start of your next turn, area attack
Spend Force Point for half damage on a miss"&amp;M3</f>
        <v>+0 vs. Reflex; deal 3d8 bludgeoning, piercing or slashing damage and targets take -2 penalty attack until the start of your next turn, area attack
Spend Force Point for half damage on a miss</v>
      </c>
      <c r="H3" s="1379"/>
      <c r="I3" s="1379"/>
      <c r="J3" s="1379"/>
      <c r="K3" s="1379" t="s">
        <v>3816</v>
      </c>
      <c r="L3" s="1379" t="s">
        <v>5903</v>
      </c>
      <c r="M3" s="456" t="str">
        <f>IF('The Force'!AK21&lt;&gt;"","
Spend a Force Point to target a 3×3 area instead of a 2×2 area","")</f>
        <v/>
      </c>
      <c r="N3" s="1380" t="str">
        <f ca="1">A3&amp;" ("&amp;C3&amp;"; "&amp;D3&amp;") "&amp;IF(B3&lt;&gt;"","• "&amp;PROPER(B3)&amp;"","")&amp;"
"&amp;G3</f>
        <v>Ballistakinesis (standard; all targets within a 2×2 area, 12 squares and line of sight) • Telekinetic
+0 vs. Reflex; deal 3d8 bludgeoning, piercing or slashing damage and targets take -2 penalty attack until the start of your next turn, area attack
Spend Force Point for half damage on a miss</v>
      </c>
      <c r="O3" s="1423" t="str">
        <f t="shared" ref="O3:O33" si="1">IF(NOT(ISERROR(FIND("lightsaber form",B3,1))),IF(INDEX(LightsaberFormsTable,MATCH(A3,LightsaberFormsList,0),8)&gt;0,IF(ForcePowerNumbers,INDEX(LightsaberFormsTable,MATCH(A3,LightsaberFormsList,0),8)&amp;"× ","")&amp;N3&amp;"
"&amp;O4,O4),IF(INDEX(ForcePowersTable,MATCH(A3,ForcePowersList,0),8)&gt;0,IF(ForcePowerNumbers,INDEX(ForcePowersTable,MATCH(A3,ForcePowersList,0),8)&amp;"× ","")&amp;N3&amp;"
"&amp;O4,O4))</f>
        <v/>
      </c>
      <c r="P3" s="1393" t="str">
        <f t="shared" ref="P3:P34" ca="1" si="2">IF(HTML,TRB&amp;WFS&amp;"u"&amp;WFF&amp;BS,"//")&amp;" "&amp;A3&amp;" ("&amp;C3&amp;"; "&amp;D3&amp;") "&amp;IF(B3&lt;&gt;"",IF(HTML,WFS&amp;"v"&amp;WFF&amp;BS,"•")&amp;PROPER(B3)&amp;"","")&amp;TRF&amp;TRW&amp;G3&amp;TRF</f>
        <v>// Ballistakinesis (standard; all targets within a 2×2 area, 12 squares and line of sight) •Telekinetic&lt;BR&gt;+0 vs. Reflex; deal 3d8 bludgeoning, piercing or slashing damage and targets take -2 penalty attack until the start of your next turn, area attack
Spend Force Point for half damage on a miss&lt;BR&gt;</v>
      </c>
      <c r="Q3" s="1536" t="str">
        <f t="shared" si="0"/>
        <v/>
      </c>
    </row>
    <row r="4" spans="1:17" ht="58">
      <c r="A4" s="1379" t="s">
        <v>3821</v>
      </c>
      <c r="B4" s="1379" t="s">
        <v>7191</v>
      </c>
      <c r="C4" s="1379" t="s">
        <v>7188</v>
      </c>
      <c r="D4" s="1379" t="s">
        <v>7151</v>
      </c>
      <c r="E4" s="1379"/>
      <c r="F4" s="1379"/>
      <c r="G4" s="1380" t="str">
        <f>"Use the Force replaces your Reflex against non-area ranged attacks"&amp;IF(OR(Talents!M1160&gt;0,'Talents 2'!E71&gt;0),"
Lightsaber form (Shien): can redirect one shot that misses you","")&amp;"
Spend a Force Point for autofire attacks, half or no damage"</f>
        <v>Use the Force replaces your Reflex against non-area ranged attacks
Spend a Force Point for autofire attacks, half or no damage</v>
      </c>
      <c r="H4" s="1379"/>
      <c r="I4" s="1379" t="s">
        <v>3816</v>
      </c>
      <c r="J4" s="1379"/>
      <c r="K4" s="1379"/>
      <c r="L4" s="1379" t="s">
        <v>5698</v>
      </c>
      <c r="N4" s="1380" t="str">
        <f>A4&amp;" ("&amp;C4&amp;"; "&amp;D4&amp;") "&amp;IF(B4&lt;&gt;"","• "&amp;PROPER(B4)&amp;"","")&amp;"
"&amp;G4</f>
        <v>Barrier of Blades (swift; you) • Lightsaber Form
Use the Force replaces your Reflex against non-area ranged attacks
Spend a Force Point for autofire attacks, half or no damage</v>
      </c>
      <c r="O4" s="1423" t="str">
        <f t="shared" si="1"/>
        <v/>
      </c>
      <c r="P4" s="1393" t="str">
        <f t="shared" si="2"/>
        <v>// Barrier of Blades (swift; you) •Lightsaber Form&lt;BR&gt;Use the Force replaces your Reflex against non-area ranged attacks
Spend a Force Point for autofire attacks, half or no damage&lt;BR&gt;</v>
      </c>
      <c r="Q4" s="1536" t="str">
        <f t="shared" si="0"/>
        <v/>
      </c>
    </row>
    <row r="5" spans="1:17" ht="87">
      <c r="A5" s="1423" t="s">
        <v>3823</v>
      </c>
      <c r="B5" s="570" t="s">
        <v>195</v>
      </c>
      <c r="C5" s="1379" t="s">
        <v>7188</v>
      </c>
      <c r="D5" s="1379" t="s">
        <v>7151</v>
      </c>
      <c r="E5" s="1379"/>
      <c r="F5" s="1379"/>
      <c r="G5" s="1380" t="str">
        <f ca="1">"DC 15: +1 "&amp;IF('The Force'!AK22&lt;&gt;"","full","next")&amp;" attack made before end of next turn, gain +1d6 damage 
DC 20: as DC 15 but gain +2d6 damage 
DC 25: as DC 15 but gain +3d6 damage 
Spend a Force Point to deal an additional +2d6 damage"&amp;M5</f>
        <v>DC 15: +1 next attack made before end of next turn, gain +1d6 damage 
DC 20: as DC 15 but gain +2d6 damage 
DC 25: as DC 15 but gain +3d6 damage 
Spend a Force Point to deal an additional +2d6 damage</v>
      </c>
      <c r="H5" s="1379"/>
      <c r="I5" s="1379"/>
      <c r="J5" s="1379"/>
      <c r="K5" s="1379"/>
      <c r="L5" s="1379">
        <v>96</v>
      </c>
      <c r="M5" s="456" t="str">
        <f ca="1">IF(Unleashed&gt;0,"
Spend a Destiny Point to move target an additional -2 steps along the condition track, regardless of whether the damage exceeds the target's damaqe threshold","")</f>
        <v/>
      </c>
      <c r="N5" s="1380" t="str">
        <f t="shared" ref="N5:N68" ca="1" si="3">A5&amp;" ("&amp;C5&amp;"; "&amp;D5&amp;") "&amp;IF(B5&lt;&gt;"","• "&amp;PROPER(B5)&amp;"","")&amp;"
"&amp;G5</f>
        <v>Battle Strike (swift; you) 
DC 15: +1 next attack made before end of next turn, gain +1d6 damage 
DC 20: as DC 15 but gain +2d6 damage 
DC 25: as DC 15 but gain +3d6 damage 
Spend a Force Point to deal an additional +2d6 damage</v>
      </c>
      <c r="O5" s="1423" t="str">
        <f t="shared" si="1"/>
        <v/>
      </c>
      <c r="P5" s="1393" t="str">
        <f t="shared" ca="1" si="2"/>
        <v>// Battle Strike (swift; you) &lt;BR&gt;DC 15: +1 next attack made before end of next turn, gain +1d6 damage 
DC 20: as DC 15 but gain +2d6 damage 
DC 25: as DC 15 but gain +3d6 damage 
Spend a Force Point to deal an additional +2d6 damage&lt;BR&gt;</v>
      </c>
      <c r="Q5" s="1536" t="str">
        <f t="shared" si="0"/>
        <v/>
      </c>
    </row>
    <row r="6" spans="1:17" ht="58">
      <c r="A6" s="1379" t="s">
        <v>4220</v>
      </c>
      <c r="C6" s="1379" t="s">
        <v>7188</v>
      </c>
      <c r="D6" s="1397" t="str">
        <f>"one living creature within "&amp;E6&amp;" squares"</f>
        <v>one living creature within 12 squares</v>
      </c>
      <c r="E6" s="1379">
        <f>IF('The Force'!AK14&lt;&gt;"",18,12)</f>
        <v>12</v>
      </c>
      <c r="F6" s="1379" t="s">
        <v>7150</v>
      </c>
      <c r="G6" s="1380" t="str">
        <f ca="1">"+"&amp;UsetheForce&amp;" vs. Reflex, target is considered flat-footed and all other creatures have concealment against them until the start of your next turn
Spend Force Point to use as a free action"</f>
        <v>+0 vs. Reflex, target is considered flat-footed and all other creatures have concealment against them until the start of your next turn
Spend Force Point to use as a free action</v>
      </c>
      <c r="H6" s="1379"/>
      <c r="I6" s="1379"/>
      <c r="J6" s="1379"/>
      <c r="K6" s="1379"/>
      <c r="L6" s="1379" t="s">
        <v>5693</v>
      </c>
      <c r="N6" s="1380" t="str">
        <f t="shared" ca="1" si="3"/>
        <v>Blind (swift; one living creature within 12 squares) 
+0 vs. Reflex, target is considered flat-footed and all other creatures have concealment against them until the start of your next turn
Spend Force Point to use as a free action</v>
      </c>
      <c r="O6" s="1423" t="str">
        <f t="shared" si="1"/>
        <v/>
      </c>
      <c r="P6" s="1393" t="str">
        <f t="shared" ca="1" si="2"/>
        <v>// Blind (swift; one living creature within 12 squares) &lt;BR&gt;+0 vs. Reflex, target is considered flat-footed and all other creatures have concealment against them until the start of your next turn
Spend Force Point to use as a free action&lt;BR&gt;</v>
      </c>
      <c r="Q6" s="1536" t="str">
        <f t="shared" si="0"/>
        <v/>
      </c>
    </row>
    <row r="7" spans="1:17" ht="72.5">
      <c r="A7" s="1379" t="s">
        <v>3826</v>
      </c>
      <c r="B7" s="1379" t="s">
        <v>7191</v>
      </c>
      <c r="C7" s="1379" t="s">
        <v>7092</v>
      </c>
      <c r="D7" s="1379" t="s">
        <v>7151</v>
      </c>
      <c r="E7" s="1379"/>
      <c r="F7" s="1379"/>
      <c r="G7" s="1380" t="str">
        <f>"DC 20: you and all adjacent allies +1 Reflex
DC 25: you and all adjacent allies +2 Reflex
DC 30: you and all adjacent allies +5 Reflex"&amp;IF(OR(Talents!M1163&gt;0,'Talents 2'!E74&gt;0),"
Lightsaber form (Soresu): add bonus to Deflect and Block","")&amp;"
Spend a Force Point to grant bonus to Fortitude of adjacent allies"</f>
        <v>DC 20: you and all adjacent allies +1 Reflex
DC 25: you and all adjacent allies +2 Reflex
DC 30: you and all adjacent allies +5 Reflex
Spend a Force Point to grant bonus to Fortitude of adjacent allies</v>
      </c>
      <c r="H7" s="1379"/>
      <c r="I7" s="1379" t="s">
        <v>3816</v>
      </c>
      <c r="J7" s="1379"/>
      <c r="K7" s="1379"/>
      <c r="L7" s="1379" t="s">
        <v>5698</v>
      </c>
      <c r="N7" s="1380" t="str">
        <f t="shared" si="3"/>
        <v>Circle of Shelter (standard; you) • Lightsaber Form
DC 20: you and all adjacent allies +1 Reflex
DC 25: you and all adjacent allies +2 Reflex
DC 30: you and all adjacent allies +5 Reflex
Spend a Force Point to grant bonus to Fortitude of adjacent allies</v>
      </c>
      <c r="O7" s="1423" t="str">
        <f t="shared" si="1"/>
        <v/>
      </c>
      <c r="P7" s="1393" t="str">
        <f t="shared" si="2"/>
        <v>// Circle of Shelter (standard; you) •Lightsaber Form&lt;BR&gt;DC 20: you and all adjacent allies +1 Reflex
DC 25: you and all adjacent allies +2 Reflex
DC 30: you and all adjacent allies +5 Reflex
Spend a Force Point to grant bonus to Fortitude of adjacent allies&lt;BR&gt;</v>
      </c>
      <c r="Q7" s="1536" t="str">
        <f t="shared" si="0"/>
        <v/>
      </c>
    </row>
    <row r="8" spans="1:17" ht="87">
      <c r="A8" s="1379" t="s">
        <v>3828</v>
      </c>
      <c r="C8" s="1379" t="s">
        <v>7092</v>
      </c>
      <c r="D8" s="1379" t="s">
        <v>7151</v>
      </c>
      <c r="E8" s="1379"/>
      <c r="F8" s="1379"/>
      <c r="G8" s="1380" t="str">
        <f>"DC 15: gain total concealment against all targets
DC 20: as DC 15 except gain +2 to Stealth
DC 25: as DC 15 except gain +3 Stealth
DC 30: as DC 15 except gain +5 Stealth
Spend a Force Point to increase Stealth by +5"&amp;M8</f>
        <v>DC 15: gain total concealment against all targets
DC 20: as DC 15 except gain +2 to Stealth
DC 25: as DC 15 except gain +3 Stealth
DC 30: as DC 15 except gain +5 Stealth
Spend a Force Point to increase Stealth by +5</v>
      </c>
      <c r="H8" s="1379"/>
      <c r="I8" s="1379"/>
      <c r="J8" s="1379"/>
      <c r="K8" s="1379"/>
      <c r="L8" s="1379" t="s">
        <v>5930</v>
      </c>
      <c r="M8" s="456" t="str">
        <f>IF('The Force'!AK23&lt;&gt;"","
Maintain as Move action","")</f>
        <v/>
      </c>
      <c r="N8" s="1380" t="str">
        <f t="shared" si="3"/>
        <v>Cloak (standard; you) 
DC 15: gain total concealment against all targets
DC 20: as DC 15 except gain +2 to Stealth
DC 25: as DC 15 except gain +3 Stealth
DC 30: as DC 15 except gain +5 Stealth
Spend a Force Point to increase Stealth by +5</v>
      </c>
      <c r="O8" s="1423" t="str">
        <f t="shared" si="1"/>
        <v/>
      </c>
      <c r="P8" s="1393" t="str">
        <f t="shared" si="2"/>
        <v>// Cloak (standard; you) &lt;BR&gt;DC 15: gain total concealment against all targets
DC 20: as DC 15 except gain +2 to Stealth
DC 25: as DC 15 except gain +3 Stealth
DC 30: as DC 15 except gain +5 Stealth
Spend a Force Point to increase Stealth by +5&lt;BR&gt;</v>
      </c>
      <c r="Q8" s="1536" t="str">
        <f t="shared" si="0"/>
        <v/>
      </c>
    </row>
    <row r="9" spans="1:17" ht="58">
      <c r="A9" s="1379" t="s">
        <v>3831</v>
      </c>
      <c r="C9" s="1379" t="s">
        <v>7092</v>
      </c>
      <c r="D9" s="1397" t="s">
        <v>7222</v>
      </c>
      <c r="E9" s="1379">
        <v>12</v>
      </c>
      <c r="F9" s="1379" t="s">
        <v>7150</v>
      </c>
      <c r="G9" s="1380" t="str">
        <f ca="1">"+"&amp;UsetheForce&amp;" vs. Fortitude; deal 4d6 fire damage and target catches on fire, half damage on miss, area attack, Use the Force = attack bonus of fire     
Spend Force Point to move target -1 down track"</f>
        <v>+0 vs. Fortitude; deal 4d6 fire damage and target catches on fire, half damage on miss, area attack, Use the Force = attack bonus of fire     
Spend Force Point to move target -1 down track</v>
      </c>
      <c r="H9" s="1379"/>
      <c r="I9" s="1379"/>
      <c r="J9" s="1379"/>
      <c r="K9" s="1379"/>
      <c r="L9" s="1379" t="s">
        <v>5903</v>
      </c>
      <c r="N9" s="1380" t="str">
        <f t="shared" ca="1" si="3"/>
        <v>Combustion (standard; all targets within a 2×2 area, 12 squares and line of sight) 
+0 vs. Fortitude; deal 4d6 fire damage and target catches on fire, half damage on miss, area attack, Use the Force = attack bonus of fire     
Spend Force Point to move target -1 down track</v>
      </c>
      <c r="O9" s="1423" t="str">
        <f t="shared" si="1"/>
        <v/>
      </c>
      <c r="P9" s="1393" t="str">
        <f t="shared" ca="1" si="2"/>
        <v>// Combustion (standard; all targets within a 2×2 area, 12 squares and line of sight) &lt;BR&gt;+0 vs. Fortitude; deal 4d6 fire damage and target catches on fire, half damage on miss, area attack, Use the Force = attack bonus of fire     
Spend Force Point to move target -1 down track&lt;BR&gt;</v>
      </c>
      <c r="Q9" s="1536" t="str">
        <f t="shared" si="0"/>
        <v/>
      </c>
    </row>
    <row r="10" spans="1:17" ht="101.5">
      <c r="A10" s="1379" t="s">
        <v>3834</v>
      </c>
      <c r="B10" s="1379" t="s">
        <v>7191</v>
      </c>
      <c r="C10" s="1379" t="s">
        <v>7153</v>
      </c>
      <c r="D10" s="1397" t="s">
        <v>7224</v>
      </c>
      <c r="E10" s="1379"/>
      <c r="F10" s="1379"/>
      <c r="G10" s="1380" t="str">
        <f>"DC 20: deal +1 die of damage on attack of opportunity
DC 25: deal +2 die of damage 
DC 30: deal +3 die of damage 
DC 35: deal+4 die of damage"&amp;IF(OR(Talents!M1157&gt;0,'Talents 2'!E68&gt;0),"
Lightsaber form (Makashi): +2 attack on attacks of opportunity","")&amp;"
Spend a Force Point to reduce enemy's speed -2 squares until the end of their next turn"</f>
        <v>DC 20: deal +1 die of damage on attack of opportunity
DC 25: deal +2 die of damage 
DC 30: deal +3 die of damage 
DC 35: deal+4 die of damage
Spend a Force Point to reduce enemy's speed -2 squares until the end of their next turn</v>
      </c>
      <c r="H10" s="1379"/>
      <c r="I10" s="1379" t="s">
        <v>3816</v>
      </c>
      <c r="J10" s="1379"/>
      <c r="K10" s="1379"/>
      <c r="L10" s="1379" t="s">
        <v>5698</v>
      </c>
      <c r="N10" s="1380" t="str">
        <f t="shared" si="3"/>
        <v>Contentious Opportunity (free; one enemy within reach; attack of opportunity) • Lightsaber Form
DC 20: deal +1 die of damage on attack of opportunity
DC 25: deal +2 die of damage 
DC 30: deal +3 die of damage 
DC 35: deal+4 die of damage
Spend a Force Point to reduce enemy's speed -2 squares until the end of their next turn</v>
      </c>
      <c r="O10" s="1423" t="str">
        <f t="shared" si="1"/>
        <v/>
      </c>
      <c r="P10" s="1393" t="str">
        <f t="shared" si="2"/>
        <v>// Contentious Opportunity (free; one enemy within reach; attack of opportunity) •Lightsaber Form&lt;BR&gt;DC 20: deal +1 die of damage on attack of opportunity
DC 25: deal +2 die of damage 
DC 30: deal +3 die of damage 
DC 35: deal+4 die of damage
Spend a Force Point to reduce enemy's speed -2 squares until the end of their next turn&lt;BR&gt;</v>
      </c>
      <c r="Q10" s="1536" t="str">
        <f t="shared" si="0"/>
        <v/>
      </c>
    </row>
    <row r="11" spans="1:17" ht="101.5">
      <c r="A11" s="1379" t="s">
        <v>4224</v>
      </c>
      <c r="C11" s="1379" t="s">
        <v>7188</v>
      </c>
      <c r="D11" s="1379" t="s">
        <v>7151</v>
      </c>
      <c r="E11" s="1379"/>
      <c r="F11" s="1379"/>
      <c r="G11" s="1380" t="str">
        <f>"DC 15: your unarmed melee attacks deal +1d6 fire damage and if damaged, the target catches fire
DC 20: deal +2d6 fire damage
DC 25: deal +3d6 fire damage
DC 30: deal +4d6 fire damage
"&amp;M11</f>
        <v>DC 15: your unarmed melee attacks deal +1d6 fire damage and if damaged, the target catches fire
DC 20: deal +2d6 fire damage
DC 25: deal +3d6 fire damage
DC 30: deal +4d6 fire damage
Spend a Force Point to deal fire damage to any creature that strikes you whilst unarmed</v>
      </c>
      <c r="H11" s="1379"/>
      <c r="I11" s="1379"/>
      <c r="J11" s="1379"/>
      <c r="K11" s="1379"/>
      <c r="L11" s="1379" t="s">
        <v>5693</v>
      </c>
      <c r="M11" s="456" t="str">
        <f>"Spend a Force Point to deal fire damage to any creature that strikes you whilst unarmed"&amp;IF('The Force'!AK24&lt;&gt;"","
The fire attacks with +"&amp;BAB&amp;" vs. Fortitude uinstead of the normal +5 bonus","")</f>
        <v>Spend a Force Point to deal fire damage to any creature that strikes you whilst unarmed</v>
      </c>
      <c r="N11" s="1380" t="str">
        <f t="shared" si="3"/>
        <v>Convection (swift; you) 
DC 15: your unarmed melee attacks deal +1d6 fire damage and if damaged, the target catches fire
DC 20: deal +2d6 fire damage
DC 25: deal +3d6 fire damage
DC 30: deal +4d6 fire damage
Spend a Force Point to deal fire damage to any creature that strikes you whilst unarmed</v>
      </c>
      <c r="O11" s="1423" t="str">
        <f t="shared" si="1"/>
        <v/>
      </c>
      <c r="P11" s="1393" t="str">
        <f t="shared" si="2"/>
        <v>// Convection (swift; you) &lt;BR&gt;DC 15: your unarmed melee attacks deal +1d6 fire damage and if damaged, the target catches fire
DC 20: deal +2d6 fire damage
DC 25: deal +3d6 fire damage
DC 30: deal +4d6 fire damage
Spend a Force Point to deal fire damage to any creature that strikes you whilst unarmed&lt;BR&gt;</v>
      </c>
      <c r="Q11" s="1536" t="str">
        <f t="shared" si="0"/>
        <v/>
      </c>
    </row>
    <row r="12" spans="1:17" ht="101.5">
      <c r="A12" s="1379" t="s">
        <v>3836</v>
      </c>
      <c r="B12" s="1379" t="s">
        <v>7193</v>
      </c>
      <c r="C12" s="1379" t="s">
        <v>7092</v>
      </c>
      <c r="D12" s="1397" t="s">
        <v>7225</v>
      </c>
      <c r="E12" s="1379">
        <v>12</v>
      </c>
      <c r="F12" s="1379" t="s">
        <v>7150</v>
      </c>
      <c r="G12" s="1380" t="str">
        <f ca="1">"DC 15: +"&amp;UsetheForce&amp;" vs. Fortitude, 2d6 damage, half next turn if you exceed Fortitude by 5 or more
DC 20: 3d6 damage
DC 25: 4d6 damage
DC 30: 5d6 damage
Spend a Force Point for all adjacent to target take half once if over their Fortitude"&amp;M12</f>
        <v>DC 15: +0 vs. Fortitude, 2d6 damage, half next turn if you exceed Fortitude by 5 or more
DC 20: 3d6 damage
DC 25: 4d6 damage
DC 30: 5d6 damage
Spend a Force Point for all adjacent to target take half once if over their Fortitude</v>
      </c>
      <c r="H12" s="1379" t="s">
        <v>7155</v>
      </c>
      <c r="I12" s="1379"/>
      <c r="J12" s="1379"/>
      <c r="K12" s="1379"/>
      <c r="L12" s="1379" t="s">
        <v>5926</v>
      </c>
      <c r="M12" s="456" t="str">
        <f ca="1">IF(Unleashed&gt;0,"
Spend a Destiny Point to deal half damage for 5 rounds instead of 1","")</f>
        <v/>
      </c>
      <c r="N12" s="1380" t="str">
        <f t="shared" ca="1" si="3"/>
        <v>Corruption (standard; one creature within 12 squares and line of sight) • Dark Side
DC 15: +0 vs. Fortitude, 2d6 damage, half next turn if you exceed Fortitude by 5 or more
DC 20: 3d6 damage
DC 25: 4d6 damage
DC 30: 5d6 damage
Spend a Force Point for all adjacent to target take half once if over their Fortitude</v>
      </c>
      <c r="O12" s="1423" t="str">
        <f t="shared" si="1"/>
        <v/>
      </c>
      <c r="P12" s="1393" t="str">
        <f t="shared" ca="1" si="2"/>
        <v>// Corruption (standard; one creature within 12 squares and line of sight) •Dark Side&lt;BR&gt;DC 15: +0 vs. Fortitude, 2d6 damage, half next turn if you exceed Fortitude by 5 or more
DC 20: 3d6 damage
DC 25: 4d6 damage
DC 30: 5d6 damage
Spend a Force Point for all adjacent to target take half once if over their Fortitude&lt;BR&gt;</v>
      </c>
      <c r="Q12" s="1536" t="str">
        <f t="shared" si="0"/>
        <v/>
      </c>
    </row>
    <row r="13" spans="1:17" ht="101.5">
      <c r="A13" s="1379" t="s">
        <v>4225</v>
      </c>
      <c r="C13" s="1379" t="s">
        <v>7189</v>
      </c>
      <c r="D13" s="1379" t="s">
        <v>7151</v>
      </c>
      <c r="E13" s="1379"/>
      <c r="F13" s="1379"/>
      <c r="G13" s="1380" t="s">
        <v>7226</v>
      </c>
      <c r="H13" s="1379"/>
      <c r="I13" s="1379"/>
      <c r="J13" s="1379"/>
      <c r="K13" s="1379"/>
      <c r="L13" s="1379" t="s">
        <v>5693</v>
      </c>
      <c r="M13" s="456" t="str">
        <f>IF('The Force'!AK25&lt;&gt;"","
If attack still deals more damage than threshold, power remains in your suite","")</f>
        <v/>
      </c>
      <c r="N13" s="1380" t="str">
        <f t="shared" si="3"/>
        <v>Crucitorn (reaction; you) 
DC 15: +5 threshold against damage from Force attack or power
DC 20: bonus increases to +10
DC 25: bonus increases to +15
DC 30: bonus increases to +20
Spend a Force Point to increase bonus to threshold by +5</v>
      </c>
      <c r="O13" s="1423" t="str">
        <f t="shared" si="1"/>
        <v/>
      </c>
      <c r="P13" s="1393" t="str">
        <f t="shared" si="2"/>
        <v>// Crucitorn (reaction; you) &lt;BR&gt;DC 15: +5 threshold against damage from Force attack or power
DC 20: bonus increases to +10
DC 25: bonus increases to +15
DC 30: bonus increases to +20
Spend a Force Point to increase bonus to threshold by +5&lt;BR&gt;</v>
      </c>
      <c r="Q13" s="1536" t="str">
        <f t="shared" si="0"/>
        <v/>
      </c>
    </row>
    <row r="14" spans="1:17" ht="101.5">
      <c r="A14" s="1379" t="s">
        <v>4226</v>
      </c>
      <c r="C14" s="1379" t="s">
        <v>7092</v>
      </c>
      <c r="D14" s="1397" t="s">
        <v>7227</v>
      </c>
      <c r="E14" s="1379">
        <v>12</v>
      </c>
      <c r="F14" s="1379" t="s">
        <v>7150</v>
      </c>
      <c r="G14" s="1380" t="str">
        <f>"DC 20: unattended object's DR reduced by 5, if mechanical or electronic moves -1 down condition track
DC 25: object's DR reduced by 10
DC 30: object's DR reduced by 15
DC 35: object's DR reduced by 20
Spend a Force Point to decrease DR by 5"&amp;M14</f>
        <v>DC 20: unattended object's DR reduced by 5, if mechanical or electronic moves -1 down condition track
DC 25: object's DR reduced by 10
DC 30: object's DR reduced by 15
DC 35: object's DR reduced by 20
Spend a Force Point to decrease DR by 5</v>
      </c>
      <c r="H14" s="1379"/>
      <c r="I14" s="1379"/>
      <c r="J14" s="1379"/>
      <c r="K14" s="1379"/>
      <c r="L14" s="1379" t="s">
        <v>5694</v>
      </c>
      <c r="M14" s="456" t="str">
        <f>IF('The Force'!AK25&lt;&gt;"","
Target occupied vehicles within range but vehicle only moves down condition track if you exceed Fortitude","")</f>
        <v/>
      </c>
      <c r="N14" s="1380" t="str">
        <f t="shared" si="3"/>
        <v>Cryokinesis (standard; one unattended object within 12 squares and line of sight) 
DC 20: unattended object's DR reduced by 5, if mechanical or electronic moves -1 down condition track
DC 25: object's DR reduced by 10
DC 30: object's DR reduced by 15
DC 35: object's DR reduced by 20
Spend a Force Point to decrease DR by 5</v>
      </c>
      <c r="O14" s="1423" t="str">
        <f t="shared" si="1"/>
        <v/>
      </c>
      <c r="P14" s="1393" t="str">
        <f t="shared" si="2"/>
        <v>// Cryokinesis (standard; one unattended object within 12 squares and line of sight) &lt;BR&gt;DC 20: unattended object's DR reduced by 5, if mechanical or electronic moves -1 down condition track
DC 25: object's DR reduced by 10
DC 30: object's DR reduced by 15
DC 35: object's DR reduced by 20
Spend a Force Point to decrease DR by 5&lt;BR&gt;</v>
      </c>
      <c r="Q14" s="1536" t="str">
        <f t="shared" si="0"/>
        <v/>
      </c>
    </row>
    <row r="15" spans="1:17" ht="87">
      <c r="A15" s="1379" t="s">
        <v>3839</v>
      </c>
      <c r="B15" s="1379" t="s">
        <v>7193</v>
      </c>
      <c r="C15" s="1379" t="s">
        <v>7188</v>
      </c>
      <c r="D15" s="1379" t="s">
        <v>7151</v>
      </c>
      <c r="E15" s="1379"/>
      <c r="F15" s="1379"/>
      <c r="G15" s="1380" t="str">
        <f ca="1">"DC15: +2 attack  and damage with melee weapons until the end of your next turn
DC20: as DC 15 except +4 to attack and damage
DC25: as DC 15 except +6 to attack and damage
Spend a Force Point to extend rage until end of encounter"&amp;M15</f>
        <v>DC15: +2 attack  and damage with melee weapons until the end of your next turn
DC20: as DC 15 except +4 to attack and damage
DC25: as DC 15 except +6 to attack and damage
Spend a Force Point to extend rage until end of encounterFALSE</v>
      </c>
      <c r="H15" s="1379" t="s">
        <v>7155</v>
      </c>
      <c r="I15" s="1379"/>
      <c r="J15" s="1379"/>
      <c r="K15" s="1379"/>
      <c r="L15" s="1379">
        <v>96</v>
      </c>
      <c r="M15" s="456" t="str">
        <f ca="1">IF(Unleashed,"
Spend Destiny Point to gain a +10 rage bonus on melee attack rolls and damage rolls for the remainder of the encounter","")&amp;IF('The Force'!AK27&lt;&gt;"","
Ignore the restriction that prevents using skills or performing tasks that require patience and concentration, activate even if surprised")</f>
        <v>FALSE</v>
      </c>
      <c r="N15" s="1380" t="str">
        <f t="shared" ca="1" si="3"/>
        <v>Dark Rage (swift; you) • Dark Side
DC15: +2 attack  and damage with melee weapons until the end of your next turn
DC20: as DC 15 except +4 to attack and damage
DC25: as DC 15 except +6 to attack and damage
Spend a Force Point to extend rage until end of encounterFALSE</v>
      </c>
      <c r="O15" s="1423" t="str">
        <f t="shared" si="1"/>
        <v/>
      </c>
      <c r="P15" s="1393" t="str">
        <f t="shared" ca="1" si="2"/>
        <v>// Dark Rage (swift; you) •Dark Side&lt;BR&gt;DC15: +2 attack  and damage with melee weapons until the end of your next turn
DC20: as DC 15 except +4 to attack and damage
DC25: as DC 15 except +6 to attack and damage
Spend a Force Point to extend rage until end of encounterFALSE&lt;BR&gt;</v>
      </c>
      <c r="Q15" s="1536" t="str">
        <f t="shared" si="0"/>
        <v/>
      </c>
    </row>
    <row r="16" spans="1:17" ht="116">
      <c r="A16" s="1379" t="s">
        <v>3842</v>
      </c>
      <c r="B16" s="1379" t="s">
        <v>7193</v>
      </c>
      <c r="C16" s="1379" t="s">
        <v>7092</v>
      </c>
      <c r="D16" s="1397" t="s">
        <v>7228</v>
      </c>
      <c r="E16" s="1379" t="s">
        <v>7156</v>
      </c>
      <c r="F16" s="1379"/>
      <c r="G16" s="1380" t="str">
        <f>"DC 15: heal "&amp;CharacterLevel&amp;" hit points
DC 20: heal "&amp;CharacterLevel*2&amp;" hit points
DC 25: heal "&amp;CharacterLevel*3&amp;" hit points
DC 30: heal "&amp;CharacterLevel*4&amp;" hit points                                                                                                                
Gain 1 DSP and move -1 persistant  step down condition track
Spend a Force Point to avoid moving down the condition track"&amp;M16</f>
        <v>DC 15: heal 0 hit points
DC 20: heal 0 hit points
DC 25: heal 0 hit points
DC 30: heal 0 hit points                                                                                                                
Gain 1 DSP and move -1 persistant  step down condition track
Spend a Force Point to avoid moving down the condition track</v>
      </c>
      <c r="H16" s="1379" t="s">
        <v>7155</v>
      </c>
      <c r="I16" s="1379"/>
      <c r="J16" s="1379"/>
      <c r="K16" s="1379"/>
      <c r="L16" s="1379" t="s">
        <v>5903</v>
      </c>
      <c r="M16" s="456" t="str">
        <f>IF('The Force'!AK28&lt;&gt;"","
Spend a Force Point to revive a creature that died since the end of your last turn; +"&amp;UsetheForce&amp;" vs. DC 25, unconscious instead of healed","")</f>
        <v/>
      </c>
      <c r="N16" s="1380" t="str">
        <f t="shared" si="3"/>
        <v>Dark Transfer (standard; one living creature touched) • Dark Side
DC 15: heal 0 hit points
DC 20: heal 0 hit points
DC 25: heal 0 hit points
DC 30: heal 0 hit points                                                                                                                
Gain 1 DSP and move -1 persistant  step down condition track
Spend a Force Point to avoid moving down the condition track</v>
      </c>
      <c r="O16" s="1423" t="str">
        <f t="shared" si="1"/>
        <v/>
      </c>
      <c r="P16" s="1393" t="str">
        <f t="shared" si="2"/>
        <v>// Dark Transfer (standard; one living creature touched) •Dark Side&lt;BR&gt;DC 15: heal 0 hit points
DC 20: heal 0 hit points
DC 25: heal 0 hit points
DC 30: heal 0 hit points                                                                                                                
Gain 1 DSP and move -1 persistant  step down condition track
Spend a Force Point to avoid moving down the condition track&lt;BR&gt;</v>
      </c>
      <c r="Q16" s="1536" t="str">
        <f t="shared" si="0"/>
        <v/>
      </c>
    </row>
    <row r="17" spans="1:17" ht="101.5">
      <c r="A17" s="1379" t="s">
        <v>4243</v>
      </c>
      <c r="B17" s="1379" t="s">
        <v>7191</v>
      </c>
      <c r="C17" s="1379" t="s">
        <v>7189</v>
      </c>
      <c r="D17" s="1379" t="s">
        <v>7151</v>
      </c>
      <c r="E17" s="1379"/>
      <c r="F17" s="1379"/>
      <c r="G17" s="1380" t="str">
        <f ca="1">"DC 15: +"&amp;UsetheForce&amp;" vs. attack roll for half damage , make single melee attack vs. one target in reach after damage
DC 20: as DC 15 except +1 damage on attack
DC 25: as DC 15 except +2 damage on attack
DC 30: as DC 15 except +5 damage on attack"&amp;M17&amp;"
Spend a Force Point to ignore damage from incoming attack"</f>
        <v>DC 15: +0 vs. attack roll for half damage , make single melee attack vs. one target in reach after damage
DC 20: as DC 15 except +1 damage on attack
DC 25: as DC 15 except +2 damage on attack
DC 30: as DC 15 except +5 damage on attack
Spend a Force Point to ignore damage from incoming attack</v>
      </c>
      <c r="H17" s="1379"/>
      <c r="I17" s="1379" t="s">
        <v>3816</v>
      </c>
      <c r="J17" s="1379"/>
      <c r="K17" s="1379"/>
      <c r="L17" s="1379" t="s">
        <v>5699</v>
      </c>
      <c r="M17" s="456" t="str">
        <f>IF(OR(Talents!M1163&gt;0,'Talents 2'!E74&gt;0),"
Lightsaber form (Soresu): Spend a Force Point to redirect incoming attack at a target within 6 squares","")</f>
        <v/>
      </c>
      <c r="N17" s="1380" t="str">
        <f t="shared" ca="1" si="3"/>
        <v>Deflecting Slash (reaction; you) • Lightsaber Form
DC 15: +0 vs. attack roll for half damage , make single melee attack vs. one target in reach after damage
DC 20: as DC 15 except +1 damage on attack
DC 25: as DC 15 except +2 damage on attack
DC 30: as DC 15 except +5 damage on attack
Spend a Force Point to ignore damage from incoming attack</v>
      </c>
      <c r="O17" s="1423" t="str">
        <f t="shared" si="1"/>
        <v/>
      </c>
      <c r="P17" s="1393" t="str">
        <f t="shared" ca="1" si="2"/>
        <v>// Deflecting Slash (reaction; you) •Lightsaber Form&lt;BR&gt;DC 15: +0 vs. attack roll for half damage , make single melee attack vs. one target in reach after damage
DC 20: as DC 15 except +1 damage on attack
DC 25: as DC 15 except +2 damage on attack
DC 30: as DC 15 except +5 damage on attack
Spend a Force Point to ignore damage from incoming attack&lt;BR&gt;</v>
      </c>
      <c r="Q17" s="1536" t="str">
        <f t="shared" si="0"/>
        <v/>
      </c>
    </row>
    <row r="18" spans="1:17" ht="101.5">
      <c r="A18" s="1379" t="s">
        <v>3011</v>
      </c>
      <c r="B18" s="1379" t="s">
        <v>7192</v>
      </c>
      <c r="C18" s="1379" t="s">
        <v>7092</v>
      </c>
      <c r="D18" s="1397" t="s">
        <v>7227</v>
      </c>
      <c r="E18" s="1379">
        <v>12</v>
      </c>
      <c r="F18" s="1379" t="s">
        <v>7150</v>
      </c>
      <c r="G18" s="1380" t="s">
        <v>7220</v>
      </c>
      <c r="H18" s="1379"/>
      <c r="I18" s="1379"/>
      <c r="J18" s="1379"/>
      <c r="K18" s="1379" t="s">
        <v>3816</v>
      </c>
      <c r="L18" s="1379" t="s">
        <v>5903</v>
      </c>
      <c r="M18" s="456" t="str">
        <f>IF('The Force'!AK29&lt;&gt;"","
All targets within 2 squares of object take half damage if Use the Force check exceeds Reflex","")</f>
        <v/>
      </c>
      <c r="N18" s="1380" t="str">
        <f t="shared" si="3"/>
        <v>Detonate (standard; one unattended object within 12 squares and line of sight) • Telekinetic
DC 20: object takes 4d6 damage
DC 25: object takes 6d6 damage
DC 30: object takes 8d6 damage
DC 35: object takes 10d6 damage
Spend a Force Point to use increase damage by +2d6</v>
      </c>
      <c r="O18" s="1423" t="str">
        <f t="shared" si="1"/>
        <v/>
      </c>
      <c r="P18" s="1393" t="str">
        <f t="shared" si="2"/>
        <v>// Detonate (standard; one unattended object within 12 squares and line of sight) •Telekinetic&lt;BR&gt;DC 20: object takes 4d6 damage
DC 25: object takes 6d6 damage
DC 30: object takes 8d6 damage
DC 35: object takes 10d6 damage
Spend a Force Point to use increase damage by +2d6&lt;BR&gt;</v>
      </c>
      <c r="Q18" s="1536" t="str">
        <f t="shared" si="0"/>
        <v/>
      </c>
    </row>
    <row r="19" spans="1:17" ht="116">
      <c r="A19" s="1379" t="s">
        <v>4244</v>
      </c>
      <c r="B19" s="1379" t="s">
        <v>7191</v>
      </c>
      <c r="C19" s="1379" t="str">
        <f>IF(OR(Talents!M1161&lt;&gt;0,'Talents 2'!E72&lt;&gt;0),"reaction","standard")</f>
        <v>standard</v>
      </c>
      <c r="D19" s="1397" t="s">
        <v>7223</v>
      </c>
      <c r="E19" s="1379"/>
      <c r="F19" s="1379"/>
      <c r="G19" s="1380" t="s">
        <v>7229</v>
      </c>
      <c r="H19" s="1379"/>
      <c r="I19" s="1379" t="s">
        <v>3816</v>
      </c>
      <c r="J19" s="1379"/>
      <c r="K19" s="1379"/>
      <c r="L19" s="1379" t="s">
        <v>5699</v>
      </c>
      <c r="N19" s="1380" t="str">
        <f t="shared" si="3"/>
        <v xml:space="preserve">Disarming Slash (standard; one enemy within reach) • Lightsaber Form
DC 15: if you damage adjacent enemy you can use Use the Force check as a disarm attempt 
DC 20: target only gets +5 to resist disarm
DC 25: target only gets +2 to resist disarm
DC30: target gains no bonus to resist disarm
Spend a Force Point to deal damage  to the weapon equal to damage taken by target if the disarm is successful </v>
      </c>
      <c r="O19" s="1423" t="str">
        <f t="shared" si="1"/>
        <v/>
      </c>
      <c r="P19" s="1393" t="str">
        <f t="shared" si="2"/>
        <v>// Disarming Slash (standard; one enemy within reach) •Lightsaber Form&lt;BR&gt;DC 15: if you damage adjacent enemy you can use Use the Force check as a disarm attempt 
DC 20: target only gets +5 to resist disarm
DC 25: target only gets +2 to resist disarm
DC30: target gains no bonus to resist disarm
Spend a Force Point to deal damage  to the weapon equal to damage taken by target if the disarm is successful &lt;BR&gt;</v>
      </c>
      <c r="Q19" s="1536" t="str">
        <f t="shared" si="0"/>
        <v/>
      </c>
    </row>
    <row r="20" spans="1:17" ht="145">
      <c r="A20" s="1379" t="s">
        <v>4227</v>
      </c>
      <c r="C20" s="1379" t="s">
        <v>7092</v>
      </c>
      <c r="D20" s="1397" t="s">
        <v>7231</v>
      </c>
      <c r="E20" s="1379">
        <v>6</v>
      </c>
      <c r="F20" s="1379" t="s">
        <v>7150</v>
      </c>
      <c r="G20" s="1380" t="s">
        <v>7230</v>
      </c>
      <c r="H20" s="1379"/>
      <c r="I20" s="1379"/>
      <c r="J20" s="1379"/>
      <c r="K20" s="1379"/>
      <c r="L20" s="1379" t="s">
        <v>5694</v>
      </c>
      <c r="N20" s="1380" t="str">
        <f t="shared" si="3"/>
        <v>Drain Energy (standard; one weapon or powered object within 6 squares and line of sight) 
DC 20: drain energy from Small or smaller weapon or powered object
DC 25: drain energy from Medium or smaller weapon or powered object
DC 30: drain energy from Large or smaller weapon or powered object
DC 35: drain energy from Huge or smaller weapon or powered object
Spend a Force Point to increase the size by one size category (up to Gargantuan)</v>
      </c>
      <c r="O20" s="1423" t="str">
        <f t="shared" si="1"/>
        <v/>
      </c>
      <c r="P20" s="1393" t="str">
        <f t="shared" si="2"/>
        <v>// Drain Energy (standard; one weapon or powered object within 6 squares and line of sight) &lt;BR&gt;DC 20: drain energy from Small or smaller weapon or powered object
DC 25: drain energy from Medium or smaller weapon or powered object
DC 30: drain energy from Large or smaller weapon or powered object
DC 35: drain energy from Huge or smaller weapon or powered object
Spend a Force Point to increase the size by one size category (up to Gargantuan)&lt;BR&gt;</v>
      </c>
      <c r="Q20" s="1536" t="str">
        <f t="shared" si="0"/>
        <v/>
      </c>
    </row>
    <row r="21" spans="1:17" ht="116">
      <c r="A21" s="1379" t="s">
        <v>4245</v>
      </c>
      <c r="B21" s="1423" t="s">
        <v>7424</v>
      </c>
      <c r="C21" s="1379" t="s">
        <v>7092</v>
      </c>
      <c r="D21" s="1397" t="str">
        <f>"one enemy within "&amp;E21&amp;" squares and line of sight"</f>
        <v>one enemy within 6 squares and line of sight</v>
      </c>
      <c r="E21" s="1379">
        <f>IF(OR(Talents!M1158&lt;&gt;0,'Talents 2'!E69&lt;&gt;0),12,6)</f>
        <v>6</v>
      </c>
      <c r="F21" s="1379" t="s">
        <v>7150</v>
      </c>
      <c r="G21" s="1380" t="s">
        <v>7425</v>
      </c>
      <c r="H21" s="1379"/>
      <c r="I21" s="1379" t="s">
        <v>3816</v>
      </c>
      <c r="J21" s="1379"/>
      <c r="K21" s="1379"/>
      <c r="L21" s="1379" t="s">
        <v>5699</v>
      </c>
      <c r="N21" s="1380" t="str">
        <f t="shared" si="3"/>
        <v>Draw Closer (standard; one enemy within 6 squares and line of sight) • Lightsaber Form, Telekinetic
DC 15: pull Medium creature that is not grabbed or grappled into nearest unoccupied space adjacent to you make a lightsaber attack
DC 20: as DC 15 except up to a Large creature
DC 25: as DC 15 except up to a Huge creature
DC 30: as DC 15 except up to a Gargantuan creature
Spend a Force Point to pull target to any adjacent space</v>
      </c>
      <c r="O21" s="1423" t="str">
        <f t="shared" si="1"/>
        <v/>
      </c>
      <c r="P21" s="1393" t="str">
        <f t="shared" si="2"/>
        <v>// Draw Closer (standard; one enemy within 6 squares and line of sight) •Lightsaber Form, Telekinetic&lt;BR&gt;DC 15: pull Medium creature that is not grabbed or grappled into nearest unoccupied space adjacent to you make a lightsaber attack
DC 20: as DC 15 except up to a Large creature
DC 25: as DC 15 except up to a Huge creature
DC 30: as DC 15 except up to a Gargantuan creature
Spend a Force Point to pull target to any adjacent space&lt;BR&gt;</v>
      </c>
      <c r="Q21" s="1536" t="str">
        <f t="shared" si="0"/>
        <v/>
      </c>
    </row>
    <row r="22" spans="1:17" ht="87">
      <c r="A22" s="1379" t="s">
        <v>3847</v>
      </c>
      <c r="C22" s="1379" t="s">
        <v>7092</v>
      </c>
      <c r="D22" s="1379" t="str">
        <f>IF('The Force'!AK30&lt;&gt;"","you or one ally within 6 squares","you")</f>
        <v>you</v>
      </c>
      <c r="E22" s="1379"/>
      <c r="F22" s="1379"/>
      <c r="G22" s="1380" t="s">
        <v>7232</v>
      </c>
      <c r="H22" s="1379"/>
      <c r="I22" s="1379"/>
      <c r="J22" s="1379"/>
      <c r="K22" s="1379"/>
      <c r="L22" s="1379" t="s">
        <v>7185</v>
      </c>
      <c r="N22" s="1380" t="str">
        <f t="shared" si="3"/>
        <v>Energy Resistance (standard; you) 
DC 20: gain DR 5 vs. energy damage
DC 25: gain DR 10 vs. energy
DC 30: gain DR 15 vs. energy
DC 35: gain DR 20 vs. energy
Spend a Force Point to use as a swift action</v>
      </c>
      <c r="O22" s="1423" t="str">
        <f t="shared" si="1"/>
        <v/>
      </c>
      <c r="P22" s="1393" t="str">
        <f t="shared" si="2"/>
        <v>// Energy Resistance (standard; you) &lt;BR&gt;DC 20: gain DR 5 vs. energy damage
DC 25: gain DR 10 vs. energy
DC 30: gain DR 15 vs. energy
DC 35: gain DR 20 vs. energy
Spend a Force Point to use as a swift action&lt;BR&gt;</v>
      </c>
      <c r="Q22" s="1536" t="str">
        <f t="shared" si="0"/>
        <v/>
      </c>
    </row>
    <row r="23" spans="1:17" ht="72.5">
      <c r="A23" s="1379" t="s">
        <v>3850</v>
      </c>
      <c r="B23" s="1379" t="s">
        <v>7194</v>
      </c>
      <c r="C23" s="1397" t="s">
        <v>7233</v>
      </c>
      <c r="D23" s="1397" t="str">
        <f>IF('The Force'!AK31&lt;&gt;"","two allies","one ally")&amp;" within 12 squares and line of sight"</f>
        <v>one ally within 12 squares and line of sight</v>
      </c>
      <c r="E23" s="1379">
        <v>12</v>
      </c>
      <c r="F23" s="1379" t="s">
        <v>7150</v>
      </c>
      <c r="G23" s="1380" t="s">
        <v>7234</v>
      </c>
      <c r="H23" s="1379" t="s">
        <v>321</v>
      </c>
      <c r="I23" s="1379"/>
      <c r="J23" s="1379" t="s">
        <v>3816</v>
      </c>
      <c r="K23" s="1379"/>
      <c r="L23" s="1379" t="s">
        <v>5904</v>
      </c>
      <c r="N23" s="1380" t="str">
        <f t="shared" si="3"/>
        <v>Enlighten (swift/reaction; one ally within 12 squares and line of sight) • Light Side, Mind-Affecting
Target may either make one attack, skill, or opposed check , or to replace a defense  with your Use the Force check until the start of your next turn              
Spend Force Point to prolong the effect until end of your next turn</v>
      </c>
      <c r="O23" s="1423" t="str">
        <f t="shared" si="1"/>
        <v/>
      </c>
      <c r="P23" s="1393" t="str">
        <f t="shared" si="2"/>
        <v>// Enlighten (swift/reaction; one ally within 12 squares and line of sight) •Light Side, Mind-Affecting&lt;BR&gt;Target may either make one attack, skill, or opposed check , or to replace a defense  with your Use the Force check until the start of your next turn              
Spend Force Point to prolong the effect until end of your next turn&lt;BR&gt;</v>
      </c>
      <c r="Q23" s="1536" t="str">
        <f t="shared" si="0"/>
        <v/>
      </c>
    </row>
    <row r="24" spans="1:17" ht="130.5">
      <c r="A24" s="1379" t="s">
        <v>4246</v>
      </c>
      <c r="B24" s="1379" t="s">
        <v>7191</v>
      </c>
      <c r="C24" s="1379" t="s">
        <v>7092</v>
      </c>
      <c r="D24" s="1379" t="s">
        <v>7151</v>
      </c>
      <c r="E24" s="1379"/>
      <c r="F24" s="1379"/>
      <c r="G24" s="1380" t="str">
        <f>"DC 15: make single lightsaber attack against target up to one size larger; push target 1 square and move through enemy's space passed without provoking
DC 20: push and move 2 squares
DC 25: push and move 3 squares
DC 30: push and move 4 squares
"&amp;M24</f>
        <v>DC 15: make single lightsaber attack against target up to one size larger; push target 1 square and move through enemy's space passed without provoking
DC 20: push and move 2 squares
DC 25: push and move 3 squares
DC 30: push and move 4 squares
Spend a Force Point to knock opponent prone at the end of the forced move
Cannot be used against grabbed or grappled targets</v>
      </c>
      <c r="H24" s="1379"/>
      <c r="I24" s="1379" t="s">
        <v>3816</v>
      </c>
      <c r="J24" s="1379"/>
      <c r="K24" s="1379"/>
      <c r="L24" s="1379" t="s">
        <v>5700</v>
      </c>
      <c r="M24" s="456" t="str">
        <f>"Spend a Force Point to knock opponent prone at the end of the forced move
Cannot be used against grabbed or grappled targets"&amp;IF(OR(Talents!M1154&lt;&gt;0,'Talents 2'!E65&lt;&gt;0),"
Lightsaber form (Djem So): gain one temporary Force Point to be used only for Djem So before end of the encounter","")</f>
        <v>Spend a Force Point to knock opponent prone at the end of the forced move
Cannot be used against grabbed or grappled targets</v>
      </c>
      <c r="N24" s="1380" t="str">
        <f t="shared" si="3"/>
        <v>Falling Avalanche (standard; you) • Lightsaber Form
DC 15: make single lightsaber attack against target up to one size larger; push target 1 square and move through enemy's space passed without provoking
DC 20: push and move 2 squares
DC 25: push and move 3 squares
DC 30: push and move 4 squares
Spend a Force Point to knock opponent prone at the end of the forced move
Cannot be used against grabbed or grappled targets</v>
      </c>
      <c r="O24" s="1423" t="str">
        <f t="shared" si="1"/>
        <v/>
      </c>
      <c r="P24" s="1393" t="str">
        <f t="shared" si="2"/>
        <v>// Falling Avalanche (standard; you) •Lightsaber Form&lt;BR&gt;DC 15: make single lightsaber attack against target up to one size larger; push target 1 square and move through enemy's space passed without provoking
DC 20: push and move 2 squares
DC 25: push and move 3 squares
DC 30: push and move 4 squares
Spend a Force Point to knock opponent prone at the end of the forced move
Cannot be used against grabbed or grappled targets&lt;BR&gt;</v>
      </c>
      <c r="Q24" s="1536" t="str">
        <f t="shared" si="0"/>
        <v/>
      </c>
    </row>
    <row r="25" spans="1:17" ht="101.5">
      <c r="A25" s="1423" t="s">
        <v>3853</v>
      </c>
      <c r="C25" s="1379" t="s">
        <v>7158</v>
      </c>
      <c r="D25" s="1397" t="s">
        <v>7235</v>
      </c>
      <c r="E25" s="1379"/>
      <c r="F25" s="1379"/>
      <c r="G25" s="1380" t="str">
        <f ca="1">"+"&amp;UsetheForce&amp;" vs. Will, cannot reuse for 24 hours, can get a sense of target, whether the target is alive or dead and gain a vague sense of its immediate surroundings, what it's currently doing, and any strong emotions it is presently feeling
"&amp;M25</f>
        <v>+0 vs. Will, cannot reuse for 24 hours, can get a sense of target, whether the target is alive or dead and gain a vague sense of its immediate surroundings, what it's currently doing, and any strong emotions it is presently feeling
Spend a Force Point for a clear image of surrounding 6 squares of target</v>
      </c>
      <c r="H25" s="1379"/>
      <c r="I25" s="1379"/>
      <c r="J25" s="1379"/>
      <c r="K25" s="1379"/>
      <c r="L25" s="1379">
        <v>96</v>
      </c>
      <c r="M25" s="456" t="s">
        <v>7236</v>
      </c>
      <c r="N25" s="1380" t="str">
        <f t="shared" ca="1" si="3"/>
        <v>Farseeing (full; one creature you know or have met before) 
+0 vs. Will, cannot reuse for 24 hours, can get a sense of target, whether the target is alive or dead and gain a vague sense of its immediate surroundings, what it's currently doing, and any strong emotions it is presently feeling
Spend a Force Point for a clear image of surrounding 6 squares of target</v>
      </c>
      <c r="O25" s="1423" t="str">
        <f t="shared" si="1"/>
        <v/>
      </c>
      <c r="P25" s="1393" t="str">
        <f t="shared" ca="1" si="2"/>
        <v>// Farseeing (full; one creature you know or have met before) &lt;BR&gt;+0 vs. Will, cannot reuse for 24 hours, can get a sense of target, whether the target is alive or dead and gain a vague sense of its immediate surroundings, what it's currently doing, and any strong emotions it is presently feeling
Spend a Force Point for a clear image of surrounding 6 squares of target&lt;BR&gt;</v>
      </c>
      <c r="Q25" s="1536" t="str">
        <f t="shared" si="0"/>
        <v/>
      </c>
    </row>
    <row r="26" spans="1:17" ht="101.5">
      <c r="A26" s="1379" t="s">
        <v>3856</v>
      </c>
      <c r="B26" s="1379" t="s">
        <v>7193</v>
      </c>
      <c r="C26" s="1379" t="s">
        <v>7188</v>
      </c>
      <c r="D26" s="1397" t="s">
        <v>7239</v>
      </c>
      <c r="E26" s="1379">
        <v>12</v>
      </c>
      <c r="F26" s="1379" t="s">
        <v>7150</v>
      </c>
      <c r="G26" s="1380" t="str">
        <f ca="1">"DC 15: +"&amp;UsetheForce&amp;" vs. Will, target can take only one standard action on their next turn
DC 20: can only take 1 move action
DC 25: can take only 1 swift action
DC 30: can take no actions on next turn
"&amp;M26</f>
        <v>DC 15: +0 vs. Will, target can take only one standard action on their next turn
DC 20: can only take 1 move action
DC 25: can take only 1 swift action
DC 30: can take no actions on next turn
Spend a Force Point to give -2 penalty to all Defenses until your next turn</v>
      </c>
      <c r="H26" s="1379" t="s">
        <v>7155</v>
      </c>
      <c r="I26" s="1379"/>
      <c r="J26" s="1379"/>
      <c r="K26" s="1379"/>
      <c r="L26" s="1379" t="s">
        <v>7185</v>
      </c>
      <c r="M26" s="456" t="s">
        <v>7237</v>
      </c>
      <c r="N26" s="1380" t="str">
        <f t="shared" ca="1" si="3"/>
        <v>Fear (swift; one living creature within 12 squares and line of sight) • Dark Side
DC 15: +0 vs. Will, target can take only one standard action on their next turn
DC 20: can only take 1 move action
DC 25: can take only 1 swift action
DC 30: can take no actions on next turn
Spend a Force Point to give -2 penalty to all Defenses until your next turn</v>
      </c>
      <c r="O26" s="1423" t="str">
        <f t="shared" si="1"/>
        <v/>
      </c>
      <c r="P26" s="1393" t="str">
        <f t="shared" ca="1" si="2"/>
        <v>// Fear (swift; one living creature within 12 squares and line of sight) •Dark Side&lt;BR&gt;DC 15: +0 vs. Will, target can take only one standard action on their next turn
DC 20: can only take 1 move action
DC 25: can take only 1 swift action
DC 30: can take no actions on next turn
Spend a Force Point to give -2 penalty to all Defenses until your next turn&lt;BR&gt;</v>
      </c>
      <c r="Q26" s="1536" t="str">
        <f t="shared" si="0"/>
        <v/>
      </c>
    </row>
    <row r="27" spans="1:17" ht="58">
      <c r="A27" s="1379" t="s">
        <v>4247</v>
      </c>
      <c r="B27" s="1379" t="s">
        <v>7191</v>
      </c>
      <c r="C27" s="1379" t="s">
        <v>7189</v>
      </c>
      <c r="D27" s="1379" t="s">
        <v>7151</v>
      </c>
      <c r="E27" s="1379"/>
      <c r="F27" s="1379"/>
      <c r="G27" s="1380" t="str">
        <f ca="1">"+"&amp;UsetheForce&amp;" vs. attack for half damage and move adjacent to attacker and make a single lightsaber attack without provoking
"&amp;M27</f>
        <v>+0 vs. attack for half damage and move adjacent to attacker and make a single lightsaber attack without provoking
Spend a Force Point to treat attacker as flat-footed</v>
      </c>
      <c r="H27" s="1379"/>
      <c r="I27" s="1379" t="s">
        <v>3816</v>
      </c>
      <c r="J27" s="1379"/>
      <c r="K27" s="1379"/>
      <c r="L27" s="1379" t="s">
        <v>5700</v>
      </c>
      <c r="M27" s="456" t="str">
        <f>IF(OR('Talents 2'!E65&lt;&gt;0,Talents!M1154&lt;&gt;0),"Lightsaber form (Djem So): gain one temporary Force Point to be used only for Djem So before end of encounter
","")&amp;"Spend a Force Point to treat attacker as flat-footed"</f>
        <v>Spend a Force Point to treat attacker as flat-footed</v>
      </c>
      <c r="N27" s="1380" t="str">
        <f t="shared" ca="1" si="3"/>
        <v>Fluid Riposte (reaction; you) • Lightsaber Form
+0 vs. attack for half damage and move adjacent to attacker and make a single lightsaber attack without provoking
Spend a Force Point to treat attacker as flat-footed</v>
      </c>
      <c r="O27" s="1423" t="str">
        <f t="shared" si="1"/>
        <v/>
      </c>
      <c r="P27" s="1393" t="str">
        <f t="shared" ca="1" si="2"/>
        <v>// Fluid Riposte (reaction; you) •Lightsaber Form&lt;BR&gt;+0 vs. attack for half damage and move adjacent to attacker and make a single lightsaber attack without provoking
Spend a Force Point to treat attacker as flat-footed&lt;BR&gt;</v>
      </c>
      <c r="Q27" s="1536" t="str">
        <f t="shared" si="0"/>
        <v/>
      </c>
    </row>
    <row r="28" spans="1:17" ht="130.5">
      <c r="A28" s="1379" t="s">
        <v>4228</v>
      </c>
      <c r="C28" s="1379" t="s">
        <v>7158</v>
      </c>
      <c r="D28" s="1397" t="s">
        <v>7240</v>
      </c>
      <c r="E28" s="1379">
        <v>6</v>
      </c>
      <c r="F28" s="1379" t="s">
        <v>7150</v>
      </c>
      <c r="G28" s="1380" t="str">
        <f>"DC 20: move Medium up to 6 squares
DC 25: move Large up to 12 squares
DC 30: move Huge up to 18 squares
DC 35: move Gargantuan up to 24 squares
DC 40: move Colossal up to 30 squares
"&amp;M28</f>
        <v>DC 20: move Medium up to 6 squares
DC 25: move Large up to 12 squares
DC 30: move Huge up to 18 squares
DC 35: move Gargantuan up to 24 squares
DC 40: move Colossal up to 30 squares
Spend a Force Point to increase size by up to two size categories (maximum Colossal [cruiser]) or double distance</v>
      </c>
      <c r="H28" s="1379"/>
      <c r="I28" s="1379"/>
      <c r="J28" s="1379"/>
      <c r="K28" s="1379"/>
      <c r="L28" s="1379" t="s">
        <v>5694</v>
      </c>
      <c r="M28" s="456" t="str">
        <f>"Spend a Force Point to increase size by up to two size categories (maximum Colossal [cruiser]) or double distance"&amp;IF('The Force'!AK32&lt;&gt;"","
Spend a Force Point to move the object anywhere with in line of sight
Spend a Destiny Point to move the object anywhere within the same star system","")</f>
        <v>Spend a Force Point to increase size by up to two size categories (maximum Colossal [cruiser]) or double distance</v>
      </c>
      <c r="N28" s="1380" t="str">
        <f t="shared" si="3"/>
        <v>Fold Space (full; one held or unattended object within 6 squares and line of sight or one vehicle you occupy) 
DC 20: move Medium up to 6 squares
DC 25: move Large up to 12 squares
DC 30: move Huge up to 18 squares
DC 35: move Gargantuan up to 24 squares
DC 40: move Colossal up to 30 squares
Spend a Force Point to increase size by up to two size categories (maximum Colossal [cruiser]) or double distance</v>
      </c>
      <c r="O28" s="1423" t="str">
        <f t="shared" si="1"/>
        <v/>
      </c>
      <c r="P28" s="1393" t="str">
        <f t="shared" si="2"/>
        <v>// Fold Space (full; one held or unattended object within 6 squares and line of sight or one vehicle you occupy) &lt;BR&gt;DC 20: move Medium up to 6 squares
DC 25: move Large up to 12 squares
DC 30: move Huge up to 18 squares
DC 35: move Gargantuan up to 24 squares
DC 40: move Colossal up to 30 squares
Spend a Force Point to increase size by up to two size categories (maximum Colossal [cruiser]) or double distance&lt;BR&gt;</v>
      </c>
      <c r="Q28" s="1536" t="str">
        <f t="shared" si="0"/>
        <v/>
      </c>
    </row>
    <row r="29" spans="1:17" ht="87">
      <c r="A29" s="1379" t="s">
        <v>1391</v>
      </c>
      <c r="C29" s="1379" t="s">
        <v>7092</v>
      </c>
      <c r="D29" s="1397" t="s">
        <v>7238</v>
      </c>
      <c r="E29" s="1379">
        <v>12</v>
      </c>
      <c r="F29" s="1379" t="s">
        <v>7150</v>
      </c>
      <c r="G29" s="1380" t="str">
        <f ca="1">"DC 15: +"&amp;UsetheForce&amp;" vs. Reflex, 2d6 damage 
DC 20: +"&amp;UsetheForce&amp;" vs. Reflex 3d6 damage 
DC 25: +"&amp;UsetheForce&amp;" vs. Reflex 4d6 damage 
DC 30: +"&amp;UsetheForce&amp;" vs. Reflex 5d6 damage 
Spend a Force Point to add a bonus of "&amp;INT(CharacterLevel/2)&amp;" damage"&amp;M29</f>
        <v>DC 15: +0 vs. Reflex, 2d6 damage 
DC 20: +0 vs. Reflex 3d6 damage 
DC 25: +0 vs. Reflex 4d6 damage 
DC 30: +0 vs. Reflex 5d6 damage 
Spend a Force Point to add a bonus of 0 damage</v>
      </c>
      <c r="H29" s="1379"/>
      <c r="I29" s="1379"/>
      <c r="J29" s="1379"/>
      <c r="K29" s="1379"/>
      <c r="L29" s="1379" t="s">
        <v>5927</v>
      </c>
      <c r="M29" s="456" t="str">
        <f ca="1">IF(Unleashed&gt;0,"
Spend a Destiny Point to double the damage","")</f>
        <v/>
      </c>
      <c r="N29" s="1380" t="str">
        <f t="shared" ca="1" si="3"/>
        <v>Force Blast (standard; one target within 12 squares and line of sight) 
DC 15: +0 vs. Reflex, 2d6 damage 
DC 20: +0 vs. Reflex 3d6 damage 
DC 25: +0 vs. Reflex 4d6 damage 
DC 30: +0 vs. Reflex 5d6 damage 
Spend a Force Point to add a bonus of 0 damage</v>
      </c>
      <c r="O29" s="1423" t="str">
        <f t="shared" si="1"/>
        <v/>
      </c>
      <c r="P29" s="1393" t="str">
        <f t="shared" ca="1" si="2"/>
        <v>// Force Blast (standard; one target within 12 squares and line of sight) &lt;BR&gt;DC 15: +0 vs. Reflex, 2d6 damage 
DC 20: +0 vs. Reflex 3d6 damage 
DC 25: +0 vs. Reflex 4d6 damage 
DC 30: +0 vs. Reflex 5d6 damage 
Spend a Force Point to add a bonus of 0 damage&lt;BR&gt;</v>
      </c>
      <c r="Q29" s="1536" t="str">
        <f t="shared" si="0"/>
        <v/>
      </c>
    </row>
    <row r="30" spans="1:17" ht="58">
      <c r="A30" s="1379" t="s">
        <v>3860</v>
      </c>
      <c r="C30" s="1379" t="str">
        <f>IF('The Force'!AK33&lt;&gt;"","standard or full","standard")</f>
        <v>standard</v>
      </c>
      <c r="D30" s="1397" t="str">
        <f>"one target within "&amp;E30&amp;" squares"</f>
        <v>one target within 12 squares</v>
      </c>
      <c r="E30" s="1379">
        <f>IF('The Force'!AK15&lt;&gt;"",18,12)</f>
        <v>12</v>
      </c>
      <c r="F30" s="1379" t="s">
        <v>7150</v>
      </c>
      <c r="G30" s="1380" t="str">
        <f ca="1">"+"&amp;UsetheForce&amp;" vs. Reflex +10 to disarm, item drops to ground or flys to your hand
Spend Force Point to destroy object, dealing damage equal to the Use the Force check"&amp;M30</f>
        <v>+0 vs. Reflex +10 to disarm, item drops to ground or flys to your hand
Spend Force Point to destroy object, dealing damage equal to the Use the Force check</v>
      </c>
      <c r="H30" s="1379"/>
      <c r="I30" s="1379"/>
      <c r="J30" s="1379"/>
      <c r="K30" s="1379" t="s">
        <v>3816</v>
      </c>
      <c r="L30" s="1379">
        <v>97</v>
      </c>
      <c r="M30" s="456" t="str">
        <f>IF('The Force'!AK33&lt;&gt;"","
Change the time it takes to activate it to a full-round action; if you do so, your opponent does not gain +10 to Reflex","")</f>
        <v/>
      </c>
      <c r="N30" s="1380" t="str">
        <f t="shared" ca="1" si="3"/>
        <v>Force Disarm (standard; one target within 12 squares) 
+0 vs. Reflex +10 to disarm, item drops to ground or flys to your hand
Spend Force Point to destroy object, dealing damage equal to the Use the Force check</v>
      </c>
      <c r="O30" s="1423" t="str">
        <f t="shared" si="1"/>
        <v/>
      </c>
      <c r="P30" s="1393" t="str">
        <f t="shared" ca="1" si="2"/>
        <v>// Force Disarm (standard; one target within 12 squares) &lt;BR&gt;+0 vs. Reflex +10 to disarm, item drops to ground or flys to your hand
Spend Force Point to destroy object, dealing damage equal to the Use the Force check&lt;BR&gt;</v>
      </c>
      <c r="Q30" s="1536" t="str">
        <f t="shared" si="0"/>
        <v/>
      </c>
    </row>
    <row r="31" spans="1:17" ht="101.5">
      <c r="A31" s="1379" t="s">
        <v>3863</v>
      </c>
      <c r="B31" s="1423" t="s">
        <v>7192</v>
      </c>
      <c r="C31" s="1379" t="s">
        <v>7092</v>
      </c>
      <c r="D31" s="1397" t="str">
        <f>"one target within "&amp;E31&amp;" squares"</f>
        <v>one target within 12 squares</v>
      </c>
      <c r="E31" s="1397">
        <f>IF('The Force'!AK16&lt;&gt;"",18,12)</f>
        <v>12</v>
      </c>
      <c r="F31" s="1379" t="s">
        <v>7150</v>
      </c>
      <c r="G31" s="1380" t="str">
        <f ca="1">"DC 15: +"&amp;UsetheForce&amp;" vs. Fortitude, 2d6 damage and the target can only take 1 swift action on their next turn; half damage on a miss and target acts normally
DC 20: as DC 15 except 4d6 damage
DC 25: as DC 15 except 6d6 damage
Maintain as standard action, rerolling each round"&amp;M31</f>
        <v>DC 15: +0 vs. Fortitude, 2d6 damage and the target can only take 1 swift action on their next turn; half damage on a miss and target acts normally
DC 20: as DC 15 except 4d6 damage
DC 25: as DC 15 except 6d6 damage
Maintain as standard action, rerolling each round
Spend a Force Point to deal +2d6 damage</v>
      </c>
      <c r="H31" s="1379"/>
      <c r="I31" s="1379"/>
      <c r="J31" s="1379"/>
      <c r="K31" s="1379" t="s">
        <v>3816</v>
      </c>
      <c r="L31" s="1379">
        <v>97</v>
      </c>
      <c r="M31" s="456" t="str">
        <f ca="1">IF('The Force'!AK34&lt;&gt;"","
Spend Force point when using Force grip to maintain Force grip for 1 additional round without need to concentrate; after additional round, effect ends","")&amp;"
Spend a Force Point to deal +2d6 damage"&amp;IF(Unleashed&gt;0,"
Spend a Destiny Point to maintain with no concentration for "&amp;MAX(ChaMod,1)&amp;" rounds","")</f>
        <v xml:space="preserve">
Spend a Force Point to deal +2d6 damage</v>
      </c>
      <c r="N31" s="1380" t="str">
        <f t="shared" ca="1" si="3"/>
        <v>Force Grip (standard; one target within 12 squares) • Telekinetic
DC 15: +0 vs. Fortitude, 2d6 damage and the target can only take 1 swift action on their next turn; half damage on a miss and target acts normally
DC 20: as DC 15 except 4d6 damage
DC 25: as DC 15 except 6d6 damage
Maintain as standard action, rerolling each round
Spend a Force Point to deal +2d6 damage</v>
      </c>
      <c r="O31" s="1423" t="str">
        <f t="shared" si="1"/>
        <v/>
      </c>
      <c r="P31" s="1393" t="str">
        <f t="shared" ca="1" si="2"/>
        <v>// Force Grip (standard; one target within 12 squares) •Telekinetic&lt;BR&gt;DC 15: +0 vs. Fortitude, 2d6 damage and the target can only take 1 swift action on their next turn; half damage on a miss and target acts normally
DC 20: as DC 15 except 4d6 damage
DC 25: as DC 15 except 6d6 damage
Maintain as standard action, rerolling each round
Spend a Force Point to deal +2d6 damage&lt;BR&gt;</v>
      </c>
      <c r="Q31" s="1536" t="str">
        <f t="shared" si="0"/>
        <v/>
      </c>
    </row>
    <row r="32" spans="1:17" ht="130.5">
      <c r="A32" s="1423" t="s">
        <v>4229</v>
      </c>
      <c r="B32" s="1379" t="s">
        <v>7195</v>
      </c>
      <c r="C32" s="1379" t="s">
        <v>7092</v>
      </c>
      <c r="D32" s="1397" t="s">
        <v>7241</v>
      </c>
      <c r="E32" s="1379"/>
      <c r="F32" s="1379"/>
      <c r="G32" s="1380" t="str">
        <f>"DC 20: until the start of your next turn targets take 1d6 Force damage and -1 penalty to attack
DC 25: as DC 15 except 2d6 Force damage
DC 30: as DC 15 except 3d6 Force damage
DC 35: as DC 15 except 4d6 Force damage
"&amp;M32</f>
        <v>DC 20: until the start of your next turn targets take 1d6 Force damage and -1 penalty to attack
DC 25: as DC 15 except 2d6 Force damage
DC 30: as DC 15 except 3d6 Force damage
DC 35: as DC 15 except 4d6 Force damage
Maintain as standard action, rerolling each round
Spend a Force Point to deal +1d6 damage</v>
      </c>
      <c r="H32" s="1379" t="s">
        <v>321</v>
      </c>
      <c r="I32" s="1379"/>
      <c r="J32" s="1379"/>
      <c r="K32" s="1379"/>
      <c r="L32" s="1379" t="s">
        <v>5694</v>
      </c>
      <c r="M32" s="456" t="str">
        <f>"Maintain as standard action, rerolling each round
Spend a Force Point to deal +1d6 damage"&amp;IF('The Force'!AK35&lt;&gt;"","
Spend a Force Point to blind targets (all creatures granted concealment against them) until the end of their next turn  
Spend a Destiny Point to change this to total concealment","")</f>
        <v>Maintain as standard action, rerolling each round
Spend a Force Point to deal +1d6 damage</v>
      </c>
      <c r="N32" s="1380" t="str">
        <f t="shared" si="3"/>
        <v>Force Light (standard; any creature with DSP of 1+ that begins its turn within 6 squares) • Light Side
DC 20: until the start of your next turn targets take 1d6 Force damage and -1 penalty to attack
DC 25: as DC 15 except 2d6 Force damage
DC 30: as DC 15 except 3d6 Force damage
DC 35: as DC 15 except 4d6 Force damage
Maintain as standard action, rerolling each round
Spend a Force Point to deal +1d6 damage</v>
      </c>
      <c r="O32" s="1423" t="str">
        <f t="shared" si="1"/>
        <v/>
      </c>
      <c r="P32" s="1393" t="str">
        <f t="shared" si="2"/>
        <v>// Force Light (standard; any creature with DSP of 1+ that begins its turn within 6 squares) •Light Side&lt;BR&gt;DC 20: until the start of your next turn targets take 1d6 Force damage and -1 penalty to attack
DC 25: as DC 15 except 2d6 Force damage
DC 30: as DC 15 except 3d6 Force damage
DC 35: as DC 15 except 4d6 Force damage
Maintain as standard action, rerolling each round
Spend a Force Point to deal +1d6 damage&lt;BR&gt;</v>
      </c>
      <c r="Q32" s="1536" t="str">
        <f t="shared" si="0"/>
        <v/>
      </c>
    </row>
    <row r="33" spans="1:17" ht="58">
      <c r="A33" s="1423" t="s">
        <v>3866</v>
      </c>
      <c r="B33" s="1379" t="s">
        <v>7193</v>
      </c>
      <c r="C33" s="1379" t="s">
        <v>7092</v>
      </c>
      <c r="D33" s="1397" t="s">
        <v>7242</v>
      </c>
      <c r="E33" s="1379">
        <v>6</v>
      </c>
      <c r="F33" s="1379" t="s">
        <v>7150</v>
      </c>
      <c r="G33" s="1380" t="str">
        <f ca="1">"+"&amp;UsetheForce&amp;" vs. Reflex, target takes 8d6 damage and moves -1 step down the condition track, half damage on a miss
Spend a Force Point to move target an additional step down the condition track"&amp;M33</f>
        <v>+0 vs. Reflex, target takes 8d6 damage and moves -1 step down the condition track, half damage on a miss
Spend a Force Point to move target an additional step down the condition track</v>
      </c>
      <c r="H33" s="1379" t="s">
        <v>7155</v>
      </c>
      <c r="I33" s="1379"/>
      <c r="J33" s="1379"/>
      <c r="K33" s="1379"/>
      <c r="L33" s="1379">
        <v>97</v>
      </c>
      <c r="M33" s="456" t="str">
        <f ca="1">IF('The Force'!AK36&lt;&gt;"","
Target makes Strength check or target is pushed back 1 square, + 1 square per 5 points the Use the Force check exceeds the target's Strength check","")&amp;IF(Unleashed&gt;0,"
Spend a Destiny Point to target all creatures in a 6 square cone","")</f>
        <v/>
      </c>
      <c r="N33" s="1380" t="str">
        <f t="shared" ca="1" si="3"/>
        <v>Force Lightning (standard; one target within 6 squares) • Dark Side
+0 vs. Reflex, target takes 8d6 damage and moves -1 step down the condition track, half damage on a miss
Spend a Force Point to move target an additional step down the condition track</v>
      </c>
      <c r="O33" s="1423" t="str">
        <f t="shared" si="1"/>
        <v/>
      </c>
      <c r="P33" s="1393" t="str">
        <f t="shared" ca="1" si="2"/>
        <v>// Force Lightning (standard; one target within 6 squares) •Dark Side&lt;BR&gt;+0 vs. Reflex, target takes 8d6 damage and moves -1 step down the condition track, half damage on a miss
Spend a Force Point to move target an additional step down the condition track&lt;BR&gt;</v>
      </c>
      <c r="Q33" s="1536" t="str">
        <f t="shared" si="0"/>
        <v/>
      </c>
    </row>
    <row r="34" spans="1:17" ht="101.5">
      <c r="A34" s="1379" t="s">
        <v>3869</v>
      </c>
      <c r="B34" s="1379" t="s">
        <v>7193</v>
      </c>
      <c r="C34" s="1379" t="s">
        <v>7092</v>
      </c>
      <c r="D34" s="1397" t="s">
        <v>7244</v>
      </c>
      <c r="E34" s="1379">
        <v>12</v>
      </c>
      <c r="F34" s="1379"/>
      <c r="G34" s="1380" t="str">
        <f ca="1">"DC 15: +"&amp;UsetheForce&amp;" vs. Fortitude, 1d6 Force damage and -5 to target's threshold until end of your next turn
DC 20: as DC 15, except 2d6 Force damage
DC 25: as DC 15, except 3d6 Force damage
DC 30: as DC 15, except 4d6 Force damage
"&amp;M34</f>
        <v>DC 15: +0 vs. Fortitude, 1d6 Force damage and -5 to target's threshold until end of your next turn
DC 20: as DC 15, except 2d6 Force damage
DC 25: as DC 15, except 3d6 Force damage
DC 30: as DC 15, except 4d6 Force damage
Spend a Force Point to reduce damage threshold by -10</v>
      </c>
      <c r="H34" s="1379" t="s">
        <v>7155</v>
      </c>
      <c r="I34" s="1379"/>
      <c r="J34" s="1379"/>
      <c r="K34" s="1379"/>
      <c r="L34" s="1379" t="s">
        <v>7185</v>
      </c>
      <c r="M34" s="456" t="s">
        <v>7243</v>
      </c>
      <c r="N34" s="1380" t="str">
        <f t="shared" ca="1" si="3"/>
        <v>Force Scream (standard; all targets within 12 squares and line of sight) • Dark Side
DC 15: +0 vs. Fortitude, 1d6 Force damage and -5 to target's threshold until end of your next turn
DC 20: as DC 15, except 2d6 Force damage
DC 25: as DC 15, except 3d6 Force damage
DC 30: as DC 15, except 4d6 Force damage
Spend a Force Point to reduce damage threshold by -10</v>
      </c>
      <c r="O34" s="1423" t="str">
        <f t="shared" ref="O34:O65" si="4">IF(NOT(ISERROR(FIND("lightsaber form",B34,1))),IF(INDEX(LightsaberFormsTable,MATCH(A34,LightsaberFormsList,0),8)&gt;0,IF(ForcePowerNumbers,INDEX(LightsaberFormsTable,MATCH(A34,LightsaberFormsList,0),8)&amp;"× ","")&amp;N34&amp;"
"&amp;O35,O35),IF(INDEX(ForcePowersTable,MATCH(A34,ForcePowersList,0),8)&gt;0,IF(ForcePowerNumbers,INDEX(ForcePowersTable,MATCH(A34,ForcePowersList,0),8)&amp;"× ","")&amp;N34&amp;"
"&amp;O35,O35))</f>
        <v/>
      </c>
      <c r="P34" s="1393" t="str">
        <f t="shared" ca="1" si="2"/>
        <v>// Force Scream (standard; all targets within 12 squares and line of sight) •Dark Side&lt;BR&gt;DC 15: +0 vs. Fortitude, 1d6 Force damage and -5 to target's threshold until end of your next turn
DC 20: as DC 15, except 2d6 Force damage
DC 25: as DC 15, except 3d6 Force damage
DC 30: as DC 15, except 4d6 Force damage
Spend a Force Point to reduce damage threshold by -10&lt;BR&gt;</v>
      </c>
      <c r="Q34" s="1536" t="str">
        <f t="shared" ref="Q34:Q65" si="5">IF(NOT(ISERROR(FIND("lightsaber form",B34,1))),IF(INDEX(LightsaberFormsTable,MATCH(A34,LightsaberFormsList,0),8)&gt;0,IF(ForcePowerNumbers,INDEX(LightsaberFormsTable,MATCH(A34,LightsaberFormsList,0),8)&amp;"× ","")&amp;P34&amp;Enter&amp;Q35,Q35),IF(INDEX(ForcePowersTable,MATCH(A34,ForcePowersList,0),8)&gt;0,IF(ForcePowerNumbers,INDEX(ForcePowersTable,MATCH(A34,ForcePowersList,0),8)&amp;"× ","")&amp;P34&amp;Enter&amp;Q35,Q35))</f>
        <v/>
      </c>
    </row>
    <row r="35" spans="1:17" ht="116">
      <c r="A35" s="1394" t="s">
        <v>3872</v>
      </c>
      <c r="B35" s="1379" t="s">
        <v>7192</v>
      </c>
      <c r="C35" s="1379" t="s">
        <v>7189</v>
      </c>
      <c r="D35" s="1379" t="s">
        <v>7151</v>
      </c>
      <c r="E35" s="1379"/>
      <c r="F35" s="1379"/>
      <c r="G35" s="1380" t="str">
        <f>"DC 15: gain SR 5 until start of your next turn, cannot be recharged
DC 20: as DC 15 except SR 10
DC 25: as DC 15 except SR 15
DC 30: as DC 15 except SR 20
Spend a Force Point to increase SR by 5, maintain as a standard action
"&amp;M35</f>
        <v xml:space="preserve">DC 15: gain SR 5 until start of your next turn, cannot be recharged
DC 20: as DC 15 except SR 10
DC 25: as DC 15 except SR 15
DC 30: as DC 15 except SR 20
Spend a Force Point to increase SR by 5, maintain as a standard action
</v>
      </c>
      <c r="H35" s="1379"/>
      <c r="I35" s="1379"/>
      <c r="J35" s="1379"/>
      <c r="K35" s="1379" t="s">
        <v>3816</v>
      </c>
      <c r="L35" s="1379" t="s">
        <v>5904</v>
      </c>
      <c r="M35" s="456" t="str">
        <f>IF('The Force'!AK37&lt;&gt;"","Spend a Force Point to protect you and all adjacent allies
Spend a Destiny Point to hprotect a vehicle you occupy","")</f>
        <v/>
      </c>
      <c r="N35" s="1380" t="str">
        <f t="shared" si="3"/>
        <v xml:space="preserve">Force Shield (reaction; you) • Telekinetic
DC 15: gain SR 5 until start of your next turn, cannot be recharged
DC 20: as DC 15 except SR 10
DC 25: as DC 15 except SR 15
DC 30: as DC 15 except SR 20
Spend a Force Point to increase SR by 5, maintain as a standard action
</v>
      </c>
      <c r="O35" s="1423" t="str">
        <f t="shared" si="4"/>
        <v/>
      </c>
      <c r="P35" s="1393" t="str">
        <f t="shared" ref="P35:P66" si="6">IF(HTML,TRB&amp;WFS&amp;"u"&amp;WFF&amp;BS,"//")&amp;" "&amp;A35&amp;" ("&amp;C35&amp;"; "&amp;D35&amp;") "&amp;IF(B35&lt;&gt;"",IF(HTML,WFS&amp;"v"&amp;WFF&amp;BS,"•")&amp;PROPER(B35)&amp;"","")&amp;TRF&amp;TRW&amp;G35&amp;TRF</f>
        <v>// Force Shield (reaction; you) •Telekinetic&lt;BR&gt;DC 15: gain SR 5 until start of your next turn, cannot be recharged
DC 20: as DC 15 except SR 10
DC 25: as DC 15 except SR 15
DC 30: as DC 15 except SR 20
Spend a Force Point to increase SR by 5, maintain as a standard action
&lt;BR&gt;</v>
      </c>
      <c r="Q35" s="1536" t="str">
        <f t="shared" si="5"/>
        <v/>
      </c>
    </row>
    <row r="36" spans="1:17" ht="116">
      <c r="A36" s="1406" t="s">
        <v>3872</v>
      </c>
      <c r="B36" s="1406" t="s">
        <v>7192</v>
      </c>
      <c r="C36" s="1406" t="s">
        <v>7189</v>
      </c>
      <c r="D36" s="1406" t="s">
        <v>7151</v>
      </c>
      <c r="E36" s="1406"/>
      <c r="F36" s="1406"/>
      <c r="G36" s="1407" t="str">
        <f>"DC 15: gain SR 5 until start of your next turn, cannot be recharged
DC 20: as DC 15 except SR 10
DC 25: as DC 15 except SR 15
DC 30: as DC 15 except SR 20
Spend a Force Point to increase SR by 5, maintain as a standard action
"&amp;M36</f>
        <v xml:space="preserve">DC 15: gain SR 5 until start of your next turn, cannot be recharged
DC 20: as DC 15 except SR 10
DC 25: as DC 15 except SR 15
DC 30: as DC 15 except SR 20
Spend a Force Point to increase SR by 5, maintain as a standard action
</v>
      </c>
      <c r="H36" s="1406"/>
      <c r="I36" s="1406"/>
      <c r="J36" s="1406"/>
      <c r="K36" s="1406" t="s">
        <v>3816</v>
      </c>
      <c r="L36" s="1406" t="s">
        <v>5927</v>
      </c>
      <c r="M36" s="1408" t="str">
        <f>IF('The Force'!AK38&lt;&gt;"","Spend a Force Point to protect you and all adjacent allies
Spend a Destiny Point to hprotect a vehicle you occupy","")</f>
        <v/>
      </c>
      <c r="N36" s="1380" t="str">
        <f t="shared" si="3"/>
        <v xml:space="preserve">Force Shield (reaction; you) • Telekinetic
DC 15: gain SR 5 until start of your next turn, cannot be recharged
DC 20: as DC 15 except SR 10
DC 25: as DC 15 except SR 15
DC 30: as DC 15 except SR 20
Spend a Force Point to increase SR by 5, maintain as a standard action
</v>
      </c>
      <c r="O36" s="1423" t="str">
        <f t="shared" si="4"/>
        <v/>
      </c>
      <c r="P36" s="1393" t="str">
        <f t="shared" si="6"/>
        <v>// Force Shield (reaction; you) •Telekinetic&lt;BR&gt;DC 15: gain SR 5 until start of your next turn, cannot be recharged
DC 20: as DC 15 except SR 10
DC 25: as DC 15 except SR 15
DC 30: as DC 15 except SR 20
Spend a Force Point to increase SR by 5, maintain as a standard action
&lt;BR&gt;</v>
      </c>
      <c r="Q36" s="1536" t="str">
        <f t="shared" si="5"/>
        <v/>
      </c>
    </row>
    <row r="37" spans="1:17" ht="43.5">
      <c r="A37" s="1379" t="s">
        <v>3875</v>
      </c>
      <c r="B37" s="1423" t="s">
        <v>7192</v>
      </c>
      <c r="C37" s="1379" t="s">
        <v>7092</v>
      </c>
      <c r="D37" s="1402" t="s">
        <v>7245</v>
      </c>
      <c r="E37" s="1379">
        <v>6</v>
      </c>
      <c r="F37" s="1379" t="s">
        <v>7150</v>
      </c>
      <c r="G37" s="1380" t="str">
        <f ca="1">"+"&amp;UsetheForce&amp;" vs. Fort, deal 4d6 damage and targets are knocked prone; half damage on a miss
Spend a Force Point to deal +2d6 damage"&amp;M37</f>
        <v>+0 vs. Fort, deal 4d6 damage and targets are knocked prone; half damage on a miss
Spend a Force Point to deal +2d6 damage</v>
      </c>
      <c r="H37" s="1379"/>
      <c r="I37" s="1379"/>
      <c r="J37" s="1379"/>
      <c r="K37" s="1379" t="s">
        <v>3816</v>
      </c>
      <c r="L37" s="1379">
        <v>97</v>
      </c>
      <c r="M37" s="456" t="str">
        <f>IF('The Force'!AK38&lt;&gt;"","
Increase time to full action to target all targets within a 2-square radius
Spend a Force Point to increase area to a 4-square radius","")</f>
        <v/>
      </c>
      <c r="N37" s="1380" t="str">
        <f t="shared" ca="1" si="3"/>
        <v>Force Slam (standard; all targets within a 6 square cone) • Telekinetic
+0 vs. Fort, deal 4d6 damage and targets are knocked prone; half damage on a miss
Spend a Force Point to deal +2d6 damage</v>
      </c>
      <c r="O37" s="1423" t="str">
        <f t="shared" si="4"/>
        <v/>
      </c>
      <c r="P37" s="1393" t="str">
        <f t="shared" ca="1" si="6"/>
        <v>// Force Slam (standard; all targets within a 6 square cone) •Telekinetic&lt;BR&gt;+0 vs. Fort, deal 4d6 damage and targets are knocked prone; half damage on a miss
Spend a Force Point to deal +2d6 damage&lt;BR&gt;</v>
      </c>
      <c r="Q37" s="1536" t="str">
        <f t="shared" si="5"/>
        <v/>
      </c>
    </row>
    <row r="38" spans="1:17" ht="87">
      <c r="A38" s="1394" t="s">
        <v>3878</v>
      </c>
      <c r="B38" s="1379" t="s">
        <v>7198</v>
      </c>
      <c r="C38" s="1379" t="s">
        <v>7092</v>
      </c>
      <c r="D38" s="1379" t="s">
        <v>7151</v>
      </c>
      <c r="E38" s="1379"/>
      <c r="F38" s="1379"/>
      <c r="G38" s="1380" t="str">
        <f ca="1">"DC 20: for 2 rounds, 2d6 damage to all adjacent targets
DC 25: as DC 20 except 4 rounds
DC 30: as DC 20 except 6 rounds
DC 35: as DC 20 except 8 rounds
Spend a Force Point for +2d6 damage"&amp;M38</f>
        <v>DC 20: for 2 rounds, 2d6 damage to all adjacent targets
DC 25: as DC 20 except 4 rounds
DC 30: as DC 20 except 6 rounds
DC 35: as DC 20 except 8 rounds
Spend a Force Point for +2d6 damage</v>
      </c>
      <c r="H38" s="1379" t="s">
        <v>7155</v>
      </c>
      <c r="I38" s="1379"/>
      <c r="J38" s="1379"/>
      <c r="K38" s="1379" t="s">
        <v>3816</v>
      </c>
      <c r="L38" s="1379" t="s">
        <v>5927</v>
      </c>
      <c r="M38" s="456" t="str">
        <f ca="1">IF('The Force'!AK39&lt;&gt;"","
As a swift action end power to deal 4d6 points of damage to all targets within 2 squares","")&amp;IF(Unleashed,"
Spend a Destiny Point to deal 8d6 points of damage to adjacent targets for the duration","")</f>
        <v/>
      </c>
      <c r="N38" s="1380" t="str">
        <f t="shared" ca="1" si="3"/>
        <v>Force Storm (standard; you) • Dark Side, Telekinetic
DC 20: for 2 rounds, 2d6 damage to all adjacent targets
DC 25: as DC 20 except 4 rounds
DC 30: as DC 20 except 6 rounds
DC 35: as DC 20 except 8 rounds
Spend a Force Point for +2d6 damage</v>
      </c>
      <c r="O38" s="1423" t="str">
        <f t="shared" si="4"/>
        <v/>
      </c>
      <c r="P38" s="1393" t="str">
        <f t="shared" ca="1" si="6"/>
        <v>// Force Storm (standard; you) •Dark Side, Telekinetic&lt;BR&gt;DC 20: for 2 rounds, 2d6 damage to all adjacent targets
DC 25: as DC 20 except 4 rounds
DC 30: as DC 20 except 6 rounds
DC 35: as DC 20 except 8 rounds
Spend a Force Point for +2d6 damage&lt;BR&gt;</v>
      </c>
      <c r="Q38" s="1536" t="str">
        <f t="shared" si="5"/>
        <v/>
      </c>
    </row>
    <row r="39" spans="1:17" ht="145">
      <c r="A39" s="1379" t="s">
        <v>4230</v>
      </c>
      <c r="B39" s="1379" t="s">
        <v>7193</v>
      </c>
      <c r="C39" s="1379" t="s">
        <v>7092</v>
      </c>
      <c r="D39" s="1402" t="s">
        <v>7246</v>
      </c>
      <c r="E39" s="1379">
        <v>12</v>
      </c>
      <c r="F39" s="1379" t="s">
        <v>7150</v>
      </c>
      <c r="G39" s="1380" t="str">
        <f>"DC 20: cover a 3×3 square area with storm until the end of your next turn, deals 2d6 acid damage to any creature that enters or begins turn in area; grants concealment, -5 penalty to Perception to listen
DC 25: as DC 20 except a 4×4 square area"&amp;M39</f>
        <v>DC 20: cover a 3×3 square area with storm until the end of your next turn, deals 2d6 acid damage to any creature that enters or begins turn in area; grants concealment, -5 penalty to Perception to listen
DC 25: as DC 20 except a 4×4 square area
DC 30: as DC 20 except a 5×5 square area
DC 35: as DC 20 except a 6×6 square area
Maintain as standard action
Spend a Force Point for +2d6 damage</v>
      </c>
      <c r="H39" s="1379" t="s">
        <v>7155</v>
      </c>
      <c r="I39" s="1379"/>
      <c r="J39" s="1379"/>
      <c r="K39" s="1379"/>
      <c r="L39" s="1379" t="s">
        <v>5695</v>
      </c>
      <c r="M39" s="456" t="str">
        <f>"
DC 30: as DC 20 except a 5×5 square area
DC 35: as DC 20 except a 6×6 square area
Maintain as standard action
Spend a Force Point for +2d6 damage"&amp;IF('The Force'!AK40&lt;&gt;"","
Spend a Force Point to deal 3d6 Force damage per round to one target if Use the Force beats its Reflex
Spend a Destiny Point to increase the damage to 6d6","")</f>
        <v xml:space="preserve">
DC 30: as DC 20 except a 5×5 square area
DC 35: as DC 20 except a 6×6 square area
Maintain as standard action
Spend a Force Point for +2d6 damage</v>
      </c>
      <c r="N39" s="1380" t="str">
        <f t="shared" si="3"/>
        <v>Force Storm (JATM) (standard; one designated area within 12 squares and line of sight) • Dark Side
DC 20: cover a 3×3 square area with storm until the end of your next turn, deals 2d6 acid damage to any creature that enters or begins turn in area; grants concealment, -5 penalty to Perception to listen
DC 25: as DC 20 except a 4×4 square area
DC 30: as DC 20 except a 5×5 square area
DC 35: as DC 20 except a 6×6 square area
Maintain as standard action
Spend a Force Point for +2d6 damage</v>
      </c>
      <c r="O39" s="1423" t="str">
        <f t="shared" si="4"/>
        <v/>
      </c>
      <c r="P39" s="1393" t="str">
        <f t="shared" si="6"/>
        <v>// Force Storm (JATM) (standard; one designated area within 12 squares and line of sight) •Dark Side&lt;BR&gt;DC 20: cover a 3×3 square area with storm until the end of your next turn, deals 2d6 acid damage to any creature that enters or begins turn in area; grants concealment, -5 penalty to Perception to listen
DC 25: as DC 20 except a 4×4 square area
DC 30: as DC 20 except a 5×5 square area
DC 35: as DC 20 except a 6×6 square area
Maintain as standard action
Spend a Force Point for +2d6 damage&lt;BR&gt;</v>
      </c>
      <c r="Q39" s="1536" t="str">
        <f t="shared" si="5"/>
        <v/>
      </c>
    </row>
    <row r="40" spans="1:17" ht="72.5">
      <c r="A40" s="1379" t="s">
        <v>3881</v>
      </c>
      <c r="C40" s="1379" t="s">
        <v>7092</v>
      </c>
      <c r="D40" s="1379">
        <v>1</v>
      </c>
      <c r="E40" s="1379">
        <v>6</v>
      </c>
      <c r="F40" s="1379" t="s">
        <v>7150</v>
      </c>
      <c r="G40" s="1380" t="str">
        <f ca="1">"+"&amp;UsetheForce&amp;" vs. Fortitude, target moves -1 step down the condition track and one additonal step for ever 5 points exceeding Fortitude
Spend a Force Point to move target an additional step down track"&amp;M40</f>
        <v>+0 vs. Fortitude, target moves -1 step down the condition track and one additonal step for ever 5 points exceeding Fortitude
Spend a Force Point to move target an additional step down track</v>
      </c>
      <c r="H40" s="1379"/>
      <c r="I40" s="1379"/>
      <c r="J40" s="1379"/>
      <c r="K40" s="1379"/>
      <c r="L40" s="1379">
        <v>98</v>
      </c>
      <c r="M40" s="456" t="str">
        <f>IF('The Force'!AK41&lt;&gt;"","
Successful Force stun immobilises target for one round","")</f>
        <v/>
      </c>
      <c r="N40" s="1380" t="str">
        <f t="shared" ca="1" si="3"/>
        <v>Force Stun (standard; 1) 
+0 vs. Fortitude, target moves -1 step down the condition track and one additonal step for ever 5 points exceeding Fortitude
Spend a Force Point to move target an additional step down track</v>
      </c>
      <c r="O40" s="1423" t="str">
        <f t="shared" si="4"/>
        <v/>
      </c>
      <c r="P40" s="1393" t="str">
        <f t="shared" ca="1" si="6"/>
        <v>// Force Stun (standard; 1) &lt;BR&gt;+0 vs. Fortitude, target moves -1 step down the condition track and one additonal step for ever 5 points exceeding Fortitude
Spend a Force Point to move target an additional step down track&lt;BR&gt;</v>
      </c>
      <c r="Q40" s="1536" t="str">
        <f t="shared" si="5"/>
        <v/>
      </c>
    </row>
    <row r="41" spans="1:17" ht="87">
      <c r="A41" s="1379" t="s">
        <v>3884</v>
      </c>
      <c r="B41" s="1423" t="s">
        <v>7192</v>
      </c>
      <c r="C41" s="1379" t="s">
        <v>7092</v>
      </c>
      <c r="D41" s="1402" t="str">
        <f>"one object or character within "&amp;E41&amp;" squares and line of sight"</f>
        <v>one object or character within 12 squares and line of sight</v>
      </c>
      <c r="E41" s="1379">
        <f>IF('The Force'!AK17&lt;&gt;"",18,12)</f>
        <v>12</v>
      </c>
      <c r="F41" s="1379" t="s">
        <v>7150</v>
      </c>
      <c r="G41" s="1380" t="str">
        <f ca="1">"+"&amp;UsetheForce&amp;" vs. Strength check + base attack + size modifier, push target back 1 square + 1 square per 5 points over the Strength check; target takes 1d6 damage if pushed into an object"&amp;M41</f>
        <v>+0 vs. Strength check + base attack + size modifier, push target back 1 square + 1 square per 5 points over the Strength check; target takes 1d6 damage if pushed into an object
Spend a Force Point to apply -5 penalty to opponent's check, 2d6 damage if pushed into larger object</v>
      </c>
      <c r="H41" s="1379"/>
      <c r="I41" s="1379"/>
      <c r="J41" s="1379"/>
      <c r="K41" s="1379" t="s">
        <v>3816</v>
      </c>
      <c r="L41" s="1379">
        <v>98</v>
      </c>
      <c r="M41" s="456" t="str">
        <f ca="1">"
Spend a Force Point to apply -5 penalty to opponent's check, 2d6 damage if pushed into larger object"&amp;IF('The Force'!AK42&lt;&gt;"","
Change to a full-round action and spend a Force Point to target all creatures in a 6-sqcare cone","")&amp;IF(Unleashed,"
Spend a Destiny Point to remove size modifier bonus to Strength checks, the distance you move the target is multiplied by 2, and it takes 1d6 points of damage per square moved by this power","")</f>
        <v xml:space="preserve">
Spend a Force Point to apply -5 penalty to opponent's check, 2d6 damage if pushed into larger object</v>
      </c>
      <c r="N41" s="1380" t="str">
        <f t="shared" ca="1" si="3"/>
        <v>Force Thrust (standard; one object or character within 12 squares and line of sight) • Telekinetic
+0 vs. Strength check + base attack + size modifier, push target back 1 square + 1 square per 5 points over the Strength check; target takes 1d6 damage if pushed into an object
Spend a Force Point to apply -5 penalty to opponent's check, 2d6 damage if pushed into larger object</v>
      </c>
      <c r="O41" s="1423" t="str">
        <f t="shared" si="4"/>
        <v/>
      </c>
      <c r="P41" s="1393" t="str">
        <f t="shared" ca="1" si="6"/>
        <v>// Force Thrust (standard; one object or character within 12 squares and line of sight) •Telekinetic&lt;BR&gt;+0 vs. Strength check + base attack + size modifier, push target back 1 square + 1 square per 5 points over the Strength check; target takes 1d6 damage if pushed into an object
Spend a Force Point to apply -5 penalty to opponent's check, 2d6 damage if pushed into larger object&lt;BR&gt;</v>
      </c>
      <c r="Q41" s="1536" t="str">
        <f t="shared" si="5"/>
        <v/>
      </c>
    </row>
    <row r="42" spans="1:17" ht="101.5">
      <c r="A42" s="1379" t="s">
        <v>4231</v>
      </c>
      <c r="C42" s="1379" t="s">
        <v>7188</v>
      </c>
      <c r="D42" s="1379" t="s">
        <v>7151</v>
      </c>
      <c r="E42" s="1379"/>
      <c r="F42" s="1379"/>
      <c r="G42" s="1380" t="s">
        <v>7247</v>
      </c>
      <c r="H42" s="1379"/>
      <c r="I42" s="1379"/>
      <c r="J42" s="1379"/>
      <c r="K42" s="1379"/>
      <c r="L42" s="1379" t="s">
        <v>5695</v>
      </c>
      <c r="N42" s="1380" t="str">
        <f t="shared" si="3"/>
        <v>Force Track (swift; you) 
DC 15: you can track a creature for up to one hour if within line of sight of the trail and the target passed through within the last minute
DC 20: as DC 15 except within last 10 minutes
DC 25: as DC 15 except within last hour
DC 30: as DC 15 except within last day
Spend a Force Point to track two targets</v>
      </c>
      <c r="O42" s="1423" t="str">
        <f t="shared" si="4"/>
        <v/>
      </c>
      <c r="P42" s="1393" t="str">
        <f t="shared" si="6"/>
        <v>// Force Track (swift; you) &lt;BR&gt;DC 15: you can track a creature for up to one hour if within line of sight of the trail and the target passed through within the last minute
DC 20: as DC 15 except within last 10 minutes
DC 25: as DC 15 except within last hour
DC 30: as DC 15 except within last day
Spend a Force Point to track two targets&lt;BR&gt;</v>
      </c>
      <c r="Q42" s="1536" t="str">
        <f t="shared" si="5"/>
        <v/>
      </c>
    </row>
    <row r="43" spans="1:17" ht="145">
      <c r="A43" s="1379" t="s">
        <v>3887</v>
      </c>
      <c r="B43" s="1379" t="s">
        <v>7192</v>
      </c>
      <c r="C43" s="1379" t="s">
        <v>7092</v>
      </c>
      <c r="D43" s="1402" t="s">
        <v>7248</v>
      </c>
      <c r="E43" s="1379">
        <v>12</v>
      </c>
      <c r="F43" s="1379" t="s">
        <v>7150</v>
      </c>
      <c r="G43" s="1380" t="str">
        <f ca="1">"+"&amp;UsetheForce&amp;" vs. Fortitude, target imobilized until your next turn, suffers a -5 penalty to skill checks and attack rolls for the duration, and is rendered prone once released
DC 15: target takes 1d6 damage
DC 20: target takes 2d6 damage
"&amp;M43</f>
        <v>+0 vs. Fortitude, target imobilized until your next turn, suffers a -5 penalty to skill checks and attack rolls for the duration, and is rendered prone once released
DC 15: target takes 1d6 damage
DC 20: target takes 2d6 damage
DC 25: target takes 3d6 damage
DC 30: target takes 4d6 damage
Maintain as move action
Spend a Force Point to increase penalty to skill checks and attack rolls to -10</v>
      </c>
      <c r="H43" s="1379"/>
      <c r="I43" s="1379"/>
      <c r="J43" s="1379"/>
      <c r="K43" s="1379" t="s">
        <v>3816</v>
      </c>
      <c r="L43" s="1379" t="s">
        <v>7186</v>
      </c>
      <c r="M43" s="456" t="str">
        <f>"DC 25: target takes 3d6 damage
DC 30: target takes 4d6 damage
Maintain as move action
Spend a Force Point to increase penalty to skill checks and attack rolls to -10"</f>
        <v>DC 25: target takes 3d6 damage
DC 30: target takes 4d6 damage
Maintain as move action
Spend a Force Point to increase penalty to skill checks and attack rolls to -10</v>
      </c>
      <c r="N43" s="1380" t="str">
        <f t="shared" ca="1" si="3"/>
        <v>Force Whirlwind (standard; one creature or driod within 12 squares and line of sight) • Telekinetic
+0 vs. Fortitude, target imobilized until your next turn, suffers a -5 penalty to skill checks and attack rolls for the duration, and is rendered prone once released
DC 15: target takes 1d6 damage
DC 20: target takes 2d6 damage
DC 25: target takes 3d6 damage
DC 30: target takes 4d6 damage
Maintain as move action
Spend a Force Point to increase penalty to skill checks and attack rolls to -10</v>
      </c>
      <c r="O43" s="1423" t="str">
        <f t="shared" si="4"/>
        <v/>
      </c>
      <c r="P43" s="1393" t="str">
        <f t="shared" ca="1" si="6"/>
        <v>// Force Whirlwind (standard; one creature or driod within 12 squares and line of sight) •Telekinetic&lt;BR&gt;+0 vs. Fortitude, target imobilized until your next turn, suffers a -5 penalty to skill checks and attack rolls for the duration, and is rendered prone once released
DC 15: target takes 1d6 damage
DC 20: target takes 2d6 damage
DC 25: target takes 3d6 damage
DC 30: target takes 4d6 damage
Maintain as move action
Spend a Force Point to increase penalty to skill checks and attack rolls to -10&lt;BR&gt;</v>
      </c>
      <c r="Q43" s="1536" t="str">
        <f t="shared" si="5"/>
        <v/>
      </c>
    </row>
    <row r="44" spans="1:17" ht="116">
      <c r="A44" s="1379" t="s">
        <v>4232</v>
      </c>
      <c r="B44" s="1379" t="s">
        <v>7193</v>
      </c>
      <c r="C44" s="1379" t="s">
        <v>7092</v>
      </c>
      <c r="D44" s="1402" t="s">
        <v>7249</v>
      </c>
      <c r="E44" s="1379"/>
      <c r="F44" s="1379"/>
      <c r="G44" s="1380" t="s">
        <v>7250</v>
      </c>
      <c r="H44" s="1379" t="s">
        <v>7155</v>
      </c>
      <c r="I44" s="1379"/>
      <c r="J44" s="1379"/>
      <c r="K44" s="1379"/>
      <c r="L44" s="1379" t="s">
        <v>5695</v>
      </c>
      <c r="N44" s="1380" t="str">
        <f t="shared" si="3"/>
        <v xml:space="preserve">Hatred (standard; any creature that starts its turn within 6 squares) • Dark Side
DC 15: until the end of your next turn targets take 1d6 points of Force damage and a - 1 penalty to all defenses
DC 20: as DC 15 except 2d6 damage
DC 25: as DC 15 except 3d6 damage
DC 30: as DC 15 except 4d6 damage
Maintain as swift action
Spend a Force Point for +1d6 damage </v>
      </c>
      <c r="O44" s="1423" t="str">
        <f t="shared" si="4"/>
        <v/>
      </c>
      <c r="P44" s="1393" t="str">
        <f t="shared" si="6"/>
        <v>// Hatred (standard; any creature that starts its turn within 6 squares) •Dark Side&lt;BR&gt;DC 15: until the end of your next turn targets take 1d6 points of Force damage and a - 1 penalty to all defenses
DC 20: as DC 15 except 2d6 damage
DC 25: as DC 15 except 3d6 damage
DC 30: as DC 15 except 4d6 damage
Maintain as swift action
Spend a Force Point for +1d6 damage &lt;BR&gt;</v>
      </c>
      <c r="Q44" s="1536" t="str">
        <f t="shared" si="5"/>
        <v/>
      </c>
    </row>
    <row r="45" spans="1:17" ht="101.5">
      <c r="A45" s="1379" t="s">
        <v>4248</v>
      </c>
      <c r="B45" s="1379" t="s">
        <v>7191</v>
      </c>
      <c r="C45" s="1379" t="s">
        <v>7092</v>
      </c>
      <c r="D45" s="1379" t="s">
        <v>7151</v>
      </c>
      <c r="E45" s="1379"/>
      <c r="F45" s="1379"/>
      <c r="G45" s="1380" t="str">
        <f>"DC 15: you move 2 squares without provoking attacks of opportunity and make a single lightsaber attack
DC 20: as DC 15 except you move 4 squares
DC 25: as DC 15 except you move 6 squares
DC 30: as DC 15 except you move 8 squares"&amp;M45</f>
        <v xml:space="preserve">DC 15: you move 2 squares without provoking attacks of opportunity and make a single lightsaber attack
DC 20: as DC 15 except you move 4 squares
DC 25: as DC 15 except you move 6 squares
DC 30: as DC 15 except you move 8 squares
Spend a Force Point to deal +2 dice of damage </v>
      </c>
      <c r="H45" s="1379"/>
      <c r="I45" s="1379" t="s">
        <v>3816</v>
      </c>
      <c r="J45" s="1379"/>
      <c r="K45" s="1379"/>
      <c r="L45" s="1379" t="s">
        <v>5700</v>
      </c>
      <c r="M45" s="456" t="str">
        <f>IF(OR(Talents!M1153&lt;&gt;0,'Talents 2'!E64&lt;&gt;0),"
Lightsaber form (Ataru): you can also move 2 squares after your attack","")&amp;"
Spend a Force Point to deal +2 dice of damage "</f>
        <v xml:space="preserve">
Spend a Force Point to deal +2 dice of damage </v>
      </c>
      <c r="N45" s="1380" t="str">
        <f t="shared" si="3"/>
        <v xml:space="preserve">Hawk-Bat Swoop (standard; you) • Lightsaber Form
DC 15: you move 2 squares without provoking attacks of opportunity and make a single lightsaber attack
DC 20: as DC 15 except you move 4 squares
DC 25: as DC 15 except you move 6 squares
DC 30: as DC 15 except you move 8 squares
Spend a Force Point to deal +2 dice of damage </v>
      </c>
      <c r="O45" s="1423" t="str">
        <f t="shared" si="4"/>
        <v/>
      </c>
      <c r="P45" s="1393" t="str">
        <f t="shared" si="6"/>
        <v>// Hawk-Bat Swoop (standard; you) •Lightsaber Form&lt;BR&gt;DC 15: you move 2 squares without provoking attacks of opportunity and make a single lightsaber attack
DC 20: as DC 15 except you move 4 squares
DC 25: as DC 15 except you move 6 squares
DC 30: as DC 15 except you move 8 squares
Spend a Force Point to deal +2 dice of damage &lt;BR&gt;</v>
      </c>
      <c r="Q45" s="1536" t="str">
        <f t="shared" si="5"/>
        <v/>
      </c>
    </row>
    <row r="46" spans="1:17" ht="130.5">
      <c r="A46" s="1379" t="s">
        <v>4249</v>
      </c>
      <c r="B46" s="1379" t="s">
        <v>7191</v>
      </c>
      <c r="C46" s="1379" t="s">
        <v>7188</v>
      </c>
      <c r="D46" s="1379" t="s">
        <v>7151</v>
      </c>
      <c r="E46" s="1379"/>
      <c r="F46" s="1379"/>
      <c r="G46" s="1380" t="str">
        <f>"DC 15: if you are on a low object or difficult terrain any creature that moves adjacent to you provokes an attack of opportunity
DC 20: as DC 15 except +1 bonus on the attack
DC 25: as DC 15 except +2 bonus on the attack"&amp;M46</f>
        <v>DC 15: if you are on a low object or difficult terrain any creature that moves adjacent to you provokes an attack of opportunity
DC 20: as DC 15 except +1 bonus on the attack
DC 25: as DC 15 except +2 bonus on the attack
DC 30: as DC 15 except +5 bonus on the attack
Spend a Force Point to move 1 square each time you make an attack of opportunity without provoking an attack of opportunity</v>
      </c>
      <c r="H46" s="1379"/>
      <c r="I46" s="1379" t="s">
        <v>3816</v>
      </c>
      <c r="J46" s="1379"/>
      <c r="K46" s="1379"/>
      <c r="L46" s="1379" t="s">
        <v>5701</v>
      </c>
      <c r="M46" s="456" t="str">
        <f>"
DC 30: as DC 15 except +5 bonus on the attack"&amp;IF(OR(Talents!M1162&lt;&gt;0,'Talents 2'!E73&lt;&gt;0),"
Lightsaber form (Sokan): deal +1 die damage on attack of opportunity","")&amp;"
Spend a Force Point to move 1 square each time you make an attack of opportunity without provoking an attack of opportunity"</f>
        <v xml:space="preserve">
DC 30: as DC 15 except +5 bonus on the attack
Spend a Force Point to move 1 square each time you make an attack of opportunity without provoking an attack of opportunity</v>
      </c>
      <c r="N46" s="1380" t="str">
        <f t="shared" si="3"/>
        <v>High Ground Defense (swift; you) • Lightsaber Form
DC 15: if you are on a low object or difficult terrain any creature that moves adjacent to you provokes an attack of opportunity
DC 20: as DC 15 except +1 bonus on the attack
DC 25: as DC 15 except +2 bonus on the attack
DC 30: as DC 15 except +5 bonus on the attack
Spend a Force Point to move 1 square each time you make an attack of opportunity without provoking an attack of opportunity</v>
      </c>
      <c r="O46" s="1423" t="str">
        <f t="shared" si="4"/>
        <v/>
      </c>
      <c r="P46" s="1393" t="str">
        <f t="shared" si="6"/>
        <v>// High Ground Defense (swift; you) •Lightsaber Form&lt;BR&gt;DC 15: if you are on a low object or difficult terrain any creature that moves adjacent to you provokes an attack of opportunity
DC 20: as DC 15 except +1 bonus on the attack
DC 25: as DC 15 except +2 bonus on the attack
DC 30: as DC 15 except +5 bonus on the attack
Spend a Force Point to move 1 square each time you make an attack of opportunity without provoking an attack of opportunity&lt;BR&gt;</v>
      </c>
      <c r="Q46" s="1536" t="str">
        <f t="shared" si="5"/>
        <v/>
      </c>
    </row>
    <row r="47" spans="1:17" ht="101.5">
      <c r="A47" s="1379" t="s">
        <v>4233</v>
      </c>
      <c r="C47" s="1379" t="s">
        <v>7131</v>
      </c>
      <c r="D47" s="1379" t="s">
        <v>7151</v>
      </c>
      <c r="E47" s="1379"/>
      <c r="F47" s="1379"/>
      <c r="G47" s="1380" t="str">
        <f>"DC 15: move at half speed along a wall, fall to the ground if you do not end your move on the ground
DC 20: as DC 15 except normal speed
DC 25: as DC 15 except move your speed +2 squares
DC 30: as DC 15 except move your speed +4 squares"&amp;M47</f>
        <v>DC 15: move at half speed along a wall, fall to the ground if you do not end your move on the ground
DC 20: as DC 15 except normal speed
DC 25: as DC 15 except move your speed +2 squares
DC 30: as DC 15 except move your speed +4 squares
Spend a Force Point for +2 squares</v>
      </c>
      <c r="H47" s="1379"/>
      <c r="I47" s="1379"/>
      <c r="J47" s="1379"/>
      <c r="K47" s="1379"/>
      <c r="L47" s="1379" t="s">
        <v>5696</v>
      </c>
      <c r="M47" s="456" t="str">
        <f>"
Spend a Force Point for +2 squares"</f>
        <v xml:space="preserve">
Spend a Force Point for +2 squares</v>
      </c>
      <c r="N47" s="1380" t="str">
        <f t="shared" si="3"/>
        <v>Inertia (move; you) 
DC 15: move at half speed along a wall, fall to the ground if you do not end your move on the ground
DC 20: as DC 15 except normal speed
DC 25: as DC 15 except move your speed +2 squares
DC 30: as DC 15 except move your speed +4 squares
Spend a Force Point for +2 squares</v>
      </c>
      <c r="O47" s="1423" t="str">
        <f t="shared" si="4"/>
        <v/>
      </c>
      <c r="P47" s="1393" t="str">
        <f t="shared" si="6"/>
        <v>// Inertia (move; you) &lt;BR&gt;DC 15: move at half speed along a wall, fall to the ground if you do not end your move on the ground
DC 20: as DC 15 except normal speed
DC 25: as DC 15 except move your speed +2 squares
DC 30: as DC 15 except move your speed +4 squares
Spend a Force Point for +2 squares&lt;BR&gt;</v>
      </c>
      <c r="Q47" s="1536" t="str">
        <f t="shared" si="5"/>
        <v/>
      </c>
    </row>
    <row r="48" spans="1:17" ht="130.5">
      <c r="A48" s="1379" t="s">
        <v>4234</v>
      </c>
      <c r="B48" s="1379" t="s">
        <v>7195</v>
      </c>
      <c r="C48" s="1379" t="s">
        <v>7188</v>
      </c>
      <c r="D48" s="1379" t="s">
        <v>7159</v>
      </c>
      <c r="E48" s="1379">
        <v>6</v>
      </c>
      <c r="F48" s="1379" t="s">
        <v>7150</v>
      </c>
      <c r="G48" s="1380" t="s">
        <v>7251</v>
      </c>
      <c r="H48" s="1379" t="s">
        <v>321</v>
      </c>
      <c r="I48" s="1379"/>
      <c r="J48" s="1379"/>
      <c r="K48" s="1379"/>
      <c r="L48" s="1379" t="s">
        <v>5696</v>
      </c>
      <c r="N48" s="1380" t="str">
        <f t="shared" si="3"/>
        <v>Inspire (swift; allies) • Light Side
DC 20: allies gain +2 bonus to Will against mind-affecting and fear effects until the end of your next turn
DC 25: as DC 20 except +5 bonus
DC 30: as DC 20 except +10 bonus
DC 35: as DC 20 except immunity instead of bonus
Maintain as a swift action
Spend a Force Point to grant +2d6 temporary hit points when the power is first activated</v>
      </c>
      <c r="O48" s="1423" t="str">
        <f t="shared" si="4"/>
        <v/>
      </c>
      <c r="P48" s="1393" t="str">
        <f t="shared" si="6"/>
        <v>// Inspire (swift; allies) •Light Side&lt;BR&gt;DC 20: allies gain +2 bonus to Will against mind-affecting and fear effects until the end of your next turn
DC 25: as DC 20 except +5 bonus
DC 30: as DC 20 except +10 bonus
DC 35: as DC 20 except immunity instead of bonus
Maintain as a swift action
Spend a Force Point to grant +2d6 temporary hit points when the power is first activated&lt;BR&gt;</v>
      </c>
      <c r="Q48" s="1536" t="str">
        <f t="shared" si="5"/>
        <v/>
      </c>
    </row>
    <row r="49" spans="1:17" ht="72.5">
      <c r="A49" s="1379" t="s">
        <v>4235</v>
      </c>
      <c r="B49" s="1379" t="s">
        <v>7192</v>
      </c>
      <c r="C49" s="1379" t="s">
        <v>7189</v>
      </c>
      <c r="D49" s="1402" t="s">
        <v>7252</v>
      </c>
      <c r="E49" s="1379"/>
      <c r="F49" s="1379"/>
      <c r="G49" s="1380" t="str">
        <f ca="1">"+"&amp;UsetheForce&amp;" vs. ranged attack or Use the Force to negate ranged attack or move object
Spend a Force Point to intercept autofire, no damage if Use the Force beats the attack roll, otherwise half damage"</f>
        <v>+0 vs. ranged attack or Use the Force to negate ranged attack or move object
Spend a Force Point to intercept autofire, no damage if Use the Force beats the attack roll, otherwise half damage</v>
      </c>
      <c r="H49" s="1379"/>
      <c r="I49" s="1379"/>
      <c r="J49" s="1379"/>
      <c r="K49" s="1379" t="s">
        <v>3816</v>
      </c>
      <c r="L49" s="1379" t="s">
        <v>5696</v>
      </c>
      <c r="N49" s="1380" t="str">
        <f t="shared" ca="1" si="3"/>
        <v>Intercept (reaction; one incoming ranged attack targeting you) • Telekinetic
+0 vs. ranged attack or Use the Force to negate ranged attack or move object
Spend a Force Point to intercept autofire, no damage if Use the Force beats the attack roll, otherwise half damage</v>
      </c>
      <c r="O49" s="1423" t="str">
        <f t="shared" si="4"/>
        <v/>
      </c>
      <c r="P49" s="1393" t="str">
        <f t="shared" ca="1" si="6"/>
        <v>// Intercept (reaction; one incoming ranged attack targeting you) •Telekinetic&lt;BR&gt;+0 vs. ranged attack or Use the Force to negate ranged attack or move object
Spend a Force Point to intercept autofire, no damage if Use the Force beats the attack roll, otherwise half damage&lt;BR&gt;</v>
      </c>
      <c r="Q49" s="1536" t="str">
        <f t="shared" si="5"/>
        <v/>
      </c>
    </row>
    <row r="50" spans="1:17" ht="72.5">
      <c r="A50" s="1379" t="s">
        <v>3890</v>
      </c>
      <c r="C50" s="1379" t="s">
        <v>7092</v>
      </c>
      <c r="D50" s="1402" t="s">
        <v>7253</v>
      </c>
      <c r="E50" s="1379">
        <v>6</v>
      </c>
      <c r="F50" s="1379" t="s">
        <v>7150</v>
      </c>
      <c r="G50" s="1380" t="str">
        <f>"DC 20: Use the Force v. Reflex, 4d6 ion damage
DC 25: Use the Force v. Reflex, 5d6 ion damage
DC 30: Use the Force v. Reflex, 6d6 ion damage 
Spend a Force Point to deal +2d6 ion damage"&amp;M50</f>
        <v>DC 20: Use the Force v. Reflex, 4d6 ion damage
DC 25: Use the Force v. Reflex, 5d6 ion damage
DC 30: Use the Force v. Reflex, 6d6 ion damage 
Spend a Force Point to deal +2d6 ion damage</v>
      </c>
      <c r="H50" s="1379"/>
      <c r="I50" s="1379"/>
      <c r="J50" s="1379"/>
      <c r="K50" s="1379"/>
      <c r="L50" s="1379" t="s">
        <v>7186</v>
      </c>
      <c r="M50" s="456" t="str">
        <f>IF('The Force'!AK44&lt;&gt;"","
Spend a Force Point to take full ion damage instead of halving after comparing to damage threshold","")</f>
        <v/>
      </c>
      <c r="N50" s="1380" t="str">
        <f t="shared" si="3"/>
        <v>Ionize (standard; one target within 6 squares and line of sight) 
DC 20: Use the Force v. Reflex, 4d6 ion damage
DC 25: Use the Force v. Reflex, 5d6 ion damage
DC 30: Use the Force v. Reflex, 6d6 ion damage 
Spend a Force Point to deal +2d6 ion damage</v>
      </c>
      <c r="O50" s="1423" t="str">
        <f t="shared" si="4"/>
        <v/>
      </c>
      <c r="P50" s="1393" t="str">
        <f t="shared" si="6"/>
        <v>// Ionize (standard; one target within 6 squares and line of sight) &lt;BR&gt;DC 20: Use the Force v. Reflex, 4d6 ion damage
DC 25: Use the Force v. Reflex, 5d6 ion damage
DC 30: Use the Force v. Reflex, 6d6 ion damage 
Spend a Force Point to deal +2d6 ion damage&lt;BR&gt;</v>
      </c>
      <c r="Q50" s="1536" t="str">
        <f t="shared" si="5"/>
        <v/>
      </c>
    </row>
    <row r="51" spans="1:17">
      <c r="A51" s="1379" t="s">
        <v>3893</v>
      </c>
      <c r="B51" s="1402" t="s">
        <v>7192</v>
      </c>
      <c r="C51" s="1379" t="s">
        <v>7092</v>
      </c>
      <c r="D51" s="1379" t="s">
        <v>7151</v>
      </c>
      <c r="E51" s="1379">
        <v>12</v>
      </c>
      <c r="F51" s="1379"/>
      <c r="G51" s="1380" t="e">
        <f ca="1">"+"&amp;UsetheForce&amp;" v.s DC 20 to telekinetically move "&amp;IF('The Force'!AK45&lt;&gt;"","up to three one-handed melee weapons","one one-handed melee weapon")&amp;" and make +"&amp;BAB+ChaMod&amp;" attack and deal damage using Charisma modifier instead of Strength; weapons threaten adjacent targets
Maintain as a swift action, attack with single weapon costs a standard action
Spend a Force Point to gain a +1 bonus to attack"</f>
        <v>#VALUE!</v>
      </c>
      <c r="H51" s="1379"/>
      <c r="I51" s="1379"/>
      <c r="J51" s="1379"/>
      <c r="K51" s="1379" t="s">
        <v>3816</v>
      </c>
      <c r="L51" s="1379" t="s">
        <v>5927</v>
      </c>
      <c r="N51" s="1380" t="e">
        <f t="shared" ca="1" si="3"/>
        <v>#VALUE!</v>
      </c>
      <c r="O51" s="1423" t="str">
        <f t="shared" si="4"/>
        <v/>
      </c>
      <c r="P51" s="1393" t="e">
        <f t="shared" ca="1" si="6"/>
        <v>#VALUE!</v>
      </c>
      <c r="Q51" s="1536" t="str">
        <f t="shared" si="5"/>
        <v/>
      </c>
    </row>
    <row r="52" spans="1:17" ht="87">
      <c r="A52" s="1379" t="s">
        <v>3896</v>
      </c>
      <c r="B52" s="1379" t="s">
        <v>7192</v>
      </c>
      <c r="C52" s="1379" t="s">
        <v>7131</v>
      </c>
      <c r="D52" s="1379" t="s">
        <v>7151</v>
      </c>
      <c r="E52" s="1379"/>
      <c r="F52" s="1379"/>
      <c r="G52" s="1380" t="s">
        <v>7254</v>
      </c>
      <c r="H52" s="1379"/>
      <c r="I52" s="1379"/>
      <c r="J52" s="1379"/>
      <c r="K52" s="1379" t="s">
        <v>3816</v>
      </c>
      <c r="L52" s="1379" t="s">
        <v>5930</v>
      </c>
      <c r="N52" s="1380" t="str">
        <f t="shared" si="3"/>
        <v>Levitate (move; you) • Telekinetic
DC 15: can fly 2 squares but only vertical, can move 1 square onto a horizontal surface or fall
DC 20: as DC 15 except fly 4 squares
DC 25: as DC 15 except fly 6 squares
Spend Force Point as a reaction when falling to reduce falling by fly speed</v>
      </c>
      <c r="O52" s="1423" t="str">
        <f t="shared" si="4"/>
        <v/>
      </c>
      <c r="P52" s="1393" t="str">
        <f t="shared" si="6"/>
        <v>// Levitate (move; you) •Telekinetic&lt;BR&gt;DC 15: can fly 2 squares but only vertical, can move 1 square onto a horizontal surface or fall
DC 20: as DC 15 except fly 4 squares
DC 25: as DC 15 except fly 6 squares
Spend Force Point as a reaction when falling to reduce falling by fly speed&lt;BR&gt;</v>
      </c>
      <c r="Q52" s="1536" t="str">
        <f t="shared" si="5"/>
        <v/>
      </c>
    </row>
    <row r="53" spans="1:17" ht="58">
      <c r="A53" s="1379" t="s">
        <v>3899</v>
      </c>
      <c r="B53" s="1379" t="s">
        <v>7193</v>
      </c>
      <c r="C53" s="1379" t="s">
        <v>7092</v>
      </c>
      <c r="D53" s="1402" t="s">
        <v>7256</v>
      </c>
      <c r="E53" s="1379" t="s">
        <v>7160</v>
      </c>
      <c r="F53" s="1379"/>
      <c r="G53" s="1380" t="str">
        <f ca="1">"+"&amp;UsetheForce&amp;" vs. Reflex, deal 3d8 damage and move target -1 step down the condition track, half damage on a miss                                                                                  
Spend a Force Point to deal an additional +2d6 damage"&amp;M53</f>
        <v>+0 vs. Reflex, deal 3d8 damage and move target -1 step down the condition track, half damage on a miss                                                                                  
Spend a Force Point to deal an additional +2d6 damage</v>
      </c>
      <c r="H53" s="1379" t="s">
        <v>7155</v>
      </c>
      <c r="I53" s="1379"/>
      <c r="J53" s="1379"/>
      <c r="K53" s="1379"/>
      <c r="L53" s="1379" t="s">
        <v>5904</v>
      </c>
      <c r="M53" s="456" t="str">
        <f>IF('The Force'!AK47&lt;&gt;"","
If the Use the Force check also exceeds Fortitude, push the target 1 square and knock them prone","")</f>
        <v/>
      </c>
      <c r="N53" s="1380" t="str">
        <f t="shared" ca="1" si="3"/>
        <v>Lightning Burst (standard; all adjacent targets) • Dark Side
+0 vs. Reflex, deal 3d8 damage and move target -1 step down the condition track, half damage on a miss                                                                                  
Spend a Force Point to deal an additional +2d6 damage</v>
      </c>
      <c r="O53" s="1423" t="str">
        <f t="shared" si="4"/>
        <v/>
      </c>
      <c r="P53" s="1393" t="str">
        <f t="shared" ca="1" si="6"/>
        <v>// Lightning Burst (standard; all adjacent targets) •Dark Side&lt;BR&gt;+0 vs. Reflex, deal 3d8 damage and move target -1 step down the condition track, half damage on a miss                                                                                  
Spend a Force Point to deal an additional +2d6 damage&lt;BR&gt;</v>
      </c>
      <c r="Q53" s="1536" t="str">
        <f t="shared" si="5"/>
        <v/>
      </c>
    </row>
    <row r="54" spans="1:17" ht="72.5">
      <c r="A54" s="1379" t="s">
        <v>4250</v>
      </c>
      <c r="B54" s="1379" t="s">
        <v>7191</v>
      </c>
      <c r="C54" s="1379" t="s">
        <v>7189</v>
      </c>
      <c r="D54" s="1402" t="s">
        <v>7255</v>
      </c>
      <c r="E54" s="1379"/>
      <c r="F54" s="1379"/>
      <c r="G54" s="1380" t="str">
        <f ca="1">"+"&amp;UsetheForce&amp;" vs. attack roll, take half damage and make a single attack against target after damage, deal half damage on a miss
"&amp;M54</f>
        <v>+0 vs. attack roll, take half damage and make a single attack against target after damage, deal half damage on a miss
Spend a Force Point to take no damage from the incoming attack</v>
      </c>
      <c r="H54" s="1379"/>
      <c r="I54" s="1379" t="s">
        <v>3816</v>
      </c>
      <c r="J54" s="1379"/>
      <c r="K54" s="1379"/>
      <c r="L54" s="1379" t="s">
        <v>5701</v>
      </c>
      <c r="M54" s="456" t="str">
        <f>IF(OR(Talents!M1157&lt;&gt;0,'Talents 2'!E68&lt;&gt;0),"Lightsaber form (Makashi): until the end of your next turn target provokes attack of opportunity against you if within reach
","")&amp;"Spend a Force Point to take no damage from the incoming attack"</f>
        <v>Spend a Force Point to take no damage from the incoming attack</v>
      </c>
      <c r="N54" s="1380" t="str">
        <f t="shared" ca="1" si="3"/>
        <v>Makashi Riposte (reaction; you; when targeted by a melee attack) • Lightsaber Form
+0 vs. attack roll, take half damage and make a single attack against target after damage, deal half damage on a miss
Spend a Force Point to take no damage from the incoming attack</v>
      </c>
      <c r="O54" s="1423" t="str">
        <f t="shared" si="4"/>
        <v/>
      </c>
      <c r="P54" s="1393" t="str">
        <f t="shared" ca="1" si="6"/>
        <v>// Makashi Riposte (reaction; you; when targeted by a melee attack) •Lightsaber Form&lt;BR&gt;+0 vs. attack roll, take half damage and make a single attack against target after damage, deal half damage on a miss
Spend a Force Point to take no damage from the incoming attack&lt;BR&gt;</v>
      </c>
      <c r="Q54" s="1536" t="str">
        <f t="shared" si="5"/>
        <v/>
      </c>
    </row>
    <row r="55" spans="1:17" ht="72.5">
      <c r="A55" s="1379" t="s">
        <v>3902</v>
      </c>
      <c r="B55" s="1379" t="s">
        <v>7195</v>
      </c>
      <c r="C55" s="1379" t="s">
        <v>7092</v>
      </c>
      <c r="D55" s="1379">
        <v>1</v>
      </c>
      <c r="E55" s="1379">
        <v>6</v>
      </c>
      <c r="F55" s="1379" t="s">
        <v>7150</v>
      </c>
      <c r="G55" s="1380" t="str">
        <f ca="1">"+"&amp;UsetheForce&amp;" vs. Fortitude, target moves -1 step down the condition track takes a -5 penalty to damage threshold
Spend Force Point to increase the penalty to damage threshold to -10"&amp;M55</f>
        <v>+0 vs. Fortitude, target moves -1 step down the condition track takes a -5 penalty to damage threshold
Spend Force Point to increase the penalty to damage threshold to -10</v>
      </c>
      <c r="H55" s="1379" t="s">
        <v>321</v>
      </c>
      <c r="I55" s="1379"/>
      <c r="J55" s="1379"/>
      <c r="K55" s="1379"/>
      <c r="L55" s="1379" t="s">
        <v>5931</v>
      </c>
      <c r="M55" s="456" t="str">
        <f>IF('The Force'!AK48&lt;&gt;"","
You can maintain the damage threshold penalty as a swift action","")</f>
        <v/>
      </c>
      <c r="N55" s="1380" t="str">
        <f t="shared" ca="1" si="3"/>
        <v>Malacia (standard; 1) • Light Side
+0 vs. Fortitude, target moves -1 step down the condition track takes a -5 penalty to damage threshold
Spend Force Point to increase the penalty to damage threshold to -10</v>
      </c>
      <c r="O55" s="1423" t="str">
        <f t="shared" si="4"/>
        <v/>
      </c>
      <c r="P55" s="1393" t="str">
        <f t="shared" ca="1" si="6"/>
        <v>// Malacia (standard; 1) •Light Side&lt;BR&gt;+0 vs. Fortitude, target moves -1 step down the condition track takes a -5 penalty to damage threshold
Spend Force Point to increase the penalty to damage threshold to -10&lt;BR&gt;</v>
      </c>
      <c r="Q55" s="1536" t="str">
        <f t="shared" si="5"/>
        <v/>
      </c>
    </row>
    <row r="56" spans="1:17" ht="101.5">
      <c r="A56" s="1379" t="s">
        <v>4236</v>
      </c>
      <c r="B56" s="1379" t="s">
        <v>7197</v>
      </c>
      <c r="C56" s="1379" t="s">
        <v>7092</v>
      </c>
      <c r="D56" s="1402" t="s">
        <v>7258</v>
      </c>
      <c r="E56" s="1379">
        <v>6</v>
      </c>
      <c r="F56" s="1379" t="s">
        <v>7150</v>
      </c>
      <c r="G56" s="1380" t="str">
        <f ca="1">"DC 20: +"&amp;UsetheForce&amp;" vs. Will, deal 2d6 Force damage, target loses swift action on their next turn
DC 25: as DC 20 except move action
DC 30: as DC 20 except standard action
DC 35: as DC 20 except standard and swift action
Spend a Force Point to deal +2d6 damage"</f>
        <v>DC 20: +0 vs. Will, deal 2d6 Force damage, target loses swift action on their next turn
DC 25: as DC 20 except move action
DC 30: as DC 20 except standard action
DC 35: as DC 20 except standard and swift action
Spend a Force Point to deal +2d6 damage</v>
      </c>
      <c r="H56" s="1379" t="s">
        <v>7155</v>
      </c>
      <c r="I56" s="1379"/>
      <c r="J56" s="1379" t="s">
        <v>3816</v>
      </c>
      <c r="K56" s="1379"/>
      <c r="L56" s="1379" t="s">
        <v>5696</v>
      </c>
      <c r="N56" s="1380" t="str">
        <f t="shared" ca="1" si="3"/>
        <v>Memory Walk (standard; one creature with an Intelligence of 3 or higher within 6 squares and line of sight) • Dark Side, Mind-Affecting
DC 20: +0 vs. Will, deal 2d6 Force damage, target loses swift action on their next turn
DC 25: as DC 20 except move action
DC 30: as DC 20 except standard action
DC 35: as DC 20 except standard and swift action
Spend a Force Point to deal +2d6 damage</v>
      </c>
      <c r="O56" s="1423" t="str">
        <f t="shared" si="4"/>
        <v/>
      </c>
      <c r="P56" s="1393" t="str">
        <f t="shared" ca="1" si="6"/>
        <v>// Memory Walk (standard; one creature with an Intelligence of 3 or higher within 6 squares and line of sight) •Dark Side, Mind-Affecting&lt;BR&gt;DC 20: +0 vs. Will, deal 2d6 Force damage, target loses swift action on their next turn
DC 25: as DC 20 except move action
DC 30: as DC 20 except standard action
DC 35: as DC 20 except standard and swift action
Spend a Force Point to deal +2d6 damage&lt;BR&gt;</v>
      </c>
      <c r="Q56" s="1536" t="str">
        <f t="shared" si="5"/>
        <v/>
      </c>
    </row>
    <row r="57" spans="1:17" ht="116">
      <c r="A57" s="1379" t="s">
        <v>4237</v>
      </c>
      <c r="B57" s="1379" t="s">
        <v>7196</v>
      </c>
      <c r="C57" s="1379" t="s">
        <v>7092</v>
      </c>
      <c r="D57" s="1402" t="s">
        <v>7225</v>
      </c>
      <c r="E57" s="1379">
        <v>12</v>
      </c>
      <c r="F57" s="1379" t="s">
        <v>7150</v>
      </c>
      <c r="G57" s="1380" t="str">
        <f ca="1">"DC 15: +"&amp;UsetheForce&amp;" vs. Will, deal 2d8 damage and move the target -1 step down the condtion track which cannot be removed until the end of your next turn
DC 20: as DC 15 except 3d8 damage
DC 25: as DC 15 except 4d8 damage
"&amp;M57</f>
        <v>DC 15: +0 vs. Will, deal 2d8 damage and move the target -1 step down the condtion track which cannot be removed until the end of your next turn
DC 20: as DC 15 except 3d8 damage
DC 25: as DC 15 except 4d8 damage
DC 30: as DC 15 except 5d8 damage
Spend a Force Point to deal +2d8 damage</v>
      </c>
      <c r="H57" s="1379"/>
      <c r="I57" s="1379"/>
      <c r="J57" s="1379" t="s">
        <v>3816</v>
      </c>
      <c r="K57" s="1379"/>
      <c r="L57" s="1379" t="s">
        <v>5697</v>
      </c>
      <c r="M57" s="456" t="s">
        <v>7257</v>
      </c>
      <c r="N57" s="1380" t="str">
        <f t="shared" ca="1" si="3"/>
        <v>Mind Shard (standard; one creature within 12 squares and line of sight) • Mind-Affecting
DC 15: +0 vs. Will, deal 2d8 damage and move the target -1 step down the condtion track which cannot be removed until the end of your next turn
DC 20: as DC 15 except 3d8 damage
DC 25: as DC 15 except 4d8 damage
DC 30: as DC 15 except 5d8 damage
Spend a Force Point to deal +2d8 damage</v>
      </c>
      <c r="O57" s="1423" t="str">
        <f t="shared" si="4"/>
        <v/>
      </c>
      <c r="P57" s="1393" t="str">
        <f t="shared" ca="1" si="6"/>
        <v>// Mind Shard (standard; one creature within 12 squares and line of sight) •Mind-Affecting&lt;BR&gt;DC 15: +0 vs. Will, deal 2d8 damage and move the target -1 step down the condtion track which cannot be removed until the end of your next turn
DC 20: as DC 15 except 3d8 damage
DC 25: as DC 15 except 4d8 damage
DC 30: as DC 15 except 5d8 damage
Spend a Force Point to deal +2d8 damage&lt;BR&gt;</v>
      </c>
      <c r="Q57" s="1536" t="str">
        <f t="shared" si="5"/>
        <v/>
      </c>
    </row>
    <row r="58" spans="1:17" ht="159.5">
      <c r="A58" s="1379" t="s">
        <v>3904</v>
      </c>
      <c r="B58" s="1379" t="s">
        <v>7196</v>
      </c>
      <c r="C58" s="1379" t="s">
        <v>7092</v>
      </c>
      <c r="D58" s="1402" t="s">
        <v>7259</v>
      </c>
      <c r="F58" s="1379" t="s">
        <v>7150</v>
      </c>
      <c r="G58" s="1380" t="str">
        <f ca="1">"+"&amp;UsetheForce&amp;" vs. Will to:
1. create an hallucination to use Stealth even if target is aware
2. perform a feint so that target loses Dexterity bonus to Reflex on your next attack against them
"&amp;M58</f>
        <v>+0 vs. Will to:
1. create an hallucination to use Stealth even if target is aware
2. perform a feint so that target loses Dexterity bonus to Reflex on your next attack against them
3. make an unpalatable suggestion
4. fill target with terror to flee at top speed 1 minute, stops fleeing if wounded, not if higher level
Spend a Force Point to improve attitude one step, + one step per every 5 points the check exceeds Will</v>
      </c>
      <c r="H58" s="1379"/>
      <c r="I58" s="1379"/>
      <c r="J58" s="1379" t="s">
        <v>3816</v>
      </c>
      <c r="K58" s="1379"/>
      <c r="L58" s="1379">
        <v>98</v>
      </c>
      <c r="M58" s="456" t="str">
        <f>"3. make an unpalatable suggestion
4. fill target with terror to flee at top speed 1 minute, stops fleeing if wounded, not if higher level
Spend a Force Point to improve attitude one step, + one step per every 5 points the check exceeds Will"&amp;IF('The Force'!AK49&lt;&gt;"","
Change time to full action to target all in a 6-square cone
Spend a Force Point to increase to a 12-square cone","")&amp;IF('The Force'!AK13&lt;&gt;"","
You decide what targets do with their next standard action","")</f>
        <v>3. make an unpalatable suggestion
4. fill target with terror to flee at top speed 1 minute, stops fleeing if wounded, not if higher level
Spend a Force Point to improve attitude one step, + one step per every 5 points the check exceeds Will</v>
      </c>
      <c r="N58" s="1380" t="str">
        <f t="shared" ca="1" si="3"/>
        <v>Mind Trick (standard; one creature of intelligence 3 or higher within 12 squares and line of sight) • Mind-Affecting
+0 vs. Will to:
1. create an hallucination to use Stealth even if target is aware
2. perform a feint so that target loses Dexterity bonus to Reflex on your next attack against them
3. make an unpalatable suggestion
4. fill target with terror to flee at top speed 1 minute, stops fleeing if wounded, not if higher level
Spend a Force Point to improve attitude one step, + one step per every 5 points the check exceeds Will</v>
      </c>
      <c r="O58" s="1423" t="str">
        <f t="shared" si="4"/>
        <v/>
      </c>
      <c r="P58" s="1393" t="str">
        <f t="shared" ca="1" si="6"/>
        <v>// Mind Trick (standard; one creature of intelligence 3 or higher within 12 squares and line of sight) •Mind-Affecting&lt;BR&gt;+0 vs. Will to:
1. create an hallucination to use Stealth even if target is aware
2. perform a feint so that target loses Dexterity bonus to Reflex on your next attack against them
3. make an unpalatable suggestion
4. fill target with terror to flee at top speed 1 minute, stops fleeing if wounded, not if higher level
Spend a Force Point to improve attitude one step, + one step per every 5 points the check exceeds Will&lt;BR&gt;</v>
      </c>
      <c r="Q58" s="1536" t="str">
        <f t="shared" si="5"/>
        <v/>
      </c>
    </row>
    <row r="59" spans="1:17" ht="58">
      <c r="A59" s="1379" t="s">
        <v>3907</v>
      </c>
      <c r="C59" s="1379" t="s">
        <v>7092</v>
      </c>
      <c r="D59" s="1402" t="s">
        <v>7260</v>
      </c>
      <c r="E59" s="1379"/>
      <c r="F59" s="1379"/>
      <c r="G59" s="1380" t="str">
        <f ca="1">"After making a grab or grapple, +"&amp;UsetheForce&amp;" vs. Fortitude, target moves -1 step down the condition track, if they are at the bottom of the condition track you can choose to kill them or put them in a Force trance"</f>
        <v>After making a grab or grapple, +0 vs. Fortitude, target moves -1 step down the condition track, if they are at the bottom of the condition track you can choose to kill them or put them in a Force trance</v>
      </c>
      <c r="H59" s="1379"/>
      <c r="I59" s="1379"/>
      <c r="J59" s="1379"/>
      <c r="K59" s="1379"/>
      <c r="L59" s="1379" t="s">
        <v>5931</v>
      </c>
      <c r="N59" s="1380" t="str">
        <f t="shared" ca="1" si="3"/>
        <v>Morichro (standard; one living creature you have grabbed or grappled) 
After making a grab or grapple, +0 vs. Fortitude, target moves -1 step down the condition track, if they are at the bottom of the condition track you can choose to kill them or put them in a Force trance</v>
      </c>
      <c r="O59" s="1423" t="str">
        <f t="shared" si="4"/>
        <v/>
      </c>
      <c r="P59" s="1393" t="str">
        <f t="shared" ca="1" si="6"/>
        <v>// Morichro (standard; one living creature you have grabbed or grappled) &lt;BR&gt;After making a grab or grapple, +0 vs. Fortitude, target moves -1 step down the condition track, if they are at the bottom of the condition track you can choose to kill them or put them in a Force trance&lt;BR&gt;</v>
      </c>
      <c r="Q59" s="1536" t="str">
        <f t="shared" si="5"/>
        <v/>
      </c>
    </row>
    <row r="60" spans="1:17" ht="203">
      <c r="A60" s="1379" t="s">
        <v>3909</v>
      </c>
      <c r="B60" s="1423" t="s">
        <v>7192</v>
      </c>
      <c r="C60" s="1379" t="s">
        <v>7092</v>
      </c>
      <c r="D60" s="1379" t="str">
        <f>"one character or object within "&amp;E60&amp;" squares and line of sight"</f>
        <v>one character or object within 12 squares and line of sight</v>
      </c>
      <c r="E60" s="1379">
        <f>IF('The Force'!AK18&lt;&gt;"",18,12)</f>
        <v>12</v>
      </c>
      <c r="F60" s="1379" t="s">
        <v>7150</v>
      </c>
      <c r="G60" s="1380" t="str">
        <f ca="1">"+"&amp;UsetheForce&amp;" vs Will if target resists, hurl or drop object vs. target's Reflex, both take damage according to DC below
DC 15: Move up to medium object, 2d6 damage
DC 20: Move up to large object, 4d6 damage
"&amp;M60</f>
        <v>+0 vs Will if target resists, hurl or drop object vs. target's Reflex, both take damage according to DC below
DC 15: Move up to medium object, 2d6 damage
DC 20: Move up to large object, 4d6 damage
DC 25: Move up to huge object, 6d6 damage
DC 30: Move up to gargantuan object, 8d6 damage
DC 35: Move up to colossal object, 10d6 damage
Moving or hovering target opposes Use the Force with a grapple check
Spend a Force Point to increase max size of object one category and +2d6 damage (max 12d6)
Spend a Destiny Point to increase max size three categories and +6d6 damage (max 16d6)</v>
      </c>
      <c r="H60" s="1379"/>
      <c r="I60" s="1379"/>
      <c r="J60" s="1379"/>
      <c r="K60" s="1379" t="str">
        <f ca="1">"Moving or hovering target opposes Use the Force with a grapple check
Spend a Force Point to increase max size of object one category and +2d6 damage (max 12d6)
Spend a Destiny Point to increase max size three categories and +6d6 damage (max 16d6)"&amp;IF(Unleashed,"
Spend a Destiny Point when hurling target into another target to multiply the damage dealt by 2","")</f>
        <v>Moving or hovering target opposes Use the Force with a grapple check
Spend a Force Point to increase max size of object one category and +2d6 damage (max 12d6)
Spend a Destiny Point to increase max size three categories and +6d6 damage (max 16d6)</v>
      </c>
      <c r="L60" s="1379">
        <v>98</v>
      </c>
      <c r="M60" s="456" t="str">
        <f ca="1">"DC 25: Move up to huge object, 6d6 damage
DC 30: Move up to gargantuan object, 8d6 damage
DC 35: Move up to colossal object, 10d6 damage
"&amp;K60</f>
        <v>DC 25: Move up to huge object, 6d6 damage
DC 30: Move up to gargantuan object, 8d6 damage
DC 35: Move up to colossal object, 10d6 damage
Moving or hovering target opposes Use the Force with a grapple check
Spend a Force Point to increase max size of object one category and +2d6 damage (max 12d6)
Spend a Destiny Point to increase max size three categories and +6d6 damage (max 16d6)</v>
      </c>
      <c r="N60" s="1380" t="str">
        <f t="shared" ca="1" si="3"/>
        <v>Move Object (standard; one character or object within 12 squares and line of sight) • Telekinetic
+0 vs Will if target resists, hurl or drop object vs. target's Reflex, both take damage according to DC below
DC 15: Move up to medium object, 2d6 damage
DC 20: Move up to large object, 4d6 damage
DC 25: Move up to huge object, 6d6 damage
DC 30: Move up to gargantuan object, 8d6 damage
DC 35: Move up to colossal object, 10d6 damage
Moving or hovering target opposes Use the Force with a grapple check
Spend a Force Point to increase max size of object one category and +2d6 damage (max 12d6)
Spend a Destiny Point to increase max size three categories and +6d6 damage (max 16d6)</v>
      </c>
      <c r="O60" s="1423" t="str">
        <f t="shared" si="4"/>
        <v/>
      </c>
      <c r="P60" s="1393" t="str">
        <f t="shared" ca="1" si="6"/>
        <v>// Move Object (standard; one character or object within 12 squares and line of sight) •Telekinetic&lt;BR&gt;+0 vs Will if target resists, hurl or drop object vs. target's Reflex, both take damage according to DC below
DC 15: Move up to medium object, 2d6 damage
DC 20: Move up to large object, 4d6 damage
DC 25: Move up to huge object, 6d6 damage
DC 30: Move up to gargantuan object, 8d6 damage
DC 35: Move up to colossal object, 10d6 damage
Moving or hovering target opposes Use the Force with a grapple check
Spend a Force Point to increase max size of object one category and +2d6 damage (max 12d6)
Spend a Destiny Point to increase max size three categories and +6d6 damage (max 16d6)&lt;BR&gt;</v>
      </c>
      <c r="Q60" s="1536" t="str">
        <f t="shared" si="5"/>
        <v/>
      </c>
    </row>
    <row r="61" spans="1:17" ht="58">
      <c r="A61" s="1379" t="s">
        <v>3912</v>
      </c>
      <c r="C61" s="1379" t="s">
        <v>7189</v>
      </c>
      <c r="D61" s="1402" t="s">
        <v>7261</v>
      </c>
      <c r="E61" s="1379"/>
      <c r="F61" s="1379"/>
      <c r="G61" s="1380" t="str">
        <f ca="1">"+"&amp;UsetheForce&amp;" vs. damage to negate, failure take damage as normal, must be aware of attack
Spend a Force Point to regain hit points equal to the damage negated"</f>
        <v>+0 vs. damage to negate, failure take damage as normal, must be aware of attack
Spend a Force Point to regain hit points equal to the damage negated</v>
      </c>
      <c r="H61" s="1379"/>
      <c r="I61" s="1379"/>
      <c r="J61" s="1379"/>
      <c r="K61" s="1379"/>
      <c r="L61" s="1379">
        <v>99</v>
      </c>
      <c r="N61" s="1380" t="str">
        <f t="shared" ca="1" si="3"/>
        <v>Negate Energy (reaction; one attack that deals energy damage) 
+0 vs. damage to negate, failure take damage as normal, must be aware of attack
Spend a Force Point to regain hit points equal to the damage negated</v>
      </c>
      <c r="O61" s="1423" t="str">
        <f t="shared" si="4"/>
        <v/>
      </c>
      <c r="P61" s="1393" t="str">
        <f t="shared" ca="1" si="6"/>
        <v>// Negate Energy (reaction; one attack that deals energy damage) &lt;BR&gt;+0 vs. damage to negate, failure take damage as normal, must be aware of attack
Spend a Force Point to regain hit points equal to the damage negated&lt;BR&gt;</v>
      </c>
      <c r="Q61" s="1536" t="str">
        <f t="shared" si="5"/>
        <v/>
      </c>
    </row>
    <row r="62" spans="1:17" ht="72.5">
      <c r="A62" s="1379" t="s">
        <v>3915</v>
      </c>
      <c r="B62" s="1379" t="s">
        <v>7196</v>
      </c>
      <c r="C62" s="1379" t="s">
        <v>7189</v>
      </c>
      <c r="D62" s="1402" t="s">
        <v>7238</v>
      </c>
      <c r="E62" s="1379">
        <v>12</v>
      </c>
      <c r="F62" s="1379" t="s">
        <v>7150</v>
      </c>
      <c r="G62" s="1380" t="str">
        <f ca="1">"+"&amp;UsetheForce&amp;" vs. Will to reduce attack by -5, if attack misses you can make them reroll against an adjacent creature, also at -5 to attack        
Spend Force Point to apply -5 to all attacks they make until the start of its next turn"&amp;M62</f>
        <v>+0 vs. Will to reduce attack by -5, if attack misses you can make them reroll against an adjacent creature, also at -5 to attack        
Spend Force Point to apply -5 to all attacks they make until the start of its next turnFALSE</v>
      </c>
      <c r="H62" s="1379"/>
      <c r="I62" s="1379"/>
      <c r="J62" s="1379" t="s">
        <v>3816</v>
      </c>
      <c r="K62" s="1379"/>
      <c r="L62" s="1379" t="s">
        <v>5904</v>
      </c>
      <c r="M62" s="456" t="b">
        <f>IF('The Force'!AK51&lt;&gt;"","Spend a Force Point to gain a +5 Force bonus to Use the Force check with this power")</f>
        <v>0</v>
      </c>
      <c r="N62" s="1380" t="str">
        <f t="shared" ca="1" si="3"/>
        <v>Obscure (reaction; one target within 12 squares and line of sight) • Mind-Affecting
+0 vs. Will to reduce attack by -5, if attack misses you can make them reroll against an adjacent creature, also at -5 to attack        
Spend Force Point to apply -5 to all attacks they make until the start of its next turnFALSE</v>
      </c>
      <c r="O62" s="1423" t="str">
        <f t="shared" si="4"/>
        <v/>
      </c>
      <c r="P62" s="1393" t="str">
        <f t="shared" ca="1" si="6"/>
        <v>// Obscure (reaction; one target within 12 squares and line of sight) •Mind-Affecting&lt;BR&gt;+0 vs. Will to reduce attack by -5, if attack misses you can make them reroll against an adjacent creature, also at -5 to attack        
Spend Force Point to apply -5 to all attacks they make until the start of its next turnFALSE&lt;BR&gt;</v>
      </c>
      <c r="Q62" s="1536" t="str">
        <f t="shared" si="5"/>
        <v/>
      </c>
    </row>
    <row r="63" spans="1:17" ht="101.5">
      <c r="A63" s="1394" t="s">
        <v>4251</v>
      </c>
      <c r="B63" s="1379" t="s">
        <v>7191</v>
      </c>
      <c r="C63" s="1379" t="s">
        <v>7092</v>
      </c>
      <c r="D63" s="1379" t="s">
        <v>7151</v>
      </c>
      <c r="E63" s="1379"/>
      <c r="F63" s="1379"/>
      <c r="G63" s="1380" t="str">
        <f>"DC 15: make a single lightsaber attack, target is -2 to use the Block talent
DC 20: target takes -5 to Block
DC 25: target takes -10 to Block
DC 30: target cannot use Block"&amp;M63</f>
        <v>DC 15: make a single lightsaber attack, target is -2 to use the Block talent
DC 20: target takes -5 to Block
DC 25: target takes -10 to Block
DC 30: target cannot use Block
Spend a Force Point to deal +2d6 damage with lightsaber attack</v>
      </c>
      <c r="H63" s="1379"/>
      <c r="I63" s="1379" t="s">
        <v>3816</v>
      </c>
      <c r="J63" s="1379"/>
      <c r="K63" s="1379"/>
      <c r="L63" s="1379" t="s">
        <v>5701</v>
      </c>
      <c r="M63" s="456" t="str">
        <f>IF(OR('Talents 2'!E75&lt;&gt;0,Talents!M1164&lt;&gt;0),"
Lightsaber form (Trakata): ignore deflection bonus from Lightsaber Defense","")&amp;"
Spend a Force Point to deal +2d6 damage with lightsaber attack"</f>
        <v xml:space="preserve">
Spend a Force Point to deal +2d6 damage with lightsaber attack</v>
      </c>
      <c r="N63" s="1380" t="str">
        <f t="shared" si="3"/>
        <v>Pass the Blade (standard; you) • Lightsaber Form
DC 15: make a single lightsaber attack, target is -2 to use the Block talent
DC 20: target takes -5 to Block
DC 25: target takes -10 to Block
DC 30: target cannot use Block
Spend a Force Point to deal +2d6 damage with lightsaber attack</v>
      </c>
      <c r="O63" s="1423" t="str">
        <f t="shared" si="4"/>
        <v/>
      </c>
      <c r="P63" s="1393" t="str">
        <f t="shared" si="6"/>
        <v>// Pass the Blade (standard; you) •Lightsaber Form&lt;BR&gt;DC 15: make a single lightsaber attack, target is -2 to use the Block talent
DC 20: target takes -5 to Block
DC 25: target takes -10 to Block
DC 30: target cannot use Block
Spend a Force Point to deal +2d6 damage with lightsaber attack&lt;BR&gt;</v>
      </c>
      <c r="Q63" s="1536" t="str">
        <f t="shared" si="5"/>
        <v/>
      </c>
    </row>
    <row r="64" spans="1:17" ht="116">
      <c r="A64" s="1379" t="s">
        <v>3918</v>
      </c>
      <c r="C64" s="1379" t="s">
        <v>7131</v>
      </c>
      <c r="D64" s="1379" t="s">
        <v>7151</v>
      </c>
      <c r="E64" s="1379"/>
      <c r="F64" s="1379"/>
      <c r="G64" s="1380" t="str">
        <f>"DC 25: gain phase speed of 2 , must end move in unoccupied square
DC 30: as DC 25, but gain phase 4
DC 35: as DC 25, but gain phase 6
DC 40: as DC 25, but gain phase 8"&amp;M64</f>
        <v>DC 25: gain phase speed of 2 , must end move in unoccupied square
DC 30: as DC 25, but gain phase 4
DC 35: as DC 25, but gain phase 6
DC 40: as DC 25, but gain phase 8
Maintain as move action, cannot move faster than normal move rate
Spend a Force Point to increase speed by 2 squares</v>
      </c>
      <c r="H64" s="1379"/>
      <c r="I64" s="1379"/>
      <c r="J64" s="1379"/>
      <c r="K64" s="1379"/>
      <c r="L64" s="1379" t="s">
        <v>5931</v>
      </c>
      <c r="M64" s="456" t="str">
        <f>"
Maintain as move action, cannot move faster than normal move rate
Spend a Force Point to increase speed by 2 squares"&amp;IF('The Force'!AK52&lt;&gt;0,"
You can end a single move action inside an occupied space, but you must still end your turn in a legal, unoccupied square","")</f>
        <v xml:space="preserve">
Maintain as move action, cannot move faster than normal move rate
Spend a Force Point to increase speed by 2 squares</v>
      </c>
      <c r="N64" s="1380" t="str">
        <f t="shared" si="3"/>
        <v>Phase (move; you) 
DC 25: gain phase speed of 2 , must end move in unoccupied square
DC 30: as DC 25, but gain phase 4
DC 35: as DC 25, but gain phase 6
DC 40: as DC 25, but gain phase 8
Maintain as move action, cannot move faster than normal move rate
Spend a Force Point to increase speed by 2 squares</v>
      </c>
      <c r="O64" s="1423" t="str">
        <f t="shared" si="4"/>
        <v/>
      </c>
      <c r="P64" s="1393" t="str">
        <f t="shared" si="6"/>
        <v>// Phase (move; you) &lt;BR&gt;DC 25: gain phase speed of 2 , must end move in unoccupied square
DC 30: as DC 25, but gain phase 4
DC 35: as DC 25, but gain phase 6
DC 40: as DC 25, but gain phase 8
Maintain as move action, cannot move faster than normal move rate
Spend a Force Point to increase speed by 2 squares&lt;BR&gt;</v>
      </c>
      <c r="Q64" s="1536" t="str">
        <f t="shared" si="5"/>
        <v/>
      </c>
    </row>
    <row r="65" spans="1:17" ht="87">
      <c r="A65" s="1379" t="s">
        <v>4238</v>
      </c>
      <c r="C65" s="1379" t="s">
        <v>7092</v>
      </c>
      <c r="D65" s="1402" t="s">
        <v>7225</v>
      </c>
      <c r="E65" s="1379">
        <v>12</v>
      </c>
      <c r="F65" s="1379" t="s">
        <v>7150</v>
      </c>
      <c r="G65" s="1380" t="str">
        <f ca="1">"+"&amp;UsetheForce&amp;" vs. Fortitude, target's speed reduced to 0 until end of your next turn, can escape as a standard grapple vs. Use the Force check
Must have adjacent plants nearby
Spend a Force Point to impose -10 on grapple checks to escape"&amp;M65</f>
        <v>+0 vs. Fortitude, target's speed reduced to 0 until end of your next turn, can escape as a standard grapple vs. Use the Force check
Must have adjacent plants nearby
Spend a Force Point to impose -10 on grapple checks to escape</v>
      </c>
      <c r="H65" s="1379"/>
      <c r="I65" s="1379"/>
      <c r="J65" s="1379"/>
      <c r="K65" s="1379"/>
      <c r="L65" s="1379" t="s">
        <v>5697</v>
      </c>
      <c r="M65" s="456" t="str">
        <f>IF('The Force'!AK53&lt;&gt;"","
Spend a Force Point to have plant surge target all enemies in a 5×5 square area
Spend a Destiny Point to target all enemies in a 10×10 square area","")</f>
        <v/>
      </c>
      <c r="N65" s="1380" t="str">
        <f t="shared" ca="1" si="3"/>
        <v>Plant Surge (standard; one creature within 12 squares and line of sight) 
+0 vs. Fortitude, target's speed reduced to 0 until end of your next turn, can escape as a standard grapple vs. Use the Force check
Must have adjacent plants nearby
Spend a Force Point to impose -10 on grapple checks to escape</v>
      </c>
      <c r="O65" s="1423" t="str">
        <f t="shared" si="4"/>
        <v/>
      </c>
      <c r="P65" s="1393" t="str">
        <f t="shared" ca="1" si="6"/>
        <v>// Plant Surge (standard; one creature within 12 squares and line of sight) &lt;BR&gt;+0 vs. Fortitude, target's speed reduced to 0 until end of your next turn, can escape as a standard grapple vs. Use the Force check
Must have adjacent plants nearby
Spend a Force Point to impose -10 on grapple checks to escape&lt;BR&gt;</v>
      </c>
      <c r="Q65" s="1536" t="str">
        <f t="shared" si="5"/>
        <v/>
      </c>
    </row>
    <row r="66" spans="1:17" ht="101.5">
      <c r="A66" s="1379" t="s">
        <v>3921</v>
      </c>
      <c r="C66" s="1379" t="s">
        <v>7188</v>
      </c>
      <c r="D66" s="1402" t="s">
        <v>7262</v>
      </c>
      <c r="E66" s="1379"/>
      <c r="F66" s="1379" t="s">
        <v>7150</v>
      </c>
      <c r="G66" s="1380" t="s">
        <v>7263</v>
      </c>
      <c r="H66" s="1379"/>
      <c r="I66" s="1379"/>
      <c r="J66" s="1379"/>
      <c r="K66" s="1379"/>
      <c r="L66" s="1379" t="s">
        <v>5904</v>
      </c>
      <c r="N66" s="1380" t="str">
        <f>A66&amp;" ("&amp;C66&amp;"; "&amp;D66&amp;") "&amp;IF(B66&lt;&gt;"","• "&amp;PROPER(B66)&amp;"","")&amp;"
"&amp;G66</f>
        <v>Prescience (swift; one enemy within line of sight) 
DC 15: +1 bonus to all Defenses vs. attacks from the target and +1 bonus to attack rolls against the target until the end of your next turn
DC 20: as DC 15 except +2 to all Defences
DC 25: as DC 15 except +3 to all Defences
Spend a Force Point to affect one additional enemy in line of sight</v>
      </c>
      <c r="O66" s="1423" t="str">
        <f t="shared" ref="O66:O91" si="7">IF(NOT(ISERROR(FIND("lightsaber form",B66,1))),IF(INDEX(LightsaberFormsTable,MATCH(A66,LightsaberFormsList,0),8)&gt;0,IF(ForcePowerNumbers,INDEX(LightsaberFormsTable,MATCH(A66,LightsaberFormsList,0),8)&amp;"× ","")&amp;N66&amp;"
"&amp;O67,O67),IF(INDEX(ForcePowersTable,MATCH(A66,ForcePowersList,0),8)&gt;0,IF(ForcePowerNumbers,INDEX(ForcePowersTable,MATCH(A66,ForcePowersList,0),8)&amp;"× ","")&amp;N66&amp;"
"&amp;O67,O67))</f>
        <v/>
      </c>
      <c r="P66" s="1393" t="str">
        <f t="shared" si="6"/>
        <v>// Prescience (swift; one enemy within line of sight) &lt;BR&gt;DC 15: +1 bonus to all Defenses vs. attacks from the target and +1 bonus to attack rolls against the target until the end of your next turn
DC 20: as DC 15 except +2 to all Defences
DC 25: as DC 15 except +3 to all Defences
Spend a Force Point to affect one additional enemy in line of sight&lt;BR&gt;</v>
      </c>
      <c r="Q66" s="1536" t="str">
        <f t="shared" ref="Q66:Q91" si="8">IF(NOT(ISERROR(FIND("lightsaber form",B66,1))),IF(INDEX(LightsaberFormsTable,MATCH(A66,LightsaberFormsList,0),8)&gt;0,IF(ForcePowerNumbers,INDEX(LightsaberFormsTable,MATCH(A66,LightsaberFormsList,0),8)&amp;"× ","")&amp;P66&amp;Enter&amp;Q67,Q67),IF(INDEX(ForcePowersTable,MATCH(A66,ForcePowersList,0),8)&gt;0,IF(ForcePowerNumbers,INDEX(ForcePowersTable,MATCH(A66,ForcePowersList,0),8)&amp;"× ","")&amp;P66&amp;Enter&amp;Q67,Q67))</f>
        <v/>
      </c>
    </row>
    <row r="67" spans="1:17" ht="116">
      <c r="A67" s="1379" t="s">
        <v>4252</v>
      </c>
      <c r="B67" s="1423" t="s">
        <v>7424</v>
      </c>
      <c r="C67" s="1379" t="s">
        <v>7092</v>
      </c>
      <c r="D67" s="1402" t="s">
        <v>7223</v>
      </c>
      <c r="E67" s="1379"/>
      <c r="F67" s="1379"/>
      <c r="G67" s="1380" t="str">
        <f ca="1">"DC 15: make single lightsaber attack, if it damages target, +"&amp;UsetheForce&amp;" vs. Fortitude to push target 2 squares without provoking an attack of opportunity
DC 20: as DC 15 except push 3 squares
DC 25: as DC 15 except push 4 squares
DC 30: as DC 15 except push 5 squares"&amp;M67</f>
        <v>DC 15: make single lightsaber attack, if it damages target, +0 vs. Fortitude to push target 2 squares without provoking an attack of opportunity
DC 20: as DC 15 except push 3 squares
DC 25: as DC 15 except push 4 squares
DC 30: as DC 15 except push 5 squares
Spend a Force Point to knock target prone at end of their forced move</v>
      </c>
      <c r="H67" s="1379"/>
      <c r="I67" s="1379" t="s">
        <v>3816</v>
      </c>
      <c r="J67" s="1379"/>
      <c r="K67" s="1379"/>
      <c r="L67" s="1379" t="s">
        <v>5702</v>
      </c>
      <c r="M67" s="456" t="str">
        <f>IF(OR('Talents 2'!E69&lt;&gt;0,Talents!M1158&lt;&gt;0),"
Lightsaber form (Niman): compare Use the Force to all adjacent enemies to push 1 square","")&amp;"
Spend a Force Point to knock target prone at end of their forced move"</f>
        <v xml:space="preserve">
Spend a Force Point to knock target prone at end of their forced move</v>
      </c>
      <c r="N67" s="1380" t="str">
        <f ca="1">A67&amp;" ("&amp;C67&amp;"; "&amp;D67&amp;") "&amp;IF(B67&lt;&gt;"","• "&amp;PROPER(B67)&amp;"","")&amp;Enter&amp;G67</f>
        <v>Pushing Slash (standard; one enemy within reach) • Lightsaber Form, Telekinetic
DC 15: make single lightsaber attack, if it damages target, +0 vs. Fortitude to push target 2 squares without provoking an attack of opportunity
DC 20: as DC 15 except push 3 squares
DC 25: as DC 15 except push 4 squares
DC 30: as DC 15 except push 5 squares
Spend a Force Point to knock target prone at end of their forced move</v>
      </c>
      <c r="O67" s="1423" t="str">
        <f t="shared" si="7"/>
        <v/>
      </c>
      <c r="P67" s="1393" t="str">
        <f t="shared" ref="P67:P91" ca="1" si="9">IF(HTML,TRB&amp;WFS&amp;"u"&amp;WFF&amp;BS,"//")&amp;" "&amp;A67&amp;" ("&amp;C67&amp;"; "&amp;D67&amp;") "&amp;IF(B67&lt;&gt;"",IF(HTML,WFS&amp;"v"&amp;WFF&amp;BS,"•")&amp;PROPER(B67)&amp;"","")&amp;TRF&amp;TRW&amp;G67&amp;TRF</f>
        <v>// Pushing Slash (standard; one enemy within reach) •Lightsaber Form, Telekinetic&lt;BR&gt;DC 15: make single lightsaber attack, if it damages target, +0 vs. Fortitude to push target 2 squares without provoking an attack of opportunity
DC 20: as DC 15 except push 3 squares
DC 25: as DC 15 except push 4 squares
DC 30: as DC 15 except push 5 squares
Spend a Force Point to knock target prone at end of their forced move&lt;BR&gt;</v>
      </c>
      <c r="Q67" s="1536" t="str">
        <f t="shared" si="8"/>
        <v/>
      </c>
    </row>
    <row r="68" spans="1:17" ht="72.5">
      <c r="A68" s="1379" t="s">
        <v>3924</v>
      </c>
      <c r="C68" s="1379" t="s">
        <v>7189</v>
      </c>
      <c r="D68" s="1402" t="s">
        <v>7264</v>
      </c>
      <c r="E68" s="1379"/>
      <c r="F68" s="1379"/>
      <c r="G68" s="1380" t="str">
        <f ca="1">"+"&amp;UsetheForce&amp;" vs. check of Force power to negate, beat check of Force power by 5 or more and redirect against creator; if the creator in turn rebukes, both of you suffer the effects of the power
Spend a Force Point for no effect on 2nd rebuke"&amp;M68</f>
        <v>+0 vs. check of Force power to negate, beat check of Force power by 5 or more and redirect against creator; if the creator in turn rebukes, both of you suffer the effects of the power
Spend a Force Point for no effect on 2nd rebuke</v>
      </c>
      <c r="H68" s="1379"/>
      <c r="I68" s="1379"/>
      <c r="J68" s="1379"/>
      <c r="K68" s="1379"/>
      <c r="L68" s="1379">
        <v>100</v>
      </c>
      <c r="M68" s="456" t="str">
        <f>IF('The Force'!AK54&lt;&gt;"",IF(HTML,"&lt;BR&gt;","
")&amp;"Use rebuke when an ally within 12 squares and line of sight is the target of a Force power as if target","")</f>
        <v/>
      </c>
      <c r="N68" s="1380" t="str">
        <f t="shared" ca="1" si="3"/>
        <v>Rebuke (reaction; one Force power directed at you) 
+0 vs. check of Force power to negate, beat check of Force power by 5 or more and redirect against creator; if the creator in turn rebukes, both of you suffer the effects of the power
Spend a Force Point for no effect on 2nd rebuke</v>
      </c>
      <c r="O68" s="1423" t="str">
        <f t="shared" si="7"/>
        <v/>
      </c>
      <c r="P68" s="1393" t="str">
        <f t="shared" ca="1" si="9"/>
        <v>// Rebuke (reaction; one Force power directed at you) &lt;BR&gt;+0 vs. check of Force power to negate, beat check of Force power by 5 or more and redirect against creator; if the creator in turn rebukes, both of you suffer the effects of the power
Spend a Force Point for no effect on 2nd rebuke&lt;BR&gt;</v>
      </c>
      <c r="Q68" s="1536" t="str">
        <f t="shared" si="8"/>
        <v/>
      </c>
    </row>
    <row r="69" spans="1:17" ht="58">
      <c r="A69" s="1379" t="s">
        <v>3927</v>
      </c>
      <c r="B69" s="1379" t="s">
        <v>7193</v>
      </c>
      <c r="C69" s="1379" t="s">
        <v>7092</v>
      </c>
      <c r="D69" s="1379" t="str">
        <f>"one target within "&amp;E69&amp;" squares and line of sight"</f>
        <v>one target within 6 squares and line of sight</v>
      </c>
      <c r="E69" s="1379">
        <f>IF('The Force'!AK55&lt;&gt;"",12,6)</f>
        <v>6</v>
      </c>
      <c r="F69" s="1379" t="s">
        <v>7150</v>
      </c>
      <c r="G69" s="1380" t="str">
        <f ca="1">"+"&amp;UsetheForce&amp;" vs. Reflex, target takes 3d6 damage, natural 20 is considered a critical and doubles damage, if target is reduced to 0 hit points, you can rip target in half
Spend a Force Point to deal +2d6 damage"&amp;M69</f>
        <v>+0 vs. Reflex, target takes 3d6 damage, natural 20 is considered a critical and doubles damage, if target is reduced to 0 hit points, you can rip target in half
Spend a Force Point to deal +2d6 damage</v>
      </c>
      <c r="H69" s="1379" t="s">
        <v>7155</v>
      </c>
      <c r="I69" s="1379"/>
      <c r="J69" s="1379"/>
      <c r="K69" s="1379"/>
      <c r="L69" s="1379" t="s">
        <v>5932</v>
      </c>
      <c r="M69" s="456" t="str">
        <f>IF('The Force'!AK55&lt;&gt;"","
Ignore target's damage reduction","")</f>
        <v/>
      </c>
      <c r="N69" s="1380" t="str">
        <f t="shared" ref="N69:N91" ca="1" si="10">A69&amp;" ("&amp;C69&amp;"; "&amp;D69&amp;") "&amp;IF(B69&lt;&gt;"","• "&amp;PROPER(B69)&amp;"","")&amp;"
"&amp;G69</f>
        <v>Rend (standard; one target within 6 squares and line of sight) • Dark Side
+0 vs. Reflex, target takes 3d6 damage, natural 20 is considered a critical and doubles damage, if target is reduced to 0 hit points, you can rip target in half
Spend a Force Point to deal +2d6 damage</v>
      </c>
      <c r="O69" s="1423" t="str">
        <f t="shared" si="7"/>
        <v/>
      </c>
      <c r="P69" s="1393" t="str">
        <f t="shared" ca="1" si="9"/>
        <v>// Rend (standard; one target within 6 squares and line of sight) •Dark Side&lt;BR&gt;+0 vs. Reflex, target takes 3d6 damage, natural 20 is considered a critical and doubles damage, if target is reduced to 0 hit points, you can rip target in half
Spend a Force Point to deal +2d6 damage&lt;BR&gt;</v>
      </c>
      <c r="Q69" s="1536" t="str">
        <f t="shared" si="8"/>
        <v/>
      </c>
    </row>
    <row r="70" spans="1:17" ht="101.5">
      <c r="A70" s="1379" t="s">
        <v>3929</v>
      </c>
      <c r="B70" s="1379" t="s">
        <v>7192</v>
      </c>
      <c r="C70" s="1379" t="s">
        <v>7092</v>
      </c>
      <c r="D70" s="1402" t="s">
        <v>7256</v>
      </c>
      <c r="E70" s="1379" t="s">
        <v>7160</v>
      </c>
      <c r="F70" s="1379"/>
      <c r="G70" s="1380" t="str">
        <f ca="1">"+"&amp;UsetheForce&amp;" vs. target Strength checks + BAB + size modifier, push 1 square + 1 square for every 5 points exceeding the check, if pushed into a larger object, target takes 1d6 damage"&amp;M70</f>
        <v>+0 vs. target Strength checks + BAB + size modifier, push 1 square + 1 square for every 5 points exceeding the check, if pushed into a larger object, target takes 1d6 damage
Spend a Force Point to apply a -5 penalty to opponent's check, and deal 2d6 damage if pushed into larger object</v>
      </c>
      <c r="H70" s="1379"/>
      <c r="I70" s="1379"/>
      <c r="J70" s="1379"/>
      <c r="K70" s="1379" t="s">
        <v>3816</v>
      </c>
      <c r="L70" s="1379" t="s">
        <v>7187</v>
      </c>
      <c r="M70" s="456" t="str">
        <f>"
Spend a Force Point to apply a -5 penalty to opponent's check, and deal 2d6 damage if pushed into larger object"&amp;IF('The Force'!AK56&lt;&gt;"","
Change time to full action to target all creatures in a 2-square radius burst
Spend a Force Point to increase the area to a 4-square-radius burst","")</f>
        <v xml:space="preserve">
Spend a Force Point to apply a -5 penalty to opponent's check, and deal 2d6 damage if pushed into larger object</v>
      </c>
      <c r="N70" s="1380" t="str">
        <f t="shared" ca="1" si="10"/>
        <v>Repulse (standard; all adjacent targets) • Telekinetic
+0 vs. target Strength checks + BAB + size modifier, push 1 square + 1 square for every 5 points exceeding the check, if pushed into a larger object, target takes 1d6 damage
Spend a Force Point to apply a -5 penalty to opponent's check, and deal 2d6 damage if pushed into larger object</v>
      </c>
      <c r="O70" s="1423" t="str">
        <f t="shared" si="7"/>
        <v/>
      </c>
      <c r="P70" s="1393" t="str">
        <f t="shared" ca="1" si="9"/>
        <v>// Repulse (standard; all adjacent targets) •Telekinetic&lt;BR&gt;+0 vs. target Strength checks + BAB + size modifier, push 1 square + 1 square for every 5 points exceeding the check, if pushed into a larger object, target takes 1d6 damage
Spend a Force Point to apply a -5 penalty to opponent's check, and deal 2d6 damage if pushed into larger object&lt;BR&gt;</v>
      </c>
      <c r="Q70" s="1536" t="str">
        <f t="shared" si="8"/>
        <v/>
      </c>
    </row>
    <row r="71" spans="1:17" ht="101.5">
      <c r="A71" s="1379" t="s">
        <v>3932</v>
      </c>
      <c r="C71" s="1379" t="s">
        <v>7092</v>
      </c>
      <c r="D71" s="1379" t="s">
        <v>7151</v>
      </c>
      <c r="E71" s="1379"/>
      <c r="F71" s="1379"/>
      <c r="G71" s="1380" t="str">
        <f>"DC 15: +1 to one defence vs. Force powers until your next turn
DC 20: +2 to one defence vs. Force powers until your next turn
DC 25: +5 to one defence vs. Force powers until your next turn
Spend a Force Point to increase two defences"&amp;M71</f>
        <v>DC 15: +1 to one defence vs. Force powers until your next turn
DC 20: +2 to one defence vs. Force powers until your next turn
DC 25: +5 to one defence vs. Force powers until your next turn
Spend a Force Point to increase two defences</v>
      </c>
      <c r="H71" s="1379"/>
      <c r="I71" s="1379"/>
      <c r="J71" s="1379"/>
      <c r="K71" s="1379"/>
      <c r="L71" s="1379" t="s">
        <v>7186</v>
      </c>
      <c r="M71" s="456" t="str">
        <f>IF('The Force'!AK57&lt;&gt;"","
Choose to affect one ally within 6 squares instead","")</f>
        <v/>
      </c>
      <c r="N71" s="1380" t="str">
        <f t="shared" si="10"/>
        <v>Resist Force (standard; you) 
DC 15: +1 to one defence vs. Force powers until your next turn
DC 20: +2 to one defence vs. Force powers until your next turn
DC 25: +5 to one defence vs. Force powers until your next turn
Spend a Force Point to increase two defences</v>
      </c>
      <c r="O71" s="1423" t="str">
        <f t="shared" si="7"/>
        <v/>
      </c>
      <c r="P71" s="1393" t="str">
        <f t="shared" si="9"/>
        <v>// Resist Force (standard; you) &lt;BR&gt;DC 15: +1 to one defence vs. Force powers until your next turn
DC 20: +2 to one defence vs. Force powers until your next turn
DC 25: +5 to one defence vs. Force powers until your next turn
Spend a Force Point to increase two defences&lt;BR&gt;</v>
      </c>
      <c r="Q71" s="1536" t="str">
        <f t="shared" si="8"/>
        <v/>
      </c>
    </row>
    <row r="72" spans="1:17" ht="116">
      <c r="A72" s="1379" t="s">
        <v>4253</v>
      </c>
      <c r="B72" s="1379" t="s">
        <v>7191</v>
      </c>
      <c r="C72" s="1379" t="s">
        <v>7092</v>
      </c>
      <c r="D72" s="1402" t="s">
        <v>7265</v>
      </c>
      <c r="E72" s="1379"/>
      <c r="F72" s="1379"/>
      <c r="G72" s="1380" t="str">
        <f>"DC 15: make two lightsaber attacks vs. different opponents, if both hit, gain temporary 10 hit points
DC 20: as DC 15 except gain temporary 15 hit points
DC 25: as DC 20 except gain temporary 15 hit points"&amp;M72</f>
        <v>DC 15: make two lightsaber attacks vs. different opponents, if both hit, gain temporary 10 hit points
DC 20: as DC 15 except gain temporary 15 hit points
DC 25: as DC 20 except gain temporary 15 hit pointsDC 30: as DC 25 except gain temporary 15 hit points
Spend a Force Point to deal +1d6 damage on each attack</v>
      </c>
      <c r="H72" s="1379"/>
      <c r="I72" s="1379"/>
      <c r="J72" s="1379"/>
      <c r="K72" s="1379"/>
      <c r="L72" s="1379" t="s">
        <v>5702</v>
      </c>
      <c r="M72" s="456" t="str">
        <f>"DC 30: as DC 25 except gain temporary 15 hit points"&amp;IF(OR(Talents!M1159&lt;&gt;0,'Talents 2'!E70&lt;&gt;0),"
Lightsaber form (Jar'Kai): can move 2 squares between attacks without provoking attacks of opportunity","")&amp;"
Spend a Force Point to deal +1d6 damage on each attack"</f>
        <v>DC 30: as DC 25 except gain temporary 15 hit points
Spend a Force Point to deal +1d6 damage on each attack</v>
      </c>
      <c r="N72" s="1380" t="str">
        <f t="shared" si="10"/>
        <v>Rising Whirlwind (standard; two enemies within reach) • Lightsaber Form
DC 15: make two lightsaber attacks vs. different opponents, if both hit, gain temporary 10 hit points
DC 20: as DC 15 except gain temporary 15 hit points
DC 25: as DC 20 except gain temporary 15 hit pointsDC 30: as DC 25 except gain temporary 15 hit points
Spend a Force Point to deal +1d6 damage on each attack</v>
      </c>
      <c r="O72" s="1423" t="str">
        <f t="shared" si="7"/>
        <v/>
      </c>
      <c r="P72" s="1393" t="str">
        <f t="shared" si="9"/>
        <v>// Rising Whirlwind (standard; two enemies within reach) •Lightsaber Form&lt;BR&gt;DC 15: make two lightsaber attacks vs. different opponents, if both hit, gain temporary 10 hit points
DC 20: as DC 15 except gain temporary 15 hit points
DC 25: as DC 20 except gain temporary 15 hit pointsDC 30: as DC 25 except gain temporary 15 hit points
Spend a Force Point to deal +1d6 damage on each attack&lt;BR&gt;</v>
      </c>
      <c r="Q72" s="1536" t="str">
        <f t="shared" si="8"/>
        <v/>
      </c>
    </row>
    <row r="73" spans="1:17" ht="116">
      <c r="A73" s="1379" t="s">
        <v>4254</v>
      </c>
      <c r="B73" s="1379" t="s">
        <v>7191</v>
      </c>
      <c r="C73" s="1379" t="s">
        <v>7092</v>
      </c>
      <c r="D73" s="1402" t="s">
        <v>7266</v>
      </c>
      <c r="E73" s="1379"/>
      <c r="F73" s="1379"/>
      <c r="G73" s="1380" t="str">
        <f>"DC 20: make two lightsaber attacks vs. a single target at -5 each
DC 25: as DC 20 but only -2 each
DC 30: as DC 20 but only -1 each
DC 35: as DC 20 but no penalty"&amp;M73</f>
        <v>DC 20: make two lightsaber attacks vs. a single target at -5 each
DC 25: as DC 20 but only -2 each
DC 30: as DC 20 but only -1 each
DC 35: as DC 20 but no penalty
Spend a Force Point to move 2 squares before or after you use the power without provoking attacks of opportunity</v>
      </c>
      <c r="H73" s="1379"/>
      <c r="I73" s="1379" t="s">
        <v>3816</v>
      </c>
      <c r="J73" s="1379"/>
      <c r="K73" s="1379"/>
      <c r="L73" s="1379" t="s">
        <v>5703</v>
      </c>
      <c r="M73" s="456" t="str">
        <f>IF(OR('Talents 2'!E64&lt;&gt;0,Talents!M1153&lt;&gt;0),"
Lightsaber form (Ataru): opponent takes -5 to Block or Makashi riposte","")&amp;"
Spend a Force Point to move 2 squares before or after you use the power without provoking attacks of opportunity"</f>
        <v xml:space="preserve">
Spend a Force Point to move 2 squares before or after you use the power without provoking attacks of opportunity</v>
      </c>
      <c r="N73" s="1380" t="str">
        <f t="shared" si="10"/>
        <v>Saber Swarm (standard; one enemy in reach) • Lightsaber Form
DC 20: make two lightsaber attacks vs. a single target at -5 each
DC 25: as DC 20 but only -2 each
DC 30: as DC 20 but only -1 each
DC 35: as DC 20 but no penalty
Spend a Force Point to move 2 squares before or after you use the power without provoking attacks of opportunity</v>
      </c>
      <c r="O73" s="1423" t="str">
        <f t="shared" si="7"/>
        <v/>
      </c>
      <c r="P73" s="1393" t="str">
        <f t="shared" si="9"/>
        <v>// Saber Swarm (standard; one enemy in reach) •Lightsaber Form&lt;BR&gt;DC 20: make two lightsaber attacks vs. a single target at -5 each
DC 25: as DC 20 but only -2 each
DC 30: as DC 20 but only -1 each
DC 35: as DC 20 but no penalty
Spend a Force Point to move 2 squares before or after you use the power without provoking attacks of opportunity&lt;BR&gt;</v>
      </c>
      <c r="Q73" s="1536" t="str">
        <f t="shared" si="8"/>
        <v/>
      </c>
    </row>
    <row r="74" spans="1:17" ht="145">
      <c r="A74" s="1379" t="s">
        <v>4255</v>
      </c>
      <c r="B74" s="1379" t="s">
        <v>7191</v>
      </c>
      <c r="C74" s="1379" t="s">
        <v>7092</v>
      </c>
      <c r="D74" s="1402" t="s">
        <v>7267</v>
      </c>
      <c r="E74" s="1379"/>
      <c r="F74" s="1379"/>
      <c r="G74" s="1380" t="str">
        <f>"DC 15: make a single lightsaber attack against primary target and deal half damage to secondary target if the attack hits
DC 20: as DC 15 except +1d6 damage to secondary target if the attack hits"&amp;M74</f>
        <v>DC 15: make a single lightsaber attack against primary target and deal half damage to secondary target if the attack hits
DC 20: as DC 15 except +1d6 damage to secondary target if the attack hitsDC 25: as DC 15 except +2d6 damage to secondary target if the attack hits
DC 30: as DC 15 except +3d6 damage to secondary target if the attack hits
Spend a Force Point to affect 2 secondary targets if within reach and adjacent to primary target</v>
      </c>
      <c r="H74" s="1379"/>
      <c r="I74" s="1379" t="s">
        <v>3816</v>
      </c>
      <c r="J74" s="1379"/>
      <c r="K74" s="1379"/>
      <c r="L74" s="1379" t="s">
        <v>5703</v>
      </c>
      <c r="M74" s="456" t="str">
        <f>"DC 25: as DC 15 except +2d6 damage to secondary target if the attack hits
DC 30: as DC 15 except +3d6 damage to secondary target if the attack hits"&amp;IF(OR('Talents 2'!E72&lt;&gt;0,Talents!M1161&lt;&gt;0),"
Lightsaber form (Shii-Cho): can use power at the end of a charge and gain Powerful Charge benefits on the initial attack","")&amp;"
Spend a Force Point to affect 2 secondary targets if within reach and adjacent to primary target"</f>
        <v>DC 25: as DC 15 except +2d6 damage to secondary target if the attack hits
DC 30: as DC 15 except +3d6 damage to secondary target if the attack hits
Spend a Force Point to affect 2 secondary targets if within reach and adjacent to primary target</v>
      </c>
      <c r="N74" s="1380" t="str">
        <f t="shared" si="10"/>
        <v>Sarlacc Sweep (standard; two enemies [primary and secondary] within reach) • Lightsaber Form
DC 15: make a single lightsaber attack against primary target and deal half damage to secondary target if the attack hits
DC 20: as DC 15 except +1d6 damage to secondary target if the attack hitsDC 25: as DC 15 except +2d6 damage to secondary target if the attack hits
DC 30: as DC 15 except +3d6 damage to secondary target if the attack hits
Spend a Force Point to affect 2 secondary targets if within reach and adjacent to primary target</v>
      </c>
      <c r="O74" s="1423" t="str">
        <f t="shared" si="7"/>
        <v/>
      </c>
      <c r="P74" s="1393" t="str">
        <f t="shared" si="9"/>
        <v>// Sarlacc Sweep (standard; two enemies [primary and secondary] within reach) •Lightsaber Form&lt;BR&gt;DC 15: make a single lightsaber attack against primary target and deal half damage to secondary target if the attack hits
DC 20: as DC 15 except +1d6 damage to secondary target if the attack hitsDC 25: as DC 15 except +2d6 damage to secondary target if the attack hits
DC 30: as DC 15 except +3d6 damage to secondary target if the attack hits
Spend a Force Point to affect 2 secondary targets if within reach and adjacent to primary target&lt;BR&gt;</v>
      </c>
      <c r="Q74" s="1536" t="str">
        <f t="shared" si="8"/>
        <v/>
      </c>
    </row>
    <row r="75" spans="1:17" ht="159.5">
      <c r="A75" s="1379" t="s">
        <v>3935</v>
      </c>
      <c r="B75" s="1379" t="s">
        <v>7195</v>
      </c>
      <c r="C75" s="1379" t="s">
        <v>7092</v>
      </c>
      <c r="D75" s="1402" t="s">
        <v>7268</v>
      </c>
      <c r="E75" s="1379">
        <v>12</v>
      </c>
      <c r="F75" s="1379" t="s">
        <v>7150</v>
      </c>
      <c r="G75" s="1380" t="str">
        <f ca="1">"+"&amp;UsetheForce&amp;" vs. Will; no effect if Dark Side score is 0
DC 25: target cannot spend Force Points for a number of hours equal to its Dark Side score
DC 30: as DC 25 except the target also moves -1 step down the condition track if it uses Force powers within duration"&amp;M75</f>
        <v>+0 vs. Will; no effect if Dark Side score is 0
DC 25: target cannot spend Force Points for a number of hours equal to its Dark Side score
DC 30: as DC 25 except the target also moves -1 step down the condition track if it uses Force powers within duration"
DC 35: as DC 30 except the target moves -2 steps down the condition track
Spend a Force Point to double the duration
Spend a Destiny Point to increase to days instead of hours"</v>
      </c>
      <c r="H75" s="1379" t="s">
        <v>321</v>
      </c>
      <c r="I75" s="1379"/>
      <c r="J75" s="1379"/>
      <c r="K75" s="1379"/>
      <c r="L75" s="1379">
        <v>100</v>
      </c>
      <c r="M75" s="456" t="s">
        <v>7269</v>
      </c>
      <c r="N75" s="1380" t="str">
        <f t="shared" ca="1" si="10"/>
        <v>Sever Force (standard; one dark side Force user within 12 squares and line of sight) • Light Side
+0 vs. Will; no effect if Dark Side score is 0
DC 25: target cannot spend Force Points for a number of hours equal to its Dark Side score
DC 30: as DC 25 except the target also moves -1 step down the condition track if it uses Force powers within duration"
DC 35: as DC 30 except the target moves -2 steps down the condition track
Spend a Force Point to double the duration
Spend a Destiny Point to increase to days instead of hours"</v>
      </c>
      <c r="O75" s="1423" t="str">
        <f>IF(NOT(ISERROR(FIND("lightsaber form",B75,1))),IF(INDEX(LightsaberFormsTable,MATCH(A75,LightsaberFormsList,0),8)&gt;0,IF(ForcePowerNumbers,INDEX(LightsaberFormsTable,MATCH(A75,LightsaberFormsList,0),8)&amp;"× ","")&amp;N75&amp;"
"&amp;O76,O76),IF(INDEX(ForcePowersTable,MATCH(A75,ForcePowersList,0),8)&gt;0,IF(ForcePowerNumbers,INDEX(ForcePowersTable,MATCH(A75,ForcePowersList,0),8)&amp;"× ","")&amp;N75&amp;"
"&amp;O76,O76))</f>
        <v/>
      </c>
      <c r="P75" s="1393" t="str">
        <f t="shared" ca="1" si="9"/>
        <v>// Sever Force (standard; one dark side Force user within 12 squares and line of sight) •Light Side&lt;BR&gt;+0 vs. Will; no effect if Dark Side score is 0
DC 25: target cannot spend Force Points for a number of hours equal to its Dark Side score
DC 30: as DC 25 except the target also moves -1 step down the condition track if it uses Force powers within duration"
DC 35: as DC 30 except the target moves -2 steps down the condition track
Spend a Force Point to double the duration
Spend a Destiny Point to increase to days instead of hours"&lt;BR&gt;</v>
      </c>
      <c r="Q75" s="1536" t="str">
        <f t="shared" si="8"/>
        <v/>
      </c>
    </row>
    <row r="76" spans="1:17" ht="101.5">
      <c r="A76" s="1379" t="s">
        <v>3938</v>
      </c>
      <c r="C76" s="1379" t="s">
        <v>7188</v>
      </c>
      <c r="D76" s="1379" t="s">
        <v>7151</v>
      </c>
      <c r="E76" s="1379"/>
      <c r="F76" s="1379"/>
      <c r="G76" s="1380" t="str">
        <f>"DC 25: if next attack hits, the target's damage threshold is treated as 5 lower
DC 30: as DC 25 except damage threshold is 10 lower
DC 35: as DC 25 except damage threshold is 15 lower"&amp;M76</f>
        <v>DC 25: if next attack hits, the target's damage threshold is treated as 5 lower
DC 30: as DC 25 except damage threshold is 10 lower
DC 35: as DC 25 except damage threshold is 15 lower
DC 40: as DC 25 except damage threshold is 20 lower
Spend Force Point to also ignore the target's damage reduction</v>
      </c>
      <c r="H76" s="1379"/>
      <c r="I76" s="1379"/>
      <c r="J76" s="1379"/>
      <c r="K76" s="1379"/>
      <c r="L76" s="1379" t="s">
        <v>5932</v>
      </c>
      <c r="M76" s="456" t="str">
        <f>"
DC 40: as DC 25 except damage threshold is 20 lower
Spend Force Point to also ignore the target's damage reduction"&amp;IF('The Force'!AK60&lt;&gt;"","
Spend a Force Point to make the moves down the condition track persistant; persistent condition can only be removed if the target receives surgery (for living beings) or repairs (for droids, objects, and vehicles)","")</f>
        <v xml:space="preserve">
DC 40: as DC 25 except damage threshold is 20 lower
Spend Force Point to also ignore the target's damage reduction</v>
      </c>
      <c r="N76" s="1380" t="str">
        <f t="shared" si="10"/>
        <v>Shatterpoint (swift; you) 
DC 25: if next attack hits, the target's damage threshold is treated as 5 lower
DC 30: as DC 25 except damage threshold is 10 lower
DC 35: as DC 25 except damage threshold is 15 lower
DC 40: as DC 25 except damage threshold is 20 lower
Spend Force Point to also ignore the target's damage reduction</v>
      </c>
      <c r="O76" s="1423" t="str">
        <f t="shared" si="7"/>
        <v/>
      </c>
      <c r="P76" s="1393" t="str">
        <f t="shared" si="9"/>
        <v>// Shatterpoint (swift; you) &lt;BR&gt;DC 25: if next attack hits, the target's damage threshold is treated as 5 lower
DC 30: as DC 25 except damage threshold is 10 lower
DC 35: as DC 25 except damage threshold is 15 lower
DC 40: as DC 25 except damage threshold is 20 lower
Spend Force Point to also ignore the target's damage reduction&lt;BR&gt;</v>
      </c>
      <c r="Q76" s="1536" t="str">
        <f t="shared" si="8"/>
        <v/>
      </c>
    </row>
    <row r="77" spans="1:17" ht="116">
      <c r="A77" s="1379" t="s">
        <v>4257</v>
      </c>
      <c r="B77" s="1379" t="s">
        <v>7191</v>
      </c>
      <c r="C77" s="1379" t="s">
        <v>7189</v>
      </c>
      <c r="D77" s="1379" t="s">
        <v>7151</v>
      </c>
      <c r="E77" s="1379"/>
      <c r="F77" s="1379"/>
      <c r="G77" s="1380" t="str">
        <f ca="1">"DC 15: +"&amp;UsetheForce&amp;" vs. attack to take only half damage and then move your speed; if in reach of target, make a single lightsaber attack"&amp;Enter&amp;"DC 20: as DC 15, except move speed +2 squares"&amp;Enter&amp;"DC 25: as DC 15, except move speed +4 squares"&amp;M77</f>
        <v>DC 15: +0 vs. attack to take only half damage and then move your speed; if in reach of target, make a single lightsaber attack
DC 20: as DC 15, except move speed +2 squares
DC 25: as DC 15, except move speed +4 squares
DC 30: as DC 15, except move speed +6 squares
Spend a Force Point to take no damage from incoming attack</v>
      </c>
      <c r="H77" s="1379"/>
      <c r="I77" s="1379" t="s">
        <v>3816</v>
      </c>
      <c r="J77" s="1379"/>
      <c r="K77" s="1379"/>
      <c r="L77" s="1379" t="s">
        <v>5703</v>
      </c>
      <c r="M77" s="456" t="str">
        <f>Enter&amp;"DC 30: as DC 15, except move speed +6 squares"&amp;IF(OR('Talents 2'!E71&lt;&gt;0,Talents!M1160&lt;&gt;0),Enter&amp;"Lightsaber form (Shien): take no cumulative penalties on Use the Force checks to Deflect until the start of your next turn","")&amp;Enter&amp;"Spend a Force Point to take no damage from incoming attack"</f>
        <v xml:space="preserve">
DC 30: as DC 15, except move speed +6 squares
Spend a Force Point to take no damage from incoming attack</v>
      </c>
      <c r="N77" s="1380" t="str">
        <f t="shared" ca="1" si="10"/>
        <v>Shien Deflection (reaction; you) • Lightsaber Form
DC 15: +0 vs. attack to take only half damage and then move your speed; if in reach of target, make a single lightsaber attack
DC 20: as DC 15, except move speed +2 squares
DC 25: as DC 15, except move speed +4 squares
DC 30: as DC 15, except move speed +6 squares
Spend a Force Point to take no damage from incoming attack</v>
      </c>
      <c r="O77" s="1423" t="str">
        <f t="shared" si="7"/>
        <v/>
      </c>
      <c r="P77" s="1393" t="str">
        <f t="shared" ca="1" si="9"/>
        <v>// Shien Deflection (reaction; you) •Lightsaber Form&lt;BR&gt;DC 15: +0 vs. attack to take only half damage and then move your speed; if in reach of target, make a single lightsaber attack
DC 20: as DC 15, except move speed +2 squares
DC 25: as DC 15, except move speed +4 squares
DC 30: as DC 15, except move speed +6 squares
Spend a Force Point to take no damage from incoming attack&lt;BR&gt;</v>
      </c>
      <c r="Q77" s="1536" t="str">
        <f t="shared" si="8"/>
        <v/>
      </c>
    </row>
    <row r="78" spans="1:17" ht="101.5">
      <c r="A78" s="1379" t="s">
        <v>3939</v>
      </c>
      <c r="B78" s="1379" t="s">
        <v>7192</v>
      </c>
      <c r="C78" s="1379" t="s">
        <v>7092</v>
      </c>
      <c r="D78" s="1379">
        <v>1</v>
      </c>
      <c r="E78" s="1379">
        <v>12</v>
      </c>
      <c r="F78" s="1379" t="s">
        <v>7150</v>
      </c>
      <c r="G78" s="1380" t="str">
        <f ca="1">"DC 15: +"&amp;UsetheForce&amp;" vs. Fortitude; reduce speed 1 square and -10 penalty to Acrobatics, Climb, Endurance, Initiative, Jump, Stealth, Swim
DC 20: speed -2 squares
DC 25: speed -3 squares
DC 30: speed -4 squares
Spend Force Point for -5 Fort against this power"</f>
        <v>DC 15: +0 vs. Fortitude; reduce speed 1 square and -10 penalty to Acrobatics, Climb, Endurance, Initiative, Jump, Stealth, Swim
DC 20: speed -2 squares
DC 25: speed -3 squares
DC 30: speed -4 squares
Spend Force Point for -5 Fort against this power</v>
      </c>
      <c r="H78" s="1379"/>
      <c r="I78" s="1379"/>
      <c r="J78" s="1379"/>
      <c r="K78" s="1379" t="s">
        <v>3816</v>
      </c>
      <c r="L78" s="1379" t="s">
        <v>2614</v>
      </c>
      <c r="N78" s="1380" t="str">
        <f t="shared" ca="1" si="10"/>
        <v>Slow (standard; 1) • Telekinetic
DC 15: +0 vs. Fortitude; reduce speed 1 square and -10 penalty to Acrobatics, Climb, Endurance, Initiative, Jump, Stealth, Swim
DC 20: speed -2 squares
DC 25: speed -3 squares
DC 30: speed -4 squares
Spend Force Point for -5 Fort against this power</v>
      </c>
      <c r="O78" s="1423" t="str">
        <f t="shared" si="7"/>
        <v/>
      </c>
      <c r="P78" s="1393" t="str">
        <f t="shared" ca="1" si="9"/>
        <v>// Slow (standard; 1) •Telekinetic&lt;BR&gt;DC 15: +0 vs. Fortitude; reduce speed 1 square and -10 penalty to Acrobatics, Climb, Endurance, Initiative, Jump, Stealth, Swim
DC 20: speed -2 squares
DC 25: speed -3 squares
DC 30: speed -4 squares
Spend Force Point for -5 Fort against this power&lt;BR&gt;</v>
      </c>
      <c r="Q78" s="1536" t="str">
        <f t="shared" si="8"/>
        <v/>
      </c>
    </row>
    <row r="79" spans="1:17" ht="58">
      <c r="A79" s="1379" t="s">
        <v>3941</v>
      </c>
      <c r="B79" s="1379" t="s">
        <v>7192</v>
      </c>
      <c r="C79" s="1379" t="s">
        <v>7188</v>
      </c>
      <c r="D79" s="1379">
        <v>1</v>
      </c>
      <c r="E79" s="1379" t="s">
        <v>7160</v>
      </c>
      <c r="F79" s="1379"/>
      <c r="G79" s="1380" t="str">
        <f ca="1">"+"&amp;UsetheForce&amp;" vs. Fortitude; 2d6 Force damage and target is pushed one square away from you                                                               
Spend Force Point to affect all enemies adjacent to you, move does not provoke attack of opportunity"&amp;M79</f>
        <v>+0 vs. Fortitude; 2d6 Force damage and target is pushed one square away from you                                                               
Spend Force Point to affect all enemies adjacent to you, move does not provoke attack of opportunity</v>
      </c>
      <c r="H79" s="1379"/>
      <c r="I79" s="1379"/>
      <c r="J79" s="1379"/>
      <c r="K79" s="1379" t="s">
        <v>3816</v>
      </c>
      <c r="L79" s="1379" t="s">
        <v>5904</v>
      </c>
      <c r="M79" s="456" t="str">
        <f>IF('The Force'!AK61&lt;&gt;"","
Spend a Force Point to push target 2 squares away instead of 1","")</f>
        <v/>
      </c>
      <c r="N79" s="1380" t="str">
        <f t="shared" ca="1" si="10"/>
        <v>Stagger (swift; 1) • Telekinetic
+0 vs. Fortitude; 2d6 Force damage and target is pushed one square away from you                                                               
Spend Force Point to affect all enemies adjacent to you, move does not provoke attack of opportunity</v>
      </c>
      <c r="O79" s="1423" t="str">
        <f t="shared" si="7"/>
        <v/>
      </c>
      <c r="P79" s="1393" t="str">
        <f t="shared" ca="1" si="9"/>
        <v>// Stagger (swift; 1) •Telekinetic&lt;BR&gt;+0 vs. Fortitude; 2d6 Force damage and target is pushed one square away from you                                                               
Spend Force Point to affect all enemies adjacent to you, move does not provoke attack of opportunity&lt;BR&gt;</v>
      </c>
      <c r="Q79" s="1536" t="str">
        <f t="shared" si="8"/>
        <v/>
      </c>
    </row>
    <row r="80" spans="1:17">
      <c r="A80" s="1379" t="s">
        <v>2847</v>
      </c>
      <c r="C80" s="1379" t="s">
        <v>7153</v>
      </c>
      <c r="D80" s="1379" t="s">
        <v>7151</v>
      </c>
      <c r="E80" s="1379"/>
      <c r="F80" s="1379"/>
      <c r="G80" s="1380" t="e">
        <f ca="1">"DC 10: +10 Force bonus to Jump (+"&amp;Jump+10&amp;"), speed "&amp;FinalBaseMove+2&amp;"
DC 15: +20 Force bonus to Jump (+"&amp;Jump+20&amp;"), speed "&amp;FinalBaseMove+4&amp;"
DC 20: +30 Force bonus to Jump (+"&amp;Jump+30&amp;"), speed "&amp;FinalBaseMove+6&amp;M80</f>
        <v>#VALUE!</v>
      </c>
      <c r="H80" s="1379"/>
      <c r="I80" s="1379"/>
      <c r="J80" s="1379"/>
      <c r="K80" s="1379"/>
      <c r="L80" s="1379">
        <v>100</v>
      </c>
      <c r="M80" s="456" t="s">
        <v>7270</v>
      </c>
      <c r="N80" s="1380" t="e">
        <f t="shared" ca="1" si="10"/>
        <v>#VALUE!</v>
      </c>
      <c r="O80" s="1423" t="str">
        <f t="shared" si="7"/>
        <v/>
      </c>
      <c r="P80" s="1393" t="e">
        <f t="shared" ca="1" si="9"/>
        <v>#VALUE!</v>
      </c>
      <c r="Q80" s="1536" t="str">
        <f t="shared" si="8"/>
        <v/>
      </c>
    </row>
    <row r="81" spans="1:17" ht="116">
      <c r="A81" s="1379" t="s">
        <v>4258</v>
      </c>
      <c r="B81" s="1379" t="s">
        <v>7191</v>
      </c>
      <c r="C81" s="1379" t="s">
        <v>7092</v>
      </c>
      <c r="D81" s="1379" t="s">
        <v>7151</v>
      </c>
      <c r="E81" s="1379"/>
      <c r="F81" s="1379"/>
      <c r="G81" s="1380" t="str">
        <f>"DC 20: move half speed without provoking an attack of opportunity and make a single attack against an adjacent target; if you start and finish in flanking position, the target is flanked"&amp;M81</f>
        <v>DC 20: move half speed without provoking an attack of opportunity and make a single attack against an adjacent target; if you start and finish in flanking position, the target is flanked
DC 25: move up to your speed
DC 30: move up to your speed +2 squares
DC 35: move up to your speed +4 squares
Spend Force Point to increase speed +2 squares</v>
      </c>
      <c r="H81" s="1379"/>
      <c r="I81" s="1379" t="s">
        <v>3816</v>
      </c>
      <c r="J81" s="1379"/>
      <c r="K81" s="1379"/>
      <c r="L81" s="1379" t="s">
        <v>5703</v>
      </c>
      <c r="M81" s="456" t="str">
        <f>"
DC 25: move up to your speed
DC 30: move up to your speed +2 squares
DC 35: move up to your speed +4 squares"&amp;IF(OR(Talents!M1156&lt;&gt;0,'Talents 2'!E67&lt;&gt;0),"
Lightsaber form (Vaapad): target is considered flat-footed","")&amp;"
Spend Force Point to increase speed +2 squares"</f>
        <v xml:space="preserve">
DC 25: move up to your speed
DC 30: move up to your speed +2 squares
DC 35: move up to your speed +4 squares
Spend Force Point to increase speed +2 squares</v>
      </c>
      <c r="N81" s="1380" t="str">
        <f t="shared" si="10"/>
        <v>Swift Flank (standard; you) • Lightsaber Form
DC 20: move half speed without provoking an attack of opportunity and make a single attack against an adjacent target; if you start and finish in flanking position, the target is flanked
DC 25: move up to your speed
DC 30: move up to your speed +2 squares
DC 35: move up to your speed +4 squares
Spend Force Point to increase speed +2 squares</v>
      </c>
      <c r="O81" s="1423" t="str">
        <f t="shared" si="7"/>
        <v/>
      </c>
      <c r="P81" s="1393" t="str">
        <f t="shared" si="9"/>
        <v>// Swift Flank (standard; you) •Lightsaber Form&lt;BR&gt;DC 20: move half speed without provoking an attack of opportunity and make a single attack against an adjacent target; if you start and finish in flanking position, the target is flanked
DC 25: move up to your speed
DC 30: move up to your speed +2 squares
DC 35: move up to your speed +4 squares
Spend Force Point to increase speed +2 squares&lt;BR&gt;</v>
      </c>
      <c r="Q81" s="1536" t="str">
        <f t="shared" si="8"/>
        <v/>
      </c>
    </row>
    <row r="82" spans="1:17" ht="116">
      <c r="A82" s="1379" t="s">
        <v>3944</v>
      </c>
      <c r="C82" s="1379" t="s">
        <v>7092</v>
      </c>
      <c r="D82" s="1402" t="s">
        <v>7271</v>
      </c>
      <c r="E82" s="1379" t="s">
        <v>7156</v>
      </c>
      <c r="F82" s="1379"/>
      <c r="G82" s="1405" t="str">
        <f ca="1">"+"&amp;UsetheForce&amp;" vs. Will; discover 1 piece of information within the target's memory +1 piece of information per 5 points that you exceed Will;  make Stealth checks or deny Dexterity bonus to Reflex against droid until the end of your next turn, "&amp;M82</f>
        <v>+0 vs. Will; discover 1 piece of information within the target's memory +1 piece of information per 5 points that you exceed Will;  make Stealth checks or deny Dexterity bonus to Reflex against droid until the end of your next turn, or make the droid flee from you at top speed for 2 rounds 
Spend Force Point to learn +2 pieces of information or extend droid effect 1 round</v>
      </c>
      <c r="H82" s="1379"/>
      <c r="I82" s="1379"/>
      <c r="J82" s="1379"/>
      <c r="K82" s="1379"/>
      <c r="L82" s="1379" t="s">
        <v>5932</v>
      </c>
      <c r="M82" s="456" t="str">
        <f>"or make the droid flee from you at top speed for 2 rounds 
Spend Force Point to learn +2 pieces of information or extend droid effect 1 round"&amp;IF('The Force'!AK62&lt;&gt;"","
Change time to activate to full action and target all droids in a 6-square cone","")</f>
        <v>or make the droid flee from you at top speed for 2 rounds 
Spend Force Point to learn +2 pieces of information or extend droid effect 1 round</v>
      </c>
      <c r="N82" s="1380" t="str">
        <f t="shared" ca="1" si="10"/>
        <v>Technometry (standard; one droid or electronic device touched) 
+0 vs. Will; discover 1 piece of information within the target's memory +1 piece of information per 5 points that you exceed Will;  make Stealth checks or deny Dexterity bonus to Reflex against droid until the end of your next turn, or make the droid flee from you at top speed for 2 rounds 
Spend Force Point to learn +2 pieces of information or extend droid effect 1 round</v>
      </c>
      <c r="O82" s="1423" t="str">
        <f t="shared" si="7"/>
        <v/>
      </c>
      <c r="P82" s="1393" t="str">
        <f t="shared" ca="1" si="9"/>
        <v>// Technometry (standard; one droid or electronic device touched) &lt;BR&gt;+0 vs. Will; discover 1 piece of information within the target's memory +1 piece of information per 5 points that you exceed Will;  make Stealth checks or deny Dexterity bonus to Reflex against droid until the end of your next turn, or make the droid flee from you at top speed for 2 rounds 
Spend Force Point to learn +2 pieces of information or extend droid effect 1 round&lt;BR&gt;</v>
      </c>
      <c r="Q82" s="1536" t="str">
        <f t="shared" si="8"/>
        <v/>
      </c>
    </row>
    <row r="83" spans="1:17" ht="116">
      <c r="A83" s="1379" t="s">
        <v>4259</v>
      </c>
      <c r="B83" s="1379" t="str">
        <f>IF(OR(Talents!M1156&gt;0,'Talents 2'!E67&gt;0),"lightsaber form","dark side, lightsaber form")</f>
        <v>dark side, lightsaber form</v>
      </c>
      <c r="C83" s="1379" t="s">
        <v>7092</v>
      </c>
      <c r="D83" s="1379">
        <v>1</v>
      </c>
      <c r="E83" s="1379"/>
      <c r="F83" s="1379"/>
      <c r="G83" s="1380" t="s">
        <v>7272</v>
      </c>
      <c r="H83" s="1379" t="s">
        <v>7155</v>
      </c>
      <c r="I83" s="1379" t="s">
        <v>3816</v>
      </c>
      <c r="J83" s="1379"/>
      <c r="K83" s="1379"/>
      <c r="L83" s="1379" t="s">
        <v>5704</v>
      </c>
      <c r="N83" s="1380" t="str">
        <f t="shared" si="10"/>
        <v>Tempered Aggression (standard; 1) • Dark Side, Lightsaber Form
DC 30: make single lightsaber attack and if you beat target's Reflex by 10 or more, treat as critical
DC 35: as DC 30 but you only have to beat Reflex by 5 or more
DC 40: as DC 30 but you only have to beat Reflex by 2 or more
Spend a Force Point to deal +2 dice of damage after critical</v>
      </c>
      <c r="O83" s="1423" t="str">
        <f t="shared" si="7"/>
        <v/>
      </c>
      <c r="P83" s="1393" t="str">
        <f t="shared" si="9"/>
        <v>// Tempered Aggression (standard; 1) •Dark Side, Lightsaber Form&lt;BR&gt;DC 30: make single lightsaber attack and if you beat target's Reflex by 10 or more, treat as critical
DC 35: as DC 30 but you only have to beat Reflex by 5 or more
DC 40: as DC 30 but you only have to beat Reflex by 2 or more
Spend a Force Point to deal +2 dice of damage after critical&lt;BR&gt;</v>
      </c>
      <c r="Q83" s="1536" t="str">
        <f t="shared" si="8"/>
        <v/>
      </c>
    </row>
    <row r="84" spans="1:17" ht="43.5">
      <c r="A84" s="1379" t="s">
        <v>4239</v>
      </c>
      <c r="B84" s="1379" t="s">
        <v>7196</v>
      </c>
      <c r="C84" s="1379" t="s">
        <v>7092</v>
      </c>
      <c r="D84" s="1402" t="s">
        <v>7273</v>
      </c>
      <c r="E84" s="1379">
        <v>2</v>
      </c>
      <c r="F84" s="1379"/>
      <c r="G84" s="1380" t="str">
        <f ca="1">"+"&amp;UsetheForce&amp;" vs. Will; deal 2d6 Force damage and target loses swift action next turn
Spend Force Point to deal +2d6 damage"&amp;M84</f>
        <v>+0 vs. Will; deal 2d6 Force damage and target loses swift action next turn
Spend Force Point to deal +2d6 damage</v>
      </c>
      <c r="H84" s="1379"/>
      <c r="I84" s="1379"/>
      <c r="J84" s="1379" t="s">
        <v>3816</v>
      </c>
      <c r="K84" s="1379"/>
      <c r="L84" s="1379" t="s">
        <v>5697</v>
      </c>
      <c r="M84" s="456" t="str">
        <f>IF('The Force'!AK64&lt;&gt;"","
Spend a Force Point to target all enemies within 5 squares
Spend a Destiny Point to target all enemies in your line of sight","")</f>
        <v/>
      </c>
      <c r="N84" s="1380" t="str">
        <f t="shared" ca="1" si="10"/>
        <v>Thought Bomb (standard; all enemies within 2 squares) • Mind-Affecting
+0 vs. Will; deal 2d6 Force damage and target loses swift action next turn
Spend Force Point to deal +2d6 damage</v>
      </c>
      <c r="O84" s="1423" t="str">
        <f t="shared" si="7"/>
        <v/>
      </c>
      <c r="P84" s="1393" t="str">
        <f t="shared" ca="1" si="9"/>
        <v>// Thought Bomb (standard; all enemies within 2 squares) •Mind-Affecting&lt;BR&gt;+0 vs. Will; deal 2d6 Force damage and target loses swift action next turn
Spend Force Point to deal +2d6 damage&lt;BR&gt;</v>
      </c>
      <c r="Q84" s="1536" t="str">
        <f t="shared" si="8"/>
        <v/>
      </c>
    </row>
    <row r="85" spans="1:17" ht="87">
      <c r="A85" s="1379" t="s">
        <v>4260</v>
      </c>
      <c r="B85" s="1379" t="s">
        <v>7191</v>
      </c>
      <c r="C85" s="1379" t="s">
        <v>7092</v>
      </c>
      <c r="D85" s="1402" t="s">
        <v>7223</v>
      </c>
      <c r="E85" s="1379"/>
      <c r="F85" s="1379"/>
      <c r="G85" s="1380" t="str">
        <f>"DC 15: make a single lightsaber attack and deal base damage dice to the damage roll if the attack hits
DC 25: as DC 15 but gain a +1 bonus to the attack roll
DC 30: as DC 15 but gain a +2 bonus to the attack roll"&amp;IF(OR(Talents!M1159&gt;0,'Talents 2'!E70&gt;0),"
Lightsaber form (Jar'Kai): triple deflection bonus to Reflex from Lightsaber Defense","")&amp;"
Spend a Force Point to add +1 die of damage"</f>
        <v>DC 15: make a single lightsaber attack and deal base damage dice to the damage roll if the attack hits
DC 25: as DC 15 but gain a +1 bonus to the attack roll
DC 30: as DC 15 but gain a +2 bonus to the attack roll
Spend a Force Point to add +1 die of damage</v>
      </c>
      <c r="H85" s="1379"/>
      <c r="I85" s="1379" t="s">
        <v>3816</v>
      </c>
      <c r="J85" s="1379"/>
      <c r="K85" s="1379"/>
      <c r="L85" s="1379" t="s">
        <v>5704</v>
      </c>
      <c r="N85" s="1380" t="str">
        <f t="shared" si="10"/>
        <v>Twin Strike (standard; one enemy within reach) • Lightsaber Form
DC 15: make a single lightsaber attack and deal base damage dice to the damage roll if the attack hits
DC 25: as DC 15 but gain a +1 bonus to the attack roll
DC 30: as DC 15 but gain a +2 bonus to the attack roll
Spend a Force Point to add +1 die of damage</v>
      </c>
      <c r="O85" s="1423" t="str">
        <f t="shared" si="7"/>
        <v/>
      </c>
      <c r="P85" s="1393" t="str">
        <f t="shared" si="9"/>
        <v>// Twin Strike (standard; one enemy within reach) •Lightsaber Form&lt;BR&gt;DC 15: make a single lightsaber attack and deal base damage dice to the damage roll if the attack hits
DC 25: as DC 15 but gain a +1 bonus to the attack roll
DC 30: as DC 15 but gain a +2 bonus to the attack roll
Spend a Force Point to add +1 die of damage&lt;BR&gt;</v>
      </c>
      <c r="Q85" s="1536" t="str">
        <f t="shared" si="8"/>
        <v/>
      </c>
    </row>
    <row r="86" spans="1:17" ht="58">
      <c r="A86" s="1379" t="s">
        <v>4261</v>
      </c>
      <c r="B86" s="1379" t="s">
        <v>7191</v>
      </c>
      <c r="C86" s="1379" t="s">
        <v>7189</v>
      </c>
      <c r="D86" s="1379" t="s">
        <v>7151</v>
      </c>
      <c r="E86" s="1379"/>
      <c r="F86" s="1379"/>
      <c r="G86" s="1380" t="str">
        <f ca="1">"+"&amp;UsetheForce&amp;" vs. attack roll for half damage; if Use the Force beats assailant's Will,  assailant is flat-footed "&amp;IF(OR(Talents!M1164&gt;0,'Talents 2'!E75&gt;0),"
Lightsaber form (Trakata): +2 dice damage on next attack against assailant","")&amp;"
Spend a Force Point to take no damage "</f>
        <v xml:space="preserve">+0 vs. attack roll for half damage; if Use the Force beats assailant's Will,  assailant is flat-footed 
Spend a Force Point to take no damage </v>
      </c>
      <c r="H86" s="1379"/>
      <c r="I86" s="1379" t="s">
        <v>3816</v>
      </c>
      <c r="J86" s="1379"/>
      <c r="K86" s="1379"/>
      <c r="L86" s="1379" t="s">
        <v>5704</v>
      </c>
      <c r="N86" s="1380" t="str">
        <f t="shared" ca="1" si="10"/>
        <v xml:space="preserve">Unbalancing Block (reaction; you) • Lightsaber Form
+0 vs. attack roll for half damage; if Use the Force beats assailant's Will,  assailant is flat-footed 
Spend a Force Point to take no damage </v>
      </c>
      <c r="O86" s="1423" t="str">
        <f t="shared" si="7"/>
        <v/>
      </c>
      <c r="P86" s="1393" t="str">
        <f t="shared" ca="1" si="9"/>
        <v>// Unbalancing Block (reaction; you) •Lightsaber Form&lt;BR&gt;+0 vs. attack roll for half damage; if Use the Force beats assailant's Will,  assailant is flat-footed 
Spend a Force Point to take no damage &lt;BR&gt;</v>
      </c>
      <c r="Q86" s="1536" t="str">
        <f t="shared" si="8"/>
        <v/>
      </c>
    </row>
    <row r="87" spans="1:17" ht="101.5">
      <c r="A87" s="1379" t="s">
        <v>5901</v>
      </c>
      <c r="B87" s="1379" t="s">
        <v>7191</v>
      </c>
      <c r="C87" s="1379" t="s">
        <v>7092</v>
      </c>
      <c r="D87" s="1379" t="s">
        <v>7151</v>
      </c>
      <c r="E87" s="1379"/>
      <c r="F87" s="1379"/>
      <c r="G87" s="1380" t="str">
        <f>"DC 15: move your speed toward an enemy ignoring difficult terrain and low objects; make a single lightsaber attack
DC 20: as DC 15 except you move +2 squares
DC 25: as DC 15 except you move +4 squares
DC 30: as DC 15 except you move +6 squares"&amp;IF(OR(Talents!M1162&gt;0,'Talents 2'!E73&gt;0),"
+5 bonus to Reflex vs. attacks of opportunity made against you during this move","")&amp;"
Spend a Force Point to move +2 squares"</f>
        <v>DC 15: move your speed toward an enemy ignoring difficult terrain and low objects; make a single lightsaber attack
DC 20: as DC 15 except you move +2 squares
DC 25: as DC 15 except you move +4 squares
DC 30: as DC 15 except you move +6 squares
Spend a Force Point to move +2 squares</v>
      </c>
      <c r="H87" s="1379"/>
      <c r="I87" s="1379" t="s">
        <v>3816</v>
      </c>
      <c r="J87" s="1379"/>
      <c r="K87" s="1379"/>
      <c r="L87" s="1379" t="s">
        <v>5902</v>
      </c>
      <c r="N87" s="1380" t="str">
        <f t="shared" si="10"/>
        <v>Unhindered Charge (standard; you) • Lightsaber Form
DC 15: move your speed toward an enemy ignoring difficult terrain and low objects; make a single lightsaber attack
DC 20: as DC 15 except you move +2 squares
DC 25: as DC 15 except you move +4 squares
DC 30: as DC 15 except you move +6 squares
Spend a Force Point to move +2 squares</v>
      </c>
      <c r="O87" s="1423" t="str">
        <f t="shared" si="7"/>
        <v/>
      </c>
      <c r="P87" s="1393" t="str">
        <f t="shared" si="9"/>
        <v>// Unhindered Charge (standard; you) •Lightsaber Form&lt;BR&gt;DC 15: move your speed toward an enemy ignoring difficult terrain and low objects; make a single lightsaber attack
DC 20: as DC 15 except you move +2 squares
DC 25: as DC 15 except you move +4 squares
DC 30: as DC 15 except you move +6 squares
Spend a Force Point to move +2 squares&lt;BR&gt;</v>
      </c>
      <c r="Q87" s="1536" t="str">
        <f t="shared" si="8"/>
        <v/>
      </c>
    </row>
    <row r="88" spans="1:17" ht="101.5">
      <c r="A88" s="1379" t="s">
        <v>3945</v>
      </c>
      <c r="B88" s="1379" t="s">
        <v>7195</v>
      </c>
      <c r="C88" s="1379" t="s">
        <v>7092</v>
      </c>
      <c r="D88" s="1402" t="s">
        <v>7274</v>
      </c>
      <c r="E88" s="1379">
        <v>12</v>
      </c>
      <c r="F88" s="1379" t="s">
        <v>7150</v>
      </c>
      <c r="G88" s="1409" t="str">
        <f>"DC 15: +1 bonus to Will vs. mind-affecting and fear effects until start of next turn
DC 20: as DC 15 except a +2 bonus to Will
DC25: as DC 15 except a +5 bonus to Will
DC30: as DC 15 except a +10 bonus to Will"&amp;M88</f>
        <v>DC 15: +1 bonus to Will vs. mind-affecting and fear effects until start of next turn
DC 20: as DC 15 except a +2 bonus to Will
DC25: as DC 15 except a +5 bonus to Will
DC30: as DC 15 except a +10 bonus to Will
Maintain as swift action
Spend a Force Point to expand to all powers vs. Will</v>
      </c>
      <c r="H88" s="1379" t="s">
        <v>321</v>
      </c>
      <c r="I88" s="1379"/>
      <c r="J88" s="1379"/>
      <c r="K88" s="1379"/>
      <c r="L88" s="1379" t="s">
        <v>2614</v>
      </c>
      <c r="M88" s="456" t="str">
        <f>"
Maintain as swift action
Spend a Force Point to expand to all powers vs. Will"&amp;IF('The Force'!AK65&lt;&gt;"","
You gain bonuses as well as the ally","")</f>
        <v xml:space="preserve">
Maintain as swift action
Spend a Force Point to expand to all powers vs. Will</v>
      </c>
      <c r="N88" s="1380" t="str">
        <f t="shared" si="10"/>
        <v>Valor (standard; one ally within 12 squares and line of sight) • Light Side
DC 15: +1 bonus to Will vs. mind-affecting and fear effects until start of next turn
DC 20: as DC 15 except a +2 bonus to Will
DC25: as DC 15 except a +5 bonus to Will
DC30: as DC 15 except a +10 bonus to Will
Maintain as swift action
Spend a Force Point to expand to all powers vs. Will</v>
      </c>
      <c r="O88" s="1423" t="str">
        <f t="shared" si="7"/>
        <v/>
      </c>
      <c r="P88" s="1393" t="str">
        <f t="shared" si="9"/>
        <v>// Valor (standard; one ally within 12 squares and line of sight) •Light Side&lt;BR&gt;DC 15: +1 bonus to Will vs. mind-affecting and fear effects until start of next turn
DC 20: as DC 15 except a +2 bonus to Will
DC25: as DC 15 except a +5 bonus to Will
DC30: as DC 15 except a +10 bonus to Will
Maintain as swift action
Spend a Force Point to expand to all powers vs. Will&lt;BR&gt;</v>
      </c>
      <c r="Q88" s="1536" t="str">
        <f t="shared" si="8"/>
        <v/>
      </c>
    </row>
    <row r="89" spans="1:17" ht="87">
      <c r="A89" s="1379" t="s">
        <v>3947</v>
      </c>
      <c r="B89" s="1379" t="s">
        <v>7195</v>
      </c>
      <c r="C89" s="1379" t="s">
        <v>7092</v>
      </c>
      <c r="D89" s="1379" t="str">
        <f>IF('The Force'!AK66&lt;&gt;"","one ally within 6 squares","one ally touched")</f>
        <v>one ally touched</v>
      </c>
      <c r="E89" s="1379" t="s">
        <v>7156</v>
      </c>
      <c r="F89" s="1379"/>
      <c r="G89" s="1380" t="str">
        <f>"DC 15: heals "&amp;CharacterLevel*2+IF(Talents!M1122&gt;0,2,IF(Talents!M1121&gt;0,1,0))*Data!CT27&amp;" hit points
DC 20: heals "&amp;CharacterLevel*3+IF(Talents!M1122&gt;0,2,IF(Talents!M1121&gt;0,1,0))*Data!CT27&amp;" hit points
DC25: heals "&amp;CharacterLevel*4+IF(Talents!M1122&gt;0,2,IF(Talents!M1121&gt;0,1,0))*Data!CT27&amp;" hit points
Take half of the damage you heal; spend Force Point to avoid taking damage; spend Destiny Point to move target +5 steps up the condition track"&amp;IF(Talents!M1123&gt;1,"
Alternatively, move target +1 step on condition track instead of healing but you move -1 step down in exchange","")&amp;M89</f>
        <v>DC 15: heals 0 hit points
DC 20: heals 0 hit points
DC25: heals 0 hit points
Take half of the damage you heal; spend Force Point to avoid taking damage; spend Destiny Point to move target +5 steps up the condition track</v>
      </c>
      <c r="H89" s="1379" t="s">
        <v>321</v>
      </c>
      <c r="I89" s="1379"/>
      <c r="J89" s="1379"/>
      <c r="K89" s="1379"/>
      <c r="L89" s="1379">
        <v>100</v>
      </c>
      <c r="M89" s="456" t="str">
        <f>IF('The Force'!AK10&lt;&gt;"","
Spend a Destiny Point to fully heal the target of all damage and remove all of the target's debilitating conditions","")</f>
        <v/>
      </c>
      <c r="N89" s="1380" t="str">
        <f t="shared" si="10"/>
        <v>Vital Transfer (standard; one ally touched) • Light Side
DC 15: heals 0 hit points
DC 20: heals 0 hit points
DC25: heals 0 hit points
Take half of the damage you heal; spend Force Point to avoid taking damage; spend Destiny Point to move target +5 steps up the condition track</v>
      </c>
      <c r="O89" s="1423" t="str">
        <f t="shared" si="7"/>
        <v/>
      </c>
      <c r="P89" s="1393" t="str">
        <f t="shared" si="9"/>
        <v>// Vital Transfer (standard; one ally touched) •Light Side&lt;BR&gt;DC 15: heals 0 hit points
DC 20: heals 0 hit points
DC25: heals 0 hit points
Take half of the damage you heal; spend Force Point to avoid taking damage; spend Destiny Point to move target +5 steps up the condition track&lt;BR&gt;</v>
      </c>
      <c r="Q89" s="1536" t="str">
        <f t="shared" si="8"/>
        <v/>
      </c>
    </row>
    <row r="90" spans="1:17" ht="145">
      <c r="A90" s="1379" t="s">
        <v>7199</v>
      </c>
      <c r="B90" s="1379" t="str">
        <f>IF(OR(Talents!M1155&gt;0,'Talents 2'!E66&gt;0),"lightsaber form","dark side, lightsaber form")</f>
        <v>dark side, lightsaber form</v>
      </c>
      <c r="C90" s="1379" t="s">
        <v>7092</v>
      </c>
      <c r="D90" s="1402" t="s">
        <v>7223</v>
      </c>
      <c r="E90" s="1379"/>
      <c r="F90" s="1379"/>
      <c r="G90" s="1380" t="s">
        <v>7275</v>
      </c>
      <c r="H90" s="1379" t="s">
        <v>7155</v>
      </c>
      <c r="I90" s="1379" t="s">
        <v>3816</v>
      </c>
      <c r="J90" s="1379"/>
      <c r="K90" s="1379"/>
      <c r="L90" s="1379" t="s">
        <v>5902</v>
      </c>
      <c r="N90" s="1380" t="str">
        <f t="shared" si="10"/>
        <v>Vornskr's Ferocity (standard; one enemy within reach) • Dark Side, Lightsaber Form
DC 20: make a single lightsaber attack, add +1 die damage 
DC 25: make a single lightsaber attack, add +2 die damage 
DC 30: make a single lightsaber attack, add +3 die damage 
DC 35: make a single lightsaber attack, add +4 die damage 
Spend a Force Point to use power at the end of a charge</v>
      </c>
      <c r="O90" s="1423" t="str">
        <f t="shared" si="7"/>
        <v/>
      </c>
      <c r="P90" s="1393" t="str">
        <f t="shared" si="9"/>
        <v>// Vornskr's Ferocity (standard; one enemy within reach) •Dark Side, Lightsaber Form&lt;BR&gt;DC 20: make a single lightsaber attack, add +1 die damage 
DC 25: make a single lightsaber attack, add +2 die damage 
DC 30: make a single lightsaber attack, add +3 die damage 
DC 35: make a single lightsaber attack, add +4 die damage 
Spend a Force Point to use power at the end of a charge&lt;BR&gt;</v>
      </c>
      <c r="Q90" s="1536" t="str">
        <f t="shared" si="8"/>
        <v/>
      </c>
    </row>
    <row r="91" spans="1:17" ht="43.5">
      <c r="A91" s="1379" t="s">
        <v>3949</v>
      </c>
      <c r="B91" s="1379" t="s">
        <v>7193</v>
      </c>
      <c r="C91" s="1379" t="s">
        <v>7092</v>
      </c>
      <c r="D91" s="1379" t="s">
        <v>7200</v>
      </c>
      <c r="E91" s="1379">
        <v>6</v>
      </c>
      <c r="F91" s="1379" t="s">
        <v>7150</v>
      </c>
      <c r="G91" s="1380" t="str">
        <f ca="1">"+"&amp;UsetheForce&amp;" vs. Fortitude; 4d6 damage; if target moves down condition track, persistent condition DC 20 to remove; spend a Force Point for +2d6 damage"</f>
        <v>+0 vs. Fortitude; 4d6 damage; if target moves down condition track, persistent condition DC 20 to remove; spend a Force Point for +2d6 damage</v>
      </c>
      <c r="H91" s="1379" t="s">
        <v>7155</v>
      </c>
      <c r="I91" s="1379"/>
      <c r="J91" s="1379"/>
      <c r="K91" s="1379"/>
      <c r="L91" s="1379" t="s">
        <v>2614</v>
      </c>
      <c r="N91" s="1380" t="str">
        <f t="shared" ca="1" si="10"/>
        <v>Wound (standard; one living creature within 6 squares) • Dark Side
+0 vs. Fortitude; 4d6 damage; if target moves down condition track, persistent condition DC 20 to remove; spend a Force Point for +2d6 damage</v>
      </c>
      <c r="O91" s="1423" t="str">
        <f t="shared" si="7"/>
        <v/>
      </c>
      <c r="P91" s="1393" t="str">
        <f t="shared" ca="1" si="9"/>
        <v>// Wound (standard; one living creature within 6 squares) •Dark Side&lt;BR&gt;+0 vs. Fortitude; 4d6 damage; if target moves down condition track, persistent condition DC 20 to remove; spend a Force Point for +2d6 damage&lt;BR&gt;</v>
      </c>
      <c r="Q91" s="1536" t="str">
        <f t="shared" si="8"/>
        <v/>
      </c>
    </row>
    <row r="92" spans="1:17">
      <c r="O92" s="570" t="s">
        <v>195</v>
      </c>
      <c r="Q92" s="570" t="s">
        <v>195</v>
      </c>
    </row>
    <row r="95" spans="1:17">
      <c r="B95" s="1394"/>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B1:AE37"/>
  <sheetViews>
    <sheetView showGridLines="0" showRowColHeaders="0" workbookViewId="0">
      <selection activeCell="G6" sqref="G6"/>
    </sheetView>
  </sheetViews>
  <sheetFormatPr defaultColWidth="9.1796875" defaultRowHeight="14.5"/>
  <cols>
    <col min="1" max="2" width="2.81640625" style="905" customWidth="1"/>
    <col min="3" max="3" width="4.26953125" style="905" customWidth="1"/>
    <col min="4" max="5" width="14.26953125" style="905" customWidth="1"/>
    <col min="6" max="6" width="4.54296875" style="905" customWidth="1"/>
    <col min="7" max="7" width="9.1796875" style="16"/>
    <col min="8" max="9" width="2.81640625" style="905" customWidth="1"/>
    <col min="10" max="10" width="2.81640625" style="1023" hidden="1" customWidth="1"/>
    <col min="11" max="11" width="40" style="1023" hidden="1" customWidth="1"/>
    <col min="12" max="12" width="2.81640625" style="905" customWidth="1"/>
    <col min="13" max="13" width="4.26953125" style="905" customWidth="1"/>
    <col min="14" max="14" width="14.26953125" style="905" customWidth="1"/>
    <col min="15" max="15" width="9.453125" style="905" customWidth="1"/>
    <col min="16" max="16" width="15.7265625" style="16" customWidth="1"/>
    <col min="17" max="17" width="9.1796875" style="905"/>
    <col min="18" max="19" width="2.81640625" style="905" customWidth="1"/>
    <col min="20" max="20" width="12.54296875" style="1023" hidden="1" customWidth="1"/>
    <col min="21" max="21" width="25.453125" style="1023" hidden="1" customWidth="1"/>
    <col min="22" max="22" width="2.81640625" style="905" customWidth="1"/>
    <col min="23" max="23" width="4.54296875" style="905" customWidth="1"/>
    <col min="24" max="25" width="14" style="905" customWidth="1"/>
    <col min="26" max="26" width="5.1796875" style="905" customWidth="1"/>
    <col min="27" max="27" width="9.1796875" style="16"/>
    <col min="28" max="28" width="2.81640625" style="905" customWidth="1"/>
    <col min="29" max="31" width="0" style="905" hidden="1" customWidth="1"/>
    <col min="32" max="16384" width="9.1796875" style="905"/>
  </cols>
  <sheetData>
    <row r="1" spans="2:31" ht="15" thickBot="1"/>
    <row r="2" spans="2:31">
      <c r="B2" s="22"/>
      <c r="C2" s="903"/>
      <c r="D2" s="903"/>
      <c r="E2" s="903"/>
      <c r="F2" s="903"/>
      <c r="G2" s="1016">
        <f ca="1">IF(Feats!M122&gt;0,Feats!M122*MAX(WisMod+1,1),0)</f>
        <v>0</v>
      </c>
      <c r="H2" s="25"/>
      <c r="L2" s="22"/>
      <c r="M2" s="903"/>
      <c r="N2" s="903"/>
      <c r="O2" s="903"/>
      <c r="P2" s="24"/>
      <c r="Q2" s="1015">
        <f ca="1">Feats!M302*MAX(WisMod,1)</f>
        <v>0</v>
      </c>
      <c r="R2" s="25"/>
      <c r="V2" s="22"/>
      <c r="W2" s="994"/>
      <c r="X2" s="994"/>
      <c r="Y2" s="994"/>
      <c r="Z2" s="994"/>
      <c r="AA2" s="24"/>
      <c r="AB2" s="25"/>
    </row>
    <row r="3" spans="2:31" s="731" customFormat="1" ht="21">
      <c r="B3" s="732"/>
      <c r="C3" s="907" t="s">
        <v>5723</v>
      </c>
      <c r="D3" s="907"/>
      <c r="E3" s="907"/>
      <c r="F3" s="943" t="s">
        <v>5744</v>
      </c>
      <c r="G3" s="944" t="str">
        <f ca="1">SUM(G6:G19)&amp;"/"&amp;IF(Feats!M122&gt;0,MAX(WisMod+1,1)*Feats!M122,0)</f>
        <v>0/0</v>
      </c>
      <c r="H3" s="733"/>
      <c r="L3" s="732"/>
      <c r="M3" s="907" t="s">
        <v>5745</v>
      </c>
      <c r="N3" s="907"/>
      <c r="O3" s="907"/>
      <c r="P3" s="943" t="s">
        <v>5744</v>
      </c>
      <c r="Q3" s="944" t="str">
        <f ca="1">SUM(Q5:Q31)&amp;"/"&amp;IF(Feats!M302&gt;0,MAX(WisMod+1,1)*Feats!M302,0)</f>
        <v>0/0</v>
      </c>
      <c r="R3" s="733"/>
      <c r="V3" s="732"/>
      <c r="W3" s="995" t="s">
        <v>2516</v>
      </c>
      <c r="X3" s="995"/>
      <c r="Y3" s="995"/>
      <c r="Z3" s="995"/>
      <c r="AA3" s="530"/>
      <c r="AB3" s="733"/>
    </row>
    <row r="4" spans="2:31">
      <c r="B4" s="26"/>
      <c r="C4" s="900"/>
      <c r="D4" s="900"/>
      <c r="E4" s="900"/>
      <c r="F4" s="900"/>
      <c r="G4" s="914"/>
      <c r="H4" s="29"/>
      <c r="L4" s="26"/>
      <c r="M4" s="900"/>
      <c r="N4" s="900"/>
      <c r="O4" s="900"/>
      <c r="P4" s="914"/>
      <c r="Q4" s="900"/>
      <c r="R4" s="29"/>
      <c r="V4" s="26"/>
      <c r="W4" s="992"/>
      <c r="X4" s="992"/>
      <c r="Y4" s="992"/>
      <c r="Z4" s="992"/>
      <c r="AA4" s="1000"/>
      <c r="AB4" s="29"/>
    </row>
    <row r="5" spans="2:31">
      <c r="B5" s="26"/>
      <c r="C5" s="904" t="s">
        <v>5735</v>
      </c>
      <c r="D5" s="900"/>
      <c r="E5" s="900"/>
      <c r="F5" s="900"/>
      <c r="G5" s="914"/>
      <c r="H5" s="29"/>
      <c r="J5" s="1023" t="str">
        <f>K6</f>
        <v/>
      </c>
      <c r="K5" s="1070" t="str">
        <f>IF(J5&lt;&gt;"",J5&amp;IF(K6&lt;&gt;"",", "&amp;K6,""),K6)</f>
        <v/>
      </c>
      <c r="L5" s="26"/>
      <c r="M5" s="904" t="s">
        <v>5770</v>
      </c>
      <c r="N5" s="900"/>
      <c r="O5" s="900"/>
      <c r="P5" s="567" t="s">
        <v>5776</v>
      </c>
      <c r="Q5" s="75"/>
      <c r="R5" s="29"/>
      <c r="T5" s="1023" t="str">
        <f>U6</f>
        <v/>
      </c>
      <c r="V5" s="26"/>
      <c r="W5" s="996" t="s">
        <v>5912</v>
      </c>
      <c r="X5" s="992"/>
      <c r="Y5" s="992"/>
      <c r="Z5" s="992"/>
      <c r="AA5" s="1001" t="s">
        <v>5915</v>
      </c>
      <c r="AB5" s="29"/>
      <c r="AD5" s="905" t="str">
        <f ca="1">AE6</f>
        <v/>
      </c>
    </row>
    <row r="6" spans="2:31">
      <c r="B6" s="26"/>
      <c r="C6" s="900"/>
      <c r="D6" s="900" t="s">
        <v>5730</v>
      </c>
      <c r="E6" s="900"/>
      <c r="F6" s="900"/>
      <c r="G6" s="909"/>
      <c r="H6" s="29"/>
      <c r="J6" s="1023" t="str">
        <f>IF(G6&lt;&gt;"",D6&amp;IF(G6&gt;1," ("&amp;G6&amp;")",""),"")</f>
        <v/>
      </c>
      <c r="K6" s="1070" t="str">
        <f>IF(J6&lt;&gt;"",J6&amp;IF(K7&lt;&gt;"",", "&amp;K7,""),K7)</f>
        <v/>
      </c>
      <c r="L6" s="26"/>
      <c r="M6" s="900" t="s">
        <v>5746</v>
      </c>
      <c r="N6" s="900"/>
      <c r="O6" s="900"/>
      <c r="P6" s="901"/>
      <c r="Q6" s="1011"/>
      <c r="R6" s="29"/>
      <c r="T6" s="1026" t="str">
        <f>IF(Q6&lt;&gt;"",M6&amp;IF(Q6&gt;1," ("&amp;Q6&amp;")",""),"")</f>
        <v/>
      </c>
      <c r="U6" s="1291" t="str">
        <f>IF(T6&lt;&gt;"",T6&amp;";"&amp;U7,U7)</f>
        <v/>
      </c>
      <c r="V6" s="26"/>
      <c r="W6" s="512" t="s">
        <v>2293</v>
      </c>
      <c r="X6" s="992" t="str">
        <f>"Unleashed "&amp;W6</f>
        <v>Unleashed Bantha Rush</v>
      </c>
      <c r="Y6" s="992"/>
      <c r="Z6" s="992"/>
      <c r="AA6" s="1014" t="str">
        <f ca="1">IF(AND(Unleashed,Feats!M33&gt;0),"Yes","No")</f>
        <v>No</v>
      </c>
      <c r="AB6" s="29"/>
      <c r="AD6" s="1026" t="str">
        <f t="shared" ref="AD6:AD21" ca="1" si="0">IF(AA6="Yes",W6&amp;IF(AA6&gt;1," ("&amp;AA6&amp;")",""),"")</f>
        <v/>
      </c>
      <c r="AE6" s="1026" t="str">
        <f ca="1">IF(AD6&lt;&gt;"",AD6&amp;IF(AE7&lt;&gt;"",", ",""),AE7)</f>
        <v/>
      </c>
    </row>
    <row r="7" spans="2:31">
      <c r="B7" s="26"/>
      <c r="C7" s="900"/>
      <c r="D7" s="900" t="s">
        <v>5731</v>
      </c>
      <c r="E7" s="900"/>
      <c r="F7" s="900"/>
      <c r="G7" s="909"/>
      <c r="H7" s="29"/>
      <c r="J7" s="1023" t="str">
        <f t="shared" ref="J7:J19" si="1">IF(G7&lt;&gt;"",D7&amp;IF(G7&gt;1," ("&amp;G7&amp;")",""),"")</f>
        <v/>
      </c>
      <c r="K7" s="1070" t="str">
        <f>IF(J7&lt;&gt;"",J7&amp;IF(K8&lt;&gt;"",", "&amp;K8,""),K8)</f>
        <v/>
      </c>
      <c r="L7" s="26"/>
      <c r="M7" s="900" t="s">
        <v>5747</v>
      </c>
      <c r="N7" s="900"/>
      <c r="O7" s="900"/>
      <c r="P7" s="901"/>
      <c r="Q7" s="1011"/>
      <c r="R7" s="29"/>
      <c r="T7" s="1026" t="str">
        <f>IF(Q7&lt;&gt;"",M7&amp;IF(Q7&gt;1," ("&amp;Q7&amp;")",""),"")</f>
        <v/>
      </c>
      <c r="U7" s="1655" t="str">
        <f t="shared" ref="U7:U31" si="2">IF(T7&lt;&gt;"",T7&amp;";"&amp;U8,U8)</f>
        <v/>
      </c>
      <c r="V7" s="26"/>
      <c r="W7" s="512" t="s">
        <v>5707</v>
      </c>
      <c r="X7" s="992" t="str">
        <f t="shared" ref="X7:X20" si="3">"Unleashed "&amp;W7</f>
        <v>Unleashed Charge</v>
      </c>
      <c r="Y7" s="992"/>
      <c r="Z7" s="992"/>
      <c r="AA7" s="1014" t="str">
        <f ca="1">IF(AND(Unleashed),"Yes","No")</f>
        <v>No</v>
      </c>
      <c r="AB7" s="29"/>
      <c r="AD7" s="1026" t="str">
        <f t="shared" ca="1" si="0"/>
        <v/>
      </c>
      <c r="AE7" s="1026" t="str">
        <f t="shared" ref="AE7:AE33" ca="1" si="4">IF(AD7&lt;&gt;"",AD7&amp;IF(AE8&lt;&gt;"",", ",""),AE8)</f>
        <v/>
      </c>
    </row>
    <row r="8" spans="2:31">
      <c r="B8" s="26"/>
      <c r="C8" s="900"/>
      <c r="D8" s="900" t="s">
        <v>5732</v>
      </c>
      <c r="E8" s="900"/>
      <c r="F8" s="900"/>
      <c r="G8" s="909"/>
      <c r="H8" s="29"/>
      <c r="J8" s="1023" t="str">
        <f t="shared" si="1"/>
        <v/>
      </c>
      <c r="K8" s="1023" t="str">
        <f>IF(J8&lt;&gt;"",J8&amp;IF(K9&lt;&gt;"",", "&amp;K9,""),K9)</f>
        <v/>
      </c>
      <c r="L8" s="26"/>
      <c r="M8" s="900" t="s">
        <v>5748</v>
      </c>
      <c r="N8" s="900"/>
      <c r="O8" s="900"/>
      <c r="P8" s="901" t="s">
        <v>5774</v>
      </c>
      <c r="Q8" s="1011"/>
      <c r="R8" s="29"/>
      <c r="T8" s="1023" t="str">
        <f>IF(Q8&lt;&gt;"",M8&amp;IF(Q8&gt;1," ("&amp;Q8&amp;")",""),"")</f>
        <v/>
      </c>
      <c r="U8" s="1655" t="str">
        <f t="shared" si="2"/>
        <v/>
      </c>
      <c r="V8" s="26"/>
      <c r="W8" s="512" t="s">
        <v>2312</v>
      </c>
      <c r="X8" s="992" t="str">
        <f t="shared" si="3"/>
        <v>Unleashed Cleave</v>
      </c>
      <c r="Y8" s="992"/>
      <c r="Z8" s="992"/>
      <c r="AA8" s="1014" t="str">
        <f ca="1">IF(AND(Unleashed,Feats!M46&gt;0),"Yes","No")</f>
        <v>No</v>
      </c>
      <c r="AB8" s="29"/>
      <c r="AD8" s="1026" t="str">
        <f t="shared" ca="1" si="0"/>
        <v/>
      </c>
      <c r="AE8" s="1026" t="str">
        <f t="shared" ca="1" si="4"/>
        <v/>
      </c>
    </row>
    <row r="9" spans="2:31">
      <c r="B9" s="26"/>
      <c r="C9" s="900"/>
      <c r="D9" s="900" t="s">
        <v>5733</v>
      </c>
      <c r="E9" s="900"/>
      <c r="F9" s="900"/>
      <c r="G9" s="909"/>
      <c r="H9" s="29"/>
      <c r="J9" s="1023" t="str">
        <f t="shared" si="1"/>
        <v/>
      </c>
      <c r="K9" s="1070" t="str">
        <f t="shared" ref="K9:K19" si="5">IF(J9&lt;&gt;"",J9&amp;IF(K10&lt;&gt;"",", "&amp;K10,""),K10)</f>
        <v/>
      </c>
      <c r="L9" s="26"/>
      <c r="M9" s="900" t="s">
        <v>5749</v>
      </c>
      <c r="N9" s="900"/>
      <c r="O9" s="900"/>
      <c r="P9" s="901" t="s">
        <v>5774</v>
      </c>
      <c r="Q9" s="1011"/>
      <c r="R9" s="29"/>
      <c r="T9" s="1026" t="str">
        <f t="shared" ref="T9:T31" si="6">IF(Q9&lt;&gt;"",M9&amp;IF(Q9&gt;1," ("&amp;Q9&amp;")",""),"")</f>
        <v/>
      </c>
      <c r="U9" s="1655" t="str">
        <f t="shared" si="2"/>
        <v/>
      </c>
      <c r="V9" s="26"/>
      <c r="W9" s="512" t="s">
        <v>2963</v>
      </c>
      <c r="X9" s="992" t="str">
        <f t="shared" si="3"/>
        <v>Unleashed Devastating Attack</v>
      </c>
      <c r="Y9" s="992"/>
      <c r="Z9" s="992"/>
      <c r="AA9" s="1014" t="str">
        <f ca="1">IF(AND(Unleashed,Talents!M602&gt;0),"Yes","No")</f>
        <v>No</v>
      </c>
      <c r="AB9" s="29"/>
      <c r="AD9" s="1026" t="str">
        <f t="shared" ca="1" si="0"/>
        <v/>
      </c>
      <c r="AE9" s="1026" t="str">
        <f t="shared" ca="1" si="4"/>
        <v/>
      </c>
    </row>
    <row r="10" spans="2:31">
      <c r="B10" s="26"/>
      <c r="C10" s="900"/>
      <c r="D10" s="900" t="s">
        <v>5734</v>
      </c>
      <c r="E10" s="900"/>
      <c r="F10" s="900"/>
      <c r="G10" s="909"/>
      <c r="H10" s="29"/>
      <c r="J10" s="1023" t="str">
        <f t="shared" si="1"/>
        <v/>
      </c>
      <c r="K10" s="1070" t="str">
        <f t="shared" si="5"/>
        <v/>
      </c>
      <c r="L10" s="26"/>
      <c r="M10" s="900" t="s">
        <v>5750</v>
      </c>
      <c r="N10" s="900"/>
      <c r="O10" s="900"/>
      <c r="P10" s="901" t="s">
        <v>5774</v>
      </c>
      <c r="Q10" s="1011"/>
      <c r="R10" s="29"/>
      <c r="T10" s="1026" t="str">
        <f t="shared" si="6"/>
        <v/>
      </c>
      <c r="U10" s="1655" t="str">
        <f t="shared" si="2"/>
        <v/>
      </c>
      <c r="V10" s="26"/>
      <c r="W10" s="512" t="s">
        <v>2877</v>
      </c>
      <c r="X10" s="992" t="str">
        <f t="shared" si="3"/>
        <v>Unleashed Extreme Effort</v>
      </c>
      <c r="Y10" s="992"/>
      <c r="Z10" s="992"/>
      <c r="AA10" s="1014" t="str">
        <f ca="1">IF(AND(Unleashed,Talents!M502&gt;0),"Yes","No")</f>
        <v>No</v>
      </c>
      <c r="AB10" s="29"/>
      <c r="AD10" s="1026" t="str">
        <f t="shared" ca="1" si="0"/>
        <v/>
      </c>
      <c r="AE10" s="1026" t="str">
        <f t="shared" ca="1" si="4"/>
        <v/>
      </c>
    </row>
    <row r="11" spans="2:31">
      <c r="B11" s="26"/>
      <c r="C11" s="900"/>
      <c r="D11" s="900"/>
      <c r="E11" s="900"/>
      <c r="F11" s="900"/>
      <c r="G11" s="914"/>
      <c r="H11" s="29"/>
      <c r="J11" s="1023" t="str">
        <f t="shared" si="1"/>
        <v/>
      </c>
      <c r="K11" s="1070" t="str">
        <f t="shared" si="5"/>
        <v/>
      </c>
      <c r="L11" s="26"/>
      <c r="M11" s="900" t="s">
        <v>5751</v>
      </c>
      <c r="N11" s="900"/>
      <c r="O11" s="900"/>
      <c r="P11" s="901"/>
      <c r="Q11" s="1011"/>
      <c r="R11" s="29"/>
      <c r="T11" s="1026" t="str">
        <f t="shared" si="6"/>
        <v/>
      </c>
      <c r="U11" s="1655" t="str">
        <f t="shared" si="2"/>
        <v/>
      </c>
      <c r="V11" s="26"/>
      <c r="W11" s="512" t="s">
        <v>5913</v>
      </c>
      <c r="X11" s="992" t="str">
        <f t="shared" si="3"/>
        <v>Unleashed Firepower</v>
      </c>
      <c r="Y11" s="992"/>
      <c r="Z11" s="992"/>
      <c r="AA11" s="1014" t="str">
        <f ca="1">IF(AND(Unleashed),"Yes","No")</f>
        <v>No</v>
      </c>
      <c r="AB11" s="29"/>
      <c r="AD11" s="1026" t="str">
        <f t="shared" ca="1" si="0"/>
        <v/>
      </c>
      <c r="AE11" s="1026" t="str">
        <f t="shared" ca="1" si="4"/>
        <v/>
      </c>
    </row>
    <row r="12" spans="2:31">
      <c r="B12" s="26"/>
      <c r="C12" s="904" t="s">
        <v>5736</v>
      </c>
      <c r="D12" s="900"/>
      <c r="E12" s="900"/>
      <c r="F12" s="900"/>
      <c r="G12" s="914"/>
      <c r="H12" s="29"/>
      <c r="J12" s="1023" t="str">
        <f t="shared" si="1"/>
        <v/>
      </c>
      <c r="K12" s="1070" t="str">
        <f t="shared" si="5"/>
        <v/>
      </c>
      <c r="L12" s="26"/>
      <c r="M12" s="900" t="s">
        <v>5752</v>
      </c>
      <c r="N12" s="900"/>
      <c r="O12" s="900"/>
      <c r="P12" s="901" t="s">
        <v>5772</v>
      </c>
      <c r="Q12" s="1011"/>
      <c r="R12" s="29"/>
      <c r="T12" s="1026" t="str">
        <f t="shared" si="6"/>
        <v/>
      </c>
      <c r="U12" s="1655" t="str">
        <f t="shared" si="2"/>
        <v/>
      </c>
      <c r="V12" s="26"/>
      <c r="W12" s="512" t="s">
        <v>2703</v>
      </c>
      <c r="X12" s="992" t="str">
        <f t="shared" si="3"/>
        <v>Unleashed Ignite Fervor</v>
      </c>
      <c r="Y12" s="992"/>
      <c r="Z12" s="992"/>
      <c r="AA12" s="1014" t="str">
        <f ca="1">IF(AND(Unleashed,Talents!M176&gt;0),"Yes","No")</f>
        <v>No</v>
      </c>
      <c r="AB12" s="29"/>
      <c r="AD12" s="1026" t="str">
        <f t="shared" ca="1" si="0"/>
        <v/>
      </c>
      <c r="AE12" s="1026" t="str">
        <f t="shared" ca="1" si="4"/>
        <v/>
      </c>
    </row>
    <row r="13" spans="2:31">
      <c r="B13" s="26"/>
      <c r="C13" s="900"/>
      <c r="D13" s="900" t="s">
        <v>5737</v>
      </c>
      <c r="E13" s="900"/>
      <c r="F13" s="900"/>
      <c r="G13" s="909"/>
      <c r="H13" s="29"/>
      <c r="J13" s="1023" t="str">
        <f t="shared" si="1"/>
        <v/>
      </c>
      <c r="K13" s="1070" t="str">
        <f t="shared" si="5"/>
        <v/>
      </c>
      <c r="L13" s="26"/>
      <c r="M13" s="900" t="s">
        <v>5775</v>
      </c>
      <c r="N13" s="900"/>
      <c r="O13" s="900"/>
      <c r="P13" s="901"/>
      <c r="Q13" s="1011"/>
      <c r="R13" s="29"/>
      <c r="T13" s="1026" t="str">
        <f t="shared" si="6"/>
        <v/>
      </c>
      <c r="U13" s="1655" t="str">
        <f t="shared" si="2"/>
        <v/>
      </c>
      <c r="V13" s="26"/>
      <c r="W13" s="512" t="s">
        <v>2831</v>
      </c>
      <c r="X13" s="992" t="str">
        <f t="shared" si="3"/>
        <v>Unleashed Keen Shot</v>
      </c>
      <c r="Y13" s="992"/>
      <c r="Z13" s="992"/>
      <c r="AA13" s="1014" t="str">
        <f ca="1">IF(AND(Unleashed,Talents!M445&gt;0),"Yes","No")</f>
        <v>No</v>
      </c>
      <c r="AB13" s="29"/>
      <c r="AD13" s="1026" t="str">
        <f t="shared" ca="1" si="0"/>
        <v/>
      </c>
      <c r="AE13" s="1026" t="str">
        <f t="shared" ca="1" si="4"/>
        <v/>
      </c>
    </row>
    <row r="14" spans="2:31">
      <c r="B14" s="26"/>
      <c r="C14" s="900"/>
      <c r="D14" s="900" t="s">
        <v>5738</v>
      </c>
      <c r="E14" s="900"/>
      <c r="F14" s="900"/>
      <c r="G14" s="909"/>
      <c r="H14" s="29"/>
      <c r="J14" s="1023" t="str">
        <f t="shared" si="1"/>
        <v/>
      </c>
      <c r="K14" s="1070" t="str">
        <f t="shared" si="5"/>
        <v/>
      </c>
      <c r="L14" s="26"/>
      <c r="M14" s="900" t="s">
        <v>5753</v>
      </c>
      <c r="N14" s="900"/>
      <c r="O14" s="900"/>
      <c r="P14" s="901" t="s">
        <v>5773</v>
      </c>
      <c r="Q14" s="1011"/>
      <c r="R14" s="29"/>
      <c r="T14" s="1026" t="str">
        <f t="shared" si="6"/>
        <v/>
      </c>
      <c r="U14" s="1655" t="str">
        <f t="shared" si="2"/>
        <v/>
      </c>
      <c r="V14" s="26"/>
      <c r="W14" s="512" t="s">
        <v>2443</v>
      </c>
      <c r="X14" s="992" t="str">
        <f t="shared" si="3"/>
        <v>Unleashed Mighty Swing</v>
      </c>
      <c r="Y14" s="992"/>
      <c r="Z14" s="992"/>
      <c r="AA14" s="1014" t="str">
        <f ca="1">IF(AND(Unleashed,Feats!M186&gt;0),"Yes","No")</f>
        <v>No</v>
      </c>
      <c r="AB14" s="29"/>
      <c r="AD14" s="1026" t="str">
        <f t="shared" ca="1" si="0"/>
        <v/>
      </c>
      <c r="AE14" s="1026" t="str">
        <f t="shared" ca="1" si="4"/>
        <v/>
      </c>
    </row>
    <row r="15" spans="2:31">
      <c r="B15" s="26"/>
      <c r="C15" s="900"/>
      <c r="D15" s="900" t="s">
        <v>5739</v>
      </c>
      <c r="E15" s="900"/>
      <c r="F15" s="900"/>
      <c r="G15" s="909"/>
      <c r="H15" s="29"/>
      <c r="J15" s="1023" t="str">
        <f t="shared" si="1"/>
        <v/>
      </c>
      <c r="K15" s="1070" t="str">
        <f t="shared" si="5"/>
        <v/>
      </c>
      <c r="L15" s="26"/>
      <c r="M15" s="900" t="s">
        <v>5754</v>
      </c>
      <c r="N15" s="900"/>
      <c r="O15" s="900"/>
      <c r="P15" s="901" t="s">
        <v>5773</v>
      </c>
      <c r="Q15" s="1011"/>
      <c r="R15" s="29"/>
      <c r="T15" s="1026" t="str">
        <f t="shared" si="6"/>
        <v/>
      </c>
      <c r="U15" s="1655" t="str">
        <f t="shared" si="2"/>
        <v/>
      </c>
      <c r="V15" s="26"/>
      <c r="W15" s="512" t="s">
        <v>2965</v>
      </c>
      <c r="X15" s="992" t="str">
        <f t="shared" si="3"/>
        <v>Unleashed Penetrating Attack</v>
      </c>
      <c r="Y15" s="992"/>
      <c r="Z15" s="992"/>
      <c r="AA15" s="1014" t="str">
        <f ca="1">IF(AND(Unleashed,Talents!M604&gt;0),"Yes","No")</f>
        <v>No</v>
      </c>
      <c r="AB15" s="29"/>
      <c r="AD15" s="1026" t="str">
        <f t="shared" ca="1" si="0"/>
        <v/>
      </c>
      <c r="AE15" s="1026" t="str">
        <f t="shared" ca="1" si="4"/>
        <v/>
      </c>
    </row>
    <row r="16" spans="2:31">
      <c r="B16" s="26"/>
      <c r="C16" s="900"/>
      <c r="D16" s="900" t="s">
        <v>5740</v>
      </c>
      <c r="E16" s="900"/>
      <c r="F16" s="900"/>
      <c r="G16" s="909"/>
      <c r="H16" s="29"/>
      <c r="J16" s="1023" t="str">
        <f t="shared" si="1"/>
        <v/>
      </c>
      <c r="K16" s="1070" t="str">
        <f t="shared" si="5"/>
        <v/>
      </c>
      <c r="L16" s="26"/>
      <c r="M16" s="900" t="s">
        <v>5755</v>
      </c>
      <c r="N16" s="900"/>
      <c r="O16" s="900"/>
      <c r="P16" s="901" t="s">
        <v>5772</v>
      </c>
      <c r="Q16" s="1011"/>
      <c r="R16" s="29"/>
      <c r="T16" s="1026" t="str">
        <f t="shared" si="6"/>
        <v/>
      </c>
      <c r="U16" s="1655" t="str">
        <f t="shared" si="2"/>
        <v/>
      </c>
      <c r="V16" s="26"/>
      <c r="W16" s="512" t="s">
        <v>1056</v>
      </c>
      <c r="X16" s="992" t="str">
        <f t="shared" si="3"/>
        <v>Unleashed Rage</v>
      </c>
      <c r="Y16" s="992"/>
      <c r="Z16" s="992"/>
      <c r="AA16" s="1014" t="str">
        <f ca="1">IF(AND(Unleashed,NOT(ISERROR(FIND("Rage",SpeciesTraitsList,1)))),"Yes","No")</f>
        <v>No</v>
      </c>
      <c r="AB16" s="29"/>
      <c r="AD16" s="1026" t="str">
        <f t="shared" ca="1" si="0"/>
        <v/>
      </c>
      <c r="AE16" s="1026" t="str">
        <f t="shared" ca="1" si="4"/>
        <v/>
      </c>
    </row>
    <row r="17" spans="2:31">
      <c r="B17" s="26"/>
      <c r="C17" s="900"/>
      <c r="D17" s="900" t="s">
        <v>5741</v>
      </c>
      <c r="E17" s="900"/>
      <c r="F17" s="900"/>
      <c r="G17" s="909"/>
      <c r="H17" s="29"/>
      <c r="J17" s="1023" t="str">
        <f t="shared" si="1"/>
        <v/>
      </c>
      <c r="K17" s="1070" t="str">
        <f t="shared" si="5"/>
        <v/>
      </c>
      <c r="L17" s="26"/>
      <c r="M17" s="900" t="s">
        <v>5756</v>
      </c>
      <c r="N17" s="900"/>
      <c r="O17" s="900"/>
      <c r="P17" s="901" t="s">
        <v>5773</v>
      </c>
      <c r="Q17" s="1011"/>
      <c r="R17" s="29"/>
      <c r="T17" s="1026" t="str">
        <f t="shared" si="6"/>
        <v/>
      </c>
      <c r="U17" s="1655" t="str">
        <f t="shared" si="2"/>
        <v/>
      </c>
      <c r="V17" s="26"/>
      <c r="W17" s="512" t="s">
        <v>2770</v>
      </c>
      <c r="X17" s="992" t="str">
        <f t="shared" si="3"/>
        <v>Unleashed Skirmisher</v>
      </c>
      <c r="Y17" s="992"/>
      <c r="Z17" s="992"/>
      <c r="AA17" s="1014" t="str">
        <f ca="1">IF(AND(Unleashed,Talents!M377&gt;0),"Yes","No")</f>
        <v>No</v>
      </c>
      <c r="AB17" s="29"/>
      <c r="AD17" s="1026" t="str">
        <f t="shared" ca="1" si="0"/>
        <v/>
      </c>
      <c r="AE17" s="1026" t="str">
        <f t="shared" ca="1" si="4"/>
        <v/>
      </c>
    </row>
    <row r="18" spans="2:31">
      <c r="B18" s="26"/>
      <c r="C18" s="900"/>
      <c r="D18" s="900" t="s">
        <v>5742</v>
      </c>
      <c r="E18" s="900"/>
      <c r="F18" s="900"/>
      <c r="G18" s="909"/>
      <c r="H18" s="29"/>
      <c r="J18" s="1023" t="str">
        <f t="shared" si="1"/>
        <v/>
      </c>
      <c r="K18" s="1070" t="str">
        <f t="shared" si="5"/>
        <v/>
      </c>
      <c r="L18" s="26"/>
      <c r="M18" s="900" t="s">
        <v>5757</v>
      </c>
      <c r="N18" s="900"/>
      <c r="O18" s="900"/>
      <c r="P18" s="901" t="s">
        <v>5774</v>
      </c>
      <c r="Q18" s="1011"/>
      <c r="R18" s="29"/>
      <c r="T18" s="1026" t="str">
        <f t="shared" si="6"/>
        <v/>
      </c>
      <c r="U18" s="1655" t="str">
        <f t="shared" si="2"/>
        <v/>
      </c>
      <c r="V18" s="26"/>
      <c r="W18" s="512" t="s">
        <v>2058</v>
      </c>
      <c r="X18" s="992" t="str">
        <f t="shared" si="3"/>
        <v>Unleashed Sneak Attack</v>
      </c>
      <c r="Y18" s="992"/>
      <c r="Z18" s="992"/>
      <c r="AA18" s="1014" t="str">
        <f ca="1">IF(AND(Unleashed,Talents!M379&gt;0),"Yes","No")</f>
        <v>No</v>
      </c>
      <c r="AB18" s="29"/>
      <c r="AD18" s="1026" t="str">
        <f t="shared" ca="1" si="0"/>
        <v/>
      </c>
      <c r="AE18" s="1026" t="str">
        <f t="shared" ca="1" si="4"/>
        <v/>
      </c>
    </row>
    <row r="19" spans="2:31">
      <c r="B19" s="26"/>
      <c r="C19" s="900"/>
      <c r="D19" s="900" t="s">
        <v>5743</v>
      </c>
      <c r="E19" s="900"/>
      <c r="F19" s="900"/>
      <c r="G19" s="909"/>
      <c r="H19" s="29"/>
      <c r="J19" s="1023" t="str">
        <f t="shared" si="1"/>
        <v/>
      </c>
      <c r="K19" s="1070" t="str">
        <f t="shared" si="5"/>
        <v/>
      </c>
      <c r="L19" s="26"/>
      <c r="M19" s="900" t="s">
        <v>5758</v>
      </c>
      <c r="N19" s="900"/>
      <c r="O19" s="900"/>
      <c r="P19" s="901"/>
      <c r="Q19" s="1011"/>
      <c r="R19" s="29"/>
      <c r="T19" s="1026" t="str">
        <f t="shared" si="6"/>
        <v/>
      </c>
      <c r="U19" s="1655" t="str">
        <f t="shared" si="2"/>
        <v/>
      </c>
      <c r="V19" s="26"/>
      <c r="W19" s="512" t="s">
        <v>2497</v>
      </c>
      <c r="X19" s="992" t="str">
        <f t="shared" si="3"/>
        <v>Unleashed Strafe</v>
      </c>
      <c r="Y19" s="992"/>
      <c r="Z19" s="992"/>
      <c r="AA19" s="1014" t="str">
        <f ca="1">IF(AND(Unleashed,Feats!M305&gt;0),"Yes","No")</f>
        <v>No</v>
      </c>
      <c r="AB19" s="29"/>
      <c r="AD19" s="1026" t="str">
        <f t="shared" ca="1" si="0"/>
        <v/>
      </c>
      <c r="AE19" s="1026" t="str">
        <f t="shared" ca="1" si="4"/>
        <v/>
      </c>
    </row>
    <row r="20" spans="2:31" ht="15" thickBot="1">
      <c r="B20" s="32"/>
      <c r="C20" s="906"/>
      <c r="D20" s="906"/>
      <c r="E20" s="906"/>
      <c r="F20" s="906"/>
      <c r="G20" s="34"/>
      <c r="H20" s="35"/>
      <c r="K20" s="383" t="s">
        <v>195</v>
      </c>
      <c r="L20" s="26"/>
      <c r="M20" s="900" t="s">
        <v>4235</v>
      </c>
      <c r="N20" s="900"/>
      <c r="O20" s="900"/>
      <c r="P20" s="901"/>
      <c r="Q20" s="1011"/>
      <c r="R20" s="29"/>
      <c r="T20" s="1026" t="str">
        <f t="shared" si="6"/>
        <v/>
      </c>
      <c r="U20" s="1655" t="str">
        <f t="shared" si="2"/>
        <v/>
      </c>
      <c r="V20" s="26"/>
      <c r="W20" s="512" t="s">
        <v>2529</v>
      </c>
      <c r="X20" s="992" t="str">
        <f t="shared" si="3"/>
        <v>Unleashed Whirlwind Attack</v>
      </c>
      <c r="Y20" s="992"/>
      <c r="Z20" s="992"/>
      <c r="AA20" s="1014" t="str">
        <f ca="1">IF(AND(Unleashed,SUM(Feats!M353:M361)&gt;0),"Yes","No")</f>
        <v>No</v>
      </c>
      <c r="AB20" s="29"/>
      <c r="AD20" s="1026" t="str">
        <f t="shared" ca="1" si="0"/>
        <v/>
      </c>
      <c r="AE20" s="1026" t="str">
        <f t="shared" ca="1" si="4"/>
        <v/>
      </c>
    </row>
    <row r="21" spans="2:31">
      <c r="L21" s="26"/>
      <c r="M21" s="900" t="s">
        <v>5759</v>
      </c>
      <c r="N21" s="900"/>
      <c r="O21" s="900"/>
      <c r="P21" s="901" t="s">
        <v>5771</v>
      </c>
      <c r="Q21" s="1011"/>
      <c r="R21" s="29"/>
      <c r="T21" s="1026" t="str">
        <f t="shared" si="6"/>
        <v/>
      </c>
      <c r="U21" s="1655" t="str">
        <f t="shared" si="2"/>
        <v/>
      </c>
      <c r="V21" s="26"/>
      <c r="W21" s="992"/>
      <c r="X21" s="992"/>
      <c r="Y21" s="992"/>
      <c r="Z21" s="992"/>
      <c r="AA21" s="1000"/>
      <c r="AB21" s="29"/>
      <c r="AD21" s="1026" t="str">
        <f t="shared" si="0"/>
        <v/>
      </c>
      <c r="AE21" s="1026" t="str">
        <f t="shared" ca="1" si="4"/>
        <v/>
      </c>
    </row>
    <row r="22" spans="2:31">
      <c r="L22" s="26"/>
      <c r="M22" s="900" t="s">
        <v>5760</v>
      </c>
      <c r="N22" s="900"/>
      <c r="O22" s="900"/>
      <c r="P22" s="901"/>
      <c r="Q22" s="1011"/>
      <c r="R22" s="29"/>
      <c r="T22" s="1026" t="str">
        <f t="shared" si="6"/>
        <v/>
      </c>
      <c r="U22" s="1655" t="str">
        <f t="shared" si="2"/>
        <v/>
      </c>
      <c r="V22" s="26"/>
      <c r="W22" s="996" t="s">
        <v>5914</v>
      </c>
      <c r="X22" s="992"/>
      <c r="Y22" s="992"/>
      <c r="Z22" s="992"/>
      <c r="AA22" s="1000"/>
      <c r="AB22" s="29"/>
      <c r="AD22" s="1026" t="str">
        <f>IF(AA22="Yes",W22&amp;IF(AA22&gt;1," ("&amp;AA22&amp;")",""),"")</f>
        <v/>
      </c>
      <c r="AE22" s="1026" t="str">
        <f t="shared" ca="1" si="4"/>
        <v/>
      </c>
    </row>
    <row r="23" spans="2:31">
      <c r="L23" s="26"/>
      <c r="M23" s="900" t="s">
        <v>5761</v>
      </c>
      <c r="N23" s="900"/>
      <c r="O23" s="900"/>
      <c r="P23" s="901" t="s">
        <v>5773</v>
      </c>
      <c r="Q23" s="1011"/>
      <c r="R23" s="29"/>
      <c r="T23" s="1026" t="str">
        <f t="shared" si="6"/>
        <v/>
      </c>
      <c r="U23" s="1655" t="str">
        <f t="shared" si="2"/>
        <v/>
      </c>
      <c r="V23" s="26"/>
      <c r="W23" s="512" t="s">
        <v>2571</v>
      </c>
      <c r="X23" s="992" t="str">
        <f t="shared" ref="X23:X33" si="7">"Unleashed "&amp;W23</f>
        <v>Unleashed Battle Meditation</v>
      </c>
      <c r="Y23" s="992"/>
      <c r="Z23" s="992"/>
      <c r="AA23" s="1014" t="str">
        <f ca="1">IF(AND(Unleashed,NOT(ISERROR(FIND(W23,TalentsTakenBlankList,1)))),"Yes","No")</f>
        <v>No</v>
      </c>
      <c r="AB23" s="29"/>
      <c r="AD23" s="1026" t="str">
        <f t="shared" ref="AD23:AD33" ca="1" si="8">IF(AA23="Yes",W23&amp;IF(AA23&gt;1," ("&amp;AA23&amp;")",""),"")</f>
        <v/>
      </c>
      <c r="AE23" s="1026" t="str">
        <f t="shared" ca="1" si="4"/>
        <v/>
      </c>
    </row>
    <row r="24" spans="2:31">
      <c r="L24" s="26"/>
      <c r="M24" s="900" t="s">
        <v>5762</v>
      </c>
      <c r="N24" s="900"/>
      <c r="O24" s="900"/>
      <c r="P24" s="901"/>
      <c r="Q24" s="1011"/>
      <c r="R24" s="29"/>
      <c r="T24" s="1026" t="str">
        <f t="shared" si="6"/>
        <v/>
      </c>
      <c r="U24" s="1655" t="str">
        <f t="shared" si="2"/>
        <v/>
      </c>
      <c r="V24" s="26"/>
      <c r="W24" s="512" t="s">
        <v>3823</v>
      </c>
      <c r="X24" s="992" t="str">
        <f t="shared" si="7"/>
        <v>Unleashed Battle Strike</v>
      </c>
      <c r="Y24" s="992"/>
      <c r="Z24" s="992"/>
      <c r="AA24" s="1014" t="str">
        <f t="shared" ref="AA24:AA33" ca="1" si="9">IF(AND(Unleashed,NOT(ISERROR(FIND(W24,ForcePowersTaken,1)))),"Yes","No")</f>
        <v>No</v>
      </c>
      <c r="AB24" s="29"/>
      <c r="AD24" s="1026" t="str">
        <f t="shared" ca="1" si="8"/>
        <v/>
      </c>
      <c r="AE24" s="1026" t="str">
        <f t="shared" ca="1" si="4"/>
        <v/>
      </c>
    </row>
    <row r="25" spans="2:31">
      <c r="L25" s="26"/>
      <c r="M25" s="900" t="s">
        <v>5763</v>
      </c>
      <c r="N25" s="900"/>
      <c r="O25" s="900"/>
      <c r="P25" s="901" t="s">
        <v>5772</v>
      </c>
      <c r="Q25" s="1011"/>
      <c r="R25" s="29"/>
      <c r="T25" s="1026" t="str">
        <f t="shared" si="6"/>
        <v/>
      </c>
      <c r="U25" s="1655" t="str">
        <f t="shared" si="2"/>
        <v/>
      </c>
      <c r="V25" s="26"/>
      <c r="W25" s="512" t="s">
        <v>3836</v>
      </c>
      <c r="X25" s="992" t="str">
        <f t="shared" si="7"/>
        <v>Unleashed Corruption</v>
      </c>
      <c r="Y25" s="992"/>
      <c r="Z25" s="992"/>
      <c r="AA25" s="1014" t="str">
        <f t="shared" ca="1" si="9"/>
        <v>No</v>
      </c>
      <c r="AB25" s="29"/>
      <c r="AD25" s="1026" t="str">
        <f t="shared" ca="1" si="8"/>
        <v/>
      </c>
      <c r="AE25" s="1026" t="str">
        <f t="shared" ca="1" si="4"/>
        <v/>
      </c>
    </row>
    <row r="26" spans="2:31">
      <c r="L26" s="26"/>
      <c r="M26" s="900" t="s">
        <v>5764</v>
      </c>
      <c r="N26" s="900"/>
      <c r="O26" s="900"/>
      <c r="P26" s="901"/>
      <c r="Q26" s="1011"/>
      <c r="R26" s="29"/>
      <c r="T26" s="1026" t="str">
        <f t="shared" si="6"/>
        <v/>
      </c>
      <c r="U26" s="1655" t="str">
        <f t="shared" si="2"/>
        <v/>
      </c>
      <c r="V26" s="26"/>
      <c r="W26" s="512" t="s">
        <v>3839</v>
      </c>
      <c r="X26" s="992" t="str">
        <f t="shared" si="7"/>
        <v>Unleashed Dark Rage</v>
      </c>
      <c r="Y26" s="992"/>
      <c r="Z26" s="992"/>
      <c r="AA26" s="1014" t="str">
        <f t="shared" ca="1" si="9"/>
        <v>No</v>
      </c>
      <c r="AB26" s="29"/>
      <c r="AD26" s="1026" t="str">
        <f t="shared" ca="1" si="8"/>
        <v/>
      </c>
      <c r="AE26" s="1026" t="str">
        <f t="shared" ca="1" si="4"/>
        <v/>
      </c>
    </row>
    <row r="27" spans="2:31">
      <c r="L27" s="26"/>
      <c r="M27" s="900" t="s">
        <v>5765</v>
      </c>
      <c r="N27" s="900"/>
      <c r="O27" s="900"/>
      <c r="P27" s="901" t="s">
        <v>5771</v>
      </c>
      <c r="Q27" s="1011"/>
      <c r="R27" s="29"/>
      <c r="T27" s="1026" t="str">
        <f t="shared" si="6"/>
        <v/>
      </c>
      <c r="U27" s="1655" t="str">
        <f t="shared" si="2"/>
        <v/>
      </c>
      <c r="V27" s="26"/>
      <c r="W27" s="512" t="s">
        <v>1391</v>
      </c>
      <c r="X27" s="992" t="str">
        <f t="shared" si="7"/>
        <v>Unleashed Force Blast</v>
      </c>
      <c r="Y27" s="992"/>
      <c r="Z27" s="992"/>
      <c r="AA27" s="1014" t="str">
        <f t="shared" ca="1" si="9"/>
        <v>No</v>
      </c>
      <c r="AB27" s="29"/>
      <c r="AD27" s="1026" t="str">
        <f t="shared" ca="1" si="8"/>
        <v/>
      </c>
      <c r="AE27" s="1026" t="str">
        <f t="shared" ca="1" si="4"/>
        <v/>
      </c>
    </row>
    <row r="28" spans="2:31">
      <c r="L28" s="26"/>
      <c r="M28" s="900" t="s">
        <v>5766</v>
      </c>
      <c r="N28" s="900"/>
      <c r="O28" s="900"/>
      <c r="P28" s="901" t="s">
        <v>5772</v>
      </c>
      <c r="Q28" s="1011"/>
      <c r="R28" s="29"/>
      <c r="T28" s="1026" t="str">
        <f t="shared" si="6"/>
        <v/>
      </c>
      <c r="U28" s="1655" t="str">
        <f t="shared" si="2"/>
        <v/>
      </c>
      <c r="V28" s="26"/>
      <c r="W28" s="512" t="s">
        <v>3863</v>
      </c>
      <c r="X28" s="992" t="str">
        <f t="shared" si="7"/>
        <v>Unleashed Force Grip</v>
      </c>
      <c r="Y28" s="992"/>
      <c r="Z28" s="992"/>
      <c r="AA28" s="1014" t="str">
        <f t="shared" ca="1" si="9"/>
        <v>No</v>
      </c>
      <c r="AB28" s="29"/>
      <c r="AD28" s="1026" t="str">
        <f t="shared" ca="1" si="8"/>
        <v/>
      </c>
      <c r="AE28" s="1026" t="str">
        <f t="shared" ca="1" si="4"/>
        <v/>
      </c>
    </row>
    <row r="29" spans="2:31">
      <c r="L29" s="26"/>
      <c r="M29" s="900" t="s">
        <v>5767</v>
      </c>
      <c r="N29" s="900"/>
      <c r="O29" s="900"/>
      <c r="P29" s="901" t="s">
        <v>4208</v>
      </c>
      <c r="Q29" s="1011"/>
      <c r="R29" s="29"/>
      <c r="T29" s="1026" t="str">
        <f t="shared" si="6"/>
        <v/>
      </c>
      <c r="U29" s="1655" t="str">
        <f t="shared" si="2"/>
        <v/>
      </c>
      <c r="V29" s="26"/>
      <c r="W29" s="512" t="s">
        <v>3866</v>
      </c>
      <c r="X29" s="992" t="str">
        <f t="shared" si="7"/>
        <v>Unleashed Force Lightning</v>
      </c>
      <c r="Y29" s="992"/>
      <c r="Z29" s="992"/>
      <c r="AA29" s="1014" t="str">
        <f t="shared" ca="1" si="9"/>
        <v>No</v>
      </c>
      <c r="AB29" s="29"/>
      <c r="AD29" s="1026" t="str">
        <f t="shared" ca="1" si="8"/>
        <v/>
      </c>
      <c r="AE29" s="1026" t="str">
        <f t="shared" ca="1" si="4"/>
        <v/>
      </c>
    </row>
    <row r="30" spans="2:31">
      <c r="L30" s="26"/>
      <c r="M30" s="900" t="s">
        <v>5768</v>
      </c>
      <c r="N30" s="900"/>
      <c r="O30" s="900"/>
      <c r="P30" s="901" t="s">
        <v>5773</v>
      </c>
      <c r="Q30" s="1011"/>
      <c r="R30" s="29"/>
      <c r="T30" s="1026" t="str">
        <f t="shared" si="6"/>
        <v/>
      </c>
      <c r="U30" s="1655" t="str">
        <f t="shared" si="2"/>
        <v/>
      </c>
      <c r="V30" s="26"/>
      <c r="W30" s="512" t="s">
        <v>3878</v>
      </c>
      <c r="X30" s="992" t="str">
        <f t="shared" si="7"/>
        <v>Unleashed Force Storm</v>
      </c>
      <c r="Y30" s="992"/>
      <c r="Z30" s="992"/>
      <c r="AA30" s="1014" t="str">
        <f t="shared" ca="1" si="9"/>
        <v>No</v>
      </c>
      <c r="AB30" s="29"/>
      <c r="AD30" s="1026" t="str">
        <f t="shared" ca="1" si="8"/>
        <v/>
      </c>
      <c r="AE30" s="1026" t="str">
        <f t="shared" ca="1" si="4"/>
        <v/>
      </c>
    </row>
    <row r="31" spans="2:31">
      <c r="L31" s="26"/>
      <c r="M31" s="900" t="s">
        <v>5769</v>
      </c>
      <c r="N31" s="900"/>
      <c r="O31" s="900"/>
      <c r="P31" s="901"/>
      <c r="Q31" s="1011"/>
      <c r="R31" s="29"/>
      <c r="T31" s="1026" t="str">
        <f t="shared" si="6"/>
        <v/>
      </c>
      <c r="U31" s="1655" t="str">
        <f t="shared" si="2"/>
        <v/>
      </c>
      <c r="V31" s="26"/>
      <c r="W31" s="512" t="s">
        <v>3884</v>
      </c>
      <c r="X31" s="992" t="str">
        <f t="shared" si="7"/>
        <v>Unleashed Force Thrust</v>
      </c>
      <c r="Y31" s="992"/>
      <c r="Z31" s="992"/>
      <c r="AA31" s="1014" t="str">
        <f t="shared" ca="1" si="9"/>
        <v>No</v>
      </c>
      <c r="AB31" s="29"/>
      <c r="AD31" s="1026" t="str">
        <f t="shared" ca="1" si="8"/>
        <v/>
      </c>
      <c r="AE31" s="1026" t="str">
        <f t="shared" ca="1" si="4"/>
        <v/>
      </c>
    </row>
    <row r="32" spans="2:31" ht="15" thickBot="1">
      <c r="L32" s="32"/>
      <c r="M32" s="906"/>
      <c r="N32" s="906"/>
      <c r="O32" s="906"/>
      <c r="P32" s="34"/>
      <c r="Q32" s="906"/>
      <c r="R32" s="35"/>
      <c r="U32" s="383" t="s">
        <v>195</v>
      </c>
      <c r="V32" s="26"/>
      <c r="W32" s="512" t="s">
        <v>3909</v>
      </c>
      <c r="X32" s="992" t="str">
        <f t="shared" si="7"/>
        <v>Unleashed Move Object</v>
      </c>
      <c r="Y32" s="992"/>
      <c r="Z32" s="992"/>
      <c r="AA32" s="1014" t="str">
        <f t="shared" ca="1" si="9"/>
        <v>No</v>
      </c>
      <c r="AB32" s="29"/>
      <c r="AD32" s="1026" t="str">
        <f t="shared" ca="1" si="8"/>
        <v/>
      </c>
      <c r="AE32" s="1026" t="str">
        <f t="shared" ca="1" si="4"/>
        <v/>
      </c>
    </row>
    <row r="33" spans="7:31">
      <c r="V33" s="26"/>
      <c r="W33" s="512" t="s">
        <v>3929</v>
      </c>
      <c r="X33" s="992" t="str">
        <f t="shared" si="7"/>
        <v>Unleashed Repulse</v>
      </c>
      <c r="Y33" s="992"/>
      <c r="Z33" s="992"/>
      <c r="AA33" s="1014" t="str">
        <f t="shared" ca="1" si="9"/>
        <v>No</v>
      </c>
      <c r="AB33" s="29"/>
      <c r="AD33" s="1026" t="str">
        <f t="shared" ca="1" si="8"/>
        <v/>
      </c>
      <c r="AE33" s="1026" t="str">
        <f t="shared" ca="1" si="4"/>
        <v/>
      </c>
    </row>
    <row r="34" spans="7:31" ht="15" thickBot="1">
      <c r="G34" s="905"/>
      <c r="V34" s="32"/>
      <c r="W34" s="998"/>
      <c r="X34" s="998"/>
      <c r="Y34" s="998"/>
      <c r="Z34" s="998"/>
      <c r="AA34" s="34"/>
      <c r="AB34" s="35"/>
      <c r="AE34" s="383" t="s">
        <v>195</v>
      </c>
    </row>
    <row r="35" spans="7:31">
      <c r="G35" s="905"/>
    </row>
    <row r="36" spans="7:31">
      <c r="G36" s="905"/>
    </row>
    <row r="37" spans="7:31">
      <c r="G37" s="905"/>
    </row>
  </sheetData>
  <sortState xmlns:xlrd2="http://schemas.microsoft.com/office/spreadsheetml/2017/richdata2" ref="M6:P31">
    <sortCondition ref="M6:M31"/>
  </sortState>
  <conditionalFormatting sqref="W6:AA33">
    <cfRule type="expression" dxfId="66" priority="6">
      <formula>$AA6="Yes"</formula>
    </cfRule>
  </conditionalFormatting>
  <conditionalFormatting sqref="M6:Q31">
    <cfRule type="expression" dxfId="65" priority="3">
      <formula>$Q6&lt;&gt;""</formula>
    </cfRule>
    <cfRule type="expression" dxfId="64" priority="5">
      <formula>$Q$2=0</formula>
    </cfRule>
  </conditionalFormatting>
  <conditionalFormatting sqref="D6:G10 D13:G19">
    <cfRule type="expression" dxfId="63" priority="1">
      <formula>$G6&lt;&gt;""</formula>
    </cfRule>
    <cfRule type="expression" dxfId="62" priority="2">
      <formula>$G$2=0</formula>
    </cfRule>
  </conditionalFormatting>
  <dataValidations count="1">
    <dataValidation type="decimal" allowBlank="1" showInputMessage="1" showErrorMessage="1" sqref="G6:G10 G13:G19 Q5:Q31" xr:uid="{00000000-0002-0000-0F00-000000000000}">
      <formula1>0</formula1>
      <formula2>10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ClearRegimensTacticsUnleashed">
                <anchor moveWithCells="1" sizeWithCells="1">
                  <from>
                    <xdr:col>1</xdr:col>
                    <xdr:colOff>114300</xdr:colOff>
                    <xdr:row>21</xdr:row>
                    <xdr:rowOff>0</xdr:rowOff>
                  </from>
                  <to>
                    <xdr:col>3</xdr:col>
                    <xdr:colOff>438150</xdr:colOff>
                    <xdr:row>23</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B1:Q31"/>
  <sheetViews>
    <sheetView showGridLines="0" showRowColHeaders="0" workbookViewId="0">
      <selection activeCell="D9" sqref="D9:E9"/>
    </sheetView>
  </sheetViews>
  <sheetFormatPr defaultColWidth="9.1796875" defaultRowHeight="14.5"/>
  <cols>
    <col min="1" max="2" width="2.81640625" style="630" customWidth="1"/>
    <col min="3" max="3" width="11.81640625" style="630" customWidth="1"/>
    <col min="4" max="5" width="9.1796875" style="630"/>
    <col min="6" max="6" width="2.81640625" style="997" customWidth="1"/>
    <col min="7" max="7" width="17.7265625" style="997" customWidth="1"/>
    <col min="8" max="8" width="11.26953125" style="630" customWidth="1"/>
    <col min="9" max="9" width="2.81640625" style="630" hidden="1" customWidth="1"/>
    <col min="10" max="13" width="9.1796875" style="630" hidden="1" customWidth="1"/>
    <col min="14" max="14" width="2.81640625" style="630" hidden="1" customWidth="1"/>
    <col min="15" max="17" width="9.1796875" style="630" hidden="1" customWidth="1"/>
    <col min="18" max="18" width="9.1796875" style="630" customWidth="1"/>
    <col min="19" max="16384" width="9.1796875" style="630"/>
  </cols>
  <sheetData>
    <row r="1" spans="2:17" ht="15" thickBot="1"/>
    <row r="2" spans="2:17">
      <c r="B2" s="22"/>
      <c r="C2" s="994"/>
      <c r="D2" s="994"/>
      <c r="E2" s="994"/>
      <c r="F2" s="994"/>
      <c r="G2" s="994"/>
      <c r="H2" s="25"/>
      <c r="N2" s="22"/>
      <c r="O2" s="736"/>
      <c r="P2" s="736"/>
      <c r="Q2" s="25"/>
    </row>
    <row r="3" spans="2:17" ht="21">
      <c r="B3" s="26"/>
      <c r="C3" s="995" t="s">
        <v>4044</v>
      </c>
      <c r="D3" s="992"/>
      <c r="E3" s="1804">
        <f ca="1">MAX(IntMod,0)+IF(Feats!M171&gt;0,Feats!M171*(1+IntMod),0)+ISNUMBER(MATCH(Background,BackgroundLanguages,0))</f>
        <v>0</v>
      </c>
      <c r="F3" s="1804"/>
      <c r="G3" s="1804"/>
      <c r="H3" s="29"/>
      <c r="N3" s="26"/>
      <c r="O3" s="735" t="s">
        <v>4203</v>
      </c>
      <c r="P3" s="734"/>
      <c r="Q3" s="29"/>
    </row>
    <row r="4" spans="2:17">
      <c r="B4" s="26"/>
      <c r="C4" s="992"/>
      <c r="D4" s="992"/>
      <c r="E4" s="992"/>
      <c r="F4" s="992"/>
      <c r="G4" s="992"/>
      <c r="H4" s="29"/>
      <c r="K4" s="630" t="str">
        <f>K5</f>
        <v/>
      </c>
      <c r="L4" s="630" t="str">
        <f>L5</f>
        <v/>
      </c>
      <c r="N4" s="26"/>
      <c r="O4" s="734"/>
      <c r="P4" s="734"/>
      <c r="Q4" s="29"/>
    </row>
    <row r="5" spans="2:17">
      <c r="B5" s="26"/>
      <c r="C5" s="996" t="s">
        <v>7</v>
      </c>
      <c r="D5" s="1777" t="str">
        <f>IF(Race&lt;&gt;"",IF(INDEX(RaceListTable,RaceIndex,10)&lt;&gt;"",INDEX(RaceListTable,RaceIndex,10),""),"")</f>
        <v/>
      </c>
      <c r="E5" s="1777"/>
      <c r="F5" s="992"/>
      <c r="G5" s="993"/>
      <c r="H5" s="29"/>
      <c r="J5" s="630" t="str">
        <f>IF(D5&lt;&gt;"",D5,"")</f>
        <v/>
      </c>
      <c r="K5" s="630" t="str">
        <f>IF(J5&lt;&gt;"",J5&amp;";"&amp;K6,K6)</f>
        <v/>
      </c>
      <c r="L5" s="718" t="str">
        <f>IF(J5&lt;&gt;"",J5&amp;IF(L6&lt;&gt;"",", ","")&amp;L6,L6)</f>
        <v/>
      </c>
      <c r="N5" s="26"/>
      <c r="O5" s="1806"/>
      <c r="P5" s="1806"/>
      <c r="Q5" s="29"/>
    </row>
    <row r="6" spans="2:17">
      <c r="B6" s="26"/>
      <c r="C6" s="996"/>
      <c r="D6" s="1801" t="str">
        <f>IF(Race&lt;&gt;"",IF(INDEX(RaceListTable,RaceIndex,11)&lt;&gt;"",INDEX(RaceListTable,RaceIndex,11),""),"")</f>
        <v/>
      </c>
      <c r="E6" s="1801"/>
      <c r="F6" s="992"/>
      <c r="G6" s="992"/>
      <c r="H6" s="29"/>
      <c r="J6" s="630" t="str">
        <f>IF(D6&lt;&gt;"",D6,"")</f>
        <v/>
      </c>
      <c r="K6" s="630" t="str">
        <f t="shared" ref="K6:K22" si="0">IF(J6&lt;&gt;"",J6&amp;";"&amp;K7,K7)</f>
        <v/>
      </c>
      <c r="L6" s="718" t="str">
        <f t="shared" ref="L6:L22" si="1">IF(J6&lt;&gt;"",J6&amp;IF(L7&lt;&gt;"",", ","")&amp;L7,L7)</f>
        <v/>
      </c>
      <c r="N6" s="26"/>
      <c r="O6" s="1806"/>
      <c r="P6" s="1806"/>
      <c r="Q6" s="29"/>
    </row>
    <row r="7" spans="2:17">
      <c r="B7" s="26"/>
      <c r="C7" s="996"/>
      <c r="D7" s="1801" t="str">
        <f>IF(Race&lt;&gt;"",IF(INDEX(RaceListTable,RaceIndex,12)&lt;&gt;"",INDEX(RaceListTable,RaceIndex,12),""),"")</f>
        <v/>
      </c>
      <c r="E7" s="1801"/>
      <c r="F7" s="992"/>
      <c r="G7" s="992"/>
      <c r="H7" s="29"/>
      <c r="J7" s="630" t="str">
        <f>IF(D7&lt;&gt;"",D7,"")</f>
        <v/>
      </c>
      <c r="K7" s="630" t="str">
        <f>IF(J7&lt;&gt;"",J7&amp;";"&amp;K9,K9)</f>
        <v/>
      </c>
      <c r="L7" s="718" t="str">
        <f>IF(J7&lt;&gt;"",J7&amp;IF(L9&lt;&gt;"",", ","")&amp;L9,L9)</f>
        <v/>
      </c>
      <c r="N7" s="26"/>
      <c r="O7" s="1806"/>
      <c r="P7" s="1806"/>
      <c r="Q7" s="29"/>
    </row>
    <row r="8" spans="2:17" s="1125" customFormat="1">
      <c r="B8" s="26"/>
      <c r="C8" s="1124"/>
      <c r="D8" s="1805" t="s">
        <v>6151</v>
      </c>
      <c r="E8" s="1805"/>
      <c r="F8" s="1121"/>
      <c r="G8" s="1129" t="s">
        <v>6152</v>
      </c>
      <c r="H8" s="29"/>
      <c r="N8" s="26"/>
      <c r="O8" s="1123"/>
      <c r="P8" s="1123"/>
      <c r="Q8" s="29"/>
    </row>
    <row r="9" spans="2:17">
      <c r="B9" s="539">
        <v>1</v>
      </c>
      <c r="C9" s="996" t="s">
        <v>2113</v>
      </c>
      <c r="D9" s="1801"/>
      <c r="E9" s="1801"/>
      <c r="F9" s="1121"/>
      <c r="G9" s="1121"/>
      <c r="H9" s="29"/>
      <c r="J9" s="630" t="str">
        <f>IF(G9&lt;&gt;"",G9,IF(D9&lt;&gt;"",D9,""))</f>
        <v/>
      </c>
      <c r="K9" s="630" t="str">
        <f t="shared" si="0"/>
        <v/>
      </c>
      <c r="L9" s="718" t="str">
        <f t="shared" si="1"/>
        <v/>
      </c>
      <c r="N9" s="26"/>
      <c r="O9" s="1806"/>
      <c r="P9" s="1806"/>
      <c r="Q9" s="29"/>
    </row>
    <row r="10" spans="2:17">
      <c r="B10" s="539">
        <v>2</v>
      </c>
      <c r="C10" s="996"/>
      <c r="D10" s="1801"/>
      <c r="E10" s="1801"/>
      <c r="F10" s="1121"/>
      <c r="G10" s="1121"/>
      <c r="H10" s="29"/>
      <c r="J10" s="997" t="str">
        <f t="shared" ref="J10:J22" si="2">IF(G10&lt;&gt;"",G10,IF(D10&lt;&gt;"",D10,""))</f>
        <v/>
      </c>
      <c r="K10" s="630" t="str">
        <f t="shared" si="0"/>
        <v/>
      </c>
      <c r="L10" s="718" t="str">
        <f t="shared" si="1"/>
        <v/>
      </c>
      <c r="N10" s="26"/>
      <c r="O10" s="1806"/>
      <c r="P10" s="1806"/>
      <c r="Q10" s="29"/>
    </row>
    <row r="11" spans="2:17">
      <c r="B11" s="539">
        <v>3</v>
      </c>
      <c r="C11" s="992"/>
      <c r="D11" s="1801"/>
      <c r="E11" s="1801"/>
      <c r="F11" s="1121"/>
      <c r="G11" s="1121"/>
      <c r="H11" s="29"/>
      <c r="J11" s="997" t="str">
        <f t="shared" si="2"/>
        <v/>
      </c>
      <c r="K11" s="630" t="str">
        <f t="shared" si="0"/>
        <v/>
      </c>
      <c r="L11" s="718" t="str">
        <f t="shared" si="1"/>
        <v/>
      </c>
      <c r="N11" s="26"/>
      <c r="O11" s="1806"/>
      <c r="P11" s="1806"/>
      <c r="Q11" s="29"/>
    </row>
    <row r="12" spans="2:17" ht="15" thickBot="1">
      <c r="B12" s="539">
        <v>4</v>
      </c>
      <c r="C12" s="992"/>
      <c r="D12" s="1801"/>
      <c r="E12" s="1801"/>
      <c r="F12" s="1121"/>
      <c r="G12" s="1121"/>
      <c r="H12" s="29"/>
      <c r="J12" s="997" t="str">
        <f t="shared" si="2"/>
        <v/>
      </c>
      <c r="K12" s="630" t="str">
        <f t="shared" si="0"/>
        <v/>
      </c>
      <c r="L12" s="718" t="str">
        <f t="shared" si="1"/>
        <v/>
      </c>
      <c r="N12" s="32"/>
      <c r="O12" s="739"/>
      <c r="P12" s="739"/>
      <c r="Q12" s="35"/>
    </row>
    <row r="13" spans="2:17">
      <c r="B13" s="539">
        <v>5</v>
      </c>
      <c r="C13" s="992"/>
      <c r="D13" s="1801"/>
      <c r="E13" s="1801"/>
      <c r="F13" s="1121"/>
      <c r="G13" s="1121"/>
      <c r="H13" s="29"/>
      <c r="J13" s="997" t="str">
        <f t="shared" si="2"/>
        <v/>
      </c>
      <c r="K13" s="630" t="str">
        <f t="shared" si="0"/>
        <v/>
      </c>
      <c r="L13" s="718" t="str">
        <f t="shared" si="1"/>
        <v/>
      </c>
    </row>
    <row r="14" spans="2:17">
      <c r="B14" s="539">
        <v>6</v>
      </c>
      <c r="C14" s="992"/>
      <c r="D14" s="1801"/>
      <c r="E14" s="1801"/>
      <c r="F14" s="1121"/>
      <c r="G14" s="1121"/>
      <c r="H14" s="29"/>
      <c r="J14" s="997" t="str">
        <f t="shared" si="2"/>
        <v/>
      </c>
      <c r="K14" s="630" t="str">
        <f t="shared" si="0"/>
        <v/>
      </c>
      <c r="L14" s="718" t="str">
        <f t="shared" si="1"/>
        <v/>
      </c>
    </row>
    <row r="15" spans="2:17">
      <c r="B15" s="539">
        <v>7</v>
      </c>
      <c r="C15" s="992"/>
      <c r="D15" s="1801"/>
      <c r="E15" s="1801"/>
      <c r="F15" s="1121"/>
      <c r="G15" s="1121"/>
      <c r="H15" s="29"/>
      <c r="J15" s="997" t="str">
        <f t="shared" si="2"/>
        <v/>
      </c>
      <c r="K15" s="630" t="str">
        <f t="shared" si="0"/>
        <v/>
      </c>
      <c r="L15" s="718" t="str">
        <f t="shared" si="1"/>
        <v/>
      </c>
    </row>
    <row r="16" spans="2:17">
      <c r="B16" s="539">
        <v>8</v>
      </c>
      <c r="C16" s="992"/>
      <c r="D16" s="1801"/>
      <c r="E16" s="1801"/>
      <c r="F16" s="1121"/>
      <c r="G16" s="1121"/>
      <c r="H16" s="29"/>
      <c r="J16" s="997" t="str">
        <f t="shared" si="2"/>
        <v/>
      </c>
      <c r="K16" s="630" t="str">
        <f t="shared" si="0"/>
        <v/>
      </c>
      <c r="L16" s="718" t="str">
        <f t="shared" si="1"/>
        <v/>
      </c>
    </row>
    <row r="17" spans="2:12">
      <c r="B17" s="539">
        <v>9</v>
      </c>
      <c r="C17" s="992"/>
      <c r="D17" s="1801"/>
      <c r="E17" s="1801"/>
      <c r="F17" s="1121"/>
      <c r="G17" s="1121"/>
      <c r="H17" s="29"/>
      <c r="J17" s="997" t="str">
        <f t="shared" si="2"/>
        <v/>
      </c>
      <c r="K17" s="630" t="str">
        <f t="shared" si="0"/>
        <v/>
      </c>
      <c r="L17" s="718" t="str">
        <f t="shared" si="1"/>
        <v/>
      </c>
    </row>
    <row r="18" spans="2:12">
      <c r="B18" s="539">
        <v>10</v>
      </c>
      <c r="C18" s="992"/>
      <c r="D18" s="1801"/>
      <c r="E18" s="1801"/>
      <c r="F18" s="1121"/>
      <c r="G18" s="1121"/>
      <c r="H18" s="29"/>
      <c r="J18" s="997" t="str">
        <f t="shared" si="2"/>
        <v/>
      </c>
      <c r="K18" s="630" t="str">
        <f t="shared" si="0"/>
        <v/>
      </c>
      <c r="L18" s="718" t="str">
        <f t="shared" si="1"/>
        <v/>
      </c>
    </row>
    <row r="19" spans="2:12">
      <c r="B19" s="539">
        <v>11</v>
      </c>
      <c r="C19" s="992"/>
      <c r="D19" s="1801"/>
      <c r="E19" s="1801"/>
      <c r="F19" s="1121"/>
      <c r="G19" s="1121"/>
      <c r="H19" s="29"/>
      <c r="J19" s="997" t="str">
        <f t="shared" si="2"/>
        <v/>
      </c>
      <c r="K19" s="630" t="str">
        <f t="shared" si="0"/>
        <v/>
      </c>
      <c r="L19" s="718" t="str">
        <f t="shared" si="1"/>
        <v/>
      </c>
    </row>
    <row r="20" spans="2:12">
      <c r="B20" s="539">
        <v>12</v>
      </c>
      <c r="C20" s="992"/>
      <c r="D20" s="1801"/>
      <c r="E20" s="1801"/>
      <c r="F20" s="1121"/>
      <c r="G20" s="1121"/>
      <c r="H20" s="29"/>
      <c r="J20" s="997" t="str">
        <f t="shared" si="2"/>
        <v/>
      </c>
      <c r="K20" s="630" t="str">
        <f t="shared" si="0"/>
        <v/>
      </c>
      <c r="L20" s="718" t="str">
        <f t="shared" si="1"/>
        <v/>
      </c>
    </row>
    <row r="21" spans="2:12">
      <c r="B21" s="539">
        <v>13</v>
      </c>
      <c r="C21" s="992"/>
      <c r="D21" s="1801"/>
      <c r="E21" s="1801"/>
      <c r="F21" s="1121"/>
      <c r="G21" s="1121"/>
      <c r="H21" s="29"/>
      <c r="J21" s="997" t="str">
        <f t="shared" si="2"/>
        <v/>
      </c>
      <c r="K21" s="630" t="str">
        <f t="shared" si="0"/>
        <v/>
      </c>
      <c r="L21" s="718" t="str">
        <f t="shared" si="1"/>
        <v/>
      </c>
    </row>
    <row r="22" spans="2:12">
      <c r="B22" s="539">
        <v>14</v>
      </c>
      <c r="C22" s="992"/>
      <c r="D22" s="1801"/>
      <c r="E22" s="1801"/>
      <c r="F22" s="1121"/>
      <c r="G22" s="1121"/>
      <c r="H22" s="29"/>
      <c r="J22" s="997" t="str">
        <f t="shared" si="2"/>
        <v/>
      </c>
      <c r="K22" s="630" t="str">
        <f t="shared" si="0"/>
        <v/>
      </c>
      <c r="L22" s="718" t="str">
        <f t="shared" si="1"/>
        <v/>
      </c>
    </row>
    <row r="23" spans="2:12">
      <c r="B23" s="539">
        <v>15</v>
      </c>
      <c r="C23" s="1629"/>
      <c r="D23" s="1801"/>
      <c r="E23" s="1801"/>
      <c r="F23" s="1629"/>
      <c r="G23" s="1629"/>
      <c r="H23" s="29"/>
      <c r="K23" s="383" t="s">
        <v>195</v>
      </c>
      <c r="L23" s="383" t="s">
        <v>195</v>
      </c>
    </row>
    <row r="24" spans="2:12">
      <c r="B24" s="539">
        <v>16</v>
      </c>
      <c r="C24" s="1629"/>
      <c r="D24" s="1801"/>
      <c r="E24" s="1801"/>
      <c r="F24" s="1629"/>
      <c r="G24" s="1629"/>
      <c r="H24" s="29"/>
    </row>
    <row r="25" spans="2:12">
      <c r="B25" s="539">
        <v>17</v>
      </c>
      <c r="C25" s="1629"/>
      <c r="D25" s="1801"/>
      <c r="E25" s="1801"/>
      <c r="F25" s="1629"/>
      <c r="G25" s="1629"/>
      <c r="H25" s="29"/>
    </row>
    <row r="26" spans="2:12">
      <c r="B26" s="539">
        <v>18</v>
      </c>
      <c r="C26" s="1629"/>
      <c r="D26" s="1801"/>
      <c r="E26" s="1801"/>
      <c r="F26" s="1629"/>
      <c r="G26" s="1629"/>
      <c r="H26" s="29"/>
    </row>
    <row r="27" spans="2:12">
      <c r="B27" s="539">
        <v>19</v>
      </c>
      <c r="C27" s="1629"/>
      <c r="D27" s="1801"/>
      <c r="E27" s="1801"/>
      <c r="F27" s="1629"/>
      <c r="G27" s="1629"/>
      <c r="H27" s="29"/>
    </row>
    <row r="28" spans="2:12">
      <c r="B28" s="539">
        <v>20</v>
      </c>
      <c r="C28" s="1629"/>
      <c r="D28" s="1801"/>
      <c r="E28" s="1801"/>
      <c r="F28" s="1629"/>
      <c r="G28" s="1629"/>
      <c r="H28" s="29"/>
    </row>
    <row r="29" spans="2:12" s="1630" customFormat="1">
      <c r="B29" s="1637"/>
      <c r="C29" s="1629"/>
      <c r="D29" s="1629"/>
      <c r="E29" s="1629"/>
      <c r="F29" s="1629"/>
      <c r="G29" s="1629"/>
      <c r="H29" s="29"/>
    </row>
    <row r="30" spans="2:12" s="1630" customFormat="1">
      <c r="B30" s="1637"/>
      <c r="C30" s="1802" t="str">
        <f>IF(ISNUMBER(MATCH(Background,BackgroundLanguages,0)),"One of the bonus languages must be","")</f>
        <v/>
      </c>
      <c r="D30" s="1803"/>
      <c r="E30" s="1803"/>
      <c r="F30" s="1803"/>
      <c r="G30" s="567" t="str">
        <f>IF(ISNUMBER(MATCH(Background,BackgroundLanguages,0)),INDEX(BonusLanguageTable,MATCH(Background,BackgroundLanguages,0),3),"")</f>
        <v/>
      </c>
      <c r="H30" s="29"/>
    </row>
    <row r="31" spans="2:12" ht="15" thickBot="1">
      <c r="B31" s="32"/>
      <c r="C31" s="1631"/>
      <c r="D31" s="1631"/>
      <c r="E31" s="1631"/>
      <c r="F31" s="1631"/>
      <c r="G31" s="1631"/>
      <c r="H31" s="35"/>
    </row>
  </sheetData>
  <sortState xmlns:xlrd2="http://schemas.microsoft.com/office/spreadsheetml/2017/richdata2" ref="D9:E13">
    <sortCondition ref="D9"/>
  </sortState>
  <mergeCells count="32">
    <mergeCell ref="O11:P11"/>
    <mergeCell ref="O5:P5"/>
    <mergeCell ref="O6:P6"/>
    <mergeCell ref="O7:P7"/>
    <mergeCell ref="O9:P9"/>
    <mergeCell ref="O10:P10"/>
    <mergeCell ref="D18:E18"/>
    <mergeCell ref="D19:E19"/>
    <mergeCell ref="D20:E20"/>
    <mergeCell ref="D21:E21"/>
    <mergeCell ref="D22:E22"/>
    <mergeCell ref="E3:G3"/>
    <mergeCell ref="D17:E17"/>
    <mergeCell ref="D5:E5"/>
    <mergeCell ref="D6:E6"/>
    <mergeCell ref="D7:E7"/>
    <mergeCell ref="D9:E9"/>
    <mergeCell ref="D10:E10"/>
    <mergeCell ref="D11:E11"/>
    <mergeCell ref="D12:E12"/>
    <mergeCell ref="D13:E13"/>
    <mergeCell ref="D14:E14"/>
    <mergeCell ref="D15:E15"/>
    <mergeCell ref="D16:E16"/>
    <mergeCell ref="D8:E8"/>
    <mergeCell ref="D23:E23"/>
    <mergeCell ref="C30:F30"/>
    <mergeCell ref="D28:E28"/>
    <mergeCell ref="D27:E27"/>
    <mergeCell ref="D26:E26"/>
    <mergeCell ref="D25:E25"/>
    <mergeCell ref="D24:E24"/>
  </mergeCells>
  <conditionalFormatting sqref="D9:E22 G9:G22">
    <cfRule type="expression" dxfId="61" priority="3">
      <formula>$B9&lt;=$E$3</formula>
    </cfRule>
  </conditionalFormatting>
  <conditionalFormatting sqref="G23:G28 D23:E28">
    <cfRule type="expression" dxfId="60" priority="1">
      <formula>$B23&lt;=$E$3</formula>
    </cfRule>
  </conditionalFormatting>
  <dataValidations count="1">
    <dataValidation type="list" allowBlank="1" showInputMessage="1" showErrorMessage="1" sqref="D9:D28" xr:uid="{00000000-0002-0000-1000-000000000000}">
      <formula1>LanguageList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115" r:id="rId3" name="Button 3">
              <controlPr defaultSize="0" print="0" autoFill="0" autoPict="0" macro="[0]!ClearLanguages">
                <anchor moveWithCells="1" sizeWithCells="1">
                  <from>
                    <xdr:col>6</xdr:col>
                    <xdr:colOff>165100</xdr:colOff>
                    <xdr:row>4</xdr:row>
                    <xdr:rowOff>12700</xdr:rowOff>
                  </from>
                  <to>
                    <xdr:col>6</xdr:col>
                    <xdr:colOff>736600</xdr:colOff>
                    <xdr:row>5</xdr:row>
                    <xdr:rowOff>88900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AC68"/>
  <sheetViews>
    <sheetView showGridLines="0" zoomScaleNormal="100" zoomScaleSheetLayoutView="93" workbookViewId="0">
      <selection activeCell="D6" sqref="D6"/>
    </sheetView>
  </sheetViews>
  <sheetFormatPr defaultColWidth="9.1796875" defaultRowHeight="14.5"/>
  <cols>
    <col min="1" max="1" width="3.26953125" style="15" customWidth="1"/>
    <col min="2" max="2" width="2.81640625" style="15" customWidth="1"/>
    <col min="3" max="3" width="23.54296875" style="15" customWidth="1"/>
    <col min="4" max="4" width="24.1796875" style="15" customWidth="1"/>
    <col min="5" max="5" width="3.26953125" style="15" customWidth="1"/>
    <col min="6" max="6" width="13.81640625" style="15" customWidth="1"/>
    <col min="7" max="7" width="3.453125" style="15" customWidth="1"/>
    <col min="8" max="8" width="3.26953125" style="15" customWidth="1"/>
    <col min="9" max="9" width="2.81640625" style="15" customWidth="1"/>
    <col min="10" max="10" width="14.26953125" style="15" customWidth="1"/>
    <col min="11" max="11" width="12.7265625" style="15" customWidth="1"/>
    <col min="12" max="12" width="5.453125" style="16" customWidth="1"/>
    <col min="13" max="13" width="3" style="15" customWidth="1"/>
    <col min="14" max="14" width="2.54296875" style="15" customWidth="1"/>
    <col min="15" max="15" width="3.1796875" style="15" customWidth="1"/>
    <col min="16" max="16" width="18.54296875" style="15" customWidth="1"/>
    <col min="17" max="17" width="5.453125" style="15" customWidth="1"/>
    <col min="18" max="18" width="5.54296875" style="16" customWidth="1"/>
    <col min="19" max="19" width="3.1796875" style="15" customWidth="1"/>
    <col min="20" max="21" width="3.26953125" style="15" customWidth="1"/>
    <col min="22" max="22" width="11.54296875" style="15" customWidth="1"/>
    <col min="23" max="23" width="6.453125" style="15" customWidth="1"/>
    <col min="24" max="24" width="9.7265625" style="15" customWidth="1"/>
    <col min="25" max="25" width="3.1796875" style="15" customWidth="1"/>
    <col min="26" max="30" width="0" style="15" hidden="1" customWidth="1"/>
    <col min="31" max="16384" width="9.1796875" style="15"/>
  </cols>
  <sheetData>
    <row r="1" spans="2:26" ht="15" thickBot="1">
      <c r="J1" s="1819"/>
      <c r="K1" s="1819"/>
      <c r="P1" s="1819"/>
      <c r="Q1" s="1819"/>
    </row>
    <row r="2" spans="2:26">
      <c r="B2" s="669"/>
      <c r="C2" s="23"/>
      <c r="D2" s="23"/>
      <c r="E2" s="23"/>
      <c r="F2" s="23"/>
      <c r="G2" s="25"/>
      <c r="I2" s="22"/>
      <c r="J2" s="1808"/>
      <c r="K2" s="1808"/>
      <c r="L2" s="24"/>
      <c r="M2" s="25"/>
      <c r="O2" s="22"/>
      <c r="P2" s="1808"/>
      <c r="Q2" s="1808"/>
      <c r="R2" s="24"/>
      <c r="S2" s="25"/>
      <c r="U2" s="22"/>
      <c r="V2" s="1808"/>
      <c r="W2" s="1808"/>
      <c r="X2" s="24"/>
      <c r="Y2" s="25"/>
    </row>
    <row r="3" spans="2:26" ht="21">
      <c r="B3" s="539"/>
      <c r="C3" s="48" t="s">
        <v>86</v>
      </c>
      <c r="D3" s="28"/>
      <c r="E3" s="28"/>
      <c r="F3" s="535" t="str">
        <f>IF(ArmorWorn&lt;&gt;"",D9+IF(D10&lt;&gt;"None",D10,0)+IF(F28&lt;&gt;"",F28,0)+IF(Q28&lt;&gt;"",Q28,0)+IF(F41&lt;&gt;"",F41,0),"")</f>
        <v/>
      </c>
      <c r="G3" s="29"/>
      <c r="I3" s="26"/>
      <c r="J3" s="1809" t="s">
        <v>3657</v>
      </c>
      <c r="K3" s="1809"/>
      <c r="L3" s="530">
        <f ca="1">L17</f>
        <v>10</v>
      </c>
      <c r="M3" s="29"/>
      <c r="O3" s="26"/>
      <c r="P3" s="1809" t="s">
        <v>3685</v>
      </c>
      <c r="Q3" s="1809"/>
      <c r="R3" s="530">
        <f ca="1">R17</f>
        <v>10</v>
      </c>
      <c r="S3" s="29"/>
      <c r="U3" s="26"/>
      <c r="V3" s="1809" t="s">
        <v>3697</v>
      </c>
      <c r="W3" s="1809"/>
      <c r="X3" s="530">
        <f ca="1">X17</f>
        <v>10</v>
      </c>
      <c r="Y3" s="29"/>
    </row>
    <row r="4" spans="2:26">
      <c r="B4" s="539"/>
      <c r="C4" s="28"/>
      <c r="D4" s="28"/>
      <c r="E4" s="28"/>
      <c r="F4" s="37"/>
      <c r="G4" s="29"/>
      <c r="I4" s="26"/>
      <c r="J4" s="1801"/>
      <c r="K4" s="1801"/>
      <c r="L4" s="27"/>
      <c r="M4" s="29"/>
      <c r="O4" s="26"/>
      <c r="P4" s="1801"/>
      <c r="Q4" s="1801"/>
      <c r="R4" s="27"/>
      <c r="S4" s="29"/>
      <c r="U4" s="26"/>
      <c r="V4" s="1801"/>
      <c r="W4" s="1801"/>
      <c r="X4" s="27"/>
      <c r="Y4" s="29"/>
    </row>
    <row r="5" spans="2:26" s="869" customFormat="1">
      <c r="B5" s="539"/>
      <c r="C5" s="864"/>
      <c r="D5" s="959" t="str">
        <f>IF(ArmorWorn&lt;&gt;"",IF(F6&lt;&gt;"",F6,ArmorWorn),IF(DroidArmorName&lt;&gt;"",DroidArmorName,""))</f>
        <v/>
      </c>
      <c r="E5" s="864"/>
      <c r="F5" s="877"/>
      <c r="G5" s="29"/>
      <c r="I5" s="26"/>
      <c r="J5" s="867" t="s">
        <v>3658</v>
      </c>
      <c r="K5" s="867"/>
      <c r="L5" s="876">
        <v>10</v>
      </c>
      <c r="M5" s="29"/>
      <c r="O5" s="26"/>
      <c r="P5" s="867" t="s">
        <v>3658</v>
      </c>
      <c r="Q5" s="867"/>
      <c r="R5" s="876">
        <v>10</v>
      </c>
      <c r="S5" s="29"/>
      <c r="U5" s="26"/>
      <c r="V5" s="867" t="s">
        <v>3658</v>
      </c>
      <c r="W5" s="867"/>
      <c r="X5" s="876">
        <v>10</v>
      </c>
      <c r="Y5" s="29"/>
    </row>
    <row r="6" spans="2:26">
      <c r="B6" s="539"/>
      <c r="C6" s="31" t="s">
        <v>86</v>
      </c>
      <c r="D6" s="883"/>
      <c r="E6" s="1013" t="s">
        <v>195</v>
      </c>
      <c r="F6" s="1142"/>
      <c r="G6" s="1033" t="s">
        <v>195</v>
      </c>
      <c r="I6" s="26"/>
      <c r="J6" s="867" t="str">
        <f ca="1">IF(Feats!$M$240&gt;0,"Intelligence","Dexterity")&amp;" Bonus"</f>
        <v>Dexterity Bonus</v>
      </c>
      <c r="K6" s="867"/>
      <c r="L6" s="38" t="str">
        <f ca="1">IF(Feats!$M$240&gt;0,IntMod,DexMod)</f>
        <v/>
      </c>
      <c r="M6" s="29"/>
      <c r="O6" s="26"/>
      <c r="P6" s="1130" t="str">
        <f>IF(NOT(ISERROR(FIND("Droid",Race,1))),"Strength Mod",IF(Talents!M694&gt;0,IF(ChaMod&gt;ConMod,"Charisma Mod","Constitution Mod"),"Constitution Mod"))</f>
        <v>Constitution Mod</v>
      </c>
      <c r="Q6" s="867"/>
      <c r="R6" s="38" t="str">
        <f>IF(NOT(ISERROR(FIND("Droid",Race,1))),StrMod,IF(Talents!M694&gt;0,IF(ChaMod&gt;ConMod,ChaMod,ConMod),ConMod))</f>
        <v/>
      </c>
      <c r="S6" s="29"/>
      <c r="U6" s="26"/>
      <c r="V6" s="867" t="str">
        <f ca="1">IF(OR(Talents!$M$157&gt;0,Feats!$M$120&gt;0,NOT(ISERROR(FIND("Strength of Conviction",SpeciesTraitsList,1)))),"Charisma Mod","Wisdom Mod")</f>
        <v>Wisdom Mod</v>
      </c>
      <c r="W6" s="867"/>
      <c r="X6" s="38" t="str">
        <f ca="1">IF(OR(Talents!$M$157&gt;0,Feats!$M$120&gt;0),ChaMod,WisMod)</f>
        <v/>
      </c>
      <c r="Y6" s="29"/>
    </row>
    <row r="7" spans="2:26">
      <c r="B7" s="539"/>
      <c r="C7" s="512" t="e">
        <f>IF(INDEX(ArmorTable,MATCH(ArmorWorn,ArmorList,0),2)="","",INDEX(ArmorSizeTable,MATCH(INDEX(ArmorTable,MATCH(ArmorWorn,ArmorList,0),2),ArmorSizeList,0)+IF(AND(C42,MATCH(INDEX(ArmorTable,MATCH(ArmorWorn,ArmorList,0),2),ArmorSizeList,0)&lt;&gt;4),1,0),2))</f>
        <v>#N/A</v>
      </c>
      <c r="D7" s="540" t="str">
        <f>IF(AND(ArmorWorn&lt;&gt;"",Talents!M669&gt;0),"(Attuned)","")</f>
        <v/>
      </c>
      <c r="E7" s="28"/>
      <c r="F7" s="37"/>
      <c r="G7" s="1033" t="s">
        <v>195</v>
      </c>
      <c r="I7" s="26"/>
      <c r="J7" s="867" t="s">
        <v>4039</v>
      </c>
      <c r="K7" s="867"/>
      <c r="L7" s="38" t="str">
        <f>IF(D15&lt;&gt;0,D15,"")</f>
        <v/>
      </c>
      <c r="M7" s="29"/>
      <c r="O7" s="26"/>
      <c r="P7" s="867" t="s">
        <v>3660</v>
      </c>
      <c r="Q7" s="867"/>
      <c r="R7" s="38">
        <f>HeroicLevel</f>
        <v>0</v>
      </c>
      <c r="S7" s="29"/>
      <c r="U7" s="26"/>
      <c r="V7" s="867" t="s">
        <v>3660</v>
      </c>
      <c r="W7" s="867"/>
      <c r="X7" s="38">
        <f>HeroicLevel</f>
        <v>0</v>
      </c>
      <c r="Y7" s="29"/>
    </row>
    <row r="8" spans="2:26">
      <c r="B8" s="539"/>
      <c r="C8" s="31" t="s">
        <v>48</v>
      </c>
      <c r="D8" s="28" t="str">
        <f>IF(ArmorWorn&lt;&gt;"",IF(ArmorTypeOverride="",C7,ArmorTypeOverride),IF(DroidArmorName&lt;&gt;"",DroidArmorType,""))</f>
        <v/>
      </c>
      <c r="E8" s="28"/>
      <c r="F8" s="957"/>
      <c r="G8" s="1033" t="s">
        <v>195</v>
      </c>
      <c r="I8" s="26"/>
      <c r="J8" s="867" t="s">
        <v>3660</v>
      </c>
      <c r="K8" s="867"/>
      <c r="L8" s="38">
        <f>HeroicLevel</f>
        <v>0</v>
      </c>
      <c r="M8" s="29"/>
      <c r="O8" s="26"/>
      <c r="P8" s="867" t="s">
        <v>3662</v>
      </c>
      <c r="Q8" s="867"/>
      <c r="R8" s="38">
        <f>ClassFort</f>
        <v>0</v>
      </c>
      <c r="S8" s="29"/>
      <c r="U8" s="26"/>
      <c r="V8" s="867" t="s">
        <v>3662</v>
      </c>
      <c r="W8" s="867"/>
      <c r="X8" s="38">
        <f>ClassWill+IF(Talents!M999&gt;0,Data!CT20,0)</f>
        <v>0</v>
      </c>
      <c r="Y8" s="29"/>
    </row>
    <row r="9" spans="2:26">
      <c r="B9" s="539"/>
      <c r="C9" s="31" t="s">
        <v>105</v>
      </c>
      <c r="D9" s="525" t="str">
        <f>IF(ArmorWorn&lt;&gt;"",IF(ArmorPriceOverride="",INDEX(ArmorTable,MATCH(ArmorWorn,ArmorList,0),34),ArmorPriceOverride),IF(DroidArmorName&lt;&gt;"",DroidArmorCost,""))</f>
        <v/>
      </c>
      <c r="E9" s="28"/>
      <c r="F9" s="531"/>
      <c r="G9" s="1033" t="s">
        <v>195</v>
      </c>
      <c r="I9" s="26"/>
      <c r="J9" s="867" t="s">
        <v>3687</v>
      </c>
      <c r="K9" s="867"/>
      <c r="L9" s="38">
        <f>IF(D13&lt;&gt;"",D13,0)</f>
        <v>0</v>
      </c>
      <c r="M9" s="29"/>
      <c r="O9" s="26"/>
      <c r="P9" s="867" t="s">
        <v>3693</v>
      </c>
      <c r="Q9" s="867"/>
      <c r="R9" s="38">
        <f>IF(ArmorFortBonus&lt;&gt;"",ArmorFortBonus,0)</f>
        <v>0</v>
      </c>
      <c r="S9" s="29"/>
      <c r="U9" s="26"/>
      <c r="V9" s="639" t="s">
        <v>3693</v>
      </c>
      <c r="W9" s="511"/>
      <c r="X9" s="1285">
        <f ca="1">IF(Feats!M133&gt;0,R9,0)</f>
        <v>0</v>
      </c>
      <c r="Y9" s="29"/>
    </row>
    <row r="10" spans="2:26">
      <c r="B10" s="539"/>
      <c r="C10" s="381" t="s">
        <v>3681</v>
      </c>
      <c r="D10" s="525" t="str">
        <f>IF(D9&lt;&gt;"",IF(AND(Talents!M191&gt;0,D9&lt;=(CharacterLevel*1000)),0,IF(DroidArmorName&lt;&gt;"",INDEX(AvailabilityTable,MATCH(INDEX(DroidArmorTable,MATCH(DroidArmorName,DroidArmorList,0),6),AvailList,0),3)*D9,IF(D18&lt;&gt;"",INDEX(AvailabilityTable,MATCH(INDEX(ArmorTable,MATCH(ArmorWorn,ArmorList,0),26),AvailabilityList,0),3)*D9,"None"))),"")</f>
        <v/>
      </c>
      <c r="E10" s="28"/>
      <c r="F10" s="36"/>
      <c r="G10" s="1033" t="s">
        <v>195</v>
      </c>
      <c r="I10" s="26"/>
      <c r="J10" s="639" t="s">
        <v>2225</v>
      </c>
      <c r="K10" s="511"/>
      <c r="L10" s="38">
        <f>IF(Race&lt;&gt;"",INDEX(RaceListTable,RaceIndex,31)+IF('Cybernetics and Biotech'!B28,1,0),0)</f>
        <v>0</v>
      </c>
      <c r="M10" s="29"/>
      <c r="O10" s="26"/>
      <c r="P10" s="1811" t="s">
        <v>4040</v>
      </c>
      <c r="Q10" s="1811"/>
      <c r="R10" s="38">
        <f>IF(Race&lt;&gt;"",INDEX(RaceListTable,RaceIndex,33),0)</f>
        <v>0</v>
      </c>
      <c r="S10" s="29"/>
      <c r="U10" s="26"/>
      <c r="V10" s="608" t="s">
        <v>137</v>
      </c>
      <c r="W10" s="608"/>
      <c r="X10" s="38">
        <f>IF(Bioimplant&lt;&gt;1,IF(Feats!M148&gt;0,0,-2),0)</f>
        <v>0</v>
      </c>
      <c r="Y10" s="29"/>
    </row>
    <row r="11" spans="2:26">
      <c r="B11" s="539" t="str">
        <f>IF(ArmorWorn&lt;&gt;"",IF(D9&lt;&gt;"",MAX(INDEX(AvailabilityTable,MATCH(INDEX(ArmorTable,MATCH(ArmorWorn,ArmorList,0),26),AvailabilityList,0),4)-IF(Feats!M379&gt;0,2,0)-IF(Feats!M128&gt;0,2,0)-IF(Talents!M191&gt;0,1,0),1),""),IF(DroidArmorName&lt;&gt;"",MAX(INDEX(AvailabilityTable,MATCH(B18,AvailList,0),4)-IF(Feats!M379&gt;0,2,0)-IF(Feats!M128&gt;0,2,0)-IF(Talents!M191&gt;0,1,0),1),""))</f>
        <v/>
      </c>
      <c r="C11" s="381" t="s">
        <v>3682</v>
      </c>
      <c r="D11" s="525" t="str">
        <f>IF(D9&lt;&gt;"",IF(B11&lt;&gt;"",TEXT(B11*D9,"#,###,### cr")&amp;IF(B12&lt;&gt;""," ("&amp;TEXT(B12*B11*D9,"#,###,### cr")&amp;")",""),""),"")</f>
        <v/>
      </c>
      <c r="E11" s="28"/>
      <c r="F11" s="36"/>
      <c r="G11" s="1033" t="s">
        <v>195</v>
      </c>
      <c r="I11" s="26"/>
      <c r="J11" s="867" t="s">
        <v>81</v>
      </c>
      <c r="K11" s="867"/>
      <c r="L11" s="38">
        <f>IF(OR(Talents!M517&gt;0,Talents!M1047&gt;0),INT(L9/2),0)</f>
        <v>0</v>
      </c>
      <c r="M11" s="29"/>
      <c r="O11" s="26"/>
      <c r="P11" s="511"/>
      <c r="Q11" s="511"/>
      <c r="R11" s="511"/>
      <c r="S11" s="29"/>
      <c r="U11" s="26"/>
      <c r="V11" s="1278" t="s">
        <v>4040</v>
      </c>
      <c r="W11" s="1277"/>
      <c r="X11" s="38">
        <f>IF(Race&lt;&gt;"",INDEX(RaceListTable,RaceIndex,34),0)</f>
        <v>0</v>
      </c>
      <c r="Y11" s="29"/>
    </row>
    <row r="12" spans="2:26">
      <c r="B12" s="539" t="str">
        <f>IF(ArmorWorn&lt;&gt;"",IF(B19&lt;&gt;"",2,""),IF(DroidArmorName&lt;&gt;"",IF(B19&lt;&gt;"",2,""),""))</f>
        <v/>
      </c>
      <c r="C12" s="381" t="s">
        <v>3683</v>
      </c>
      <c r="D12" s="525" t="str">
        <f>IF(D9&lt;&gt;"",D9/2,"")</f>
        <v/>
      </c>
      <c r="E12" s="28"/>
      <c r="F12" s="36"/>
      <c r="G12" s="1033" t="s">
        <v>195</v>
      </c>
      <c r="I12" s="26"/>
      <c r="J12" s="867" t="s">
        <v>3662</v>
      </c>
      <c r="K12" s="867"/>
      <c r="L12" s="38">
        <f>ClassRef</f>
        <v>0</v>
      </c>
      <c r="M12" s="29"/>
      <c r="O12" s="26"/>
      <c r="P12" s="511"/>
      <c r="Q12" s="511"/>
      <c r="R12" s="645"/>
      <c r="S12" s="29"/>
      <c r="U12" s="26"/>
      <c r="V12" s="511"/>
      <c r="W12" s="511"/>
      <c r="X12" s="511"/>
      <c r="Y12" s="29"/>
    </row>
    <row r="13" spans="2:26">
      <c r="B13" s="539"/>
      <c r="C13" s="31" t="s">
        <v>3687</v>
      </c>
      <c r="D13" s="526" t="str">
        <f>IF(ArmorWorn&lt;&gt;"",IF(ArmorReflexBonusOverride="",INDEX(ArmorTable,MATCH(ArmorWorn,ArmorList,0),3)+IF(Talents!M669&gt;0,2,0)+IF(OR(TechSpecialist=3,COUNTIF(P42:R44,"Prototype Protective Armor")&gt;0),1,0)+IF(OR(TechSpecialist=9,COUNTIF(P42:R44,"Prototype Superior Protective Armor")&gt;0),2,0)+IF(Talents!M519&gt;0,1,0)+IF(C43,-1,0),ArmorReflexBonusOverride),IF(DroidArmorName&lt;&gt;"",DroidArmorRef,""))</f>
        <v/>
      </c>
      <c r="E13" s="28"/>
      <c r="F13" s="532"/>
      <c r="G13" s="1033" t="s">
        <v>195</v>
      </c>
      <c r="I13" s="26"/>
      <c r="J13" s="867" t="s">
        <v>4040</v>
      </c>
      <c r="K13" s="867"/>
      <c r="L13" s="38">
        <f>IF(Race&lt;&gt;"",INDEX(RaceListTable,RaceIndex,32),0)</f>
        <v>0</v>
      </c>
      <c r="M13" s="29"/>
      <c r="O13" s="26"/>
      <c r="P13" s="511"/>
      <c r="Q13" s="511"/>
      <c r="R13" s="645"/>
      <c r="S13" s="29"/>
      <c r="U13" s="26"/>
      <c r="V13" s="1801"/>
      <c r="W13" s="1801"/>
      <c r="X13" s="27"/>
      <c r="Y13" s="29"/>
    </row>
    <row r="14" spans="2:26">
      <c r="B14" s="539"/>
      <c r="C14" s="31" t="s">
        <v>3693</v>
      </c>
      <c r="D14" s="526" t="str">
        <f>IF(ArmorWorn&lt;&gt;"",MAX(IF(ArmorFortitudeBonusOverride="",INDEX(ArmorTable,MATCH(ArmorWorn,ArmorList,0),4)+IF(OR(TechSpecialist=2,COUNTIF(P42:R44,"Prototype Fortifying Armor")&gt;0),1,0)+IF(OR(TechSpecialist=8,COUNTIF(P42:R44,"Prototype Superior Fortifying Armor")&gt;0),2,0)+IF(COUNTIF(J42:K44,"Mandalorian Iron")&gt;0,1,0)+IF(Talents!M519&gt;0,1,0)+IF(C43,-1,0),0),ArmorFortitudeBonusOverride),"")</f>
        <v/>
      </c>
      <c r="E14" s="28"/>
      <c r="F14" s="532"/>
      <c r="G14" s="1033" t="s">
        <v>195</v>
      </c>
      <c r="I14" s="26"/>
      <c r="J14" s="608" t="s">
        <v>2342</v>
      </c>
      <c r="K14" s="608"/>
      <c r="L14" s="881">
        <f ca="1">IF(SUM(Feats!M178:M180)&gt;0,SUM(Feats!M178:M180),0)</f>
        <v>0</v>
      </c>
      <c r="M14" s="29"/>
      <c r="N14" s="630"/>
      <c r="O14" s="26"/>
      <c r="P14" s="1801"/>
      <c r="Q14" s="1801"/>
      <c r="R14" s="634"/>
      <c r="S14" s="29"/>
      <c r="T14" s="630"/>
      <c r="U14" s="26"/>
      <c r="V14" s="1801"/>
      <c r="W14" s="1801"/>
      <c r="X14" s="634"/>
      <c r="Y14" s="29"/>
      <c r="Z14" s="630"/>
    </row>
    <row r="15" spans="2:26">
      <c r="B15" s="539"/>
      <c r="C15" s="31" t="s">
        <v>3659</v>
      </c>
      <c r="D15" s="526" t="str">
        <f>IF(ArmorWorn&lt;&gt;"",IF(ArmorMaxDexOverride="",INDEX(ArmorTable,MATCH(ArmorWorn,ArmorList,0),5),ArmorMaxDexOverride)+IF(Talents!M669&gt;0,1,0)+IF(OR(TechSpecialist=1,COUNTIF(P42:R44,"Prototype Agile Armor")&gt;0),1,0)+IF(OR(TechSpecialist=7,COUNTIF(P42:R44,"Prototype Superior Agile Armor")&gt;0),2,0)+IF(Talents!M516&gt;0,1,0)+IF(C44,-1,0),IF(DroidArmorName&lt;&gt;"",DroidArmorMaxDex,""))</f>
        <v/>
      </c>
      <c r="E15" s="28"/>
      <c r="F15" s="532"/>
      <c r="G15" s="1033" t="s">
        <v>195</v>
      </c>
      <c r="I15" s="26"/>
      <c r="J15" s="639" t="s">
        <v>11</v>
      </c>
      <c r="K15" s="511"/>
      <c r="L15" s="880">
        <f>IF(Race&lt;&gt;"",INDEX(SizeTable,MATCH(OutputSize,SizeList,0),6),0)</f>
        <v>0</v>
      </c>
      <c r="M15" s="768"/>
      <c r="N15" s="78"/>
      <c r="O15" s="769"/>
      <c r="P15" s="1811"/>
      <c r="Q15" s="1811"/>
      <c r="R15" s="748"/>
      <c r="S15" s="768"/>
      <c r="T15" s="78"/>
      <c r="U15" s="769"/>
      <c r="V15" s="1811"/>
      <c r="W15" s="1811"/>
      <c r="X15" s="748"/>
      <c r="Y15" s="29"/>
    </row>
    <row r="16" spans="2:26">
      <c r="B16" s="539"/>
      <c r="C16" s="31" t="s">
        <v>3669</v>
      </c>
      <c r="D16" s="527" t="str">
        <f>IF(ArmorWorn&lt;&gt;"",IF(ArmorSpeedOverride="",IF(OR(D8="Light",D8="None",Talents!M518&gt;0),6,4),ArmorSpeedOverride)+IF(AND(OR(D8="Medium",D8="Heavy"),OR(TechSpecialist=4,COUNTIF(P42:R44,"Prototype Mobile Armor")&gt;0)),1,0),IF(DroidArmorName&lt;&gt;"",DroidSpeed,""))</f>
        <v/>
      </c>
      <c r="E16" s="28"/>
      <c r="F16" s="531"/>
      <c r="G16" s="1033" t="s">
        <v>195</v>
      </c>
      <c r="I16" s="26"/>
      <c r="J16" s="1812" t="s">
        <v>2113</v>
      </c>
      <c r="K16" s="1812"/>
      <c r="L16" s="882">
        <f ca="1">ReflexBonus+IF(Feats!M152&gt;0,1,0)</f>
        <v>0</v>
      </c>
      <c r="M16" s="768"/>
      <c r="N16" s="78"/>
      <c r="O16" s="769"/>
      <c r="P16" s="1812" t="s">
        <v>2113</v>
      </c>
      <c r="Q16" s="1812"/>
      <c r="R16" s="882">
        <f ca="1">FortitudeBonus+IF(Feats!M152&gt;0,1,0)</f>
        <v>0</v>
      </c>
      <c r="S16" s="768"/>
      <c r="T16" s="78"/>
      <c r="U16" s="769"/>
      <c r="V16" s="1812" t="s">
        <v>2113</v>
      </c>
      <c r="W16" s="1812"/>
      <c r="X16" s="882">
        <f ca="1">WillBonus+IF(Feats!M152&gt;0,1,0)+IF(Feats!M133&gt;0,IF(ArmorFortBonus&lt;&gt;"",ArmorFortBonus,0),0)</f>
        <v>0</v>
      </c>
      <c r="Y16" s="29"/>
    </row>
    <row r="17" spans="2:29">
      <c r="B17" s="539"/>
      <c r="C17" s="31" t="s">
        <v>106</v>
      </c>
      <c r="D17" s="528" t="str">
        <f>IF(ArmorWorn&lt;&gt;"",IF(ArmorWeightOverride="",INDEX(ArmorTable,MATCH(ArmorWorn,ArmorList,0),35),ArmorWeightOverride)*IF(C44,2,1)/IF(COUNTIF(J29:K37,"Armorplast"),2,1)/IF(COUNTIF(J42:K44,"Biotech")&gt;0,2,1)*IF(OutputSize="Small",0.5,IF(OutputSize="Large",2,1))+S28,IF(DroidArmorName&lt;&gt;"",DroidArmorWeight,""))</f>
        <v/>
      </c>
      <c r="E17" s="28"/>
      <c r="F17" s="531"/>
      <c r="G17" s="1033" t="s">
        <v>195</v>
      </c>
      <c r="I17" s="26"/>
      <c r="J17" s="1811" t="s">
        <v>3661</v>
      </c>
      <c r="K17" s="1811"/>
      <c r="L17" s="1115">
        <f ca="1">L5+MIN(L6,L7)+IF(L11&lt;&gt;0,L11+IF(L8+RefTalents&gt;RefArmor,L8,RefArmor),IF(Talents!M515&gt;0,MAX(L8,L9),IF(L9&gt;0,L9,L8)))+L10+L12+L13+L14+L15+L16</f>
        <v>10</v>
      </c>
      <c r="M17" s="665"/>
      <c r="N17" s="666"/>
      <c r="O17" s="667"/>
      <c r="P17" s="1810" t="s">
        <v>3686</v>
      </c>
      <c r="Q17" s="1810"/>
      <c r="R17" s="1115">
        <f ca="1">R5+IF(R6&lt;&gt;"",R6,0)+R7+R8+R9+R10+R16</f>
        <v>10</v>
      </c>
      <c r="S17" s="665"/>
      <c r="T17" s="666"/>
      <c r="U17" s="667"/>
      <c r="V17" s="1810" t="s">
        <v>3698</v>
      </c>
      <c r="W17" s="1810"/>
      <c r="X17" s="1115">
        <f ca="1">X5+IF(X6&lt;&gt;"",X6,0)+X7+X8+X9+X10+X16+X11</f>
        <v>10</v>
      </c>
      <c r="Y17" s="29"/>
    </row>
    <row r="18" spans="2:29" ht="15" thickBot="1">
      <c r="B18" s="539" t="str">
        <f>IF(ArmorWorn&lt;&gt;"",IF(INDEX(ArmorTable,MATCH(ArmorWorn,ArmorList,0),26)&lt;&gt;"",INDEX(AvailabilityTable,MATCH(INDEX(ArmorTable,MATCH(ArmorWorn,ArmorList,0),26),AvailabilityList,0),1),""),IF(DroidArmorName&lt;&gt;"",INDEX(AvailabilityTable,MATCH(INDEX(DroidArmorTable,MATCH(DroidArmorName,DroidArmorList,0),6),AvailList,0),1),""))</f>
        <v/>
      </c>
      <c r="C18" s="31" t="s">
        <v>104</v>
      </c>
      <c r="D18" s="528" t="str">
        <f>IF(ArmorWorn&lt;&gt;"",IF(ArmorAvailabilityOverride="",IF(B18&lt;&gt;"",INDEX(AvailabilityTable,MATCH(B18,AvailList,0),2),"")&amp;IF(AND(B18&lt;&gt;"",B19&lt;&gt;""),", ","")&amp;IF(B19&lt;&gt;"",B19,""),ArmorAvailabilityOverride),IF(DroidArmorName&lt;&gt;"",DroidArmorAvailability,""))</f>
        <v/>
      </c>
      <c r="E18" s="28"/>
      <c r="F18" s="531"/>
      <c r="G18" s="1033" t="s">
        <v>195</v>
      </c>
      <c r="I18" s="32"/>
      <c r="J18" s="632"/>
      <c r="K18" s="632"/>
      <c r="L18" s="1361">
        <f ca="1">L5+MIN(L6,L7)+IF(L11&lt;&gt;0,L11+IF(MasterLevel&gt;RefArmor,MasterLevel,RefArmor),IF(Talents!M515&gt;0,MAX(MasterLevel,L9),IF(L9&gt;0,L9,MasterLevel)))+L10+L12+L13+L14+L15+L16</f>
        <v>18</v>
      </c>
      <c r="M18" s="35"/>
      <c r="N18" s="630"/>
      <c r="O18" s="32"/>
      <c r="P18" s="632"/>
      <c r="Q18" s="632"/>
      <c r="R18" s="1360">
        <f ca="1">R5+IF(R6&lt;&gt;"",R6,0)+MasterLevel+R8+R9+R10+R16</f>
        <v>18</v>
      </c>
      <c r="S18" s="35"/>
      <c r="T18" s="630"/>
      <c r="U18" s="32"/>
      <c r="V18" s="632"/>
      <c r="W18" s="632"/>
      <c r="X18" s="1360">
        <f ca="1">X5+IF(X6&lt;&gt;"",X6,0)+MasterLevel+X8+X9+X10+X16+X11</f>
        <v>18</v>
      </c>
      <c r="Y18" s="35"/>
    </row>
    <row r="19" spans="2:29" ht="15" thickBot="1">
      <c r="B19" s="539" t="str">
        <f>IF(ArmorWorn&lt;&gt;"",IF(INDEX(ArmorTable,MATCH(ArmorWorn,ArmorList,0),27)&lt;&gt;"",INDEX(AvailabilityTable,MATCH(INDEX(ArmorTable,MATCH(ArmorWorn,ArmorList,0),27),AvailabilityList,0),1),""),IF(DroidArmorName&lt;&gt;"",IF(INDEX(DroidArmorTable,MATCH(DroidArmorName,DroidArmorList,0),7)&lt;&gt;"",INDEX(AvailabilityTable,MATCH(INDEX(DroidArmorTable,MATCH(DroidArmorName,DroidArmorList,0),7),AvailList,0),1),""),""))</f>
        <v/>
      </c>
      <c r="C19" s="789" t="s">
        <v>73</v>
      </c>
      <c r="D19" s="1829" t="str">
        <f>IF(ArmorWorn&lt;&gt;"",IF(F19="",IF(INDEX(ArmorTable,MATCH(ArmorWorn,ArmorList,0),20)&lt;&gt;"",INDEX(ArmorTable,MATCH(ArmorWorn,ArmorList,0),20)&amp;IF(V29&lt;&gt;"",", ","")&amp;V29,V29),F19),"")</f>
        <v/>
      </c>
      <c r="E19" s="28"/>
      <c r="F19" s="1830"/>
      <c r="G19" s="1033" t="s">
        <v>195</v>
      </c>
      <c r="J19" s="1813"/>
      <c r="K19" s="1813"/>
      <c r="P19" s="1813"/>
      <c r="Q19" s="1813"/>
      <c r="T19" s="990"/>
      <c r="U19" s="990"/>
      <c r="V19" s="990"/>
      <c r="W19" s="990"/>
      <c r="X19" s="990"/>
      <c r="Y19" s="990"/>
      <c r="Z19" s="990"/>
      <c r="AA19" s="990"/>
      <c r="AB19" s="990"/>
      <c r="AC19" s="1702"/>
    </row>
    <row r="20" spans="2:29">
      <c r="B20" s="539"/>
      <c r="C20" s="639"/>
      <c r="D20" s="1829"/>
      <c r="E20" s="511"/>
      <c r="F20" s="1830"/>
      <c r="G20" s="1033" t="s">
        <v>195</v>
      </c>
      <c r="I20" s="22"/>
      <c r="J20" s="788"/>
      <c r="K20" s="788"/>
      <c r="L20" s="24"/>
      <c r="M20" s="788"/>
      <c r="N20" s="788"/>
      <c r="O20" s="788"/>
      <c r="P20" s="1808"/>
      <c r="Q20" s="1808"/>
      <c r="R20" s="24"/>
      <c r="S20" s="25"/>
      <c r="T20" s="990"/>
      <c r="U20" s="990" t="str">
        <f>H29</f>
        <v/>
      </c>
      <c r="V20" s="990"/>
      <c r="W20" s="990"/>
      <c r="X20" s="990"/>
      <c r="Y20" s="980"/>
      <c r="Z20" s="980" t="str">
        <f>IF(OR(U20&lt;&gt;"",Z28&lt;&gt;"",IntegratedEquipmentListStatBlock&lt;&gt;""),U20&amp;Z28&amp;IntegratedEquipmentListStatBlock,"")</f>
        <v/>
      </c>
      <c r="AA20" s="980"/>
      <c r="AB20" s="980"/>
      <c r="AC20" s="1702"/>
    </row>
    <row r="21" spans="2:29" s="804" customFormat="1" ht="21">
      <c r="B21" s="884"/>
      <c r="C21" s="802"/>
      <c r="D21" s="1829"/>
      <c r="E21" s="802"/>
      <c r="F21" s="1830"/>
      <c r="G21" s="1033" t="s">
        <v>195</v>
      </c>
      <c r="I21" s="801"/>
      <c r="J21" s="792" t="s">
        <v>4366</v>
      </c>
      <c r="K21" s="805"/>
      <c r="L21" s="806"/>
      <c r="M21" s="805"/>
      <c r="N21" s="805"/>
      <c r="O21" s="805"/>
      <c r="P21" s="792"/>
      <c r="Q21" s="1815" t="s">
        <v>3684</v>
      </c>
      <c r="R21" s="1815"/>
      <c r="S21" s="803"/>
      <c r="T21" s="991"/>
      <c r="U21" s="990" t="s">
        <v>5829</v>
      </c>
      <c r="V21" s="991"/>
      <c r="W21" s="1428" t="str">
        <f>IF(AND(Race&lt;&gt;"",CharacterLevel&gt;0),IF('Character Sheet 2'!AI193&gt;=WeightSum,"Yes","No"),"No")</f>
        <v>No</v>
      </c>
      <c r="X21" s="991"/>
      <c r="Y21" s="1381"/>
      <c r="Z21" s="1381"/>
      <c r="AA21" s="1381"/>
      <c r="AB21" s="1381"/>
    </row>
    <row r="22" spans="2:29">
      <c r="B22" s="539"/>
      <c r="C22" s="639" t="s">
        <v>4364</v>
      </c>
      <c r="D22" s="538" t="str">
        <f>IF(ArmorWorn&lt;&gt;"",IF(F22="",INDEX(WeaponObjectTable,INDEX(SizeTable,MATCH(INDEX(RaceListTable,RaceIndex,13),SizeAbrList,0),3)-2,2)&amp;"/─",F22),"")</f>
        <v/>
      </c>
      <c r="E22" s="28"/>
      <c r="F22" s="531"/>
      <c r="G22" s="1033" t="s">
        <v>195</v>
      </c>
      <c r="I22" s="26"/>
      <c r="J22" s="1811" t="s">
        <v>4354</v>
      </c>
      <c r="K22" s="1811"/>
      <c r="L22" s="1821">
        <f>IF(Q22&lt;&gt;"",Q22,IF(W21="Yes",-10,0)+IF(ArmorType="Light",IF(Feats!M21&gt;0,0,-2),IF(ArmorType="Medium",IF(Feats!M22&gt;0,0,-5),IF(ArmorType="Heavy",IF(Feats!M20&gt;0,0,-10),0))))</f>
        <v>0</v>
      </c>
      <c r="M22" s="1821"/>
      <c r="N22" s="1821"/>
      <c r="O22" s="1821"/>
      <c r="P22" s="787"/>
      <c r="Q22" s="1753"/>
      <c r="R22" s="1753"/>
      <c r="S22" s="29"/>
      <c r="T22" s="990"/>
      <c r="U22" s="990" t="s">
        <v>4367</v>
      </c>
      <c r="V22" s="990"/>
      <c r="W22" s="990">
        <f>IF(OR(TechSpecialist=5,COUNTIF(J42:K44,"Prototype Reinforced Armor")&gt;0),2,0)+IF(COUNTIF(J42:K44,"Durasteel Cast")&gt;0,1,0)+IF(Data!DA4&lt;&gt;"",INT(Data!CT18/2),0)+IF(Race="Nautolan",2,0)+IF(ArmorWorn="Orbalisk armor",10,0)+IF(NPCType=3,15,0)</f>
        <v>0</v>
      </c>
      <c r="X22" s="990" t="str">
        <f>IF(W22&lt;&gt;0,W22,"")</f>
        <v/>
      </c>
      <c r="Y22" s="980" t="str">
        <f t="shared" ref="Y22:Y28" si="0">IF(X22&lt;&gt;"",IF(Y23&lt;&gt;"",X22&amp;"/"&amp;Y23,X22),Y23)</f>
        <v/>
      </c>
      <c r="Z22" s="980"/>
      <c r="AA22" s="980"/>
      <c r="AB22" s="980"/>
      <c r="AC22" s="1702"/>
    </row>
    <row r="23" spans="2:29" s="790" customFormat="1">
      <c r="B23" s="539"/>
      <c r="C23" s="639" t="s">
        <v>4365</v>
      </c>
      <c r="D23" s="538" t="str">
        <f>IF(ArmorWorn&lt;&gt;"",IF(F23="",INDEX(WeaponObjectTable,INDEX(SizeTable,MATCH(INDEX(RaceListTable,RaceIndex,13),SizeAbrList,0),3)-2,3),F23),"")</f>
        <v/>
      </c>
      <c r="E23" s="787"/>
      <c r="F23" s="531"/>
      <c r="G23" s="1033" t="s">
        <v>195</v>
      </c>
      <c r="I23" s="26"/>
      <c r="J23" s="789" t="s">
        <v>193</v>
      </c>
      <c r="K23" s="511"/>
      <c r="L23" s="538">
        <f>IF(Q23&lt;&gt;"",Q23,IF(Y22&lt;&gt;"",Y22,0))</f>
        <v>0</v>
      </c>
      <c r="M23" s="538"/>
      <c r="N23" s="538"/>
      <c r="O23" s="538"/>
      <c r="P23" s="808"/>
      <c r="Q23" s="1816"/>
      <c r="R23" s="1817"/>
      <c r="S23" s="29"/>
      <c r="T23" s="990"/>
      <c r="U23" s="990" t="s">
        <v>4371</v>
      </c>
      <c r="V23" s="990" t="s">
        <v>637</v>
      </c>
      <c r="W23" s="990">
        <f>IF(COUNTIF(J$42:K$44,"Iridorian")&gt;0,2,0)</f>
        <v>0</v>
      </c>
      <c r="X23" s="990" t="str">
        <f t="shared" ref="X23:X28" si="1">IF(W23&lt;&gt;0,W23&amp;" ("&amp;V23&amp;")","")</f>
        <v/>
      </c>
      <c r="Y23" s="980" t="str">
        <f t="shared" si="0"/>
        <v/>
      </c>
      <c r="Z23" s="980"/>
      <c r="AA23" s="980"/>
      <c r="AB23" s="980"/>
      <c r="AC23" s="1702"/>
    </row>
    <row r="24" spans="2:29" s="790" customFormat="1">
      <c r="B24" s="539"/>
      <c r="C24" s="639" t="s">
        <v>4158</v>
      </c>
      <c r="D24" s="538" t="str">
        <f>IF(ArmorWorn&lt;&gt;"",IF(F24="",INDEX(WeaponObjectTable,INDEX(SizeTable,MATCH(INDEX(RaceListTable,RaceIndex,13),SizeAbrList,0),3)-2,4),F24),"")</f>
        <v/>
      </c>
      <c r="E24" s="28"/>
      <c r="F24" s="531"/>
      <c r="G24" s="1033" t="s">
        <v>195</v>
      </c>
      <c r="I24" s="26"/>
      <c r="J24" s="789" t="s">
        <v>3690</v>
      </c>
      <c r="K24" s="511"/>
      <c r="L24" s="1822" t="str">
        <f>IF(ArmorWorn&lt;&gt;"",IF(INDEX(ArmorTable,MATCH(ArmorWorn,ArmorList,0),6)&lt;&gt;"",SUM(L29:L40)-SUM(T29:T40)&amp;"/"&amp;IF(Q24&lt;&gt;"",Q24,INDEX(ArmorTable,MATCH(ArmorWorn,ArmorList,0),6)+IF(C42,1,0)+IF(C43,1,0)+IF(C44,1,0)),""),"")</f>
        <v/>
      </c>
      <c r="M24" s="1822"/>
      <c r="N24" s="1822"/>
      <c r="O24" s="1822"/>
      <c r="P24" s="757"/>
      <c r="Q24" s="1742"/>
      <c r="R24" s="1742"/>
      <c r="S24" s="29"/>
      <c r="T24" s="990"/>
      <c r="U24" s="990" t="s">
        <v>4368</v>
      </c>
      <c r="V24" s="990" t="s">
        <v>5815</v>
      </c>
      <c r="W24" s="990">
        <f>IF(COUNTIF(J$42:K$44,"krath")&gt;0,2,0)+IF(ArmorWorn="Republic heavy armor",2,0)</f>
        <v>0</v>
      </c>
      <c r="X24" s="990" t="str">
        <f t="shared" si="1"/>
        <v/>
      </c>
      <c r="Y24" s="980" t="str">
        <f>IF(X24&lt;&gt;"",IF(Y25&lt;&gt;"",X24&amp;"/"&amp;Y25,X24),Y25)</f>
        <v/>
      </c>
      <c r="Z24" s="980"/>
      <c r="AA24" s="980"/>
      <c r="AB24" s="980"/>
      <c r="AC24" s="1702"/>
    </row>
    <row r="25" spans="2:29" ht="15" thickBot="1">
      <c r="B25" s="670"/>
      <c r="C25" s="1061">
        <f>COUNTIF(ArmorModsInstalledList,"Jet Pack, reduced power repulsorlift")+COUNTIF(ArmorModsInstalledList,"Jet Pack, repulsorlift")</f>
        <v>0</v>
      </c>
      <c r="D25" s="1061" t="str">
        <f>IF(ArmorWorn&lt;&gt;"",IF(C25&gt;0,W41,IF(ArmorType="Heavy",W41-2,W41)),"")</f>
        <v/>
      </c>
      <c r="E25" s="33"/>
      <c r="F25" s="33"/>
      <c r="G25" s="35"/>
      <c r="I25" s="32"/>
      <c r="J25" s="1818"/>
      <c r="K25" s="1818"/>
      <c r="L25" s="34"/>
      <c r="M25" s="791"/>
      <c r="N25" s="791"/>
      <c r="O25" s="791"/>
      <c r="P25" s="1818"/>
      <c r="Q25" s="1818"/>
      <c r="R25" s="34"/>
      <c r="S25" s="35"/>
      <c r="T25" s="990"/>
      <c r="U25" s="990" t="s">
        <v>4372</v>
      </c>
      <c r="V25" s="990" t="s">
        <v>5814</v>
      </c>
      <c r="W25" s="990">
        <f>IF(COUNTIF(J$42:K$44,"Verpine")&gt;0,10,0)</f>
        <v>0</v>
      </c>
      <c r="X25" s="990" t="str">
        <f t="shared" si="1"/>
        <v/>
      </c>
      <c r="Y25" s="980" t="str">
        <f t="shared" si="0"/>
        <v/>
      </c>
      <c r="Z25" s="980"/>
      <c r="AA25" s="980"/>
      <c r="AB25" s="980"/>
      <c r="AC25" s="1702"/>
    </row>
    <row r="26" spans="2:29" ht="15" thickBot="1">
      <c r="J26" s="1819"/>
      <c r="K26" s="1819"/>
      <c r="P26" s="1819"/>
      <c r="Q26" s="1819"/>
      <c r="T26" s="990"/>
      <c r="U26" s="990" t="s">
        <v>4369</v>
      </c>
      <c r="V26" s="990" t="s">
        <v>633</v>
      </c>
      <c r="W26" s="990">
        <f>IF(COUNTIF(J$42:K$44,"Bonadan-Alloy")&gt;0,2,0)</f>
        <v>0</v>
      </c>
      <c r="X26" s="990" t="str">
        <f t="shared" si="1"/>
        <v/>
      </c>
      <c r="Y26" s="980" t="str">
        <f t="shared" si="0"/>
        <v/>
      </c>
      <c r="Z26" s="980"/>
      <c r="AA26" s="980"/>
      <c r="AB26" s="980"/>
      <c r="AC26" s="1702"/>
    </row>
    <row r="27" spans="2:29">
      <c r="B27" s="22"/>
      <c r="C27" s="23"/>
      <c r="D27" s="23"/>
      <c r="E27" s="23"/>
      <c r="F27" s="23"/>
      <c r="G27" s="25"/>
      <c r="I27" s="669"/>
      <c r="J27" s="1808"/>
      <c r="K27" s="1808"/>
      <c r="L27" s="24"/>
      <c r="M27" s="1035"/>
      <c r="N27" s="1035"/>
      <c r="O27" s="1035"/>
      <c r="P27" s="1808"/>
      <c r="Q27" s="1808"/>
      <c r="R27" s="24"/>
      <c r="S27" s="25"/>
      <c r="T27" s="990"/>
      <c r="U27" s="990" t="s">
        <v>4370</v>
      </c>
      <c r="V27" s="990" t="s">
        <v>5813</v>
      </c>
      <c r="W27" s="990">
        <f>IF(COUNTIF(J$42:K$44,"Cinnagaran")&gt;0,5,0)</f>
        <v>0</v>
      </c>
      <c r="X27" s="990" t="str">
        <f t="shared" si="1"/>
        <v/>
      </c>
      <c r="Y27" s="980" t="str">
        <f t="shared" si="0"/>
        <v/>
      </c>
      <c r="Z27" s="980"/>
      <c r="AA27" s="980"/>
      <c r="AB27" s="980"/>
      <c r="AC27" s="1702"/>
    </row>
    <row r="28" spans="2:29" ht="21">
      <c r="B28" s="26"/>
      <c r="C28" s="513" t="s">
        <v>3689</v>
      </c>
      <c r="D28" s="75"/>
      <c r="E28" s="534" t="b">
        <v>0</v>
      </c>
      <c r="F28" s="533">
        <f>IF(TechSpecialist=6,0,IF(TechSpecialist&lt;=3,IF(INDEX(ArmorTable,MATCH(ArmorWorn,ArmorList,0),34)&gt;10000,INDEX(ArmorTable,MATCH(ArmorWorn,ArmorList,0),34)*0.2,2000),IF(INDEX(ArmorTable,MATCH(ArmorWorn,ArmorList,0),34)&gt;10000,INDEX(ArmorTable,MATCH(ArmorWorn,ArmorList,0),34)*0.4,4000))*IF(TechSpecialistSelfMade,0.5,1))</f>
        <v>0</v>
      </c>
      <c r="G28" s="29"/>
      <c r="I28" s="539"/>
      <c r="J28" s="1827" t="s">
        <v>3688</v>
      </c>
      <c r="K28" s="1827"/>
      <c r="L28" s="1036" t="s">
        <v>88</v>
      </c>
      <c r="M28" s="1815" t="s">
        <v>3691</v>
      </c>
      <c r="N28" s="1815"/>
      <c r="O28" s="1815"/>
      <c r="P28" s="537" t="s">
        <v>3684</v>
      </c>
      <c r="Q28" s="1823" t="str">
        <f>IF(OR(J29&lt;&gt;"",SUM(M29:M44)&gt;0),SUM(M29:M44)-SUM(I29:I32)+SUM(M53:O62)-SUM(S53:S54),"")</f>
        <v/>
      </c>
      <c r="R28" s="1823"/>
      <c r="S28" s="576">
        <f>SUM(S29:S40)+R51</f>
        <v>0</v>
      </c>
      <c r="T28" s="990"/>
      <c r="U28" s="990" t="s">
        <v>4369</v>
      </c>
      <c r="V28" s="990" t="s">
        <v>5812</v>
      </c>
      <c r="W28" s="990">
        <f>IF(COUNTIF(J$42:K$44,"Eriadun")&gt;0,5,0)</f>
        <v>0</v>
      </c>
      <c r="X28" s="990" t="str">
        <f t="shared" si="1"/>
        <v/>
      </c>
      <c r="Y28" s="980" t="str">
        <f t="shared" si="0"/>
        <v/>
      </c>
      <c r="Z28" s="980" t="str">
        <f>IF(Z29&lt;&gt;"",IF(U20&lt;&gt;"",CHAR(59),"")&amp;Z29,"")</f>
        <v/>
      </c>
      <c r="AA28" s="980"/>
      <c r="AB28" s="980"/>
      <c r="AC28" s="1702"/>
    </row>
    <row r="29" spans="2:29">
      <c r="B29" s="26"/>
      <c r="C29" s="31" t="s">
        <v>2401</v>
      </c>
      <c r="D29" s="512" t="s">
        <v>6103</v>
      </c>
      <c r="E29" s="512">
        <v>1</v>
      </c>
      <c r="F29" s="512">
        <v>6</v>
      </c>
      <c r="G29" s="29"/>
      <c r="H29" s="990" t="str">
        <f>IF(TechSpecialist&lt;&gt;6,IF(AND(TechSpecialist&gt;=1,TechSpecialist&lt;=3),"Tech Specialist: "&amp;INDEX(ArmorTechModsTable,MATCH(TechSpecialist,ArmorTechModsList,0),1),"Superior Tech: "&amp;INDEX(ArmorTechModsTable,MATCH(TechSpecialist,ArmorTechModsList,0),1)),"")</f>
        <v/>
      </c>
      <c r="I29" s="539" t="e">
        <f>IF(INDEX(ArmorTable,MATCH(ArmorWorn,ArmorList,0),22)&lt;&gt;"",INDEX(ArmorAccessoriesTable,MATCH(INDEX(ArmorTable,MATCH(ArmorWorn,ArmorList,0),22),ArmorAccessoriesList,0),3),0)</f>
        <v>#N/A</v>
      </c>
      <c r="J29" s="1826" t="str">
        <f>IF(ArmorWorn&lt;&gt;"",(IF(P29&lt;&gt;"",P29,IF(INDEX(ArmorTable,MATCH(ArmorWorn,ArmorList,0),22)&lt;&gt;"",INDEX(ArmorTable,MATCH(ArmorWorn,ArmorList,0),22),""))),"")</f>
        <v/>
      </c>
      <c r="K29" s="1826"/>
      <c r="L29" s="1040" t="str">
        <f>IF(J29&lt;&gt;"",INDEX(ArmorAccessoriesTable,MATCH(IF(P29&lt;&gt;"",P29,J29),ArmorAccessoriesList,0),4),"")</f>
        <v/>
      </c>
      <c r="M29" s="1824" t="str">
        <f t="shared" ref="M29:M37" si="2">IF(J29&lt;&gt;"",INDEX(ArmorAccessoriesTable,MATCH(J29,ArmorAccessoriesList,0),3),"")</f>
        <v/>
      </c>
      <c r="N29" s="1824"/>
      <c r="O29" s="1824"/>
      <c r="P29" s="1814"/>
      <c r="Q29" s="1814"/>
      <c r="R29" s="1814"/>
      <c r="S29" s="576" t="str">
        <f t="shared" ref="S29:S40" si="3">IF(J29&lt;&gt;"",INDEX(ArmorAccessoriesTable,MATCH(J29,ArmorAccessoriesList,0),5),"")</f>
        <v/>
      </c>
      <c r="T29" s="990" t="str">
        <f>IF(P29="",L29,0)</f>
        <v/>
      </c>
      <c r="U29" s="990" t="str">
        <f t="shared" ref="U29:U40" si="4">IF(J29&lt;&gt;"",INDEX(ArmorAccessoriesTable,MATCH(J29,ArmorAccessoriesList,0),6),"")</f>
        <v/>
      </c>
      <c r="V29" s="990" t="str">
        <f>IF(U29&lt;&gt;"",IF(V30&lt;&gt;"",U29&amp;", "&amp;V30,U29),V30)</f>
        <v/>
      </c>
      <c r="W29" s="990">
        <f t="shared" ref="W29:W40" si="5">IF(NOT(ISERROR(INDEX(JetPackTable,MATCH(J29,JetPackList,0),2))),INDEX(JetPackTable,MATCH(J29,JetPackList,0),2),0)</f>
        <v>0</v>
      </c>
      <c r="X29" s="990"/>
      <c r="Y29" s="1280" t="s">
        <v>195</v>
      </c>
      <c r="Z29" s="980" t="str">
        <f>IF(J29&lt;&gt;"",J29&amp;IF(Z30&lt;&gt;"",", "&amp;Z30,""),Z30)</f>
        <v/>
      </c>
      <c r="AA29" s="980"/>
      <c r="AB29" s="980"/>
      <c r="AC29" s="1702"/>
    </row>
    <row r="30" spans="2:29">
      <c r="B30" s="26"/>
      <c r="C30" s="31"/>
      <c r="D30" s="512" t="s">
        <v>6104</v>
      </c>
      <c r="E30" s="512">
        <v>2</v>
      </c>
      <c r="F30" s="28"/>
      <c r="G30" s="29"/>
      <c r="I30" s="539" t="e">
        <f>IF(INDEX(ArmorTable,MATCH(ArmorWorn,ArmorList,0),23)&lt;&gt;"",INDEX(ArmorAccessoriesTable,MATCH(INDEX(ArmorTable,MATCH(ArmorWorn,ArmorList,0),23),ArmorAccessoriesList,0),3),0)</f>
        <v>#N/A</v>
      </c>
      <c r="J30" s="1828" t="str">
        <f>IF(ArmorWorn&lt;&gt;"",(IF(P30&lt;&gt;"",P30,IF(INDEX(ArmorTable,MATCH(ArmorWorn,ArmorList,0),23)&lt;&gt;"",INDEX(ArmorTable,MATCH(ArmorWorn,ArmorList,0),23),""))),"")</f>
        <v/>
      </c>
      <c r="K30" s="1828"/>
      <c r="L30" s="1040" t="str">
        <f>IF(J30&lt;&gt;"",INDEX(ArmorAccessoriesTable,MATCH(J30,ArmorAccessoriesList,0),4),"")</f>
        <v/>
      </c>
      <c r="M30" s="1820" t="str">
        <f>IF(J30&lt;&gt;"",INDEX(ArmorAccessoriesTable,MATCH(J30,ArmorAccessoriesList,0),3),"")</f>
        <v/>
      </c>
      <c r="N30" s="1820"/>
      <c r="O30" s="1825"/>
      <c r="P30" s="1814"/>
      <c r="Q30" s="1814"/>
      <c r="R30" s="1814"/>
      <c r="S30" s="576" t="str">
        <f t="shared" si="3"/>
        <v/>
      </c>
      <c r="T30" s="990" t="str">
        <f t="shared" ref="T30:T40" si="6">IF(P30="",L30,0)</f>
        <v/>
      </c>
      <c r="U30" s="990" t="str">
        <f t="shared" si="4"/>
        <v/>
      </c>
      <c r="V30" s="990" t="str">
        <f t="shared" ref="V30:V43" si="7">IF(U30&lt;&gt;"",IF(V31&lt;&gt;"",U30&amp;", "&amp;V31,U30),V31)</f>
        <v/>
      </c>
      <c r="W30" s="990">
        <f t="shared" si="5"/>
        <v>0</v>
      </c>
      <c r="X30" s="990"/>
      <c r="Y30" s="980"/>
      <c r="Z30" s="980" t="str">
        <f t="shared" ref="Z30:Z40" si="8">IF(J30&lt;&gt;"",J30&amp;IF(Z31&lt;&gt;"",", "&amp;Z31,""),Z31)</f>
        <v/>
      </c>
      <c r="AA30" s="980"/>
      <c r="AB30" s="980"/>
      <c r="AC30" s="1702"/>
    </row>
    <row r="31" spans="2:29">
      <c r="B31" s="26"/>
      <c r="C31" s="31"/>
      <c r="D31" s="512" t="s">
        <v>6105</v>
      </c>
      <c r="E31" s="512">
        <v>3</v>
      </c>
      <c r="F31" s="28"/>
      <c r="G31" s="29"/>
      <c r="I31" s="539" t="e">
        <f>IF(INDEX(ArmorTable,MATCH(ArmorWorn,ArmorList,0),24)&lt;&gt;"",INDEX(ArmorAccessoriesTable,MATCH(INDEX(ArmorTable,MATCH(ArmorWorn,ArmorList,0),24),ArmorAccessoriesList,0),3),0)</f>
        <v>#N/A</v>
      </c>
      <c r="J31" s="1826" t="str">
        <f>IF(ArmorWorn&lt;&gt;"",(IF(P31&lt;&gt;"",P31,IF(INDEX(ArmorTable,MATCH(ArmorWorn,ArmorList,0),24)&lt;&gt;"",INDEX(ArmorTable,MATCH(ArmorWorn,ArmorList,0),24),""))),"")</f>
        <v/>
      </c>
      <c r="K31" s="1826"/>
      <c r="L31" s="1040" t="str">
        <f>IF(J31&lt;&gt;"",INDEX(ArmorAccessoriesTable,MATCH(J31,ArmorAccessoriesList,0),4),"")</f>
        <v/>
      </c>
      <c r="M31" s="1820" t="str">
        <f>IF(J31&lt;&gt;"",INDEX(ArmorAccessoriesTable,MATCH(J31,ArmorAccessoriesList,0),3),"")</f>
        <v/>
      </c>
      <c r="N31" s="1820"/>
      <c r="O31" s="1820"/>
      <c r="P31" s="1814"/>
      <c r="Q31" s="1814"/>
      <c r="R31" s="1814"/>
      <c r="S31" s="576" t="str">
        <f t="shared" si="3"/>
        <v/>
      </c>
      <c r="T31" s="990" t="str">
        <f t="shared" si="6"/>
        <v/>
      </c>
      <c r="U31" s="990" t="str">
        <f t="shared" si="4"/>
        <v/>
      </c>
      <c r="V31" s="990" t="str">
        <f t="shared" si="7"/>
        <v/>
      </c>
      <c r="W31" s="990">
        <f t="shared" si="5"/>
        <v>0</v>
      </c>
      <c r="X31" s="990"/>
      <c r="Y31" s="980"/>
      <c r="Z31" s="980" t="str">
        <f t="shared" si="8"/>
        <v/>
      </c>
      <c r="AA31" s="980"/>
      <c r="AB31" s="980"/>
      <c r="AC31" s="1702"/>
    </row>
    <row r="32" spans="2:29">
      <c r="B32" s="26"/>
      <c r="C32" s="31" t="s">
        <v>2499</v>
      </c>
      <c r="D32" s="512" t="s">
        <v>6106</v>
      </c>
      <c r="E32" s="512">
        <v>4</v>
      </c>
      <c r="F32" s="28"/>
      <c r="G32" s="29"/>
      <c r="I32" s="539" t="e">
        <f>IF(INDEX(ArmorTable,MATCH(ArmorWorn,ArmorList,0),25)&lt;&gt;"",INDEX(ArmorAccessoriesTable,MATCH(INDEX(ArmorTable,MATCH(ArmorWorn,ArmorList,0),25),ArmorAccessoriesList,0),3),0)</f>
        <v>#N/A</v>
      </c>
      <c r="J32" s="1826" t="str">
        <f>IF(ArmorWorn&lt;&gt;"",(IF(P32&lt;&gt;"",P32,IF(INDEX(ArmorTable,MATCH(ArmorWorn,ArmorList,0),25)&lt;&gt;"",INDEX(ArmorTable,MATCH(ArmorWorn,ArmorList,0),25),""))),"")</f>
        <v/>
      </c>
      <c r="K32" s="1826"/>
      <c r="L32" s="1040" t="str">
        <f t="shared" ref="L32:L37" si="9">IF(J32&lt;&gt;"",INDEX(ArmorAccessoriesTable,MATCH(J32,ArmorAccessoriesList,0),4),"")</f>
        <v/>
      </c>
      <c r="M32" s="1820" t="str">
        <f t="shared" si="2"/>
        <v/>
      </c>
      <c r="N32" s="1820"/>
      <c r="O32" s="1820"/>
      <c r="P32" s="1814"/>
      <c r="Q32" s="1814"/>
      <c r="R32" s="1814"/>
      <c r="S32" s="576" t="str">
        <f t="shared" si="3"/>
        <v/>
      </c>
      <c r="T32" s="990" t="str">
        <f t="shared" si="6"/>
        <v/>
      </c>
      <c r="U32" s="990" t="str">
        <f t="shared" si="4"/>
        <v/>
      </c>
      <c r="V32" s="990" t="str">
        <f t="shared" si="7"/>
        <v/>
      </c>
      <c r="W32" s="990">
        <f t="shared" si="5"/>
        <v>0</v>
      </c>
      <c r="X32" s="990"/>
      <c r="Y32" s="980"/>
      <c r="Z32" s="980" t="str">
        <f t="shared" si="8"/>
        <v/>
      </c>
      <c r="AA32" s="980"/>
      <c r="AB32" s="980"/>
      <c r="AC32" s="1702"/>
    </row>
    <row r="33" spans="2:29">
      <c r="B33" s="26"/>
      <c r="C33" s="511"/>
      <c r="D33" s="512" t="s">
        <v>6107</v>
      </c>
      <c r="E33" s="512">
        <v>5</v>
      </c>
      <c r="F33" s="28"/>
      <c r="G33" s="29"/>
      <c r="I33" s="539"/>
      <c r="J33" s="1826" t="str">
        <f t="shared" ref="J33:J40" si="10">IF(ArmorWorn&lt;&gt;"",IF(P33&lt;&gt;"",P33,""),"")</f>
        <v/>
      </c>
      <c r="K33" s="1826"/>
      <c r="L33" s="1040" t="str">
        <f t="shared" si="9"/>
        <v/>
      </c>
      <c r="M33" s="1820" t="str">
        <f t="shared" si="2"/>
        <v/>
      </c>
      <c r="N33" s="1820"/>
      <c r="O33" s="1820"/>
      <c r="P33" s="1814"/>
      <c r="Q33" s="1814"/>
      <c r="R33" s="1814"/>
      <c r="S33" s="576" t="str">
        <f t="shared" si="3"/>
        <v/>
      </c>
      <c r="T33" s="990" t="str">
        <f t="shared" si="6"/>
        <v/>
      </c>
      <c r="U33" s="990" t="str">
        <f t="shared" si="4"/>
        <v/>
      </c>
      <c r="V33" s="990" t="str">
        <f t="shared" si="7"/>
        <v/>
      </c>
      <c r="W33" s="990">
        <f t="shared" si="5"/>
        <v>0</v>
      </c>
      <c r="X33" s="990"/>
      <c r="Y33" s="980"/>
      <c r="Z33" s="980" t="str">
        <f t="shared" si="8"/>
        <v/>
      </c>
      <c r="AA33" s="980"/>
      <c r="AB33" s="980"/>
      <c r="AC33" s="1702"/>
    </row>
    <row r="34" spans="2:29">
      <c r="B34" s="26"/>
      <c r="C34" s="31"/>
      <c r="D34" s="512" t="s">
        <v>6108</v>
      </c>
      <c r="E34" s="512">
        <v>7</v>
      </c>
      <c r="F34" s="28"/>
      <c r="G34" s="29"/>
      <c r="I34" s="539"/>
      <c r="J34" s="1826" t="str">
        <f t="shared" si="10"/>
        <v/>
      </c>
      <c r="K34" s="1826"/>
      <c r="L34" s="1040" t="str">
        <f t="shared" si="9"/>
        <v/>
      </c>
      <c r="M34" s="1820" t="str">
        <f t="shared" si="2"/>
        <v/>
      </c>
      <c r="N34" s="1820"/>
      <c r="O34" s="1820"/>
      <c r="P34" s="1814"/>
      <c r="Q34" s="1814"/>
      <c r="R34" s="1814"/>
      <c r="S34" s="576" t="str">
        <f t="shared" si="3"/>
        <v/>
      </c>
      <c r="T34" s="990" t="str">
        <f t="shared" si="6"/>
        <v/>
      </c>
      <c r="U34" s="990" t="str">
        <f t="shared" si="4"/>
        <v/>
      </c>
      <c r="V34" s="990" t="str">
        <f t="shared" si="7"/>
        <v/>
      </c>
      <c r="W34" s="990">
        <f t="shared" si="5"/>
        <v>0</v>
      </c>
      <c r="X34" s="990"/>
      <c r="Y34" s="980"/>
      <c r="Z34" s="980" t="str">
        <f t="shared" si="8"/>
        <v/>
      </c>
      <c r="AA34" s="980"/>
      <c r="AB34" s="980"/>
      <c r="AC34" s="1702"/>
    </row>
    <row r="35" spans="2:29">
      <c r="B35" s="26"/>
      <c r="C35" s="28"/>
      <c r="D35" s="512" t="s">
        <v>6109</v>
      </c>
      <c r="E35" s="512">
        <v>8</v>
      </c>
      <c r="F35" s="28"/>
      <c r="G35" s="29"/>
      <c r="I35" s="539"/>
      <c r="J35" s="1826" t="str">
        <f t="shared" si="10"/>
        <v/>
      </c>
      <c r="K35" s="1826"/>
      <c r="L35" s="1040" t="str">
        <f t="shared" si="9"/>
        <v/>
      </c>
      <c r="M35" s="1820" t="str">
        <f t="shared" si="2"/>
        <v/>
      </c>
      <c r="N35" s="1820"/>
      <c r="O35" s="1820"/>
      <c r="P35" s="1814"/>
      <c r="Q35" s="1814"/>
      <c r="R35" s="1814"/>
      <c r="S35" s="576" t="str">
        <f t="shared" si="3"/>
        <v/>
      </c>
      <c r="T35" s="990" t="str">
        <f t="shared" si="6"/>
        <v/>
      </c>
      <c r="U35" s="990" t="str">
        <f t="shared" si="4"/>
        <v/>
      </c>
      <c r="V35" s="990" t="str">
        <f t="shared" si="7"/>
        <v/>
      </c>
      <c r="W35" s="990">
        <f t="shared" si="5"/>
        <v>0</v>
      </c>
      <c r="X35" s="990"/>
      <c r="Y35" s="980"/>
      <c r="Z35" s="980" t="str">
        <f t="shared" si="8"/>
        <v/>
      </c>
      <c r="AA35" s="980"/>
      <c r="AB35" s="980"/>
      <c r="AC35" s="1702"/>
    </row>
    <row r="36" spans="2:29">
      <c r="B36" s="26"/>
      <c r="C36" s="28"/>
      <c r="D36" s="512" t="s">
        <v>6110</v>
      </c>
      <c r="E36" s="512">
        <v>9</v>
      </c>
      <c r="F36" s="28"/>
      <c r="G36" s="29"/>
      <c r="I36" s="539"/>
      <c r="J36" s="1826" t="str">
        <f t="shared" si="10"/>
        <v/>
      </c>
      <c r="K36" s="1826"/>
      <c r="L36" s="1040" t="str">
        <f t="shared" si="9"/>
        <v/>
      </c>
      <c r="M36" s="1820" t="str">
        <f t="shared" si="2"/>
        <v/>
      </c>
      <c r="N36" s="1820"/>
      <c r="O36" s="1820"/>
      <c r="P36" s="1814"/>
      <c r="Q36" s="1814"/>
      <c r="R36" s="1814"/>
      <c r="S36" s="576" t="str">
        <f t="shared" si="3"/>
        <v/>
      </c>
      <c r="T36" s="990" t="str">
        <f t="shared" si="6"/>
        <v/>
      </c>
      <c r="U36" s="990" t="str">
        <f t="shared" si="4"/>
        <v/>
      </c>
      <c r="V36" s="990" t="str">
        <f t="shared" si="7"/>
        <v/>
      </c>
      <c r="W36" s="990">
        <f t="shared" si="5"/>
        <v>0</v>
      </c>
      <c r="X36" s="990"/>
      <c r="Y36" s="980"/>
      <c r="Z36" s="980" t="str">
        <f t="shared" si="8"/>
        <v/>
      </c>
      <c r="AA36" s="980"/>
      <c r="AB36" s="980"/>
      <c r="AC36" s="1702"/>
    </row>
    <row r="37" spans="2:29">
      <c r="B37" s="26"/>
      <c r="C37" s="31" t="s">
        <v>154</v>
      </c>
      <c r="D37" s="512"/>
      <c r="E37" s="512">
        <v>6</v>
      </c>
      <c r="F37" s="28"/>
      <c r="G37" s="29"/>
      <c r="I37" s="539"/>
      <c r="J37" s="1826" t="str">
        <f t="shared" si="10"/>
        <v/>
      </c>
      <c r="K37" s="1826"/>
      <c r="L37" s="1040" t="str">
        <f t="shared" si="9"/>
        <v/>
      </c>
      <c r="M37" s="1820" t="str">
        <f t="shared" si="2"/>
        <v/>
      </c>
      <c r="N37" s="1820"/>
      <c r="O37" s="1820"/>
      <c r="P37" s="1814"/>
      <c r="Q37" s="1814"/>
      <c r="R37" s="1814"/>
      <c r="S37" s="576" t="str">
        <f t="shared" si="3"/>
        <v/>
      </c>
      <c r="T37" s="990" t="str">
        <f t="shared" si="6"/>
        <v/>
      </c>
      <c r="U37" s="990" t="str">
        <f t="shared" si="4"/>
        <v/>
      </c>
      <c r="V37" s="990" t="str">
        <f t="shared" si="7"/>
        <v/>
      </c>
      <c r="W37" s="990">
        <f t="shared" si="5"/>
        <v>0</v>
      </c>
      <c r="X37" s="990"/>
      <c r="Y37" s="980"/>
      <c r="Z37" s="980" t="str">
        <f t="shared" si="8"/>
        <v/>
      </c>
      <c r="AA37" s="980"/>
      <c r="AB37" s="980"/>
      <c r="AC37" s="1702"/>
    </row>
    <row r="38" spans="2:29" ht="15" thickBot="1">
      <c r="B38" s="32"/>
      <c r="C38" s="33"/>
      <c r="D38" s="33"/>
      <c r="E38" s="33"/>
      <c r="F38" s="33"/>
      <c r="G38" s="35"/>
      <c r="I38" s="539"/>
      <c r="J38" s="1826" t="str">
        <f t="shared" si="10"/>
        <v/>
      </c>
      <c r="K38" s="1826"/>
      <c r="L38" s="1040" t="str">
        <f>IF(J38&lt;&gt;"",INDEX(ArmorAccessoriesTable,MATCH(J38,ArmorAccessoriesList,0),4),"")</f>
        <v/>
      </c>
      <c r="M38" s="1820" t="str">
        <f>IF(J38&lt;&gt;"",INDEX(ArmorAccessoriesTable,MATCH(J38,ArmorAccessoriesList,0),3),"")</f>
        <v/>
      </c>
      <c r="N38" s="1820"/>
      <c r="O38" s="1820"/>
      <c r="P38" s="1814"/>
      <c r="Q38" s="1814"/>
      <c r="R38" s="1814"/>
      <c r="S38" s="576" t="str">
        <f t="shared" si="3"/>
        <v/>
      </c>
      <c r="T38" s="990" t="str">
        <f t="shared" si="6"/>
        <v/>
      </c>
      <c r="U38" s="990" t="str">
        <f t="shared" si="4"/>
        <v/>
      </c>
      <c r="V38" s="990" t="str">
        <f t="shared" si="7"/>
        <v/>
      </c>
      <c r="W38" s="990">
        <f t="shared" si="5"/>
        <v>0</v>
      </c>
      <c r="X38" s="990"/>
      <c r="Y38" s="980"/>
      <c r="Z38" s="980" t="str">
        <f t="shared" si="8"/>
        <v/>
      </c>
      <c r="AA38" s="980"/>
      <c r="AB38" s="980"/>
      <c r="AC38" s="1702"/>
    </row>
    <row r="39" spans="2:29" ht="15" thickBot="1">
      <c r="I39" s="539"/>
      <c r="J39" s="1826" t="str">
        <f t="shared" si="10"/>
        <v/>
      </c>
      <c r="K39" s="1826"/>
      <c r="L39" s="1040" t="str">
        <f>IF(J39&lt;&gt;"",INDEX(ArmorAccessoriesTable,MATCH(J39,ArmorAccessoriesList,0),4),"")</f>
        <v/>
      </c>
      <c r="M39" s="1820" t="str">
        <f>IF(J39&lt;&gt;"",INDEX(ArmorAccessoriesTable,MATCH(J39,ArmorAccessoriesList,0),3),"")</f>
        <v/>
      </c>
      <c r="N39" s="1820"/>
      <c r="O39" s="1820"/>
      <c r="P39" s="1814"/>
      <c r="Q39" s="1814"/>
      <c r="R39" s="1814"/>
      <c r="S39" s="576" t="str">
        <f t="shared" si="3"/>
        <v/>
      </c>
      <c r="T39" s="990" t="str">
        <f t="shared" si="6"/>
        <v/>
      </c>
      <c r="U39" s="990" t="str">
        <f t="shared" si="4"/>
        <v/>
      </c>
      <c r="V39" s="990" t="str">
        <f t="shared" si="7"/>
        <v/>
      </c>
      <c r="W39" s="990">
        <f t="shared" si="5"/>
        <v>0</v>
      </c>
      <c r="X39" s="990"/>
      <c r="Y39" s="980"/>
      <c r="Z39" s="980" t="str">
        <f t="shared" si="8"/>
        <v/>
      </c>
      <c r="AA39" s="980"/>
      <c r="AB39" s="980"/>
      <c r="AC39" s="1702"/>
    </row>
    <row r="40" spans="2:29">
      <c r="B40" s="22"/>
      <c r="C40" s="1069"/>
      <c r="D40" s="1069"/>
      <c r="E40" s="1069"/>
      <c r="F40" s="1069"/>
      <c r="G40" s="25"/>
      <c r="I40" s="539"/>
      <c r="J40" s="1826" t="str">
        <f t="shared" si="10"/>
        <v/>
      </c>
      <c r="K40" s="1826"/>
      <c r="L40" s="1040" t="str">
        <f>IF(J40&lt;&gt;"",INDEX(ArmorAccessoriesTable,MATCH(J40,ArmorAccessoriesList,0),4),"")</f>
        <v/>
      </c>
      <c r="M40" s="1820" t="str">
        <f>IF(J40&lt;&gt;"",INDEX(ArmorAccessoriesTable,MATCH(J40,ArmorAccessoriesList,0),3),"")</f>
        <v/>
      </c>
      <c r="N40" s="1820"/>
      <c r="O40" s="1820"/>
      <c r="P40" s="1814"/>
      <c r="Q40" s="1814"/>
      <c r="R40" s="1814"/>
      <c r="S40" s="576" t="str">
        <f t="shared" si="3"/>
        <v/>
      </c>
      <c r="T40" s="990" t="str">
        <f t="shared" si="6"/>
        <v/>
      </c>
      <c r="U40" s="990" t="str">
        <f t="shared" si="4"/>
        <v/>
      </c>
      <c r="V40" s="990" t="str">
        <f>IF(U40&lt;&gt;"",IF(V42&lt;&gt;"",U40&amp;", "&amp;V42,U40),V42)</f>
        <v/>
      </c>
      <c r="W40" s="990">
        <f t="shared" si="5"/>
        <v>0</v>
      </c>
      <c r="X40" s="990"/>
      <c r="Y40" s="980"/>
      <c r="Z40" s="980" t="str">
        <f t="shared" si="8"/>
        <v/>
      </c>
      <c r="AA40" s="980"/>
      <c r="AB40" s="980"/>
      <c r="AC40" s="1702"/>
    </row>
    <row r="41" spans="2:29" s="804" customFormat="1" ht="21">
      <c r="B41" s="801"/>
      <c r="C41" s="1072" t="s">
        <v>4202</v>
      </c>
      <c r="D41" s="805"/>
      <c r="E41" s="805"/>
      <c r="F41" s="807" t="str">
        <f>IF(C42,D9,"")</f>
        <v/>
      </c>
      <c r="G41" s="803"/>
      <c r="I41" s="884"/>
      <c r="J41" s="1836" t="s">
        <v>4361</v>
      </c>
      <c r="K41" s="1836"/>
      <c r="L41" s="806"/>
      <c r="M41" s="1835"/>
      <c r="N41" s="1835"/>
      <c r="O41" s="1835"/>
      <c r="P41" s="1832"/>
      <c r="Q41" s="1833"/>
      <c r="R41" s="1834"/>
      <c r="S41" s="1089"/>
      <c r="T41" s="991"/>
      <c r="U41" s="991"/>
      <c r="V41" s="1429" t="s">
        <v>195</v>
      </c>
      <c r="W41" s="991">
        <f>MAX(W29:W40)</f>
        <v>0</v>
      </c>
      <c r="X41" s="991"/>
      <c r="Y41" s="1381"/>
      <c r="Z41" s="1382" t="s">
        <v>195</v>
      </c>
      <c r="AA41" s="1381"/>
      <c r="AB41" s="1381"/>
    </row>
    <row r="42" spans="2:29">
      <c r="B42" s="26"/>
      <c r="C42" s="512" t="b">
        <v>0</v>
      </c>
      <c r="D42" s="1063"/>
      <c r="E42" s="1063"/>
      <c r="F42" s="800"/>
      <c r="G42" s="29"/>
      <c r="I42" s="539" t="e">
        <f>IF(INDEX(ArmorTable,MATCH(ArmorWorn,ArmorList,0),21)&lt;&gt;"",MAX(INDEX(ArmorTemplateTable,MATCH(INDEX(ArmorTable,MATCH(ArmorWorn,ArmorList,0),21),ArmorTemplateList,0),3)*D9,INDEX(ArmorTemplateTable,MATCH(INDEX(ArmorTable,MATCH(ArmorWorn,ArmorList,0),21),ArmorTemplateList,0),4)),0)</f>
        <v>#N/A</v>
      </c>
      <c r="J42" s="1826" t="str">
        <f>IF(ArmorWorn&lt;&gt;"",(IF(P42&lt;&gt;"",P42,IF(INDEX(ArmorTable,MATCH(ArmorWorn,ArmorList,0),21)&lt;&gt;"",INDEX(ArmorTable,MATCH(ArmorWorn,ArmorList,0),21),""))),"")</f>
        <v/>
      </c>
      <c r="K42" s="1826"/>
      <c r="L42" s="1040"/>
      <c r="M42" s="1820" t="str">
        <f>IF(J42&lt;&gt;"",MAX(INDEX(ArmorTemplateTable,MATCH(J42,ArmorTemplateList,0),3)*D$9,INDEX(ArmorTemplateTable,MATCH(J42,ArmorTemplateList,0),4)),"")</f>
        <v/>
      </c>
      <c r="N42" s="1820"/>
      <c r="O42" s="1820"/>
      <c r="P42" s="1831"/>
      <c r="Q42" s="1807"/>
      <c r="R42" s="1807"/>
      <c r="S42" s="576"/>
      <c r="T42" s="990"/>
      <c r="U42" s="990" t="str">
        <f>IF(J42&lt;&gt;"",INDEX(ArmorTemplateTable,MATCH(J42,ArmorTemplateList,0),5),"")</f>
        <v/>
      </c>
      <c r="V42" s="990" t="str">
        <f t="shared" si="7"/>
        <v/>
      </c>
      <c r="W42" s="990"/>
      <c r="X42" s="990"/>
      <c r="Y42" s="980"/>
      <c r="Z42" s="980"/>
      <c r="AA42" s="980"/>
      <c r="AB42" s="980"/>
      <c r="AC42" s="1702"/>
    </row>
    <row r="43" spans="2:29">
      <c r="B43" s="26"/>
      <c r="C43" s="512" t="b">
        <v>0</v>
      </c>
      <c r="D43" s="1063"/>
      <c r="E43" s="1063"/>
      <c r="F43" s="1063"/>
      <c r="G43" s="29"/>
      <c r="I43" s="539"/>
      <c r="J43" s="1826" t="str">
        <f>IF(ArmorWorn&lt;&gt;"",IF(P43&lt;&gt;"",P43,""),"")</f>
        <v/>
      </c>
      <c r="K43" s="1826"/>
      <c r="L43" s="1040"/>
      <c r="M43" s="1820" t="str">
        <f>IF(J43&lt;&gt;"",MAX(INDEX(ArmorTemplateTable,MATCH(J43,ArmorTemplateList,0),3)*D$9,INDEX(ArmorTemplateTable,MATCH(J43,ArmorTemplateList,0),4)),"")</f>
        <v/>
      </c>
      <c r="N43" s="1820"/>
      <c r="O43" s="1820"/>
      <c r="P43" s="1814"/>
      <c r="Q43" s="1814"/>
      <c r="R43" s="1814"/>
      <c r="S43" s="576"/>
      <c r="T43" s="990"/>
      <c r="U43" s="990" t="str">
        <f>IF(J43&lt;&gt;"",INDEX(ArmorTemplateTable,MATCH(J43,ArmorTemplateList,0),5),"")</f>
        <v/>
      </c>
      <c r="V43" s="990" t="str">
        <f t="shared" si="7"/>
        <v/>
      </c>
      <c r="W43" s="990"/>
      <c r="X43" s="990"/>
      <c r="Y43" s="980"/>
      <c r="Z43" s="980"/>
      <c r="AA43" s="980"/>
      <c r="AB43" s="980"/>
      <c r="AC43" s="1702"/>
    </row>
    <row r="44" spans="2:29" ht="15" thickBot="1">
      <c r="B44" s="32"/>
      <c r="C44" s="1061" t="b">
        <v>0</v>
      </c>
      <c r="D44" s="1071"/>
      <c r="E44" s="1071"/>
      <c r="F44" s="1071"/>
      <c r="G44" s="35"/>
      <c r="I44" s="539"/>
      <c r="J44" s="1826" t="str">
        <f>IF(ArmorWorn&lt;&gt;"",IF(P44&lt;&gt;"",P44,""),"")</f>
        <v/>
      </c>
      <c r="K44" s="1826"/>
      <c r="L44" s="1040"/>
      <c r="M44" s="1820" t="str">
        <f>IF(J44&lt;&gt;"",MAX(INDEX(ArmorTemplateTable,MATCH(J44,ArmorTemplateList,0),3)*D$9,INDEX(ArmorTemplateTable,MATCH(J44,ArmorTemplateList,0),4)),"")</f>
        <v/>
      </c>
      <c r="N44" s="1820"/>
      <c r="O44" s="1820"/>
      <c r="P44" s="1814"/>
      <c r="Q44" s="1814"/>
      <c r="R44" s="1814"/>
      <c r="S44" s="576"/>
      <c r="T44" s="990"/>
      <c r="U44" s="990" t="str">
        <f>IF(J44&lt;&gt;"",INDEX(ArmorTemplateTable,MATCH(J44,ArmorTemplateList,0),5),"")</f>
        <v/>
      </c>
      <c r="V44" s="990" t="str">
        <f>IF(U44&lt;&gt;"",IF(V48&lt;&gt;"",U44&amp;", "&amp;V48,U44),V48)</f>
        <v/>
      </c>
      <c r="W44" s="990"/>
      <c r="X44" s="990"/>
      <c r="Y44" s="980"/>
      <c r="Z44" s="980"/>
      <c r="AA44" s="980"/>
      <c r="AB44" s="980"/>
      <c r="AC44" s="1702"/>
    </row>
    <row r="45" spans="2:29" s="1070" customFormat="1" ht="15" thickBot="1">
      <c r="B45" s="508"/>
      <c r="C45" s="1078"/>
      <c r="D45" s="508"/>
      <c r="E45" s="508"/>
      <c r="F45" s="508"/>
      <c r="G45" s="508"/>
      <c r="I45" s="539"/>
      <c r="J45" s="1064"/>
      <c r="K45" s="1064"/>
      <c r="L45" s="1075"/>
      <c r="M45" s="1065"/>
      <c r="N45" s="1065"/>
      <c r="O45" s="1065"/>
      <c r="P45" s="1063"/>
      <c r="Q45" s="1063"/>
      <c r="R45" s="1075"/>
      <c r="S45" s="576"/>
      <c r="T45" s="990"/>
      <c r="U45" s="980"/>
      <c r="V45" s="980"/>
      <c r="W45" s="980"/>
      <c r="X45" s="980"/>
      <c r="Y45" s="980"/>
      <c r="Z45" s="980"/>
      <c r="AA45" s="980"/>
      <c r="AB45" s="980"/>
      <c r="AC45" s="1702"/>
    </row>
    <row r="46" spans="2:29">
      <c r="B46" s="22"/>
      <c r="C46" s="1069"/>
      <c r="D46" s="1069"/>
      <c r="E46" s="1069"/>
      <c r="F46" s="1069"/>
      <c r="G46" s="25"/>
      <c r="H46" s="1070"/>
      <c r="I46" s="539"/>
      <c r="J46" s="1034"/>
      <c r="K46" s="1034"/>
      <c r="L46" s="1040"/>
      <c r="M46" s="1034"/>
      <c r="N46" s="1034"/>
      <c r="O46" s="1034"/>
      <c r="P46" s="1034"/>
      <c r="Q46" s="1034"/>
      <c r="R46" s="1040"/>
      <c r="S46" s="576"/>
      <c r="T46" s="990"/>
      <c r="U46" s="980"/>
      <c r="V46" s="980"/>
      <c r="W46" s="980"/>
      <c r="X46" s="980"/>
      <c r="Y46" s="980"/>
      <c r="Z46" s="980"/>
      <c r="AA46" s="980"/>
      <c r="AB46" s="980"/>
      <c r="AC46" s="1702"/>
    </row>
    <row r="47" spans="2:29" ht="21">
      <c r="B47" s="26"/>
      <c r="C47" s="1072" t="s">
        <v>89</v>
      </c>
      <c r="D47" s="75"/>
      <c r="E47" s="75"/>
      <c r="F47" s="75"/>
      <c r="G47" s="29"/>
      <c r="I47" s="539"/>
      <c r="J47" s="1038" t="s">
        <v>6068</v>
      </c>
      <c r="K47" s="75"/>
      <c r="L47" s="1041"/>
      <c r="M47" s="75"/>
      <c r="N47" s="75"/>
      <c r="O47" s="75"/>
      <c r="P47" s="75"/>
      <c r="Q47" s="75"/>
      <c r="R47" s="1041"/>
      <c r="S47" s="576"/>
      <c r="T47" s="990"/>
      <c r="U47" s="990"/>
      <c r="V47" s="990"/>
      <c r="W47" s="990"/>
      <c r="X47" s="990"/>
      <c r="Y47" s="990"/>
      <c r="Z47" s="990"/>
      <c r="AA47" s="990"/>
      <c r="AB47" s="990"/>
      <c r="AC47" s="1702"/>
    </row>
    <row r="48" spans="2:29">
      <c r="B48" s="26"/>
      <c r="C48" s="1063" t="str">
        <f>IF(COUNTIF(J29:K40,"Helmet Package, superior")&gt;0,"Helmet with superior helmet package",IF(COUNTIF(J29:K40,"Helmet Package")&gt;0,IF(ArmorWornName&lt;&gt;"",INDEX(ArmorTable,MATCH(ArmorWorn,ArmorList,0),8),"None"),"None"))</f>
        <v>None</v>
      </c>
      <c r="D48" s="1063"/>
      <c r="E48" s="1063"/>
      <c r="F48" s="1063"/>
      <c r="G48" s="29"/>
      <c r="I48" s="539"/>
      <c r="J48" s="1034" t="str">
        <f>IF(P48&lt;&gt;"",P48,"")</f>
        <v/>
      </c>
      <c r="K48" s="1034"/>
      <c r="L48" s="1040"/>
      <c r="M48" s="1034"/>
      <c r="N48" s="1034"/>
      <c r="O48" s="1034"/>
      <c r="P48" s="1807"/>
      <c r="Q48" s="1807"/>
      <c r="R48" s="1807"/>
      <c r="S48" s="576"/>
      <c r="T48" s="990"/>
      <c r="U48" s="990" t="str">
        <f>IF(J48&lt;&gt;"",INDEX(DarkArmorTable,MATCH(J48,DarkArmorList,0),2),"")</f>
        <v/>
      </c>
      <c r="V48" s="990" t="str">
        <f>IF(U48&lt;&gt;"",IF(V49&lt;&gt;"",U48&amp;", "&amp;V49,U48),V49)</f>
        <v/>
      </c>
      <c r="W48" s="990"/>
      <c r="X48" s="990"/>
      <c r="Y48" s="990"/>
      <c r="Z48" s="990"/>
      <c r="AA48" s="990"/>
      <c r="AB48" s="990"/>
      <c r="AC48" s="1702"/>
    </row>
    <row r="49" spans="1:29" ht="15" thickBot="1">
      <c r="B49" s="32"/>
      <c r="C49" s="1071"/>
      <c r="D49" s="1071"/>
      <c r="E49" s="1071"/>
      <c r="F49" s="1071"/>
      <c r="G49" s="35"/>
      <c r="I49" s="32"/>
      <c r="J49" s="1037"/>
      <c r="K49" s="1037"/>
      <c r="L49" s="34"/>
      <c r="M49" s="1037"/>
      <c r="N49" s="1037"/>
      <c r="O49" s="1037"/>
      <c r="P49" s="1037"/>
      <c r="Q49" s="1037"/>
      <c r="R49" s="34"/>
      <c r="S49" s="35"/>
      <c r="T49" s="990"/>
      <c r="U49" s="990"/>
      <c r="V49" s="1090" t="s">
        <v>195</v>
      </c>
      <c r="W49" s="990"/>
      <c r="X49" s="990"/>
      <c r="Y49" s="990"/>
      <c r="Z49" s="990"/>
      <c r="AA49" s="990"/>
      <c r="AB49" s="990"/>
      <c r="AC49" s="1702"/>
    </row>
    <row r="50" spans="1:29" ht="15" thickBot="1">
      <c r="I50" s="508"/>
      <c r="J50" s="508"/>
      <c r="K50" s="508"/>
      <c r="L50" s="20"/>
      <c r="M50" s="508"/>
      <c r="N50" s="508"/>
      <c r="O50" s="508"/>
      <c r="P50" s="508"/>
      <c r="Q50" s="508"/>
      <c r="R50" s="20"/>
      <c r="S50" s="508"/>
      <c r="T50" s="990"/>
      <c r="U50" s="990"/>
      <c r="V50" s="990"/>
      <c r="W50" s="990"/>
      <c r="X50" s="990"/>
      <c r="Y50" s="990"/>
      <c r="Z50" s="990"/>
      <c r="AA50" s="990"/>
      <c r="AB50" s="990"/>
      <c r="AC50" s="1702"/>
    </row>
    <row r="51" spans="1:29">
      <c r="B51" s="22"/>
      <c r="C51" s="1069"/>
      <c r="D51" s="1069"/>
      <c r="E51" s="1069"/>
      <c r="F51" s="1069"/>
      <c r="G51" s="25"/>
      <c r="I51" s="22"/>
      <c r="J51" s="1069"/>
      <c r="K51" s="1069"/>
      <c r="L51" s="24"/>
      <c r="M51" s="1069"/>
      <c r="N51" s="1069"/>
      <c r="O51" s="1069"/>
      <c r="P51" s="1069"/>
      <c r="Q51" s="1069"/>
      <c r="R51" s="1016">
        <f>SUM(R53:R54)</f>
        <v>0</v>
      </c>
      <c r="S51" s="1088"/>
      <c r="T51" s="990">
        <f>COUNTIF(J29:K40,"Integrated equipment, 1 slot")+COUNTIF(J29:K40,"Integrated equipment, 2 slots")*2+COUNTIF(J29:K40,"Integrated equipment, 5 slots")*5+COUNTIF(J29:K40,"Integrated equipment, 10 slots")*10</f>
        <v>0</v>
      </c>
      <c r="U51" s="990"/>
      <c r="V51" s="990"/>
      <c r="W51" s="990"/>
      <c r="X51" s="990"/>
      <c r="Y51" s="990"/>
      <c r="Z51" s="990"/>
      <c r="AA51" s="990"/>
      <c r="AB51" s="990"/>
      <c r="AC51" s="1702"/>
    </row>
    <row r="52" spans="1:29" ht="21">
      <c r="B52" s="26"/>
      <c r="C52" s="1072" t="s">
        <v>6102</v>
      </c>
      <c r="D52" s="1072"/>
      <c r="E52" s="75"/>
      <c r="F52" s="1068" t="s">
        <v>3684</v>
      </c>
      <c r="G52" s="29"/>
      <c r="I52" s="26"/>
      <c r="J52" s="1072" t="s">
        <v>6095</v>
      </c>
      <c r="K52" s="75"/>
      <c r="L52" s="1076"/>
      <c r="M52" s="1815" t="s">
        <v>3691</v>
      </c>
      <c r="N52" s="1815"/>
      <c r="O52" s="1815"/>
      <c r="P52" s="1068" t="s">
        <v>134</v>
      </c>
      <c r="Q52" s="1073" t="s">
        <v>11</v>
      </c>
      <c r="R52" s="1073" t="s">
        <v>6101</v>
      </c>
      <c r="S52" s="29"/>
      <c r="T52" s="990"/>
      <c r="U52" s="990"/>
      <c r="V52" s="990" t="str">
        <f>IF(V53&lt;&gt;"",IF(OR(Z28&lt;&gt;"",U20&lt;&gt;""),CHAR(59),"")&amp;"Integrated Equipment: "&amp;V53,"")</f>
        <v/>
      </c>
      <c r="W52" s="990" t="str">
        <f>W53</f>
        <v/>
      </c>
      <c r="X52" s="990" t="str">
        <f>X53</f>
        <v/>
      </c>
      <c r="Y52" s="990" t="str">
        <f>Y53</f>
        <v/>
      </c>
      <c r="Z52" s="990"/>
      <c r="AA52" s="990"/>
      <c r="AB52" s="990"/>
      <c r="AC52" s="1702"/>
    </row>
    <row r="53" spans="1:29">
      <c r="B53" s="26"/>
      <c r="C53" s="1063" t="s">
        <v>2098</v>
      </c>
      <c r="D53" s="526" t="str">
        <f>IF(AND(ArmorWornName&lt;&gt;"",ArmorWorn&lt;&gt;""),IF(F53&lt;&gt;"",F53,INDEX(ArmorTable,MATCH(ArmorWorn,ArmorList,0),28)),"")</f>
        <v/>
      </c>
      <c r="E53" s="1063"/>
      <c r="F53" s="1066"/>
      <c r="G53" s="29"/>
      <c r="I53" s="539">
        <v>1</v>
      </c>
      <c r="J53" s="1063" t="str">
        <f>IF(ArmorWorn&lt;&gt;"",IF(P53&lt;&gt;"",P53,IF(INDEX(ArmorTable,MATCH(ArmorWorn,ArmorList,0),18)&lt;&gt;"",INDEX(ArmorTable,MATCH(ArmorWorn,ArmorList,0),18),"")),"")</f>
        <v/>
      </c>
      <c r="K53" s="1063"/>
      <c r="L53" s="1075"/>
      <c r="M53" s="1839" t="str">
        <f t="shared" ref="M53:M62" si="11">IF($J53&lt;&gt;"",INDEX(EquipmentTable,MATCH($J53,EquipmentList,0),3),"")</f>
        <v/>
      </c>
      <c r="N53" s="1839"/>
      <c r="O53" s="1840"/>
      <c r="P53" s="1079"/>
      <c r="Q53" s="645" t="str">
        <f>IF(J53&lt;&gt;"",INDEX(SizeTable,MATCH(INDEX(SizeTable,MATCH(INDEX(EquipmentTable,MATCH(J53,EquipmentList,0),5),SizeAbrList,0),3),SizeNumber,0),2),"")</f>
        <v/>
      </c>
      <c r="R53" s="645" t="str">
        <f>IF(P53&lt;&gt;"",(INDEX(EquipmentTable,MATCH(P53,EquipmentList,0),4)),"")</f>
        <v/>
      </c>
      <c r="S53" s="576" t="e">
        <f>IF(AND(INDEX(ArmorTable,MATCH(ArmorWorn,ArmorList,0),18)&lt;&gt;"",P53=""),M53,0)</f>
        <v>#N/A</v>
      </c>
      <c r="T53" s="990"/>
      <c r="U53" s="990" t="str">
        <f t="shared" ref="U53:U62" si="12">IF(J53&lt;&gt;"",INDEX(EquipmentTable,MATCH(J53,EquipmentList,0),6),"")</f>
        <v/>
      </c>
      <c r="V53" s="990" t="str">
        <f>IF(U53&lt;&gt;"",U53&amp;IF(V54&lt;&gt;"",", "&amp;V54,""),V54)</f>
        <v/>
      </c>
      <c r="W53" s="990" t="str">
        <f>IF(U53&lt;&gt;"","  - "&amp;U53&amp;" (integrated);"&amp;IF(W54&lt;&gt;"",W54,""),W54)</f>
        <v/>
      </c>
      <c r="X53" s="990" t="str">
        <f>IF(U53&lt;&gt;"",0&amp;";"&amp;IF(X54&lt;&gt;"",X54,""),X54)</f>
        <v/>
      </c>
      <c r="Y53" s="990" t="str">
        <f>IF(U53&lt;&gt;"",1&amp;";"&amp;IF(Y54&lt;&gt;"",Y54,""),Y54)</f>
        <v/>
      </c>
      <c r="Z53" s="990"/>
      <c r="AA53" s="990"/>
      <c r="AB53" s="990"/>
      <c r="AC53" s="1702"/>
    </row>
    <row r="54" spans="1:29">
      <c r="B54" s="26"/>
      <c r="C54" s="1063" t="s">
        <v>2099</v>
      </c>
      <c r="D54" s="526" t="str">
        <f>IF(AND(ArmorWornName&lt;&gt;"",ArmorWorn&lt;&gt;""),IF(F54&lt;&gt;"",F54,INDEX(ArmorTable,MATCH(ArmorWorn,ArmorList,0),29)),"")</f>
        <v/>
      </c>
      <c r="E54" s="1063"/>
      <c r="F54" s="1066"/>
      <c r="G54" s="29"/>
      <c r="I54" s="539">
        <v>2</v>
      </c>
      <c r="J54" s="1063" t="str">
        <f>IF(ArmorWorn&lt;&gt;"",IF(P54&lt;&gt;"",P54,IF(INDEX(ArmorTable,MATCH(ArmorWorn,ArmorList,0),19)&lt;&gt;"",INDEX(ArmorTable,MATCH(ArmorWorn,ArmorList,0),19),"")),"")</f>
        <v/>
      </c>
      <c r="K54" s="1063"/>
      <c r="L54" s="1075"/>
      <c r="M54" s="1837" t="str">
        <f t="shared" si="11"/>
        <v/>
      </c>
      <c r="N54" s="1837"/>
      <c r="O54" s="1838"/>
      <c r="P54" s="1079"/>
      <c r="Q54" s="645" t="str">
        <f t="shared" ref="Q54:Q62" si="13">IF(J54&lt;&gt;"",INDEX(SizeTable,MATCH(INDEX(SizeTable,MATCH(INDEX(EquipmentTable,MATCH(J54,EquipmentList,0),5),SizeAbrList,0),3),SizeNumber,0),2),"")</f>
        <v/>
      </c>
      <c r="R54" s="645" t="str">
        <f t="shared" ref="R54:R62" si="14">IF(P54&lt;&gt;"",(INDEX(EquipmentTable,MATCH(P54,EquipmentList,0),4)),"")</f>
        <v/>
      </c>
      <c r="S54" s="576" t="e">
        <f>IF(AND(INDEX(ArmorTable,MATCH(ArmorWorn,ArmorList,0),19)&lt;&gt;"",P54=""),M54,0)</f>
        <v>#N/A</v>
      </c>
      <c r="T54" s="990"/>
      <c r="U54" s="990" t="str">
        <f t="shared" si="12"/>
        <v/>
      </c>
      <c r="V54" s="990" t="str">
        <f t="shared" ref="V54:V62" si="15">IF(U54&lt;&gt;"",U54&amp;IF(V55&lt;&gt;"",", "&amp;V55,""),V55)</f>
        <v/>
      </c>
      <c r="W54" s="990" t="str">
        <f t="shared" ref="W54:W62" si="16">IF(U54&lt;&gt;"","  - "&amp;U54&amp;" (integrated);"&amp;IF(W55&lt;&gt;"",W55,""),W55)</f>
        <v/>
      </c>
      <c r="X54" s="990" t="str">
        <f t="shared" ref="X54:X62" si="17">IF(U54&lt;&gt;"",0&amp;";"&amp;IF(X55&lt;&gt;"",X55,""),X55)</f>
        <v/>
      </c>
      <c r="Y54" s="990" t="str">
        <f t="shared" ref="Y54:Y62" si="18">IF(U54&lt;&gt;"",1&amp;";"&amp;IF(Y55&lt;&gt;"",Y55,""),Y55)</f>
        <v/>
      </c>
      <c r="Z54" s="990"/>
      <c r="AA54" s="990"/>
      <c r="AB54" s="990"/>
      <c r="AC54" s="1702"/>
    </row>
    <row r="55" spans="1:29">
      <c r="B55" s="26"/>
      <c r="C55" s="1063" t="s">
        <v>2100</v>
      </c>
      <c r="D55" s="526" t="str">
        <f>IF(AND(ArmorWornName&lt;&gt;"",ArmorWorn&lt;&gt;""),IF(F55&lt;&gt;"",F55,INDEX(ArmorTable,MATCH(ArmorWorn,ArmorList,0),30)),"")</f>
        <v/>
      </c>
      <c r="E55" s="1063"/>
      <c r="F55" s="1066"/>
      <c r="G55" s="29"/>
      <c r="I55" s="539">
        <v>3</v>
      </c>
      <c r="J55" s="1063" t="str">
        <f t="shared" ref="J55:J62" si="19">IF(P55&lt;&gt;"",P55,"")</f>
        <v/>
      </c>
      <c r="K55" s="1063"/>
      <c r="L55" s="1075"/>
      <c r="M55" s="1837" t="str">
        <f t="shared" si="11"/>
        <v/>
      </c>
      <c r="N55" s="1837"/>
      <c r="O55" s="1838"/>
      <c r="P55" s="1079"/>
      <c r="Q55" s="645" t="str">
        <f t="shared" si="13"/>
        <v/>
      </c>
      <c r="R55" s="645" t="str">
        <f t="shared" si="14"/>
        <v/>
      </c>
      <c r="S55" s="576"/>
      <c r="T55" s="990"/>
      <c r="U55" s="990" t="str">
        <f t="shared" si="12"/>
        <v/>
      </c>
      <c r="V55" s="990" t="str">
        <f t="shared" si="15"/>
        <v/>
      </c>
      <c r="W55" s="990" t="str">
        <f t="shared" si="16"/>
        <v/>
      </c>
      <c r="X55" s="990" t="str">
        <f t="shared" si="17"/>
        <v/>
      </c>
      <c r="Y55" s="990" t="str">
        <f t="shared" si="18"/>
        <v/>
      </c>
      <c r="Z55" s="990"/>
      <c r="AA55" s="990"/>
      <c r="AB55" s="990"/>
      <c r="AC55" s="1702"/>
    </row>
    <row r="56" spans="1:29">
      <c r="B56" s="26"/>
      <c r="C56" s="1063" t="s">
        <v>2101</v>
      </c>
      <c r="D56" s="526" t="str">
        <f>IF(AND(ArmorWornName&lt;&gt;"",ArmorWorn&lt;&gt;""),IF(F56&lt;&gt;"",F56,INDEX(ArmorTable,MATCH(ArmorWorn,ArmorList,0),31)),"")</f>
        <v/>
      </c>
      <c r="E56" s="1063"/>
      <c r="F56" s="1066"/>
      <c r="G56" s="29"/>
      <c r="I56" s="539">
        <v>4</v>
      </c>
      <c r="J56" s="1063" t="str">
        <f t="shared" si="19"/>
        <v/>
      </c>
      <c r="K56" s="1063"/>
      <c r="L56" s="1075"/>
      <c r="M56" s="1837" t="str">
        <f t="shared" si="11"/>
        <v/>
      </c>
      <c r="N56" s="1837"/>
      <c r="O56" s="1838"/>
      <c r="P56" s="1079"/>
      <c r="Q56" s="645" t="str">
        <f t="shared" si="13"/>
        <v/>
      </c>
      <c r="R56" s="645" t="str">
        <f t="shared" si="14"/>
        <v/>
      </c>
      <c r="S56" s="576"/>
      <c r="T56" s="990"/>
      <c r="U56" s="990" t="str">
        <f t="shared" si="12"/>
        <v/>
      </c>
      <c r="V56" s="990" t="str">
        <f t="shared" si="15"/>
        <v/>
      </c>
      <c r="W56" s="990" t="str">
        <f t="shared" si="16"/>
        <v/>
      </c>
      <c r="X56" s="990" t="str">
        <f t="shared" si="17"/>
        <v/>
      </c>
      <c r="Y56" s="990" t="str">
        <f t="shared" si="18"/>
        <v/>
      </c>
      <c r="Z56" s="990"/>
      <c r="AA56" s="990"/>
      <c r="AB56" s="990"/>
      <c r="AC56" s="1702"/>
    </row>
    <row r="57" spans="1:29">
      <c r="B57" s="26"/>
      <c r="C57" s="1063" t="s">
        <v>2102</v>
      </c>
      <c r="D57" s="526" t="str">
        <f>IF(AND(ArmorWornName&lt;&gt;"",ArmorWorn&lt;&gt;""),IF(F57&lt;&gt;"",F57,INDEX(ArmorTable,MATCH(ArmorWorn,ArmorList,0),32)),"")</f>
        <v/>
      </c>
      <c r="E57" s="1063"/>
      <c r="F57" s="1066"/>
      <c r="G57" s="29"/>
      <c r="I57" s="539">
        <v>5</v>
      </c>
      <c r="J57" s="1063" t="str">
        <f t="shared" si="19"/>
        <v/>
      </c>
      <c r="K57" s="1063"/>
      <c r="L57" s="1075"/>
      <c r="M57" s="1837" t="str">
        <f t="shared" si="11"/>
        <v/>
      </c>
      <c r="N57" s="1837"/>
      <c r="O57" s="1838"/>
      <c r="P57" s="1079"/>
      <c r="Q57" s="645" t="str">
        <f t="shared" si="13"/>
        <v/>
      </c>
      <c r="R57" s="645" t="str">
        <f t="shared" si="14"/>
        <v/>
      </c>
      <c r="S57" s="576"/>
      <c r="T57" s="990"/>
      <c r="U57" s="990" t="str">
        <f t="shared" si="12"/>
        <v/>
      </c>
      <c r="V57" s="990" t="str">
        <f t="shared" si="15"/>
        <v/>
      </c>
      <c r="W57" s="990" t="str">
        <f t="shared" si="16"/>
        <v/>
      </c>
      <c r="X57" s="990" t="str">
        <f t="shared" si="17"/>
        <v/>
      </c>
      <c r="Y57" s="990" t="str">
        <f t="shared" si="18"/>
        <v/>
      </c>
      <c r="Z57" s="990"/>
      <c r="AA57" s="990"/>
      <c r="AB57" s="990"/>
      <c r="AC57" s="1702"/>
    </row>
    <row r="58" spans="1:29">
      <c r="B58" s="26"/>
      <c r="C58" s="1063" t="s">
        <v>2103</v>
      </c>
      <c r="D58" s="526" t="str">
        <f>IF(AND(ArmorWornName&lt;&gt;"",ArmorWorn&lt;&gt;""),IF(F58&lt;&gt;"",F58,INDEX(ArmorTable,MATCH(ArmorWorn,ArmorList,0),33)),"")</f>
        <v/>
      </c>
      <c r="E58" s="1063"/>
      <c r="F58" s="1066"/>
      <c r="G58" s="29"/>
      <c r="I58" s="539">
        <v>6</v>
      </c>
      <c r="J58" s="1063" t="str">
        <f t="shared" si="19"/>
        <v/>
      </c>
      <c r="K58" s="1063"/>
      <c r="L58" s="1075"/>
      <c r="M58" s="1837" t="str">
        <f t="shared" si="11"/>
        <v/>
      </c>
      <c r="N58" s="1837"/>
      <c r="O58" s="1838"/>
      <c r="P58" s="1079"/>
      <c r="Q58" s="645" t="str">
        <f t="shared" si="13"/>
        <v/>
      </c>
      <c r="R58" s="645" t="str">
        <f t="shared" si="14"/>
        <v/>
      </c>
      <c r="S58" s="576"/>
      <c r="T58" s="990"/>
      <c r="U58" s="990" t="str">
        <f t="shared" si="12"/>
        <v/>
      </c>
      <c r="V58" s="990" t="str">
        <f t="shared" si="15"/>
        <v/>
      </c>
      <c r="W58" s="990" t="str">
        <f t="shared" si="16"/>
        <v/>
      </c>
      <c r="X58" s="990" t="str">
        <f t="shared" si="17"/>
        <v/>
      </c>
      <c r="Y58" s="990" t="str">
        <f t="shared" si="18"/>
        <v/>
      </c>
      <c r="Z58" s="990"/>
      <c r="AA58" s="990"/>
      <c r="AB58" s="990"/>
      <c r="AC58" s="1702"/>
    </row>
    <row r="59" spans="1:29" s="1070" customFormat="1" ht="15" thickBot="1">
      <c r="B59" s="32"/>
      <c r="C59" s="1071"/>
      <c r="D59" s="1071"/>
      <c r="E59" s="1071"/>
      <c r="F59" s="1071"/>
      <c r="G59" s="35"/>
      <c r="I59" s="539">
        <v>7</v>
      </c>
      <c r="J59" s="1063" t="str">
        <f t="shared" si="19"/>
        <v/>
      </c>
      <c r="K59" s="1063"/>
      <c r="L59" s="1075"/>
      <c r="M59" s="1837" t="str">
        <f t="shared" si="11"/>
        <v/>
      </c>
      <c r="N59" s="1837"/>
      <c r="O59" s="1838"/>
      <c r="P59" s="1079"/>
      <c r="Q59" s="645" t="str">
        <f t="shared" si="13"/>
        <v/>
      </c>
      <c r="R59" s="645" t="str">
        <f t="shared" si="14"/>
        <v/>
      </c>
      <c r="S59" s="576"/>
      <c r="T59" s="990"/>
      <c r="U59" s="990" t="str">
        <f t="shared" si="12"/>
        <v/>
      </c>
      <c r="V59" s="990" t="str">
        <f t="shared" si="15"/>
        <v/>
      </c>
      <c r="W59" s="990" t="str">
        <f t="shared" si="16"/>
        <v/>
      </c>
      <c r="X59" s="990" t="str">
        <f t="shared" si="17"/>
        <v/>
      </c>
      <c r="Y59" s="990" t="str">
        <f t="shared" si="18"/>
        <v/>
      </c>
      <c r="Z59" s="990"/>
      <c r="AA59" s="990"/>
      <c r="AB59" s="990"/>
      <c r="AC59" s="1702"/>
    </row>
    <row r="60" spans="1:29" s="1070" customFormat="1">
      <c r="I60" s="539">
        <v>8</v>
      </c>
      <c r="J60" s="1063" t="str">
        <f t="shared" si="19"/>
        <v/>
      </c>
      <c r="K60" s="1063"/>
      <c r="L60" s="1075"/>
      <c r="M60" s="1837" t="str">
        <f t="shared" si="11"/>
        <v/>
      </c>
      <c r="N60" s="1837"/>
      <c r="O60" s="1838"/>
      <c r="P60" s="1079"/>
      <c r="Q60" s="645" t="str">
        <f t="shared" si="13"/>
        <v/>
      </c>
      <c r="R60" s="645" t="str">
        <f t="shared" si="14"/>
        <v/>
      </c>
      <c r="S60" s="576"/>
      <c r="T60" s="990"/>
      <c r="U60" s="990" t="str">
        <f t="shared" si="12"/>
        <v/>
      </c>
      <c r="V60" s="990" t="str">
        <f t="shared" si="15"/>
        <v/>
      </c>
      <c r="W60" s="990" t="str">
        <f t="shared" si="16"/>
        <v/>
      </c>
      <c r="X60" s="990" t="str">
        <f t="shared" si="17"/>
        <v/>
      </c>
      <c r="Y60" s="990" t="str">
        <f t="shared" si="18"/>
        <v/>
      </c>
      <c r="Z60" s="990"/>
      <c r="AA60" s="990"/>
      <c r="AB60" s="990"/>
      <c r="AC60" s="1702"/>
    </row>
    <row r="61" spans="1:29" s="1070" customFormat="1">
      <c r="I61" s="539">
        <v>9</v>
      </c>
      <c r="J61" s="1063" t="str">
        <f t="shared" si="19"/>
        <v/>
      </c>
      <c r="K61" s="1063"/>
      <c r="L61" s="1075"/>
      <c r="M61" s="1837" t="str">
        <f t="shared" si="11"/>
        <v/>
      </c>
      <c r="N61" s="1837"/>
      <c r="O61" s="1838"/>
      <c r="P61" s="1079"/>
      <c r="Q61" s="645" t="str">
        <f t="shared" si="13"/>
        <v/>
      </c>
      <c r="R61" s="645" t="str">
        <f t="shared" si="14"/>
        <v/>
      </c>
      <c r="S61" s="576"/>
      <c r="T61" s="990"/>
      <c r="U61" s="990" t="str">
        <f t="shared" si="12"/>
        <v/>
      </c>
      <c r="V61" s="990" t="str">
        <f t="shared" si="15"/>
        <v/>
      </c>
      <c r="W61" s="990" t="str">
        <f t="shared" si="16"/>
        <v/>
      </c>
      <c r="X61" s="990" t="str">
        <f t="shared" si="17"/>
        <v/>
      </c>
      <c r="Y61" s="990" t="str">
        <f t="shared" si="18"/>
        <v/>
      </c>
      <c r="Z61" s="990"/>
      <c r="AA61" s="990"/>
      <c r="AB61" s="990"/>
      <c r="AC61" s="1702"/>
    </row>
    <row r="62" spans="1:29" s="1070" customFormat="1">
      <c r="I62" s="539">
        <v>10</v>
      </c>
      <c r="J62" s="1063" t="str">
        <f t="shared" si="19"/>
        <v/>
      </c>
      <c r="K62" s="1063"/>
      <c r="L62" s="1075"/>
      <c r="M62" s="1837" t="str">
        <f t="shared" si="11"/>
        <v/>
      </c>
      <c r="N62" s="1837"/>
      <c r="O62" s="1838"/>
      <c r="P62" s="1079"/>
      <c r="Q62" s="645" t="str">
        <f t="shared" si="13"/>
        <v/>
      </c>
      <c r="R62" s="645" t="str">
        <f t="shared" si="14"/>
        <v/>
      </c>
      <c r="S62" s="576"/>
      <c r="T62" s="990"/>
      <c r="U62" s="990" t="str">
        <f t="shared" si="12"/>
        <v/>
      </c>
      <c r="V62" s="990" t="str">
        <f t="shared" si="15"/>
        <v/>
      </c>
      <c r="W62" s="990" t="str">
        <f t="shared" si="16"/>
        <v/>
      </c>
      <c r="X62" s="990" t="str">
        <f t="shared" si="17"/>
        <v/>
      </c>
      <c r="Y62" s="990" t="str">
        <f t="shared" si="18"/>
        <v/>
      </c>
      <c r="Z62" s="990"/>
      <c r="AA62" s="990"/>
      <c r="AB62" s="990"/>
      <c r="AC62" s="1702"/>
    </row>
    <row r="63" spans="1:29" ht="15" thickBot="1">
      <c r="A63" s="1070"/>
      <c r="B63" s="1070"/>
      <c r="C63" s="1070"/>
      <c r="D63" s="1070"/>
      <c r="E63" s="1070"/>
      <c r="F63" s="1070"/>
      <c r="G63" s="1070"/>
      <c r="H63" s="1070"/>
      <c r="I63" s="670"/>
      <c r="J63" s="1071"/>
      <c r="K63" s="1071"/>
      <c r="L63" s="34"/>
      <c r="M63" s="1071"/>
      <c r="N63" s="1071"/>
      <c r="O63" s="1071"/>
      <c r="P63" s="1071"/>
      <c r="Q63" s="1071"/>
      <c r="R63" s="34"/>
      <c r="S63" s="35"/>
      <c r="T63" s="990"/>
      <c r="U63" s="990"/>
      <c r="V63" s="1090" t="s">
        <v>195</v>
      </c>
      <c r="W63" s="1090" t="s">
        <v>195</v>
      </c>
      <c r="X63" s="1090" t="s">
        <v>195</v>
      </c>
      <c r="Y63" s="1090" t="s">
        <v>195</v>
      </c>
      <c r="Z63" s="990"/>
      <c r="AA63" s="990"/>
      <c r="AB63" s="990"/>
      <c r="AC63" s="1702"/>
    </row>
    <row r="64" spans="1:29">
      <c r="A64" s="1070"/>
      <c r="B64" s="1070"/>
      <c r="C64" s="1070"/>
      <c r="D64" s="1070"/>
      <c r="E64" s="1070"/>
      <c r="F64" s="1070"/>
      <c r="G64" s="1070"/>
      <c r="H64" s="1070"/>
      <c r="I64" s="1070"/>
      <c r="J64" s="1070"/>
      <c r="K64" s="1070"/>
      <c r="M64" s="1070"/>
      <c r="N64" s="1070"/>
      <c r="O64" s="1070"/>
      <c r="P64" s="1070"/>
      <c r="Q64" s="1070"/>
      <c r="S64" s="1070"/>
    </row>
    <row r="65" spans="9:19">
      <c r="I65" s="1070"/>
      <c r="J65" s="1070"/>
      <c r="K65" s="1070"/>
      <c r="M65" s="1070"/>
      <c r="N65" s="1070"/>
      <c r="O65" s="1070"/>
      <c r="P65" s="1070"/>
      <c r="Q65" s="1070"/>
      <c r="S65" s="1070"/>
    </row>
    <row r="66" spans="9:19">
      <c r="I66" s="1070"/>
      <c r="J66" s="1070"/>
      <c r="K66" s="1070"/>
      <c r="M66" s="1070"/>
      <c r="N66" s="1070"/>
      <c r="O66" s="1070"/>
      <c r="P66" s="1070"/>
      <c r="Q66" s="1070"/>
      <c r="S66" s="1070"/>
    </row>
    <row r="67" spans="9:19">
      <c r="I67" s="1070"/>
      <c r="J67" s="1070"/>
      <c r="K67" s="1070"/>
      <c r="M67" s="1070"/>
      <c r="N67" s="1070"/>
      <c r="O67" s="1070"/>
      <c r="P67" s="1070"/>
      <c r="Q67" s="1070"/>
      <c r="S67" s="1070"/>
    </row>
    <row r="68" spans="9:19">
      <c r="I68" s="1070"/>
      <c r="J68" s="1070"/>
      <c r="K68" s="1070"/>
      <c r="M68" s="1070"/>
      <c r="N68" s="1070"/>
      <c r="O68" s="1070"/>
      <c r="P68" s="1070"/>
      <c r="Q68" s="1070"/>
      <c r="S68" s="1070"/>
    </row>
  </sheetData>
  <mergeCells count="104">
    <mergeCell ref="M52:O52"/>
    <mergeCell ref="M58:O58"/>
    <mergeCell ref="M59:O59"/>
    <mergeCell ref="M60:O60"/>
    <mergeCell ref="M61:O61"/>
    <mergeCell ref="M62:O62"/>
    <mergeCell ref="M53:O53"/>
    <mergeCell ref="M54:O54"/>
    <mergeCell ref="M55:O55"/>
    <mergeCell ref="M56:O56"/>
    <mergeCell ref="M57:O57"/>
    <mergeCell ref="J38:K38"/>
    <mergeCell ref="M44:O44"/>
    <mergeCell ref="J44:K44"/>
    <mergeCell ref="P43:R43"/>
    <mergeCell ref="M43:O43"/>
    <mergeCell ref="J43:K43"/>
    <mergeCell ref="D19:D21"/>
    <mergeCell ref="F19:F21"/>
    <mergeCell ref="P42:R42"/>
    <mergeCell ref="M42:O42"/>
    <mergeCell ref="J42:K42"/>
    <mergeCell ref="P38:R38"/>
    <mergeCell ref="M38:O38"/>
    <mergeCell ref="P41:R41"/>
    <mergeCell ref="M41:O41"/>
    <mergeCell ref="J41:K41"/>
    <mergeCell ref="P40:R40"/>
    <mergeCell ref="M40:O40"/>
    <mergeCell ref="J40:K40"/>
    <mergeCell ref="P39:R39"/>
    <mergeCell ref="M39:O39"/>
    <mergeCell ref="J39:K39"/>
    <mergeCell ref="J31:K31"/>
    <mergeCell ref="J32:K32"/>
    <mergeCell ref="J17:K17"/>
    <mergeCell ref="J16:K16"/>
    <mergeCell ref="P17:Q17"/>
    <mergeCell ref="J1:K1"/>
    <mergeCell ref="J2:K2"/>
    <mergeCell ref="J3:K3"/>
    <mergeCell ref="J4:K4"/>
    <mergeCell ref="P1:Q1"/>
    <mergeCell ref="P2:Q2"/>
    <mergeCell ref="P3:Q3"/>
    <mergeCell ref="P4:Q4"/>
    <mergeCell ref="P15:Q15"/>
    <mergeCell ref="P10:Q10"/>
    <mergeCell ref="P14:Q14"/>
    <mergeCell ref="J19:K19"/>
    <mergeCell ref="J25:K25"/>
    <mergeCell ref="J37:K37"/>
    <mergeCell ref="J33:K33"/>
    <mergeCell ref="J34:K34"/>
    <mergeCell ref="J35:K35"/>
    <mergeCell ref="J36:K36"/>
    <mergeCell ref="J26:K26"/>
    <mergeCell ref="J27:K27"/>
    <mergeCell ref="J28:K28"/>
    <mergeCell ref="J29:K29"/>
    <mergeCell ref="J30:K30"/>
    <mergeCell ref="J22:K22"/>
    <mergeCell ref="M37:O37"/>
    <mergeCell ref="P29:R29"/>
    <mergeCell ref="P30:R30"/>
    <mergeCell ref="P31:R31"/>
    <mergeCell ref="P32:R32"/>
    <mergeCell ref="P33:R33"/>
    <mergeCell ref="P34:R34"/>
    <mergeCell ref="M29:O29"/>
    <mergeCell ref="M30:O30"/>
    <mergeCell ref="M31:O31"/>
    <mergeCell ref="M32:O32"/>
    <mergeCell ref="M28:O28"/>
    <mergeCell ref="P35:R35"/>
    <mergeCell ref="P36:R36"/>
    <mergeCell ref="Q21:R21"/>
    <mergeCell ref="Q23:R23"/>
    <mergeCell ref="P25:Q25"/>
    <mergeCell ref="P26:Q26"/>
    <mergeCell ref="P27:Q27"/>
    <mergeCell ref="Q24:R24"/>
    <mergeCell ref="M33:O33"/>
    <mergeCell ref="Q22:R22"/>
    <mergeCell ref="L22:O22"/>
    <mergeCell ref="L24:O24"/>
    <mergeCell ref="Q28:R28"/>
    <mergeCell ref="M34:O34"/>
    <mergeCell ref="M35:O35"/>
    <mergeCell ref="M36:O36"/>
    <mergeCell ref="P48:R48"/>
    <mergeCell ref="V2:W2"/>
    <mergeCell ref="V3:W3"/>
    <mergeCell ref="V4:W4"/>
    <mergeCell ref="V17:W17"/>
    <mergeCell ref="V15:W15"/>
    <mergeCell ref="V14:W14"/>
    <mergeCell ref="V16:W16"/>
    <mergeCell ref="V13:W13"/>
    <mergeCell ref="P19:Q19"/>
    <mergeCell ref="P20:Q20"/>
    <mergeCell ref="P37:R37"/>
    <mergeCell ref="P16:Q16"/>
    <mergeCell ref="P44:R44"/>
  </mergeCells>
  <conditionalFormatting sqref="J53:P62">
    <cfRule type="expression" dxfId="59" priority="3">
      <formula>$I53&gt;$T$51</formula>
    </cfRule>
  </conditionalFormatting>
  <conditionalFormatting sqref="Q53:R62">
    <cfRule type="expression" dxfId="58" priority="1">
      <formula>$I53&gt;$T$51</formula>
    </cfRule>
  </conditionalFormatting>
  <dataValidations count="6">
    <dataValidation type="list" allowBlank="1" showInputMessage="1" showErrorMessage="1" sqref="P29:P40" xr:uid="{00000000-0002-0000-1100-000000000000}">
      <formula1>ArmorAccessoriesList</formula1>
    </dataValidation>
    <dataValidation type="list" allowBlank="1" showInputMessage="1" showErrorMessage="1" sqref="D6" xr:uid="{00000000-0002-0000-1100-000001000000}">
      <formula1>ArmorList</formula1>
    </dataValidation>
    <dataValidation type="list" allowBlank="1" showInputMessage="1" showErrorMessage="1" sqref="F8" xr:uid="{00000000-0002-0000-1100-000002000000}">
      <formula1>"Not armor,Light,Medium,Heavy"</formula1>
    </dataValidation>
    <dataValidation type="list" allowBlank="1" showInputMessage="1" showErrorMessage="1" sqref="P42:R44" xr:uid="{00000000-0002-0000-1100-000003000000}">
      <formula1>ArmorTemplateList</formula1>
    </dataValidation>
    <dataValidation type="list" allowBlank="1" showInputMessage="1" showErrorMessage="1" sqref="P48:R48" xr:uid="{00000000-0002-0000-1100-000004000000}">
      <formula1>DarkArmorList</formula1>
    </dataValidation>
    <dataValidation type="list" allowBlank="1" showInputMessage="1" showErrorMessage="1" sqref="P53:P62" xr:uid="{631024DE-882A-4BC4-8AD2-E23E92C82BA6}">
      <formula1>EquipmentList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5" r:id="rId4" name="Option Button 5">
              <controlPr defaultSize="0" autoFill="0" autoLine="0" autoPict="0">
                <anchor moveWithCells="1">
                  <from>
                    <xdr:col>3</xdr:col>
                    <xdr:colOff>12700</xdr:colOff>
                    <xdr:row>28</xdr:row>
                    <xdr:rowOff>12700</xdr:rowOff>
                  </from>
                  <to>
                    <xdr:col>4</xdr:col>
                    <xdr:colOff>0</xdr:colOff>
                    <xdr:row>29</xdr:row>
                    <xdr:rowOff>31750</xdr:rowOff>
                  </to>
                </anchor>
              </controlPr>
            </control>
          </mc:Choice>
        </mc:AlternateContent>
        <mc:AlternateContent xmlns:mc="http://schemas.openxmlformats.org/markup-compatibility/2006">
          <mc:Choice Requires="x14">
            <control shapeId="10246" r:id="rId5" name="Option Button 6">
              <controlPr defaultSize="0" autoFill="0" autoLine="0" autoPict="0">
                <anchor moveWithCells="1">
                  <from>
                    <xdr:col>3</xdr:col>
                    <xdr:colOff>12700</xdr:colOff>
                    <xdr:row>29</xdr:row>
                    <xdr:rowOff>0</xdr:rowOff>
                  </from>
                  <to>
                    <xdr:col>5</xdr:col>
                    <xdr:colOff>508000</xdr:colOff>
                    <xdr:row>30</xdr:row>
                    <xdr:rowOff>19050</xdr:rowOff>
                  </to>
                </anchor>
              </controlPr>
            </control>
          </mc:Choice>
        </mc:AlternateContent>
        <mc:AlternateContent xmlns:mc="http://schemas.openxmlformats.org/markup-compatibility/2006">
          <mc:Choice Requires="x14">
            <control shapeId="10247" r:id="rId6" name="Option Button 7">
              <controlPr defaultSize="0" autoFill="0" autoLine="0" autoPict="0">
                <anchor moveWithCells="1">
                  <from>
                    <xdr:col>3</xdr:col>
                    <xdr:colOff>12700</xdr:colOff>
                    <xdr:row>30</xdr:row>
                    <xdr:rowOff>0</xdr:rowOff>
                  </from>
                  <to>
                    <xdr:col>5</xdr:col>
                    <xdr:colOff>508000</xdr:colOff>
                    <xdr:row>31</xdr:row>
                    <xdr:rowOff>19050</xdr:rowOff>
                  </to>
                </anchor>
              </controlPr>
            </control>
          </mc:Choice>
        </mc:AlternateContent>
        <mc:AlternateContent xmlns:mc="http://schemas.openxmlformats.org/markup-compatibility/2006">
          <mc:Choice Requires="x14">
            <control shapeId="10248" r:id="rId7" name="Option Button 8">
              <controlPr defaultSize="0" autoFill="0" autoLine="0" autoPict="0">
                <anchor moveWithCells="1">
                  <from>
                    <xdr:col>3</xdr:col>
                    <xdr:colOff>12700</xdr:colOff>
                    <xdr:row>31</xdr:row>
                    <xdr:rowOff>0</xdr:rowOff>
                  </from>
                  <to>
                    <xdr:col>5</xdr:col>
                    <xdr:colOff>508000</xdr:colOff>
                    <xdr:row>32</xdr:row>
                    <xdr:rowOff>19050</xdr:rowOff>
                  </to>
                </anchor>
              </controlPr>
            </control>
          </mc:Choice>
        </mc:AlternateContent>
        <mc:AlternateContent xmlns:mc="http://schemas.openxmlformats.org/markup-compatibility/2006">
          <mc:Choice Requires="x14">
            <control shapeId="10249" r:id="rId8" name="Option Button 9">
              <controlPr defaultSize="0" autoFill="0" autoLine="0" autoPict="0">
                <anchor moveWithCells="1">
                  <from>
                    <xdr:col>3</xdr:col>
                    <xdr:colOff>12700</xdr:colOff>
                    <xdr:row>32</xdr:row>
                    <xdr:rowOff>0</xdr:rowOff>
                  </from>
                  <to>
                    <xdr:col>5</xdr:col>
                    <xdr:colOff>508000</xdr:colOff>
                    <xdr:row>33</xdr:row>
                    <xdr:rowOff>19050</xdr:rowOff>
                  </to>
                </anchor>
              </controlPr>
            </control>
          </mc:Choice>
        </mc:AlternateContent>
        <mc:AlternateContent xmlns:mc="http://schemas.openxmlformats.org/markup-compatibility/2006">
          <mc:Choice Requires="x14">
            <control shapeId="10253" r:id="rId9" name="Option Button 13">
              <controlPr defaultSize="0" autoFill="0" autoLine="0" autoPict="0">
                <anchor moveWithCells="1">
                  <from>
                    <xdr:col>3</xdr:col>
                    <xdr:colOff>12700</xdr:colOff>
                    <xdr:row>36</xdr:row>
                    <xdr:rowOff>0</xdr:rowOff>
                  </from>
                  <to>
                    <xdr:col>5</xdr:col>
                    <xdr:colOff>508000</xdr:colOff>
                    <xdr:row>37</xdr:row>
                    <xdr:rowOff>19050</xdr:rowOff>
                  </to>
                </anchor>
              </controlPr>
            </control>
          </mc:Choice>
        </mc:AlternateContent>
        <mc:AlternateContent xmlns:mc="http://schemas.openxmlformats.org/markup-compatibility/2006">
          <mc:Choice Requires="x14">
            <control shapeId="10254" r:id="rId10" name="Option Button 14">
              <controlPr defaultSize="0" autoFill="0" autoLine="0" autoPict="0">
                <anchor moveWithCells="1">
                  <from>
                    <xdr:col>3</xdr:col>
                    <xdr:colOff>12700</xdr:colOff>
                    <xdr:row>33</xdr:row>
                    <xdr:rowOff>0</xdr:rowOff>
                  </from>
                  <to>
                    <xdr:col>5</xdr:col>
                    <xdr:colOff>508000</xdr:colOff>
                    <xdr:row>34</xdr:row>
                    <xdr:rowOff>19050</xdr:rowOff>
                  </to>
                </anchor>
              </controlPr>
            </control>
          </mc:Choice>
        </mc:AlternateContent>
        <mc:AlternateContent xmlns:mc="http://schemas.openxmlformats.org/markup-compatibility/2006">
          <mc:Choice Requires="x14">
            <control shapeId="10255" r:id="rId11" name="Option Button 15">
              <controlPr defaultSize="0" autoFill="0" autoLine="0" autoPict="0">
                <anchor moveWithCells="1">
                  <from>
                    <xdr:col>3</xdr:col>
                    <xdr:colOff>12700</xdr:colOff>
                    <xdr:row>34</xdr:row>
                    <xdr:rowOff>0</xdr:rowOff>
                  </from>
                  <to>
                    <xdr:col>5</xdr:col>
                    <xdr:colOff>508000</xdr:colOff>
                    <xdr:row>35</xdr:row>
                    <xdr:rowOff>19050</xdr:rowOff>
                  </to>
                </anchor>
              </controlPr>
            </control>
          </mc:Choice>
        </mc:AlternateContent>
        <mc:AlternateContent xmlns:mc="http://schemas.openxmlformats.org/markup-compatibility/2006">
          <mc:Choice Requires="x14">
            <control shapeId="10256" r:id="rId12" name="Option Button 16">
              <controlPr defaultSize="0" autoFill="0" autoLine="0" autoPict="0">
                <anchor moveWithCells="1">
                  <from>
                    <xdr:col>3</xdr:col>
                    <xdr:colOff>12700</xdr:colOff>
                    <xdr:row>35</xdr:row>
                    <xdr:rowOff>0</xdr:rowOff>
                  </from>
                  <to>
                    <xdr:col>5</xdr:col>
                    <xdr:colOff>508000</xdr:colOff>
                    <xdr:row>36</xdr:row>
                    <xdr:rowOff>19050</xdr:rowOff>
                  </to>
                </anchor>
              </controlPr>
            </control>
          </mc:Choice>
        </mc:AlternateContent>
        <mc:AlternateContent xmlns:mc="http://schemas.openxmlformats.org/markup-compatibility/2006">
          <mc:Choice Requires="x14">
            <control shapeId="10257" r:id="rId13" name="Check Box 17">
              <controlPr defaultSize="0" autoFill="0" autoLine="0" autoPict="0">
                <anchor moveWithCells="1">
                  <from>
                    <xdr:col>3</xdr:col>
                    <xdr:colOff>679450</xdr:colOff>
                    <xdr:row>27</xdr:row>
                    <xdr:rowOff>31750</xdr:rowOff>
                  </from>
                  <to>
                    <xdr:col>4</xdr:col>
                    <xdr:colOff>95250</xdr:colOff>
                    <xdr:row>28</xdr:row>
                    <xdr:rowOff>0</xdr:rowOff>
                  </to>
                </anchor>
              </controlPr>
            </control>
          </mc:Choice>
        </mc:AlternateContent>
        <mc:AlternateContent xmlns:mc="http://schemas.openxmlformats.org/markup-compatibility/2006">
          <mc:Choice Requires="x14">
            <control shapeId="10258" r:id="rId14" name="Check Box 18">
              <controlPr defaultSize="0" autoFill="0" autoLine="0" autoPict="0">
                <anchor moveWithCells="1">
                  <from>
                    <xdr:col>2</xdr:col>
                    <xdr:colOff>50800</xdr:colOff>
                    <xdr:row>40</xdr:row>
                    <xdr:rowOff>165100</xdr:rowOff>
                  </from>
                  <to>
                    <xdr:col>2</xdr:col>
                    <xdr:colOff>990600</xdr:colOff>
                    <xdr:row>42</xdr:row>
                    <xdr:rowOff>12700</xdr:rowOff>
                  </to>
                </anchor>
              </controlPr>
            </control>
          </mc:Choice>
        </mc:AlternateContent>
        <mc:AlternateContent xmlns:mc="http://schemas.openxmlformats.org/markup-compatibility/2006">
          <mc:Choice Requires="x14">
            <control shapeId="10259" r:id="rId15" name="Check Box 19">
              <controlPr defaultSize="0" autoFill="0" autoLine="0" autoPict="0">
                <anchor moveWithCells="1">
                  <from>
                    <xdr:col>2</xdr:col>
                    <xdr:colOff>50800</xdr:colOff>
                    <xdr:row>41</xdr:row>
                    <xdr:rowOff>114300</xdr:rowOff>
                  </from>
                  <to>
                    <xdr:col>2</xdr:col>
                    <xdr:colOff>990600</xdr:colOff>
                    <xdr:row>43</xdr:row>
                    <xdr:rowOff>12700</xdr:rowOff>
                  </to>
                </anchor>
              </controlPr>
            </control>
          </mc:Choice>
        </mc:AlternateContent>
        <mc:AlternateContent xmlns:mc="http://schemas.openxmlformats.org/markup-compatibility/2006">
          <mc:Choice Requires="x14">
            <control shapeId="10260" r:id="rId16" name="Check Box 20">
              <controlPr defaultSize="0" autoFill="0" autoLine="0" autoPict="0" macro="[0]!CheckBox20_Click">
                <anchor moveWithCells="1">
                  <from>
                    <xdr:col>3</xdr:col>
                    <xdr:colOff>133350</xdr:colOff>
                    <xdr:row>40</xdr:row>
                    <xdr:rowOff>165100</xdr:rowOff>
                  </from>
                  <to>
                    <xdr:col>4</xdr:col>
                    <xdr:colOff>0</xdr:colOff>
                    <xdr:row>42</xdr:row>
                    <xdr:rowOff>12700</xdr:rowOff>
                  </to>
                </anchor>
              </controlPr>
            </control>
          </mc:Choice>
        </mc:AlternateContent>
        <mc:AlternateContent xmlns:mc="http://schemas.openxmlformats.org/markup-compatibility/2006">
          <mc:Choice Requires="x14">
            <control shapeId="10262" r:id="rId17" name="Button 22">
              <controlPr defaultSize="0" print="0" autoFill="0" autoPict="0" macro="[0]!ClearArmor">
                <anchor moveWithCells="1" sizeWithCells="1">
                  <from>
                    <xdr:col>2</xdr:col>
                    <xdr:colOff>774700</xdr:colOff>
                    <xdr:row>2</xdr:row>
                    <xdr:rowOff>19050</xdr:rowOff>
                  </from>
                  <to>
                    <xdr:col>3</xdr:col>
                    <xdr:colOff>323850</xdr:colOff>
                    <xdr:row>3</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BM204"/>
  <sheetViews>
    <sheetView showGridLines="0" zoomScaleNormal="100" workbookViewId="0">
      <pane xSplit="3" topLeftCell="D1" activePane="topRight" state="frozen"/>
      <selection activeCell="A25" sqref="A25"/>
      <selection pane="topRight" activeCell="E11" sqref="E11"/>
    </sheetView>
  </sheetViews>
  <sheetFormatPr defaultColWidth="9.1796875" defaultRowHeight="14.5"/>
  <cols>
    <col min="1" max="2" width="2.81640625" style="738" customWidth="1"/>
    <col min="3" max="3" width="34.81640625" style="78" customWidth="1"/>
    <col min="4" max="4" width="2.81640625" style="842" customWidth="1"/>
    <col min="5" max="5" width="30.1796875" style="508" customWidth="1"/>
    <col min="6" max="6" width="5.81640625" style="508" customWidth="1"/>
    <col min="7" max="7" width="2.81640625" style="508" customWidth="1"/>
    <col min="8" max="12" width="5.453125" style="20" customWidth="1"/>
    <col min="13" max="13" width="2.81640625" style="1046" customWidth="1"/>
    <col min="14" max="14" width="2.81640625" style="842" customWidth="1"/>
    <col min="15" max="15" width="30.1796875" style="508" customWidth="1"/>
    <col min="16" max="16" width="5.81640625" style="508" customWidth="1"/>
    <col min="17" max="17" width="2.81640625" style="508" customWidth="1"/>
    <col min="18" max="22" width="5.453125" style="20" customWidth="1"/>
    <col min="23" max="23" width="2.81640625" style="1046" customWidth="1"/>
    <col min="24" max="24" width="2.81640625" style="842" customWidth="1"/>
    <col min="25" max="25" width="30.1796875" style="508" customWidth="1"/>
    <col min="26" max="26" width="5.81640625" style="508" customWidth="1"/>
    <col min="27" max="27" width="2.81640625" style="508" customWidth="1"/>
    <col min="28" max="32" width="5.453125" style="20" customWidth="1"/>
    <col min="33" max="33" width="2.81640625" style="1046" customWidth="1"/>
    <col min="34" max="34" width="2.81640625" style="842" customWidth="1"/>
    <col min="35" max="35" width="30.1796875" style="508" customWidth="1"/>
    <col min="36" max="36" width="5.81640625" style="508" customWidth="1"/>
    <col min="37" max="37" width="2.81640625" style="508" customWidth="1"/>
    <col min="38" max="42" width="5.453125" style="20" customWidth="1"/>
    <col min="43" max="43" width="2.81640625" style="1046" customWidth="1"/>
    <col min="44" max="44" width="2.81640625" style="842" customWidth="1"/>
    <col min="45" max="45" width="30.1796875" style="508" customWidth="1"/>
    <col min="46" max="46" width="5.81640625" style="508" customWidth="1"/>
    <col min="47" max="47" width="2.81640625" style="508" customWidth="1"/>
    <col min="48" max="52" width="5.453125" style="20" customWidth="1"/>
    <col min="53" max="53" width="2.81640625" style="1046" customWidth="1"/>
    <col min="54" max="54" width="2.81640625" style="1045" customWidth="1"/>
    <col min="55" max="55" width="30.1796875" style="817" customWidth="1"/>
    <col min="56" max="56" width="5.81640625" style="817" customWidth="1"/>
    <col min="57" max="57" width="2.81640625" style="817" customWidth="1"/>
    <col min="58" max="62" width="5.453125" style="16" customWidth="1"/>
    <col min="63" max="63" width="2.81640625" style="817" customWidth="1"/>
    <col min="64" max="64" width="2.81640625" style="738" customWidth="1"/>
    <col min="65" max="16384" width="9.1796875" style="738"/>
  </cols>
  <sheetData>
    <row r="1" spans="2:64" ht="15" thickBot="1"/>
    <row r="2" spans="2:64">
      <c r="B2" s="22"/>
      <c r="C2" s="79"/>
      <c r="D2" s="843"/>
      <c r="E2" s="1096"/>
      <c r="F2" s="1096"/>
      <c r="G2" s="1096"/>
      <c r="H2" s="24"/>
      <c r="I2" s="24"/>
      <c r="J2" s="24"/>
      <c r="K2" s="24"/>
      <c r="L2" s="24"/>
      <c r="M2" s="1047"/>
      <c r="N2" s="843"/>
      <c r="O2" s="1096"/>
      <c r="P2" s="1096"/>
      <c r="Q2" s="1096"/>
      <c r="R2" s="24"/>
      <c r="S2" s="24"/>
      <c r="T2" s="24"/>
      <c r="U2" s="24"/>
      <c r="V2" s="24"/>
      <c r="W2" s="1047"/>
      <c r="X2" s="843"/>
      <c r="Y2" s="1096"/>
      <c r="Z2" s="1096"/>
      <c r="AA2" s="1096"/>
      <c r="AB2" s="24"/>
      <c r="AC2" s="24"/>
      <c r="AD2" s="24"/>
      <c r="AE2" s="24"/>
      <c r="AF2" s="24"/>
      <c r="AG2" s="1047"/>
      <c r="AH2" s="843"/>
      <c r="AI2" s="1096"/>
      <c r="AJ2" s="1096"/>
      <c r="AK2" s="1096"/>
      <c r="AL2" s="24"/>
      <c r="AM2" s="24"/>
      <c r="AN2" s="24"/>
      <c r="AO2" s="24"/>
      <c r="AP2" s="24"/>
      <c r="AQ2" s="1047"/>
      <c r="AR2" s="843"/>
      <c r="AS2" s="1096"/>
      <c r="AT2" s="1096"/>
      <c r="AU2" s="1096"/>
      <c r="AV2" s="24"/>
      <c r="AW2" s="24"/>
      <c r="AX2" s="24"/>
      <c r="AY2" s="24"/>
      <c r="AZ2" s="24"/>
      <c r="BA2" s="1047"/>
      <c r="BB2" s="79"/>
      <c r="BC2" s="814"/>
      <c r="BD2" s="814"/>
      <c r="BE2" s="814"/>
      <c r="BF2" s="24"/>
      <c r="BG2" s="24"/>
      <c r="BH2" s="24"/>
      <c r="BI2" s="24"/>
      <c r="BJ2" s="24"/>
      <c r="BK2" s="814"/>
      <c r="BL2" s="25"/>
    </row>
    <row r="3" spans="2:64" ht="21">
      <c r="B3" s="26"/>
      <c r="C3" s="737" t="s">
        <v>109</v>
      </c>
      <c r="D3" s="844"/>
      <c r="E3" s="1094"/>
      <c r="F3" s="1094"/>
      <c r="G3" s="1094"/>
      <c r="H3" s="1106"/>
      <c r="I3" s="1106"/>
      <c r="J3" s="1106"/>
      <c r="K3" s="1106"/>
      <c r="L3" s="1106"/>
      <c r="M3" s="784"/>
      <c r="N3" s="844"/>
      <c r="O3" s="1094"/>
      <c r="P3" s="1094"/>
      <c r="Q3" s="1094"/>
      <c r="R3" s="1106"/>
      <c r="S3" s="1106"/>
      <c r="T3" s="1106"/>
      <c r="U3" s="1106"/>
      <c r="V3" s="1106"/>
      <c r="W3" s="784"/>
      <c r="X3" s="844"/>
      <c r="Y3" s="1094"/>
      <c r="Z3" s="1094"/>
      <c r="AA3" s="1094"/>
      <c r="AB3" s="1106"/>
      <c r="AC3" s="1106"/>
      <c r="AD3" s="1106"/>
      <c r="AE3" s="1106"/>
      <c r="AF3" s="1106"/>
      <c r="AG3" s="784"/>
      <c r="AH3" s="844"/>
      <c r="AI3" s="1094"/>
      <c r="AJ3" s="1094"/>
      <c r="AK3" s="1094"/>
      <c r="AL3" s="1106"/>
      <c r="AM3" s="1106"/>
      <c r="AN3" s="1106"/>
      <c r="AO3" s="1106"/>
      <c r="AP3" s="1106"/>
      <c r="AQ3" s="784"/>
      <c r="AR3" s="844"/>
      <c r="AS3" s="1094"/>
      <c r="AT3" s="1094"/>
      <c r="AU3" s="1094"/>
      <c r="AV3" s="1106"/>
      <c r="AW3" s="1106"/>
      <c r="AX3" s="1106"/>
      <c r="AY3" s="1106"/>
      <c r="AZ3" s="1106"/>
      <c r="BA3" s="784"/>
      <c r="BB3" s="1097"/>
      <c r="BC3" s="812"/>
      <c r="BD3" s="812"/>
      <c r="BE3" s="812"/>
      <c r="BF3" s="822"/>
      <c r="BG3" s="822"/>
      <c r="BH3" s="822"/>
      <c r="BI3" s="822"/>
      <c r="BJ3" s="822"/>
      <c r="BK3" s="812"/>
      <c r="BL3" s="29"/>
    </row>
    <row r="4" spans="2:64" s="668" customFormat="1">
      <c r="B4" s="539"/>
      <c r="C4" s="838" t="str">
        <f>E4&amp;O4&amp;Y4&amp;AI4&amp;AS4&amp;BC4</f>
        <v/>
      </c>
      <c r="D4" s="1049"/>
      <c r="E4" s="512" t="str">
        <f>IF(AND(E11&lt;&gt;"",H9=FALSE),IF(E11&lt;&gt;"Unarmed",IF(H7&lt;&gt;"",LOWER(H7),E125)&amp;IF(E61&lt;&gt;""," ("&amp;E61&amp;")","")&amp;IF(AND(E74="lightsabers",CharacterLevel&gt;=7,ForceSensitive&gt;0,TUsetheForce&lt;&gt;"",OR(NOT(ISERROR(FIND("Crystal",E56,1))),NOT(ISERROR(FIND("Crystal",E57,1))),NOT(ISERROR(FIND("Crystal",E58,1))),NOT(ISERROR(FIND("Crystal",E59,1)))))," (self-built)","")&amp;";",""),"")</f>
        <v/>
      </c>
      <c r="F4" s="512" t="str">
        <f>IF(AND(E11&lt;&gt;"",H9=FALSE),IF(E11&lt;&gt;"Unarmed",E33&amp;";",""),"")</f>
        <v/>
      </c>
      <c r="G4" s="512" t="str">
        <f>IF(AND(E11&lt;&gt;"",H9=FALSE),IF(E11&lt;&gt;"Unarmed","1;",""),"")</f>
        <v/>
      </c>
      <c r="H4" s="585"/>
      <c r="I4" s="585"/>
      <c r="J4" s="585"/>
      <c r="K4" s="585"/>
      <c r="L4" s="585"/>
      <c r="M4" s="839"/>
      <c r="N4" s="849"/>
      <c r="O4" s="512" t="str">
        <f>IF(AND(O11&lt;&gt;"",R9=FALSE),IF(O11&lt;&gt;"Unarmed",IF(R7&lt;&gt;"",LOWER(R7),O125)&amp;IF(O61&lt;&gt;""," ("&amp;O61&amp;")","")&amp;IF(AND(O74="lightsabers",CharacterLevel&gt;=7,ForceSensitive&gt;0,TUsetheForce&lt;&gt;"",OR(NOT(ISERROR(FIND("Crystal",O56,1))),NOT(ISERROR(FIND("Crystal",O57,1))),NOT(ISERROR(FIND("Crystal",O58,1))),NOT(ISERROR(FIND("Crystal",O59,1)))))," (self-built)","")&amp;";",""),"")</f>
        <v/>
      </c>
      <c r="P4" s="512" t="str">
        <f>IF(AND(O11&lt;&gt;"",R9=FALSE),IF(O11&lt;&gt;"Unarmed",O33&amp;";",""),"")</f>
        <v/>
      </c>
      <c r="Q4" s="512" t="str">
        <f>IF(AND(O11&lt;&gt;"",R9=FALSE),IF(O11&lt;&gt;"Unarmed","1;",""),"")</f>
        <v/>
      </c>
      <c r="R4" s="585"/>
      <c r="S4" s="585"/>
      <c r="T4" s="585"/>
      <c r="U4" s="585"/>
      <c r="V4" s="585"/>
      <c r="W4" s="839"/>
      <c r="X4" s="849"/>
      <c r="Y4" s="512" t="str">
        <f>IF(AND(Y11&lt;&gt;"",AB9=FALSE),IF(Y11&lt;&gt;"Unarmed",IF(AB7&lt;&gt;"",LOWER(AB7),Y125)&amp;IF(Y61&lt;&gt;""," ("&amp;Y61&amp;")","")&amp;IF(AND(Y74="lightsabers",CharacterLevel&gt;=7,ForceSensitive&gt;0,TUsetheForce&lt;&gt;"",OR(NOT(ISERROR(FIND("Crystal",Y56,1))),NOT(ISERROR(FIND("Crystal",Y57,1))),NOT(ISERROR(FIND("Crystal",Y58,1))),NOT(ISERROR(FIND("Crystal",Y59,1)))))," (self-built)","")&amp;";",""),"")</f>
        <v/>
      </c>
      <c r="Z4" s="512" t="str">
        <f>IF(AND(Y11&lt;&gt;"",AB9=FALSE),IF(Y11&lt;&gt;"Unarmed",Y33&amp;";",""),"")</f>
        <v/>
      </c>
      <c r="AA4" s="512" t="str">
        <f>IF(AND(Y11&lt;&gt;"",AB9=FALSE),IF(Y11&lt;&gt;"Unarmed","1;",""),"")</f>
        <v/>
      </c>
      <c r="AB4" s="585"/>
      <c r="AC4" s="585"/>
      <c r="AD4" s="585"/>
      <c r="AE4" s="585"/>
      <c r="AF4" s="585"/>
      <c r="AG4" s="839"/>
      <c r="AH4" s="849"/>
      <c r="AI4" s="512" t="str">
        <f>IF(AND(AI11&lt;&gt;"",AL9=FALSE),IF(AI11&lt;&gt;"Unarmed",IF(AL7&lt;&gt;"",LOWER(AL7),AI125)&amp;IF(AI61&lt;&gt;""," ("&amp;AI61&amp;")","")&amp;IF(AND(AI74="lightsabers",CharacterLevel&gt;=7,ForceSensitive&gt;0,TUsetheForce&lt;&gt;"",OR(NOT(ISERROR(FIND("Crystal",AI56,1))),NOT(ISERROR(FIND("Crystal",AI57,1))),NOT(ISERROR(FIND("Crystal",AI58,1))),NOT(ISERROR(FIND("Crystal",AI59,1)))))," (self-built)","")&amp;";",""),"")</f>
        <v/>
      </c>
      <c r="AJ4" s="512" t="str">
        <f>IF(AND(AI11&lt;&gt;"",AL9=FALSE),IF(AI11&lt;&gt;"Unarmed",AI33&amp;";",""),"")</f>
        <v/>
      </c>
      <c r="AK4" s="512" t="str">
        <f>IF(AND(AI11&lt;&gt;"",AL9=FALSE),IF(AI11&lt;&gt;"Unarmed","1;",""),"")</f>
        <v/>
      </c>
      <c r="AL4" s="585"/>
      <c r="AM4" s="585"/>
      <c r="AN4" s="585"/>
      <c r="AO4" s="585"/>
      <c r="AP4" s="585"/>
      <c r="AQ4" s="839"/>
      <c r="AR4" s="849"/>
      <c r="AS4" s="512" t="str">
        <f>IF(AND(AS11&lt;&gt;"",AV9=FALSE),IF(AS11&lt;&gt;"Unarmed",IF(AV7&lt;&gt;"",LOWER(AV7),AS125)&amp;IF(AS61&lt;&gt;""," ("&amp;AS61&amp;")","")&amp;IF(AND(AS74="lightsabers",CharacterLevel&gt;=7,ForceSensitive&gt;0,TUsetheForce&lt;&gt;"",OR(NOT(ISERROR(FIND("Crystal",AS56,1))),NOT(ISERROR(FIND("Crystal",AS57,1))),NOT(ISERROR(FIND("Crystal",AS58,1))),NOT(ISERROR(FIND("Crystal",AS59,1)))))," (self-built)","")&amp;";",""),"")</f>
        <v/>
      </c>
      <c r="AT4" s="512" t="str">
        <f>IF(AND(AS11&lt;&gt;"",AV9=FALSE),IF(AS11&lt;&gt;"Unarmed",AS33&amp;";",""),"")</f>
        <v/>
      </c>
      <c r="AU4" s="512" t="str">
        <f>IF(AND(AS11&lt;&gt;"",AV9=FALSE),IF(AS11&lt;&gt;"Unarmed","1;",""),"")</f>
        <v/>
      </c>
      <c r="AV4" s="585"/>
      <c r="AW4" s="585"/>
      <c r="AX4" s="585"/>
      <c r="AY4" s="585"/>
      <c r="AZ4" s="585"/>
      <c r="BA4" s="839"/>
      <c r="BB4" s="838"/>
      <c r="BC4" s="512" t="str">
        <f>IF(AND(BC11&lt;&gt;"",BF9=FALSE),IF(BC11&lt;&gt;"Unarmed",IF(BF7&lt;&gt;"",LOWER(BF7),BC125)&amp;IF(BC61&lt;&gt;""," ("&amp;BC61&amp;")","")&amp;IF(AND(BC74="lightsabers",CharacterLevel&gt;=7,ForceSensitive&gt;0,TUsetheForce&lt;&gt;"",OR(NOT(ISERROR(FIND("Crystal",BC56,1))),NOT(ISERROR(FIND("Crystal",BC57,1))),NOT(ISERROR(FIND("Crystal",BC58,1))),NOT(ISERROR(FIND("Crystal",BC59,1)))))," (self-built)","")&amp;";",""),"")</f>
        <v/>
      </c>
      <c r="BD4" s="512" t="str">
        <f>IF(AND(BC11&lt;&gt;"",BF9=FALSE),IF(BC11&lt;&gt;"Unarmed",BC33&amp;";",""),"")</f>
        <v/>
      </c>
      <c r="BE4" s="512" t="str">
        <f>IF(AND(BC11&lt;&gt;"",BF9=FALSE),IF(BC11&lt;&gt;"Unarmed","1;",""),"")</f>
        <v/>
      </c>
      <c r="BF4" s="585"/>
      <c r="BG4" s="585"/>
      <c r="BH4" s="754"/>
      <c r="BI4" s="754"/>
      <c r="BJ4" s="585"/>
      <c r="BK4" s="512"/>
      <c r="BL4" s="576"/>
    </row>
    <row r="5" spans="2:64">
      <c r="B5" s="26"/>
      <c r="C5" s="850" t="str">
        <f>F4&amp;P4&amp;Z4&amp;AJ4&amp;AT4&amp;BD4</f>
        <v/>
      </c>
      <c r="D5" s="846"/>
      <c r="E5" s="1099" t="s">
        <v>3775</v>
      </c>
      <c r="F5" s="1099"/>
      <c r="G5" s="1099"/>
      <c r="H5" s="1815" t="s">
        <v>4167</v>
      </c>
      <c r="I5" s="1815"/>
      <c r="J5" s="1815"/>
      <c r="K5" s="1815"/>
      <c r="L5" s="1815"/>
      <c r="M5" s="1048"/>
      <c r="N5" s="846"/>
      <c r="O5" s="1099" t="s">
        <v>4053</v>
      </c>
      <c r="P5" s="1099"/>
      <c r="Q5" s="1099"/>
      <c r="R5" s="1815" t="s">
        <v>4497</v>
      </c>
      <c r="S5" s="1815"/>
      <c r="T5" s="1815"/>
      <c r="U5" s="1815"/>
      <c r="V5" s="1815"/>
      <c r="W5" s="1048"/>
      <c r="X5" s="846"/>
      <c r="Y5" s="1099" t="s">
        <v>4054</v>
      </c>
      <c r="Z5" s="1099"/>
      <c r="AA5" s="1099"/>
      <c r="AB5" s="1815" t="s">
        <v>4498</v>
      </c>
      <c r="AC5" s="1815"/>
      <c r="AD5" s="1815"/>
      <c r="AE5" s="1815"/>
      <c r="AF5" s="1815"/>
      <c r="AG5" s="1048"/>
      <c r="AH5" s="846"/>
      <c r="AI5" s="1099" t="s">
        <v>4055</v>
      </c>
      <c r="AJ5" s="1099"/>
      <c r="AK5" s="1099"/>
      <c r="AL5" s="1815" t="s">
        <v>4499</v>
      </c>
      <c r="AM5" s="1815"/>
      <c r="AN5" s="1815"/>
      <c r="AO5" s="1815"/>
      <c r="AP5" s="1815"/>
      <c r="AQ5" s="1048"/>
      <c r="AR5" s="846"/>
      <c r="AS5" s="1099" t="s">
        <v>4500</v>
      </c>
      <c r="AT5" s="1099"/>
      <c r="AU5" s="1099"/>
      <c r="AV5" s="1815" t="s">
        <v>4501</v>
      </c>
      <c r="AW5" s="1815"/>
      <c r="AX5" s="1815"/>
      <c r="AY5" s="1815"/>
      <c r="AZ5" s="1815"/>
      <c r="BA5" s="1048"/>
      <c r="BB5" s="1099"/>
      <c r="BC5" s="816" t="s">
        <v>4502</v>
      </c>
      <c r="BD5" s="816"/>
      <c r="BE5" s="816"/>
      <c r="BF5" s="1815" t="s">
        <v>4503</v>
      </c>
      <c r="BG5" s="1815"/>
      <c r="BH5" s="1815"/>
      <c r="BI5" s="1815"/>
      <c r="BJ5" s="1815"/>
      <c r="BK5" s="75"/>
      <c r="BL5" s="29"/>
    </row>
    <row r="6" spans="2:64">
      <c r="B6" s="26"/>
      <c r="C6" s="838" t="str">
        <f>G4&amp;Q4&amp;AA4&amp;AK4&amp;AU4&amp;BE4</f>
        <v/>
      </c>
      <c r="D6" s="845"/>
      <c r="E6" s="1094"/>
      <c r="F6" s="1094"/>
      <c r="G6" s="1094"/>
      <c r="H6" s="1106"/>
      <c r="I6" s="1106"/>
      <c r="J6" s="1106"/>
      <c r="K6" s="1106"/>
      <c r="L6" s="1106"/>
      <c r="M6" s="784"/>
      <c r="N6" s="845"/>
      <c r="O6" s="1094"/>
      <c r="P6" s="1094"/>
      <c r="Q6" s="1094"/>
      <c r="R6" s="1106"/>
      <c r="S6" s="1106"/>
      <c r="T6" s="1106"/>
      <c r="U6" s="1106"/>
      <c r="V6" s="1106"/>
      <c r="W6" s="784"/>
      <c r="X6" s="845"/>
      <c r="Y6" s="1094"/>
      <c r="Z6" s="1094"/>
      <c r="AA6" s="1094"/>
      <c r="AB6" s="1106"/>
      <c r="AC6" s="1106"/>
      <c r="AD6" s="1106"/>
      <c r="AE6" s="1106"/>
      <c r="AF6" s="1106"/>
      <c r="AG6" s="784"/>
      <c r="AH6" s="845"/>
      <c r="AI6" s="1094"/>
      <c r="AJ6" s="1094"/>
      <c r="AK6" s="1094"/>
      <c r="AL6" s="1106"/>
      <c r="AM6" s="1106"/>
      <c r="AN6" s="1106"/>
      <c r="AO6" s="1106"/>
      <c r="AP6" s="1106"/>
      <c r="AQ6" s="784"/>
      <c r="AR6" s="845"/>
      <c r="AS6" s="1094"/>
      <c r="AT6" s="1094"/>
      <c r="AU6" s="1094"/>
      <c r="AV6" s="1106"/>
      <c r="AW6" s="1106"/>
      <c r="AX6" s="1106"/>
      <c r="AY6" s="1106"/>
      <c r="AZ6" s="1106"/>
      <c r="BA6" s="784"/>
      <c r="BB6" s="1098"/>
      <c r="BC6" s="812"/>
      <c r="BD6" s="812"/>
      <c r="BE6" s="812"/>
      <c r="BF6" s="822"/>
      <c r="BG6" s="822"/>
      <c r="BH6" s="822"/>
      <c r="BI6" s="822"/>
      <c r="BJ6" s="822"/>
      <c r="BK6" s="812"/>
      <c r="BL6" s="29"/>
    </row>
    <row r="7" spans="2:64">
      <c r="B7" s="26"/>
      <c r="C7" s="735" t="s">
        <v>4185</v>
      </c>
      <c r="D7" s="845"/>
      <c r="E7" s="1094" t="str">
        <f>IF(E$11&lt;&gt;"",IF(H7&lt;&gt;"",H7,E$11),"")</f>
        <v/>
      </c>
      <c r="F7" s="1094"/>
      <c r="G7" s="1094"/>
      <c r="H7" s="1753"/>
      <c r="I7" s="1753"/>
      <c r="J7" s="1753"/>
      <c r="K7" s="1753"/>
      <c r="L7" s="1753"/>
      <c r="M7" s="784"/>
      <c r="N7" s="845"/>
      <c r="O7" s="1094" t="str">
        <f>IF(O$11&lt;&gt;"",IF(R7&lt;&gt;"",R7,O$11),"")</f>
        <v/>
      </c>
      <c r="P7" s="1094"/>
      <c r="Q7" s="1094"/>
      <c r="R7" s="1753"/>
      <c r="S7" s="1753"/>
      <c r="T7" s="1753"/>
      <c r="U7" s="1753"/>
      <c r="V7" s="1753"/>
      <c r="W7" s="784"/>
      <c r="X7" s="845"/>
      <c r="Y7" s="1094" t="str">
        <f>IF(Y$11&lt;&gt;"",IF(AB7&lt;&gt;"",AB7,Y$11),"")</f>
        <v/>
      </c>
      <c r="Z7" s="1094"/>
      <c r="AA7" s="1094"/>
      <c r="AB7" s="1753"/>
      <c r="AC7" s="1753"/>
      <c r="AD7" s="1753"/>
      <c r="AE7" s="1753"/>
      <c r="AF7" s="1753"/>
      <c r="AG7" s="784"/>
      <c r="AH7" s="845"/>
      <c r="AI7" s="1094" t="str">
        <f>IF(AI$11&lt;&gt;"",IF(AL7&lt;&gt;"",AL7,AI$11),"")</f>
        <v/>
      </c>
      <c r="AJ7" s="1094"/>
      <c r="AK7" s="1094"/>
      <c r="AL7" s="1753"/>
      <c r="AM7" s="1753"/>
      <c r="AN7" s="1753"/>
      <c r="AO7" s="1753"/>
      <c r="AP7" s="1753"/>
      <c r="AQ7" s="784"/>
      <c r="AR7" s="845"/>
      <c r="AS7" s="1094" t="str">
        <f>IF(AS$11&lt;&gt;"",IF(AV7&lt;&gt;"",AV7,AS$11),"")</f>
        <v/>
      </c>
      <c r="AT7" s="1094"/>
      <c r="AU7" s="1094"/>
      <c r="AV7" s="1753"/>
      <c r="AW7" s="1753"/>
      <c r="AX7" s="1753"/>
      <c r="AY7" s="1753"/>
      <c r="AZ7" s="1753"/>
      <c r="BA7" s="784"/>
      <c r="BB7" s="1098"/>
      <c r="BC7" s="812" t="str">
        <f>IF(BC$11&lt;&gt;"",IF(BF7&lt;&gt;"",BF7,BC$11),"")</f>
        <v/>
      </c>
      <c r="BD7" s="812"/>
      <c r="BE7" s="812"/>
      <c r="BF7" s="1753"/>
      <c r="BG7" s="1753"/>
      <c r="BH7" s="1753"/>
      <c r="BI7" s="1753"/>
      <c r="BJ7" s="1753"/>
      <c r="BK7" s="812"/>
      <c r="BL7" s="29"/>
    </row>
    <row r="8" spans="2:64">
      <c r="B8" s="26"/>
      <c r="C8" s="735" t="s">
        <v>4171</v>
      </c>
      <c r="D8" s="845"/>
      <c r="E8" s="526" t="str">
        <f>E$110</f>
        <v/>
      </c>
      <c r="F8" s="1094"/>
      <c r="G8" s="1094"/>
      <c r="H8" s="1094"/>
      <c r="I8" s="1094"/>
      <c r="J8" s="1094"/>
      <c r="K8" s="1094"/>
      <c r="L8" s="1094"/>
      <c r="M8" s="784"/>
      <c r="N8" s="845"/>
      <c r="O8" s="526" t="str">
        <f>O$110</f>
        <v/>
      </c>
      <c r="P8" s="1094"/>
      <c r="Q8" s="1094"/>
      <c r="R8" s="1094"/>
      <c r="S8" s="1094"/>
      <c r="T8" s="1094"/>
      <c r="U8" s="1094"/>
      <c r="V8" s="1094"/>
      <c r="W8" s="784"/>
      <c r="X8" s="845"/>
      <c r="Y8" s="526" t="str">
        <f>Y$110</f>
        <v/>
      </c>
      <c r="Z8" s="1094"/>
      <c r="AA8" s="1094"/>
      <c r="AB8" s="1094"/>
      <c r="AC8" s="1094"/>
      <c r="AD8" s="1094"/>
      <c r="AE8" s="1094"/>
      <c r="AF8" s="1094"/>
      <c r="AG8" s="784"/>
      <c r="AH8" s="845"/>
      <c r="AI8" s="526" t="str">
        <f>AI$110</f>
        <v/>
      </c>
      <c r="AJ8" s="1094"/>
      <c r="AK8" s="1094"/>
      <c r="AL8" s="1094"/>
      <c r="AM8" s="1094"/>
      <c r="AN8" s="1094"/>
      <c r="AO8" s="1094"/>
      <c r="AP8" s="1094"/>
      <c r="AQ8" s="784"/>
      <c r="AR8" s="845"/>
      <c r="AS8" s="526" t="str">
        <f>AS$110</f>
        <v/>
      </c>
      <c r="AT8" s="1094"/>
      <c r="AU8" s="1094"/>
      <c r="AV8" s="1094"/>
      <c r="AW8" s="1094"/>
      <c r="AX8" s="1094"/>
      <c r="AY8" s="1094"/>
      <c r="AZ8" s="1094"/>
      <c r="BA8" s="784"/>
      <c r="BB8" s="1098"/>
      <c r="BC8" s="526" t="str">
        <f>BC$110</f>
        <v/>
      </c>
      <c r="BD8" s="812"/>
      <c r="BE8" s="812"/>
      <c r="BF8" s="812"/>
      <c r="BG8" s="812"/>
      <c r="BH8" s="812"/>
      <c r="BI8" s="812"/>
      <c r="BJ8" s="812"/>
      <c r="BK8" s="812"/>
      <c r="BL8" s="29"/>
    </row>
    <row r="9" spans="2:64">
      <c r="B9" s="26"/>
      <c r="C9" s="735" t="s">
        <v>4172</v>
      </c>
      <c r="D9" s="845"/>
      <c r="E9" s="1094" t="str">
        <f>IF(E$11&lt;&gt;"",IF(E21="special",E21,E21&amp;IF(E$116&gt;=0,"+","")&amp;E$116),"")</f>
        <v/>
      </c>
      <c r="F9" s="1094"/>
      <c r="G9" s="1094"/>
      <c r="H9" s="512" t="b">
        <v>0</v>
      </c>
      <c r="I9" s="1094"/>
      <c r="J9" s="1094"/>
      <c r="K9" s="1094"/>
      <c r="L9" s="1094"/>
      <c r="M9" s="784"/>
      <c r="N9" s="845"/>
      <c r="O9" s="1153" t="str">
        <f>IF(O$11&lt;&gt;"",IF(O21="special",O21,O21&amp;IF(O$116&gt;=0,"+","")&amp;O$116),"")</f>
        <v/>
      </c>
      <c r="P9" s="1094"/>
      <c r="Q9" s="1094"/>
      <c r="R9" s="512" t="b">
        <v>0</v>
      </c>
      <c r="S9" s="1094"/>
      <c r="T9" s="1094"/>
      <c r="U9" s="1094"/>
      <c r="V9" s="1094"/>
      <c r="W9" s="784"/>
      <c r="X9" s="845"/>
      <c r="Y9" s="1153" t="str">
        <f>IF(Y$11&lt;&gt;"",IF(Y21="special",Y21,Y21&amp;IF(Y$116&gt;=0,"+","")&amp;Y$116),"")</f>
        <v/>
      </c>
      <c r="Z9" s="1094"/>
      <c r="AA9" s="1094"/>
      <c r="AB9" s="512" t="b">
        <v>0</v>
      </c>
      <c r="AC9" s="1094"/>
      <c r="AD9" s="1094"/>
      <c r="AE9" s="1094"/>
      <c r="AF9" s="1094"/>
      <c r="AG9" s="784"/>
      <c r="AH9" s="845"/>
      <c r="AI9" s="1153" t="str">
        <f>IF(AI$11&lt;&gt;"",IF(AI21="special",AI21,AI21&amp;IF(AI$116&gt;=0,"+","")&amp;AI$116),"")</f>
        <v/>
      </c>
      <c r="AJ9" s="1094"/>
      <c r="AK9" s="1094"/>
      <c r="AL9" s="512" t="b">
        <v>0</v>
      </c>
      <c r="AM9" s="1094"/>
      <c r="AN9" s="1094"/>
      <c r="AO9" s="1094"/>
      <c r="AP9" s="1094"/>
      <c r="AQ9" s="784"/>
      <c r="AR9" s="845"/>
      <c r="AS9" s="1153" t="str">
        <f>IF(AS$11&lt;&gt;"",IF(AS21="special",AS21,AS21&amp;IF(AS$116&gt;=0,"+","")&amp;AS$116),"")</f>
        <v/>
      </c>
      <c r="AT9" s="1094"/>
      <c r="AU9" s="1094"/>
      <c r="AV9" s="512" t="b">
        <v>0</v>
      </c>
      <c r="AW9" s="1094"/>
      <c r="AX9" s="1094"/>
      <c r="AY9" s="1094"/>
      <c r="AZ9" s="1094"/>
      <c r="BA9" s="784"/>
      <c r="BB9" s="1098"/>
      <c r="BC9" s="1153" t="str">
        <f>IF(BC$11&lt;&gt;"",IF(BC21="special",BC21,BC21&amp;IF(BC$116&gt;=0,"+","")&amp;BC$116),"")</f>
        <v/>
      </c>
      <c r="BD9" s="812"/>
      <c r="BE9" s="812"/>
      <c r="BF9" s="512" t="b">
        <v>0</v>
      </c>
      <c r="BG9" s="1025"/>
      <c r="BH9" s="1025"/>
      <c r="BI9" s="1025"/>
      <c r="BJ9" s="1025"/>
      <c r="BK9" s="812"/>
      <c r="BL9" s="29"/>
    </row>
    <row r="10" spans="2:64">
      <c r="B10" s="26"/>
      <c r="C10" s="735"/>
      <c r="D10" s="845"/>
      <c r="E10" s="1094"/>
      <c r="F10" s="1094"/>
      <c r="G10" s="1094"/>
      <c r="H10" s="1106"/>
      <c r="I10" s="1106"/>
      <c r="J10" s="1106"/>
      <c r="K10" s="1106"/>
      <c r="L10" s="1106"/>
      <c r="M10" s="784"/>
      <c r="N10" s="845"/>
      <c r="O10" s="1094"/>
      <c r="P10" s="1094"/>
      <c r="Q10" s="1094"/>
      <c r="R10" s="1106"/>
      <c r="S10" s="1106"/>
      <c r="T10" s="1106"/>
      <c r="U10" s="1106"/>
      <c r="V10" s="1106"/>
      <c r="W10" s="784"/>
      <c r="X10" s="845"/>
      <c r="Y10" s="1094"/>
      <c r="Z10" s="1094"/>
      <c r="AA10" s="1094"/>
      <c r="AB10" s="1106"/>
      <c r="AC10" s="1106"/>
      <c r="AD10" s="1106"/>
      <c r="AE10" s="1106"/>
      <c r="AF10" s="1106"/>
      <c r="AG10" s="784"/>
      <c r="AH10" s="845"/>
      <c r="AI10" s="1094"/>
      <c r="AJ10" s="1094"/>
      <c r="AK10" s="1094"/>
      <c r="AL10" s="1106"/>
      <c r="AM10" s="1106"/>
      <c r="AN10" s="1106"/>
      <c r="AO10" s="1106"/>
      <c r="AP10" s="1106"/>
      <c r="AQ10" s="784"/>
      <c r="AR10" s="845"/>
      <c r="AS10" s="1094"/>
      <c r="AT10" s="1094"/>
      <c r="AU10" s="1094"/>
      <c r="AV10" s="1106"/>
      <c r="AW10" s="1106"/>
      <c r="AX10" s="1106"/>
      <c r="AY10" s="1106"/>
      <c r="AZ10" s="1106"/>
      <c r="BA10" s="784"/>
      <c r="BB10" s="1098"/>
      <c r="BC10" s="812"/>
      <c r="BD10" s="812"/>
      <c r="BE10" s="812"/>
      <c r="BF10" s="1028"/>
      <c r="BG10" s="1028"/>
      <c r="BH10" s="1028"/>
      <c r="BI10" s="1028"/>
      <c r="BJ10" s="1028"/>
      <c r="BK10" s="812"/>
      <c r="BL10" s="29"/>
    </row>
    <row r="11" spans="2:64">
      <c r="B11" s="26"/>
      <c r="C11" s="735" t="s">
        <v>9</v>
      </c>
      <c r="D11" s="845"/>
      <c r="E11" s="1411"/>
      <c r="F11" s="1094"/>
      <c r="G11" s="1094"/>
      <c r="H11" s="1094"/>
      <c r="I11" s="1094"/>
      <c r="J11" s="1094"/>
      <c r="K11" s="1094"/>
      <c r="L11" s="1094"/>
      <c r="M11" s="784"/>
      <c r="N11" s="845"/>
      <c r="O11" s="1411"/>
      <c r="P11" s="1094"/>
      <c r="Q11" s="1094"/>
      <c r="R11" s="1094"/>
      <c r="S11" s="1094"/>
      <c r="T11" s="1094"/>
      <c r="U11" s="1094"/>
      <c r="V11" s="1094"/>
      <c r="W11" s="784"/>
      <c r="X11" s="845"/>
      <c r="Y11" s="1107"/>
      <c r="Z11" s="1094"/>
      <c r="AA11" s="1094"/>
      <c r="AB11" s="1094"/>
      <c r="AC11" s="1094"/>
      <c r="AD11" s="1094"/>
      <c r="AE11" s="1094"/>
      <c r="AF11" s="1094"/>
      <c r="AG11" s="784"/>
      <c r="AH11" s="845"/>
      <c r="AI11" s="1107"/>
      <c r="AJ11" s="1094"/>
      <c r="AK11" s="1094"/>
      <c r="AL11" s="1094"/>
      <c r="AM11" s="1094"/>
      <c r="AN11" s="1094"/>
      <c r="AO11" s="1094"/>
      <c r="AP11" s="1094"/>
      <c r="AQ11" s="784"/>
      <c r="AR11" s="845"/>
      <c r="AS11" s="1107"/>
      <c r="AT11" s="1094"/>
      <c r="AU11" s="1094"/>
      <c r="AV11" s="1094"/>
      <c r="AW11" s="1094"/>
      <c r="AX11" s="1094"/>
      <c r="AY11" s="1094"/>
      <c r="AZ11" s="1094"/>
      <c r="BA11" s="784"/>
      <c r="BB11" s="1098"/>
      <c r="BC11" s="823"/>
      <c r="BD11" s="812"/>
      <c r="BE11" s="812"/>
      <c r="BF11" s="812"/>
      <c r="BG11" s="812"/>
      <c r="BH11" s="812"/>
      <c r="BI11" s="812"/>
      <c r="BJ11" s="812"/>
      <c r="BK11" s="812"/>
      <c r="BL11" s="29"/>
    </row>
    <row r="12" spans="2:64">
      <c r="B12" s="26"/>
      <c r="C12" s="735" t="s">
        <v>48</v>
      </c>
      <c r="D12" s="845"/>
      <c r="E12" s="1095" t="str">
        <f>IF(E$11&lt;&gt;"",IF(H12&lt;&gt;"",H12,IF(INDEX(WeaponTable,MATCH(E$11,WeaponList,0),3)="M","Melee","Ranged")),"")</f>
        <v/>
      </c>
      <c r="F12" s="1094"/>
      <c r="G12" s="1094"/>
      <c r="H12" s="1753"/>
      <c r="I12" s="1753"/>
      <c r="J12" s="1753"/>
      <c r="K12" s="1753"/>
      <c r="L12" s="1753"/>
      <c r="M12" s="784"/>
      <c r="N12" s="845"/>
      <c r="O12" s="1095" t="str">
        <f>IF(O$11&lt;&gt;"",IF(R12&lt;&gt;"",R12,IF(INDEX(WeaponTable,MATCH(O$11,WeaponList,0),3)="M","Melee","Ranged")),"")</f>
        <v/>
      </c>
      <c r="P12" s="1094"/>
      <c r="Q12" s="1094"/>
      <c r="R12" s="1753"/>
      <c r="S12" s="1753"/>
      <c r="T12" s="1753"/>
      <c r="U12" s="1753"/>
      <c r="V12" s="1753"/>
      <c r="W12" s="784"/>
      <c r="X12" s="845"/>
      <c r="Y12" s="1095" t="str">
        <f>IF(Y$11&lt;&gt;"",IF(AB12&lt;&gt;"",AB12,IF(INDEX(WeaponTable,MATCH(Y$11,WeaponList,0),3)="M","Melee","Ranged")),"")</f>
        <v/>
      </c>
      <c r="Z12" s="1094"/>
      <c r="AA12" s="1094"/>
      <c r="AB12" s="1753"/>
      <c r="AC12" s="1753"/>
      <c r="AD12" s="1753"/>
      <c r="AE12" s="1753"/>
      <c r="AF12" s="1753"/>
      <c r="AG12" s="784"/>
      <c r="AH12" s="845"/>
      <c r="AI12" s="1095" t="str">
        <f>IF(AI$11&lt;&gt;"",IF(AL12&lt;&gt;"",AL12,IF(INDEX(WeaponTable,MATCH(AI$11,WeaponList,0),3)="M","Melee","Ranged")),"")</f>
        <v/>
      </c>
      <c r="AJ12" s="1094"/>
      <c r="AK12" s="1094"/>
      <c r="AL12" s="1753"/>
      <c r="AM12" s="1753"/>
      <c r="AN12" s="1753"/>
      <c r="AO12" s="1753"/>
      <c r="AP12" s="1753"/>
      <c r="AQ12" s="784"/>
      <c r="AR12" s="845"/>
      <c r="AS12" s="1095" t="str">
        <f>IF(AS$11&lt;&gt;"",IF(AV12&lt;&gt;"",AV12,IF(INDEX(WeaponTable,MATCH(AS$11,WeaponList,0),3)="M","Melee","Ranged")),"")</f>
        <v/>
      </c>
      <c r="AT12" s="1094"/>
      <c r="AU12" s="1094"/>
      <c r="AV12" s="1753"/>
      <c r="AW12" s="1753"/>
      <c r="AX12" s="1753"/>
      <c r="AY12" s="1753"/>
      <c r="AZ12" s="1753"/>
      <c r="BA12" s="784"/>
      <c r="BB12" s="1098"/>
      <c r="BC12" s="813" t="str">
        <f>IF(BC$11&lt;&gt;"",IF(BF12&lt;&gt;"",BF12,IF(INDEX(WeaponTable,MATCH(BC$11,WeaponList,0),3)="M","Melee","Ranged")),"")</f>
        <v/>
      </c>
      <c r="BD12" s="812"/>
      <c r="BE12" s="812"/>
      <c r="BF12" s="1753"/>
      <c r="BG12" s="1753"/>
      <c r="BH12" s="1753"/>
      <c r="BI12" s="1753"/>
      <c r="BJ12" s="1753"/>
      <c r="BK12" s="812"/>
      <c r="BL12" s="29"/>
    </row>
    <row r="13" spans="2:64">
      <c r="B13" s="26"/>
      <c r="C13" s="735" t="s">
        <v>112</v>
      </c>
      <c r="D13" s="845"/>
      <c r="E13" s="1095" t="str">
        <f>IF(E$11&lt;&gt;"",IF(H13&lt;&gt;"",H13,IF(F76="EWP","Exotic Weapon Proficiency","Weapon Proficiency")&amp;" ("&amp;E76&amp;")"),"")</f>
        <v/>
      </c>
      <c r="F13" s="1094"/>
      <c r="G13" s="1094"/>
      <c r="H13" s="1753"/>
      <c r="I13" s="1753"/>
      <c r="J13" s="1753"/>
      <c r="K13" s="1753"/>
      <c r="L13" s="1753"/>
      <c r="M13" s="784"/>
      <c r="N13" s="845"/>
      <c r="O13" s="1122" t="str">
        <f>IF(O$11&lt;&gt;"",IF(R13&lt;&gt;"",R13,IF(P76="EWP","Exotic Weapon Proficiency","Weapon Proficiency")&amp;" ("&amp;O76&amp;")"),"")</f>
        <v/>
      </c>
      <c r="P13" s="1094"/>
      <c r="Q13" s="1094"/>
      <c r="R13" s="1753"/>
      <c r="S13" s="1753"/>
      <c r="T13" s="1753"/>
      <c r="U13" s="1753"/>
      <c r="V13" s="1753"/>
      <c r="W13" s="784"/>
      <c r="X13" s="845"/>
      <c r="Y13" s="1122" t="str">
        <f>IF(Y$11&lt;&gt;"",IF(AB13&lt;&gt;"",AB13,IF(Z76="EWP","Exotic Weapon Proficiency","Weapon Proficiency")&amp;" ("&amp;Y76&amp;")"),"")</f>
        <v/>
      </c>
      <c r="Z13" s="1094"/>
      <c r="AA13" s="1094"/>
      <c r="AB13" s="1753"/>
      <c r="AC13" s="1753"/>
      <c r="AD13" s="1753"/>
      <c r="AE13" s="1753"/>
      <c r="AF13" s="1753"/>
      <c r="AG13" s="784"/>
      <c r="AH13" s="845"/>
      <c r="AI13" s="1122" t="str">
        <f>IF(AI$11&lt;&gt;"",IF(AL13&lt;&gt;"",AL13,IF(AJ76="EWP","Exotic Weapon Proficiency","Weapon Proficiency")&amp;" ("&amp;AI76&amp;")"),"")</f>
        <v/>
      </c>
      <c r="AJ13" s="1094"/>
      <c r="AK13" s="1094"/>
      <c r="AL13" s="1753"/>
      <c r="AM13" s="1753"/>
      <c r="AN13" s="1753"/>
      <c r="AO13" s="1753"/>
      <c r="AP13" s="1753"/>
      <c r="AQ13" s="784"/>
      <c r="AR13" s="845"/>
      <c r="AS13" s="1122" t="str">
        <f>IF(AS$11&lt;&gt;"",IF(AV13&lt;&gt;"",AV13,IF(AT76="EWP","Exotic Weapon Proficiency","Weapon Proficiency")&amp;" ("&amp;AS76&amp;")"),"")</f>
        <v/>
      </c>
      <c r="AT13" s="1094"/>
      <c r="AU13" s="1094"/>
      <c r="AV13" s="1753"/>
      <c r="AW13" s="1753"/>
      <c r="AX13" s="1753"/>
      <c r="AY13" s="1753"/>
      <c r="AZ13" s="1753"/>
      <c r="BA13" s="784"/>
      <c r="BB13" s="1098"/>
      <c r="BC13" s="1122" t="str">
        <f>IF(BC$11&lt;&gt;"",IF(BF13&lt;&gt;"",BF13,IF(BD76="EWP","Exotic Weapon Proficiency","Weapon Proficiency")&amp;" ("&amp;BC76&amp;")"),"")</f>
        <v/>
      </c>
      <c r="BD13" s="812"/>
      <c r="BE13" s="812"/>
      <c r="BF13" s="1753"/>
      <c r="BG13" s="1753"/>
      <c r="BH13" s="1753"/>
      <c r="BI13" s="1753"/>
      <c r="BJ13" s="1753"/>
      <c r="BK13" s="812"/>
      <c r="BL13" s="29"/>
    </row>
    <row r="14" spans="2:64">
      <c r="B14" s="26"/>
      <c r="C14" s="735" t="s">
        <v>11</v>
      </c>
      <c r="D14" s="845"/>
      <c r="E14" s="1095" t="str">
        <f>IF(E$11&lt;&gt;"",IF(H14&lt;&gt;"",H14,INDEX(SizeTable,E67,2)),"")</f>
        <v/>
      </c>
      <c r="F14" s="1094"/>
      <c r="G14" s="1094"/>
      <c r="H14" s="1753"/>
      <c r="I14" s="1753"/>
      <c r="J14" s="1753"/>
      <c r="K14" s="1753"/>
      <c r="L14" s="1753"/>
      <c r="M14" s="784"/>
      <c r="N14" s="845"/>
      <c r="O14" s="1095" t="str">
        <f>IF(O$11&lt;&gt;"",IF(R14&lt;&gt;"",R14,INDEX(SizeTable,O67,2)),"")</f>
        <v/>
      </c>
      <c r="P14" s="1094"/>
      <c r="Q14" s="1094"/>
      <c r="R14" s="1753"/>
      <c r="S14" s="1753"/>
      <c r="T14" s="1753"/>
      <c r="U14" s="1753"/>
      <c r="V14" s="1753"/>
      <c r="W14" s="784"/>
      <c r="X14" s="845"/>
      <c r="Y14" s="1095" t="str">
        <f>IF(Y$11&lt;&gt;"",IF(AB14&lt;&gt;"",AB14,INDEX(SizeTable,Y67,2)),"")</f>
        <v/>
      </c>
      <c r="Z14" s="1094"/>
      <c r="AA14" s="1094"/>
      <c r="AB14" s="1753"/>
      <c r="AC14" s="1753"/>
      <c r="AD14" s="1753"/>
      <c r="AE14" s="1753"/>
      <c r="AF14" s="1753"/>
      <c r="AG14" s="784"/>
      <c r="AH14" s="845"/>
      <c r="AI14" s="1095" t="str">
        <f>IF(AI$11&lt;&gt;"",IF(AL14&lt;&gt;"",AL14,INDEX(SizeTable,AI67,2)),"")</f>
        <v/>
      </c>
      <c r="AJ14" s="1094"/>
      <c r="AK14" s="1094"/>
      <c r="AL14" s="1753"/>
      <c r="AM14" s="1753"/>
      <c r="AN14" s="1753"/>
      <c r="AO14" s="1753"/>
      <c r="AP14" s="1753"/>
      <c r="AQ14" s="784"/>
      <c r="AR14" s="845"/>
      <c r="AS14" s="1095" t="str">
        <f>IF(AS$11&lt;&gt;"",IF(AV14&lt;&gt;"",AV14,INDEX(SizeTable,AS67,2)),"")</f>
        <v/>
      </c>
      <c r="AT14" s="1094"/>
      <c r="AU14" s="1094"/>
      <c r="AV14" s="1753"/>
      <c r="AW14" s="1753"/>
      <c r="AX14" s="1753"/>
      <c r="AY14" s="1753"/>
      <c r="AZ14" s="1753"/>
      <c r="BA14" s="784"/>
      <c r="BB14" s="1098"/>
      <c r="BC14" s="813" t="str">
        <f>IF(BC$11&lt;&gt;"",IF(BF14&lt;&gt;"",BF14,INDEX(SizeTable,BC67,2)),"")</f>
        <v/>
      </c>
      <c r="BD14" s="812"/>
      <c r="BE14" s="812"/>
      <c r="BF14" s="1753"/>
      <c r="BG14" s="1753"/>
      <c r="BH14" s="1753"/>
      <c r="BI14" s="1753"/>
      <c r="BJ14" s="1753"/>
      <c r="BK14" s="812"/>
      <c r="BL14" s="29"/>
    </row>
    <row r="15" spans="2:64">
      <c r="B15" s="26"/>
      <c r="C15" s="856" t="s">
        <v>4155</v>
      </c>
      <c r="D15" s="847"/>
      <c r="E15" s="1680" t="str">
        <f>IF(E11&lt;&gt;"",IF(H15&lt;&gt;"",H15,IF(E70-E67=-1,"Two-Handed",IF(E70-E67&lt;-1,"Too Large to Use",IF(OR(E70-E67&gt;0,AND(Feats!$M$343=1,OR(Feats!$M$344=1,Feats!$M$345=1),OR(Feats!$D$344=E$76,Feats!$D$345=E$76))),"Light","One-Handed")))),"")</f>
        <v/>
      </c>
      <c r="F15" s="1094"/>
      <c r="G15" s="1094"/>
      <c r="H15" s="1753"/>
      <c r="I15" s="1753"/>
      <c r="J15" s="1753"/>
      <c r="K15" s="1753"/>
      <c r="L15" s="1753"/>
      <c r="M15" s="784"/>
      <c r="N15" s="847"/>
      <c r="O15" s="1680" t="str">
        <f>IF(O11&lt;&gt;"",IF(R15&lt;&gt;"",R15,IF(O70-O67=-1,"Two-Handed",IF(O70-O67&lt;-1,"Too Large to Use",IF(OR(O70-O67&gt;0,AND(Feats!$M$343=1,OR(Feats!$M$344=1,Feats!$M$345=1),OR(Feats!$D$344=O$76,Feats!$D$345=O$76))),"Light","One-Handed")))),"")</f>
        <v/>
      </c>
      <c r="P15" s="1094"/>
      <c r="Q15" s="1094"/>
      <c r="R15" s="1753"/>
      <c r="S15" s="1753"/>
      <c r="T15" s="1753"/>
      <c r="U15" s="1753"/>
      <c r="V15" s="1753"/>
      <c r="W15" s="784"/>
      <c r="X15" s="847"/>
      <c r="Y15" s="1680" t="str">
        <f>IF(Y11&lt;&gt;"",IF(AB15&lt;&gt;"",AB15,IF(Y70-Y67=-1,"Two-Handed",IF(Y70-Y67&lt;-1,"Too Large to Use",IF(OR(Y70-Y67&gt;0,AND(Feats!$M$343=1,OR(Feats!$M$344=1,Feats!$M$345=1),OR(Feats!$D$344=Y$76,Feats!$D$345=Y$76))),"Light","One-Handed")))),"")</f>
        <v/>
      </c>
      <c r="Z15" s="1094"/>
      <c r="AA15" s="1094"/>
      <c r="AB15" s="1753"/>
      <c r="AC15" s="1753"/>
      <c r="AD15" s="1753"/>
      <c r="AE15" s="1753"/>
      <c r="AF15" s="1753"/>
      <c r="AG15" s="784"/>
      <c r="AH15" s="847"/>
      <c r="AI15" s="1680" t="str">
        <f>IF(AI11&lt;&gt;"",IF(AL15&lt;&gt;"",AL15,IF(AI70-AI67=-1,"Two-Handed",IF(AI70-AI67&lt;-1,"Too Large to Use",IF(OR(AI70-AI67&gt;0,AND(Feats!$M$343=1,OR(Feats!$M$344=1,Feats!$M$345=1),OR(Feats!$D$344=AI$76,Feats!$D$345=AI$76))),"Light","One-Handed")))),"")</f>
        <v/>
      </c>
      <c r="AJ15" s="1094"/>
      <c r="AK15" s="1094"/>
      <c r="AL15" s="1753"/>
      <c r="AM15" s="1753"/>
      <c r="AN15" s="1753"/>
      <c r="AO15" s="1753"/>
      <c r="AP15" s="1753"/>
      <c r="AQ15" s="784"/>
      <c r="AR15" s="847"/>
      <c r="AS15" s="1095" t="str">
        <f>IF(AS$11&lt;&gt;"",IF(AV15&lt;&gt;"",AV15,IF(AS70-AS67=-1,"Two-Handed",IF(AS70-AS67&lt;-1,"Too Large to Use",IF(AS70-AS67=0,"One-Handed","Light")))),"")</f>
        <v/>
      </c>
      <c r="AT15" s="1094"/>
      <c r="AU15" s="1094"/>
      <c r="AV15" s="1753"/>
      <c r="AW15" s="1753"/>
      <c r="AX15" s="1753"/>
      <c r="AY15" s="1753"/>
      <c r="AZ15" s="1753"/>
      <c r="BA15" s="784"/>
      <c r="BB15" s="749"/>
      <c r="BC15" s="1680" t="str">
        <f>IF(BC11&lt;&gt;"",IF(BF15&lt;&gt;"",BF15,IF(BC70-BC67=-1,"Two-Handed",IF(BC70-BC67&lt;-1,"Too Large to Use",IF(OR(BC70-BC67&gt;0,AND(Feats!$M$343=1,OR(Feats!$M$344=1,Feats!$M$345=1),OR(Feats!$D$344=BC$76,Feats!$D$345=BC$76))),"Light","One-Handed")))),"")</f>
        <v/>
      </c>
      <c r="BD15" s="812"/>
      <c r="BE15" s="812"/>
      <c r="BF15" s="1753"/>
      <c r="BG15" s="1753"/>
      <c r="BH15" s="1753"/>
      <c r="BI15" s="1753"/>
      <c r="BJ15" s="1753"/>
      <c r="BK15" s="812"/>
      <c r="BL15" s="29"/>
    </row>
    <row r="16" spans="2:64">
      <c r="B16" s="26"/>
      <c r="C16" s="749" t="s">
        <v>4154</v>
      </c>
      <c r="D16" s="847"/>
      <c r="E16" s="1650"/>
      <c r="F16" s="1094"/>
      <c r="G16" s="1094"/>
      <c r="H16" s="1850"/>
      <c r="I16" s="1851"/>
      <c r="J16" s="1851"/>
      <c r="K16" s="1851"/>
      <c r="L16" s="1852"/>
      <c r="M16" s="784"/>
      <c r="N16" s="847"/>
      <c r="O16" s="1645"/>
      <c r="P16" s="1094"/>
      <c r="Q16" s="1094"/>
      <c r="R16" s="1850"/>
      <c r="S16" s="1851"/>
      <c r="T16" s="1851"/>
      <c r="U16" s="1851"/>
      <c r="V16" s="1852"/>
      <c r="W16" s="784"/>
      <c r="X16" s="847"/>
      <c r="Y16" s="1296"/>
      <c r="Z16" s="1094"/>
      <c r="AA16" s="1094"/>
      <c r="AB16" s="1850"/>
      <c r="AC16" s="1851"/>
      <c r="AD16" s="1851"/>
      <c r="AE16" s="1851"/>
      <c r="AF16" s="1852"/>
      <c r="AG16" s="784"/>
      <c r="AH16" s="847"/>
      <c r="AI16" s="1107"/>
      <c r="AJ16" s="1094"/>
      <c r="AK16" s="1094"/>
      <c r="AL16" s="1850"/>
      <c r="AM16" s="1851"/>
      <c r="AN16" s="1851"/>
      <c r="AO16" s="1851"/>
      <c r="AP16" s="1852"/>
      <c r="AQ16" s="784"/>
      <c r="AR16" s="847"/>
      <c r="AS16" s="1107"/>
      <c r="AT16" s="1094"/>
      <c r="AU16" s="1094"/>
      <c r="AV16" s="1850"/>
      <c r="AW16" s="1851"/>
      <c r="AX16" s="1851"/>
      <c r="AY16" s="1851"/>
      <c r="AZ16" s="1852"/>
      <c r="BA16" s="784"/>
      <c r="BB16" s="749"/>
      <c r="BC16" s="823"/>
      <c r="BD16" s="812"/>
      <c r="BE16" s="812"/>
      <c r="BF16" s="1850"/>
      <c r="BG16" s="1851"/>
      <c r="BH16" s="1851"/>
      <c r="BI16" s="1851"/>
      <c r="BJ16" s="1852"/>
      <c r="BK16" s="812"/>
      <c r="BL16" s="29"/>
    </row>
    <row r="17" spans="2:64">
      <c r="B17" s="26"/>
      <c r="C17" s="735" t="s">
        <v>3691</v>
      </c>
      <c r="D17" s="845"/>
      <c r="E17" s="750" t="str">
        <f>IF(E$11&lt;&gt;"",IF(H17&lt;&gt;"",H17,E71+SUM(D46:D61)),"")</f>
        <v/>
      </c>
      <c r="F17" s="1094"/>
      <c r="G17" s="1094"/>
      <c r="H17" s="1753"/>
      <c r="I17" s="1753"/>
      <c r="J17" s="1753"/>
      <c r="K17" s="1753"/>
      <c r="L17" s="1753"/>
      <c r="M17" s="784"/>
      <c r="N17" s="845"/>
      <c r="O17" s="750" t="str">
        <f>IF(O$11&lt;&gt;"",IF(R17&lt;&gt;"",R17,O71+SUM(N46:N61)),"")</f>
        <v/>
      </c>
      <c r="P17" s="1094"/>
      <c r="Q17" s="1094"/>
      <c r="R17" s="1753"/>
      <c r="S17" s="1753"/>
      <c r="T17" s="1753"/>
      <c r="U17" s="1753"/>
      <c r="V17" s="1753"/>
      <c r="W17" s="784"/>
      <c r="X17" s="845"/>
      <c r="Y17" s="750" t="str">
        <f>IF(Y$11&lt;&gt;"",IF(AB17&lt;&gt;"",AB17,Y71+SUM(X46:X61)),"")</f>
        <v/>
      </c>
      <c r="Z17" s="1094"/>
      <c r="AA17" s="1094"/>
      <c r="AB17" s="1753"/>
      <c r="AC17" s="1753"/>
      <c r="AD17" s="1753"/>
      <c r="AE17" s="1753"/>
      <c r="AF17" s="1753"/>
      <c r="AG17" s="784"/>
      <c r="AH17" s="845"/>
      <c r="AI17" s="750" t="str">
        <f>IF(AI$11&lt;&gt;"",IF(AL17&lt;&gt;"",AL17,AI71+SUM(AH46:AH61)),"")</f>
        <v/>
      </c>
      <c r="AJ17" s="1094"/>
      <c r="AK17" s="1094"/>
      <c r="AL17" s="1753"/>
      <c r="AM17" s="1753"/>
      <c r="AN17" s="1753"/>
      <c r="AO17" s="1753"/>
      <c r="AP17" s="1753"/>
      <c r="AQ17" s="784"/>
      <c r="AR17" s="845"/>
      <c r="AS17" s="750" t="str">
        <f>IF(AS$11&lt;&gt;"",IF(AV17&lt;&gt;"",AV17,AS71+SUM(AR46:AR61)),"")</f>
        <v/>
      </c>
      <c r="AT17" s="1094"/>
      <c r="AU17" s="1094"/>
      <c r="AV17" s="1753"/>
      <c r="AW17" s="1753"/>
      <c r="AX17" s="1753"/>
      <c r="AY17" s="1753"/>
      <c r="AZ17" s="1753"/>
      <c r="BA17" s="784"/>
      <c r="BB17" s="1098"/>
      <c r="BC17" s="750" t="str">
        <f>IF(BC$11&lt;&gt;"",IF(BF17&lt;&gt;"",BF17,BC71+SUM(BB46:BB61)),"")</f>
        <v/>
      </c>
      <c r="BD17" s="812"/>
      <c r="BE17" s="812"/>
      <c r="BF17" s="1753"/>
      <c r="BG17" s="1753"/>
      <c r="BH17" s="1753"/>
      <c r="BI17" s="1753"/>
      <c r="BJ17" s="1753"/>
      <c r="BK17" s="812"/>
      <c r="BL17" s="29"/>
    </row>
    <row r="18" spans="2:64">
      <c r="B18" s="26"/>
      <c r="C18" s="749" t="s">
        <v>3681</v>
      </c>
      <c r="D18" s="847"/>
      <c r="E18" s="750" t="str">
        <f>IF(E$11&lt;&gt;"",IF(H18&lt;&gt;"",H18,IF(AND(Talents!$M$191&gt;0,Weapons!E71&lt;=CharacterLevel*1000),0,E71*E72)),"")</f>
        <v/>
      </c>
      <c r="F18" s="1094"/>
      <c r="G18" s="1094"/>
      <c r="H18" s="1753"/>
      <c r="I18" s="1753"/>
      <c r="J18" s="1753"/>
      <c r="K18" s="1753"/>
      <c r="L18" s="1753"/>
      <c r="M18" s="784"/>
      <c r="N18" s="847"/>
      <c r="O18" s="750" t="str">
        <f>IF(O$11&lt;&gt;"",IF(R18&lt;&gt;"",R18,IF(AND(Talents!$M$191&gt;0,Weapons!O71&lt;=CharacterLevel*1000),0,O71*O72)),"")</f>
        <v/>
      </c>
      <c r="P18" s="1094"/>
      <c r="Q18" s="1094"/>
      <c r="R18" s="1753"/>
      <c r="S18" s="1753"/>
      <c r="T18" s="1753"/>
      <c r="U18" s="1753"/>
      <c r="V18" s="1753"/>
      <c r="W18" s="784"/>
      <c r="X18" s="847"/>
      <c r="Y18" s="750" t="str">
        <f>IF(Y$11&lt;&gt;"",IF(AB18&lt;&gt;"",AB18,IF(AND(Talents!$M$191&gt;0,Weapons!Y71&lt;=CharacterLevel*1000),0,Y71*Y72)),"")</f>
        <v/>
      </c>
      <c r="Z18" s="1094"/>
      <c r="AA18" s="1094"/>
      <c r="AB18" s="1753"/>
      <c r="AC18" s="1753"/>
      <c r="AD18" s="1753"/>
      <c r="AE18" s="1753"/>
      <c r="AF18" s="1753"/>
      <c r="AG18" s="784"/>
      <c r="AH18" s="847"/>
      <c r="AI18" s="750" t="str">
        <f>IF(AI$11&lt;&gt;"",IF(AL18&lt;&gt;"",AL18,IF(AND(Talents!$M$191&gt;0,Weapons!AI71&lt;=CharacterLevel*1000),0,AI71*AI72)),"")</f>
        <v/>
      </c>
      <c r="AJ18" s="1094"/>
      <c r="AK18" s="1094"/>
      <c r="AL18" s="1753"/>
      <c r="AM18" s="1753"/>
      <c r="AN18" s="1753"/>
      <c r="AO18" s="1753"/>
      <c r="AP18" s="1753"/>
      <c r="AQ18" s="784"/>
      <c r="AR18" s="847"/>
      <c r="AS18" s="750" t="str">
        <f>IF(AS$11&lt;&gt;"",IF(AV18&lt;&gt;"",AV18,IF(AND(Talents!$M$191&gt;0,Weapons!AS71&lt;=CharacterLevel*1000),0,AS71*AS72)),"")</f>
        <v/>
      </c>
      <c r="AT18" s="1094"/>
      <c r="AU18" s="1094"/>
      <c r="AV18" s="1753"/>
      <c r="AW18" s="1753"/>
      <c r="AX18" s="1753"/>
      <c r="AY18" s="1753"/>
      <c r="AZ18" s="1753"/>
      <c r="BA18" s="784"/>
      <c r="BB18" s="749"/>
      <c r="BC18" s="750" t="str">
        <f>IF(BC$11&lt;&gt;"",IF(BF18&lt;&gt;"",BF18,IF(AND(Talents!$M$191&gt;0,Weapons!BC71&lt;=CharacterLevel*1000),0,BC71*BC72)),"")</f>
        <v/>
      </c>
      <c r="BD18" s="812"/>
      <c r="BE18" s="812"/>
      <c r="BF18" s="1753"/>
      <c r="BG18" s="1753"/>
      <c r="BH18" s="1753"/>
      <c r="BI18" s="1753"/>
      <c r="BJ18" s="1753"/>
      <c r="BK18" s="812"/>
      <c r="BL18" s="29"/>
    </row>
    <row r="19" spans="2:64">
      <c r="B19" s="26"/>
      <c r="C19" s="749" t="s">
        <v>3682</v>
      </c>
      <c r="D19" s="847"/>
      <c r="E19" s="750" t="str">
        <f>IF(E$11&lt;&gt;"",IF(H19&lt;&gt;"",H19,IF(E73&lt;&gt;"",E71*E73*IF(E36&lt;&gt;"",2,1),"")),"")</f>
        <v/>
      </c>
      <c r="F19" s="1094"/>
      <c r="G19" s="1094"/>
      <c r="H19" s="1753"/>
      <c r="I19" s="1753"/>
      <c r="J19" s="1753"/>
      <c r="K19" s="1753"/>
      <c r="L19" s="1753"/>
      <c r="M19" s="784"/>
      <c r="N19" s="847"/>
      <c r="O19" s="750" t="str">
        <f>IF(O$11&lt;&gt;"",IF(R19&lt;&gt;"",R19,IF(O73&lt;&gt;"",O71*O73*IF(O36&lt;&gt;"",2,1),"")),"")</f>
        <v/>
      </c>
      <c r="P19" s="1094"/>
      <c r="Q19" s="1094"/>
      <c r="R19" s="1753"/>
      <c r="S19" s="1753"/>
      <c r="T19" s="1753"/>
      <c r="U19" s="1753"/>
      <c r="V19" s="1753"/>
      <c r="W19" s="784"/>
      <c r="X19" s="847"/>
      <c r="Y19" s="750" t="str">
        <f>IF(Y$11&lt;&gt;"",IF(AB19&lt;&gt;"",AB19,IF(Y73&lt;&gt;"",Y71*Y73*IF(Y36&lt;&gt;"",2,1),"")),"")</f>
        <v/>
      </c>
      <c r="Z19" s="1094"/>
      <c r="AA19" s="1094"/>
      <c r="AB19" s="1753"/>
      <c r="AC19" s="1753"/>
      <c r="AD19" s="1753"/>
      <c r="AE19" s="1753"/>
      <c r="AF19" s="1753"/>
      <c r="AG19" s="784"/>
      <c r="AH19" s="847"/>
      <c r="AI19" s="750" t="str">
        <f>IF(AI$11&lt;&gt;"",IF(AL19&lt;&gt;"",AL19,IF(AI73&lt;&gt;"",AI71*AI73*IF(AI36&lt;&gt;"",2,1),"")),"")</f>
        <v/>
      </c>
      <c r="AJ19" s="1094"/>
      <c r="AK19" s="1094"/>
      <c r="AL19" s="1753"/>
      <c r="AM19" s="1753"/>
      <c r="AN19" s="1753"/>
      <c r="AO19" s="1753"/>
      <c r="AP19" s="1753"/>
      <c r="AQ19" s="784"/>
      <c r="AR19" s="847"/>
      <c r="AS19" s="750" t="str">
        <f>IF(AS$11&lt;&gt;"",IF(AV19&lt;&gt;"",AV19,IF(AS73&lt;&gt;"",AS71*AS73*IF(AS36&lt;&gt;"",2,1),"")),"")</f>
        <v/>
      </c>
      <c r="AT19" s="1094"/>
      <c r="AU19" s="1094"/>
      <c r="AV19" s="1753"/>
      <c r="AW19" s="1753"/>
      <c r="AX19" s="1753"/>
      <c r="AY19" s="1753"/>
      <c r="AZ19" s="1753"/>
      <c r="BA19" s="784"/>
      <c r="BB19" s="749"/>
      <c r="BC19" s="750" t="str">
        <f>IF(BC$11&lt;&gt;"",IF(BF19&lt;&gt;"",BF19,IF(BC73&lt;&gt;"",BC71*BC73*IF(BC36&lt;&gt;"",2,1),"")),"")</f>
        <v/>
      </c>
      <c r="BD19" s="812"/>
      <c r="BE19" s="812"/>
      <c r="BF19" s="1753"/>
      <c r="BG19" s="1753"/>
      <c r="BH19" s="1753"/>
      <c r="BI19" s="1753"/>
      <c r="BJ19" s="1753"/>
      <c r="BK19" s="812"/>
      <c r="BL19" s="29"/>
    </row>
    <row r="20" spans="2:64">
      <c r="B20" s="26"/>
      <c r="C20" s="749" t="s">
        <v>3683</v>
      </c>
      <c r="D20" s="847"/>
      <c r="E20" s="750" t="str">
        <f>IF(E$11&lt;&gt;"",E17/2,"")</f>
        <v/>
      </c>
      <c r="F20" s="1094"/>
      <c r="G20" s="1094"/>
      <c r="H20" s="1850"/>
      <c r="I20" s="1851"/>
      <c r="J20" s="1851"/>
      <c r="K20" s="1851"/>
      <c r="L20" s="1852"/>
      <c r="M20" s="784"/>
      <c r="N20" s="847"/>
      <c r="O20" s="750" t="str">
        <f>IF(O$11&lt;&gt;"",O17/2,"")</f>
        <v/>
      </c>
      <c r="P20" s="1094"/>
      <c r="Q20" s="1094"/>
      <c r="R20" s="1850"/>
      <c r="S20" s="1851"/>
      <c r="T20" s="1851"/>
      <c r="U20" s="1851"/>
      <c r="V20" s="1852"/>
      <c r="W20" s="784"/>
      <c r="X20" s="847"/>
      <c r="Y20" s="750" t="str">
        <f>IF(Y$11&lt;&gt;"",Y17/2,"")</f>
        <v/>
      </c>
      <c r="Z20" s="1094"/>
      <c r="AA20" s="1094"/>
      <c r="AB20" s="1850"/>
      <c r="AC20" s="1851"/>
      <c r="AD20" s="1851"/>
      <c r="AE20" s="1851"/>
      <c r="AF20" s="1852"/>
      <c r="AG20" s="784"/>
      <c r="AH20" s="847"/>
      <c r="AI20" s="750" t="str">
        <f>IF(AI$11&lt;&gt;"",AI17/2,"")</f>
        <v/>
      </c>
      <c r="AJ20" s="1094"/>
      <c r="AK20" s="1094"/>
      <c r="AL20" s="1850"/>
      <c r="AM20" s="1851"/>
      <c r="AN20" s="1851"/>
      <c r="AO20" s="1851"/>
      <c r="AP20" s="1852"/>
      <c r="AQ20" s="784"/>
      <c r="AR20" s="847"/>
      <c r="AS20" s="750" t="str">
        <f>IF(AS$11&lt;&gt;"",AS17/2,"")</f>
        <v/>
      </c>
      <c r="AT20" s="1094"/>
      <c r="AU20" s="1094"/>
      <c r="AV20" s="1850"/>
      <c r="AW20" s="1851"/>
      <c r="AX20" s="1851"/>
      <c r="AY20" s="1851"/>
      <c r="AZ20" s="1852"/>
      <c r="BA20" s="784"/>
      <c r="BB20" s="749"/>
      <c r="BC20" s="750" t="str">
        <f>IF(BC$11&lt;&gt;"",BC17/2,"")</f>
        <v/>
      </c>
      <c r="BD20" s="812"/>
      <c r="BE20" s="812"/>
      <c r="BF20" s="1850"/>
      <c r="BG20" s="1851"/>
      <c r="BH20" s="1851"/>
      <c r="BI20" s="1851"/>
      <c r="BJ20" s="1852"/>
      <c r="BK20" s="812"/>
      <c r="BL20" s="29"/>
    </row>
    <row r="21" spans="2:64">
      <c r="B21" s="26"/>
      <c r="C21" s="735" t="s">
        <v>3721</v>
      </c>
      <c r="D21" s="845"/>
      <c r="E21" s="1095" t="str">
        <f>IF(E$11&lt;&gt;"",IF(H21&lt;&gt;"",H21,IF(E79="special",E79,E78&amp;"d"&amp;E79&amp;IF(E123&lt;&gt;"",E123,""))),"")</f>
        <v/>
      </c>
      <c r="F21" s="1094"/>
      <c r="G21" s="1094"/>
      <c r="H21" s="1753"/>
      <c r="I21" s="1753"/>
      <c r="J21" s="1753"/>
      <c r="K21" s="1753"/>
      <c r="L21" s="1753"/>
      <c r="M21" s="784"/>
      <c r="N21" s="845"/>
      <c r="O21" s="1154" t="str">
        <f>IF(O$11&lt;&gt;"",IF(R21&lt;&gt;"",R21,IF(O79="special",O79,O78&amp;"d"&amp;O79&amp;IF(O123&lt;&gt;"",O123,""))),"")</f>
        <v/>
      </c>
      <c r="P21" s="1094"/>
      <c r="Q21" s="1094"/>
      <c r="R21" s="1753"/>
      <c r="S21" s="1753"/>
      <c r="T21" s="1753"/>
      <c r="U21" s="1753"/>
      <c r="V21" s="1753"/>
      <c r="W21" s="784"/>
      <c r="X21" s="845"/>
      <c r="Y21" s="1154" t="str">
        <f>IF(Y$11&lt;&gt;"",IF(AB21&lt;&gt;"",AB21,IF(Y79="special",Y79,Y78&amp;"d"&amp;Y79&amp;IF(Y123&lt;&gt;"",Y123,""))),"")</f>
        <v/>
      </c>
      <c r="Z21" s="1094"/>
      <c r="AA21" s="1094"/>
      <c r="AB21" s="1753"/>
      <c r="AC21" s="1753"/>
      <c r="AD21" s="1753"/>
      <c r="AE21" s="1753"/>
      <c r="AF21" s="1753"/>
      <c r="AG21" s="784"/>
      <c r="AH21" s="845"/>
      <c r="AI21" s="1154" t="str">
        <f>IF(AI$11&lt;&gt;"",IF(AL21&lt;&gt;"",AL21,IF(AI79="special",AI79,AI78&amp;"d"&amp;AI79&amp;IF(AI123&lt;&gt;"",AI123,""))),"")</f>
        <v/>
      </c>
      <c r="AJ21" s="1094"/>
      <c r="AK21" s="1094"/>
      <c r="AL21" s="1753"/>
      <c r="AM21" s="1753"/>
      <c r="AN21" s="1753"/>
      <c r="AO21" s="1753"/>
      <c r="AP21" s="1753"/>
      <c r="AQ21" s="784"/>
      <c r="AR21" s="845"/>
      <c r="AS21" s="1154" t="str">
        <f>IF(AS$11&lt;&gt;"",IF(AV21&lt;&gt;"",AV21,IF(AS79="special",AS79,AS78&amp;"d"&amp;AS79&amp;IF(AS123&lt;&gt;"",AS123,""))),"")</f>
        <v/>
      </c>
      <c r="AT21" s="1094"/>
      <c r="AU21" s="1094"/>
      <c r="AV21" s="1753"/>
      <c r="AW21" s="1753"/>
      <c r="AX21" s="1753"/>
      <c r="AY21" s="1753"/>
      <c r="AZ21" s="1753"/>
      <c r="BA21" s="784"/>
      <c r="BB21" s="1098"/>
      <c r="BC21" s="1154" t="str">
        <f>IF(BC$11&lt;&gt;"",IF(BF21&lt;&gt;"",BF21,IF(BC79="special",BC79,BC78&amp;"d"&amp;BC79&amp;IF(BC123&lt;&gt;"",BC123,""))),"")</f>
        <v/>
      </c>
      <c r="BD21" s="812"/>
      <c r="BE21" s="812"/>
      <c r="BF21" s="1753"/>
      <c r="BG21" s="1753"/>
      <c r="BH21" s="1753"/>
      <c r="BI21" s="1753"/>
      <c r="BJ21" s="1753"/>
      <c r="BK21" s="812"/>
      <c r="BL21" s="29"/>
    </row>
    <row r="22" spans="2:64">
      <c r="B22" s="26"/>
      <c r="C22" s="735" t="s">
        <v>4052</v>
      </c>
      <c r="D22" s="845"/>
      <c r="E22" s="1095" t="str">
        <f>IF(E$11&lt;&gt;"",IF(H22&lt;&gt;"",H22,E82&amp;"/×"&amp;E83),"")</f>
        <v/>
      </c>
      <c r="F22" s="1094"/>
      <c r="G22" s="1094"/>
      <c r="H22" s="1753"/>
      <c r="I22" s="1753"/>
      <c r="J22" s="1753"/>
      <c r="K22" s="1753"/>
      <c r="L22" s="1753"/>
      <c r="M22" s="784"/>
      <c r="N22" s="845"/>
      <c r="O22" s="1095" t="str">
        <f>IF(O$11&lt;&gt;"",IF(R22&lt;&gt;"",R22,O82&amp;"/×"&amp;O83),"")</f>
        <v/>
      </c>
      <c r="P22" s="1094"/>
      <c r="Q22" s="1094"/>
      <c r="R22" s="1753"/>
      <c r="S22" s="1753"/>
      <c r="T22" s="1753"/>
      <c r="U22" s="1753"/>
      <c r="V22" s="1753"/>
      <c r="W22" s="784"/>
      <c r="X22" s="845"/>
      <c r="Y22" s="1095" t="str">
        <f>IF(Y$11&lt;&gt;"",IF(AB22&lt;&gt;"",AB22,Y82&amp;"/×"&amp;Y83),"")</f>
        <v/>
      </c>
      <c r="Z22" s="1094"/>
      <c r="AA22" s="1094"/>
      <c r="AB22" s="1753"/>
      <c r="AC22" s="1753"/>
      <c r="AD22" s="1753"/>
      <c r="AE22" s="1753"/>
      <c r="AF22" s="1753"/>
      <c r="AG22" s="784"/>
      <c r="AH22" s="845"/>
      <c r="AI22" s="1095" t="str">
        <f>IF(AI$11&lt;&gt;"",IF(AL22&lt;&gt;"",AL22,AI82&amp;"/×"&amp;AI83),"")</f>
        <v/>
      </c>
      <c r="AJ22" s="1094"/>
      <c r="AK22" s="1094"/>
      <c r="AL22" s="1753"/>
      <c r="AM22" s="1753"/>
      <c r="AN22" s="1753"/>
      <c r="AO22" s="1753"/>
      <c r="AP22" s="1753"/>
      <c r="AQ22" s="784"/>
      <c r="AR22" s="845"/>
      <c r="AS22" s="1095" t="str">
        <f>IF(AS$11&lt;&gt;"",IF(AV22&lt;&gt;"",AV22,AS82&amp;"/×"&amp;AS83),"")</f>
        <v/>
      </c>
      <c r="AT22" s="1094"/>
      <c r="AU22" s="1094"/>
      <c r="AV22" s="1753"/>
      <c r="AW22" s="1753"/>
      <c r="AX22" s="1753"/>
      <c r="AY22" s="1753"/>
      <c r="AZ22" s="1753"/>
      <c r="BA22" s="784"/>
      <c r="BB22" s="1098"/>
      <c r="BC22" s="813" t="str">
        <f>IF(BC$11&lt;&gt;"",IF(BF22&lt;&gt;"",BF22,BC82&amp;"/×"&amp;BC83),"")</f>
        <v/>
      </c>
      <c r="BD22" s="812"/>
      <c r="BE22" s="812"/>
      <c r="BF22" s="1753"/>
      <c r="BG22" s="1753"/>
      <c r="BH22" s="1753"/>
      <c r="BI22" s="1753"/>
      <c r="BJ22" s="1753"/>
      <c r="BK22" s="812"/>
      <c r="BL22" s="29"/>
    </row>
    <row r="23" spans="2:64">
      <c r="B23" s="26"/>
      <c r="C23" s="735" t="s">
        <v>115</v>
      </c>
      <c r="D23" s="845"/>
      <c r="E23" s="1095" t="str">
        <f>IF(E$11&lt;&gt;"",IF(H23&lt;&gt;"",H23,E85),"")</f>
        <v/>
      </c>
      <c r="F23" s="1094"/>
      <c r="G23" s="1094"/>
      <c r="H23" s="1753"/>
      <c r="I23" s="1753"/>
      <c r="J23" s="1753"/>
      <c r="K23" s="1753"/>
      <c r="L23" s="1753"/>
      <c r="M23" s="784"/>
      <c r="N23" s="845"/>
      <c r="O23" s="1095" t="str">
        <f>IF(O$11&lt;&gt;"",IF(R23&lt;&gt;"",R23,O85),"")</f>
        <v/>
      </c>
      <c r="P23" s="1094"/>
      <c r="Q23" s="1094"/>
      <c r="R23" s="1753"/>
      <c r="S23" s="1753"/>
      <c r="T23" s="1753"/>
      <c r="U23" s="1753"/>
      <c r="V23" s="1753"/>
      <c r="W23" s="784"/>
      <c r="X23" s="845"/>
      <c r="Y23" s="1095" t="str">
        <f>IF(Y$11&lt;&gt;"",IF(AB23&lt;&gt;"",AB23,Y85),"")</f>
        <v/>
      </c>
      <c r="Z23" s="1094"/>
      <c r="AA23" s="1094"/>
      <c r="AB23" s="1753"/>
      <c r="AC23" s="1753"/>
      <c r="AD23" s="1753"/>
      <c r="AE23" s="1753"/>
      <c r="AF23" s="1753"/>
      <c r="AG23" s="784"/>
      <c r="AH23" s="845"/>
      <c r="AI23" s="1095" t="str">
        <f>IF(AI$11&lt;&gt;"",IF(AL23&lt;&gt;"",AL23,AI85),"")</f>
        <v/>
      </c>
      <c r="AJ23" s="1094"/>
      <c r="AK23" s="1094"/>
      <c r="AL23" s="1753"/>
      <c r="AM23" s="1753"/>
      <c r="AN23" s="1753"/>
      <c r="AO23" s="1753"/>
      <c r="AP23" s="1753"/>
      <c r="AQ23" s="784"/>
      <c r="AR23" s="845"/>
      <c r="AS23" s="1095" t="str">
        <f>IF(AS$11&lt;&gt;"",IF(AV23&lt;&gt;"",AV23,AS85),"")</f>
        <v/>
      </c>
      <c r="AT23" s="1094"/>
      <c r="AU23" s="1094"/>
      <c r="AV23" s="1753"/>
      <c r="AW23" s="1753"/>
      <c r="AX23" s="1753"/>
      <c r="AY23" s="1753"/>
      <c r="AZ23" s="1753"/>
      <c r="BA23" s="784"/>
      <c r="BB23" s="1098"/>
      <c r="BC23" s="813" t="str">
        <f>IF(BC$11&lt;&gt;"",IF(BF23&lt;&gt;"",BF23,BC85),"")</f>
        <v/>
      </c>
      <c r="BD23" s="812"/>
      <c r="BE23" s="812"/>
      <c r="BF23" s="1753"/>
      <c r="BG23" s="1753"/>
      <c r="BH23" s="1753"/>
      <c r="BI23" s="1753"/>
      <c r="BJ23" s="1753"/>
      <c r="BK23" s="812"/>
      <c r="BL23" s="29"/>
    </row>
    <row r="24" spans="2:64">
      <c r="B24" s="26"/>
      <c r="C24" s="735" t="s">
        <v>4151</v>
      </c>
      <c r="D24" s="845"/>
      <c r="E24" s="1095" t="str">
        <f>IF(E$11&lt;&gt;"",IF(H24&lt;&gt;"",H24,E87&amp;IF(AND(E87&lt;&gt;"",E88&lt;&gt;""),", ","")&amp;E88),"")</f>
        <v/>
      </c>
      <c r="F24" s="1094"/>
      <c r="G24" s="1094"/>
      <c r="H24" s="1753"/>
      <c r="I24" s="1753"/>
      <c r="J24" s="1753"/>
      <c r="K24" s="1753"/>
      <c r="L24" s="1753"/>
      <c r="M24" s="784"/>
      <c r="N24" s="845"/>
      <c r="O24" s="1095" t="str">
        <f>IF(O$11&lt;&gt;"",IF(R24&lt;&gt;"",R24,O87&amp;IF(AND(O87&lt;&gt;"",O88&lt;&gt;""),", ","")&amp;O88),"")</f>
        <v/>
      </c>
      <c r="P24" s="1094"/>
      <c r="Q24" s="1094"/>
      <c r="R24" s="1753"/>
      <c r="S24" s="1753"/>
      <c r="T24" s="1753"/>
      <c r="U24" s="1753"/>
      <c r="V24" s="1753"/>
      <c r="W24" s="784"/>
      <c r="X24" s="845"/>
      <c r="Y24" s="1095" t="str">
        <f>IF(Y$11&lt;&gt;"",IF(AB24&lt;&gt;"",AB24,Y87&amp;IF(AND(Y87&lt;&gt;"",Y88&lt;&gt;""),", ","")&amp;Y88),"")</f>
        <v/>
      </c>
      <c r="Z24" s="1094"/>
      <c r="AA24" s="1094"/>
      <c r="AB24" s="1753"/>
      <c r="AC24" s="1753"/>
      <c r="AD24" s="1753"/>
      <c r="AE24" s="1753"/>
      <c r="AF24" s="1753"/>
      <c r="AG24" s="784"/>
      <c r="AH24" s="845"/>
      <c r="AI24" s="1095" t="str">
        <f>IF(AI$11&lt;&gt;"",IF(AL24&lt;&gt;"",AL24,AI87&amp;IF(AND(AI87&lt;&gt;"",AI88&lt;&gt;""),", ","")&amp;AI88),"")</f>
        <v/>
      </c>
      <c r="AJ24" s="1094"/>
      <c r="AK24" s="1094"/>
      <c r="AL24" s="1753"/>
      <c r="AM24" s="1753"/>
      <c r="AN24" s="1753"/>
      <c r="AO24" s="1753"/>
      <c r="AP24" s="1753"/>
      <c r="AQ24" s="784"/>
      <c r="AR24" s="845"/>
      <c r="AS24" s="1095" t="str">
        <f>IF(AS$11&lt;&gt;"",IF(AV24&lt;&gt;"",AV24,AS87&amp;IF(AND(AS87&lt;&gt;"",AS88&lt;&gt;""),", ","")&amp;AS88),"")</f>
        <v/>
      </c>
      <c r="AT24" s="1094"/>
      <c r="AU24" s="1094"/>
      <c r="AV24" s="1753"/>
      <c r="AW24" s="1753"/>
      <c r="AX24" s="1753"/>
      <c r="AY24" s="1753"/>
      <c r="AZ24" s="1753"/>
      <c r="BA24" s="784"/>
      <c r="BB24" s="1098"/>
      <c r="BC24" s="813" t="str">
        <f>IF(BC$11&lt;&gt;"",IF(BF24&lt;&gt;"",BF24,BC87&amp;IF(AND(BC87&lt;&gt;"",BC88&lt;&gt;""),", ","")&amp;BC88),"")</f>
        <v/>
      </c>
      <c r="BD24" s="812"/>
      <c r="BE24" s="812"/>
      <c r="BF24" s="1753"/>
      <c r="BG24" s="1753"/>
      <c r="BH24" s="1753"/>
      <c r="BI24" s="1753"/>
      <c r="BJ24" s="1753"/>
      <c r="BK24" s="812"/>
      <c r="BL24" s="29"/>
    </row>
    <row r="25" spans="2:64">
      <c r="B25" s="26"/>
      <c r="C25" s="735" t="s">
        <v>4187</v>
      </c>
      <c r="D25" s="845"/>
      <c r="E25" s="1095" t="str">
        <f>IF(E$11&lt;&gt;"",IF(H25&lt;&gt;"",H25,E89),"")</f>
        <v/>
      </c>
      <c r="F25" s="1094"/>
      <c r="G25" s="1094"/>
      <c r="H25" s="1753"/>
      <c r="I25" s="1753"/>
      <c r="J25" s="1753"/>
      <c r="K25" s="1753"/>
      <c r="L25" s="1753"/>
      <c r="M25" s="784"/>
      <c r="N25" s="845"/>
      <c r="O25" s="1095" t="str">
        <f>IF(O$11&lt;&gt;"",IF(R25&lt;&gt;"",R25,O89),"")</f>
        <v/>
      </c>
      <c r="P25" s="1094"/>
      <c r="Q25" s="1094"/>
      <c r="R25" s="1753"/>
      <c r="S25" s="1753"/>
      <c r="T25" s="1753"/>
      <c r="U25" s="1753"/>
      <c r="V25" s="1753"/>
      <c r="W25" s="784"/>
      <c r="X25" s="845"/>
      <c r="Y25" s="1095" t="str">
        <f>IF(Y$11&lt;&gt;"",IF(AB25&lt;&gt;"",AB25,Y89),"")</f>
        <v/>
      </c>
      <c r="Z25" s="1094"/>
      <c r="AA25" s="1094"/>
      <c r="AB25" s="1753"/>
      <c r="AC25" s="1753"/>
      <c r="AD25" s="1753"/>
      <c r="AE25" s="1753"/>
      <c r="AF25" s="1753"/>
      <c r="AG25" s="784"/>
      <c r="AH25" s="845"/>
      <c r="AI25" s="1095" t="str">
        <f>IF(AI$11&lt;&gt;"",IF(AL25&lt;&gt;"",AL25,AI89),"")</f>
        <v/>
      </c>
      <c r="AJ25" s="1094"/>
      <c r="AK25" s="1094"/>
      <c r="AL25" s="1753"/>
      <c r="AM25" s="1753"/>
      <c r="AN25" s="1753"/>
      <c r="AO25" s="1753"/>
      <c r="AP25" s="1753"/>
      <c r="AQ25" s="784"/>
      <c r="AR25" s="845"/>
      <c r="AS25" s="1095" t="str">
        <f>IF(AS$11&lt;&gt;"",IF(AV25&lt;&gt;"",AV25,AS89),"")</f>
        <v/>
      </c>
      <c r="AT25" s="1094"/>
      <c r="AU25" s="1094"/>
      <c r="AV25" s="1753"/>
      <c r="AW25" s="1753"/>
      <c r="AX25" s="1753"/>
      <c r="AY25" s="1753"/>
      <c r="AZ25" s="1753"/>
      <c r="BA25" s="784"/>
      <c r="BB25" s="1098"/>
      <c r="BC25" s="813" t="str">
        <f>IF(BC$11&lt;&gt;"",IF(BF25&lt;&gt;"",BF25,BC89),"")</f>
        <v/>
      </c>
      <c r="BD25" s="812"/>
      <c r="BE25" s="812"/>
      <c r="BF25" s="1753"/>
      <c r="BG25" s="1753"/>
      <c r="BH25" s="1753"/>
      <c r="BI25" s="1753"/>
      <c r="BJ25" s="1753"/>
      <c r="BK25" s="812"/>
      <c r="BL25" s="29"/>
    </row>
    <row r="26" spans="2:64">
      <c r="B26" s="26"/>
      <c r="C26" s="735" t="s">
        <v>4176</v>
      </c>
      <c r="D26" s="845"/>
      <c r="E26" s="1095" t="str">
        <f>IF(E$11&lt;&gt;"",IF(H26&lt;&gt;"",H26,E90),"")</f>
        <v/>
      </c>
      <c r="F26" s="1094"/>
      <c r="G26" s="1094"/>
      <c r="H26" s="1753"/>
      <c r="I26" s="1753"/>
      <c r="J26" s="1753"/>
      <c r="K26" s="1753"/>
      <c r="L26" s="1753"/>
      <c r="M26" s="784"/>
      <c r="N26" s="845"/>
      <c r="O26" s="1095" t="str">
        <f>IF(O$11&lt;&gt;"",IF(R26&lt;&gt;"",R26,O90),"")</f>
        <v/>
      </c>
      <c r="P26" s="1094"/>
      <c r="Q26" s="1094"/>
      <c r="R26" s="1753"/>
      <c r="S26" s="1753"/>
      <c r="T26" s="1753"/>
      <c r="U26" s="1753"/>
      <c r="V26" s="1753"/>
      <c r="W26" s="784"/>
      <c r="X26" s="845"/>
      <c r="Y26" s="1095" t="str">
        <f>IF(Y$11&lt;&gt;"",IF(AB26&lt;&gt;"",AB26,Y90),"")</f>
        <v/>
      </c>
      <c r="Z26" s="1094"/>
      <c r="AA26" s="1094"/>
      <c r="AB26" s="1753"/>
      <c r="AC26" s="1753"/>
      <c r="AD26" s="1753"/>
      <c r="AE26" s="1753"/>
      <c r="AF26" s="1753"/>
      <c r="AG26" s="784"/>
      <c r="AH26" s="845"/>
      <c r="AI26" s="1095" t="str">
        <f>IF(AI$11&lt;&gt;"",IF(AL26&lt;&gt;"",AL26,AI90),"")</f>
        <v/>
      </c>
      <c r="AJ26" s="1094"/>
      <c r="AK26" s="1094"/>
      <c r="AL26" s="1753"/>
      <c r="AM26" s="1753"/>
      <c r="AN26" s="1753"/>
      <c r="AO26" s="1753"/>
      <c r="AP26" s="1753"/>
      <c r="AQ26" s="784"/>
      <c r="AR26" s="845"/>
      <c r="AS26" s="1095" t="str">
        <f>IF(AS$11&lt;&gt;"",IF(AV26&lt;&gt;"",AV26,AS90),"")</f>
        <v/>
      </c>
      <c r="AT26" s="1094"/>
      <c r="AU26" s="1094"/>
      <c r="AV26" s="1753"/>
      <c r="AW26" s="1753"/>
      <c r="AX26" s="1753"/>
      <c r="AY26" s="1753"/>
      <c r="AZ26" s="1753"/>
      <c r="BA26" s="784"/>
      <c r="BB26" s="1098"/>
      <c r="BC26" s="813" t="str">
        <f>IF(BC$11&lt;&gt;"",IF(BF26&lt;&gt;"",BF26,BC90),"")</f>
        <v/>
      </c>
      <c r="BD26" s="812"/>
      <c r="BE26" s="812"/>
      <c r="BF26" s="1753"/>
      <c r="BG26" s="1753"/>
      <c r="BH26" s="1753"/>
      <c r="BI26" s="1753"/>
      <c r="BJ26" s="1753"/>
      <c r="BK26" s="812"/>
      <c r="BL26" s="29"/>
    </row>
    <row r="27" spans="2:64">
      <c r="B27" s="26"/>
      <c r="C27" s="735" t="s">
        <v>4152</v>
      </c>
      <c r="D27" s="845"/>
      <c r="E27" s="1095" t="str">
        <f>IF(E$11&lt;&gt;"",IF(H27&lt;&gt;"",H27,E91),"")</f>
        <v/>
      </c>
      <c r="F27" s="1094"/>
      <c r="G27" s="1094"/>
      <c r="H27" s="1753"/>
      <c r="I27" s="1753"/>
      <c r="J27" s="1753"/>
      <c r="K27" s="1753"/>
      <c r="L27" s="1753"/>
      <c r="M27" s="784"/>
      <c r="N27" s="845"/>
      <c r="O27" s="1095" t="str">
        <f>IF(O$11&lt;&gt;"",IF(R27&lt;&gt;"",R27,O91),"")</f>
        <v/>
      </c>
      <c r="P27" s="1094"/>
      <c r="Q27" s="1094"/>
      <c r="R27" s="1753"/>
      <c r="S27" s="1753"/>
      <c r="T27" s="1753"/>
      <c r="U27" s="1753"/>
      <c r="V27" s="1753"/>
      <c r="W27" s="784"/>
      <c r="X27" s="845"/>
      <c r="Y27" s="1095" t="str">
        <f>IF(Y$11&lt;&gt;"",IF(AB27&lt;&gt;"",AB27,Y91),"")</f>
        <v/>
      </c>
      <c r="Z27" s="1094"/>
      <c r="AA27" s="1094"/>
      <c r="AB27" s="1753"/>
      <c r="AC27" s="1753"/>
      <c r="AD27" s="1753"/>
      <c r="AE27" s="1753"/>
      <c r="AF27" s="1753"/>
      <c r="AG27" s="784"/>
      <c r="AH27" s="845"/>
      <c r="AI27" s="1095" t="str">
        <f>IF(AI$11&lt;&gt;"",IF(AL27&lt;&gt;"",AL27,AI91),"")</f>
        <v/>
      </c>
      <c r="AJ27" s="1094"/>
      <c r="AK27" s="1094"/>
      <c r="AL27" s="1753"/>
      <c r="AM27" s="1753"/>
      <c r="AN27" s="1753"/>
      <c r="AO27" s="1753"/>
      <c r="AP27" s="1753"/>
      <c r="AQ27" s="784"/>
      <c r="AR27" s="845"/>
      <c r="AS27" s="1095" t="str">
        <f>IF(AS$11&lt;&gt;"",IF(AV27&lt;&gt;"",AV27,AS91),"")</f>
        <v/>
      </c>
      <c r="AT27" s="1094"/>
      <c r="AU27" s="1094"/>
      <c r="AV27" s="1753"/>
      <c r="AW27" s="1753"/>
      <c r="AX27" s="1753"/>
      <c r="AY27" s="1753"/>
      <c r="AZ27" s="1753"/>
      <c r="BA27" s="784"/>
      <c r="BB27" s="1098"/>
      <c r="BC27" s="813" t="str">
        <f>IF(BC$11&lt;&gt;"",IF(BF27&lt;&gt;"",BF27,BC91),"")</f>
        <v/>
      </c>
      <c r="BD27" s="812"/>
      <c r="BE27" s="812"/>
      <c r="BF27" s="1753"/>
      <c r="BG27" s="1753"/>
      <c r="BH27" s="1753"/>
      <c r="BI27" s="1753"/>
      <c r="BJ27" s="1753"/>
      <c r="BK27" s="812"/>
      <c r="BL27" s="29"/>
    </row>
    <row r="28" spans="2:64">
      <c r="B28" s="26"/>
      <c r="C28" s="735" t="s">
        <v>73</v>
      </c>
      <c r="D28" s="845"/>
      <c r="E28" s="1741" t="str">
        <f>IF(E$11&lt;&gt;"",IF(H28&lt;&gt;"",H28,E94),"")</f>
        <v/>
      </c>
      <c r="F28" s="1094"/>
      <c r="G28" s="1094"/>
      <c r="H28" s="1842"/>
      <c r="I28" s="1769"/>
      <c r="J28" s="1769"/>
      <c r="K28" s="1769"/>
      <c r="L28" s="1843"/>
      <c r="M28" s="784"/>
      <c r="N28" s="845"/>
      <c r="O28" s="1741" t="str">
        <f>IF(O$11&lt;&gt;"",IF(R28&lt;&gt;"",R28,O94),"")</f>
        <v/>
      </c>
      <c r="P28" s="1094"/>
      <c r="Q28" s="1094"/>
      <c r="R28" s="1842"/>
      <c r="S28" s="1769"/>
      <c r="T28" s="1769"/>
      <c r="U28" s="1769"/>
      <c r="V28" s="1843"/>
      <c r="W28" s="784"/>
      <c r="X28" s="845"/>
      <c r="Y28" s="1741" t="str">
        <f>IF(Y$11&lt;&gt;"",IF(AB28&lt;&gt;"",AB28,Y94),"")</f>
        <v/>
      </c>
      <c r="Z28" s="1094"/>
      <c r="AA28" s="1094"/>
      <c r="AB28" s="1842"/>
      <c r="AC28" s="1769"/>
      <c r="AD28" s="1769"/>
      <c r="AE28" s="1769"/>
      <c r="AF28" s="1843"/>
      <c r="AG28" s="784"/>
      <c r="AH28" s="845"/>
      <c r="AI28" s="1741" t="str">
        <f>IF(AI$11&lt;&gt;"",IF(AL28&lt;&gt;"",AL28,AI94),"")</f>
        <v/>
      </c>
      <c r="AJ28" s="1094"/>
      <c r="AK28" s="1094"/>
      <c r="AL28" s="1842"/>
      <c r="AM28" s="1769"/>
      <c r="AN28" s="1769"/>
      <c r="AO28" s="1769"/>
      <c r="AP28" s="1843"/>
      <c r="AQ28" s="784"/>
      <c r="AR28" s="845"/>
      <c r="AS28" s="1741" t="str">
        <f>IF(AS$11&lt;&gt;"",IF(AV28&lt;&gt;"",AV28,AS94),"")</f>
        <v/>
      </c>
      <c r="AT28" s="1094"/>
      <c r="AU28" s="1094"/>
      <c r="AV28" s="1842"/>
      <c r="AW28" s="1769"/>
      <c r="AX28" s="1769"/>
      <c r="AY28" s="1769"/>
      <c r="AZ28" s="1843"/>
      <c r="BA28" s="784"/>
      <c r="BB28" s="1098"/>
      <c r="BC28" s="1741" t="str">
        <f>IF(BC$11&lt;&gt;"",IF(BF28&lt;&gt;"",BF28,BC94),"")</f>
        <v/>
      </c>
      <c r="BD28" s="812"/>
      <c r="BE28" s="812"/>
      <c r="BF28" s="1842"/>
      <c r="BG28" s="1769"/>
      <c r="BH28" s="1769"/>
      <c r="BI28" s="1769"/>
      <c r="BJ28" s="1843"/>
      <c r="BK28" s="812"/>
      <c r="BL28" s="29"/>
    </row>
    <row r="29" spans="2:64">
      <c r="B29" s="26"/>
      <c r="C29" s="735"/>
      <c r="D29" s="845"/>
      <c r="E29" s="1741"/>
      <c r="F29" s="1094"/>
      <c r="G29" s="1094"/>
      <c r="H29" s="1844"/>
      <c r="I29" s="1845"/>
      <c r="J29" s="1845"/>
      <c r="K29" s="1845"/>
      <c r="L29" s="1846"/>
      <c r="M29" s="784"/>
      <c r="N29" s="845"/>
      <c r="O29" s="1741"/>
      <c r="P29" s="1094"/>
      <c r="Q29" s="1094"/>
      <c r="R29" s="1844"/>
      <c r="S29" s="1845"/>
      <c r="T29" s="1845"/>
      <c r="U29" s="1845"/>
      <c r="V29" s="1846"/>
      <c r="W29" s="784"/>
      <c r="X29" s="845"/>
      <c r="Y29" s="1741"/>
      <c r="Z29" s="1094"/>
      <c r="AA29" s="1094"/>
      <c r="AB29" s="1844"/>
      <c r="AC29" s="1845"/>
      <c r="AD29" s="1845"/>
      <c r="AE29" s="1845"/>
      <c r="AF29" s="1846"/>
      <c r="AG29" s="784"/>
      <c r="AH29" s="845"/>
      <c r="AI29" s="1741"/>
      <c r="AJ29" s="1094"/>
      <c r="AK29" s="1094"/>
      <c r="AL29" s="1844"/>
      <c r="AM29" s="1845"/>
      <c r="AN29" s="1845"/>
      <c r="AO29" s="1845"/>
      <c r="AP29" s="1846"/>
      <c r="AQ29" s="784"/>
      <c r="AR29" s="845"/>
      <c r="AS29" s="1741"/>
      <c r="AT29" s="1094"/>
      <c r="AU29" s="1094"/>
      <c r="AV29" s="1844"/>
      <c r="AW29" s="1845"/>
      <c r="AX29" s="1845"/>
      <c r="AY29" s="1845"/>
      <c r="AZ29" s="1846"/>
      <c r="BA29" s="784"/>
      <c r="BB29" s="1098"/>
      <c r="BC29" s="1741"/>
      <c r="BD29" s="812"/>
      <c r="BE29" s="812"/>
      <c r="BF29" s="1844"/>
      <c r="BG29" s="1845"/>
      <c r="BH29" s="1845"/>
      <c r="BI29" s="1845"/>
      <c r="BJ29" s="1846"/>
      <c r="BK29" s="812"/>
      <c r="BL29" s="29"/>
    </row>
    <row r="30" spans="2:64">
      <c r="B30" s="26"/>
      <c r="C30" s="735"/>
      <c r="D30" s="845"/>
      <c r="E30" s="1741"/>
      <c r="F30" s="1094"/>
      <c r="G30" s="1094"/>
      <c r="H30" s="1844"/>
      <c r="I30" s="1845"/>
      <c r="J30" s="1845"/>
      <c r="K30" s="1845"/>
      <c r="L30" s="1846"/>
      <c r="M30" s="784"/>
      <c r="N30" s="845"/>
      <c r="O30" s="1741"/>
      <c r="P30" s="1094"/>
      <c r="Q30" s="1094"/>
      <c r="R30" s="1844"/>
      <c r="S30" s="1845"/>
      <c r="T30" s="1845"/>
      <c r="U30" s="1845"/>
      <c r="V30" s="1846"/>
      <c r="W30" s="784"/>
      <c r="X30" s="845"/>
      <c r="Y30" s="1741"/>
      <c r="Z30" s="1094"/>
      <c r="AA30" s="1094"/>
      <c r="AB30" s="1844"/>
      <c r="AC30" s="1845"/>
      <c r="AD30" s="1845"/>
      <c r="AE30" s="1845"/>
      <c r="AF30" s="1846"/>
      <c r="AG30" s="784"/>
      <c r="AH30" s="845"/>
      <c r="AI30" s="1741"/>
      <c r="AJ30" s="1094"/>
      <c r="AK30" s="1094"/>
      <c r="AL30" s="1844"/>
      <c r="AM30" s="1845"/>
      <c r="AN30" s="1845"/>
      <c r="AO30" s="1845"/>
      <c r="AP30" s="1846"/>
      <c r="AQ30" s="784"/>
      <c r="AR30" s="845"/>
      <c r="AS30" s="1741"/>
      <c r="AT30" s="1094"/>
      <c r="AU30" s="1094"/>
      <c r="AV30" s="1844"/>
      <c r="AW30" s="1845"/>
      <c r="AX30" s="1845"/>
      <c r="AY30" s="1845"/>
      <c r="AZ30" s="1846"/>
      <c r="BA30" s="784"/>
      <c r="BB30" s="1098"/>
      <c r="BC30" s="1741"/>
      <c r="BD30" s="812"/>
      <c r="BE30" s="812"/>
      <c r="BF30" s="1844"/>
      <c r="BG30" s="1845"/>
      <c r="BH30" s="1845"/>
      <c r="BI30" s="1845"/>
      <c r="BJ30" s="1846"/>
      <c r="BK30" s="812"/>
      <c r="BL30" s="29"/>
    </row>
    <row r="31" spans="2:64">
      <c r="B31" s="26"/>
      <c r="C31" s="735"/>
      <c r="D31" s="845"/>
      <c r="E31" s="1741"/>
      <c r="F31" s="1094"/>
      <c r="G31" s="1094"/>
      <c r="H31" s="1844"/>
      <c r="I31" s="1845"/>
      <c r="J31" s="1845"/>
      <c r="K31" s="1845"/>
      <c r="L31" s="1846"/>
      <c r="M31" s="784"/>
      <c r="N31" s="845"/>
      <c r="O31" s="1741"/>
      <c r="P31" s="1094"/>
      <c r="Q31" s="1094"/>
      <c r="R31" s="1844"/>
      <c r="S31" s="1845"/>
      <c r="T31" s="1845"/>
      <c r="U31" s="1845"/>
      <c r="V31" s="1846"/>
      <c r="W31" s="784"/>
      <c r="X31" s="845"/>
      <c r="Y31" s="1741"/>
      <c r="Z31" s="1094"/>
      <c r="AA31" s="1094"/>
      <c r="AB31" s="1844"/>
      <c r="AC31" s="1845"/>
      <c r="AD31" s="1845"/>
      <c r="AE31" s="1845"/>
      <c r="AF31" s="1846"/>
      <c r="AG31" s="784"/>
      <c r="AH31" s="845"/>
      <c r="AI31" s="1741"/>
      <c r="AJ31" s="1094"/>
      <c r="AK31" s="1094"/>
      <c r="AL31" s="1844"/>
      <c r="AM31" s="1845"/>
      <c r="AN31" s="1845"/>
      <c r="AO31" s="1845"/>
      <c r="AP31" s="1846"/>
      <c r="AQ31" s="784"/>
      <c r="AR31" s="845"/>
      <c r="AS31" s="1741"/>
      <c r="AT31" s="1094"/>
      <c r="AU31" s="1094"/>
      <c r="AV31" s="1844"/>
      <c r="AW31" s="1845"/>
      <c r="AX31" s="1845"/>
      <c r="AY31" s="1845"/>
      <c r="AZ31" s="1846"/>
      <c r="BA31" s="784"/>
      <c r="BB31" s="1098"/>
      <c r="BC31" s="1741"/>
      <c r="BD31" s="812"/>
      <c r="BE31" s="812"/>
      <c r="BF31" s="1844"/>
      <c r="BG31" s="1845"/>
      <c r="BH31" s="1845"/>
      <c r="BI31" s="1845"/>
      <c r="BJ31" s="1846"/>
      <c r="BK31" s="812"/>
      <c r="BL31" s="29"/>
    </row>
    <row r="32" spans="2:64">
      <c r="B32" s="26"/>
      <c r="C32" s="735"/>
      <c r="D32" s="845"/>
      <c r="E32" s="1741"/>
      <c r="F32" s="1094"/>
      <c r="G32" s="1094"/>
      <c r="H32" s="1847"/>
      <c r="I32" s="1848"/>
      <c r="J32" s="1848"/>
      <c r="K32" s="1848"/>
      <c r="L32" s="1849"/>
      <c r="M32" s="784"/>
      <c r="N32" s="845"/>
      <c r="O32" s="1741"/>
      <c r="P32" s="1094"/>
      <c r="Q32" s="1094"/>
      <c r="R32" s="1847"/>
      <c r="S32" s="1848"/>
      <c r="T32" s="1848"/>
      <c r="U32" s="1848"/>
      <c r="V32" s="1849"/>
      <c r="W32" s="784"/>
      <c r="X32" s="845"/>
      <c r="Y32" s="1741"/>
      <c r="Z32" s="1094"/>
      <c r="AA32" s="1094"/>
      <c r="AB32" s="1847"/>
      <c r="AC32" s="1848"/>
      <c r="AD32" s="1848"/>
      <c r="AE32" s="1848"/>
      <c r="AF32" s="1849"/>
      <c r="AG32" s="784"/>
      <c r="AH32" s="845"/>
      <c r="AI32" s="1741"/>
      <c r="AJ32" s="1094"/>
      <c r="AK32" s="1094"/>
      <c r="AL32" s="1847"/>
      <c r="AM32" s="1848"/>
      <c r="AN32" s="1848"/>
      <c r="AO32" s="1848"/>
      <c r="AP32" s="1849"/>
      <c r="AQ32" s="784"/>
      <c r="AR32" s="845"/>
      <c r="AS32" s="1741"/>
      <c r="AT32" s="1094"/>
      <c r="AU32" s="1094"/>
      <c r="AV32" s="1847"/>
      <c r="AW32" s="1848"/>
      <c r="AX32" s="1848"/>
      <c r="AY32" s="1848"/>
      <c r="AZ32" s="1849"/>
      <c r="BA32" s="784"/>
      <c r="BB32" s="1098"/>
      <c r="BC32" s="1741"/>
      <c r="BD32" s="812"/>
      <c r="BE32" s="812"/>
      <c r="BF32" s="1847"/>
      <c r="BG32" s="1848"/>
      <c r="BH32" s="1848"/>
      <c r="BI32" s="1848"/>
      <c r="BJ32" s="1849"/>
      <c r="BK32" s="812"/>
      <c r="BL32" s="29"/>
    </row>
    <row r="33" spans="2:65">
      <c r="B33" s="26"/>
      <c r="C33" s="735" t="s">
        <v>106</v>
      </c>
      <c r="D33" s="845"/>
      <c r="E33" s="528" t="str">
        <f>IF(E$11&lt;&gt;"",IF(H33&lt;&gt;"",H33,E97),"")</f>
        <v/>
      </c>
      <c r="F33" s="1094"/>
      <c r="G33" s="1094"/>
      <c r="H33" s="1753"/>
      <c r="I33" s="1753"/>
      <c r="J33" s="1753"/>
      <c r="K33" s="1753"/>
      <c r="L33" s="1753"/>
      <c r="M33" s="784"/>
      <c r="N33" s="845"/>
      <c r="O33" s="528" t="str">
        <f>IF(O$11&lt;&gt;"",IF(R33&lt;&gt;"",R33,O97),"")</f>
        <v/>
      </c>
      <c r="P33" s="1094"/>
      <c r="Q33" s="1094"/>
      <c r="R33" s="1753"/>
      <c r="S33" s="1753"/>
      <c r="T33" s="1753"/>
      <c r="U33" s="1753"/>
      <c r="V33" s="1753"/>
      <c r="W33" s="784"/>
      <c r="X33" s="845"/>
      <c r="Y33" s="528" t="str">
        <f>IF(Y$11&lt;&gt;"",IF(AB33&lt;&gt;"",AB33,Y97),"")</f>
        <v/>
      </c>
      <c r="Z33" s="1094"/>
      <c r="AA33" s="1094"/>
      <c r="AB33" s="1753"/>
      <c r="AC33" s="1753"/>
      <c r="AD33" s="1753"/>
      <c r="AE33" s="1753"/>
      <c r="AF33" s="1753"/>
      <c r="AG33" s="784"/>
      <c r="AH33" s="845"/>
      <c r="AI33" s="528" t="str">
        <f>IF(AI$11&lt;&gt;"",IF(AL33&lt;&gt;"",AL33,AI97),"")</f>
        <v/>
      </c>
      <c r="AJ33" s="1094"/>
      <c r="AK33" s="1094"/>
      <c r="AL33" s="1753"/>
      <c r="AM33" s="1753"/>
      <c r="AN33" s="1753"/>
      <c r="AO33" s="1753"/>
      <c r="AP33" s="1753"/>
      <c r="AQ33" s="784"/>
      <c r="AR33" s="845"/>
      <c r="AS33" s="528" t="str">
        <f>IF(AS$11&lt;&gt;"",IF(AV33&lt;&gt;"",AV33,AS97),"")</f>
        <v/>
      </c>
      <c r="AT33" s="1094"/>
      <c r="AU33" s="1094"/>
      <c r="AV33" s="1753"/>
      <c r="AW33" s="1753"/>
      <c r="AX33" s="1753"/>
      <c r="AY33" s="1753"/>
      <c r="AZ33" s="1753"/>
      <c r="BA33" s="784"/>
      <c r="BB33" s="1098"/>
      <c r="BC33" s="528" t="str">
        <f>IF(BC$11&lt;&gt;"",IF(BF33&lt;&gt;"",BF33,BC97),"")</f>
        <v/>
      </c>
      <c r="BD33" s="812"/>
      <c r="BE33" s="812"/>
      <c r="BF33" s="1753"/>
      <c r="BG33" s="1753"/>
      <c r="BH33" s="1753"/>
      <c r="BI33" s="1753"/>
      <c r="BJ33" s="1753"/>
      <c r="BK33" s="812"/>
      <c r="BL33" s="29"/>
    </row>
    <row r="34" spans="2:65">
      <c r="B34" s="26"/>
      <c r="C34" s="735" t="s">
        <v>4156</v>
      </c>
      <c r="D34" s="845"/>
      <c r="E34" s="1095" t="str">
        <f>IF(E$11&lt;&gt;"",IF(H34&lt;&gt;"",H34,E98),"")</f>
        <v/>
      </c>
      <c r="F34" s="1094"/>
      <c r="G34" s="1094"/>
      <c r="H34" s="1753"/>
      <c r="I34" s="1753"/>
      <c r="J34" s="1753"/>
      <c r="K34" s="1753"/>
      <c r="L34" s="1753"/>
      <c r="M34" s="784"/>
      <c r="N34" s="845"/>
      <c r="O34" s="1095" t="str">
        <f>IF(O$11&lt;&gt;"",IF(R34&lt;&gt;"",R34,O98),"")</f>
        <v/>
      </c>
      <c r="P34" s="1094"/>
      <c r="Q34" s="1094"/>
      <c r="R34" s="1753"/>
      <c r="S34" s="1753"/>
      <c r="T34" s="1753"/>
      <c r="U34" s="1753"/>
      <c r="V34" s="1753"/>
      <c r="W34" s="784"/>
      <c r="X34" s="845"/>
      <c r="Y34" s="1095" t="str">
        <f>IF(Y$11&lt;&gt;"",IF(AB34&lt;&gt;"",AB34,Y98),"")</f>
        <v/>
      </c>
      <c r="Z34" s="1094"/>
      <c r="AA34" s="1094"/>
      <c r="AB34" s="1753"/>
      <c r="AC34" s="1753"/>
      <c r="AD34" s="1753"/>
      <c r="AE34" s="1753"/>
      <c r="AF34" s="1753"/>
      <c r="AG34" s="784"/>
      <c r="AH34" s="845"/>
      <c r="AI34" s="1095" t="str">
        <f>IF(AI$11&lt;&gt;"",IF(AL34&lt;&gt;"",AL34,AI98),"")</f>
        <v/>
      </c>
      <c r="AJ34" s="1094"/>
      <c r="AK34" s="1094"/>
      <c r="AL34" s="1753"/>
      <c r="AM34" s="1753"/>
      <c r="AN34" s="1753"/>
      <c r="AO34" s="1753"/>
      <c r="AP34" s="1753"/>
      <c r="AQ34" s="784"/>
      <c r="AR34" s="845"/>
      <c r="AS34" s="1095" t="str">
        <f>IF(AS$11&lt;&gt;"",IF(AV34&lt;&gt;"",AV34,AS98),"")</f>
        <v/>
      </c>
      <c r="AT34" s="1094"/>
      <c r="AU34" s="1094"/>
      <c r="AV34" s="1753"/>
      <c r="AW34" s="1753"/>
      <c r="AX34" s="1753"/>
      <c r="AY34" s="1753"/>
      <c r="AZ34" s="1753"/>
      <c r="BA34" s="784"/>
      <c r="BB34" s="1098"/>
      <c r="BC34" s="813" t="str">
        <f>IF(BC$11&lt;&gt;"",IF(BF34&lt;&gt;"",BF34,BC98),"")</f>
        <v/>
      </c>
      <c r="BD34" s="812"/>
      <c r="BE34" s="812"/>
      <c r="BF34" s="1753"/>
      <c r="BG34" s="1753"/>
      <c r="BH34" s="1753"/>
      <c r="BI34" s="1753"/>
      <c r="BJ34" s="1753"/>
      <c r="BK34" s="812"/>
      <c r="BL34" s="29"/>
    </row>
    <row r="35" spans="2:65">
      <c r="B35" s="26"/>
      <c r="C35" s="735" t="s">
        <v>104</v>
      </c>
      <c r="D35" s="845"/>
      <c r="E35" s="1095" t="str">
        <f>IF(E$11&lt;&gt;"",IF(H35&lt;&gt;"",H35,INDEX(AvailabilityTable,MATCH(INDEX(WeaponTable,MATCH(E$11,WeaponList,0),14),AvailList,0),2)),"")</f>
        <v/>
      </c>
      <c r="F35" s="1094"/>
      <c r="G35" s="1094"/>
      <c r="H35" s="1753"/>
      <c r="I35" s="1753"/>
      <c r="J35" s="1753"/>
      <c r="K35" s="1753"/>
      <c r="L35" s="1753"/>
      <c r="M35" s="784"/>
      <c r="N35" s="845"/>
      <c r="O35" s="1095" t="str">
        <f>IF(O$11&lt;&gt;"",IF(R35&lt;&gt;"",R35,INDEX(AvailabilityTable,MATCH(INDEX(WeaponTable,MATCH(O$11,WeaponList,0),14),AvailList,0),2)),"")</f>
        <v/>
      </c>
      <c r="P35" s="1094"/>
      <c r="Q35" s="1094"/>
      <c r="R35" s="1753"/>
      <c r="S35" s="1753"/>
      <c r="T35" s="1753"/>
      <c r="U35" s="1753"/>
      <c r="V35" s="1753"/>
      <c r="W35" s="784"/>
      <c r="X35" s="845"/>
      <c r="Y35" s="1095" t="str">
        <f>IF(Y$11&lt;&gt;"",IF(AB35&lt;&gt;"",AB35,INDEX(AvailabilityTable,MATCH(INDEX(WeaponTable,MATCH(Y$11,WeaponList,0),14),AvailList,0),2)),"")</f>
        <v/>
      </c>
      <c r="Z35" s="1094"/>
      <c r="AA35" s="1094"/>
      <c r="AB35" s="1753"/>
      <c r="AC35" s="1753"/>
      <c r="AD35" s="1753"/>
      <c r="AE35" s="1753"/>
      <c r="AF35" s="1753"/>
      <c r="AG35" s="784"/>
      <c r="AH35" s="845"/>
      <c r="AI35" s="1095" t="str">
        <f>IF(AI$11&lt;&gt;"",IF(AL35&lt;&gt;"",AL35,INDEX(AvailabilityTable,MATCH(INDEX(WeaponTable,MATCH(AI$11,WeaponList,0),14),AvailList,0),2)),"")</f>
        <v/>
      </c>
      <c r="AJ35" s="1094"/>
      <c r="AK35" s="1094"/>
      <c r="AL35" s="1753"/>
      <c r="AM35" s="1753"/>
      <c r="AN35" s="1753"/>
      <c r="AO35" s="1753"/>
      <c r="AP35" s="1753"/>
      <c r="AQ35" s="784"/>
      <c r="AR35" s="845"/>
      <c r="AS35" s="1095" t="str">
        <f>IF(AS$11&lt;&gt;"",IF(AV35&lt;&gt;"",AV35,INDEX(AvailabilityTable,MATCH(INDEX(WeaponTable,MATCH(AS$11,WeaponList,0),14),AvailList,0),2)),"")</f>
        <v/>
      </c>
      <c r="AT35" s="1094"/>
      <c r="AU35" s="1094"/>
      <c r="AV35" s="1753"/>
      <c r="AW35" s="1753"/>
      <c r="AX35" s="1753"/>
      <c r="AY35" s="1753"/>
      <c r="AZ35" s="1753"/>
      <c r="BA35" s="784"/>
      <c r="BB35" s="1098"/>
      <c r="BC35" s="813" t="str">
        <f>IF(BC$11&lt;&gt;"",IF(BF35&lt;&gt;"",BF35,INDEX(AvailabilityTable,MATCH(INDEX(WeaponTable,MATCH(BC$11,WeaponList,0),14),AvailList,0),2)),"")</f>
        <v/>
      </c>
      <c r="BD35" s="812"/>
      <c r="BE35" s="812"/>
      <c r="BF35" s="1753"/>
      <c r="BG35" s="1753"/>
      <c r="BH35" s="1753"/>
      <c r="BI35" s="1753"/>
      <c r="BJ35" s="1753"/>
      <c r="BK35" s="812"/>
      <c r="BL35" s="29"/>
    </row>
    <row r="36" spans="2:65">
      <c r="B36" s="26"/>
      <c r="C36" s="735" t="s">
        <v>4157</v>
      </c>
      <c r="D36" s="845"/>
      <c r="E36" s="1095" t="str">
        <f>IF(E$11&lt;&gt;"",IF(H36&lt;&gt;"",H36,IF(ISERROR(INDEX(AvailabilityTable,MATCH(INDEX(WeaponTable,MATCH(E$11,WeaponList,0),15),AvailList,0),2)),"",INDEX(AvailabilityTable,MATCH(INDEX(WeaponTable,MATCH(E$11,WeaponList,0),15),AvailList,0),2))),"")</f>
        <v/>
      </c>
      <c r="F36" s="1094"/>
      <c r="G36" s="1094"/>
      <c r="H36" s="1753"/>
      <c r="I36" s="1753"/>
      <c r="J36" s="1753"/>
      <c r="K36" s="1753"/>
      <c r="L36" s="1753"/>
      <c r="M36" s="784"/>
      <c r="N36" s="845"/>
      <c r="O36" s="1095" t="str">
        <f>IF(O$11&lt;&gt;"",IF(R36&lt;&gt;"",R36,IF(ISERROR(INDEX(AvailabilityTable,MATCH(INDEX(WeaponTable,MATCH(O$11,WeaponList,0),15),AvailList,0),2)),"",INDEX(AvailabilityTable,MATCH(INDEX(WeaponTable,MATCH(O$11,WeaponList,0),15),AvailList,0),2))),"")</f>
        <v/>
      </c>
      <c r="P36" s="1094"/>
      <c r="Q36" s="1094"/>
      <c r="R36" s="1753"/>
      <c r="S36" s="1753"/>
      <c r="T36" s="1753"/>
      <c r="U36" s="1753"/>
      <c r="V36" s="1753"/>
      <c r="W36" s="784"/>
      <c r="X36" s="845"/>
      <c r="Y36" s="1095" t="str">
        <f>IF(Y$11&lt;&gt;"",IF(AB36&lt;&gt;"",AB36,IF(ISERROR(INDEX(AvailabilityTable,MATCH(INDEX(WeaponTable,MATCH(Y$11,WeaponList,0),15),AvailList,0),2)),"",INDEX(AvailabilityTable,MATCH(INDEX(WeaponTable,MATCH(Y$11,WeaponList,0),15),AvailList,0),2))),"")</f>
        <v/>
      </c>
      <c r="Z36" s="1094"/>
      <c r="AA36" s="1094"/>
      <c r="AB36" s="1753"/>
      <c r="AC36" s="1753"/>
      <c r="AD36" s="1753"/>
      <c r="AE36" s="1753"/>
      <c r="AF36" s="1753"/>
      <c r="AG36" s="784"/>
      <c r="AH36" s="845"/>
      <c r="AI36" s="1095" t="str">
        <f>IF(AI$11&lt;&gt;"",IF(AL36&lt;&gt;"",AL36,IF(ISERROR(INDEX(AvailabilityTable,MATCH(INDEX(WeaponTable,MATCH(AI$11,WeaponList,0),15),AvailList,0),2)),"",INDEX(AvailabilityTable,MATCH(INDEX(WeaponTable,MATCH(AI$11,WeaponList,0),15),AvailList,0),2))),"")</f>
        <v/>
      </c>
      <c r="AJ36" s="1094"/>
      <c r="AK36" s="1094"/>
      <c r="AL36" s="1753"/>
      <c r="AM36" s="1753"/>
      <c r="AN36" s="1753"/>
      <c r="AO36" s="1753"/>
      <c r="AP36" s="1753"/>
      <c r="AQ36" s="784"/>
      <c r="AR36" s="845"/>
      <c r="AS36" s="1095" t="str">
        <f>IF(AS$11&lt;&gt;"",IF(AV36&lt;&gt;"",AV36,IF(ISERROR(INDEX(AvailabilityTable,MATCH(INDEX(WeaponTable,MATCH(AS$11,WeaponList,0),15),AvailList,0),2)),"",INDEX(AvailabilityTable,MATCH(INDEX(WeaponTable,MATCH(AS$11,WeaponList,0),15),AvailList,0),2))),"")</f>
        <v/>
      </c>
      <c r="AT36" s="1094"/>
      <c r="AU36" s="1094"/>
      <c r="AV36" s="1753"/>
      <c r="AW36" s="1753"/>
      <c r="AX36" s="1753"/>
      <c r="AY36" s="1753"/>
      <c r="AZ36" s="1753"/>
      <c r="BA36" s="784"/>
      <c r="BB36" s="1098"/>
      <c r="BC36" s="813" t="str">
        <f>IF(BC$11&lt;&gt;"",IF(BF36&lt;&gt;"",BF36,IF(ISERROR(INDEX(AvailabilityTable,MATCH(INDEX(WeaponTable,MATCH(BC$11,WeaponList,0),15),AvailList,0),2)),"",INDEX(AvailabilityTable,MATCH(INDEX(WeaponTable,MATCH(BC$11,WeaponList,0),15),AvailList,0),2))),"")</f>
        <v/>
      </c>
      <c r="BD36" s="812"/>
      <c r="BE36" s="812"/>
      <c r="BF36" s="1753"/>
      <c r="BG36" s="1753"/>
      <c r="BH36" s="1753"/>
      <c r="BI36" s="1753"/>
      <c r="BJ36" s="1753"/>
      <c r="BK36" s="812"/>
      <c r="BL36" s="29"/>
    </row>
    <row r="37" spans="2:65">
      <c r="B37" s="26"/>
      <c r="C37" s="735"/>
      <c r="D37" s="845"/>
      <c r="E37" s="1095"/>
      <c r="F37" s="1094"/>
      <c r="G37" s="1094"/>
      <c r="H37" s="1106"/>
      <c r="I37" s="1106"/>
      <c r="J37" s="1106"/>
      <c r="K37" s="1106"/>
      <c r="L37" s="1106"/>
      <c r="M37" s="784"/>
      <c r="N37" s="845"/>
      <c r="O37" s="1095"/>
      <c r="P37" s="1094"/>
      <c r="Q37" s="1094"/>
      <c r="R37" s="1106"/>
      <c r="S37" s="1106"/>
      <c r="T37" s="1106"/>
      <c r="U37" s="1106"/>
      <c r="V37" s="1106"/>
      <c r="W37" s="784"/>
      <c r="X37" s="845"/>
      <c r="Y37" s="1095"/>
      <c r="Z37" s="1094"/>
      <c r="AA37" s="1094"/>
      <c r="AB37" s="1106"/>
      <c r="AC37" s="1106"/>
      <c r="AD37" s="1106"/>
      <c r="AE37" s="1106"/>
      <c r="AF37" s="1106"/>
      <c r="AG37" s="784"/>
      <c r="AH37" s="845"/>
      <c r="AI37" s="1095"/>
      <c r="AJ37" s="1094"/>
      <c r="AK37" s="1094"/>
      <c r="AL37" s="1106"/>
      <c r="AM37" s="1106"/>
      <c r="AN37" s="1106"/>
      <c r="AO37" s="1106"/>
      <c r="AP37" s="1106"/>
      <c r="AQ37" s="784"/>
      <c r="AR37" s="845"/>
      <c r="AS37" s="1095"/>
      <c r="AT37" s="1094"/>
      <c r="AU37" s="1094"/>
      <c r="AV37" s="1106"/>
      <c r="AW37" s="1106"/>
      <c r="AX37" s="1106"/>
      <c r="AY37" s="1106"/>
      <c r="AZ37" s="1106"/>
      <c r="BA37" s="784"/>
      <c r="BB37" s="1098"/>
      <c r="BC37" s="813"/>
      <c r="BD37" s="812"/>
      <c r="BE37" s="812"/>
      <c r="BF37" s="822"/>
      <c r="BG37" s="822"/>
      <c r="BH37" s="822"/>
      <c r="BI37" s="822"/>
      <c r="BJ37" s="822"/>
      <c r="BK37" s="812"/>
      <c r="BL37" s="29"/>
    </row>
    <row r="38" spans="2:65">
      <c r="B38" s="26"/>
      <c r="C38" s="735" t="s">
        <v>3733</v>
      </c>
      <c r="D38" s="845"/>
      <c r="E38" s="526" t="str">
        <f>IF(E$11&lt;&gt;"",IF(H38&lt;&gt;"",H38,E102),"")</f>
        <v/>
      </c>
      <c r="F38" s="1094"/>
      <c r="G38" s="1094"/>
      <c r="H38" s="1753"/>
      <c r="I38" s="1753"/>
      <c r="J38" s="1753"/>
      <c r="K38" s="1753"/>
      <c r="L38" s="1753"/>
      <c r="M38" s="784"/>
      <c r="N38" s="845"/>
      <c r="O38" s="526" t="str">
        <f>IF(O$11&lt;&gt;"",IF(R38&lt;&gt;"",R38,O102),"")</f>
        <v/>
      </c>
      <c r="P38" s="1094"/>
      <c r="Q38" s="1094"/>
      <c r="R38" s="1753"/>
      <c r="S38" s="1753"/>
      <c r="T38" s="1753"/>
      <c r="U38" s="1753"/>
      <c r="V38" s="1753"/>
      <c r="W38" s="784"/>
      <c r="X38" s="845"/>
      <c r="Y38" s="526" t="str">
        <f>IF(Y$11&lt;&gt;"",IF(AB38&lt;&gt;"",AB38,Y102),"")</f>
        <v/>
      </c>
      <c r="Z38" s="1094"/>
      <c r="AA38" s="1094"/>
      <c r="AB38" s="1753"/>
      <c r="AC38" s="1753"/>
      <c r="AD38" s="1753"/>
      <c r="AE38" s="1753"/>
      <c r="AF38" s="1753"/>
      <c r="AG38" s="784"/>
      <c r="AH38" s="845"/>
      <c r="AI38" s="526" t="str">
        <f>IF(AI$11&lt;&gt;"",IF(AL38&lt;&gt;"",AL38,AI102),"")</f>
        <v/>
      </c>
      <c r="AJ38" s="1094"/>
      <c r="AK38" s="1094"/>
      <c r="AL38" s="1753"/>
      <c r="AM38" s="1753"/>
      <c r="AN38" s="1753"/>
      <c r="AO38" s="1753"/>
      <c r="AP38" s="1753"/>
      <c r="AQ38" s="784"/>
      <c r="AR38" s="845"/>
      <c r="AS38" s="526" t="str">
        <f>IF(AS$11&lt;&gt;"",IF(AV38&lt;&gt;"",AV38,AS102),"")</f>
        <v/>
      </c>
      <c r="AT38" s="1094"/>
      <c r="AU38" s="1094"/>
      <c r="AV38" s="1753"/>
      <c r="AW38" s="1753"/>
      <c r="AX38" s="1753"/>
      <c r="AY38" s="1753"/>
      <c r="AZ38" s="1753"/>
      <c r="BA38" s="784"/>
      <c r="BB38" s="1098"/>
      <c r="BC38" s="526" t="str">
        <f>IF(BC$11&lt;&gt;"",IF(BF38&lt;&gt;"",BF38,BC102),"")</f>
        <v/>
      </c>
      <c r="BD38" s="812"/>
      <c r="BE38" s="812"/>
      <c r="BF38" s="1753"/>
      <c r="BG38" s="1753"/>
      <c r="BH38" s="1753"/>
      <c r="BI38" s="1753"/>
      <c r="BJ38" s="1753"/>
      <c r="BK38" s="812"/>
      <c r="BL38" s="29"/>
    </row>
    <row r="39" spans="2:65">
      <c r="B39" s="26"/>
      <c r="C39" s="735" t="s">
        <v>3732</v>
      </c>
      <c r="D39" s="845"/>
      <c r="E39" s="526" t="str">
        <f>IF(E$11&lt;&gt;"",IF(H39&lt;&gt;"",H39,E106),"")</f>
        <v/>
      </c>
      <c r="F39" s="1094"/>
      <c r="G39" s="1094"/>
      <c r="H39" s="1753"/>
      <c r="I39" s="1753"/>
      <c r="J39" s="1753"/>
      <c r="K39" s="1753"/>
      <c r="L39" s="1753"/>
      <c r="M39" s="784"/>
      <c r="N39" s="845"/>
      <c r="O39" s="526" t="str">
        <f>IF(O$11&lt;&gt;"",IF(R39&lt;&gt;"",R39,O106),"")</f>
        <v/>
      </c>
      <c r="P39" s="1094"/>
      <c r="Q39" s="1094"/>
      <c r="R39" s="1753"/>
      <c r="S39" s="1753"/>
      <c r="T39" s="1753"/>
      <c r="U39" s="1753"/>
      <c r="V39" s="1753"/>
      <c r="W39" s="784"/>
      <c r="X39" s="845"/>
      <c r="Y39" s="526" t="str">
        <f>IF(Y$11&lt;&gt;"",IF(AB39&lt;&gt;"",AB39,Y106),"")</f>
        <v/>
      </c>
      <c r="Z39" s="1094"/>
      <c r="AA39" s="1094"/>
      <c r="AB39" s="1753"/>
      <c r="AC39" s="1753"/>
      <c r="AD39" s="1753"/>
      <c r="AE39" s="1753"/>
      <c r="AF39" s="1753"/>
      <c r="AG39" s="784"/>
      <c r="AH39" s="845"/>
      <c r="AI39" s="526" t="str">
        <f>IF(AI$11&lt;&gt;"",IF(AL39&lt;&gt;"",AL39,AI106),"")</f>
        <v/>
      </c>
      <c r="AJ39" s="1094"/>
      <c r="AK39" s="1094"/>
      <c r="AL39" s="1753"/>
      <c r="AM39" s="1753"/>
      <c r="AN39" s="1753"/>
      <c r="AO39" s="1753"/>
      <c r="AP39" s="1753"/>
      <c r="AQ39" s="784"/>
      <c r="AR39" s="845"/>
      <c r="AS39" s="526" t="str">
        <f>IF(AS$11&lt;&gt;"",IF(AV39&lt;&gt;"",AV39,AS106),"")</f>
        <v/>
      </c>
      <c r="AT39" s="1094"/>
      <c r="AU39" s="1094"/>
      <c r="AV39" s="1753"/>
      <c r="AW39" s="1753"/>
      <c r="AX39" s="1753"/>
      <c r="AY39" s="1753"/>
      <c r="AZ39" s="1753"/>
      <c r="BA39" s="784"/>
      <c r="BB39" s="1098"/>
      <c r="BC39" s="526" t="str">
        <f>IF(BC$11&lt;&gt;"",IF(BF39&lt;&gt;"",BF39,BC106),"")</f>
        <v/>
      </c>
      <c r="BD39" s="812"/>
      <c r="BE39" s="812"/>
      <c r="BF39" s="1753"/>
      <c r="BG39" s="1753"/>
      <c r="BH39" s="1753"/>
      <c r="BI39" s="1753"/>
      <c r="BJ39" s="1753"/>
      <c r="BK39" s="812"/>
      <c r="BL39" s="29"/>
    </row>
    <row r="40" spans="2:65">
      <c r="B40" s="26"/>
      <c r="C40" s="734"/>
      <c r="D40" s="848"/>
      <c r="E40" s="1095"/>
      <c r="F40" s="1094"/>
      <c r="G40" s="1094"/>
      <c r="H40" s="1106"/>
      <c r="I40" s="1106"/>
      <c r="J40" s="1106"/>
      <c r="K40" s="1106"/>
      <c r="L40" s="1106"/>
      <c r="M40" s="784"/>
      <c r="N40" s="848"/>
      <c r="O40" s="1095"/>
      <c r="P40" s="1094"/>
      <c r="Q40" s="1094"/>
      <c r="R40" s="1106"/>
      <c r="S40" s="1106"/>
      <c r="T40" s="1106"/>
      <c r="U40" s="1106"/>
      <c r="V40" s="1106"/>
      <c r="W40" s="784"/>
      <c r="X40" s="848"/>
      <c r="Y40" s="1095"/>
      <c r="Z40" s="1094"/>
      <c r="AA40" s="1094"/>
      <c r="AB40" s="1106"/>
      <c r="AC40" s="1106"/>
      <c r="AD40" s="1106"/>
      <c r="AE40" s="1106"/>
      <c r="AF40" s="1106"/>
      <c r="AG40" s="784"/>
      <c r="AH40" s="848"/>
      <c r="AI40" s="1095"/>
      <c r="AJ40" s="1094"/>
      <c r="AK40" s="1094"/>
      <c r="AL40" s="1106"/>
      <c r="AM40" s="1106"/>
      <c r="AN40" s="1106"/>
      <c r="AO40" s="1106"/>
      <c r="AP40" s="1106"/>
      <c r="AQ40" s="784"/>
      <c r="AR40" s="848"/>
      <c r="AS40" s="1095"/>
      <c r="AT40" s="1094"/>
      <c r="AU40" s="1094"/>
      <c r="AV40" s="1106"/>
      <c r="AW40" s="1106"/>
      <c r="AX40" s="1106"/>
      <c r="AY40" s="1106"/>
      <c r="AZ40" s="1106"/>
      <c r="BA40" s="784"/>
      <c r="BB40" s="1094"/>
      <c r="BC40" s="813"/>
      <c r="BD40" s="812"/>
      <c r="BE40" s="812"/>
      <c r="BF40" s="822"/>
      <c r="BG40" s="822"/>
      <c r="BH40" s="822"/>
      <c r="BI40" s="822"/>
      <c r="BJ40" s="822"/>
      <c r="BK40" s="812"/>
      <c r="BL40" s="29"/>
    </row>
    <row r="41" spans="2:65">
      <c r="B41" s="26"/>
      <c r="C41" s="735" t="s">
        <v>4160</v>
      </c>
      <c r="D41" s="845"/>
      <c r="E41" s="1095" t="str">
        <f>IF(E$11&lt;&gt;"",IF(H41&lt;&gt;"",H41,IF(INDEX(WeaponTable,MATCH(E$11,WeaponList,0),6)="u","",INDEX(WeaponObjectTable,MATCH(INDEX(WeaponTable,MATCH(E$11,WeaponList,0),6),WeaponObjectList,0),2)+IF(AND(E12="Melee",E13&lt;&gt;"Weapon Proficiency (lightsabers)",COUNTIF(E56:E59,"Neutronium Reinforcement")&gt;0),5,0)+IF(AND(E12="Melee",E13&lt;&gt;"Weapon Proficiency (lightsabers)",COUNTIF(E56:E59,"Durasteel Bonding")&gt;0),5,0)+IF(COUNTIF(E56:E59,"Silverplate")&gt;0,2,0))),"")</f>
        <v/>
      </c>
      <c r="F41" s="1094"/>
      <c r="G41" s="1094"/>
      <c r="H41" s="1753"/>
      <c r="I41" s="1753"/>
      <c r="J41" s="1753"/>
      <c r="K41" s="1753"/>
      <c r="L41" s="1753"/>
      <c r="M41" s="784"/>
      <c r="N41" s="845"/>
      <c r="O41" s="1343" t="str">
        <f>IF(O$11&lt;&gt;"",IF(R41&lt;&gt;"",R41,IF(INDEX(WeaponTable,MATCH(O$11,WeaponList,0),6)="u","",INDEX(WeaponObjectTable,MATCH(INDEX(WeaponTable,MATCH(O$11,WeaponList,0),6),WeaponObjectList,0),2)+IF(AND(O12="Melee",O13&lt;&gt;"Weapon Proficiency (lightsabers)",COUNTIF(O56:O59,"Neutronium Reinforcement")&gt;0),5,0)+IF(AND(O12="Melee",O13&lt;&gt;"Weapon Proficiency (lightsabers)",COUNTIF(O56:O59,"Durasteel Bonding")&gt;0),5,0)+IF(COUNTIF(O56:O59,"Silverplate")&gt;0,2,0))),"")</f>
        <v/>
      </c>
      <c r="P41" s="1094"/>
      <c r="Q41" s="1094"/>
      <c r="R41" s="1753"/>
      <c r="S41" s="1753"/>
      <c r="T41" s="1753"/>
      <c r="U41" s="1753"/>
      <c r="V41" s="1753"/>
      <c r="W41" s="784"/>
      <c r="X41" s="845"/>
      <c r="Y41" s="1343" t="str">
        <f>IF(Y$11&lt;&gt;"",IF(AB41&lt;&gt;"",AB41,IF(INDEX(WeaponTable,MATCH(Y$11,WeaponList,0),6)="u","",INDEX(WeaponObjectTable,MATCH(INDEX(WeaponTable,MATCH(Y$11,WeaponList,0),6),WeaponObjectList,0),2)+IF(AND(Y12="Melee",Y13&lt;&gt;"Weapon Proficiency (lightsabers)",COUNTIF(Y56:Y59,"Neutronium Reinforcement")&gt;0),5,0)+IF(AND(Y12="Melee",Y13&lt;&gt;"Weapon Proficiency (lightsabers)",COUNTIF(Y56:Y59,"Durasteel Bonding")&gt;0),5,0)+IF(COUNTIF(Y56:Y59,"Silverplate")&gt;0,2,0))),"")</f>
        <v/>
      </c>
      <c r="Z41" s="1094"/>
      <c r="AA41" s="1094"/>
      <c r="AB41" s="1753"/>
      <c r="AC41" s="1753"/>
      <c r="AD41" s="1753"/>
      <c r="AE41" s="1753"/>
      <c r="AF41" s="1753"/>
      <c r="AG41" s="784"/>
      <c r="AH41" s="845"/>
      <c r="AI41" s="1343" t="str">
        <f>IF(AI$11&lt;&gt;"",IF(AL41&lt;&gt;"",AL41,IF(INDEX(WeaponTable,MATCH(AI$11,WeaponList,0),6)="u","",INDEX(WeaponObjectTable,MATCH(INDEX(WeaponTable,MATCH(AI$11,WeaponList,0),6),WeaponObjectList,0),2)+IF(AND(AI12="Melee",AI13&lt;&gt;"Weapon Proficiency (lightsabers)",COUNTIF(AI56:AI59,"Neutronium Reinforcement")&gt;0),5,0)+IF(AND(AI12="Melee",AI13&lt;&gt;"Weapon Proficiency (lightsabers)",COUNTIF(AI56:AI59,"Durasteel Bonding")&gt;0),5,0)+IF(COUNTIF(AI56:AI59,"Silverplate")&gt;0,2,0))),"")</f>
        <v/>
      </c>
      <c r="AJ41" s="1094"/>
      <c r="AK41" s="1094"/>
      <c r="AL41" s="1753"/>
      <c r="AM41" s="1753"/>
      <c r="AN41" s="1753"/>
      <c r="AO41" s="1753"/>
      <c r="AP41" s="1753"/>
      <c r="AQ41" s="784"/>
      <c r="AR41" s="845"/>
      <c r="AS41" s="1343" t="str">
        <f>IF(AS$11&lt;&gt;"",IF(AV41&lt;&gt;"",AV41,IF(INDEX(WeaponTable,MATCH(AS$11,WeaponList,0),6)="u","",INDEX(WeaponObjectTable,MATCH(INDEX(WeaponTable,MATCH(AS$11,WeaponList,0),6),WeaponObjectList,0),2)+IF(AND(AS12="Melee",AS13&lt;&gt;"Weapon Proficiency (lightsabers)",COUNTIF(AS56:AS59,"Neutronium Reinforcement")&gt;0),5,0)+IF(AND(AS12="Melee",AS13&lt;&gt;"Weapon Proficiency (lightsabers)",COUNTIF(AS56:AS59,"Durasteel Bonding")&gt;0),5,0)+IF(COUNTIF(AS56:AS59,"Silverplate")&gt;0,2,0))),"")</f>
        <v/>
      </c>
      <c r="AT41" s="1094"/>
      <c r="AU41" s="1094"/>
      <c r="AV41" s="1753"/>
      <c r="AW41" s="1753"/>
      <c r="AX41" s="1753"/>
      <c r="AY41" s="1753"/>
      <c r="AZ41" s="1753"/>
      <c r="BA41" s="784"/>
      <c r="BB41" s="1098"/>
      <c r="BC41" s="1343" t="str">
        <f>IF(BC$11&lt;&gt;"",IF(BF41&lt;&gt;"",BF41,IF(INDEX(WeaponTable,MATCH(BC$11,WeaponList,0),6)="u","",INDEX(WeaponObjectTable,MATCH(INDEX(WeaponTable,MATCH(BC$11,WeaponList,0),6),WeaponObjectList,0),2)+IF(AND(BC12="Melee",BC13&lt;&gt;"Weapon Proficiency (lightsabers)",COUNTIF(BC56:BC59,"Neutronium Reinforcement")&gt;0),5,0)+IF(AND(BC12="Melee",BC13&lt;&gt;"Weapon Proficiency (lightsabers)",COUNTIF(BC56:BC59,"Durasteel Bonding")&gt;0),5,0)+IF(COUNTIF(BC56:BC59,"Silverplate")&gt;0,2,0))),"")</f>
        <v/>
      </c>
      <c r="BD41" s="812"/>
      <c r="BE41" s="812"/>
      <c r="BF41" s="1753"/>
      <c r="BG41" s="1753"/>
      <c r="BH41" s="1753"/>
      <c r="BI41" s="1753"/>
      <c r="BJ41" s="1753"/>
      <c r="BK41" s="812"/>
      <c r="BL41" s="29"/>
    </row>
    <row r="42" spans="2:65">
      <c r="B42" s="26"/>
      <c r="C42" s="735" t="s">
        <v>4159</v>
      </c>
      <c r="D42" s="845"/>
      <c r="E42" s="1095" t="str">
        <f>IF(E$11&lt;&gt;"",IF(H42&lt;&gt;"",H42,IF(INDEX(WeaponTable,MATCH(E$11,WeaponList,0),6)="u","",INDEX(WeaponObjectTable,MATCH(INDEX(WeaponTable,MATCH(E$11,WeaponList,0),6),WeaponObjectList,0),3)+IF(AND(E$12="Melee",E$13&lt;&gt;"Weapon Proficiency (lightsabers)",COUNTIF(E56:E60,"Neutronium Reinforcement")&gt;0),10,0))),"")</f>
        <v/>
      </c>
      <c r="F42" s="1094"/>
      <c r="G42" s="1094"/>
      <c r="H42" s="1753"/>
      <c r="I42" s="1753"/>
      <c r="J42" s="1753"/>
      <c r="K42" s="1753"/>
      <c r="L42" s="1753"/>
      <c r="M42" s="784"/>
      <c r="N42" s="845"/>
      <c r="O42" s="1343" t="str">
        <f>IF(O$11&lt;&gt;"",IF(R42&lt;&gt;"",R42,IF(INDEX(WeaponTable,MATCH(O$11,WeaponList,0),6)="u","",INDEX(WeaponObjectTable,MATCH(INDEX(WeaponTable,MATCH(O$11,WeaponList,0),6),WeaponObjectList,0),3)+IF(AND(O$12="Melee",O$13&lt;&gt;"Weapon Proficiency (lightsabers)",COUNTIF(O56:O60,"Neutronium Reinforcement")&gt;0),10,0))),"")</f>
        <v/>
      </c>
      <c r="P42" s="1094"/>
      <c r="Q42" s="1094"/>
      <c r="R42" s="1753"/>
      <c r="S42" s="1753"/>
      <c r="T42" s="1753"/>
      <c r="U42" s="1753"/>
      <c r="V42" s="1753"/>
      <c r="W42" s="784"/>
      <c r="X42" s="845"/>
      <c r="Y42" s="1343" t="str">
        <f>IF(Y$11&lt;&gt;"",IF(AB42&lt;&gt;"",AB42,IF(INDEX(WeaponTable,MATCH(Y$11,WeaponList,0),6)="u","",INDEX(WeaponObjectTable,MATCH(INDEX(WeaponTable,MATCH(Y$11,WeaponList,0),6),WeaponObjectList,0),3)+IF(AND(Y$12="Melee",Y$13&lt;&gt;"Weapon Proficiency (lightsabers)",COUNTIF(Y56:Y60,"Neutronium Reinforcement")&gt;0),10,0))),"")</f>
        <v/>
      </c>
      <c r="Z42" s="1094"/>
      <c r="AA42" s="1094"/>
      <c r="AB42" s="1753"/>
      <c r="AC42" s="1753"/>
      <c r="AD42" s="1753"/>
      <c r="AE42" s="1753"/>
      <c r="AF42" s="1753"/>
      <c r="AG42" s="784"/>
      <c r="AH42" s="845"/>
      <c r="AI42" s="1343" t="str">
        <f>IF(AI$11&lt;&gt;"",IF(AL42&lt;&gt;"",AL42,IF(INDEX(WeaponTable,MATCH(AI$11,WeaponList,0),6)="u","",INDEX(WeaponObjectTable,MATCH(INDEX(WeaponTable,MATCH(AI$11,WeaponList,0),6),WeaponObjectList,0),3)+IF(AND(AI$12="Melee",AI$13&lt;&gt;"Weapon Proficiency (lightsabers)",COUNTIF(AI56:AI60,"Neutronium Reinforcement")&gt;0),10,0))),"")</f>
        <v/>
      </c>
      <c r="AJ42" s="1094"/>
      <c r="AK42" s="1094"/>
      <c r="AL42" s="1753"/>
      <c r="AM42" s="1753"/>
      <c r="AN42" s="1753"/>
      <c r="AO42" s="1753"/>
      <c r="AP42" s="1753"/>
      <c r="AQ42" s="784"/>
      <c r="AR42" s="845"/>
      <c r="AS42" s="1343" t="str">
        <f>IF(AS$11&lt;&gt;"",IF(AV42&lt;&gt;"",AV42,IF(INDEX(WeaponTable,MATCH(AS$11,WeaponList,0),6)="u","",INDEX(WeaponObjectTable,MATCH(INDEX(WeaponTable,MATCH(AS$11,WeaponList,0),6),WeaponObjectList,0),3)+IF(AND(AS$12="Melee",AS$13&lt;&gt;"Weapon Proficiency (lightsabers)",COUNTIF(AS56:AS60,"Neutronium Reinforcement")&gt;0),10,0))),"")</f>
        <v/>
      </c>
      <c r="AT42" s="1094"/>
      <c r="AU42" s="1094"/>
      <c r="AV42" s="1753"/>
      <c r="AW42" s="1753"/>
      <c r="AX42" s="1753"/>
      <c r="AY42" s="1753"/>
      <c r="AZ42" s="1753"/>
      <c r="BA42" s="784"/>
      <c r="BB42" s="1098"/>
      <c r="BC42" s="1343" t="str">
        <f>IF(BC$11&lt;&gt;"",IF(BF42&lt;&gt;"",BF42,IF(INDEX(WeaponTable,MATCH(BC$11,WeaponList,0),6)="u","",INDEX(WeaponObjectTable,MATCH(INDEX(WeaponTable,MATCH(BC$11,WeaponList,0),6),WeaponObjectList,0),3)+IF(AND(BC$12="Melee",BC$13&lt;&gt;"Weapon Proficiency (lightsabers)",COUNTIF(BC56:BC60,"Neutronium Reinforcement")&gt;0),10,0))),"")</f>
        <v/>
      </c>
      <c r="BD42" s="812"/>
      <c r="BE42" s="812"/>
      <c r="BF42" s="1753"/>
      <c r="BG42" s="1753"/>
      <c r="BH42" s="1753"/>
      <c r="BI42" s="1753"/>
      <c r="BJ42" s="1753"/>
      <c r="BK42" s="812"/>
      <c r="BL42" s="29"/>
    </row>
    <row r="43" spans="2:65">
      <c r="B43" s="26"/>
      <c r="C43" s="735" t="s">
        <v>4158</v>
      </c>
      <c r="D43" s="845"/>
      <c r="E43" s="1095" t="str">
        <f>IF(E$11&lt;&gt;"",IF(H43&lt;&gt;"",H43,IF(INDEX(WeaponTable,MATCH(E$11,WeaponList,0),6)="u","",INDEX(WeaponObjectTable,MATCH(INDEX(WeaponTable,MATCH(E$11,WeaponList,0),6),WeaponObjectList,0),4))),"")</f>
        <v/>
      </c>
      <c r="F43" s="1094"/>
      <c r="G43" s="1094"/>
      <c r="H43" s="1753"/>
      <c r="I43" s="1753"/>
      <c r="J43" s="1753"/>
      <c r="K43" s="1753"/>
      <c r="L43" s="1753"/>
      <c r="M43" s="784"/>
      <c r="N43" s="845"/>
      <c r="O43" s="1343" t="str">
        <f>IF(O$11&lt;&gt;"",IF(R43&lt;&gt;"",R43,IF(INDEX(WeaponTable,MATCH(O$11,WeaponList,0),6)="u","",INDEX(WeaponObjectTable,MATCH(INDEX(WeaponTable,MATCH(O$11,WeaponList,0),6),WeaponObjectList,0),4))),"")</f>
        <v/>
      </c>
      <c r="P43" s="1094"/>
      <c r="Q43" s="1094"/>
      <c r="R43" s="1753"/>
      <c r="S43" s="1753"/>
      <c r="T43" s="1753"/>
      <c r="U43" s="1753"/>
      <c r="V43" s="1753"/>
      <c r="W43" s="784"/>
      <c r="X43" s="845"/>
      <c r="Y43" s="1343" t="str">
        <f>IF(Y$11&lt;&gt;"",IF(AB43&lt;&gt;"",AB43,IF(INDEX(WeaponTable,MATCH(Y$11,WeaponList,0),6)="u","",INDEX(WeaponObjectTable,MATCH(INDEX(WeaponTable,MATCH(Y$11,WeaponList,0),6),WeaponObjectList,0),4))),"")</f>
        <v/>
      </c>
      <c r="Z43" s="1094"/>
      <c r="AA43" s="1094"/>
      <c r="AB43" s="1753"/>
      <c r="AC43" s="1753"/>
      <c r="AD43" s="1753"/>
      <c r="AE43" s="1753"/>
      <c r="AF43" s="1753"/>
      <c r="AG43" s="784"/>
      <c r="AH43" s="845"/>
      <c r="AI43" s="1343" t="str">
        <f>IF(AI$11&lt;&gt;"",IF(AL43&lt;&gt;"",AL43,IF(INDEX(WeaponTable,MATCH(AI$11,WeaponList,0),6)="u","",INDEX(WeaponObjectTable,MATCH(INDEX(WeaponTable,MATCH(AI$11,WeaponList,0),6),WeaponObjectList,0),4))),"")</f>
        <v/>
      </c>
      <c r="AJ43" s="1094"/>
      <c r="AK43" s="1094"/>
      <c r="AL43" s="1753"/>
      <c r="AM43" s="1753"/>
      <c r="AN43" s="1753"/>
      <c r="AO43" s="1753"/>
      <c r="AP43" s="1753"/>
      <c r="AQ43" s="784"/>
      <c r="AR43" s="845"/>
      <c r="AS43" s="1343" t="str">
        <f>IF(AS$11&lt;&gt;"",IF(AV43&lt;&gt;"",AV43,IF(INDEX(WeaponTable,MATCH(AS$11,WeaponList,0),6)="u","",INDEX(WeaponObjectTable,MATCH(INDEX(WeaponTable,MATCH(AS$11,WeaponList,0),6),WeaponObjectList,0),4))),"")</f>
        <v/>
      </c>
      <c r="AT43" s="1094"/>
      <c r="AU43" s="1094"/>
      <c r="AV43" s="1753"/>
      <c r="AW43" s="1753"/>
      <c r="AX43" s="1753"/>
      <c r="AY43" s="1753"/>
      <c r="AZ43" s="1753"/>
      <c r="BA43" s="784"/>
      <c r="BB43" s="1098"/>
      <c r="BC43" s="1343" t="str">
        <f>IF(BC$11&lt;&gt;"",IF(BF43&lt;&gt;"",BF43,IF(INDEX(WeaponTable,MATCH(BC$11,WeaponList,0),6)="u","",INDEX(WeaponObjectTable,MATCH(INDEX(WeaponTable,MATCH(BC$11,WeaponList,0),6),WeaponObjectList,0),4))),"")</f>
        <v/>
      </c>
      <c r="BD43" s="812"/>
      <c r="BE43" s="812"/>
      <c r="BF43" s="1753"/>
      <c r="BG43" s="1753"/>
      <c r="BH43" s="1753"/>
      <c r="BI43" s="1753"/>
      <c r="BJ43" s="1753"/>
      <c r="BK43" s="812"/>
      <c r="BL43" s="29"/>
    </row>
    <row r="44" spans="2:65">
      <c r="B44" s="26"/>
      <c r="C44" s="734"/>
      <c r="D44" s="848"/>
      <c r="E44" s="1095"/>
      <c r="F44" s="1094"/>
      <c r="G44" s="1094"/>
      <c r="H44" s="1106"/>
      <c r="I44" s="1106"/>
      <c r="J44" s="1106"/>
      <c r="K44" s="1106"/>
      <c r="L44" s="1106"/>
      <c r="M44" s="784"/>
      <c r="N44" s="848"/>
      <c r="O44" s="1095"/>
      <c r="P44" s="1094"/>
      <c r="Q44" s="1094"/>
      <c r="R44" s="1106"/>
      <c r="S44" s="1106"/>
      <c r="T44" s="1106"/>
      <c r="U44" s="1106"/>
      <c r="V44" s="1106"/>
      <c r="W44" s="784"/>
      <c r="X44" s="848"/>
      <c r="Y44" s="1095"/>
      <c r="Z44" s="1094"/>
      <c r="AA44" s="1094"/>
      <c r="AB44" s="1106"/>
      <c r="AC44" s="1106"/>
      <c r="AD44" s="1106"/>
      <c r="AE44" s="1106"/>
      <c r="AF44" s="1106"/>
      <c r="AG44" s="784"/>
      <c r="AH44" s="848"/>
      <c r="AI44" s="1095"/>
      <c r="AJ44" s="1094"/>
      <c r="AK44" s="1094"/>
      <c r="AL44" s="1106"/>
      <c r="AM44" s="1106"/>
      <c r="AN44" s="1106"/>
      <c r="AO44" s="1106"/>
      <c r="AP44" s="1106"/>
      <c r="AQ44" s="784"/>
      <c r="AR44" s="848"/>
      <c r="AS44" s="1095"/>
      <c r="AT44" s="1094"/>
      <c r="AU44" s="1094"/>
      <c r="AV44" s="1106"/>
      <c r="AW44" s="1106"/>
      <c r="AX44" s="1106"/>
      <c r="AY44" s="1106"/>
      <c r="AZ44" s="1106"/>
      <c r="BA44" s="784"/>
      <c r="BB44" s="1094"/>
      <c r="BC44" s="813"/>
      <c r="BD44" s="812"/>
      <c r="BE44" s="812"/>
      <c r="BF44" s="822"/>
      <c r="BG44" s="822"/>
      <c r="BH44" s="822"/>
      <c r="BI44" s="822"/>
      <c r="BJ44" s="822"/>
      <c r="BK44" s="812"/>
      <c r="BL44" s="29"/>
    </row>
    <row r="45" spans="2:65">
      <c r="B45" s="26"/>
      <c r="C45" s="735" t="s">
        <v>4161</v>
      </c>
      <c r="D45" s="845"/>
      <c r="E45" s="1095"/>
      <c r="F45" s="1094"/>
      <c r="G45" s="1094"/>
      <c r="H45" s="1106"/>
      <c r="I45" s="1106"/>
      <c r="J45" s="1106"/>
      <c r="K45" s="1106"/>
      <c r="L45" s="1106"/>
      <c r="M45" s="784"/>
      <c r="N45" s="845"/>
      <c r="O45" s="1095"/>
      <c r="P45" s="1094"/>
      <c r="Q45" s="1094"/>
      <c r="R45" s="1106"/>
      <c r="S45" s="1106"/>
      <c r="T45" s="1106"/>
      <c r="U45" s="1106"/>
      <c r="V45" s="1106"/>
      <c r="W45" s="784"/>
      <c r="X45" s="845"/>
      <c r="Y45" s="1095"/>
      <c r="Z45" s="1094"/>
      <c r="AA45" s="1094"/>
      <c r="AB45" s="1106"/>
      <c r="AC45" s="1106"/>
      <c r="AD45" s="1106"/>
      <c r="AE45" s="1106"/>
      <c r="AF45" s="1106"/>
      <c r="AG45" s="784"/>
      <c r="AH45" s="845"/>
      <c r="AI45" s="1095"/>
      <c r="AJ45" s="1094"/>
      <c r="AK45" s="1094"/>
      <c r="AL45" s="1106"/>
      <c r="AM45" s="1106"/>
      <c r="AN45" s="1106"/>
      <c r="AO45" s="1106"/>
      <c r="AP45" s="1106"/>
      <c r="AQ45" s="784"/>
      <c r="AR45" s="845"/>
      <c r="AS45" s="1095"/>
      <c r="AT45" s="1094"/>
      <c r="AU45" s="1094"/>
      <c r="AV45" s="1106"/>
      <c r="AW45" s="1106"/>
      <c r="AX45" s="1106"/>
      <c r="AY45" s="1106"/>
      <c r="AZ45" s="1106"/>
      <c r="BA45" s="784"/>
      <c r="BB45" s="1098"/>
      <c r="BC45" s="813"/>
      <c r="BD45" s="812"/>
      <c r="BE45" s="812"/>
      <c r="BF45" s="822"/>
      <c r="BG45" s="822"/>
      <c r="BH45" s="822"/>
      <c r="BI45" s="822"/>
      <c r="BJ45" s="822"/>
      <c r="BK45" s="812"/>
      <c r="BL45" s="29"/>
    </row>
    <row r="46" spans="2:65">
      <c r="B46" s="26"/>
      <c r="C46" s="735" t="s">
        <v>2401</v>
      </c>
      <c r="D46" s="1049">
        <f>IF(E46&lt;&gt;"",INDEX(TechSpecialistWeaponsTable,MATCH(E46,TechSpecialistWeaponsList,0),2),0)</f>
        <v>0</v>
      </c>
      <c r="E46" s="1107"/>
      <c r="F46" s="585" t="str">
        <f>IF(E46&lt;&gt;"",IF(LEFT(E46,14)&lt;&gt;"Selective Fire","Valid",IF(AND(LEFT(E46,14)="Selective Fire",E74&lt;&gt;"Simple",E12&lt;&gt;"Melee"),"Valid","Invalid")),"")</f>
        <v/>
      </c>
      <c r="G46" s="585"/>
      <c r="H46" s="585"/>
      <c r="I46" s="585"/>
      <c r="J46" s="585"/>
      <c r="K46" s="585"/>
      <c r="L46" s="585"/>
      <c r="M46" s="839"/>
      <c r="N46" s="1049">
        <f>IF(O46&lt;&gt;"",INDEX(TechSpecialistWeaponsTable,MATCH(O46,TechSpecialistWeaponsList,0),2),0)</f>
        <v>0</v>
      </c>
      <c r="O46" s="1107"/>
      <c r="P46" s="585" t="str">
        <f>IF(O46&lt;&gt;"",IF(LEFT(O46,14)&lt;&gt;"Selective Fire","Valid",IF(AND(LEFT(O46,14)="Selective Fire",O74&lt;&gt;"Simple",O12&lt;&gt;"Melee"),"Valid","Invalid")),"")</f>
        <v/>
      </c>
      <c r="Q46" s="585"/>
      <c r="R46" s="585"/>
      <c r="S46" s="585"/>
      <c r="T46" s="585"/>
      <c r="U46" s="585"/>
      <c r="V46" s="585"/>
      <c r="W46" s="839"/>
      <c r="X46" s="1049">
        <f>IF(Y46&lt;&gt;"",INDEX(TechSpecialistWeaponsTable,MATCH(Y46,TechSpecialistWeaponsList,0),2),0)</f>
        <v>0</v>
      </c>
      <c r="Y46" s="1107"/>
      <c r="Z46" s="585" t="str">
        <f>IF(Y46&lt;&gt;"",IF(LEFT(Y46,14)&lt;&gt;"Selective Fire","Valid",IF(AND(LEFT(Y46,14)="Selective Fire",Y74&lt;&gt;"Simple",Y12&lt;&gt;"Melee"),"Valid","Invalid")),"")</f>
        <v/>
      </c>
      <c r="AA46" s="585"/>
      <c r="AB46" s="585"/>
      <c r="AC46" s="585"/>
      <c r="AD46" s="585"/>
      <c r="AE46" s="585"/>
      <c r="AF46" s="585"/>
      <c r="AG46" s="839"/>
      <c r="AH46" s="1049">
        <f>IF(AI46&lt;&gt;"",INDEX(TechSpecialistWeaponsTable,MATCH(AI46,TechSpecialistWeaponsList,0),2),0)</f>
        <v>0</v>
      </c>
      <c r="AI46" s="1107"/>
      <c r="AJ46" s="585" t="str">
        <f>IF(AI46&lt;&gt;"",IF(LEFT(AI46,14)&lt;&gt;"Selective Fire","Valid",IF(AND(LEFT(AI46,14)="Selective Fire",AI74&lt;&gt;"Simple",AI12&lt;&gt;"Melee"),"Valid","Invalid")),"")</f>
        <v/>
      </c>
      <c r="AK46" s="585"/>
      <c r="AL46" s="585"/>
      <c r="AM46" s="585"/>
      <c r="AN46" s="585"/>
      <c r="AO46" s="585"/>
      <c r="AP46" s="585"/>
      <c r="AQ46" s="839"/>
      <c r="AR46" s="1049">
        <f>IF(AS46&lt;&gt;"",INDEX(TechSpecialistWeaponsTable,MATCH(AS46,TechSpecialistWeaponsList,0),2),0)</f>
        <v>0</v>
      </c>
      <c r="AS46" s="1107"/>
      <c r="AT46" s="585" t="str">
        <f>IF(AS46&lt;&gt;"",IF(LEFT(AS46,14)&lt;&gt;"Selective Fire","Valid",IF(AND(LEFT(AS46,14)="Selective Fire",AS74&lt;&gt;"Simple",AS12&lt;&gt;"Melee"),"Valid","Invalid")),"")</f>
        <v/>
      </c>
      <c r="AU46" s="585"/>
      <c r="AV46" s="585"/>
      <c r="AW46" s="585"/>
      <c r="AX46" s="585"/>
      <c r="AY46" s="585"/>
      <c r="AZ46" s="585"/>
      <c r="BA46" s="839"/>
      <c r="BB46" s="512">
        <f>IF(BC46&lt;&gt;"",INDEX(TechSpecialistWeaponsTable,MATCH(BC46,TechSpecialistWeaponsList,0),2),0)</f>
        <v>0</v>
      </c>
      <c r="BC46" s="1107"/>
      <c r="BD46" s="585" t="str">
        <f>IF(BC46&lt;&gt;"",IF(LEFT(BC46,14)&lt;&gt;"Selective Fire","Valid",IF(AND(LEFT(BC46,14)="Selective Fire",BC74&lt;&gt;"Simple",BC12&lt;&gt;"Melee"),"Valid","Invalid")),"")</f>
        <v/>
      </c>
      <c r="BE46" s="585"/>
      <c r="BF46" s="585"/>
      <c r="BG46" s="585"/>
      <c r="BH46" s="585"/>
      <c r="BI46" s="585"/>
      <c r="BJ46" s="585"/>
      <c r="BK46" s="512"/>
      <c r="BL46" s="29"/>
      <c r="BM46" s="383" t="s">
        <v>195</v>
      </c>
    </row>
    <row r="47" spans="2:65">
      <c r="B47" s="26"/>
      <c r="C47" s="735" t="s">
        <v>2499</v>
      </c>
      <c r="D47" s="1049">
        <f>IF(E47&lt;&gt;"",INDEX(SuperiorTechWeaponsTable,MATCH(E47,SuperiorTechWeaponsList,0),2),0)</f>
        <v>0</v>
      </c>
      <c r="E47" s="1107"/>
      <c r="F47" s="585" t="str">
        <f>IF(E47&lt;&gt;"",IF(OR(LEFT(E47,14)&lt;&gt;"Superior Range",LEFT(E47,17)&lt;&gt;"Superior Capacity"),"Valid",IF(AND(OR(LEFT(E47,14)="Superior Range",LEFT(E47,17)="Superior Capacity"),E74&lt;&gt;"Simple",E12&lt;&gt;"Melee"),"Valid","Invalid")),"")</f>
        <v/>
      </c>
      <c r="G47" s="585"/>
      <c r="H47" s="512" t="s">
        <v>3743</v>
      </c>
      <c r="I47" s="512"/>
      <c r="J47" s="512"/>
      <c r="K47" s="512"/>
      <c r="L47" s="512"/>
      <c r="M47" s="839"/>
      <c r="N47" s="1049">
        <f>IF(O47&lt;&gt;"",INDEX(SuperiorTechWeaponsTable,MATCH(O47,SuperiorTechWeaponsList,0),2),0)</f>
        <v>0</v>
      </c>
      <c r="O47" s="1107"/>
      <c r="P47" s="585" t="str">
        <f>IF(O47&lt;&gt;"",IF(OR(LEFT(O47,14)&lt;&gt;"Superior Range",LEFT(O47,17)&lt;&gt;"Superior Capacity"),"Valid",IF(AND(OR(LEFT(O47,14)="Superior Range",LEFT(O47,17)="Superior Capacity"),O74&lt;&gt;"Simple",O12&lt;&gt;"Melee"),"Valid","Invalid")),"")</f>
        <v/>
      </c>
      <c r="Q47" s="585"/>
      <c r="R47" s="512" t="s">
        <v>3743</v>
      </c>
      <c r="S47" s="512"/>
      <c r="T47" s="512"/>
      <c r="U47" s="512"/>
      <c r="V47" s="512"/>
      <c r="W47" s="839"/>
      <c r="X47" s="1049">
        <f>IF(Y47&lt;&gt;"",INDEX(SuperiorTechWeaponsTable,MATCH(Y47,SuperiorTechWeaponsList,0),2),0)</f>
        <v>0</v>
      </c>
      <c r="Y47" s="1107"/>
      <c r="Z47" s="585" t="str">
        <f>IF(Y47&lt;&gt;"",IF(OR(LEFT(Y47,14)&lt;&gt;"Superior Range",LEFT(Y47,17)&lt;&gt;"Superior Capacity"),"Valid",IF(AND(OR(LEFT(Y47,14)="Superior Range",LEFT(Y47,17)="Superior Capacity"),Y74&lt;&gt;"Simple",Y12&lt;&gt;"Melee"),"Valid","Invalid")),"")</f>
        <v/>
      </c>
      <c r="AA47" s="585"/>
      <c r="AB47" s="512" t="s">
        <v>3743</v>
      </c>
      <c r="AC47" s="512"/>
      <c r="AD47" s="512"/>
      <c r="AE47" s="512"/>
      <c r="AF47" s="512"/>
      <c r="AG47" s="839"/>
      <c r="AH47" s="1049">
        <f>IF(AI47&lt;&gt;"",INDEX(SuperiorTechWeaponsTable,MATCH(AI47,SuperiorTechWeaponsList,0),2),0)</f>
        <v>0</v>
      </c>
      <c r="AI47" s="1107"/>
      <c r="AJ47" s="585" t="str">
        <f>IF(AI47&lt;&gt;"",IF(OR(LEFT(AI47,14)&lt;&gt;"Superior Range",LEFT(AI47,17)&lt;&gt;"Superior Capacity"),"Valid",IF(AND(OR(LEFT(AI47,14)="Superior Range",LEFT(AI47,17)="Superior Capacity"),AI74&lt;&gt;"Simple",AI12&lt;&gt;"Melee"),"Valid","Invalid")),"")</f>
        <v/>
      </c>
      <c r="AK47" s="585"/>
      <c r="AL47" s="512" t="s">
        <v>3743</v>
      </c>
      <c r="AM47" s="512"/>
      <c r="AN47" s="512"/>
      <c r="AO47" s="512"/>
      <c r="AP47" s="512"/>
      <c r="AQ47" s="839"/>
      <c r="AR47" s="1049">
        <f>IF(AS47&lt;&gt;"",INDEX(SuperiorTechWeaponsTable,MATCH(AS47,SuperiorTechWeaponsList,0),2),0)</f>
        <v>0</v>
      </c>
      <c r="AS47" s="1107"/>
      <c r="AT47" s="585" t="str">
        <f>IF(AS47&lt;&gt;"",IF(OR(LEFT(AS47,14)&lt;&gt;"Superior Range",LEFT(AS47,17)&lt;&gt;"Superior Capacity"),"Valid",IF(AND(OR(LEFT(AS47,14)="Superior Range",LEFT(AS47,17)="Superior Capacity"),AS74&lt;&gt;"Simple",AS12&lt;&gt;"Melee"),"Valid","Invalid")),"")</f>
        <v/>
      </c>
      <c r="AU47" s="585"/>
      <c r="AV47" s="512" t="s">
        <v>3743</v>
      </c>
      <c r="AW47" s="512"/>
      <c r="AX47" s="512"/>
      <c r="AY47" s="512"/>
      <c r="AZ47" s="512"/>
      <c r="BA47" s="839"/>
      <c r="BB47" s="512">
        <f>IF(BC47&lt;&gt;"",INDEX(SuperiorTechWeaponsTable,MATCH(BC47,SuperiorTechWeaponsList,0),2),0)</f>
        <v>0</v>
      </c>
      <c r="BC47" s="1107"/>
      <c r="BD47" s="585" t="str">
        <f>IF(BC47&lt;&gt;"",IF(OR(LEFT(BC47,14)&lt;&gt;"Superior Range",LEFT(BC47,17)&lt;&gt;"Superior Capacity"),"Valid",IF(AND(OR(LEFT(BC47,14)="Superior Range",LEFT(BC47,17)="Superior Capacity"),BC74&lt;&gt;"Simple",BC12&lt;&gt;"Melee"),"Valid","Invalid")),"")</f>
        <v/>
      </c>
      <c r="BE47" s="585"/>
      <c r="BF47" s="834" t="s">
        <v>3743</v>
      </c>
      <c r="BG47" s="834"/>
      <c r="BH47" s="834"/>
      <c r="BI47" s="834"/>
      <c r="BJ47" s="834"/>
      <c r="BK47" s="512"/>
      <c r="BL47" s="29"/>
      <c r="BM47" s="383" t="s">
        <v>195</v>
      </c>
    </row>
    <row r="48" spans="2:65">
      <c r="B48" s="26"/>
      <c r="C48" s="735" t="s">
        <v>3750</v>
      </c>
      <c r="D48" s="1049">
        <f>IF(E48&lt;&gt;"",MAX(INDEX(WeaponTemplateTable,MATCH(E48,WeaponTemplateList,0),3)*INDEX(WeaponTable,MATCH(E$11,WeaponList,0),25),INDEX(WeaponTemplateTable,MATCH(E48,WeaponTemplateList,0),4)),0)</f>
        <v>0</v>
      </c>
      <c r="E48" s="1383"/>
      <c r="F48" s="585" t="str">
        <f>IF(E48&lt;&gt;"",IF(COUNTIF(H48:I48,"Invalid")&lt;1,IF(COUNTIF(J48:L48,"")=3,"Valid",IF(COUNTIF(J48:L48,"Valid")&gt;0,"Valid","Invalid"))),"")</f>
        <v/>
      </c>
      <c r="G48" s="585"/>
      <c r="H48" s="512" t="e">
        <f>IF(INDEX(WeaponTemplateTable,MATCH(E48,WeaponTemplateList,0),5)&lt;&gt;"",IF(E$12=INDEX(WeaponTemplateTable,MATCH(E48,WeaponTemplateList,0),5),"Valid","Invalid"),"")</f>
        <v>#N/A</v>
      </c>
      <c r="I48" s="512" t="e">
        <f>IF(INDEX(WeaponTemplateTable,MATCH(E48,WeaponTemplateList,0),6)&lt;&gt;"",IF(LOWER(E$74)=LOWER(INDEX(WeaponTemplateTable,MATCH(E48,WeaponTemplateList,0),6)),"Valid","Invalid"),"")</f>
        <v>#N/A</v>
      </c>
      <c r="J48" s="512" t="e">
        <f>IF(INDEX(WeaponTemplateTable,MATCH(E48,WeaponTemplateList,0),7)&lt;&gt;"",IF(NOT(ISERROR(FIND(LOWER(INDEX(WeaponTemplateTable,MATCH(E48,WeaponTemplateList,0),7)),LOWER(E$98),1))),"Valid","Invalid"),"")</f>
        <v>#N/A</v>
      </c>
      <c r="K48" s="512" t="e">
        <f>IF(INDEX(WeaponTemplateTable,MATCH(E48,WeaponTemplateList,0),8)&lt;&gt;"",IF(NOT(ISERROR(FIND(LOWER(INDEX(WeaponTemplateTable,MATCH(E48,WeaponTemplateList,0),8)),LOWER(E$98),1))),"Valid","Invalid"),"")</f>
        <v>#N/A</v>
      </c>
      <c r="L48" s="512" t="e">
        <f>IF(INDEX(WeaponTemplateTable,MATCH(E48,WeaponTemplateList,0),9)&lt;&gt;"",IF(E85&lt;&gt;"","Valid","Invalid"),"")</f>
        <v>#N/A</v>
      </c>
      <c r="M48" s="839" t="str">
        <f>IF(AND(E48&lt;&gt;"",F48="Valid"),INDEX(WeaponTemplateTable,MATCH(E48,WeaponTemplateList,0),10),"")</f>
        <v/>
      </c>
      <c r="N48" s="1049">
        <f>IF(O48&lt;&gt;"",MAX(INDEX(WeaponTemplateTable,MATCH(O48,WeaponTemplateList,0),3)*INDEX(WeaponTable,MATCH(O$11,WeaponList,0),25),INDEX(WeaponTemplateTable,MATCH(O48,WeaponTemplateList,0),4)),0)</f>
        <v>0</v>
      </c>
      <c r="O48" s="1107"/>
      <c r="P48" s="585" t="str">
        <f>IF(O48&lt;&gt;"",IF(COUNTIF(R48:S48,"Invalid")&lt;1,IF(COUNTIF(T48:V48,"")=3,"Valid",IF(COUNTIF(T48:V48,"Valid")&gt;0,"Valid","Invalid"))),"")</f>
        <v/>
      </c>
      <c r="Q48" s="585"/>
      <c r="R48" s="512" t="e">
        <f>IF(INDEX(WeaponTemplateTable,MATCH(O48,WeaponTemplateList,0),5)&lt;&gt;"",IF(O$12=INDEX(WeaponTemplateTable,MATCH(O48,WeaponTemplateList,0),5),"Valid","Invalid"),"")</f>
        <v>#N/A</v>
      </c>
      <c r="S48" s="512" t="e">
        <f>IF(INDEX(WeaponTemplateTable,MATCH(O48,WeaponTemplateList,0),6)&lt;&gt;"",IF(LOWER(O$74)=LOWER(INDEX(WeaponTemplateTable,MATCH(O48,WeaponTemplateList,0),6)),"Valid","Invalid"),"")</f>
        <v>#N/A</v>
      </c>
      <c r="T48" s="512" t="e">
        <f>IF(INDEX(WeaponTemplateTable,MATCH(O48,WeaponTemplateList,0),7)&lt;&gt;"",IF(NOT(ISERROR(FIND(LOWER(INDEX(WeaponTemplateTable,MATCH(O48,WeaponTemplateList,0),7)),LOWER(O$98),1))),"Valid","Invalid"),"")</f>
        <v>#N/A</v>
      </c>
      <c r="U48" s="512" t="e">
        <f>IF(INDEX(WeaponTemplateTable,MATCH(O48,WeaponTemplateList,0),8)&lt;&gt;"",IF(NOT(ISERROR(FIND(LOWER(INDEX(WeaponTemplateTable,MATCH(O48,WeaponTemplateList,0),8)),LOWER(O$98),1))),"Valid","Invalid"),"")</f>
        <v>#N/A</v>
      </c>
      <c r="V48" s="512" t="e">
        <f>IF(INDEX(WeaponTemplateTable,MATCH(O48,WeaponTemplateList,0),9)&lt;&gt;"",IF(O85&lt;&gt;"","Valid","Invalid"),"")</f>
        <v>#N/A</v>
      </c>
      <c r="W48" s="839" t="str">
        <f>IF(AND(O48&lt;&gt;"",P48="Valid"),INDEX(WeaponTemplateTable,MATCH(O48,WeaponTemplateList,0),10),"")</f>
        <v/>
      </c>
      <c r="X48" s="1049">
        <f>IF(Y48&lt;&gt;"",MAX(INDEX(WeaponTemplateTable,MATCH(Y48,WeaponTemplateList,0),3)*INDEX(WeaponTable,MATCH(Y$11,WeaponList,0),25),INDEX(WeaponTemplateTable,MATCH(Y48,WeaponTemplateList,0),4)),0)</f>
        <v>0</v>
      </c>
      <c r="Y48" s="1107"/>
      <c r="Z48" s="585" t="str">
        <f>IF(Y48&lt;&gt;"",IF(COUNTIF(AB48:AC48,"Invalid")&lt;1,IF(COUNTIF(AD48:AF48,"")=3,"Valid",IF(COUNTIF(AD48:AF48,"Valid")&gt;0,"Valid","Invalid"))),"")</f>
        <v/>
      </c>
      <c r="AA48" s="585"/>
      <c r="AB48" s="512" t="e">
        <f>IF(INDEX(WeaponTemplateTable,MATCH(Y48,WeaponTemplateList,0),5)&lt;&gt;"",IF(Y$12=INDEX(WeaponTemplateTable,MATCH(Y48,WeaponTemplateList,0),5),"Valid","Invalid"),"")</f>
        <v>#N/A</v>
      </c>
      <c r="AC48" s="512" t="e">
        <f>IF(INDEX(WeaponTemplateTable,MATCH(Y48,WeaponTemplateList,0),6)&lt;&gt;"",IF(LOWER(Y$74)=LOWER(INDEX(WeaponTemplateTable,MATCH(Y48,WeaponTemplateList,0),6)),"Valid","Invalid"),"")</f>
        <v>#N/A</v>
      </c>
      <c r="AD48" s="512" t="e">
        <f>IF(INDEX(WeaponTemplateTable,MATCH(Y48,WeaponTemplateList,0),7)&lt;&gt;"",IF(NOT(ISERROR(FIND(LOWER(INDEX(WeaponTemplateTable,MATCH(Y48,WeaponTemplateList,0),7)),LOWER(Y$98),1))),"Valid","Invalid"),"")</f>
        <v>#N/A</v>
      </c>
      <c r="AE48" s="512" t="e">
        <f>IF(INDEX(WeaponTemplateTable,MATCH(Y48,WeaponTemplateList,0),8)&lt;&gt;"",IF(NOT(ISERROR(FIND(LOWER(INDEX(WeaponTemplateTable,MATCH(Y48,WeaponTemplateList,0),8)),LOWER(Y$98),1))),"Valid","Invalid"),"")</f>
        <v>#N/A</v>
      </c>
      <c r="AF48" s="512" t="e">
        <f>IF(INDEX(WeaponTemplateTable,MATCH(Y48,WeaponTemplateList,0),9)&lt;&gt;"",IF(Y85&lt;&gt;"","Valid","Invalid"),"")</f>
        <v>#N/A</v>
      </c>
      <c r="AG48" s="839" t="str">
        <f>IF(AND(Y48&lt;&gt;"",Z48="Valid"),INDEX(WeaponTemplateTable,MATCH(Y48,WeaponTemplateList,0),10),"")</f>
        <v/>
      </c>
      <c r="AH48" s="1049">
        <f>IF(AI48&lt;&gt;"",MAX(INDEX(WeaponTemplateTable,MATCH(AI48,WeaponTemplateList,0),3)*INDEX(WeaponTable,MATCH(AI$11,WeaponList,0),25),INDEX(WeaponTemplateTable,MATCH(AI48,WeaponTemplateList,0),4)),0)</f>
        <v>0</v>
      </c>
      <c r="AI48" s="1107"/>
      <c r="AJ48" s="585" t="str">
        <f>IF(AI48&lt;&gt;"",IF(COUNTIF(AL48:AM48,"Invalid")&lt;1,IF(COUNTIF(AN48:AP48,"")=3,"Valid",IF(COUNTIF(AN48:AP48,"Valid")&gt;0,"Valid","Invalid"))),"")</f>
        <v/>
      </c>
      <c r="AK48" s="585"/>
      <c r="AL48" s="512" t="e">
        <f>IF(INDEX(WeaponTemplateTable,MATCH(AI48,WeaponTemplateList,0),5)&lt;&gt;"",IF(AI$12=INDEX(WeaponTemplateTable,MATCH(AI48,WeaponTemplateList,0),5),"Valid","Invalid"),"")</f>
        <v>#N/A</v>
      </c>
      <c r="AM48" s="512" t="e">
        <f>IF(INDEX(WeaponTemplateTable,MATCH(AI48,WeaponTemplateList,0),6)&lt;&gt;"",IF(LOWER(AI$74)=LOWER(INDEX(WeaponTemplateTable,MATCH(AI48,WeaponTemplateList,0),6)),"Valid","Invalid"),"")</f>
        <v>#N/A</v>
      </c>
      <c r="AN48" s="512" t="e">
        <f>IF(INDEX(WeaponTemplateTable,MATCH(AI48,WeaponTemplateList,0),7)&lt;&gt;"",IF(NOT(ISERROR(FIND(LOWER(INDEX(WeaponTemplateTable,MATCH(AI48,WeaponTemplateList,0),7)),LOWER(AI$98),1))),"Valid","Invalid"),"")</f>
        <v>#N/A</v>
      </c>
      <c r="AO48" s="512" t="e">
        <f>IF(INDEX(WeaponTemplateTable,MATCH(AI48,WeaponTemplateList,0),8)&lt;&gt;"",IF(NOT(ISERROR(FIND(LOWER(INDEX(WeaponTemplateTable,MATCH(AI48,WeaponTemplateList,0),8)),LOWER(AI$98),1))),"Valid","Invalid"),"")</f>
        <v>#N/A</v>
      </c>
      <c r="AP48" s="512" t="e">
        <f>IF(INDEX(WeaponTemplateTable,MATCH(AI48,WeaponTemplateList,0),9)&lt;&gt;"",IF(AI85&lt;&gt;"","Valid","Invalid"),"")</f>
        <v>#N/A</v>
      </c>
      <c r="AQ48" s="839" t="str">
        <f>IF(AND(AI48&lt;&gt;"",AJ48="Valid"),INDEX(WeaponTemplateTable,MATCH(AI48,WeaponTemplateList,0),10),"")</f>
        <v/>
      </c>
      <c r="AR48" s="1049">
        <f>IF(AS48&lt;&gt;"",MAX(INDEX(WeaponTemplateTable,MATCH(AS48,WeaponTemplateList,0),3)*INDEX(WeaponTable,MATCH(AS$11,WeaponList,0),25),INDEX(WeaponTemplateTable,MATCH(AS48,WeaponTemplateList,0),4)),0)</f>
        <v>0</v>
      </c>
      <c r="AS48" s="1107"/>
      <c r="AT48" s="585" t="str">
        <f>IF(AS48&lt;&gt;"",IF(COUNTIF(AV48:AW48,"Invalid")&lt;1,IF(COUNTIF(AX48:AZ48,"")=3,"Valid",IF(COUNTIF(AX48:AZ48,"Valid")&gt;0,"Valid","Invalid"))),"")</f>
        <v/>
      </c>
      <c r="AU48" s="585"/>
      <c r="AV48" s="512" t="e">
        <f>IF(INDEX(WeaponTemplateTable,MATCH(AS48,WeaponTemplateList,0),5)&lt;&gt;"",IF(AS$12=INDEX(WeaponTemplateTable,MATCH(AS48,WeaponTemplateList,0),5),"Valid","Invalid"),"")</f>
        <v>#N/A</v>
      </c>
      <c r="AW48" s="512" t="e">
        <f>IF(INDEX(WeaponTemplateTable,MATCH(AS48,WeaponTemplateList,0),6)&lt;&gt;"",IF(LOWER(AS$74)=LOWER(INDEX(WeaponTemplateTable,MATCH(AS48,WeaponTemplateList,0),6)),"Valid","Invalid"),"")</f>
        <v>#N/A</v>
      </c>
      <c r="AX48" s="512" t="e">
        <f>IF(INDEX(WeaponTemplateTable,MATCH(AS48,WeaponTemplateList,0),7)&lt;&gt;"",IF(NOT(ISERROR(FIND(LOWER(INDEX(WeaponTemplateTable,MATCH(AS48,WeaponTemplateList,0),7)),LOWER(AS$98),1))),"Valid","Invalid"),"")</f>
        <v>#N/A</v>
      </c>
      <c r="AY48" s="512" t="e">
        <f>IF(INDEX(WeaponTemplateTable,MATCH(AS48,WeaponTemplateList,0),8)&lt;&gt;"",IF(NOT(ISERROR(FIND(LOWER(INDEX(WeaponTemplateTable,MATCH(AS48,WeaponTemplateList,0),8)),LOWER(AS$98),1))),"Valid","Invalid"),"")</f>
        <v>#N/A</v>
      </c>
      <c r="AZ48" s="512" t="e">
        <f>IF(INDEX(WeaponTemplateTable,MATCH(AS48,WeaponTemplateList,0),9)&lt;&gt;"",IF(AS85&lt;&gt;"","Valid","Invalid"),"")</f>
        <v>#N/A</v>
      </c>
      <c r="BA48" s="839" t="str">
        <f>IF(AND(AS48&lt;&gt;"",AT48="Valid"),INDEX(WeaponTemplateTable,MATCH(AS48,WeaponTemplateList,0),10),"")</f>
        <v/>
      </c>
      <c r="BB48" s="512">
        <f>IF(BC48&lt;&gt;"",MAX(INDEX(WeaponTemplateTable,MATCH(BC48,WeaponTemplateList,0),3)*INDEX(WeaponTable,MATCH(BC$11,WeaponList,0),25),INDEX(WeaponTemplateTable,MATCH(BC48,WeaponTemplateList,0),4)),0)</f>
        <v>0</v>
      </c>
      <c r="BC48" s="1107"/>
      <c r="BD48" s="585" t="str">
        <f>IF(BC48&lt;&gt;"",IF(COUNTIF(BF48:BG48,"Invalid")&lt;1,IF(COUNTIF(BH48:BJ48,"")=3,"Valid",IF(COUNTIF(BH48:BJ48,"Valid")&gt;0,"Valid","Invalid"))),"")</f>
        <v/>
      </c>
      <c r="BE48" s="585"/>
      <c r="BF48" s="834" t="e">
        <f>IF(INDEX(WeaponTemplateTable,MATCH(BC48,WeaponTemplateList,0),5)&lt;&gt;"",IF(BC$12=INDEX(WeaponTemplateTable,MATCH(BC48,WeaponTemplateList,0),5),"Valid","Invalid"),"")</f>
        <v>#N/A</v>
      </c>
      <c r="BG48" s="834" t="e">
        <f>IF(INDEX(WeaponTemplateTable,MATCH(BC48,WeaponTemplateList,0),6)&lt;&gt;"",IF(LOWER(BC$74)=LOWER(INDEX(WeaponTemplateTable,MATCH(BC48,WeaponTemplateList,0),6)),"Valid","Invalid"),"")</f>
        <v>#N/A</v>
      </c>
      <c r="BH48" s="834" t="e">
        <f>IF(INDEX(WeaponTemplateTable,MATCH(BC48,WeaponTemplateList,0),7)&lt;&gt;"",IF(NOT(ISERROR(FIND(LOWER(INDEX(WeaponTemplateTable,MATCH(BC48,WeaponTemplateList,0),7)),LOWER(BC$98),1))),"Valid","Invalid"),"")</f>
        <v>#N/A</v>
      </c>
      <c r="BI48" s="834" t="e">
        <f>IF(INDEX(WeaponTemplateTable,MATCH(BC48,WeaponTemplateList,0),8)&lt;&gt;"",IF(NOT(ISERROR(FIND(LOWER(INDEX(WeaponTemplateTable,MATCH(BC48,WeaponTemplateList,0),8)),LOWER(BC$98),1))),"Valid","Invalid"),"")</f>
        <v>#N/A</v>
      </c>
      <c r="BJ48" s="834" t="e">
        <f>IF(INDEX(WeaponTemplateTable,MATCH(BC48,WeaponTemplateList,0),9)&lt;&gt;"",IF(BC85&lt;&gt;"","Valid","Invalid"),"")</f>
        <v>#N/A</v>
      </c>
      <c r="BK48" s="512" t="str">
        <f>IF(AND(BC48&lt;&gt;"",BD48="Valid"),INDEX(WeaponTemplateTable,MATCH(BC48,WeaponTemplateList,0),10),"")</f>
        <v/>
      </c>
      <c r="BL48" s="29"/>
      <c r="BM48" s="383" t="s">
        <v>195</v>
      </c>
    </row>
    <row r="49" spans="2:65">
      <c r="B49" s="26"/>
      <c r="C49" s="735"/>
      <c r="D49" s="1049">
        <f>IF(E49&lt;&gt;"",MAX(INDEX(WeaponTemplateTable,MATCH(E49,WeaponTemplateList,0),3)*INDEX(WeaponTable,MATCH(E$11,WeaponList,0),25),INDEX(WeaponTemplateTable,MATCH(E49,WeaponTemplateList,0),4)),0)</f>
        <v>0</v>
      </c>
      <c r="E49" s="1107"/>
      <c r="F49" s="585" t="str">
        <f>IF(E49&lt;&gt;"",IF(COUNTIF(H49:I49,"Invalid")&lt;1,IF(COUNTIF(J49:L49,"")=3,"Valid",IF(COUNTIF(J49:L49,"Valid")&gt;0,"Valid","Invalid"))),"")</f>
        <v/>
      </c>
      <c r="G49" s="585"/>
      <c r="H49" s="512" t="e">
        <f>IF(INDEX(WeaponTemplateTable,MATCH(E49,WeaponTemplateList,0),5)&lt;&gt;"",IF(E$12=INDEX(WeaponTemplateTable,MATCH(E49,WeaponTemplateList,0),5),"Valid","Invalid"),"")</f>
        <v>#N/A</v>
      </c>
      <c r="I49" s="512" t="e">
        <f>IF(INDEX(WeaponTemplateTable,MATCH(E49,WeaponTemplateList,0),6)&lt;&gt;"",IF(LOWER(E$74)=LOWER(INDEX(WeaponTemplateTable,MATCH(E49,WeaponTemplateList,0),6)),"Valid","Invalid"),"")</f>
        <v>#N/A</v>
      </c>
      <c r="J49" s="512" t="e">
        <f>IF(INDEX(WeaponTemplateTable,MATCH(E49,WeaponTemplateList,0),7)&lt;&gt;"",IF(NOT(ISERROR(FIND(LOWER(INDEX(WeaponTemplateTable,MATCH(E49,WeaponTemplateList,0),7)),LOWER(E$98),1))),"Valid","Invalid"),"")</f>
        <v>#N/A</v>
      </c>
      <c r="K49" s="512" t="e">
        <f>IF(INDEX(WeaponTemplateTable,MATCH(E49,WeaponTemplateList,0),8)&lt;&gt;"",IF(NOT(ISERROR(FIND(LOWER(INDEX(WeaponTemplateTable,MATCH(E49,WeaponTemplateList,0),8)),LOWER(E$98),1))),"Valid","Invalid"),"")</f>
        <v>#N/A</v>
      </c>
      <c r="L49" s="512" t="e">
        <f>IF(INDEX(WeaponTemplateTable,MATCH(E49,WeaponTemplateList,0),9)&lt;&gt;"",IF(E86&lt;&gt;"","Valid","Invalid"),"")</f>
        <v>#N/A</v>
      </c>
      <c r="M49" s="839" t="str">
        <f>IF(AND(E49&lt;&gt;"",F49="Valid"),INDEX(WeaponTemplateTable,MATCH(E49,WeaponTemplateList,0),10),"")</f>
        <v/>
      </c>
      <c r="N49" s="1049">
        <f>IF(O49&lt;&gt;"",MAX(INDEX(WeaponTemplateTable,MATCH(O49,WeaponTemplateList,0),3)*INDEX(WeaponTable,MATCH(O$11,WeaponList,0),25),INDEX(WeaponTemplateTable,MATCH(O49,WeaponTemplateList,0),4)),0)</f>
        <v>0</v>
      </c>
      <c r="O49" s="1107"/>
      <c r="P49" s="585" t="str">
        <f>IF(O49&lt;&gt;"",IF(COUNTIF(R49:S49,"Invalid")&lt;1,IF(COUNTIF(T49:V49,"")=3,"Valid",IF(COUNTIF(T49:V49,"Valid")&gt;0,"Valid","Invalid"))),"")</f>
        <v/>
      </c>
      <c r="Q49" s="585"/>
      <c r="R49" s="512" t="e">
        <f>IF(INDEX(WeaponTemplateTable,MATCH(O49,WeaponTemplateList,0),5)&lt;&gt;"",IF(O$12=INDEX(WeaponTemplateTable,MATCH(O49,WeaponTemplateList,0),5),"Valid","Invalid"),"")</f>
        <v>#N/A</v>
      </c>
      <c r="S49" s="512" t="e">
        <f>IF(INDEX(WeaponTemplateTable,MATCH(O49,WeaponTemplateList,0),6)&lt;&gt;"",IF(LOWER(O$74)=LOWER(INDEX(WeaponTemplateTable,MATCH(O49,WeaponTemplateList,0),6)),"Valid","Invalid"),"")</f>
        <v>#N/A</v>
      </c>
      <c r="T49" s="512" t="e">
        <f>IF(INDEX(WeaponTemplateTable,MATCH(O49,WeaponTemplateList,0),7)&lt;&gt;"",IF(NOT(ISERROR(FIND(LOWER(INDEX(WeaponTemplateTable,MATCH(O49,WeaponTemplateList,0),7)),LOWER(O$98),1))),"Valid","Invalid"),"")</f>
        <v>#N/A</v>
      </c>
      <c r="U49" s="512" t="e">
        <f>IF(INDEX(WeaponTemplateTable,MATCH(O49,WeaponTemplateList,0),8)&lt;&gt;"",IF(NOT(ISERROR(FIND(LOWER(INDEX(WeaponTemplateTable,MATCH(O49,WeaponTemplateList,0),8)),LOWER(O$98),1))),"Valid","Invalid"),"")</f>
        <v>#N/A</v>
      </c>
      <c r="V49" s="512" t="e">
        <f>IF(INDEX(WeaponTemplateTable,MATCH(O49,WeaponTemplateList,0),9)&lt;&gt;"",IF(O86&lt;&gt;"","Valid","Invalid"),"")</f>
        <v>#N/A</v>
      </c>
      <c r="W49" s="839" t="str">
        <f>IF(AND(O49&lt;&gt;"",P49="Valid"),INDEX(WeaponTemplateTable,MATCH(O49,WeaponTemplateList,0),10),"")</f>
        <v/>
      </c>
      <c r="X49" s="1049">
        <f>IF(Y49&lt;&gt;"",MAX(INDEX(WeaponTemplateTable,MATCH(Y49,WeaponTemplateList,0),3)*INDEX(WeaponTable,MATCH(Y$11,WeaponList,0),25),INDEX(WeaponTemplateTable,MATCH(Y49,WeaponTemplateList,0),4)),0)</f>
        <v>0</v>
      </c>
      <c r="Y49" s="1107"/>
      <c r="Z49" s="585" t="str">
        <f>IF(Y49&lt;&gt;"",IF(COUNTIF(AB49:AC49,"Invalid")&lt;1,IF(COUNTIF(AD49:AF49,"")=3,"Valid",IF(COUNTIF(AD49:AF49,"Valid")&gt;0,"Valid","Invalid"))),"")</f>
        <v/>
      </c>
      <c r="AA49" s="585"/>
      <c r="AB49" s="512" t="e">
        <f>IF(INDEX(WeaponTemplateTable,MATCH(Y49,WeaponTemplateList,0),5)&lt;&gt;"",IF(Y$12=INDEX(WeaponTemplateTable,MATCH(Y49,WeaponTemplateList,0),5),"Valid","Invalid"),"")</f>
        <v>#N/A</v>
      </c>
      <c r="AC49" s="512" t="e">
        <f>IF(INDEX(WeaponTemplateTable,MATCH(Y49,WeaponTemplateList,0),6)&lt;&gt;"",IF(LOWER(Y$74)=LOWER(INDEX(WeaponTemplateTable,MATCH(Y49,WeaponTemplateList,0),6)),"Valid","Invalid"),"")</f>
        <v>#N/A</v>
      </c>
      <c r="AD49" s="512" t="e">
        <f>IF(INDEX(WeaponTemplateTable,MATCH(Y49,WeaponTemplateList,0),7)&lt;&gt;"",IF(NOT(ISERROR(FIND(LOWER(INDEX(WeaponTemplateTable,MATCH(Y49,WeaponTemplateList,0),7)),LOWER(Y$98),1))),"Valid","Invalid"),"")</f>
        <v>#N/A</v>
      </c>
      <c r="AE49" s="512" t="e">
        <f>IF(INDEX(WeaponTemplateTable,MATCH(Y49,WeaponTemplateList,0),8)&lt;&gt;"",IF(NOT(ISERROR(FIND(LOWER(INDEX(WeaponTemplateTable,MATCH(Y49,WeaponTemplateList,0),8)),LOWER(Y$98),1))),"Valid","Invalid"),"")</f>
        <v>#N/A</v>
      </c>
      <c r="AF49" s="512" t="e">
        <f>IF(INDEX(WeaponTemplateTable,MATCH(Y49,WeaponTemplateList,0),9)&lt;&gt;"",IF(Y86&lt;&gt;"","Valid","Invalid"),"")</f>
        <v>#N/A</v>
      </c>
      <c r="AG49" s="839" t="str">
        <f>IF(AND(Y49&lt;&gt;"",Z49="Valid"),INDEX(WeaponTemplateTable,MATCH(Y49,WeaponTemplateList,0),10),"")</f>
        <v/>
      </c>
      <c r="AH49" s="1049">
        <f>IF(AI49&lt;&gt;"",MAX(INDEX(WeaponTemplateTable,MATCH(AI49,WeaponTemplateList,0),3)*INDEX(WeaponTable,MATCH(AI$11,WeaponList,0),25),INDEX(WeaponTemplateTable,MATCH(AI49,WeaponTemplateList,0),4)),0)</f>
        <v>0</v>
      </c>
      <c r="AI49" s="1107"/>
      <c r="AJ49" s="585" t="str">
        <f>IF(AI49&lt;&gt;"",IF(COUNTIF(AL49:AM49,"Invalid")&lt;1,IF(COUNTIF(AN49:AP49,"")=3,"Valid",IF(COUNTIF(AN49:AP49,"Valid")&gt;0,"Valid","Invalid"))),"")</f>
        <v/>
      </c>
      <c r="AK49" s="585"/>
      <c r="AL49" s="512" t="e">
        <f>IF(INDEX(WeaponTemplateTable,MATCH(AI49,WeaponTemplateList,0),5)&lt;&gt;"",IF(AI$12=INDEX(WeaponTemplateTable,MATCH(AI49,WeaponTemplateList,0),5),"Valid","Invalid"),"")</f>
        <v>#N/A</v>
      </c>
      <c r="AM49" s="512" t="e">
        <f>IF(INDEX(WeaponTemplateTable,MATCH(AI49,WeaponTemplateList,0),6)&lt;&gt;"",IF(LOWER(AI$74)=LOWER(INDEX(WeaponTemplateTable,MATCH(AI49,WeaponTemplateList,0),6)),"Valid","Invalid"),"")</f>
        <v>#N/A</v>
      </c>
      <c r="AN49" s="512" t="e">
        <f>IF(INDEX(WeaponTemplateTable,MATCH(AI49,WeaponTemplateList,0),7)&lt;&gt;"",IF(NOT(ISERROR(FIND(LOWER(INDEX(WeaponTemplateTable,MATCH(AI49,WeaponTemplateList,0),7)),LOWER(AI$98),1))),"Valid","Invalid"),"")</f>
        <v>#N/A</v>
      </c>
      <c r="AO49" s="512" t="e">
        <f>IF(INDEX(WeaponTemplateTable,MATCH(AI49,WeaponTemplateList,0),8)&lt;&gt;"",IF(NOT(ISERROR(FIND(LOWER(INDEX(WeaponTemplateTable,MATCH(AI49,WeaponTemplateList,0),8)),LOWER(AI$98),1))),"Valid","Invalid"),"")</f>
        <v>#N/A</v>
      </c>
      <c r="AP49" s="512" t="e">
        <f>IF(INDEX(WeaponTemplateTable,MATCH(AI49,WeaponTemplateList,0),9)&lt;&gt;"",IF(AI86&lt;&gt;"","Valid","Invalid"),"")</f>
        <v>#N/A</v>
      </c>
      <c r="AQ49" s="839" t="str">
        <f>IF(AND(AI49&lt;&gt;"",AJ49="Valid"),INDEX(WeaponTemplateTable,MATCH(AI49,WeaponTemplateList,0),10),"")</f>
        <v/>
      </c>
      <c r="AR49" s="1049">
        <f>IF(AS49&lt;&gt;"",MAX(INDEX(WeaponTemplateTable,MATCH(AS49,WeaponTemplateList,0),3)*INDEX(WeaponTable,MATCH(AS$11,WeaponList,0),25),INDEX(WeaponTemplateTable,MATCH(AS49,WeaponTemplateList,0),4)),0)</f>
        <v>0</v>
      </c>
      <c r="AS49" s="1107"/>
      <c r="AT49" s="585" t="str">
        <f>IF(AS49&lt;&gt;"",IF(COUNTIF(AV49:AW49,"Invalid")&lt;1,IF(COUNTIF(AX49:AZ49,"")=3,"Valid",IF(COUNTIF(AX49:AZ49,"Valid")&gt;0,"Valid","Invalid"))),"")</f>
        <v/>
      </c>
      <c r="AU49" s="585"/>
      <c r="AV49" s="512" t="e">
        <f>IF(INDEX(WeaponTemplateTable,MATCH(AS49,WeaponTemplateList,0),5)&lt;&gt;"",IF(AS$12=INDEX(WeaponTemplateTable,MATCH(AS49,WeaponTemplateList,0),5),"Valid","Invalid"),"")</f>
        <v>#N/A</v>
      </c>
      <c r="AW49" s="512" t="e">
        <f>IF(INDEX(WeaponTemplateTable,MATCH(AS49,WeaponTemplateList,0),6)&lt;&gt;"",IF(LOWER(AS$74)=LOWER(INDEX(WeaponTemplateTable,MATCH(AS49,WeaponTemplateList,0),6)),"Valid","Invalid"),"")</f>
        <v>#N/A</v>
      </c>
      <c r="AX49" s="512" t="e">
        <f>IF(INDEX(WeaponTemplateTable,MATCH(AS49,WeaponTemplateList,0),7)&lt;&gt;"",IF(NOT(ISERROR(FIND(LOWER(INDEX(WeaponTemplateTable,MATCH(AS49,WeaponTemplateList,0),7)),LOWER(AS$98),1))),"Valid","Invalid"),"")</f>
        <v>#N/A</v>
      </c>
      <c r="AY49" s="512" t="e">
        <f>IF(INDEX(WeaponTemplateTable,MATCH(AS49,WeaponTemplateList,0),8)&lt;&gt;"",IF(NOT(ISERROR(FIND(LOWER(INDEX(WeaponTemplateTable,MATCH(AS49,WeaponTemplateList,0),8)),LOWER(AS$98),1))),"Valid","Invalid"),"")</f>
        <v>#N/A</v>
      </c>
      <c r="AZ49" s="512" t="e">
        <f>IF(INDEX(WeaponTemplateTable,MATCH(AS49,WeaponTemplateList,0),9)&lt;&gt;"",IF(AS86&lt;&gt;"","Valid","Invalid"),"")</f>
        <v>#N/A</v>
      </c>
      <c r="BA49" s="839" t="str">
        <f>IF(AND(AS49&lt;&gt;"",AT49="Valid"),INDEX(WeaponTemplateTable,MATCH(AS49,WeaponTemplateList,0),10),"")</f>
        <v/>
      </c>
      <c r="BB49" s="512">
        <f>IF(BC49&lt;&gt;"",MAX(INDEX(WeaponTemplateTable,MATCH(BC49,WeaponTemplateList,0),3)*INDEX(WeaponTable,MATCH(BC$11,WeaponList,0),25),INDEX(WeaponTemplateTable,MATCH(BC49,WeaponTemplateList,0),4)),0)</f>
        <v>0</v>
      </c>
      <c r="BC49" s="1107"/>
      <c r="BD49" s="585" t="str">
        <f>IF(BC49&lt;&gt;"",IF(COUNTIF(BF49:BG49,"Invalid")&lt;1,IF(COUNTIF(BH49:BJ49,"")=3,"Valid",IF(COUNTIF(BH49:BJ49,"Valid")&gt;0,"Valid","Invalid"))),"")</f>
        <v/>
      </c>
      <c r="BE49" s="585"/>
      <c r="BF49" s="834" t="e">
        <f>IF(INDEX(WeaponTemplateTable,MATCH(BC49,WeaponTemplateList,0),5)&lt;&gt;"",IF(BC$12=INDEX(WeaponTemplateTable,MATCH(BC49,WeaponTemplateList,0),5),"Valid","Invalid"),"")</f>
        <v>#N/A</v>
      </c>
      <c r="BG49" s="834" t="e">
        <f>IF(INDEX(WeaponTemplateTable,MATCH(BC49,WeaponTemplateList,0),6)&lt;&gt;"",IF(LOWER(BC$74)=LOWER(INDEX(WeaponTemplateTable,MATCH(BC49,WeaponTemplateList,0),6)),"Valid","Invalid"),"")</f>
        <v>#N/A</v>
      </c>
      <c r="BH49" s="834" t="e">
        <f>IF(INDEX(WeaponTemplateTable,MATCH(BC49,WeaponTemplateList,0),7)&lt;&gt;"",IF(NOT(ISERROR(FIND(LOWER(INDEX(WeaponTemplateTable,MATCH(BC49,WeaponTemplateList,0),7)),LOWER(BC$98),1))),"Valid","Invalid"),"")</f>
        <v>#N/A</v>
      </c>
      <c r="BI49" s="834" t="e">
        <f>IF(INDEX(WeaponTemplateTable,MATCH(BC49,WeaponTemplateList,0),8)&lt;&gt;"",IF(NOT(ISERROR(FIND(LOWER(INDEX(WeaponTemplateTable,MATCH(BC49,WeaponTemplateList,0),8)),LOWER(BC$98),1))),"Valid","Invalid"),"")</f>
        <v>#N/A</v>
      </c>
      <c r="BJ49" s="834" t="e">
        <f>IF(INDEX(WeaponTemplateTable,MATCH(BC49,WeaponTemplateList,0),9)&lt;&gt;"",IF(BC86&lt;&gt;"","Valid","Invalid"),"")</f>
        <v>#N/A</v>
      </c>
      <c r="BK49" s="512" t="str">
        <f>IF(AND(BC49&lt;&gt;"",BD49="Valid"),INDEX(WeaponTemplateTable,MATCH(BC49,WeaponTemplateList,0),10),"")</f>
        <v/>
      </c>
      <c r="BL49" s="29"/>
      <c r="BM49" s="383" t="s">
        <v>195</v>
      </c>
    </row>
    <row r="50" spans="2:65">
      <c r="B50" s="26"/>
      <c r="C50" s="735" t="s">
        <v>552</v>
      </c>
      <c r="D50" s="1049"/>
      <c r="E50" s="1107"/>
      <c r="F50" s="585" t="str">
        <f>IF(AND(E$11&lt;&gt;"",E50&lt;&gt;""),IF(E$12&lt;&gt;"Melee","Invalid",IF((ISERROR(FIND(E50,TalentsTakenList,1))),"Invalid","Valid")),"")</f>
        <v/>
      </c>
      <c r="G50" s="585"/>
      <c r="H50" s="585"/>
      <c r="I50" s="585"/>
      <c r="J50" s="585"/>
      <c r="K50" s="585"/>
      <c r="L50" s="585"/>
      <c r="M50" s="839"/>
      <c r="N50" s="1049"/>
      <c r="O50" s="1107"/>
      <c r="P50" s="585" t="str">
        <f>IF(AND(O$11&lt;&gt;"",O50&lt;&gt;""),IF(O$12&lt;&gt;"Melee","Invalid",IF((ISERROR(FIND(O50,TalentsTakenList,1))),"Invalid","Valid")),"")</f>
        <v/>
      </c>
      <c r="Q50" s="585"/>
      <c r="R50" s="585"/>
      <c r="S50" s="585"/>
      <c r="T50" s="585"/>
      <c r="U50" s="585"/>
      <c r="V50" s="585"/>
      <c r="W50" s="839"/>
      <c r="X50" s="1049"/>
      <c r="Y50" s="1107"/>
      <c r="Z50" s="585" t="str">
        <f>IF(AND(Y$11&lt;&gt;"",Y50&lt;&gt;""),IF(Y$12&lt;&gt;"Melee","Invalid",IF((ISERROR(FIND(Y50,TalentsTakenList,1))),"Invalid","Valid")),"")</f>
        <v/>
      </c>
      <c r="AA50" s="585"/>
      <c r="AB50" s="585"/>
      <c r="AC50" s="585"/>
      <c r="AD50" s="585"/>
      <c r="AE50" s="585"/>
      <c r="AF50" s="585"/>
      <c r="AG50" s="839"/>
      <c r="AH50" s="1049"/>
      <c r="AI50" s="1107"/>
      <c r="AJ50" s="585" t="str">
        <f>IF(AND(AI$11&lt;&gt;"",AI50&lt;&gt;""),IF(AI$12&lt;&gt;"Melee","Invalid",IF((ISERROR(FIND(AI50,TalentsTakenList,1))),"Invalid","Valid")),"")</f>
        <v/>
      </c>
      <c r="AK50" s="585"/>
      <c r="AL50" s="585"/>
      <c r="AM50" s="585"/>
      <c r="AN50" s="585"/>
      <c r="AO50" s="585"/>
      <c r="AP50" s="585"/>
      <c r="AQ50" s="839"/>
      <c r="AR50" s="1049"/>
      <c r="AS50" s="1107"/>
      <c r="AT50" s="585" t="str">
        <f>IF(AND(AS$11&lt;&gt;"",AS50&lt;&gt;""),IF(AS$12&lt;&gt;"Melee","Invalid",IF((ISERROR(FIND(AS50,TalentsTakenList,1))),"Invalid","Valid")),"")</f>
        <v/>
      </c>
      <c r="AU50" s="585"/>
      <c r="AV50" s="585"/>
      <c r="AW50" s="585"/>
      <c r="AX50" s="585"/>
      <c r="AY50" s="585"/>
      <c r="AZ50" s="585"/>
      <c r="BA50" s="839"/>
      <c r="BB50" s="512"/>
      <c r="BC50" s="1107"/>
      <c r="BD50" s="585" t="str">
        <f>IF(AND(BC$11&lt;&gt;"",BC50&lt;&gt;""),IF(BC$12&lt;&gt;"Melee","Invalid",IF((ISERROR(FIND(BC50,TalentsTakenList,1))),"Invalid","Valid")),"")</f>
        <v/>
      </c>
      <c r="BE50" s="585"/>
      <c r="BF50" s="585"/>
      <c r="BG50" s="585"/>
      <c r="BH50" s="585"/>
      <c r="BI50" s="585"/>
      <c r="BJ50" s="585"/>
      <c r="BK50" s="512"/>
      <c r="BL50" s="29"/>
      <c r="BM50" s="383" t="s">
        <v>195</v>
      </c>
    </row>
    <row r="51" spans="2:65">
      <c r="B51" s="26"/>
      <c r="C51" s="735"/>
      <c r="D51" s="1049"/>
      <c r="E51" s="1107"/>
      <c r="F51" s="585" t="str">
        <f>IF(AND(E$11&lt;&gt;"",E51&lt;&gt;""),IF(E$12&lt;&gt;"Melee","Invalid",IF((ISERROR(FIND(E51,TalentsTakenList,1))),"Invalid","Valid")),"")</f>
        <v/>
      </c>
      <c r="G51" s="585"/>
      <c r="H51" s="585"/>
      <c r="I51" s="585"/>
      <c r="J51" s="585"/>
      <c r="K51" s="585"/>
      <c r="L51" s="585"/>
      <c r="M51" s="839"/>
      <c r="N51" s="1049"/>
      <c r="O51" s="1107"/>
      <c r="P51" s="585" t="str">
        <f>IF(AND(O$11&lt;&gt;"",O51&lt;&gt;""),IF(O$12&lt;&gt;"Melee","Invalid",IF((ISERROR(FIND(O51,TalentsTakenList,1))),"Invalid","Valid")),"")</f>
        <v/>
      </c>
      <c r="Q51" s="585"/>
      <c r="R51" s="585"/>
      <c r="S51" s="585"/>
      <c r="T51" s="585"/>
      <c r="U51" s="585"/>
      <c r="V51" s="585"/>
      <c r="W51" s="839"/>
      <c r="X51" s="1049"/>
      <c r="Y51" s="1107"/>
      <c r="Z51" s="585" t="str">
        <f>IF(AND(Y$11&lt;&gt;"",Y51&lt;&gt;""),IF(Y$12&lt;&gt;"Melee","Invalid",IF((ISERROR(FIND(Y51,TalentsTakenList,1))),"Invalid","Valid")),"")</f>
        <v/>
      </c>
      <c r="AA51" s="585"/>
      <c r="AB51" s="585"/>
      <c r="AC51" s="585"/>
      <c r="AD51" s="585"/>
      <c r="AE51" s="585"/>
      <c r="AF51" s="585"/>
      <c r="AG51" s="839"/>
      <c r="AH51" s="1049"/>
      <c r="AI51" s="1107"/>
      <c r="AJ51" s="585" t="str">
        <f>IF(AND(AI$11&lt;&gt;"",AI51&lt;&gt;""),IF(AI$12&lt;&gt;"Melee","Invalid",IF((ISERROR(FIND(AI51,TalentsTakenList,1))),"Invalid","Valid")),"")</f>
        <v/>
      </c>
      <c r="AK51" s="585"/>
      <c r="AL51" s="585"/>
      <c r="AM51" s="585"/>
      <c r="AN51" s="585"/>
      <c r="AO51" s="585"/>
      <c r="AP51" s="585"/>
      <c r="AQ51" s="839"/>
      <c r="AR51" s="1049"/>
      <c r="AS51" s="1107"/>
      <c r="AT51" s="585" t="str">
        <f>IF(AND(AS$11&lt;&gt;"",AS51&lt;&gt;""),IF(AS$12&lt;&gt;"Melee","Invalid",IF((ISERROR(FIND(AS51,TalentsTakenList,1))),"Invalid","Valid")),"")</f>
        <v/>
      </c>
      <c r="AU51" s="585"/>
      <c r="AV51" s="585"/>
      <c r="AW51" s="585"/>
      <c r="AX51" s="585"/>
      <c r="AY51" s="585"/>
      <c r="AZ51" s="585"/>
      <c r="BA51" s="839"/>
      <c r="BB51" s="512"/>
      <c r="BC51" s="1107"/>
      <c r="BD51" s="585" t="str">
        <f>IF(AND(BC$11&lt;&gt;"",BC51&lt;&gt;""),IF(BC$12&lt;&gt;"Melee","Invalid",IF((ISERROR(FIND(BC51,TalentsTakenList,1))),"Invalid","Valid")),"")</f>
        <v/>
      </c>
      <c r="BE51" s="585"/>
      <c r="BF51" s="585"/>
      <c r="BG51" s="585"/>
      <c r="BH51" s="585"/>
      <c r="BI51" s="585"/>
      <c r="BJ51" s="585"/>
      <c r="BK51" s="512"/>
      <c r="BL51" s="29"/>
      <c r="BM51" s="383" t="s">
        <v>195</v>
      </c>
    </row>
    <row r="52" spans="2:65" s="817" customFormat="1">
      <c r="B52" s="26"/>
      <c r="C52" s="815" t="s">
        <v>3546</v>
      </c>
      <c r="D52" s="1049"/>
      <c r="E52" s="1107"/>
      <c r="F52" s="585" t="str">
        <f>IF(AND(E$52&lt;&gt;"",E$11&lt;&gt;""),IF(OR(INDEX(WeaponTable,MATCH(E$11,WeaponList,0),5)="simple",INDEX(WeaponTable,MATCH(E$11,WeaponList,0),5)="advanced melee"),"Valid","Invalid"),"")</f>
        <v/>
      </c>
      <c r="G52" s="585"/>
      <c r="H52" s="512" t="str">
        <f>IF(F52="Valid",INDEX(SithWeaponAlchemyTable,MATCH(E$52,SithWeaponAlchemyList,0),4),"")</f>
        <v/>
      </c>
      <c r="I52" s="585"/>
      <c r="J52" s="585"/>
      <c r="K52" s="585"/>
      <c r="L52" s="585"/>
      <c r="M52" s="839"/>
      <c r="N52" s="1049"/>
      <c r="O52" s="1107"/>
      <c r="P52" s="585" t="str">
        <f>IF(AND(O$52&lt;&gt;"",O$11&lt;&gt;""),IF(OR(INDEX(WeaponTable,MATCH(O$11,WeaponList,0),5)="simple",INDEX(WeaponTable,MATCH(O$11,WeaponList,0),5)="advanced melee"),"Valid","Invalid"),"")</f>
        <v/>
      </c>
      <c r="Q52" s="585"/>
      <c r="R52" s="512" t="str">
        <f>IF(P52="Valid",INDEX(SithWeaponAlchemyTable,MATCH(O$52,SithWeaponAlchemyList,0),4),"")</f>
        <v/>
      </c>
      <c r="S52" s="585"/>
      <c r="T52" s="585"/>
      <c r="U52" s="585"/>
      <c r="V52" s="585"/>
      <c r="W52" s="839"/>
      <c r="X52" s="1049"/>
      <c r="Y52" s="1107"/>
      <c r="Z52" s="585" t="str">
        <f>IF(AND(Y$52&lt;&gt;"",Y$11&lt;&gt;""),IF(OR(INDEX(WeaponTable,MATCH(Y$11,WeaponList,0),5)="simple",INDEX(WeaponTable,MATCH(Y$11,WeaponList,0),5)="advanced melee"),"Valid","Invalid"),"")</f>
        <v/>
      </c>
      <c r="AA52" s="585"/>
      <c r="AB52" s="512" t="str">
        <f>IF(Z52="Valid",INDEX(SithWeaponAlchemyTable,MATCH(Y$52,SithWeaponAlchemyList,0),4),"")</f>
        <v/>
      </c>
      <c r="AC52" s="585"/>
      <c r="AD52" s="585"/>
      <c r="AE52" s="585"/>
      <c r="AF52" s="585"/>
      <c r="AG52" s="839"/>
      <c r="AH52" s="1049"/>
      <c r="AI52" s="1107"/>
      <c r="AJ52" s="585" t="str">
        <f>IF(AND(AI$52&lt;&gt;"",AI$11&lt;&gt;""),IF(OR(INDEX(WeaponTable,MATCH(AI$11,WeaponList,0),5)="simple",INDEX(WeaponTable,MATCH(AI$11,WeaponList,0),5)="advanced melee"),"Valid","Invalid"),"")</f>
        <v/>
      </c>
      <c r="AK52" s="585"/>
      <c r="AL52" s="512" t="str">
        <f>IF(AJ52="Valid",INDEX(SithWeaponAlchemyTable,MATCH(AI$52,SithWeaponAlchemyList,0),4),"")</f>
        <v/>
      </c>
      <c r="AM52" s="585"/>
      <c r="AN52" s="585"/>
      <c r="AO52" s="585"/>
      <c r="AP52" s="585"/>
      <c r="AQ52" s="839"/>
      <c r="AR52" s="1049"/>
      <c r="AS52" s="1107"/>
      <c r="AT52" s="585" t="str">
        <f>IF(AND(AS$52&lt;&gt;"",AS$11&lt;&gt;""),IF(OR(INDEX(WeaponTable,MATCH(AS$11,WeaponList,0),5)="simple",INDEX(WeaponTable,MATCH(AS$11,WeaponList,0),5)="advanced melee"),"Valid","Invalid"),"")</f>
        <v/>
      </c>
      <c r="AU52" s="585"/>
      <c r="AV52" s="512" t="str">
        <f>IF(AT52="Valid",INDEX(SithWeaponAlchemyTable,MATCH(AS$52,SithWeaponAlchemyList,0),4),"")</f>
        <v/>
      </c>
      <c r="AW52" s="585"/>
      <c r="AX52" s="585"/>
      <c r="AY52" s="585"/>
      <c r="AZ52" s="585"/>
      <c r="BA52" s="839"/>
      <c r="BB52" s="512"/>
      <c r="BC52" s="1107"/>
      <c r="BD52" s="585" t="str">
        <f>IF(AND(BC$52&lt;&gt;"",BC$11&lt;&gt;""),IF(OR(INDEX(WeaponTable,MATCH(BC$11,WeaponList,0),5)="simple",INDEX(WeaponTable,MATCH(BC$11,WeaponList,0),5)="advanced melee"),"Valid","Invalid"),"")</f>
        <v/>
      </c>
      <c r="BE52" s="585"/>
      <c r="BF52" s="834" t="str">
        <f>IF(BD52="Valid",INDEX(SithWeaponAlchemyTable,MATCH(BC$52,SithWeaponAlchemyList,0),4),"")</f>
        <v/>
      </c>
      <c r="BG52" s="585"/>
      <c r="BH52" s="585"/>
      <c r="BI52" s="585"/>
      <c r="BJ52" s="585"/>
      <c r="BK52" s="512"/>
      <c r="BL52" s="29"/>
      <c r="BM52" s="383" t="s">
        <v>195</v>
      </c>
    </row>
    <row r="53" spans="2:65">
      <c r="B53" s="26"/>
      <c r="C53" s="735" t="s">
        <v>3752</v>
      </c>
      <c r="D53" s="1049"/>
      <c r="E53" s="1107"/>
      <c r="F53" s="585" t="str">
        <f>IF(AND(E53&lt;&gt;"",E$11&lt;&gt;""),IF(COUNTIF(H53:L53,"Valid")&gt;0,"Valid","Invalid"),"")</f>
        <v/>
      </c>
      <c r="G53" s="585"/>
      <c r="H53" s="512" t="str">
        <f>IF(E53="Autofire",IF(AND(E87&lt;&gt;"",E88&lt;&gt;""),"Valid","Invalid"),"")</f>
        <v/>
      </c>
      <c r="I53" s="512" t="str">
        <f>IF(E53="Damage","Valid","")</f>
        <v/>
      </c>
      <c r="J53" s="512" t="str">
        <f>IF(E53="Design",IF(INDEX(WeaponTable,MATCH(E11,WeaponList,0),4)&lt;&gt;"EWP","Valid","Invalid"),"")</f>
        <v/>
      </c>
      <c r="K53" s="512" t="str">
        <f>IF(AND(E53="Range",E12),"Valid","")</f>
        <v/>
      </c>
      <c r="L53" s="512" t="str">
        <f>IF(E53="Stun Setting",IF(INDEX(WeaponTable,MATCH(E11,WeaponList,0),9)&lt;&gt;"","Valid","Invalid"),"")</f>
        <v/>
      </c>
      <c r="M53" s="839"/>
      <c r="N53" s="1049"/>
      <c r="O53" s="1107"/>
      <c r="P53" s="585" t="str">
        <f>IF(AND(O53&lt;&gt;"",O$11&lt;&gt;""),IF(COUNTIF(R53:V53,"Valid")&gt;0,"Valid","Invalid"),"")</f>
        <v/>
      </c>
      <c r="Q53" s="585"/>
      <c r="R53" s="512" t="str">
        <f>IF(O53="Autofire",IF(AND(O87&lt;&gt;"",O88&lt;&gt;""),"Valid","Invalid"),"")</f>
        <v/>
      </c>
      <c r="S53" s="512" t="str">
        <f>IF(O53="Damage","Valid","")</f>
        <v/>
      </c>
      <c r="T53" s="512" t="str">
        <f>IF(O53="Design",IF(INDEX(WeaponTable,MATCH(O11,WeaponList,0),4)&lt;&gt;"EWP","Valid","Invalid"),"")</f>
        <v/>
      </c>
      <c r="U53" s="512" t="str">
        <f>IF(AND(O53="Range",O12),"Valid","")</f>
        <v/>
      </c>
      <c r="V53" s="512" t="str">
        <f>IF(O53="Stun Setting",IF(INDEX(WeaponTable,MATCH(O11,WeaponList,0),9)&lt;&gt;"","Valid","Invalid"),"")</f>
        <v/>
      </c>
      <c r="W53" s="839"/>
      <c r="X53" s="1049"/>
      <c r="Y53" s="1107"/>
      <c r="Z53" s="585" t="str">
        <f>IF(AND(Y53&lt;&gt;"",Y$11&lt;&gt;""),IF(COUNTIF(AB53:AF53,"Valid")&gt;0,"Valid","Invalid"),"")</f>
        <v/>
      </c>
      <c r="AA53" s="585"/>
      <c r="AB53" s="512" t="str">
        <f>IF(Y53="Autofire",IF(AND(Y87&lt;&gt;"",Y88&lt;&gt;""),"Valid","Invalid"),"")</f>
        <v/>
      </c>
      <c r="AC53" s="512" t="str">
        <f>IF(Y53="Damage","Valid","")</f>
        <v/>
      </c>
      <c r="AD53" s="512" t="str">
        <f>IF(Y53="Design",IF(INDEX(WeaponTable,MATCH(Y11,WeaponList,0),4)&lt;&gt;"EWP","Valid","Invalid"),"")</f>
        <v/>
      </c>
      <c r="AE53" s="512" t="str">
        <f>IF(AND(Y53="Range",Y12),"Valid","")</f>
        <v/>
      </c>
      <c r="AF53" s="512" t="str">
        <f>IF(Y53="Stun Setting",IF(INDEX(WeaponTable,MATCH(Y11,WeaponList,0),9)&lt;&gt;"","Valid","Invalid"),"")</f>
        <v/>
      </c>
      <c r="AG53" s="839"/>
      <c r="AH53" s="1049"/>
      <c r="AI53" s="1107"/>
      <c r="AJ53" s="585" t="str">
        <f>IF(AND(AI53&lt;&gt;"",AI$11&lt;&gt;""),IF(COUNTIF(AL53:AP53,"Valid")&gt;0,"Valid","Invalid"),"")</f>
        <v/>
      </c>
      <c r="AK53" s="585"/>
      <c r="AL53" s="512" t="str">
        <f>IF(AI53="Autofire",IF(AND(AI87&lt;&gt;"",AI88&lt;&gt;""),"Valid","Invalid"),"")</f>
        <v/>
      </c>
      <c r="AM53" s="512" t="str">
        <f>IF(AI53="Damage","Valid","")</f>
        <v/>
      </c>
      <c r="AN53" s="512" t="str">
        <f>IF(AI53="Design",IF(INDEX(WeaponTable,MATCH(AI11,WeaponList,0),4)&lt;&gt;"EWP","Valid","Invalid"),"")</f>
        <v/>
      </c>
      <c r="AO53" s="512" t="str">
        <f>IF(AND(AI53="Range",AI12),"Valid","")</f>
        <v/>
      </c>
      <c r="AP53" s="512" t="str">
        <f>IF(AI53="Stun Setting",IF(INDEX(WeaponTable,MATCH(AI11,WeaponList,0),9)&lt;&gt;"","Valid","Invalid"),"")</f>
        <v/>
      </c>
      <c r="AQ53" s="839"/>
      <c r="AR53" s="1049"/>
      <c r="AS53" s="1107"/>
      <c r="AT53" s="585" t="str">
        <f>IF(AND(AS53&lt;&gt;"",AS$11&lt;&gt;""),IF(COUNTIF(AV53:AZ53,"Valid")&gt;0,"Valid","Invalid"),"")</f>
        <v/>
      </c>
      <c r="AU53" s="585"/>
      <c r="AV53" s="512" t="str">
        <f>IF(AS53="Autofire",IF(AND(AS87&lt;&gt;"",AS88&lt;&gt;""),"Valid","Invalid"),"")</f>
        <v/>
      </c>
      <c r="AW53" s="512" t="str">
        <f>IF(AS53="Damage","Valid","")</f>
        <v/>
      </c>
      <c r="AX53" s="512" t="str">
        <f>IF(AS53="Design",IF(INDEX(WeaponTable,MATCH(AS11,WeaponList,0),4)&lt;&gt;"EWP","Valid","Invalid"),"")</f>
        <v/>
      </c>
      <c r="AY53" s="512" t="str">
        <f>IF(AND(AS53="Range",AS12),"Valid","")</f>
        <v/>
      </c>
      <c r="AZ53" s="512" t="str">
        <f>IF(AS53="Stun Setting",IF(INDEX(WeaponTable,MATCH(AS11,WeaponList,0),9)&lt;&gt;"","Valid","Invalid"),"")</f>
        <v/>
      </c>
      <c r="BA53" s="839"/>
      <c r="BB53" s="512"/>
      <c r="BC53" s="1107"/>
      <c r="BD53" s="585" t="str">
        <f>IF(AND(BC53&lt;&gt;"",BC$11&lt;&gt;""),IF(COUNTIF(BF53:BJ53,"Valid")&gt;0,"Valid","Invalid"),"")</f>
        <v/>
      </c>
      <c r="BE53" s="585"/>
      <c r="BF53" s="834" t="str">
        <f>IF(BC53="Autofire",IF(AND(BC87&lt;&gt;"",BC88&lt;&gt;""),"Valid","Invalid"),"")</f>
        <v/>
      </c>
      <c r="BG53" s="834" t="str">
        <f>IF(BC53="Damage","Valid","")</f>
        <v/>
      </c>
      <c r="BH53" s="834" t="str">
        <f>IF(BC53="Design",IF(INDEX(WeaponTable,MATCH(BC11,WeaponList,0),4)&lt;&gt;"EWP","Valid","Invalid"),"")</f>
        <v/>
      </c>
      <c r="BI53" s="834" t="str">
        <f>IF(AND(BC53="Range",BC12),"Valid","")</f>
        <v/>
      </c>
      <c r="BJ53" s="834" t="str">
        <f>IF(BC53="Stun Setting",IF(INDEX(WeaponTable,MATCH(BC11,WeaponList,0),9)&lt;&gt;"","Valid","Invalid"),"")</f>
        <v/>
      </c>
      <c r="BK53" s="512"/>
      <c r="BL53" s="29"/>
      <c r="BM53" s="383" t="s">
        <v>195</v>
      </c>
    </row>
    <row r="54" spans="2:65">
      <c r="B54" s="26"/>
      <c r="C54" s="735" t="s">
        <v>4153</v>
      </c>
      <c r="D54" s="849"/>
      <c r="E54" s="1103"/>
      <c r="F54" s="585"/>
      <c r="G54" s="585"/>
      <c r="H54" s="585"/>
      <c r="I54" s="585"/>
      <c r="J54" s="585"/>
      <c r="K54" s="585"/>
      <c r="L54" s="585"/>
      <c r="M54" s="839"/>
      <c r="N54" s="849"/>
      <c r="O54" s="1103"/>
      <c r="P54" s="585"/>
      <c r="Q54" s="585"/>
      <c r="R54" s="585"/>
      <c r="S54" s="585"/>
      <c r="T54" s="585"/>
      <c r="U54" s="585"/>
      <c r="V54" s="585"/>
      <c r="W54" s="839"/>
      <c r="X54" s="849"/>
      <c r="Y54" s="1103"/>
      <c r="Z54" s="585"/>
      <c r="AA54" s="585"/>
      <c r="AB54" s="585"/>
      <c r="AC54" s="585"/>
      <c r="AD54" s="585"/>
      <c r="AE54" s="585"/>
      <c r="AF54" s="585"/>
      <c r="AG54" s="839"/>
      <c r="AH54" s="849"/>
      <c r="AI54" s="1103"/>
      <c r="AJ54" s="585"/>
      <c r="AK54" s="585"/>
      <c r="AL54" s="585"/>
      <c r="AM54" s="585"/>
      <c r="AN54" s="585"/>
      <c r="AO54" s="585"/>
      <c r="AP54" s="585"/>
      <c r="AQ54" s="839"/>
      <c r="AR54" s="849"/>
      <c r="AS54" s="1103"/>
      <c r="AT54" s="585"/>
      <c r="AU54" s="585"/>
      <c r="AV54" s="585"/>
      <c r="AW54" s="585"/>
      <c r="AX54" s="585"/>
      <c r="AY54" s="585"/>
      <c r="AZ54" s="585"/>
      <c r="BA54" s="839"/>
      <c r="BB54" s="838"/>
      <c r="BC54" s="1103"/>
      <c r="BD54" s="585"/>
      <c r="BE54" s="585"/>
      <c r="BF54" s="585"/>
      <c r="BG54" s="585"/>
      <c r="BH54" s="585"/>
      <c r="BI54" s="585"/>
      <c r="BJ54" s="585"/>
      <c r="BK54" s="512"/>
      <c r="BL54" s="29"/>
      <c r="BM54" s="383" t="s">
        <v>195</v>
      </c>
    </row>
    <row r="55" spans="2:65">
      <c r="B55" s="26"/>
      <c r="C55" s="735" t="s">
        <v>88</v>
      </c>
      <c r="D55" s="849"/>
      <c r="E55" s="1106" t="str">
        <f>IF(E$11&lt;&gt;"",SUM(G56:G59)&amp;"/"&amp;1+IF(F53&lt;&gt;"",1,0)+IF(E54&lt;&gt;"",1,0),"")</f>
        <v/>
      </c>
      <c r="F55" s="512"/>
      <c r="G55" s="512"/>
      <c r="H55" s="835" t="s">
        <v>4201</v>
      </c>
      <c r="I55" s="585"/>
      <c r="J55" s="585"/>
      <c r="K55" s="585"/>
      <c r="L55" s="585"/>
      <c r="M55" s="839"/>
      <c r="N55" s="849"/>
      <c r="O55" s="1106" t="str">
        <f>IF(O$11&lt;&gt;"",SUM(Q56:Q59)&amp;"/"&amp;1+IF(P53&lt;&gt;"",1,0)+IF(O54&lt;&gt;"",1,0),"")</f>
        <v/>
      </c>
      <c r="P55" s="512"/>
      <c r="Q55" s="512"/>
      <c r="R55" s="835" t="s">
        <v>4201</v>
      </c>
      <c r="S55" s="585"/>
      <c r="T55" s="585"/>
      <c r="U55" s="585"/>
      <c r="V55" s="585"/>
      <c r="W55" s="839"/>
      <c r="X55" s="849"/>
      <c r="Y55" s="1106" t="str">
        <f>IF(Y$11&lt;&gt;"",SUM(AA56:AA59)&amp;"/"&amp;1+IF(Z53&lt;&gt;"",1,0)+IF(Y54&lt;&gt;"",1,0),"")</f>
        <v/>
      </c>
      <c r="Z55" s="512"/>
      <c r="AA55" s="512"/>
      <c r="AB55" s="835" t="s">
        <v>4201</v>
      </c>
      <c r="AC55" s="585"/>
      <c r="AD55" s="585"/>
      <c r="AE55" s="585"/>
      <c r="AF55" s="585"/>
      <c r="AG55" s="839"/>
      <c r="AH55" s="849"/>
      <c r="AI55" s="1106" t="str">
        <f>IF(AI$11&lt;&gt;"",SUM(AK56:AK59)&amp;"/"&amp;1+IF(AJ53&lt;&gt;"",1,0)+IF(AI54&lt;&gt;"",1,0),"")</f>
        <v/>
      </c>
      <c r="AJ55" s="512"/>
      <c r="AK55" s="512"/>
      <c r="AL55" s="835" t="s">
        <v>4201</v>
      </c>
      <c r="AM55" s="585"/>
      <c r="AN55" s="585"/>
      <c r="AO55" s="585"/>
      <c r="AP55" s="585"/>
      <c r="AQ55" s="839"/>
      <c r="AR55" s="849"/>
      <c r="AS55" s="1106" t="str">
        <f>IF(AS$11&lt;&gt;"",SUM(AU56:AU59)&amp;"/"&amp;1+IF(AT53&lt;&gt;"",1,0)+IF(AS54&lt;&gt;"",1,0),"")</f>
        <v/>
      </c>
      <c r="AT55" s="512"/>
      <c r="AU55" s="512"/>
      <c r="AV55" s="835" t="s">
        <v>4201</v>
      </c>
      <c r="AW55" s="585"/>
      <c r="AX55" s="585"/>
      <c r="AY55" s="585"/>
      <c r="AZ55" s="585"/>
      <c r="BA55" s="839"/>
      <c r="BB55" s="838"/>
      <c r="BC55" s="1106" t="str">
        <f>IF(BC$11&lt;&gt;"",SUM(BE56:BE59)&amp;"/"&amp;1+IF(BD53&lt;&gt;"",1,0)+IF(BC54&lt;&gt;"",1,0),"")</f>
        <v/>
      </c>
      <c r="BD55" s="512"/>
      <c r="BE55" s="512"/>
      <c r="BF55" s="835" t="s">
        <v>4201</v>
      </c>
      <c r="BG55" s="585"/>
      <c r="BH55" s="585"/>
      <c r="BI55" s="585"/>
      <c r="BJ55" s="585"/>
      <c r="BK55" s="512"/>
      <c r="BL55" s="29"/>
      <c r="BM55" s="383" t="s">
        <v>195</v>
      </c>
    </row>
    <row r="56" spans="2:65">
      <c r="B56" s="26"/>
      <c r="C56" s="735" t="s">
        <v>3751</v>
      </c>
      <c r="D56" s="1049" t="str">
        <f>IF(E56&lt;&gt;"",INDEX(WeaponAccessoriesTable,MATCH(E56,WeaponAccessoriesList,0),3)+IF(E56="Bayonet Ring",INDEX(WeaponTable,MATCH(E$11,WeaponList,0),25),0),"")</f>
        <v/>
      </c>
      <c r="E56" s="1107"/>
      <c r="F56" s="585" t="str">
        <f>IF(E56&lt;&gt;"",IF(COUNTIF(H56:K56,"invalid")&lt;1,"Valid","Invalid"),"")</f>
        <v/>
      </c>
      <c r="G56" s="512">
        <f>IF(E56&lt;&gt;"",INDEX(WeaponAccessoriesTable,MATCH(E56,WeaponAccessoriesList,0),4),0)</f>
        <v>0</v>
      </c>
      <c r="H56" s="512" t="e">
        <f>IF(INDEX(WeaponAccessoriesTable,MATCH(E56,WeaponAccessoriesList,0),5)&lt;&gt;"",IF(E$12=INDEX(WeaponAccessoriesTable,MATCH(E56,WeaponAccessoriesList,0),5),"Valid","Invalid"),"")</f>
        <v>#N/A</v>
      </c>
      <c r="I56" s="512" t="e">
        <f>IF(INDEX(WeaponAccessoriesTable,MATCH(E56,WeaponAccessoriesList,0),6)&lt;&gt;"",IF(INDEX(WeaponTable,MATCH(E$11,WeaponList,0),27)=INDEX(WeaponAccessoriesTable,MATCH(E56,WeaponAccessoriesList,0),6),"Valid","Invalid"),"")</f>
        <v>#N/A</v>
      </c>
      <c r="J56" s="512" t="e">
        <f>IF(INDEX(WeaponAccessoriesTable,MATCH(E56,WeaponAccessoriesList,0),7)&lt;&gt;"",IF(ISERROR(FIND(INDEX(WeaponAccessoriesTable,MATCH(E56,WeaponAccessoriesList,0),7),E$98,1)),"Invalid","Valid"),"")</f>
        <v>#N/A</v>
      </c>
      <c r="K56" s="512" t="e">
        <f>IF(INDEX(WeaponAccessoriesTable,MATCH(E56,WeaponAccessoriesList,0),5)&lt;&gt;"",IF(INDEX(WeaponTable,MATCH(E$11,WeaponList,0),5)&lt;&gt;INDEX(WeaponAccessoriesTable,MATCH(E56,WeaponAccessoriesList,0),5),"Valid","Invalid"),"")</f>
        <v>#N/A</v>
      </c>
      <c r="L56" s="512" t="str">
        <f>IF(E56&lt;&gt;"",IF(INDEX(WeaponAccessoriesTable,MATCH(E56,WeaponAccessoriesList,0),9)&lt;&gt;"",INDEX(WeaponAccessoriesTable,MATCH(E56,WeaponAccessoriesList,0),9),""),"")</f>
        <v/>
      </c>
      <c r="M56" s="839" t="str">
        <f t="shared" ref="M56:M63" si="0">IF(L56&lt;&gt;"",L56&amp;IF(M57&lt;&gt;"","; "&amp;M57,""),M57)</f>
        <v/>
      </c>
      <c r="N56" s="1049" t="str">
        <f>IF(O56&lt;&gt;"",INDEX(WeaponAccessoriesTable,MATCH(O56,WeaponAccessoriesList,0),3)+IF(O56="Bayonet Ring",INDEX(WeaponTable,MATCH(O$11,WeaponList,0),25),0),"")</f>
        <v/>
      </c>
      <c r="O56" s="1107"/>
      <c r="P56" s="585" t="str">
        <f>IF(O56&lt;&gt;"",IF(COUNTIF(R56:U56,"invalid")&lt;1,"Valid","Invalid"),"")</f>
        <v/>
      </c>
      <c r="Q56" s="512">
        <f>IF(O56&lt;&gt;"",INDEX(WeaponAccessoriesTable,MATCH(O56,WeaponAccessoriesList,0),4),0)</f>
        <v>0</v>
      </c>
      <c r="R56" s="512" t="e">
        <f>IF(INDEX(WeaponAccessoriesTable,MATCH(O56,WeaponAccessoriesList,0),5)&lt;&gt;"",IF(O$12=INDEX(WeaponAccessoriesTable,MATCH(O56,WeaponAccessoriesList,0),5),"Valid","Invalid"),"")</f>
        <v>#N/A</v>
      </c>
      <c r="S56" s="512" t="e">
        <f>IF(INDEX(WeaponAccessoriesTable,MATCH(O56,WeaponAccessoriesList,0),6)&lt;&gt;"",IF(INDEX(WeaponTable,MATCH(O$11,WeaponList,0),27)=INDEX(WeaponAccessoriesTable,MATCH(O56,WeaponAccessoriesList,0),6),"Valid","Invalid"),"")</f>
        <v>#N/A</v>
      </c>
      <c r="T56" s="512" t="e">
        <f>IF(INDEX(WeaponAccessoriesTable,MATCH(O56,WeaponAccessoriesList,0),7)&lt;&gt;"",IF(ISERROR(FIND(INDEX(WeaponAccessoriesTable,MATCH(O56,WeaponAccessoriesList,0),7),O$98,1)),"Invalid","Valid"),"")</f>
        <v>#N/A</v>
      </c>
      <c r="U56" s="512" t="e">
        <f>IF(INDEX(WeaponAccessoriesTable,MATCH(O56,WeaponAccessoriesList,0),5)&lt;&gt;"",IF(INDEX(WeaponTable,MATCH(O$11,WeaponList,0),5)&lt;&gt;INDEX(WeaponAccessoriesTable,MATCH(O56,WeaponAccessoriesList,0),5),"Valid","Invalid"),"")</f>
        <v>#N/A</v>
      </c>
      <c r="V56" s="512" t="str">
        <f>IF(O56&lt;&gt;"",IF(INDEX(WeaponAccessoriesTable,MATCH(O56,WeaponAccessoriesList,0),9)&lt;&gt;"",INDEX(WeaponAccessoriesTable,MATCH(O56,WeaponAccessoriesList,0),9),""),"")</f>
        <v/>
      </c>
      <c r="W56" s="839" t="str">
        <f t="shared" ref="W56:W63" si="1">IF(V56&lt;&gt;"",V56&amp;IF(W57&lt;&gt;"","; "&amp;W57,""),W57)</f>
        <v/>
      </c>
      <c r="X56" s="1049" t="str">
        <f>IF(Y56&lt;&gt;"",INDEX(WeaponAccessoriesTable,MATCH(Y56,WeaponAccessoriesList,0),3)+IF(Y56="Bayonet Ring",INDEX(WeaponTable,MATCH(Y$11,WeaponList,0),25),0),"")</f>
        <v/>
      </c>
      <c r="Y56" s="1107"/>
      <c r="Z56" s="585" t="str">
        <f>IF(Y56&lt;&gt;"",IF(COUNTIF(AB56:AE56,"invalid")&lt;1,"Valid","Invalid"),"")</f>
        <v/>
      </c>
      <c r="AA56" s="512">
        <f>IF(Y56&lt;&gt;"",INDEX(WeaponAccessoriesTable,MATCH(Y56,WeaponAccessoriesList,0),4),0)</f>
        <v>0</v>
      </c>
      <c r="AB56" s="512" t="e">
        <f>IF(INDEX(WeaponAccessoriesTable,MATCH(Y56,WeaponAccessoriesList,0),5)&lt;&gt;"",IF(Y$12=INDEX(WeaponAccessoriesTable,MATCH(Y56,WeaponAccessoriesList,0),5),"Valid","Invalid"),"")</f>
        <v>#N/A</v>
      </c>
      <c r="AC56" s="512" t="e">
        <f>IF(INDEX(WeaponAccessoriesTable,MATCH(Y56,WeaponAccessoriesList,0),6)&lt;&gt;"",IF(INDEX(WeaponTable,MATCH(Y$11,WeaponList,0),27)=INDEX(WeaponAccessoriesTable,MATCH(Y56,WeaponAccessoriesList,0),6),"Valid","Invalid"),"")</f>
        <v>#N/A</v>
      </c>
      <c r="AD56" s="512" t="e">
        <f>IF(INDEX(WeaponAccessoriesTable,MATCH(Y56,WeaponAccessoriesList,0),7)&lt;&gt;"",IF(ISERROR(FIND(INDEX(WeaponAccessoriesTable,MATCH(Y56,WeaponAccessoriesList,0),7),Y$98,1)),"Invalid","Valid"),"")</f>
        <v>#N/A</v>
      </c>
      <c r="AE56" s="512" t="e">
        <f>IF(INDEX(WeaponAccessoriesTable,MATCH(Y56,WeaponAccessoriesList,0),5)&lt;&gt;"",IF(INDEX(WeaponTable,MATCH(Y$11,WeaponList,0),5)&lt;&gt;INDEX(WeaponAccessoriesTable,MATCH(Y56,WeaponAccessoriesList,0),5),"Valid","Invalid"),"")</f>
        <v>#N/A</v>
      </c>
      <c r="AF56" s="512" t="str">
        <f>IF(Y56&lt;&gt;"",IF(INDEX(WeaponAccessoriesTable,MATCH(Y56,WeaponAccessoriesList,0),9)&lt;&gt;"",INDEX(WeaponAccessoriesTable,MATCH(Y56,WeaponAccessoriesList,0),9),""),"")</f>
        <v/>
      </c>
      <c r="AG56" s="839" t="str">
        <f t="shared" ref="AG56:AG63" si="2">IF(AF56&lt;&gt;"",AF56&amp;IF(AG57&lt;&gt;"","; "&amp;AG57,""),AG57)</f>
        <v/>
      </c>
      <c r="AH56" s="1049" t="str">
        <f>IF(AI56&lt;&gt;"",INDEX(WeaponAccessoriesTable,MATCH(AI56,WeaponAccessoriesList,0),3)+IF(AI56="Bayonet Ring",INDEX(WeaponTable,MATCH(AI$11,WeaponList,0),25),0),"")</f>
        <v/>
      </c>
      <c r="AI56" s="1107"/>
      <c r="AJ56" s="585" t="str">
        <f>IF(AI56&lt;&gt;"",IF(COUNTIF(AL56:AO56,"invalid")&lt;1,"Valid","Invalid"),"")</f>
        <v/>
      </c>
      <c r="AK56" s="512">
        <f>IF(AI56&lt;&gt;"",INDEX(WeaponAccessoriesTable,MATCH(AI56,WeaponAccessoriesList,0),4),0)</f>
        <v>0</v>
      </c>
      <c r="AL56" s="512" t="e">
        <f>IF(INDEX(WeaponAccessoriesTable,MATCH(AI56,WeaponAccessoriesList,0),5)&lt;&gt;"",IF(AI$12=INDEX(WeaponAccessoriesTable,MATCH(AI56,WeaponAccessoriesList,0),5),"Valid","Invalid"),"")</f>
        <v>#N/A</v>
      </c>
      <c r="AM56" s="512" t="e">
        <f>IF(INDEX(WeaponAccessoriesTable,MATCH(AI56,WeaponAccessoriesList,0),6)&lt;&gt;"",IF(INDEX(WeaponTable,MATCH(AI$11,WeaponList,0),27)=INDEX(WeaponAccessoriesTable,MATCH(AI56,WeaponAccessoriesList,0),6),"Valid","Invalid"),"")</f>
        <v>#N/A</v>
      </c>
      <c r="AN56" s="512" t="e">
        <f>IF(INDEX(WeaponAccessoriesTable,MATCH(AI56,WeaponAccessoriesList,0),7)&lt;&gt;"",IF(ISERROR(FIND(INDEX(WeaponAccessoriesTable,MATCH(AI56,WeaponAccessoriesList,0),7),AI$98,1)),"Invalid","Valid"),"")</f>
        <v>#N/A</v>
      </c>
      <c r="AO56" s="512" t="e">
        <f>IF(INDEX(WeaponAccessoriesTable,MATCH(AI56,WeaponAccessoriesList,0),5)&lt;&gt;"",IF(INDEX(WeaponTable,MATCH(AI$11,WeaponList,0),5)&lt;&gt;INDEX(WeaponAccessoriesTable,MATCH(AI56,WeaponAccessoriesList,0),5),"Valid","Invalid"),"")</f>
        <v>#N/A</v>
      </c>
      <c r="AP56" s="512" t="str">
        <f>IF(AI56&lt;&gt;"",IF(INDEX(WeaponAccessoriesTable,MATCH(AI56,WeaponAccessoriesList,0),9)&lt;&gt;"",INDEX(WeaponAccessoriesTable,MATCH(AI56,WeaponAccessoriesList,0),9),""),"")</f>
        <v/>
      </c>
      <c r="AQ56" s="839" t="str">
        <f t="shared" ref="AQ56:AQ63" si="3">IF(AP56&lt;&gt;"",AP56&amp;IF(AQ57&lt;&gt;"","; "&amp;AQ57,""),AQ57)</f>
        <v/>
      </c>
      <c r="AR56" s="1049" t="str">
        <f>IF(AS56&lt;&gt;"",INDEX(WeaponAccessoriesTable,MATCH(AS56,WeaponAccessoriesList,0),3)+IF(AS56="Bayonet Ring",INDEX(WeaponTable,MATCH(AS$11,WeaponList,0),25),0),"")</f>
        <v/>
      </c>
      <c r="AS56" s="1107"/>
      <c r="AT56" s="585" t="str">
        <f>IF(AS56&lt;&gt;"",IF(COUNTIF(AV56:AY56,"invalid")&lt;1,"Valid","Invalid"),"")</f>
        <v/>
      </c>
      <c r="AU56" s="512">
        <f>IF(AS56&lt;&gt;"",INDEX(WeaponAccessoriesTable,MATCH(AS56,WeaponAccessoriesList,0),4),0)</f>
        <v>0</v>
      </c>
      <c r="AV56" s="512" t="e">
        <f>IF(INDEX(WeaponAccessoriesTable,MATCH(AS56,WeaponAccessoriesList,0),5)&lt;&gt;"",IF(AS$12=INDEX(WeaponAccessoriesTable,MATCH(AS56,WeaponAccessoriesList,0),5),"Valid","Invalid"),"")</f>
        <v>#N/A</v>
      </c>
      <c r="AW56" s="512" t="e">
        <f>IF(INDEX(WeaponAccessoriesTable,MATCH(AS56,WeaponAccessoriesList,0),6)&lt;&gt;"",IF(INDEX(WeaponTable,MATCH(AS$11,WeaponList,0),27)=INDEX(WeaponAccessoriesTable,MATCH(AS56,WeaponAccessoriesList,0),6),"Valid","Invalid"),"")</f>
        <v>#N/A</v>
      </c>
      <c r="AX56" s="512" t="e">
        <f>IF(INDEX(WeaponAccessoriesTable,MATCH(AS56,WeaponAccessoriesList,0),7)&lt;&gt;"",IF(ISERROR(FIND(INDEX(WeaponAccessoriesTable,MATCH(AS56,WeaponAccessoriesList,0),7),AS$98,1)),"Invalid","Valid"),"")</f>
        <v>#N/A</v>
      </c>
      <c r="AY56" s="512" t="e">
        <f>IF(INDEX(WeaponAccessoriesTable,MATCH(AS56,WeaponAccessoriesList,0),5)&lt;&gt;"",IF(INDEX(WeaponTable,MATCH(AS$11,WeaponList,0),5)&lt;&gt;INDEX(WeaponAccessoriesTable,MATCH(AS56,WeaponAccessoriesList,0),5),"Valid","Invalid"),"")</f>
        <v>#N/A</v>
      </c>
      <c r="AZ56" s="512" t="str">
        <f>IF(AS56&lt;&gt;"",IF(INDEX(WeaponAccessoriesTable,MATCH(AS56,WeaponAccessoriesList,0),9)&lt;&gt;"",INDEX(WeaponAccessoriesTable,MATCH(AS56,WeaponAccessoriesList,0),9),""),"")</f>
        <v/>
      </c>
      <c r="BA56" s="839" t="str">
        <f t="shared" ref="BA56:BA63" si="4">IF(AZ56&lt;&gt;"",AZ56&amp;IF(BA57&lt;&gt;"","; "&amp;BA57,""),BA57)</f>
        <v/>
      </c>
      <c r="BB56" s="512" t="str">
        <f>IF(BC56&lt;&gt;"",INDEX(WeaponAccessoriesTable,MATCH(BC56,WeaponAccessoriesList,0),3)+IF(BC56="Bayonet Ring",INDEX(WeaponTable,MATCH(BC$11,WeaponList,0),25),0),"")</f>
        <v/>
      </c>
      <c r="BC56" s="1107"/>
      <c r="BD56" s="585" t="str">
        <f>IF(BC56&lt;&gt;"",IF(COUNTIF(BF56:BI56,"invalid")&lt;1,"Valid","Invalid"),"")</f>
        <v/>
      </c>
      <c r="BE56" s="512">
        <f>IF(BC56&lt;&gt;"",INDEX(WeaponAccessoriesTable,MATCH(BC56,WeaponAccessoriesList,0),4),0)</f>
        <v>0</v>
      </c>
      <c r="BF56" s="834" t="e">
        <f>IF(INDEX(WeaponAccessoriesTable,MATCH(BC56,WeaponAccessoriesList,0),5)&lt;&gt;"",IF(BC$12=INDEX(WeaponAccessoriesTable,MATCH(BC56,WeaponAccessoriesList,0),5),"Valid","Invalid"),"")</f>
        <v>#N/A</v>
      </c>
      <c r="BG56" s="834" t="e">
        <f>IF(INDEX(WeaponAccessoriesTable,MATCH(BC56,WeaponAccessoriesList,0),6)&lt;&gt;"",IF(INDEX(WeaponTable,MATCH(BC$11,WeaponList,0),27)=INDEX(WeaponAccessoriesTable,MATCH(BC56,WeaponAccessoriesList,0),6),"Valid","Invalid"),"")</f>
        <v>#N/A</v>
      </c>
      <c r="BH56" s="834" t="e">
        <f>IF(INDEX(WeaponAccessoriesTable,MATCH(BC56,WeaponAccessoriesList,0),7)&lt;&gt;"",IF(ISERROR(FIND(INDEX(WeaponAccessoriesTable,MATCH(BC56,WeaponAccessoriesList,0),7),BC$98,1)),"Invalid","Valid"),"")</f>
        <v>#N/A</v>
      </c>
      <c r="BI56" s="834" t="e">
        <f>IF(INDEX(WeaponAccessoriesTable,MATCH(BC56,WeaponAccessoriesList,0),5)&lt;&gt;"",IF(INDEX(WeaponTable,MATCH(BC$11,WeaponList,0),5)&lt;&gt;INDEX(WeaponAccessoriesTable,MATCH(BC56,WeaponAccessoriesList,0),5),"Valid","Invalid"),"")</f>
        <v>#N/A</v>
      </c>
      <c r="BJ56" s="834" t="str">
        <f>IF(BC56&lt;&gt;"",IF(INDEX(WeaponAccessoriesTable,MATCH(BC56,WeaponAccessoriesList,0),9)&lt;&gt;"",INDEX(WeaponAccessoriesTable,MATCH(BC56,WeaponAccessoriesList,0),9),""),"")</f>
        <v/>
      </c>
      <c r="BK56" s="834" t="str">
        <f t="shared" ref="BK56:BK63" si="5">IF(BJ56&lt;&gt;"",BJ56&amp;IF(BK57&lt;&gt;"","; "&amp;BK57,""),BK57)</f>
        <v/>
      </c>
      <c r="BL56" s="29"/>
      <c r="BM56" s="383" t="s">
        <v>195</v>
      </c>
    </row>
    <row r="57" spans="2:65">
      <c r="B57" s="26"/>
      <c r="C57" s="735"/>
      <c r="D57" s="1049" t="str">
        <f>IF(E57&lt;&gt;"",INDEX(WeaponAccessoriesTable,MATCH(E57,WeaponAccessoriesList,0),3)+IF(E57="Bayonet Ring",INDEX(WeaponTable,MATCH(E$11,WeaponList,0),25),0),"")</f>
        <v/>
      </c>
      <c r="E57" s="1107"/>
      <c r="F57" s="585" t="str">
        <f>IF(E57&lt;&gt;"",IF(COUNTIF(H57:K57,"invalid")&lt;1,"Valid","Invalid"),"")</f>
        <v/>
      </c>
      <c r="G57" s="512">
        <f>IF(E57&lt;&gt;"",INDEX(WeaponAccessoriesTable,MATCH(E57,WeaponAccessoriesList,0),4),0)</f>
        <v>0</v>
      </c>
      <c r="H57" s="512" t="e">
        <f>IF(INDEX(WeaponAccessoriesTable,MATCH(E57,WeaponAccessoriesList,0),5)&lt;&gt;"",IF(E$12=INDEX(WeaponAccessoriesTable,MATCH(E57,WeaponAccessoriesList,0),5),"Valid","Invalid"),"")</f>
        <v>#N/A</v>
      </c>
      <c r="I57" s="512" t="e">
        <f>IF(INDEX(WeaponAccessoriesTable,MATCH(E57,WeaponAccessoriesList,0),6)&lt;&gt;"",IF(INDEX(WeaponTable,MATCH(E$11,WeaponList,0),27)=INDEX(WeaponAccessoriesTable,MATCH(E57,WeaponAccessoriesList,0),6),"Valid","Invalid"),"")</f>
        <v>#N/A</v>
      </c>
      <c r="J57" s="512" t="e">
        <f>IF(INDEX(WeaponAccessoriesTable,MATCH(E57,WeaponAccessoriesList,0),7)&lt;&gt;"",IF(ISERROR(FIND(INDEX(WeaponAccessoriesTable,MATCH(E57,WeaponAccessoriesList,0),7),E$98,1)),"Invalid","Valid"),"")</f>
        <v>#N/A</v>
      </c>
      <c r="K57" s="512" t="e">
        <f>IF(INDEX(WeaponAccessoriesTable,MATCH(E57,WeaponAccessoriesList,0),5)&lt;&gt;"",IF(INDEX(WeaponTable,MATCH(E$11,WeaponList,0),5)&lt;&gt;INDEX(WeaponAccessoriesTable,MATCH(E57,WeaponAccessoriesList,0),5),"Valid","Invalid"),"")</f>
        <v>#N/A</v>
      </c>
      <c r="L57" s="512" t="str">
        <f>IF(E57&lt;&gt;"",IF(INDEX(WeaponAccessoriesTable,MATCH(E57,WeaponAccessoriesList,0),9)&lt;&gt;"",INDEX(WeaponAccessoriesTable,MATCH(E57,WeaponAccessoriesList,0),9),""),"")</f>
        <v/>
      </c>
      <c r="M57" s="839" t="str">
        <f t="shared" si="0"/>
        <v/>
      </c>
      <c r="N57" s="1049" t="str">
        <f>IF(O57&lt;&gt;"",INDEX(WeaponAccessoriesTable,MATCH(O57,WeaponAccessoriesList,0),3)+IF(O57="Bayonet Ring",INDEX(WeaponTable,MATCH(O$11,WeaponList,0),25),0),"")</f>
        <v/>
      </c>
      <c r="O57" s="1107"/>
      <c r="P57" s="585" t="str">
        <f>IF(O57&lt;&gt;"",IF(COUNTIF(R57:U57,"invalid")&lt;1,"Valid","Invalid"),"")</f>
        <v/>
      </c>
      <c r="Q57" s="512">
        <f>IF(O57&lt;&gt;"",INDEX(WeaponAccessoriesTable,MATCH(O57,WeaponAccessoriesList,0),4),0)</f>
        <v>0</v>
      </c>
      <c r="R57" s="512" t="e">
        <f>IF(INDEX(WeaponAccessoriesTable,MATCH(O57,WeaponAccessoriesList,0),5)&lt;&gt;"",IF(O$12=INDEX(WeaponAccessoriesTable,MATCH(O57,WeaponAccessoriesList,0),5),"Valid","Invalid"),"")</f>
        <v>#N/A</v>
      </c>
      <c r="S57" s="512" t="e">
        <f>IF(INDEX(WeaponAccessoriesTable,MATCH(O57,WeaponAccessoriesList,0),6)&lt;&gt;"",IF(INDEX(WeaponTable,MATCH(O$11,WeaponList,0),27)=INDEX(WeaponAccessoriesTable,MATCH(O57,WeaponAccessoriesList,0),6),"Valid","Invalid"),"")</f>
        <v>#N/A</v>
      </c>
      <c r="T57" s="512" t="e">
        <f>IF(INDEX(WeaponAccessoriesTable,MATCH(O57,WeaponAccessoriesList,0),7)&lt;&gt;"",IF(ISERROR(FIND(INDEX(WeaponAccessoriesTable,MATCH(O57,WeaponAccessoriesList,0),7),O$98,1)),"Invalid","Valid"),"")</f>
        <v>#N/A</v>
      </c>
      <c r="U57" s="512" t="e">
        <f>IF(INDEX(WeaponAccessoriesTable,MATCH(O57,WeaponAccessoriesList,0),5)&lt;&gt;"",IF(INDEX(WeaponTable,MATCH(O$11,WeaponList,0),5)&lt;&gt;INDEX(WeaponAccessoriesTable,MATCH(O57,WeaponAccessoriesList,0),5),"Valid","Invalid"),"")</f>
        <v>#N/A</v>
      </c>
      <c r="V57" s="512" t="str">
        <f>IF(O57&lt;&gt;"",IF(INDEX(WeaponAccessoriesTable,MATCH(O57,WeaponAccessoriesList,0),9)&lt;&gt;"",INDEX(WeaponAccessoriesTable,MATCH(O57,WeaponAccessoriesList,0),9),""),"")</f>
        <v/>
      </c>
      <c r="W57" s="839" t="str">
        <f t="shared" si="1"/>
        <v/>
      </c>
      <c r="X57" s="1049" t="str">
        <f>IF(Y57&lt;&gt;"",INDEX(WeaponAccessoriesTable,MATCH(Y57,WeaponAccessoriesList,0),3)+IF(Y57="Bayonet Ring",INDEX(WeaponTable,MATCH(Y$11,WeaponList,0),25),0),"")</f>
        <v/>
      </c>
      <c r="Y57" s="1107"/>
      <c r="Z57" s="585" t="str">
        <f>IF(Y57&lt;&gt;"",IF(COUNTIF(AB57:AE57,"invalid")&lt;1,"Valid","Invalid"),"")</f>
        <v/>
      </c>
      <c r="AA57" s="512">
        <f>IF(Y57&lt;&gt;"",INDEX(WeaponAccessoriesTable,MATCH(Y57,WeaponAccessoriesList,0),4),0)</f>
        <v>0</v>
      </c>
      <c r="AB57" s="512" t="e">
        <f>IF(INDEX(WeaponAccessoriesTable,MATCH(Y57,WeaponAccessoriesList,0),5)&lt;&gt;"",IF(Y$12=INDEX(WeaponAccessoriesTable,MATCH(Y57,WeaponAccessoriesList,0),5),"Valid","Invalid"),"")</f>
        <v>#N/A</v>
      </c>
      <c r="AC57" s="512" t="e">
        <f>IF(INDEX(WeaponAccessoriesTable,MATCH(Y57,WeaponAccessoriesList,0),6)&lt;&gt;"",IF(INDEX(WeaponTable,MATCH(Y$11,WeaponList,0),27)=INDEX(WeaponAccessoriesTable,MATCH(Y57,WeaponAccessoriesList,0),6),"Valid","Invalid"),"")</f>
        <v>#N/A</v>
      </c>
      <c r="AD57" s="512" t="e">
        <f>IF(INDEX(WeaponAccessoriesTable,MATCH(Y57,WeaponAccessoriesList,0),7)&lt;&gt;"",IF(ISERROR(FIND(INDEX(WeaponAccessoriesTable,MATCH(Y57,WeaponAccessoriesList,0),7),Y$98,1)),"Invalid","Valid"),"")</f>
        <v>#N/A</v>
      </c>
      <c r="AE57" s="512" t="e">
        <f>IF(INDEX(WeaponAccessoriesTable,MATCH(Y57,WeaponAccessoriesList,0),5)&lt;&gt;"",IF(INDEX(WeaponTable,MATCH(Y$11,WeaponList,0),5)&lt;&gt;INDEX(WeaponAccessoriesTable,MATCH(Y57,WeaponAccessoriesList,0),5),"Valid","Invalid"),"")</f>
        <v>#N/A</v>
      </c>
      <c r="AF57" s="512" t="str">
        <f>IF(Y57&lt;&gt;"",IF(INDEX(WeaponAccessoriesTable,MATCH(Y57,WeaponAccessoriesList,0),9)&lt;&gt;"",INDEX(WeaponAccessoriesTable,MATCH(Y57,WeaponAccessoriesList,0),9),""),"")</f>
        <v/>
      </c>
      <c r="AG57" s="839" t="str">
        <f t="shared" si="2"/>
        <v/>
      </c>
      <c r="AH57" s="1049" t="str">
        <f>IF(AI57&lt;&gt;"",INDEX(WeaponAccessoriesTable,MATCH(AI57,WeaponAccessoriesList,0),3)+IF(AI57="Bayonet Ring",INDEX(WeaponTable,MATCH(AI$11,WeaponList,0),25),0),"")</f>
        <v/>
      </c>
      <c r="AI57" s="1107"/>
      <c r="AJ57" s="585" t="str">
        <f>IF(AI57&lt;&gt;"",IF(COUNTIF(AL57:AO57,"invalid")&lt;1,"Valid","Invalid"),"")</f>
        <v/>
      </c>
      <c r="AK57" s="512">
        <f>IF(AI57&lt;&gt;"",INDEX(WeaponAccessoriesTable,MATCH(AI57,WeaponAccessoriesList,0),4),0)</f>
        <v>0</v>
      </c>
      <c r="AL57" s="512" t="e">
        <f>IF(INDEX(WeaponAccessoriesTable,MATCH(AI57,WeaponAccessoriesList,0),5)&lt;&gt;"",IF(AI$12=INDEX(WeaponAccessoriesTable,MATCH(AI57,WeaponAccessoriesList,0),5),"Valid","Invalid"),"")</f>
        <v>#N/A</v>
      </c>
      <c r="AM57" s="512" t="e">
        <f>IF(INDEX(WeaponAccessoriesTable,MATCH(AI57,WeaponAccessoriesList,0),6)&lt;&gt;"",IF(INDEX(WeaponTable,MATCH(AI$11,WeaponList,0),27)=INDEX(WeaponAccessoriesTable,MATCH(AI57,WeaponAccessoriesList,0),6),"Valid","Invalid"),"")</f>
        <v>#N/A</v>
      </c>
      <c r="AN57" s="512" t="e">
        <f>IF(INDEX(WeaponAccessoriesTable,MATCH(AI57,WeaponAccessoriesList,0),7)&lt;&gt;"",IF(ISERROR(FIND(INDEX(WeaponAccessoriesTable,MATCH(AI57,WeaponAccessoriesList,0),7),AI$98,1)),"Invalid","Valid"),"")</f>
        <v>#N/A</v>
      </c>
      <c r="AO57" s="512" t="e">
        <f>IF(INDEX(WeaponAccessoriesTable,MATCH(AI57,WeaponAccessoriesList,0),5)&lt;&gt;"",IF(INDEX(WeaponTable,MATCH(AI$11,WeaponList,0),5)&lt;&gt;INDEX(WeaponAccessoriesTable,MATCH(AI57,WeaponAccessoriesList,0),5),"Valid","Invalid"),"")</f>
        <v>#N/A</v>
      </c>
      <c r="AP57" s="512" t="str">
        <f>IF(AI57&lt;&gt;"",IF(INDEX(WeaponAccessoriesTable,MATCH(AI57,WeaponAccessoriesList,0),9)&lt;&gt;"",INDEX(WeaponAccessoriesTable,MATCH(AI57,WeaponAccessoriesList,0),9),""),"")</f>
        <v/>
      </c>
      <c r="AQ57" s="839" t="str">
        <f t="shared" si="3"/>
        <v/>
      </c>
      <c r="AR57" s="1049" t="str">
        <f>IF(AS57&lt;&gt;"",INDEX(WeaponAccessoriesTable,MATCH(AS57,WeaponAccessoriesList,0),3)+IF(AS57="Bayonet Ring",INDEX(WeaponTable,MATCH(AS$11,WeaponList,0),25),0),"")</f>
        <v/>
      </c>
      <c r="AS57" s="1107"/>
      <c r="AT57" s="585" t="str">
        <f>IF(AS57&lt;&gt;"",IF(COUNTIF(AV57:AY57,"invalid")&lt;1,"Valid","Invalid"),"")</f>
        <v/>
      </c>
      <c r="AU57" s="512">
        <f>IF(AS57&lt;&gt;"",INDEX(WeaponAccessoriesTable,MATCH(AS57,WeaponAccessoriesList,0),4),0)</f>
        <v>0</v>
      </c>
      <c r="AV57" s="512" t="e">
        <f>IF(INDEX(WeaponAccessoriesTable,MATCH(AS57,WeaponAccessoriesList,0),5)&lt;&gt;"",IF(AS$12=INDEX(WeaponAccessoriesTable,MATCH(AS57,WeaponAccessoriesList,0),5),"Valid","Invalid"),"")</f>
        <v>#N/A</v>
      </c>
      <c r="AW57" s="512" t="e">
        <f>IF(INDEX(WeaponAccessoriesTable,MATCH(AS57,WeaponAccessoriesList,0),6)&lt;&gt;"",IF(INDEX(WeaponTable,MATCH(AS$11,WeaponList,0),27)=INDEX(WeaponAccessoriesTable,MATCH(AS57,WeaponAccessoriesList,0),6),"Valid","Invalid"),"")</f>
        <v>#N/A</v>
      </c>
      <c r="AX57" s="512" t="e">
        <f>IF(INDEX(WeaponAccessoriesTable,MATCH(AS57,WeaponAccessoriesList,0),7)&lt;&gt;"",IF(ISERROR(FIND(INDEX(WeaponAccessoriesTable,MATCH(AS57,WeaponAccessoriesList,0),7),AS$98,1)),"Invalid","Valid"),"")</f>
        <v>#N/A</v>
      </c>
      <c r="AY57" s="512" t="e">
        <f>IF(INDEX(WeaponAccessoriesTable,MATCH(AS57,WeaponAccessoriesList,0),5)&lt;&gt;"",IF(INDEX(WeaponTable,MATCH(AS$11,WeaponList,0),5)&lt;&gt;INDEX(WeaponAccessoriesTable,MATCH(AS57,WeaponAccessoriesList,0),5),"Valid","Invalid"),"")</f>
        <v>#N/A</v>
      </c>
      <c r="AZ57" s="512" t="str">
        <f>IF(AS57&lt;&gt;"",IF(INDEX(WeaponAccessoriesTable,MATCH(AS57,WeaponAccessoriesList,0),9)&lt;&gt;"",INDEX(WeaponAccessoriesTable,MATCH(AS57,WeaponAccessoriesList,0),9),""),"")</f>
        <v/>
      </c>
      <c r="BA57" s="839" t="str">
        <f t="shared" si="4"/>
        <v/>
      </c>
      <c r="BB57" s="512" t="str">
        <f>IF(BC57&lt;&gt;"",INDEX(WeaponAccessoriesTable,MATCH(BC57,WeaponAccessoriesList,0),3)+IF(BC57="Bayonet Ring",INDEX(WeaponTable,MATCH(BC$11,WeaponList,0),25),0),"")</f>
        <v/>
      </c>
      <c r="BC57" s="1107"/>
      <c r="BD57" s="585" t="str">
        <f>IF(BC57&lt;&gt;"",IF(COUNTIF(BF57:BI57,"invalid")&lt;1,"Valid","Invalid"),"")</f>
        <v/>
      </c>
      <c r="BE57" s="512">
        <f>IF(BC57&lt;&gt;"",INDEX(WeaponAccessoriesTable,MATCH(BC57,WeaponAccessoriesList,0),4),0)</f>
        <v>0</v>
      </c>
      <c r="BF57" s="834" t="e">
        <f>IF(INDEX(WeaponAccessoriesTable,MATCH(BC57,WeaponAccessoriesList,0),5)&lt;&gt;"",IF(BC$12=INDEX(WeaponAccessoriesTable,MATCH(BC57,WeaponAccessoriesList,0),5),"Valid","Invalid"),"")</f>
        <v>#N/A</v>
      </c>
      <c r="BG57" s="834" t="e">
        <f>IF(INDEX(WeaponAccessoriesTable,MATCH(BC57,WeaponAccessoriesList,0),6)&lt;&gt;"",IF(INDEX(WeaponTable,MATCH(BC$11,WeaponList,0),27)=INDEX(WeaponAccessoriesTable,MATCH(BC57,WeaponAccessoriesList,0),6),"Valid","Invalid"),"")</f>
        <v>#N/A</v>
      </c>
      <c r="BH57" s="834" t="e">
        <f>IF(INDEX(WeaponAccessoriesTable,MATCH(BC57,WeaponAccessoriesList,0),7)&lt;&gt;"",IF(ISERROR(FIND(INDEX(WeaponAccessoriesTable,MATCH(BC57,WeaponAccessoriesList,0),7),BC$98,1)),"Invalid","Valid"),"")</f>
        <v>#N/A</v>
      </c>
      <c r="BI57" s="834" t="e">
        <f>IF(INDEX(WeaponAccessoriesTable,MATCH(BC57,WeaponAccessoriesList,0),5)&lt;&gt;"",IF(INDEX(WeaponTable,MATCH(BC$11,WeaponList,0),5)&lt;&gt;INDEX(WeaponAccessoriesTable,MATCH(BC57,WeaponAccessoriesList,0),5),"Valid","Invalid"),"")</f>
        <v>#N/A</v>
      </c>
      <c r="BJ57" s="834" t="str">
        <f>IF(BC57&lt;&gt;"",IF(INDEX(WeaponAccessoriesTable,MATCH(BC57,WeaponAccessoriesList,0),9)&lt;&gt;"",INDEX(WeaponAccessoriesTable,MATCH(BC57,WeaponAccessoriesList,0),9),""),"")</f>
        <v/>
      </c>
      <c r="BK57" s="834" t="str">
        <f t="shared" si="5"/>
        <v/>
      </c>
      <c r="BL57" s="29"/>
      <c r="BM57" s="383" t="s">
        <v>195</v>
      </c>
    </row>
    <row r="58" spans="2:65">
      <c r="B58" s="26"/>
      <c r="C58" s="735"/>
      <c r="D58" s="1049" t="str">
        <f>IF(E58&lt;&gt;"",INDEX(WeaponAccessoriesTable,MATCH(E58,WeaponAccessoriesList,0),3)+IF(E58="Bayonet Ring",INDEX(WeaponTable,MATCH(E$11,WeaponList,0),25),0),"")</f>
        <v/>
      </c>
      <c r="E58" s="1107"/>
      <c r="F58" s="585" t="str">
        <f>IF(E58&lt;&gt;"",IF(COUNTIF(H58:K58,"invalid")&lt;1,"Valid","Invalid"),"")</f>
        <v/>
      </c>
      <c r="G58" s="512">
        <f>IF(E58&lt;&gt;"",INDEX(WeaponAccessoriesTable,MATCH(E58,WeaponAccessoriesList,0),4),0)</f>
        <v>0</v>
      </c>
      <c r="H58" s="512" t="e">
        <f>IF(INDEX(WeaponAccessoriesTable,MATCH(E58,WeaponAccessoriesList,0),5)&lt;&gt;"",IF(E$12=INDEX(WeaponAccessoriesTable,MATCH(E58,WeaponAccessoriesList,0),5),"Valid","Invalid"),"")</f>
        <v>#N/A</v>
      </c>
      <c r="I58" s="512" t="e">
        <f>IF(INDEX(WeaponAccessoriesTable,MATCH(E58,WeaponAccessoriesList,0),6)&lt;&gt;"",IF(INDEX(WeaponTable,MATCH(E$11,WeaponList,0),27)=INDEX(WeaponAccessoriesTable,MATCH(E58,WeaponAccessoriesList,0),6),"Valid","Invalid"),"")</f>
        <v>#N/A</v>
      </c>
      <c r="J58" s="512" t="e">
        <f>IF(INDEX(WeaponAccessoriesTable,MATCH(E58,WeaponAccessoriesList,0),7)&lt;&gt;"",IF(ISERROR(FIND(INDEX(WeaponAccessoriesTable,MATCH(E58,WeaponAccessoriesList,0),7),E$98,1)),"Invalid","Valid"),"")</f>
        <v>#N/A</v>
      </c>
      <c r="K58" s="512" t="e">
        <f>IF(INDEX(WeaponAccessoriesTable,MATCH(E58,WeaponAccessoriesList,0),5)&lt;&gt;"",IF(INDEX(WeaponTable,MATCH(E$11,WeaponList,0),5)&lt;&gt;INDEX(WeaponAccessoriesTable,MATCH(E58,WeaponAccessoriesList,0),5),"Valid","Invalid"),"")</f>
        <v>#N/A</v>
      </c>
      <c r="L58" s="512" t="str">
        <f>IF(E58&lt;&gt;"",IF(INDEX(WeaponAccessoriesTable,MATCH(E58,WeaponAccessoriesList,0),9)&lt;&gt;"",INDEX(WeaponAccessoriesTable,MATCH(E58,WeaponAccessoriesList,0),9),""),"")</f>
        <v/>
      </c>
      <c r="M58" s="839" t="str">
        <f t="shared" si="0"/>
        <v/>
      </c>
      <c r="N58" s="1049" t="str">
        <f>IF(O58&lt;&gt;"",INDEX(WeaponAccessoriesTable,MATCH(O58,WeaponAccessoriesList,0),3)+IF(O58="Bayonet Ring",INDEX(WeaponTable,MATCH(O$11,WeaponList,0),25),0),"")</f>
        <v/>
      </c>
      <c r="O58" s="1107"/>
      <c r="P58" s="585" t="str">
        <f>IF(O58&lt;&gt;"",IF(COUNTIF(R58:U58,"invalid")&lt;1,"Valid","Invalid"),"")</f>
        <v/>
      </c>
      <c r="Q58" s="512">
        <f>IF(O58&lt;&gt;"",INDEX(WeaponAccessoriesTable,MATCH(O58,WeaponAccessoriesList,0),4),0)</f>
        <v>0</v>
      </c>
      <c r="R58" s="512" t="e">
        <f>IF(INDEX(WeaponAccessoriesTable,MATCH(O58,WeaponAccessoriesList,0),5)&lt;&gt;"",IF(O$12=INDEX(WeaponAccessoriesTable,MATCH(O58,WeaponAccessoriesList,0),5),"Valid","Invalid"),"")</f>
        <v>#N/A</v>
      </c>
      <c r="S58" s="512" t="e">
        <f>IF(INDEX(WeaponAccessoriesTable,MATCH(O58,WeaponAccessoriesList,0),6)&lt;&gt;"",IF(INDEX(WeaponTable,MATCH(O$11,WeaponList,0),27)=INDEX(WeaponAccessoriesTable,MATCH(O58,WeaponAccessoriesList,0),6),"Valid","Invalid"),"")</f>
        <v>#N/A</v>
      </c>
      <c r="T58" s="512" t="e">
        <f>IF(INDEX(WeaponAccessoriesTable,MATCH(O58,WeaponAccessoriesList,0),7)&lt;&gt;"",IF(ISERROR(FIND(INDEX(WeaponAccessoriesTable,MATCH(O58,WeaponAccessoriesList,0),7),O$98,1)),"Invalid","Valid"),"")</f>
        <v>#N/A</v>
      </c>
      <c r="U58" s="512" t="e">
        <f>IF(INDEX(WeaponAccessoriesTable,MATCH(O58,WeaponAccessoriesList,0),5)&lt;&gt;"",IF(INDEX(WeaponTable,MATCH(O$11,WeaponList,0),5)&lt;&gt;INDEX(WeaponAccessoriesTable,MATCH(O58,WeaponAccessoriesList,0),5),"Valid","Invalid"),"")</f>
        <v>#N/A</v>
      </c>
      <c r="V58" s="512" t="str">
        <f>IF(O58&lt;&gt;"",IF(INDEX(WeaponAccessoriesTable,MATCH(O58,WeaponAccessoriesList,0),9)&lt;&gt;"",INDEX(WeaponAccessoriesTable,MATCH(O58,WeaponAccessoriesList,0),9),""),"")</f>
        <v/>
      </c>
      <c r="W58" s="839" t="str">
        <f t="shared" si="1"/>
        <v/>
      </c>
      <c r="X58" s="1049" t="str">
        <f>IF(Y58&lt;&gt;"",INDEX(WeaponAccessoriesTable,MATCH(Y58,WeaponAccessoriesList,0),3)+IF(Y58="Bayonet Ring",INDEX(WeaponTable,MATCH(Y$11,WeaponList,0),25),0),"")</f>
        <v/>
      </c>
      <c r="Y58" s="1107"/>
      <c r="Z58" s="585" t="str">
        <f>IF(Y58&lt;&gt;"",IF(COUNTIF(AB58:AE58,"invalid")&lt;1,"Valid","Invalid"),"")</f>
        <v/>
      </c>
      <c r="AA58" s="512">
        <f>IF(Y58&lt;&gt;"",INDEX(WeaponAccessoriesTable,MATCH(Y58,WeaponAccessoriesList,0),4),0)</f>
        <v>0</v>
      </c>
      <c r="AB58" s="512" t="e">
        <f>IF(INDEX(WeaponAccessoriesTable,MATCH(Y58,WeaponAccessoriesList,0),5)&lt;&gt;"",IF(Y$12=INDEX(WeaponAccessoriesTable,MATCH(Y58,WeaponAccessoriesList,0),5),"Valid","Invalid"),"")</f>
        <v>#N/A</v>
      </c>
      <c r="AC58" s="512" t="e">
        <f>IF(INDEX(WeaponAccessoriesTable,MATCH(Y58,WeaponAccessoriesList,0),6)&lt;&gt;"",IF(INDEX(WeaponTable,MATCH(Y$11,WeaponList,0),27)=INDEX(WeaponAccessoriesTable,MATCH(Y58,WeaponAccessoriesList,0),6),"Valid","Invalid"),"")</f>
        <v>#N/A</v>
      </c>
      <c r="AD58" s="512" t="e">
        <f>IF(INDEX(WeaponAccessoriesTable,MATCH(Y58,WeaponAccessoriesList,0),7)&lt;&gt;"",IF(ISERROR(FIND(INDEX(WeaponAccessoriesTable,MATCH(Y58,WeaponAccessoriesList,0),7),Y$98,1)),"Invalid","Valid"),"")</f>
        <v>#N/A</v>
      </c>
      <c r="AE58" s="512" t="e">
        <f>IF(INDEX(WeaponAccessoriesTable,MATCH(Y58,WeaponAccessoriesList,0),5)&lt;&gt;"",IF(INDEX(WeaponTable,MATCH(Y$11,WeaponList,0),5)&lt;&gt;INDEX(WeaponAccessoriesTable,MATCH(Y58,WeaponAccessoriesList,0),5),"Valid","Invalid"),"")</f>
        <v>#N/A</v>
      </c>
      <c r="AF58" s="512" t="str">
        <f>IF(Y58&lt;&gt;"",IF(INDEX(WeaponAccessoriesTable,MATCH(Y58,WeaponAccessoriesList,0),9)&lt;&gt;"",INDEX(WeaponAccessoriesTable,MATCH(Y58,WeaponAccessoriesList,0),9),""),"")</f>
        <v/>
      </c>
      <c r="AG58" s="839" t="str">
        <f t="shared" si="2"/>
        <v/>
      </c>
      <c r="AH58" s="1049" t="str">
        <f>IF(AI58&lt;&gt;"",INDEX(WeaponAccessoriesTable,MATCH(AI58,WeaponAccessoriesList,0),3)+IF(AI58="Bayonet Ring",INDEX(WeaponTable,MATCH(AI$11,WeaponList,0),25),0),"")</f>
        <v/>
      </c>
      <c r="AI58" s="1107"/>
      <c r="AJ58" s="585" t="str">
        <f>IF(AI58&lt;&gt;"",IF(COUNTIF(AL58:AO58,"invalid")&lt;1,"Valid","Invalid"),"")</f>
        <v/>
      </c>
      <c r="AK58" s="512">
        <f>IF(AI58&lt;&gt;"",INDEX(WeaponAccessoriesTable,MATCH(AI58,WeaponAccessoriesList,0),4),0)</f>
        <v>0</v>
      </c>
      <c r="AL58" s="512" t="e">
        <f>IF(INDEX(WeaponAccessoriesTable,MATCH(AI58,WeaponAccessoriesList,0),5)&lt;&gt;"",IF(AI$12=INDEX(WeaponAccessoriesTable,MATCH(AI58,WeaponAccessoriesList,0),5),"Valid","Invalid"),"")</f>
        <v>#N/A</v>
      </c>
      <c r="AM58" s="512" t="e">
        <f>IF(INDEX(WeaponAccessoriesTable,MATCH(AI58,WeaponAccessoriesList,0),6)&lt;&gt;"",IF(INDEX(WeaponTable,MATCH(AI$11,WeaponList,0),27)=INDEX(WeaponAccessoriesTable,MATCH(AI58,WeaponAccessoriesList,0),6),"Valid","Invalid"),"")</f>
        <v>#N/A</v>
      </c>
      <c r="AN58" s="512" t="e">
        <f>IF(INDEX(WeaponAccessoriesTable,MATCH(AI58,WeaponAccessoriesList,0),7)&lt;&gt;"",IF(ISERROR(FIND(INDEX(WeaponAccessoriesTable,MATCH(AI58,WeaponAccessoriesList,0),7),AI$98,1)),"Invalid","Valid"),"")</f>
        <v>#N/A</v>
      </c>
      <c r="AO58" s="512" t="e">
        <f>IF(INDEX(WeaponAccessoriesTable,MATCH(AI58,WeaponAccessoriesList,0),5)&lt;&gt;"",IF(INDEX(WeaponTable,MATCH(AI$11,WeaponList,0),5)&lt;&gt;INDEX(WeaponAccessoriesTable,MATCH(AI58,WeaponAccessoriesList,0),5),"Valid","Invalid"),"")</f>
        <v>#N/A</v>
      </c>
      <c r="AP58" s="512" t="str">
        <f>IF(AI58&lt;&gt;"",IF(INDEX(WeaponAccessoriesTable,MATCH(AI58,WeaponAccessoriesList,0),9)&lt;&gt;"",INDEX(WeaponAccessoriesTable,MATCH(AI58,WeaponAccessoriesList,0),9),""),"")</f>
        <v/>
      </c>
      <c r="AQ58" s="839" t="str">
        <f t="shared" si="3"/>
        <v/>
      </c>
      <c r="AR58" s="1049" t="str">
        <f>IF(AS58&lt;&gt;"",INDEX(WeaponAccessoriesTable,MATCH(AS58,WeaponAccessoriesList,0),3)+IF(AS58="Bayonet Ring",INDEX(WeaponTable,MATCH(AS$11,WeaponList,0),25),0),"")</f>
        <v/>
      </c>
      <c r="AS58" s="1107"/>
      <c r="AT58" s="585" t="str">
        <f>IF(AS58&lt;&gt;"",IF(COUNTIF(AV58:AY58,"invalid")&lt;1,"Valid","Invalid"),"")</f>
        <v/>
      </c>
      <c r="AU58" s="512">
        <f>IF(AS58&lt;&gt;"",INDEX(WeaponAccessoriesTable,MATCH(AS58,WeaponAccessoriesList,0),4),0)</f>
        <v>0</v>
      </c>
      <c r="AV58" s="512" t="e">
        <f>IF(INDEX(WeaponAccessoriesTable,MATCH(AS58,WeaponAccessoriesList,0),5)&lt;&gt;"",IF(AS$12=INDEX(WeaponAccessoriesTable,MATCH(AS58,WeaponAccessoriesList,0),5),"Valid","Invalid"),"")</f>
        <v>#N/A</v>
      </c>
      <c r="AW58" s="512" t="e">
        <f>IF(INDEX(WeaponAccessoriesTable,MATCH(AS58,WeaponAccessoriesList,0),6)&lt;&gt;"",IF(INDEX(WeaponTable,MATCH(AS$11,WeaponList,0),27)=INDEX(WeaponAccessoriesTable,MATCH(AS58,WeaponAccessoriesList,0),6),"Valid","Invalid"),"")</f>
        <v>#N/A</v>
      </c>
      <c r="AX58" s="512" t="e">
        <f>IF(INDEX(WeaponAccessoriesTable,MATCH(AS58,WeaponAccessoriesList,0),7)&lt;&gt;"",IF(ISERROR(FIND(INDEX(WeaponAccessoriesTable,MATCH(AS58,WeaponAccessoriesList,0),7),AS$98,1)),"Invalid","Valid"),"")</f>
        <v>#N/A</v>
      </c>
      <c r="AY58" s="512" t="e">
        <f>IF(INDEX(WeaponAccessoriesTable,MATCH(AS58,WeaponAccessoriesList,0),5)&lt;&gt;"",IF(INDEX(WeaponTable,MATCH(AS$11,WeaponList,0),5)&lt;&gt;INDEX(WeaponAccessoriesTable,MATCH(AS58,WeaponAccessoriesList,0),5),"Valid","Invalid"),"")</f>
        <v>#N/A</v>
      </c>
      <c r="AZ58" s="512" t="str">
        <f>IF(AS58&lt;&gt;"",IF(INDEX(WeaponAccessoriesTable,MATCH(AS58,WeaponAccessoriesList,0),9)&lt;&gt;"",INDEX(WeaponAccessoriesTable,MATCH(AS58,WeaponAccessoriesList,0),9),""),"")</f>
        <v/>
      </c>
      <c r="BA58" s="839" t="str">
        <f t="shared" si="4"/>
        <v/>
      </c>
      <c r="BB58" s="512" t="str">
        <f>IF(BC58&lt;&gt;"",INDEX(WeaponAccessoriesTable,MATCH(BC58,WeaponAccessoriesList,0),3)+IF(BC58="Bayonet Ring",INDEX(WeaponTable,MATCH(BC$11,WeaponList,0),25),0),"")</f>
        <v/>
      </c>
      <c r="BC58" s="1107"/>
      <c r="BD58" s="585" t="str">
        <f>IF(BC58&lt;&gt;"",IF(COUNTIF(BF58:BI58,"invalid")&lt;1,"Valid","Invalid"),"")</f>
        <v/>
      </c>
      <c r="BE58" s="512">
        <f>IF(BC58&lt;&gt;"",INDEX(WeaponAccessoriesTable,MATCH(BC58,WeaponAccessoriesList,0),4),0)</f>
        <v>0</v>
      </c>
      <c r="BF58" s="834" t="e">
        <f>IF(INDEX(WeaponAccessoriesTable,MATCH(BC58,WeaponAccessoriesList,0),5)&lt;&gt;"",IF(BC$12=INDEX(WeaponAccessoriesTable,MATCH(BC58,WeaponAccessoriesList,0),5),"Valid","Invalid"),"")</f>
        <v>#N/A</v>
      </c>
      <c r="BG58" s="834" t="e">
        <f>IF(INDEX(WeaponAccessoriesTable,MATCH(BC58,WeaponAccessoriesList,0),6)&lt;&gt;"",IF(INDEX(WeaponTable,MATCH(BC$11,WeaponList,0),27)=INDEX(WeaponAccessoriesTable,MATCH(BC58,WeaponAccessoriesList,0),6),"Valid","Invalid"),"")</f>
        <v>#N/A</v>
      </c>
      <c r="BH58" s="834" t="e">
        <f>IF(INDEX(WeaponAccessoriesTable,MATCH(BC58,WeaponAccessoriesList,0),7)&lt;&gt;"",IF(ISERROR(FIND(INDEX(WeaponAccessoriesTable,MATCH(BC58,WeaponAccessoriesList,0),7),BC$98,1)),"Invalid","Valid"),"")</f>
        <v>#N/A</v>
      </c>
      <c r="BI58" s="834" t="e">
        <f>IF(INDEX(WeaponAccessoriesTable,MATCH(BC58,WeaponAccessoriesList,0),5)&lt;&gt;"",IF(INDEX(WeaponTable,MATCH(BC$11,WeaponList,0),5)&lt;&gt;INDEX(WeaponAccessoriesTable,MATCH(BC58,WeaponAccessoriesList,0),5),"Valid","Invalid"),"")</f>
        <v>#N/A</v>
      </c>
      <c r="BJ58" s="834" t="str">
        <f>IF(BC58&lt;&gt;"",IF(INDEX(WeaponAccessoriesTable,MATCH(BC58,WeaponAccessoriesList,0),9)&lt;&gt;"",INDEX(WeaponAccessoriesTable,MATCH(BC58,WeaponAccessoriesList,0),9),""),"")</f>
        <v/>
      </c>
      <c r="BK58" s="834" t="str">
        <f t="shared" si="5"/>
        <v/>
      </c>
      <c r="BL58" s="29"/>
      <c r="BM58" s="383" t="s">
        <v>195</v>
      </c>
    </row>
    <row r="59" spans="2:65">
      <c r="B59" s="26"/>
      <c r="C59" s="735"/>
      <c r="D59" s="1049" t="str">
        <f>IF(E59&lt;&gt;"",INDEX(WeaponAccessoriesTable,MATCH(E59,WeaponAccessoriesList,0),3)+IF(E59="Bayonet Ring",INDEX(WeaponTable,MATCH(E$11,WeaponList,0),25),0),"")</f>
        <v/>
      </c>
      <c r="E59" s="1107"/>
      <c r="F59" s="585" t="str">
        <f>IF(E59&lt;&gt;"",IF(COUNTIF(H59:K59,"invalid")&lt;1,"Valid","Invalid"),"")</f>
        <v/>
      </c>
      <c r="G59" s="512">
        <f>IF(E59&lt;&gt;"",INDEX(WeaponAccessoriesTable,MATCH(E59,WeaponAccessoriesList,0),4),0)</f>
        <v>0</v>
      </c>
      <c r="H59" s="512" t="e">
        <f>IF(INDEX(WeaponAccessoriesTable,MATCH(E59,WeaponAccessoriesList,0),5)&lt;&gt;"",IF(E$12=INDEX(WeaponAccessoriesTable,MATCH(E59,WeaponAccessoriesList,0),5),"Valid","Invalid"),"")</f>
        <v>#N/A</v>
      </c>
      <c r="I59" s="512" t="e">
        <f>IF(INDEX(WeaponAccessoriesTable,MATCH(E59,WeaponAccessoriesList,0),6)&lt;&gt;"",IF(INDEX(WeaponTable,MATCH(E$11,WeaponList,0),27)=INDEX(WeaponAccessoriesTable,MATCH(E59,WeaponAccessoriesList,0),6),"Valid","Invalid"),"")</f>
        <v>#N/A</v>
      </c>
      <c r="J59" s="512" t="e">
        <f>IF(INDEX(WeaponAccessoriesTable,MATCH(E59,WeaponAccessoriesList,0),7)&lt;&gt;"",IF(ISERROR(FIND(INDEX(WeaponAccessoriesTable,MATCH(E59,WeaponAccessoriesList,0),7),E$98,1)),"Invalid","Valid"),"")</f>
        <v>#N/A</v>
      </c>
      <c r="K59" s="512" t="e">
        <f>IF(INDEX(WeaponAccessoriesTable,MATCH(E59,WeaponAccessoriesList,0),5)&lt;&gt;"",IF(INDEX(WeaponTable,MATCH(E$11,WeaponList,0),5)&lt;&gt;INDEX(WeaponAccessoriesTable,MATCH(E59,WeaponAccessoriesList,0),5),"Valid","Invalid"),"")</f>
        <v>#N/A</v>
      </c>
      <c r="L59" s="512" t="str">
        <f>IF(E59&lt;&gt;"",IF(INDEX(WeaponAccessoriesTable,MATCH(E59,WeaponAccessoriesList,0),9)&lt;&gt;"",INDEX(WeaponAccessoriesTable,MATCH(E59,WeaponAccessoriesList,0),9),""),"")</f>
        <v/>
      </c>
      <c r="M59" s="839" t="str">
        <f t="shared" si="0"/>
        <v/>
      </c>
      <c r="N59" s="1049" t="str">
        <f>IF(O59&lt;&gt;"",INDEX(WeaponAccessoriesTable,MATCH(O59,WeaponAccessoriesList,0),3)+IF(O59="Bayonet Ring",INDEX(WeaponTable,MATCH(O$11,WeaponList,0),25),0),"")</f>
        <v/>
      </c>
      <c r="O59" s="1107"/>
      <c r="P59" s="585" t="str">
        <f>IF(O59&lt;&gt;"",IF(COUNTIF(R59:U59,"invalid")&lt;1,"Valid","Invalid"),"")</f>
        <v/>
      </c>
      <c r="Q59" s="512">
        <f>IF(O59&lt;&gt;"",INDEX(WeaponAccessoriesTable,MATCH(O59,WeaponAccessoriesList,0),4),0)</f>
        <v>0</v>
      </c>
      <c r="R59" s="512" t="e">
        <f>IF(INDEX(WeaponAccessoriesTable,MATCH(O59,WeaponAccessoriesList,0),5)&lt;&gt;"",IF(O$12=INDEX(WeaponAccessoriesTable,MATCH(O59,WeaponAccessoriesList,0),5),"Valid","Invalid"),"")</f>
        <v>#N/A</v>
      </c>
      <c r="S59" s="512" t="e">
        <f>IF(INDEX(WeaponAccessoriesTable,MATCH(O59,WeaponAccessoriesList,0),6)&lt;&gt;"",IF(INDEX(WeaponTable,MATCH(O$11,WeaponList,0),27)=INDEX(WeaponAccessoriesTable,MATCH(O59,WeaponAccessoriesList,0),6),"Valid","Invalid"),"")</f>
        <v>#N/A</v>
      </c>
      <c r="T59" s="512" t="e">
        <f>IF(INDEX(WeaponAccessoriesTable,MATCH(O59,WeaponAccessoriesList,0),7)&lt;&gt;"",IF(ISERROR(FIND(INDEX(WeaponAccessoriesTable,MATCH(O59,WeaponAccessoriesList,0),7),O$98,1)),"Invalid","Valid"),"")</f>
        <v>#N/A</v>
      </c>
      <c r="U59" s="512" t="e">
        <f>IF(INDEX(WeaponAccessoriesTable,MATCH(O59,WeaponAccessoriesList,0),5)&lt;&gt;"",IF(INDEX(WeaponTable,MATCH(O$11,WeaponList,0),5)&lt;&gt;INDEX(WeaponAccessoriesTable,MATCH(O59,WeaponAccessoriesList,0),5),"Valid","Invalid"),"")</f>
        <v>#N/A</v>
      </c>
      <c r="V59" s="512" t="str">
        <f>IF(O59&lt;&gt;"",IF(INDEX(WeaponAccessoriesTable,MATCH(O59,WeaponAccessoriesList,0),9)&lt;&gt;"",INDEX(WeaponAccessoriesTable,MATCH(O59,WeaponAccessoriesList,0),9),""),"")</f>
        <v/>
      </c>
      <c r="W59" s="839" t="str">
        <f t="shared" si="1"/>
        <v/>
      </c>
      <c r="X59" s="1049" t="str">
        <f>IF(Y59&lt;&gt;"",INDEX(WeaponAccessoriesTable,MATCH(Y59,WeaponAccessoriesList,0),3)+IF(Y59="Bayonet Ring",INDEX(WeaponTable,MATCH(Y$11,WeaponList,0),25),0),"")</f>
        <v/>
      </c>
      <c r="Y59" s="1107"/>
      <c r="Z59" s="585" t="str">
        <f>IF(Y59&lt;&gt;"",IF(COUNTIF(AB59:AE59,"invalid")&lt;1,"Valid","Invalid"),"")</f>
        <v/>
      </c>
      <c r="AA59" s="512">
        <f>IF(Y59&lt;&gt;"",INDEX(WeaponAccessoriesTable,MATCH(Y59,WeaponAccessoriesList,0),4),0)</f>
        <v>0</v>
      </c>
      <c r="AB59" s="512" t="e">
        <f>IF(INDEX(WeaponAccessoriesTable,MATCH(Y59,WeaponAccessoriesList,0),5)&lt;&gt;"",IF(Y$12=INDEX(WeaponAccessoriesTable,MATCH(Y59,WeaponAccessoriesList,0),5),"Valid","Invalid"),"")</f>
        <v>#N/A</v>
      </c>
      <c r="AC59" s="512" t="e">
        <f>IF(INDEX(WeaponAccessoriesTable,MATCH(Y59,WeaponAccessoriesList,0),6)&lt;&gt;"",IF(INDEX(WeaponTable,MATCH(Y$11,WeaponList,0),27)=INDEX(WeaponAccessoriesTable,MATCH(Y59,WeaponAccessoriesList,0),6),"Valid","Invalid"),"")</f>
        <v>#N/A</v>
      </c>
      <c r="AD59" s="512" t="e">
        <f>IF(INDEX(WeaponAccessoriesTable,MATCH(Y59,WeaponAccessoriesList,0),7)&lt;&gt;"",IF(ISERROR(FIND(INDEX(WeaponAccessoriesTable,MATCH(Y59,WeaponAccessoriesList,0),7),Y$98,1)),"Invalid","Valid"),"")</f>
        <v>#N/A</v>
      </c>
      <c r="AE59" s="512" t="e">
        <f>IF(INDEX(WeaponAccessoriesTable,MATCH(Y59,WeaponAccessoriesList,0),5)&lt;&gt;"",IF(INDEX(WeaponTable,MATCH(Y$11,WeaponList,0),5)&lt;&gt;INDEX(WeaponAccessoriesTable,MATCH(Y59,WeaponAccessoriesList,0),5),"Valid","Invalid"),"")</f>
        <v>#N/A</v>
      </c>
      <c r="AF59" s="512" t="str">
        <f>IF(Y59&lt;&gt;"",IF(INDEX(WeaponAccessoriesTable,MATCH(Y59,WeaponAccessoriesList,0),9)&lt;&gt;"",INDEX(WeaponAccessoriesTable,MATCH(Y59,WeaponAccessoriesList,0),9),""),"")</f>
        <v/>
      </c>
      <c r="AG59" s="839" t="str">
        <f t="shared" si="2"/>
        <v/>
      </c>
      <c r="AH59" s="1049" t="str">
        <f>IF(AI59&lt;&gt;"",INDEX(WeaponAccessoriesTable,MATCH(AI59,WeaponAccessoriesList,0),3)+IF(AI59="Bayonet Ring",INDEX(WeaponTable,MATCH(AI$11,WeaponList,0),25),0),"")</f>
        <v/>
      </c>
      <c r="AI59" s="1107"/>
      <c r="AJ59" s="585" t="str">
        <f>IF(AI59&lt;&gt;"",IF(COUNTIF(AL59:AO59,"invalid")&lt;1,"Valid","Invalid"),"")</f>
        <v/>
      </c>
      <c r="AK59" s="512">
        <f>IF(AI59&lt;&gt;"",INDEX(WeaponAccessoriesTable,MATCH(AI59,WeaponAccessoriesList,0),4),0)</f>
        <v>0</v>
      </c>
      <c r="AL59" s="512" t="e">
        <f>IF(INDEX(WeaponAccessoriesTable,MATCH(AI59,WeaponAccessoriesList,0),5)&lt;&gt;"",IF(AI$12=INDEX(WeaponAccessoriesTable,MATCH(AI59,WeaponAccessoriesList,0),5),"Valid","Invalid"),"")</f>
        <v>#N/A</v>
      </c>
      <c r="AM59" s="512" t="e">
        <f>IF(INDEX(WeaponAccessoriesTable,MATCH(AI59,WeaponAccessoriesList,0),6)&lt;&gt;"",IF(INDEX(WeaponTable,MATCH(AI$11,WeaponList,0),27)=INDEX(WeaponAccessoriesTable,MATCH(AI59,WeaponAccessoriesList,0),6),"Valid","Invalid"),"")</f>
        <v>#N/A</v>
      </c>
      <c r="AN59" s="512" t="e">
        <f>IF(INDEX(WeaponAccessoriesTable,MATCH(AI59,WeaponAccessoriesList,0),7)&lt;&gt;"",IF(ISERROR(FIND(INDEX(WeaponAccessoriesTable,MATCH(AI59,WeaponAccessoriesList,0),7),AI$98,1)),"Invalid","Valid"),"")</f>
        <v>#N/A</v>
      </c>
      <c r="AO59" s="512" t="e">
        <f>IF(INDEX(WeaponAccessoriesTable,MATCH(AI59,WeaponAccessoriesList,0),5)&lt;&gt;"",IF(INDEX(WeaponTable,MATCH(AI$11,WeaponList,0),5)&lt;&gt;INDEX(WeaponAccessoriesTable,MATCH(AI59,WeaponAccessoriesList,0),5),"Valid","Invalid"),"")</f>
        <v>#N/A</v>
      </c>
      <c r="AP59" s="512" t="str">
        <f>IF(AI59&lt;&gt;"",IF(INDEX(WeaponAccessoriesTable,MATCH(AI59,WeaponAccessoriesList,0),9)&lt;&gt;"",INDEX(WeaponAccessoriesTable,MATCH(AI59,WeaponAccessoriesList,0),9),""),"")</f>
        <v/>
      </c>
      <c r="AQ59" s="839" t="str">
        <f t="shared" si="3"/>
        <v/>
      </c>
      <c r="AR59" s="1049" t="str">
        <f>IF(AS59&lt;&gt;"",INDEX(WeaponAccessoriesTable,MATCH(AS59,WeaponAccessoriesList,0),3)+IF(AS59="Bayonet Ring",INDEX(WeaponTable,MATCH(AS$11,WeaponList,0),25),0),"")</f>
        <v/>
      </c>
      <c r="AS59" s="1107"/>
      <c r="AT59" s="585" t="str">
        <f>IF(AS59&lt;&gt;"",IF(COUNTIF(AV59:AY59,"invalid")&lt;1,"Valid","Invalid"),"")</f>
        <v/>
      </c>
      <c r="AU59" s="512">
        <f>IF(AS59&lt;&gt;"",INDEX(WeaponAccessoriesTable,MATCH(AS59,WeaponAccessoriesList,0),4),0)</f>
        <v>0</v>
      </c>
      <c r="AV59" s="512" t="e">
        <f>IF(INDEX(WeaponAccessoriesTable,MATCH(AS59,WeaponAccessoriesList,0),5)&lt;&gt;"",IF(AS$12=INDEX(WeaponAccessoriesTable,MATCH(AS59,WeaponAccessoriesList,0),5),"Valid","Invalid"),"")</f>
        <v>#N/A</v>
      </c>
      <c r="AW59" s="512" t="e">
        <f>IF(INDEX(WeaponAccessoriesTable,MATCH(AS59,WeaponAccessoriesList,0),6)&lt;&gt;"",IF(INDEX(WeaponTable,MATCH(AS$11,WeaponList,0),27)=INDEX(WeaponAccessoriesTable,MATCH(AS59,WeaponAccessoriesList,0),6),"Valid","Invalid"),"")</f>
        <v>#N/A</v>
      </c>
      <c r="AX59" s="512" t="e">
        <f>IF(INDEX(WeaponAccessoriesTable,MATCH(AS59,WeaponAccessoriesList,0),7)&lt;&gt;"",IF(ISERROR(FIND(INDEX(WeaponAccessoriesTable,MATCH(AS59,WeaponAccessoriesList,0),7),AS$98,1)),"Invalid","Valid"),"")</f>
        <v>#N/A</v>
      </c>
      <c r="AY59" s="512" t="e">
        <f>IF(INDEX(WeaponAccessoriesTable,MATCH(AS59,WeaponAccessoriesList,0),5)&lt;&gt;"",IF(INDEX(WeaponTable,MATCH(AS$11,WeaponList,0),5)&lt;&gt;INDEX(WeaponAccessoriesTable,MATCH(AS59,WeaponAccessoriesList,0),5),"Valid","Invalid"),"")</f>
        <v>#N/A</v>
      </c>
      <c r="AZ59" s="512" t="str">
        <f>IF(AS59&lt;&gt;"",IF(INDEX(WeaponAccessoriesTable,MATCH(AS59,WeaponAccessoriesList,0),9)&lt;&gt;"",INDEX(WeaponAccessoriesTable,MATCH(AS59,WeaponAccessoriesList,0),9),""),"")</f>
        <v/>
      </c>
      <c r="BA59" s="839" t="str">
        <f t="shared" si="4"/>
        <v/>
      </c>
      <c r="BB59" s="512" t="str">
        <f>IF(BC59&lt;&gt;"",INDEX(WeaponAccessoriesTable,MATCH(BC59,WeaponAccessoriesList,0),3)+IF(BC59="Bayonet Ring",INDEX(WeaponTable,MATCH(BC$11,WeaponList,0),25),0),"")</f>
        <v/>
      </c>
      <c r="BC59" s="1107"/>
      <c r="BD59" s="585" t="str">
        <f>IF(BC59&lt;&gt;"",IF(COUNTIF(BF59:BI59,"invalid")&lt;1,"Valid","Invalid"),"")</f>
        <v/>
      </c>
      <c r="BE59" s="512">
        <f>IF(BC59&lt;&gt;"",INDEX(WeaponAccessoriesTable,MATCH(BC59,WeaponAccessoriesList,0),4),0)</f>
        <v>0</v>
      </c>
      <c r="BF59" s="834" t="e">
        <f>IF(INDEX(WeaponAccessoriesTable,MATCH(BC59,WeaponAccessoriesList,0),5)&lt;&gt;"",IF(BC$12=INDEX(WeaponAccessoriesTable,MATCH(BC59,WeaponAccessoriesList,0),5),"Valid","Invalid"),"")</f>
        <v>#N/A</v>
      </c>
      <c r="BG59" s="834" t="e">
        <f>IF(INDEX(WeaponAccessoriesTable,MATCH(BC59,WeaponAccessoriesList,0),6)&lt;&gt;"",IF(INDEX(WeaponTable,MATCH(BC$11,WeaponList,0),27)=INDEX(WeaponAccessoriesTable,MATCH(BC59,WeaponAccessoriesList,0),6),"Valid","Invalid"),"")</f>
        <v>#N/A</v>
      </c>
      <c r="BH59" s="834" t="e">
        <f>IF(INDEX(WeaponAccessoriesTable,MATCH(BC59,WeaponAccessoriesList,0),7)&lt;&gt;"",IF(ISERROR(FIND(INDEX(WeaponAccessoriesTable,MATCH(BC59,WeaponAccessoriesList,0),7),BC$98,1)),"Invalid","Valid"),"")</f>
        <v>#N/A</v>
      </c>
      <c r="BI59" s="834" t="e">
        <f>IF(INDEX(WeaponAccessoriesTable,MATCH(BC59,WeaponAccessoriesList,0),5)&lt;&gt;"",IF(INDEX(WeaponTable,MATCH(BC$11,WeaponList,0),5)&lt;&gt;INDEX(WeaponAccessoriesTable,MATCH(BC59,WeaponAccessoriesList,0),5),"Valid","Invalid"),"")</f>
        <v>#N/A</v>
      </c>
      <c r="BJ59" s="834" t="str">
        <f>IF(BC59&lt;&gt;"",IF(INDEX(WeaponAccessoriesTable,MATCH(BC59,WeaponAccessoriesList,0),9)&lt;&gt;"",INDEX(WeaponAccessoriesTable,MATCH(BC59,WeaponAccessoriesList,0),9),""),"")</f>
        <v/>
      </c>
      <c r="BK59" s="834" t="str">
        <f t="shared" si="5"/>
        <v/>
      </c>
      <c r="BL59" s="29"/>
      <c r="BM59" s="383" t="s">
        <v>195</v>
      </c>
    </row>
    <row r="60" spans="2:65">
      <c r="B60" s="26"/>
      <c r="C60" s="735" t="s">
        <v>8873</v>
      </c>
      <c r="D60" s="1050" t="str">
        <f>IF(E60&lt;&gt;"",INDEX(EquipmentTable,MATCH(E60,EquipmentList,0),3),"")</f>
        <v/>
      </c>
      <c r="E60" s="1107"/>
      <c r="F60" s="836" t="str">
        <f>IF(E60&lt;&gt;"",IF(COUNTIF(E56:E59,"Dual Gear")&gt;0,"Valid","Invalid"),"")</f>
        <v/>
      </c>
      <c r="G60" s="585"/>
      <c r="H60" s="1754" t="s">
        <v>8857</v>
      </c>
      <c r="I60" s="1755"/>
      <c r="J60" s="1755"/>
      <c r="K60" s="1756"/>
      <c r="L60" s="512" t="str">
        <f>IF(F60="Valid",E60,"")</f>
        <v/>
      </c>
      <c r="M60" s="839" t="str">
        <f>IF(L60&lt;&gt;"",L60&amp;IF(M61&lt;&gt;"","; "&amp;M61,""),M61)</f>
        <v/>
      </c>
      <c r="N60" s="1050" t="str">
        <f>IF(O60&lt;&gt;"",INDEX(EquipmentTable,MATCH(O60,EquipmentList,0),3),"")</f>
        <v/>
      </c>
      <c r="O60" s="1107"/>
      <c r="P60" s="836" t="str">
        <f>IF(O60&lt;&gt;"",IF(COUNTIF(O56:O59,"Dual Gear")&gt;0,"Valid","Invalid"),"")</f>
        <v/>
      </c>
      <c r="Q60" s="585"/>
      <c r="R60" s="585"/>
      <c r="S60" s="585"/>
      <c r="T60" s="585"/>
      <c r="U60" s="512"/>
      <c r="V60" s="512" t="str">
        <f>IF(P60="Valid",O60,"")</f>
        <v/>
      </c>
      <c r="W60" s="839" t="str">
        <f t="shared" si="1"/>
        <v/>
      </c>
      <c r="X60" s="1050" t="str">
        <f>IF(Y60&lt;&gt;"",INDEX(EquipmentTable,MATCH(Y60,EquipmentList,0),3),"")</f>
        <v/>
      </c>
      <c r="Y60" s="1107"/>
      <c r="Z60" s="836" t="str">
        <f>IF(Y60&lt;&gt;"",IF(COUNTIF(Y56:Y59,"Dual Gear")&gt;0,"Valid","Invalid"),"")</f>
        <v/>
      </c>
      <c r="AA60" s="585"/>
      <c r="AB60" s="585"/>
      <c r="AC60" s="585"/>
      <c r="AD60" s="585"/>
      <c r="AE60" s="512"/>
      <c r="AF60" s="512" t="str">
        <f>IF(Z60="Valid",Y60,"")</f>
        <v/>
      </c>
      <c r="AG60" s="839" t="str">
        <f t="shared" si="2"/>
        <v/>
      </c>
      <c r="AH60" s="1050" t="str">
        <f>IF(AI60&lt;&gt;"",INDEX(EquipmentTable,MATCH(AI60,EquipmentList,0),3),"")</f>
        <v/>
      </c>
      <c r="AI60" s="1107"/>
      <c r="AJ60" s="836" t="str">
        <f>IF(AI60&lt;&gt;"",IF(COUNTIF(AI56:AI59,"Dual Gear")&gt;0,"Valid","Invalid"),"")</f>
        <v/>
      </c>
      <c r="AK60" s="585"/>
      <c r="AL60" s="585"/>
      <c r="AM60" s="585"/>
      <c r="AN60" s="585"/>
      <c r="AO60" s="512"/>
      <c r="AP60" s="512" t="str">
        <f>IF(AJ60="Valid",AI60,"")</f>
        <v/>
      </c>
      <c r="AQ60" s="839" t="str">
        <f t="shared" si="3"/>
        <v/>
      </c>
      <c r="AR60" s="1050" t="str">
        <f>IF(AS60&lt;&gt;"",INDEX(EquipmentTable,MATCH(AS60,EquipmentList,0),3),"")</f>
        <v/>
      </c>
      <c r="AS60" s="1107"/>
      <c r="AT60" s="836" t="str">
        <f>IF(AS60&lt;&gt;"",IF(COUNTIF(AS56:AS59,"Dual Gear")&gt;0,"Valid","Invalid"),"")</f>
        <v/>
      </c>
      <c r="AU60" s="585"/>
      <c r="AV60" s="585"/>
      <c r="AW60" s="585"/>
      <c r="AX60" s="585"/>
      <c r="AY60" s="512"/>
      <c r="AZ60" s="512" t="str">
        <f>IF(AT60="Valid",AS60,"")</f>
        <v/>
      </c>
      <c r="BA60" s="839" t="str">
        <f t="shared" si="4"/>
        <v/>
      </c>
      <c r="BB60" s="839" t="str">
        <f>IF(BC60&lt;&gt;"",INDEX(EquipmentTable,MATCH(BC60,EquipmentList,0),3),"")</f>
        <v/>
      </c>
      <c r="BC60" s="1107"/>
      <c r="BD60" s="836" t="str">
        <f>IF(BC60&lt;&gt;"",IF(COUNTIF(BC56:BC59,"Dual Gear")&gt;0,"Valid","Invalid"),"")</f>
        <v/>
      </c>
      <c r="BE60" s="585"/>
      <c r="BF60" s="585"/>
      <c r="BG60" s="585"/>
      <c r="BH60" s="585"/>
      <c r="BI60" s="834"/>
      <c r="BJ60" s="834" t="str">
        <f>IF(BD60="Valid",BC60,"")</f>
        <v/>
      </c>
      <c r="BK60" s="834" t="str">
        <f t="shared" si="5"/>
        <v/>
      </c>
      <c r="BL60" s="29"/>
      <c r="BM60" s="383" t="s">
        <v>195</v>
      </c>
    </row>
    <row r="61" spans="2:65">
      <c r="B61" s="26"/>
      <c r="C61" s="735" t="s">
        <v>4186</v>
      </c>
      <c r="D61" s="849">
        <f>IF(E61="Yes",IF(E67&gt;E70,2,IF(E67=E70,1,0.5)),0)</f>
        <v>0</v>
      </c>
      <c r="E61" s="1107"/>
      <c r="F61" s="512" t="str">
        <f>IF(E61&lt;&gt;"",IF(OR(J61="Valid",K61="Valid"),"Valid","Invalid"),"")</f>
        <v/>
      </c>
      <c r="G61" s="512"/>
      <c r="H61" s="585" t="str">
        <f>IF(COUNTIF('Armor and Defenses'!P29:R40,"Weapon Mount, concealed")&gt;0,"Concealed","")</f>
        <v/>
      </c>
      <c r="I61" s="585" t="str">
        <f>IF(COUNTIF('Armor and Defenses'!P29:R40,"Weapon Mount")&gt;0,"Mount","")</f>
        <v/>
      </c>
      <c r="J61" s="585" t="str">
        <f>IF(AND(H61="Concealed",E61="mounted on armor, concealed"),"Valid","Invalid")</f>
        <v>Invalid</v>
      </c>
      <c r="K61" s="585" t="str">
        <f>IF(AND(I61="Mount",E61="mounted on armor"),"Valid","Invalid")</f>
        <v>Invalid</v>
      </c>
      <c r="L61" s="837" t="str">
        <f>IF(H52&lt;&gt;"",H52,"")</f>
        <v/>
      </c>
      <c r="M61" s="839" t="str">
        <f t="shared" si="0"/>
        <v/>
      </c>
      <c r="N61" s="849">
        <f>IF(O61="Yes",IF(O67&gt;O70,2,IF(O67=O70,1,0.5)),0)</f>
        <v>0</v>
      </c>
      <c r="O61" s="1107"/>
      <c r="P61" s="512" t="str">
        <f>IF(O61&lt;&gt;"",IF(OR(T61="Valid",U61="Valid"),"Valid","Invalid"),"")</f>
        <v/>
      </c>
      <c r="Q61" s="512"/>
      <c r="R61" s="585" t="str">
        <f>IF(COUNTIF('Armor and Defenses'!Z29:AB40,"Weapon Mount, concealed")&gt;0,"Concealed","")</f>
        <v/>
      </c>
      <c r="S61" s="585" t="str">
        <f>IF(COUNTIF('Armor and Defenses'!Z29:AB40,"Weapon Mount")&gt;0,"Mount","")</f>
        <v/>
      </c>
      <c r="T61" s="585" t="str">
        <f>IF(AND(R61="Concealed",O61="mounted on armor, concealed"),"Valid","Invalid")</f>
        <v>Invalid</v>
      </c>
      <c r="U61" s="585" t="str">
        <f>IF(AND(S61="Mount",O61="mounted on armor"),"Valid","Invalid")</f>
        <v>Invalid</v>
      </c>
      <c r="V61" s="837" t="str">
        <f>IF(R52&lt;&gt;"",R52,"")</f>
        <v/>
      </c>
      <c r="W61" s="839" t="str">
        <f t="shared" si="1"/>
        <v/>
      </c>
      <c r="X61" s="849">
        <f>IF(Y61="Yes",IF(Y67&gt;Y70,2,IF(Y67=Y70,1,0.5)),0)</f>
        <v>0</v>
      </c>
      <c r="Y61" s="1107"/>
      <c r="Z61" s="512" t="str">
        <f>IF(Y61&lt;&gt;"",IF(OR(AD61="Valid",AE61="Valid"),"Valid","Invalid"),"")</f>
        <v/>
      </c>
      <c r="AA61" s="512"/>
      <c r="AB61" s="585" t="str">
        <f>IF(COUNTIF('Armor and Defenses'!AJ29:AL40,"Weapon Mount, concealed")&gt;0,"Concealed","")</f>
        <v/>
      </c>
      <c r="AC61" s="585" t="str">
        <f>IF(COUNTIF('Armor and Defenses'!AJ29:AL40,"Weapon Mount")&gt;0,"Mount","")</f>
        <v/>
      </c>
      <c r="AD61" s="585" t="str">
        <f>IF(AND(AB61="Concealed",Y61="mounted on armor, concealed"),"Valid","Invalid")</f>
        <v>Invalid</v>
      </c>
      <c r="AE61" s="585" t="str">
        <f>IF(AND(AC61="Mount",Y61="mounted on armor"),"Valid","Invalid")</f>
        <v>Invalid</v>
      </c>
      <c r="AF61" s="837" t="str">
        <f>IF(AB52&lt;&gt;"",AB52,"")</f>
        <v/>
      </c>
      <c r="AG61" s="839" t="str">
        <f t="shared" si="2"/>
        <v/>
      </c>
      <c r="AH61" s="849">
        <f>IF(AI61="Yes",IF(AI67&gt;AI70,2,IF(AI67=AI70,1,0.5)),0)</f>
        <v>0</v>
      </c>
      <c r="AI61" s="1107"/>
      <c r="AJ61" s="512" t="str">
        <f>IF(AI61&lt;&gt;"",IF(OR(AN61="Valid",AO61="Valid"),"Valid","Invalid"),"")</f>
        <v/>
      </c>
      <c r="AK61" s="512"/>
      <c r="AL61" s="585" t="str">
        <f>IF(COUNTIF('Armor and Defenses'!AT29:AV40,"Weapon Mount, concealed")&gt;0,"Concealed","")</f>
        <v/>
      </c>
      <c r="AM61" s="585" t="str">
        <f>IF(COUNTIF('Armor and Defenses'!AT29:AV40,"Weapon Mount")&gt;0,"Mount","")</f>
        <v/>
      </c>
      <c r="AN61" s="585" t="str">
        <f>IF(AND(AL61="Concealed",AI61="mounted on armor, concealed"),"Valid","Invalid")</f>
        <v>Invalid</v>
      </c>
      <c r="AO61" s="585" t="str">
        <f>IF(AND(AM61="Mount",AI61="mounted on armor"),"Valid","Invalid")</f>
        <v>Invalid</v>
      </c>
      <c r="AP61" s="837" t="str">
        <f>IF(AL52&lt;&gt;"",AL52,"")</f>
        <v/>
      </c>
      <c r="AQ61" s="839" t="str">
        <f t="shared" si="3"/>
        <v/>
      </c>
      <c r="AR61" s="849">
        <f>IF(AS61="Yes",IF(AS67&gt;AS70,2,IF(AS67=AS70,1,0.5)),0)</f>
        <v>0</v>
      </c>
      <c r="AS61" s="1107"/>
      <c r="AT61" s="512" t="str">
        <f>IF(AS61&lt;&gt;"",IF(OR(AX61="Valid",AY61="Valid"),"Valid","Invalid"),"")</f>
        <v/>
      </c>
      <c r="AU61" s="512"/>
      <c r="AV61" s="585" t="str">
        <f>IF(COUNTIF('Armor and Defenses'!BD29:BF40,"Weapon Mount, concealed")&gt;0,"Concealed","")</f>
        <v/>
      </c>
      <c r="AW61" s="585" t="str">
        <f>IF(COUNTIF('Armor and Defenses'!BD29:BF40,"Weapon Mount")&gt;0,"Mount","")</f>
        <v/>
      </c>
      <c r="AX61" s="585" t="str">
        <f>IF(AND(AV61="Concealed",AS61="mounted on armor, concealed"),"Valid","Invalid")</f>
        <v>Invalid</v>
      </c>
      <c r="AY61" s="585" t="str">
        <f>IF(AND(AW61="Mount",AS61="mounted on armor"),"Valid","Invalid")</f>
        <v>Invalid</v>
      </c>
      <c r="AZ61" s="837" t="str">
        <f>IF(AV52&lt;&gt;"",AV52,"")</f>
        <v/>
      </c>
      <c r="BA61" s="839" t="str">
        <f t="shared" si="4"/>
        <v/>
      </c>
      <c r="BB61" s="838">
        <f>IF(BC61="Yes",IF(BC67&gt;BC70,2,IF(BC67=BC70,1,0.5)),0)</f>
        <v>0</v>
      </c>
      <c r="BC61" s="1107"/>
      <c r="BD61" s="512" t="str">
        <f>IF(BC61&lt;&gt;"",IF(OR(BH61="Valid",BI61="Valid"),"Valid","Invalid"),"")</f>
        <v/>
      </c>
      <c r="BE61" s="512"/>
      <c r="BF61" s="585" t="str">
        <f>IF(COUNTIF('Armor and Defenses'!BN29:BP40,"Weapon Mount, concealed")&gt;0,"Concealed","")</f>
        <v/>
      </c>
      <c r="BG61" s="585" t="str">
        <f>IF(COUNTIF('Armor and Defenses'!BN29:BP40,"Weapon Mount")&gt;0,"Mount","")</f>
        <v/>
      </c>
      <c r="BH61" s="585" t="str">
        <f>IF(AND(BF61="Concealed",BC61="mounted on armor, concealed"),"Valid","Invalid")</f>
        <v>Invalid</v>
      </c>
      <c r="BI61" s="585" t="str">
        <f>IF(AND(BG61="Mount",BC61="mounted on armor"),"Valid","Invalid")</f>
        <v>Invalid</v>
      </c>
      <c r="BJ61" s="837" t="str">
        <f>IF(BF52&lt;&gt;"",BF52,"")</f>
        <v/>
      </c>
      <c r="BK61" s="834" t="str">
        <f t="shared" si="5"/>
        <v/>
      </c>
      <c r="BL61" s="29"/>
      <c r="BM61" s="383" t="s">
        <v>195</v>
      </c>
    </row>
    <row r="62" spans="2:65" s="859" customFormat="1">
      <c r="B62" s="26"/>
      <c r="C62" s="857" t="s">
        <v>4541</v>
      </c>
      <c r="D62" s="1051" t="s">
        <v>195</v>
      </c>
      <c r="E62" s="1095" t="str">
        <f>IF(E11&lt;&gt;"",E121,"")</f>
        <v/>
      </c>
      <c r="F62" s="512"/>
      <c r="G62" s="512"/>
      <c r="H62" s="585"/>
      <c r="I62" s="585"/>
      <c r="J62" s="585"/>
      <c r="K62" s="585"/>
      <c r="L62" s="837" t="str">
        <f>M48</f>
        <v/>
      </c>
      <c r="M62" s="839" t="str">
        <f t="shared" si="0"/>
        <v/>
      </c>
      <c r="N62" s="1051" t="s">
        <v>195</v>
      </c>
      <c r="O62" s="1095" t="str">
        <f>IF(O11&lt;&gt;"",O121,"")</f>
        <v/>
      </c>
      <c r="P62" s="512"/>
      <c r="Q62" s="512"/>
      <c r="R62" s="585"/>
      <c r="S62" s="585"/>
      <c r="T62" s="585"/>
      <c r="U62" s="585"/>
      <c r="V62" s="837" t="str">
        <f>W48</f>
        <v/>
      </c>
      <c r="W62" s="839" t="str">
        <f t="shared" si="1"/>
        <v/>
      </c>
      <c r="X62" s="1051" t="s">
        <v>195</v>
      </c>
      <c r="Y62" s="1095" t="str">
        <f>IF(Y11&lt;&gt;"",Y121,"")</f>
        <v/>
      </c>
      <c r="Z62" s="512"/>
      <c r="AA62" s="512"/>
      <c r="AB62" s="585"/>
      <c r="AC62" s="585"/>
      <c r="AD62" s="585"/>
      <c r="AE62" s="585"/>
      <c r="AF62" s="837" t="str">
        <f>AG48</f>
        <v/>
      </c>
      <c r="AG62" s="839" t="str">
        <f t="shared" si="2"/>
        <v/>
      </c>
      <c r="AH62" s="1051" t="s">
        <v>195</v>
      </c>
      <c r="AI62" s="1095" t="str">
        <f>IF(AI11&lt;&gt;"",AI121,"")</f>
        <v/>
      </c>
      <c r="AJ62" s="512"/>
      <c r="AK62" s="512"/>
      <c r="AL62" s="585"/>
      <c r="AM62" s="585"/>
      <c r="AN62" s="585"/>
      <c r="AO62" s="585"/>
      <c r="AP62" s="837" t="str">
        <f>AQ48</f>
        <v/>
      </c>
      <c r="AQ62" s="839" t="str">
        <f t="shared" si="3"/>
        <v/>
      </c>
      <c r="AR62" s="1051" t="s">
        <v>195</v>
      </c>
      <c r="AS62" s="1095" t="str">
        <f>IF(AS11&lt;&gt;"",AS121,"")</f>
        <v/>
      </c>
      <c r="AT62" s="512"/>
      <c r="AU62" s="512"/>
      <c r="AV62" s="585"/>
      <c r="AW62" s="585"/>
      <c r="AX62" s="585"/>
      <c r="AY62" s="585"/>
      <c r="AZ62" s="837" t="str">
        <f>BA48</f>
        <v/>
      </c>
      <c r="BA62" s="839" t="str">
        <f t="shared" si="4"/>
        <v/>
      </c>
      <c r="BB62" s="1005" t="s">
        <v>195</v>
      </c>
      <c r="BC62" s="1095" t="str">
        <f>IF(BC11&lt;&gt;"",BC121,"")</f>
        <v/>
      </c>
      <c r="BD62" s="512"/>
      <c r="BE62" s="512"/>
      <c r="BF62" s="585"/>
      <c r="BG62" s="585"/>
      <c r="BH62" s="585"/>
      <c r="BI62" s="585"/>
      <c r="BJ62" s="837" t="str">
        <f>BK48</f>
        <v/>
      </c>
      <c r="BK62" s="834" t="str">
        <f t="shared" si="5"/>
        <v/>
      </c>
      <c r="BL62" s="29"/>
      <c r="BM62" s="383" t="s">
        <v>195</v>
      </c>
    </row>
    <row r="63" spans="2:65" s="859" customFormat="1">
      <c r="B63" s="26"/>
      <c r="C63" s="857" t="s">
        <v>4543</v>
      </c>
      <c r="D63" s="849"/>
      <c r="E63" s="1136"/>
      <c r="F63" s="512"/>
      <c r="G63" s="512"/>
      <c r="H63" s="585"/>
      <c r="I63" s="585"/>
      <c r="J63" s="585"/>
      <c r="K63" s="585"/>
      <c r="L63" s="837" t="str">
        <f>M49</f>
        <v/>
      </c>
      <c r="M63" s="839" t="str">
        <f t="shared" si="0"/>
        <v/>
      </c>
      <c r="N63" s="849"/>
      <c r="O63" s="1107"/>
      <c r="P63" s="512"/>
      <c r="Q63" s="512"/>
      <c r="R63" s="585"/>
      <c r="S63" s="585"/>
      <c r="T63" s="585"/>
      <c r="U63" s="585"/>
      <c r="V63" s="837" t="str">
        <f>W49</f>
        <v/>
      </c>
      <c r="W63" s="839" t="str">
        <f t="shared" si="1"/>
        <v/>
      </c>
      <c r="X63" s="849"/>
      <c r="Y63" s="1107"/>
      <c r="Z63" s="512"/>
      <c r="AA63" s="512"/>
      <c r="AB63" s="585"/>
      <c r="AC63" s="585"/>
      <c r="AD63" s="585"/>
      <c r="AE63" s="585"/>
      <c r="AF63" s="837" t="str">
        <f>AG49</f>
        <v/>
      </c>
      <c r="AG63" s="839" t="str">
        <f t="shared" si="2"/>
        <v/>
      </c>
      <c r="AH63" s="849"/>
      <c r="AI63" s="1107"/>
      <c r="AJ63" s="512"/>
      <c r="AK63" s="512"/>
      <c r="AL63" s="585"/>
      <c r="AM63" s="585"/>
      <c r="AN63" s="585"/>
      <c r="AO63" s="585"/>
      <c r="AP63" s="837" t="str">
        <f>AQ49</f>
        <v/>
      </c>
      <c r="AQ63" s="839" t="str">
        <f t="shared" si="3"/>
        <v/>
      </c>
      <c r="AR63" s="849"/>
      <c r="AS63" s="1107"/>
      <c r="AT63" s="512"/>
      <c r="AU63" s="512"/>
      <c r="AV63" s="585"/>
      <c r="AW63" s="585"/>
      <c r="AX63" s="585"/>
      <c r="AY63" s="585"/>
      <c r="AZ63" s="837" t="str">
        <f>BA49</f>
        <v/>
      </c>
      <c r="BA63" s="839" t="str">
        <f t="shared" si="4"/>
        <v/>
      </c>
      <c r="BB63" s="838"/>
      <c r="BC63" s="1107"/>
      <c r="BD63" s="512"/>
      <c r="BE63" s="512"/>
      <c r="BF63" s="585"/>
      <c r="BG63" s="585"/>
      <c r="BH63" s="585"/>
      <c r="BI63" s="585"/>
      <c r="BJ63" s="837" t="str">
        <f>BK49</f>
        <v/>
      </c>
      <c r="BK63" s="834" t="str">
        <f t="shared" si="5"/>
        <v/>
      </c>
      <c r="BL63" s="29"/>
      <c r="BM63" s="383" t="s">
        <v>195</v>
      </c>
    </row>
    <row r="64" spans="2:65" ht="15" thickBot="1">
      <c r="B64" s="32"/>
      <c r="C64" s="80"/>
      <c r="D64" s="1112"/>
      <c r="E64" s="1102"/>
      <c r="F64" s="1002"/>
      <c r="G64" s="1002"/>
      <c r="H64" s="1003"/>
      <c r="I64" s="1003"/>
      <c r="J64" s="1003"/>
      <c r="K64" s="1003"/>
      <c r="L64" s="1003"/>
      <c r="M64" s="1113" t="s">
        <v>195</v>
      </c>
      <c r="N64" s="1112"/>
      <c r="O64" s="1102"/>
      <c r="P64" s="1002"/>
      <c r="Q64" s="1002"/>
      <c r="R64" s="1003"/>
      <c r="S64" s="1003"/>
      <c r="T64" s="1003"/>
      <c r="U64" s="1003"/>
      <c r="V64" s="1003"/>
      <c r="W64" s="1113" t="s">
        <v>195</v>
      </c>
      <c r="X64" s="1112"/>
      <c r="Y64" s="1102"/>
      <c r="Z64" s="1002"/>
      <c r="AA64" s="1002"/>
      <c r="AB64" s="1003"/>
      <c r="AC64" s="1003"/>
      <c r="AD64" s="1003"/>
      <c r="AE64" s="1003"/>
      <c r="AF64" s="1003"/>
      <c r="AG64" s="1113" t="s">
        <v>195</v>
      </c>
      <c r="AH64" s="1112"/>
      <c r="AI64" s="1102"/>
      <c r="AJ64" s="1002"/>
      <c r="AK64" s="1002"/>
      <c r="AL64" s="1003"/>
      <c r="AM64" s="1003"/>
      <c r="AN64" s="1003"/>
      <c r="AO64" s="1003"/>
      <c r="AP64" s="1003"/>
      <c r="AQ64" s="1113" t="s">
        <v>195</v>
      </c>
      <c r="AR64" s="1112"/>
      <c r="AS64" s="1102"/>
      <c r="AT64" s="1002"/>
      <c r="AU64" s="1002"/>
      <c r="AV64" s="1003"/>
      <c r="AW64" s="1003"/>
      <c r="AX64" s="1003"/>
      <c r="AY64" s="1003"/>
      <c r="AZ64" s="1003"/>
      <c r="BA64" s="1113" t="s">
        <v>195</v>
      </c>
      <c r="BB64" s="1111"/>
      <c r="BC64" s="1102"/>
      <c r="BD64" s="1002"/>
      <c r="BE64" s="1002"/>
      <c r="BF64" s="1003"/>
      <c r="BG64" s="1003"/>
      <c r="BH64" s="1003"/>
      <c r="BI64" s="1003"/>
      <c r="BJ64" s="1003"/>
      <c r="BK64" s="1004" t="s">
        <v>195</v>
      </c>
      <c r="BL64" s="35"/>
    </row>
    <row r="65" spans="3:63">
      <c r="BB65" s="78"/>
      <c r="BC65" s="1100"/>
      <c r="BD65" s="1100"/>
      <c r="BE65" s="1100"/>
      <c r="BK65" s="1100"/>
    </row>
    <row r="66" spans="3:63" hidden="1">
      <c r="C66" s="78" t="s">
        <v>4162</v>
      </c>
      <c r="BB66" s="78"/>
      <c r="BC66" s="508"/>
      <c r="BD66" s="508"/>
      <c r="BE66" s="508"/>
      <c r="BF66" s="20"/>
      <c r="BK66" s="1100"/>
    </row>
    <row r="67" spans="3:63" hidden="1">
      <c r="C67" s="78" t="s">
        <v>4191</v>
      </c>
      <c r="E67" s="508" t="str">
        <f>IF(E$11&lt;&gt;"",E68+IF(COUNTIF(E56:E59,"Miniaturized")&gt;0,-1,0)+IF(E54&lt;&gt;"",1,0),"")</f>
        <v/>
      </c>
      <c r="O67" s="508" t="str">
        <f>IF(O$11&lt;&gt;"",O68+IF(COUNTIF(O56:O59,"Miniaturized")&gt;0,-1,0)+IF(O54&lt;&gt;"",1,0),"")</f>
        <v/>
      </c>
      <c r="Y67" s="508" t="str">
        <f>IF(Y$11&lt;&gt;"",Y68+IF(COUNTIF(Y56:Y59,"Miniaturized")&gt;0,-1,0)+IF(Y54&lt;&gt;"",1,0),"")</f>
        <v/>
      </c>
      <c r="AI67" s="508" t="str">
        <f>IF(AI$11&lt;&gt;"",AI68+IF(COUNTIF(AI56:AI59,"Miniaturized")&gt;0,-1,0)+IF(AI54&lt;&gt;"",1,0),"")</f>
        <v/>
      </c>
      <c r="AS67" s="508" t="str">
        <f>IF(AS$11&lt;&gt;"",AS68+IF(COUNTIF(AS56:AS59,"Miniaturized")&gt;0,-1,0)+IF(AS54&lt;&gt;"",1,0),"")</f>
        <v/>
      </c>
      <c r="BB67" s="78"/>
      <c r="BC67" s="508" t="str">
        <f>IF(BC$11&lt;&gt;"",BC68+IF(COUNTIF(BC56:BC59,"Miniaturized")&gt;0,-1,0)+IF(BC54&lt;&gt;"",1,0),"")</f>
        <v/>
      </c>
      <c r="BD67" s="508"/>
      <c r="BE67" s="508"/>
      <c r="BF67" s="20"/>
      <c r="BK67" s="1100"/>
    </row>
    <row r="68" spans="3:63" hidden="1">
      <c r="C68" s="78" t="s">
        <v>4163</v>
      </c>
      <c r="E68" s="508" t="e">
        <f ca="1">IF(INDEX(WeaponTable,MATCH(E$11,WeaponList,0),6)&lt;&gt;"u",INDEX(SizeTable,MATCH(INDEX(WeaponTable,MATCH(E$11,WeaponList,0),6),SizeAbrList,0),3),E70-1)</f>
        <v>#N/A</v>
      </c>
      <c r="O68" s="508" t="e">
        <f ca="1">IF(INDEX(WeaponTable,MATCH(O$11,WeaponList,0),6)&lt;&gt;"u",INDEX(SizeTable,MATCH(INDEX(WeaponTable,MATCH(O$11,WeaponList,0),6),SizeAbrList,0),3),O70-1)</f>
        <v>#N/A</v>
      </c>
      <c r="Y68" s="508" t="e">
        <f ca="1">IF(INDEX(WeaponTable,MATCH(Y$11,WeaponList,0),6)&lt;&gt;"u",INDEX(SizeTable,MATCH(INDEX(WeaponTable,MATCH(Y$11,WeaponList,0),6),SizeAbrList,0),3),Y70-1)</f>
        <v>#N/A</v>
      </c>
      <c r="AI68" s="508" t="e">
        <f ca="1">IF(INDEX(WeaponTable,MATCH(AI$11,WeaponList,0),6)&lt;&gt;"u",INDEX(SizeTable,MATCH(INDEX(WeaponTable,MATCH(AI$11,WeaponList,0),6),SizeAbrList,0),3),AI70-1)</f>
        <v>#N/A</v>
      </c>
      <c r="AS68" s="508" t="e">
        <f ca="1">IF(INDEX(WeaponTable,MATCH(AS$11,WeaponList,0),6)&lt;&gt;"u",INDEX(SizeTable,MATCH(INDEX(WeaponTable,MATCH(AS$11,WeaponList,0),6),SizeAbrList,0),3),AS70-1)</f>
        <v>#N/A</v>
      </c>
      <c r="BB68" s="78"/>
      <c r="BC68" s="508" t="e">
        <f ca="1">IF(INDEX(WeaponTable,MATCH(BC$11,WeaponList,0),6)&lt;&gt;"u",INDEX(SizeTable,MATCH(INDEX(WeaponTable,MATCH(BC$11,WeaponList,0),6),SizeAbrList,0),3),BC70-1)</f>
        <v>#N/A</v>
      </c>
      <c r="BD68" s="508"/>
      <c r="BE68" s="508"/>
      <c r="BF68" s="20"/>
      <c r="BK68" s="1100"/>
    </row>
    <row r="69" spans="3:63" s="1091" customFormat="1" hidden="1">
      <c r="C69" s="78" t="s">
        <v>6135</v>
      </c>
      <c r="D69" s="842"/>
      <c r="E69" s="508" t="e">
        <f>E67-2</f>
        <v>#VALUE!</v>
      </c>
      <c r="F69" s="508"/>
      <c r="G69" s="508"/>
      <c r="H69" s="20"/>
      <c r="I69" s="20"/>
      <c r="J69" s="20"/>
      <c r="K69" s="20"/>
      <c r="L69" s="20"/>
      <c r="M69" s="1046"/>
      <c r="N69" s="842"/>
      <c r="O69" s="508" t="e">
        <f>O67-2</f>
        <v>#VALUE!</v>
      </c>
      <c r="P69" s="508"/>
      <c r="Q69" s="508"/>
      <c r="R69" s="20"/>
      <c r="S69" s="20"/>
      <c r="T69" s="20"/>
      <c r="U69" s="20"/>
      <c r="V69" s="20"/>
      <c r="W69" s="1046"/>
      <c r="X69" s="842"/>
      <c r="Y69" s="508" t="e">
        <f>Y67-2</f>
        <v>#VALUE!</v>
      </c>
      <c r="Z69" s="508"/>
      <c r="AA69" s="508"/>
      <c r="AB69" s="20"/>
      <c r="AC69" s="20"/>
      <c r="AD69" s="20"/>
      <c r="AE69" s="20"/>
      <c r="AF69" s="20"/>
      <c r="AG69" s="1046"/>
      <c r="AH69" s="842"/>
      <c r="AI69" s="508" t="e">
        <f>AI67-2</f>
        <v>#VALUE!</v>
      </c>
      <c r="AJ69" s="508"/>
      <c r="AK69" s="508"/>
      <c r="AL69" s="20"/>
      <c r="AM69" s="20"/>
      <c r="AN69" s="20"/>
      <c r="AO69" s="20"/>
      <c r="AP69" s="20"/>
      <c r="AQ69" s="1046"/>
      <c r="AR69" s="842"/>
      <c r="AS69" s="508" t="e">
        <f>AS67-2</f>
        <v>#VALUE!</v>
      </c>
      <c r="AT69" s="508"/>
      <c r="AU69" s="508"/>
      <c r="AV69" s="20"/>
      <c r="AW69" s="20"/>
      <c r="AX69" s="20"/>
      <c r="AY69" s="20"/>
      <c r="AZ69" s="20"/>
      <c r="BA69" s="1046"/>
      <c r="BB69" s="78"/>
      <c r="BC69" s="508" t="e">
        <f>BC67-2</f>
        <v>#VALUE!</v>
      </c>
      <c r="BD69" s="508"/>
      <c r="BE69" s="508"/>
      <c r="BF69" s="20"/>
      <c r="BG69" s="16"/>
      <c r="BH69" s="16"/>
      <c r="BI69" s="16"/>
      <c r="BJ69" s="16"/>
      <c r="BK69" s="1100"/>
    </row>
    <row r="70" spans="3:63" hidden="1">
      <c r="C70" s="78" t="s">
        <v>4164</v>
      </c>
      <c r="E70" s="508" t="e">
        <f ca="1">INDEX(SizeTable,MATCH(INDEX(RaceListTable,RaceIndex,13),SizeAbrList,0),3)</f>
        <v>#N/A</v>
      </c>
      <c r="O70" s="508" t="e">
        <f ca="1">INDEX(SizeTable,MATCH(INDEX(RaceListTable,RaceIndex,13),SizeAbrList,0),3)</f>
        <v>#N/A</v>
      </c>
      <c r="Y70" s="508" t="e">
        <f ca="1">INDEX(SizeTable,MATCH(INDEX(RaceListTable,RaceIndex,13),SizeAbrList,0),3)</f>
        <v>#N/A</v>
      </c>
      <c r="AI70" s="508" t="e">
        <f ca="1">INDEX(SizeTable,MATCH(INDEX(RaceListTable,RaceIndex,13),SizeAbrList,0),3)</f>
        <v>#N/A</v>
      </c>
      <c r="AS70" s="508" t="e">
        <f ca="1">INDEX(SizeTable,MATCH(INDEX(RaceListTable,RaceIndex,13),SizeAbrList,0),3)</f>
        <v>#N/A</v>
      </c>
      <c r="BB70" s="78"/>
      <c r="BC70" s="508" t="e">
        <f ca="1">INDEX(SizeTable,MATCH(INDEX(RaceListTable,RaceIndex,13),SizeAbrList,0),3)</f>
        <v>#N/A</v>
      </c>
      <c r="BD70" s="508"/>
      <c r="BE70" s="508"/>
      <c r="BF70" s="20"/>
      <c r="BK70" s="1100"/>
    </row>
    <row r="71" spans="3:63" hidden="1">
      <c r="C71" s="78" t="s">
        <v>4165</v>
      </c>
      <c r="E71" s="508" t="str">
        <f>IF(E$11&lt;&gt;"",INDEX(WeaponTable,MATCH(E$11,WeaponList,0),25),"")</f>
        <v/>
      </c>
      <c r="O71" s="508" t="str">
        <f>IF(O$11&lt;&gt;"",INDEX(WeaponTable,MATCH(O$11,WeaponList,0),25),"")</f>
        <v/>
      </c>
      <c r="Y71" s="508" t="str">
        <f>IF(Y$11&lt;&gt;"",INDEX(WeaponTable,MATCH(Y$11,WeaponList,0),25),"")</f>
        <v/>
      </c>
      <c r="AI71" s="508" t="str">
        <f>IF(AI$11&lt;&gt;"",INDEX(WeaponTable,MATCH(AI$11,WeaponList,0),25),"")</f>
        <v/>
      </c>
      <c r="AS71" s="508" t="str">
        <f>IF(AS$11&lt;&gt;"",INDEX(WeaponTable,MATCH(AS$11,WeaponList,0),25),"")</f>
        <v/>
      </c>
      <c r="BB71" s="78"/>
      <c r="BC71" s="508" t="str">
        <f>IF(BC$11&lt;&gt;"",INDEX(WeaponTable,MATCH(BC$11,WeaponList,0),25),"")</f>
        <v/>
      </c>
      <c r="BD71" s="508"/>
      <c r="BE71" s="508"/>
      <c r="BF71" s="20"/>
      <c r="BK71" s="1100"/>
    </row>
    <row r="72" spans="3:63" hidden="1">
      <c r="C72" s="78" t="s">
        <v>4166</v>
      </c>
      <c r="E72" s="508" t="str">
        <f>IF(E$11&lt;&gt;"",IF(INDEX(WeaponTable,MATCH(E$11,WeaponList,0),14)&lt;&gt;"C",INDEX(AvailabilityTable,MATCH(INDEX(WeaponTable,MATCH(E$11,WeaponList,0),14),AvailList,0),3),0),"")</f>
        <v/>
      </c>
      <c r="O72" s="508" t="str">
        <f>IF(O$11&lt;&gt;"",IF(INDEX(WeaponTable,MATCH(O$11,WeaponList,0),14)&lt;&gt;"C",INDEX(AvailabilityTable,MATCH(INDEX(WeaponTable,MATCH(O$11,WeaponList,0),14),AvailList,0),3),0),"")</f>
        <v/>
      </c>
      <c r="Y72" s="508" t="str">
        <f>IF(Y$11&lt;&gt;"",IF(INDEX(WeaponTable,MATCH(Y$11,WeaponList,0),14)&lt;&gt;"C",INDEX(AvailabilityTable,MATCH(INDEX(WeaponTable,MATCH(Y$11,WeaponList,0),14),AvailList,0),3),0),"")</f>
        <v/>
      </c>
      <c r="AI72" s="508" t="str">
        <f>IF(AI$11&lt;&gt;"",IF(INDEX(WeaponTable,MATCH(AI$11,WeaponList,0),14)&lt;&gt;"C",INDEX(AvailabilityTable,MATCH(INDEX(WeaponTable,MATCH(AI$11,WeaponList,0),14),AvailList,0),3),0),"")</f>
        <v/>
      </c>
      <c r="AS72" s="508" t="str">
        <f>IF(AS$11&lt;&gt;"",IF(INDEX(WeaponTable,MATCH(AS$11,WeaponList,0),14)&lt;&gt;"C",INDEX(AvailabilityTable,MATCH(INDEX(WeaponTable,MATCH(AS$11,WeaponList,0),14),AvailList,0),3),0),"")</f>
        <v/>
      </c>
      <c r="BB72" s="78"/>
      <c r="BC72" s="508" t="str">
        <f>IF(BC$11&lt;&gt;"",IF(INDEX(WeaponTable,MATCH(BC$11,WeaponList,0),14)&lt;&gt;"C",INDEX(AvailabilityTable,MATCH(INDEX(WeaponTable,MATCH(BC$11,WeaponList,0),14),AvailList,0),3),0),"")</f>
        <v/>
      </c>
      <c r="BD72" s="508"/>
      <c r="BE72" s="508"/>
      <c r="BF72" s="20"/>
      <c r="BK72" s="1100"/>
    </row>
    <row r="73" spans="3:63" hidden="1">
      <c r="C73" s="78" t="s">
        <v>4168</v>
      </c>
      <c r="E73" s="508" t="e">
        <f ca="1">IF(INDEX(WeaponTable,MATCH(E$11,WeaponList,0),14)&lt;&gt;"C",MAX(INDEX(AvailabilityTable,MATCH(INDEX(WeaponTable,MATCH(E$11,WeaponList,0),14),AvailList,0),4)-IF(Feats!$M$379&gt;0,2,0)-IF(Feats!$M$128&gt;0,2,0)-IF(Talents!$M$191&gt;0,1,0),1),1)</f>
        <v>#N/A</v>
      </c>
      <c r="O73" s="508" t="e">
        <f ca="1">IF(INDEX(WeaponTable,MATCH(O$11,WeaponList,0),14)&lt;&gt;"C",MAX(INDEX(AvailabilityTable,MATCH(INDEX(WeaponTable,MATCH(O$11,WeaponList,0),14),AvailList,0),4)-IF(Feats!$M$379&gt;0,2,0)-IF(Feats!$M$128&gt;0,2,0)-IF(Talents!$M$191&gt;0,1,0),1),1)</f>
        <v>#N/A</v>
      </c>
      <c r="Y73" s="508" t="e">
        <f ca="1">IF(INDEX(WeaponTable,MATCH(Y$11,WeaponList,0),14)&lt;&gt;"C",MAX(INDEX(AvailabilityTable,MATCH(INDEX(WeaponTable,MATCH(Y$11,WeaponList,0),14),AvailList,0),4)-IF(Feats!$M$379&gt;0,2,0)-IF(Feats!$M$128&gt;0,2,0)-IF(Talents!$M$191&gt;0,1,0),1),1)</f>
        <v>#N/A</v>
      </c>
      <c r="AI73" s="508" t="e">
        <f ca="1">IF(INDEX(WeaponTable,MATCH(AI$11,WeaponList,0),14)&lt;&gt;"C",MAX(INDEX(AvailabilityTable,MATCH(INDEX(WeaponTable,MATCH(AI$11,WeaponList,0),14),AvailList,0),4)-IF(Feats!$M$379&gt;0,2,0)-IF(Feats!$M$128&gt;0,2,0)-IF(Talents!$M$191&gt;0,1,0),1),1)</f>
        <v>#N/A</v>
      </c>
      <c r="AS73" s="508" t="e">
        <f ca="1">IF(INDEX(WeaponTable,MATCH(AS$11,WeaponList,0),14)&lt;&gt;"C",MAX(INDEX(AvailabilityTable,MATCH(INDEX(WeaponTable,MATCH(AS$11,WeaponList,0),14),AvailList,0),4)-IF(Feats!$M$379&gt;0,2,0)-IF(Feats!$M$128&gt;0,2,0)-IF(Talents!$M$191&gt;0,1,0),1),1)</f>
        <v>#N/A</v>
      </c>
      <c r="BB73" s="78"/>
      <c r="BC73" s="508" t="e">
        <f ca="1">IF(INDEX(WeaponTable,MATCH(BC$11,WeaponList,0),14)&lt;&gt;"C",MAX(INDEX(AvailabilityTable,MATCH(INDEX(WeaponTable,MATCH(BC$11,WeaponList,0),14),AvailList,0),4)-IF(Feats!$M$379&gt;0,2,0)-IF(Feats!$M$128&gt;0,2,0)-IF(Talents!$M$191&gt;0,1,0),1),1)</f>
        <v>#N/A</v>
      </c>
      <c r="BD73" s="508"/>
      <c r="BE73" s="508"/>
      <c r="BF73" s="20"/>
      <c r="BK73" s="1100"/>
    </row>
    <row r="74" spans="3:63" hidden="1">
      <c r="C74" s="78" t="s">
        <v>4189</v>
      </c>
      <c r="E74" s="1052" t="e">
        <f ca="1">INDEX(WeaponTable,MATCH(E$11,WeaponList,0),5)</f>
        <v>#N/A</v>
      </c>
      <c r="F74" s="508" t="e">
        <f ca="1">INDEX(WeaponTable,MATCH(E$11,WeaponList,0),4)</f>
        <v>#N/A</v>
      </c>
      <c r="G74" s="508" t="e">
        <f ca="1">IF(F74="EWP","Exotic Weapon Proficiency (","Weapon Proficiency (")&amp;E74&amp;")"</f>
        <v>#N/A</v>
      </c>
      <c r="O74" s="1052" t="e">
        <f ca="1">INDEX(WeaponTable,MATCH(O$11,WeaponList,0),5)</f>
        <v>#N/A</v>
      </c>
      <c r="P74" s="508" t="e">
        <f ca="1">INDEX(WeaponTable,MATCH(O$11,WeaponList,0),4)</f>
        <v>#N/A</v>
      </c>
      <c r="Q74" s="508" t="e">
        <f ca="1">IF(P74="EWP","Exotic Weapon Proficiency (","Weapon Proficiency (")&amp;O74&amp;")"</f>
        <v>#N/A</v>
      </c>
      <c r="Y74" s="1052" t="e">
        <f ca="1">INDEX(WeaponTable,MATCH(Y$11,WeaponList,0),5)</f>
        <v>#N/A</v>
      </c>
      <c r="Z74" s="508" t="e">
        <f ca="1">INDEX(WeaponTable,MATCH(Y$11,WeaponList,0),4)</f>
        <v>#N/A</v>
      </c>
      <c r="AA74" s="508" t="e">
        <f ca="1">IF(Z74="EWP","Exotic Weapon Proficiency (","Weapon Proficiency (")&amp;Y74&amp;")"</f>
        <v>#N/A</v>
      </c>
      <c r="AI74" s="1052" t="e">
        <f ca="1">INDEX(WeaponTable,MATCH(AI$11,WeaponList,0),5)</f>
        <v>#N/A</v>
      </c>
      <c r="AJ74" s="508" t="e">
        <f ca="1">INDEX(WeaponTable,MATCH(AI$11,WeaponList,0),4)</f>
        <v>#N/A</v>
      </c>
      <c r="AK74" s="508" t="e">
        <f ca="1">IF(AJ74="EWP","Exotic Weapon Proficiency (","Weapon Proficiency (")&amp;AI74&amp;")"</f>
        <v>#N/A</v>
      </c>
      <c r="AS74" s="1052" t="e">
        <f ca="1">INDEX(WeaponTable,MATCH(AS$11,WeaponList,0),5)</f>
        <v>#N/A</v>
      </c>
      <c r="AT74" s="508" t="e">
        <f ca="1">INDEX(WeaponTable,MATCH(AS$11,WeaponList,0),4)</f>
        <v>#N/A</v>
      </c>
      <c r="AU74" s="508" t="e">
        <f ca="1">IF(AT74="EWP","Exotic Weapon Proficiency (","Weapon Proficiency (")&amp;AS74&amp;")"</f>
        <v>#N/A</v>
      </c>
      <c r="BB74" s="78"/>
      <c r="BC74" s="1052" t="e">
        <f ca="1">INDEX(WeaponTable,MATCH(BC$11,WeaponList,0),5)</f>
        <v>#N/A</v>
      </c>
      <c r="BD74" s="508" t="e">
        <f ca="1">INDEX(WeaponTable,MATCH(BC$11,WeaponList,0),4)</f>
        <v>#N/A</v>
      </c>
      <c r="BE74" s="508" t="e">
        <f ca="1">IF(BD74="EWP","Exotic Weapon Proficiency (","Weapon Proficiency (")&amp;BC74&amp;")"</f>
        <v>#N/A</v>
      </c>
      <c r="BF74" s="20"/>
      <c r="BK74" s="1100"/>
    </row>
    <row r="75" spans="3:63" s="1125" customFormat="1" hidden="1">
      <c r="C75" s="78" t="s">
        <v>6147</v>
      </c>
      <c r="D75" s="842"/>
      <c r="E75" s="1052" t="e">
        <f ca="1">IF(NOT(ISERROR(FIND(E74,INDEX(RaceListTable,MATCH(Race,RaceList,0),46),1))),INDEX(RaceListTable,MATCH(Race,RaceList,0),45),IF(NOT(ISERROR(FIND(E74,INDEX(RaceListTable,MATCH(Race,RaceList,0),48),1))),INDEX(RaceListTable,MATCH(Race,RaceList,0),47),E74))</f>
        <v>#N/A</v>
      </c>
      <c r="F75" s="508" t="e">
        <f ca="1">IF(E75&lt;&gt;E74,"WP",F74)</f>
        <v>#N/A</v>
      </c>
      <c r="G75" s="508"/>
      <c r="H75" s="20"/>
      <c r="I75" s="20"/>
      <c r="J75" s="20"/>
      <c r="K75" s="20"/>
      <c r="L75" s="20"/>
      <c r="M75" s="1046"/>
      <c r="N75" s="842"/>
      <c r="O75" s="1052" t="e">
        <f ca="1">IF(NOT(ISERROR(FIND(O74,INDEX(RaceListTable,MATCH(Race,RaceList,0),46),1))),INDEX(RaceListTable,MATCH(Race,RaceList,0),45),IF(NOT(ISERROR(FIND(O74,INDEX(RaceListTable,MATCH(Race,RaceList,0),48),1))),INDEX(RaceListTable,MATCH(Race,RaceList,0),47),O74))</f>
        <v>#N/A</v>
      </c>
      <c r="P75" s="508" t="e">
        <f ca="1">IF(O75&lt;&gt;O74,"WP",P74)</f>
        <v>#N/A</v>
      </c>
      <c r="Q75" s="508"/>
      <c r="R75" s="20"/>
      <c r="S75" s="20"/>
      <c r="T75" s="20"/>
      <c r="U75" s="20"/>
      <c r="V75" s="20"/>
      <c r="W75" s="1046"/>
      <c r="X75" s="842"/>
      <c r="Y75" s="1052" t="e">
        <f ca="1">IF(NOT(ISERROR(FIND(Y74,INDEX(RaceListTable,MATCH(Race,RaceList,0),46),1))),INDEX(RaceListTable,MATCH(Race,RaceList,0),45),IF(NOT(ISERROR(FIND(Y74,INDEX(RaceListTable,MATCH(Race,RaceList,0),48),1))),INDEX(RaceListTable,MATCH(Race,RaceList,0),47),Y74))</f>
        <v>#N/A</v>
      </c>
      <c r="Z75" s="508" t="e">
        <f ca="1">IF(Y75&lt;&gt;Y74,"WP",Z74)</f>
        <v>#N/A</v>
      </c>
      <c r="AA75" s="508"/>
      <c r="AB75" s="20"/>
      <c r="AC75" s="20"/>
      <c r="AD75" s="20"/>
      <c r="AE75" s="20"/>
      <c r="AF75" s="20"/>
      <c r="AG75" s="1046"/>
      <c r="AH75" s="842"/>
      <c r="AI75" s="1052" t="e">
        <f ca="1">IF(NOT(ISERROR(FIND(AI74,INDEX(RaceListTable,MATCH(Race,RaceList,0),46),1))),INDEX(RaceListTable,MATCH(Race,RaceList,0),45),IF(NOT(ISERROR(FIND(AI74,INDEX(RaceListTable,MATCH(Race,RaceList,0),48),1))),INDEX(RaceListTable,MATCH(Race,RaceList,0),47),AI74))</f>
        <v>#N/A</v>
      </c>
      <c r="AJ75" s="508" t="e">
        <f ca="1">IF(AI75&lt;&gt;AI74,"WP",AJ74)</f>
        <v>#N/A</v>
      </c>
      <c r="AK75" s="508"/>
      <c r="AL75" s="20"/>
      <c r="AM75" s="20"/>
      <c r="AN75" s="20"/>
      <c r="AO75" s="20"/>
      <c r="AP75" s="20"/>
      <c r="AQ75" s="1046"/>
      <c r="AR75" s="842"/>
      <c r="AS75" s="1052" t="e">
        <f ca="1">IF(NOT(ISERROR(FIND(AS74,INDEX(RaceListTable,MATCH(Race,RaceList,0),46),1))),INDEX(RaceListTable,MATCH(Race,RaceList,0),45),IF(NOT(ISERROR(FIND(AS74,INDEX(RaceListTable,MATCH(Race,RaceList,0),48),1))),INDEX(RaceListTable,MATCH(Race,RaceList,0),47),AS74))</f>
        <v>#N/A</v>
      </c>
      <c r="AT75" s="508" t="e">
        <f ca="1">IF(AS75&lt;&gt;AS74,"WP",AT74)</f>
        <v>#N/A</v>
      </c>
      <c r="AU75" s="508"/>
      <c r="AV75" s="20"/>
      <c r="AW75" s="20"/>
      <c r="AX75" s="20"/>
      <c r="AY75" s="20"/>
      <c r="AZ75" s="20"/>
      <c r="BA75" s="1046"/>
      <c r="BB75" s="78"/>
      <c r="BC75" s="1052" t="e">
        <f ca="1">IF(NOT(ISERROR(FIND(BC74,INDEX(RaceListTable,MATCH(Race,RaceList,0),46),1))),INDEX(RaceListTable,MATCH(Race,RaceList,0),45),IF(NOT(ISERROR(FIND(BC74,INDEX(RaceListTable,MATCH(Race,RaceList,0),48),1))),INDEX(RaceListTable,MATCH(Race,RaceList,0),47),BC74))</f>
        <v>#N/A</v>
      </c>
      <c r="BD75" s="508" t="e">
        <f ca="1">IF(BC75&lt;&gt;BC74,"WP",BD74)</f>
        <v>#N/A</v>
      </c>
      <c r="BE75" s="508"/>
      <c r="BF75" s="20"/>
      <c r="BG75" s="16"/>
      <c r="BH75" s="16"/>
      <c r="BI75" s="16"/>
      <c r="BJ75" s="16"/>
    </row>
    <row r="76" spans="3:63" s="1125" customFormat="1" hidden="1">
      <c r="C76" s="78" t="s">
        <v>6146</v>
      </c>
      <c r="D76" s="842"/>
      <c r="E76" s="1052" t="e">
        <f ca="1">IF(AND(E63="Stock Retracted",E121="Retractable Stock",E75="rifles"),"pistols",E75)</f>
        <v>#N/A</v>
      </c>
      <c r="F76" s="508" t="e">
        <f ca="1">F75</f>
        <v>#N/A</v>
      </c>
      <c r="G76" s="508" t="e">
        <f ca="1">IF(F76="EWP","Exotic Weapon Proficiency (","Weapon Proficiency (")&amp;E76&amp;")"</f>
        <v>#N/A</v>
      </c>
      <c r="H76" s="20"/>
      <c r="I76" s="20"/>
      <c r="J76" s="20"/>
      <c r="K76" s="20"/>
      <c r="L76" s="20"/>
      <c r="M76" s="1046"/>
      <c r="N76" s="842"/>
      <c r="O76" s="1052" t="e">
        <f ca="1">IF(AND(O63="Stock Retracted",O121="Retractable Stock",O75="rifles"),"pistols",O75)</f>
        <v>#N/A</v>
      </c>
      <c r="P76" s="508" t="e">
        <f ca="1">P75</f>
        <v>#N/A</v>
      </c>
      <c r="Q76" s="508" t="e">
        <f ca="1">IF(P76="EWP","Exotic Weapon Proficiency (","Weapon Proficiency (")&amp;O76&amp;")"</f>
        <v>#N/A</v>
      </c>
      <c r="R76" s="20"/>
      <c r="S76" s="20"/>
      <c r="T76" s="20"/>
      <c r="U76" s="20"/>
      <c r="V76" s="20"/>
      <c r="W76" s="1046"/>
      <c r="X76" s="842"/>
      <c r="Y76" s="1052" t="e">
        <f ca="1">IF(AND(Y63="Stock Retracted",Y121="Retractable Stock",Y75="rifles"),"pistols",Y75)</f>
        <v>#N/A</v>
      </c>
      <c r="Z76" s="508" t="e">
        <f ca="1">Z75</f>
        <v>#N/A</v>
      </c>
      <c r="AA76" s="508" t="e">
        <f ca="1">IF(Z76="EWP","Exotic Weapon Proficiency (","Weapon Proficiency (")&amp;Y76&amp;")"</f>
        <v>#N/A</v>
      </c>
      <c r="AB76" s="20"/>
      <c r="AC76" s="20"/>
      <c r="AD76" s="20"/>
      <c r="AE76" s="20"/>
      <c r="AF76" s="20"/>
      <c r="AG76" s="1046"/>
      <c r="AH76" s="842"/>
      <c r="AI76" s="1052" t="e">
        <f ca="1">IF(AND(AI63="Stock Retracted",AI121="Retractable Stock",AI75="rifles"),"pistols",AI75)</f>
        <v>#N/A</v>
      </c>
      <c r="AJ76" s="508" t="e">
        <f ca="1">AJ75</f>
        <v>#N/A</v>
      </c>
      <c r="AK76" s="508" t="e">
        <f ca="1">IF(AJ76="EWP","Exotic Weapon Proficiency (","Weapon Proficiency (")&amp;AI76&amp;")"</f>
        <v>#N/A</v>
      </c>
      <c r="AL76" s="20"/>
      <c r="AM76" s="20"/>
      <c r="AN76" s="20"/>
      <c r="AO76" s="20"/>
      <c r="AP76" s="20"/>
      <c r="AQ76" s="1046"/>
      <c r="AR76" s="842"/>
      <c r="AS76" s="1052" t="e">
        <f ca="1">IF(AND(AS63="Stock Retracted",AS121="Retractable Stock",AS75="rifles"),"pistols",AS75)</f>
        <v>#N/A</v>
      </c>
      <c r="AT76" s="508" t="e">
        <f ca="1">AT75</f>
        <v>#N/A</v>
      </c>
      <c r="AU76" s="508" t="e">
        <f ca="1">IF(AT76="EWP","Exotic Weapon Proficiency (","Weapon Proficiency (")&amp;AS76&amp;")"</f>
        <v>#N/A</v>
      </c>
      <c r="AV76" s="20"/>
      <c r="AW76" s="20"/>
      <c r="AX76" s="20"/>
      <c r="AY76" s="20"/>
      <c r="AZ76" s="20"/>
      <c r="BA76" s="1046"/>
      <c r="BB76" s="78"/>
      <c r="BC76" s="1052" t="e">
        <f ca="1">IF(AND(BC63="Stock Retracted",BC121="Retractable Stock",BC75="rifles"),"pistols",BC75)</f>
        <v>#N/A</v>
      </c>
      <c r="BD76" s="508" t="e">
        <f ca="1">BD75</f>
        <v>#N/A</v>
      </c>
      <c r="BE76" s="508" t="e">
        <f ca="1">IF(BD76="EWP","Exotic Weapon Proficiency (","Weapon Proficiency (")&amp;BC76&amp;")"</f>
        <v>#N/A</v>
      </c>
      <c r="BF76" s="20"/>
      <c r="BG76" s="16"/>
      <c r="BH76" s="16"/>
      <c r="BI76" s="16"/>
      <c r="BJ76" s="16"/>
    </row>
    <row r="77" spans="3:63" s="1125" customFormat="1" hidden="1">
      <c r="C77" s="78"/>
      <c r="D77" s="842"/>
      <c r="E77" s="1052"/>
      <c r="F77" s="508"/>
      <c r="G77" s="508"/>
      <c r="H77" s="20"/>
      <c r="I77" s="20"/>
      <c r="J77" s="20"/>
      <c r="K77" s="20"/>
      <c r="L77" s="20"/>
      <c r="M77" s="1046"/>
      <c r="N77" s="842"/>
      <c r="O77" s="1052"/>
      <c r="P77" s="508"/>
      <c r="Q77" s="508"/>
      <c r="R77" s="20"/>
      <c r="S77" s="20"/>
      <c r="T77" s="20"/>
      <c r="U77" s="20"/>
      <c r="V77" s="20"/>
      <c r="W77" s="1046"/>
      <c r="X77" s="842"/>
      <c r="Y77" s="1052"/>
      <c r="Z77" s="508"/>
      <c r="AA77" s="508"/>
      <c r="AB77" s="20"/>
      <c r="AC77" s="20"/>
      <c r="AD77" s="20"/>
      <c r="AE77" s="20"/>
      <c r="AF77" s="20"/>
      <c r="AG77" s="1046"/>
      <c r="AH77" s="842"/>
      <c r="AI77" s="1052"/>
      <c r="AJ77" s="508"/>
      <c r="AK77" s="508"/>
      <c r="AL77" s="20"/>
      <c r="AM77" s="20"/>
      <c r="AN77" s="20"/>
      <c r="AO77" s="20"/>
      <c r="AP77" s="20"/>
      <c r="AQ77" s="1046"/>
      <c r="AR77" s="842"/>
      <c r="AS77" s="1052"/>
      <c r="AT77" s="508"/>
      <c r="AU77" s="508"/>
      <c r="AV77" s="20"/>
      <c r="AW77" s="20"/>
      <c r="AX77" s="20"/>
      <c r="AY77" s="20"/>
      <c r="AZ77" s="20"/>
      <c r="BA77" s="1046"/>
      <c r="BB77" s="78"/>
      <c r="BC77" s="1052"/>
      <c r="BD77" s="508"/>
      <c r="BE77" s="508"/>
      <c r="BF77" s="20"/>
      <c r="BG77" s="16"/>
      <c r="BH77" s="16"/>
      <c r="BI77" s="16"/>
      <c r="BJ77" s="16"/>
    </row>
    <row r="78" spans="3:63" hidden="1">
      <c r="C78" s="78" t="s">
        <v>4169</v>
      </c>
      <c r="E78" s="508" t="e">
        <f ca="1">INDEX(WeaponTable,MATCH(E$11,WeaponList,0),17)+IF(AND(E12="Melee",COUNTIF(E50:E51,"Empower Weapon")),1,0)+IF(AND(OR(E48="Bothan",E49="Bothan"),E34="Energy (ion)"),1,0)+IF(AND(Race="Gamorrean",Feats!$M$397&gt;0,E76="simple"),1,0)+IF(AND(OR(E48="Bothan",E49="Bothan"),INDEX(WeaponTable,MATCH(E$11,WeaponList,0),9)&lt;&gt;""),-1,0)</f>
        <v>#N/A</v>
      </c>
      <c r="O78" s="508" t="e">
        <f ca="1">INDEX(WeaponTable,MATCH(O$11,WeaponList,0),17)+IF(AND(O12="Melee",COUNTIF(O50:O51,"Empower Weapon")),1,0)+IF(AND(OR(O48="Bothan",O49="Bothan"),O34="Energy (ion)"),1,0)+IF(AND(Race="Gamorrean",Feats!$M$397&gt;0,O76="simple"),1,0)+IF(AND(OR(O48="Bothan",O49="Bothan"),INDEX(WeaponTable,MATCH(O$11,WeaponList,0),9)&lt;&gt;""),-1,0)</f>
        <v>#N/A</v>
      </c>
      <c r="Y78" s="508" t="e">
        <f ca="1">INDEX(WeaponTable,MATCH(Y$11,WeaponList,0),17)+IF(AND(Y12="Melee",COUNTIF(Y50:Y51,"Empower Weapon")),1,0)+IF(AND(OR(Y48="Bothan",Y49="Bothan"),Y34="Energy (ion)"),1,0)+IF(AND(Race="Gamorrean",Feats!$M$397&gt;0,Y76="simple"),1,0)+IF(AND(OR(Y48="Bothan",Y49="Bothan"),INDEX(WeaponTable,MATCH(Y$11,WeaponList,0),9)&lt;&gt;""),-1,0)</f>
        <v>#N/A</v>
      </c>
      <c r="AI78" s="508" t="e">
        <f ca="1">INDEX(WeaponTable,MATCH(AI$11,WeaponList,0),17)+IF(AND(AI12="Melee",COUNTIF(AI50:AI51,"Empower Weapon")),1,0)+IF(AND(OR(AI48="Bothan",AI49="Bothan"),AI34="Energy (ion)"),1,0)+IF(AND(Race="Gamorrean",Feats!$M$397&gt;0,AI76="simple"),1,0)+IF(AND(OR(AI48="Bothan",AI49="Bothan"),INDEX(WeaponTable,MATCH(AI$11,WeaponList,0),9)&lt;&gt;""),-1,0)</f>
        <v>#N/A</v>
      </c>
      <c r="AS78" s="508" t="e">
        <f ca="1">INDEX(WeaponTable,MATCH(AS$11,WeaponList,0),17)+IF(AND(AS12="Melee",COUNTIF(AS50:AS51,"Empower Weapon")),1,0)+IF(AND(OR(AS48="Bothan",AS49="Bothan"),AS34="Energy (ion)"),1,0)+IF(AND(Race="Gamorrean",Feats!$M$397&gt;0,AS76="simple"),1,0)+IF(AND(OR(AS48="Bothan",AS49="Bothan"),INDEX(WeaponTable,MATCH(AS$11,WeaponList,0),9)&lt;&gt;""),-1,0)</f>
        <v>#N/A</v>
      </c>
      <c r="BB78" s="78"/>
      <c r="BC78" s="508" t="e">
        <f ca="1">INDEX(WeaponTable,MATCH(BC$11,WeaponList,0),17)+IF(AND(BC12="Melee",COUNTIF(BC50:BC51,"Empower Weapon")),1,0)+IF(AND(OR(BC48="Bothan",BC49="Bothan"),BC34="Energy (ion)"),1,0)+IF(AND(Race="Gamorrean",Feats!$M$397&gt;0,BC76="simple"),1,0)+IF(AND(OR(BC48="Bothan",BC49="Bothan"),INDEX(WeaponTable,MATCH(BC$11,WeaponList,0),9)&lt;&gt;""),-1,0)</f>
        <v>#N/A</v>
      </c>
      <c r="BD78" s="508"/>
      <c r="BE78" s="508"/>
      <c r="BF78" s="20"/>
      <c r="BK78" s="1100"/>
    </row>
    <row r="79" spans="3:63" hidden="1">
      <c r="C79" s="78" t="s">
        <v>4170</v>
      </c>
      <c r="E79" s="1052" t="e">
        <f ca="1">IF(INDEX(WeaponTable,MATCH(E$11,WeaponList,0),18)=0,"special",IF(INDEX(WeaponTable,MATCH(E$11,WeaponList,0),6)&lt;&gt;"u",INDEX(DieSizeTable,MATCH(INDEX(DieSizeTable,MATCH(INDEX(WeaponTable,MATCH(E$11,WeaponList,0),18),DieSizeList,0),1)+E80,DieSizeNumberList,0),2),INDEX(WeaponTable,MATCH(E$11,WeaponList,0),18)))</f>
        <v>#N/A</v>
      </c>
      <c r="O79" s="1052" t="e">
        <f ca="1">IF(INDEX(WeaponTable,MATCH(O$11,WeaponList,0),18)=0,"special",IF(INDEX(WeaponTable,MATCH(O$11,WeaponList,0),6)&lt;&gt;"u",INDEX(DieSizeTable,MATCH(INDEX(DieSizeTable,MATCH(INDEX(WeaponTable,MATCH(O$11,WeaponList,0),18),DieSizeList,0),1)+O80,DieSizeNumberList,0),2),INDEX(WeaponTable,MATCH(O$11,WeaponList,0),18)))</f>
        <v>#N/A</v>
      </c>
      <c r="Y79" s="1052" t="e">
        <f ca="1">IF(INDEX(WeaponTable,MATCH(Y$11,WeaponList,0),18)=0,"special",IF(INDEX(WeaponTable,MATCH(Y$11,WeaponList,0),6)&lt;&gt;"u",INDEX(DieSizeTable,MATCH(INDEX(DieSizeTable,MATCH(INDEX(WeaponTable,MATCH(Y$11,WeaponList,0),18),DieSizeList,0),1)+Y80,DieSizeNumberList,0),2),INDEX(WeaponTable,MATCH(Y$11,WeaponList,0),18)))</f>
        <v>#N/A</v>
      </c>
      <c r="AI79" s="1052" t="e">
        <f ca="1">IF(INDEX(WeaponTable,MATCH(AI$11,WeaponList,0),18)=0,"special",IF(INDEX(WeaponTable,MATCH(AI$11,WeaponList,0),6)&lt;&gt;"u",INDEX(DieSizeTable,MATCH(INDEX(DieSizeTable,MATCH(INDEX(WeaponTable,MATCH(AI$11,WeaponList,0),18),DieSizeList,0),1)+AI80,DieSizeNumberList,0),2),INDEX(WeaponTable,MATCH(AI$11,WeaponList,0),18)))</f>
        <v>#N/A</v>
      </c>
      <c r="AS79" s="1052" t="e">
        <f ca="1">IF(INDEX(WeaponTable,MATCH(AS$11,WeaponList,0),18)=0,"special",IF(INDEX(WeaponTable,MATCH(AS$11,WeaponList,0),6)&lt;&gt;"u",INDEX(DieSizeTable,MATCH(INDEX(DieSizeTable,MATCH(INDEX(WeaponTable,MATCH(AS$11,WeaponList,0),18),DieSizeList,0),1)+AS80,DieSizeNumberList,0),2),INDEX(WeaponTable,MATCH(AS$11,WeaponList,0),18)))</f>
        <v>#N/A</v>
      </c>
      <c r="BB79" s="78"/>
      <c r="BC79" s="1052" t="e">
        <f ca="1">IF(INDEX(WeaponTable,MATCH(BC$11,WeaponList,0),18)=0,"special",IF(INDEX(WeaponTable,MATCH(BC$11,WeaponList,0),6)&lt;&gt;"u",INDEX(DieSizeTable,MATCH(INDEX(DieSizeTable,MATCH(INDEX(WeaponTable,MATCH(BC$11,WeaponList,0),18),DieSizeList,0),1)+BC80,DieSizeNumberList,0),2),INDEX(WeaponTable,MATCH(BC$11,WeaponList,0),18)))</f>
        <v>#N/A</v>
      </c>
      <c r="BD79" s="508"/>
      <c r="BE79" s="508"/>
      <c r="BF79" s="20"/>
      <c r="BK79" s="1100"/>
    </row>
    <row r="80" spans="3:63" hidden="1">
      <c r="C80" s="78" t="s">
        <v>6139</v>
      </c>
      <c r="E80" s="508">
        <f>IF(COUNTIF(E48:E49,"Rakatan")&gt;0,1,0)-IF(E53="Damage",1,0)-IF(AND(E12="Melee",COUNTIF(E56:E59,"Miniaturized")&gt;0),1,0)-IF(AND(E12="Melee",COUNTIF(E56:E59,"Adegan Kathracite Crystal")&gt;0),1,0)+IF(AND(OR(E11="Atlatl",E11="Cesta"),Race="Gungan",Feats!$M$380&gt;0),1,0)+IF(AND(COUNTIF(E56:E59,"Bayonet Ring")&gt;0,E67&lt;=4,E12="Melee"),1,0)</f>
        <v>0</v>
      </c>
      <c r="O80" s="508">
        <f>IF(COUNTIF(O48:O49,"Rakatan")&gt;0,1,0)-IF(O53="Damage",1,0)-IF(AND(O12="Melee",COUNTIF(O56:O59,"Miniaturized")&gt;0),1,0)-IF(AND(O12="Melee",COUNTIF(O56:O59,"Adegan Kathracite Crystal")&gt;0),1,0)+IF(AND(OR(O11="Atlatl",O11="Cesta"),Race="Gungan",Feats!$M$380&gt;0),1,0)+IF(AND(COUNTIF(O56:O59,"Bayonet Ring")&gt;0,O67&lt;=4,O12="Melee"),1,0)</f>
        <v>0</v>
      </c>
      <c r="Y80" s="508">
        <f>IF(COUNTIF(Y48:Y49,"Rakatan")&gt;0,1,0)-IF(Y53="Damage",1,0)-IF(AND(Y12="Melee",COUNTIF(Y56:Y59,"Miniaturized")&gt;0),1,0)-IF(AND(Y12="Melee",COUNTIF(Y56:Y59,"Adegan Kathracite Crystal")&gt;0),1,0)+IF(AND(OR(Y11="Atlatl",Y11="Cesta"),Race="Gungan",Feats!$M$380&gt;0),1,0)+IF(AND(COUNTIF(Y56:Y59,"Bayonet Ring")&gt;0,Y67&lt;=4,Y12="Melee"),1,0)</f>
        <v>0</v>
      </c>
      <c r="AI80" s="508">
        <f>IF(COUNTIF(AI48:AI49,"Rakatan")&gt;0,1,0)-IF(AI53="Damage",1,0)-IF(AND(AI12="Melee",COUNTIF(AI56:AI59,"Miniaturized")&gt;0),1,0)-IF(AND(AI12="Melee",COUNTIF(AI56:AI59,"Adegan Kathracite Crystal")&gt;0),1,0)+IF(AND(OR(AI11="Atlatl",AI11="Cesta"),Race="Gungan",Feats!$M$380&gt;0),1,0)+IF(AND(COUNTIF(AI56:AI59,"Bayonet Ring")&gt;0,AI67&lt;=4,AI12="Melee"),1,0)</f>
        <v>0</v>
      </c>
      <c r="AS80" s="508">
        <f>IF(COUNTIF(AS48:AS49,"Rakatan")&gt;0,1,0)-IF(AS53="Damage",1,0)-IF(AND(AS12="Melee",COUNTIF(AS56:AS59,"Miniaturized")&gt;0),1,0)-IF(AND(AS12="Melee",COUNTIF(AS56:AS59,"Adegan Kathracite Crystal")&gt;0),1,0)+IF(AND(OR(AS11="Atlatl",AS11="Cesta"),Race="Gungan",Feats!$M$380&gt;0),1,0)+IF(AND(COUNTIF(AS56:AS59,"Bayonet Ring")&gt;0,AS67&lt;=4,AS12="Melee"),1,0)</f>
        <v>0</v>
      </c>
      <c r="BB80" s="78"/>
      <c r="BC80" s="508">
        <f>IF(COUNTIF(BC48:BC49,"Rakatan")&gt;0,1,0)-IF(BC53="Damage",1,0)-IF(AND(BC12="Melee",COUNTIF(BC56:BC59,"Miniaturized")&gt;0),1,0)-IF(AND(BC12="Melee",COUNTIF(BC56:BC59,"Adegan Kathracite Crystal")&gt;0),1,0)+IF(AND(OR(BC11="Atlatl",BC11="Cesta"),Race="Gungan",Feats!$M$380&gt;0),1,0)+IF(AND(COUNTIF(BC56:BC59,"Bayonet Ring")&gt;0,BC67&lt;=4,BC12="Melee"),1,0)</f>
        <v>0</v>
      </c>
      <c r="BD80" s="508"/>
      <c r="BE80" s="508"/>
      <c r="BF80" s="20"/>
      <c r="BK80" s="1100"/>
    </row>
    <row r="81" spans="3:63" s="1125" customFormat="1" hidden="1">
      <c r="C81" s="78"/>
      <c r="D81" s="842"/>
      <c r="E81" s="508"/>
      <c r="F81" s="508"/>
      <c r="G81" s="508"/>
      <c r="H81" s="20"/>
      <c r="I81" s="20"/>
      <c r="J81" s="20"/>
      <c r="K81" s="20"/>
      <c r="L81" s="20"/>
      <c r="M81" s="1046"/>
      <c r="N81" s="842"/>
      <c r="O81" s="508"/>
      <c r="P81" s="508"/>
      <c r="Q81" s="508"/>
      <c r="R81" s="20"/>
      <c r="S81" s="20"/>
      <c r="T81" s="20"/>
      <c r="U81" s="20"/>
      <c r="V81" s="20"/>
      <c r="W81" s="1046"/>
      <c r="X81" s="842"/>
      <c r="Y81" s="508"/>
      <c r="Z81" s="508"/>
      <c r="AA81" s="508"/>
      <c r="AB81" s="20"/>
      <c r="AC81" s="20"/>
      <c r="AD81" s="20"/>
      <c r="AE81" s="20"/>
      <c r="AF81" s="20"/>
      <c r="AG81" s="1046"/>
      <c r="AH81" s="842"/>
      <c r="AI81" s="508"/>
      <c r="AJ81" s="508"/>
      <c r="AK81" s="508"/>
      <c r="AL81" s="20"/>
      <c r="AM81" s="20"/>
      <c r="AN81" s="20"/>
      <c r="AO81" s="20"/>
      <c r="AP81" s="20"/>
      <c r="AQ81" s="1046"/>
      <c r="AR81" s="842"/>
      <c r="AS81" s="508"/>
      <c r="AT81" s="508"/>
      <c r="AU81" s="508"/>
      <c r="AV81" s="20"/>
      <c r="AW81" s="20"/>
      <c r="AX81" s="20"/>
      <c r="AY81" s="20"/>
      <c r="AZ81" s="20"/>
      <c r="BA81" s="1046"/>
      <c r="BB81" s="78"/>
      <c r="BC81" s="508"/>
      <c r="BD81" s="508"/>
      <c r="BE81" s="508"/>
      <c r="BF81" s="20"/>
      <c r="BG81" s="16"/>
      <c r="BH81" s="16"/>
      <c r="BI81" s="16"/>
      <c r="BJ81" s="16"/>
    </row>
    <row r="82" spans="3:63" hidden="1">
      <c r="C82" s="78" t="s">
        <v>4173</v>
      </c>
      <c r="E82" s="1052" t="e">
        <f ca="1">IF(OR(AND(OR(Talents!$M$1156&gt;0,'Talents 2'!$E$67="Yes"),Weapons!E74="lightsabers"),AND(Talents!M903&gt;0,Weapons!E74="heavy"),AND(Talents!$M$904&gt;0,Weapons!E74="rifles"),AND(E12="Melee",E13&lt;&gt;"Weapon Proficiency (lightsabers)",COUNTIF(E56:E59,"Neutronium Reinforcement")&gt;0)),"19-20","20")</f>
        <v>#N/A</v>
      </c>
      <c r="O82" s="1052" t="e">
        <f ca="1">IF(OR(AND(OR(Talents!$M$1156&gt;0,'Talents 2'!$E$67="Yes"),Weapons!O74="lightsabers"),AND(Talents!W903&gt;0,Weapons!O74="heavy"),AND(Talents!$M$904&gt;0,Weapons!O74="rifles"),AND(O12="Melee",O13&lt;&gt;"Weapon Proficiency (lightsabers)",COUNTIF(O56:O59,"Neutronium Reinforcement")&gt;0)),"19-20","20")</f>
        <v>#N/A</v>
      </c>
      <c r="Y82" s="1052" t="e">
        <f ca="1">IF(OR(AND(OR(Talents!$M$1156&gt;0,'Talents 2'!$E$67="Yes"),Weapons!Y74="lightsabers"),AND(Talents!AG903&gt;0,Weapons!Y74="heavy"),AND(Talents!$M$904&gt;0,Weapons!Y74="rifles"),AND(Y12="Melee",Y13&lt;&gt;"Weapon Proficiency (lightsabers)",COUNTIF(Y56:Y59,"Neutronium Reinforcement")&gt;0)),"19-20","20")</f>
        <v>#N/A</v>
      </c>
      <c r="AI82" s="1052" t="e">
        <f ca="1">IF(OR(AND(OR(Talents!$M$1156&gt;0,'Talents 2'!$E$67="Yes"),Weapons!AI74="lightsabers"),AND(Talents!AQ903&gt;0,Weapons!AI74="heavy"),AND(Talents!$M$904&gt;0,Weapons!AI74="rifles"),AND(AI12="Melee",AI13&lt;&gt;"Weapon Proficiency (lightsabers)",COUNTIF(AI56:AI59,"Neutronium Reinforcement")&gt;0)),"19-20","20")</f>
        <v>#N/A</v>
      </c>
      <c r="AS82" s="1052" t="e">
        <f ca="1">IF(OR(AND(OR(Talents!$M$1156&gt;0,'Talents 2'!$E$67="Yes"),Weapons!AS74="lightsabers"),AND(Talents!BA903&gt;0,Weapons!AS74="heavy"),AND(Talents!$M$904&gt;0,Weapons!AS74="rifles"),AND(AS12="Melee",AS13&lt;&gt;"Weapon Proficiency (lightsabers)",COUNTIF(AS56:AS59,"Neutronium Reinforcement")&gt;0)),"19-20","20")</f>
        <v>#N/A</v>
      </c>
      <c r="BB82" s="78"/>
      <c r="BC82" s="1052" t="e">
        <f ca="1">IF(OR(AND(OR(Talents!$M$1156&gt;0,'Talents 2'!$E$67="Yes"),Weapons!BC74="lightsabers"),AND(Talents!BK903&gt;0,Weapons!BC74="heavy"),AND(Talents!$M$904&gt;0,Weapons!BC74="rifles"),AND(BC12="Melee",BC13&lt;&gt;"Weapon Proficiency (lightsabers)",COUNTIF(BC56:BC59,"Neutronium Reinforcement")&gt;0)),"19-20","20")</f>
        <v>#N/A</v>
      </c>
      <c r="BD82" s="508"/>
      <c r="BE82" s="508"/>
      <c r="BF82" s="20"/>
      <c r="BK82" s="1100"/>
    </row>
    <row r="83" spans="3:63" hidden="1">
      <c r="C83" s="78" t="s">
        <v>4174</v>
      </c>
      <c r="E83" s="508">
        <f ca="1">IF(ISERROR(FIND("Triple Critical ("&amp;INDEX(WeaponTable,MATCH(E$11,WeaponList,0),5)&amp;")",FeatsTakenList&amp;TalentsTakenBlankList,1)),2,3)</f>
        <v>2</v>
      </c>
      <c r="O83" s="508">
        <f ca="1">IF(ISERROR(FIND("Triple Critical ("&amp;INDEX(WeaponTable,MATCH(O$11,WeaponList,0),5)&amp;")",FeatsTakenList&amp;TalentsTakenBlankList,1)),2,3)</f>
        <v>2</v>
      </c>
      <c r="Y83" s="508">
        <f ca="1">IF(ISERROR(FIND("Triple Critical ("&amp;INDEX(WeaponTable,MATCH(Y$11,WeaponList,0),5)&amp;")",FeatsTakenList&amp;TalentsTakenBlankList,1)),2,3)</f>
        <v>2</v>
      </c>
      <c r="AI83" s="508">
        <f ca="1">IF(ISERROR(FIND("Triple Critical ("&amp;INDEX(WeaponTable,MATCH(AI$11,WeaponList,0),5)&amp;")",FeatsTakenList&amp;TalentsTakenBlankList,1)),2,3)</f>
        <v>2</v>
      </c>
      <c r="AS83" s="508">
        <f ca="1">IF(ISERROR(FIND("Triple Critical ("&amp;INDEX(WeaponTable,MATCH(AS$11,WeaponList,0),5)&amp;")",FeatsTakenList&amp;TalentsTakenBlankList,1)),2,3)</f>
        <v>2</v>
      </c>
      <c r="BB83" s="78"/>
      <c r="BC83" s="508">
        <f ca="1">IF(ISERROR(FIND("Triple Critical ("&amp;INDEX(WeaponTable,MATCH(BC$11,WeaponList,0),5)&amp;")",FeatsTakenList&amp;TalentsTakenBlankList,1)),2,3)</f>
        <v>2</v>
      </c>
      <c r="BD83" s="508"/>
      <c r="BE83" s="508"/>
      <c r="BF83" s="20"/>
      <c r="BK83" s="1100"/>
    </row>
    <row r="84" spans="3:63" hidden="1">
      <c r="BB84" s="78"/>
      <c r="BC84" s="508"/>
      <c r="BD84" s="508"/>
      <c r="BE84" s="508"/>
      <c r="BF84" s="20"/>
      <c r="BK84" s="1100"/>
    </row>
    <row r="85" spans="3:63" hidden="1">
      <c r="C85" s="78" t="s">
        <v>115</v>
      </c>
      <c r="E85" s="1052" t="str">
        <f>IF(E$11&lt;&gt;"",IF(E$53&lt;&gt;"Stun Setting",IF(INDEX(WeaponTable,MATCH(E$11,WeaponList,0),9)&lt;&gt;"",INDEX(WeaponTable,MATCH(E$11,WeaponList,0),9),"")&amp;IF(AND(OR(E$48="Bothan",E$49="Bothan"),INDEX(WeaponTable,MATCH(E$11,WeaponList,0),9)&lt;&gt;"")," ("&amp;E$78+2&amp;"d"&amp;E$79&amp;")",IF(AND(E$12="Melee",OR(COUNTIF(E$56:E$59,"Tremor Cell")&gt;0,COUNTIF(E$56:E$59,"Bondar Crystal")&gt;0)),"Yes","")),""),"")</f>
        <v/>
      </c>
      <c r="O85" s="1052" t="str">
        <f>IF(O$11&lt;&gt;"",IF(O$53&lt;&gt;"Stun Setting",IF(INDEX(WeaponTable,MATCH(O$11,WeaponList,0),9)&lt;&gt;"",INDEX(WeaponTable,MATCH(O$11,WeaponList,0),9),"")&amp;IF(AND(OR(O$48="Bothan",O$49="Bothan"),INDEX(WeaponTable,MATCH(O$11,WeaponList,0),9)&lt;&gt;"")," ("&amp;O$78+2&amp;"d"&amp;O$79&amp;")",IF(AND(O$12="Melee",OR(COUNTIF(O$56:O$59,"Tremor Cell")&gt;0,COUNTIF(O$56:O$59,"Bondar Crystal")&gt;0)),"Yes","")),""),"")</f>
        <v/>
      </c>
      <c r="Y85" s="1052" t="str">
        <f>IF(Y$11&lt;&gt;"",IF(Y$53&lt;&gt;"Stun Setting",IF(INDEX(WeaponTable,MATCH(Y$11,WeaponList,0),9)&lt;&gt;"",INDEX(WeaponTable,MATCH(Y$11,WeaponList,0),9),"")&amp;IF(AND(OR(Y$48="Bothan",Y$49="Bothan"),INDEX(WeaponTable,MATCH(Y$11,WeaponList,0),9)&lt;&gt;"")," ("&amp;Y$78+2&amp;"d"&amp;Y$79&amp;")",IF(AND(Y$12="Melee",OR(COUNTIF(Y$56:Y$59,"Tremor Cell")&gt;0,COUNTIF(Y$56:Y$59,"Bondar Crystal")&gt;0)),"Yes","")),""),"")</f>
        <v/>
      </c>
      <c r="AI85" s="1052" t="str">
        <f>IF(AI$11&lt;&gt;"",IF(AI$53&lt;&gt;"Stun Setting",IF(INDEX(WeaponTable,MATCH(AI$11,WeaponList,0),9)&lt;&gt;"",INDEX(WeaponTable,MATCH(AI$11,WeaponList,0),9),"")&amp;IF(AND(OR(AI$48="Bothan",AI$49="Bothan"),INDEX(WeaponTable,MATCH(AI$11,WeaponList,0),9)&lt;&gt;"")," ("&amp;AI$78+2&amp;"d"&amp;AI$79&amp;")",IF(AND(AI$12="Melee",OR(COUNTIF(AI$56:AI$59,"Tremor Cell")&gt;0,COUNTIF(AI$56:AI$59,"Bondar Crystal")&gt;0)),"Yes","")),""),"")</f>
        <v/>
      </c>
      <c r="AS85" s="1052" t="str">
        <f>IF(AS$11&lt;&gt;"",IF(AS$53&lt;&gt;"Stun Setting",IF(INDEX(WeaponTable,MATCH(AS$11,WeaponList,0),9)&lt;&gt;"",INDEX(WeaponTable,MATCH(AS$11,WeaponList,0),9),"")&amp;IF(AND(OR(AS$48="Bothan",AS$49="Bothan"),INDEX(WeaponTable,MATCH(AS$11,WeaponList,0),9)&lt;&gt;"")," ("&amp;AS$78+2&amp;"d"&amp;AS$79&amp;")",IF(AND(AS$12="Melee",OR(COUNTIF(AS$56:AS$59,"Tremor Cell")&gt;0,COUNTIF(AS$56:AS$59,"Bondar Crystal")&gt;0)),"Yes","")),""),"")</f>
        <v/>
      </c>
      <c r="BB85" s="78"/>
      <c r="BC85" s="1052" t="str">
        <f>IF(BC$11&lt;&gt;"",IF(BC$53&lt;&gt;"Stun Setting",IF(INDEX(WeaponTable,MATCH(BC$11,WeaponList,0),9)&lt;&gt;"",INDEX(WeaponTable,MATCH(BC$11,WeaponList,0),9),"")&amp;IF(AND(OR(BC$48="Bothan",BC$49="Bothan"),INDEX(WeaponTable,MATCH(BC$11,WeaponList,0),9)&lt;&gt;"")," ("&amp;BC$78+2&amp;"d"&amp;BC$79&amp;")",IF(AND(BC$12="Melee",OR(COUNTIF(BC$56:BC$59,"Tremor Cell")&gt;0,COUNTIF(BC$56:BC$59,"Bondar Crystal")&gt;0)),"Yes","")),""),"")</f>
        <v/>
      </c>
      <c r="BD85" s="508"/>
      <c r="BE85" s="508"/>
      <c r="BF85" s="20"/>
      <c r="BK85" s="1100"/>
    </row>
    <row r="86" spans="3:63" hidden="1">
      <c r="BB86" s="78"/>
      <c r="BC86" s="508"/>
      <c r="BD86" s="508"/>
      <c r="BE86" s="508"/>
      <c r="BF86" s="20"/>
      <c r="BK86" s="1100"/>
    </row>
    <row r="87" spans="3:63" hidden="1">
      <c r="C87" s="78" t="s">
        <v>4175</v>
      </c>
      <c r="E87" s="1052" t="e">
        <f ca="1">IF(INDEX(WeaponTable,MATCH(E$11,WeaponList,0),11)&lt;&gt;"",INDEX(WeaponTable,MATCH(E$11,WeaponList,0),11),IF(AND(LEFT(E$46,14)="Selective Fire",INDEX(WeaponTable,MATCH(E$11,WeaponList,0),12)&lt;&gt;"",INDEX(WeaponTable,MATCH(E$11,WeaponList,0),11)="",INDEX(WeaponTable,MATCH(E$11,WeaponList,0),12)&lt;&gt;""),"S",IF(AND(COUNTIF(E$56:E$59,"Sniper Switch")&gt;0,E$12="Ranged",INDEX(WeaponTable,MATCH(E$11,WeaponList,0),12)="A"),"S","")))</f>
        <v>#N/A</v>
      </c>
      <c r="O87" s="1052" t="e">
        <f ca="1">IF(INDEX(WeaponTable,MATCH(O$11,WeaponList,0),11)&lt;&gt;"",INDEX(WeaponTable,MATCH(O$11,WeaponList,0),11),IF(AND(LEFT(O$46,14)="Selective Fire",INDEX(WeaponTable,MATCH(O$11,WeaponList,0),12)&lt;&gt;"",INDEX(WeaponTable,MATCH(O$11,WeaponList,0),11)="",INDEX(WeaponTable,MATCH(O$11,WeaponList,0),12)&lt;&gt;""),"S",IF(AND(COUNTIF(O$56:O$59,"Sniper Switch")&gt;0,O$12="Ranged",INDEX(WeaponTable,MATCH(O$11,WeaponList,0),12)="A"),"S","")))</f>
        <v>#N/A</v>
      </c>
      <c r="Y87" s="1052" t="e">
        <f ca="1">IF(INDEX(WeaponTable,MATCH(Y$11,WeaponList,0),11)&lt;&gt;"",INDEX(WeaponTable,MATCH(Y$11,WeaponList,0),11),IF(AND(LEFT(Y$46,14)="Selective Fire",INDEX(WeaponTable,MATCH(Y$11,WeaponList,0),12)&lt;&gt;"",INDEX(WeaponTable,MATCH(Y$11,WeaponList,0),11)="",INDEX(WeaponTable,MATCH(Y$11,WeaponList,0),12)&lt;&gt;""),"S",IF(AND(COUNTIF(Y$56:Y$59,"Sniper Switch")&gt;0,Y$12="Ranged",INDEX(WeaponTable,MATCH(Y$11,WeaponList,0),12)="A"),"S","")))</f>
        <v>#N/A</v>
      </c>
      <c r="AI87" s="1052" t="e">
        <f ca="1">IF(INDEX(WeaponTable,MATCH(AI$11,WeaponList,0),11)&lt;&gt;"",INDEX(WeaponTable,MATCH(AI$11,WeaponList,0),11),IF(AND(LEFT(AI$46,14)="Selective Fire",INDEX(WeaponTable,MATCH(AI$11,WeaponList,0),12)&lt;&gt;"",INDEX(WeaponTable,MATCH(AI$11,WeaponList,0),11)="",INDEX(WeaponTable,MATCH(AI$11,WeaponList,0),12)&lt;&gt;""),"S",IF(AND(COUNTIF(AI$56:AI$59,"Sniper Switch")&gt;0,AI$12="Ranged",INDEX(WeaponTable,MATCH(AI$11,WeaponList,0),12)="A"),"S","")))</f>
        <v>#N/A</v>
      </c>
      <c r="AS87" s="1052" t="e">
        <f ca="1">IF(INDEX(WeaponTable,MATCH(AS$11,WeaponList,0),11)&lt;&gt;"",INDEX(WeaponTable,MATCH(AS$11,WeaponList,0),11),IF(AND(LEFT(AS$46,14)="Selective Fire",INDEX(WeaponTable,MATCH(AS$11,WeaponList,0),12)&lt;&gt;"",INDEX(WeaponTable,MATCH(AS$11,WeaponList,0),11)="",INDEX(WeaponTable,MATCH(AS$11,WeaponList,0),12)&lt;&gt;""),"S",IF(AND(COUNTIF(AS$56:AS$59,"Sniper Switch")&gt;0,AS$12="Ranged",INDEX(WeaponTable,MATCH(AS$11,WeaponList,0),12)="A"),"S","")))</f>
        <v>#N/A</v>
      </c>
      <c r="BB87" s="78"/>
      <c r="BC87" s="1052" t="e">
        <f ca="1">IF(INDEX(WeaponTable,MATCH(BC$11,WeaponList,0),11)&lt;&gt;"",INDEX(WeaponTable,MATCH(BC$11,WeaponList,0),11),IF(AND(LEFT(BC$46,14)="Selective Fire",INDEX(WeaponTable,MATCH(BC$11,WeaponList,0),12)&lt;&gt;"",INDEX(WeaponTable,MATCH(BC$11,WeaponList,0),11)="",INDEX(WeaponTable,MATCH(BC$11,WeaponList,0),12)&lt;&gt;""),"S",IF(AND(COUNTIF(BC$56:BC$59,"Sniper Switch")&gt;0,BC$12="Ranged",INDEX(WeaponTable,MATCH(BC$11,WeaponList,0),12)="A"),"S","")))</f>
        <v>#N/A</v>
      </c>
      <c r="BD87" s="508"/>
      <c r="BE87" s="508"/>
      <c r="BF87" s="20"/>
      <c r="BK87" s="1100"/>
    </row>
    <row r="88" spans="3:63" hidden="1">
      <c r="C88" s="78" t="s">
        <v>3754</v>
      </c>
      <c r="E88" s="1052" t="e">
        <f ca="1">IF(INDEX(WeaponTable,MATCH(E$11,WeaponList,0),12)&lt;&gt;"",INDEX(WeaponTable,MATCH(E$11,WeaponList,0),12),IF(AND(LEFT(E$46,14)="Selective Fire",INDEX(WeaponTable,MATCH(E$11,WeaponList,0),11)&lt;&gt;"",INDEX(WeaponTable,MATCH(E$11,WeaponList,0),12)="",INDEX(WeaponTable,MATCH(E$11,WeaponList,0),11)&lt;&gt;""),"A",IF(AND(COUNTIF(E$56:E$59,"Rapid Recycler")&gt;0,E$12="Ranged",INDEX(WeaponTable,MATCH(E$11,WeaponList,0),11)="S"),"A","")))</f>
        <v>#N/A</v>
      </c>
      <c r="O88" s="1052" t="e">
        <f ca="1">IF(INDEX(WeaponTable,MATCH(O$11,WeaponList,0),12)&lt;&gt;"",INDEX(WeaponTable,MATCH(O$11,WeaponList,0),12),IF(AND(LEFT(O$46,14)="Selective Fire",INDEX(WeaponTable,MATCH(O$11,WeaponList,0),11)&lt;&gt;"",INDEX(WeaponTable,MATCH(O$11,WeaponList,0),12)="",INDEX(WeaponTable,MATCH(O$11,WeaponList,0),11)&lt;&gt;""),"A",IF(AND(COUNTIF(O$56:O$59,"Rapid Recycler")&gt;0,O$12="Ranged",INDEX(WeaponTable,MATCH(O$11,WeaponList,0),11)="S"),"A","")))</f>
        <v>#N/A</v>
      </c>
      <c r="Y88" s="1052" t="e">
        <f ca="1">IF(INDEX(WeaponTable,MATCH(Y$11,WeaponList,0),12)&lt;&gt;"",INDEX(WeaponTable,MATCH(Y$11,WeaponList,0),12),IF(AND(LEFT(Y$46,14)="Selective Fire",INDEX(WeaponTable,MATCH(Y$11,WeaponList,0),11)&lt;&gt;"",INDEX(WeaponTable,MATCH(Y$11,WeaponList,0),12)="",INDEX(WeaponTable,MATCH(Y$11,WeaponList,0),11)&lt;&gt;""),"A",IF(AND(COUNTIF(Y$56:Y$59,"Rapid Recycler")&gt;0,Y$12="Ranged",INDEX(WeaponTable,MATCH(Y$11,WeaponList,0),11)="S"),"A","")))</f>
        <v>#N/A</v>
      </c>
      <c r="AI88" s="1052" t="e">
        <f ca="1">IF(INDEX(WeaponTable,MATCH(AI$11,WeaponList,0),12)&lt;&gt;"",INDEX(WeaponTable,MATCH(AI$11,WeaponList,0),12),IF(AND(LEFT(AI$46,14)="Selective Fire",INDEX(WeaponTable,MATCH(AI$11,WeaponList,0),11)&lt;&gt;"",INDEX(WeaponTable,MATCH(AI$11,WeaponList,0),12)="",INDEX(WeaponTable,MATCH(AI$11,WeaponList,0),11)&lt;&gt;""),"A",IF(AND(COUNTIF(AI$56:AI$59,"Rapid Recycler")&gt;0,AI$12="Ranged",INDEX(WeaponTable,MATCH(AI$11,WeaponList,0),11)="S"),"A","")))</f>
        <v>#N/A</v>
      </c>
      <c r="AS88" s="1052" t="e">
        <f ca="1">IF(INDEX(WeaponTable,MATCH(AS$11,WeaponList,0),12)&lt;&gt;"",INDEX(WeaponTable,MATCH(AS$11,WeaponList,0),12),IF(AND(LEFT(AS$46,14)="Selective Fire",INDEX(WeaponTable,MATCH(AS$11,WeaponList,0),11)&lt;&gt;"",INDEX(WeaponTable,MATCH(AS$11,WeaponList,0),12)="",INDEX(WeaponTable,MATCH(AS$11,WeaponList,0),11)&lt;&gt;""),"A",IF(AND(COUNTIF(AS$56:AS$59,"Rapid Recycler")&gt;0,AS$12="Ranged",INDEX(WeaponTable,MATCH(AS$11,WeaponList,0),11)="S"),"A","")))</f>
        <v>#N/A</v>
      </c>
      <c r="BB88" s="78"/>
      <c r="BC88" s="1052" t="e">
        <f ca="1">IF(INDEX(WeaponTable,MATCH(BC$11,WeaponList,0),12)&lt;&gt;"",INDEX(WeaponTable,MATCH(BC$11,WeaponList,0),12),IF(AND(LEFT(BC$46,14)="Selective Fire",INDEX(WeaponTable,MATCH(BC$11,WeaponList,0),11)&lt;&gt;"",INDEX(WeaponTable,MATCH(BC$11,WeaponList,0),12)="",INDEX(WeaponTable,MATCH(BC$11,WeaponList,0),11)&lt;&gt;""),"A",IF(AND(COUNTIF(BC$56:BC$59,"Rapid Recycler")&gt;0,BC$12="Ranged",INDEX(WeaponTable,MATCH(BC$11,WeaponList,0),11)="S"),"A","")))</f>
        <v>#N/A</v>
      </c>
      <c r="BD88" s="508"/>
      <c r="BE88" s="508"/>
      <c r="BF88" s="20"/>
      <c r="BK88" s="1100"/>
    </row>
    <row r="89" spans="3:63" hidden="1">
      <c r="C89" s="78" t="s">
        <v>4177</v>
      </c>
      <c r="E89" s="1052" t="str">
        <f>IF(E$11&lt;&gt;"",IF(INDEX(WeaponTable,MATCH(E$11,WeaponList,0),27)&lt;&gt;"",INDEX(WeaponTable,MATCH(E$11,WeaponList,0),27),""),"")</f>
        <v/>
      </c>
      <c r="O89" s="1052" t="str">
        <f>IF(O$11&lt;&gt;"",IF(INDEX(WeaponTable,MATCH(O$11,WeaponList,0),27)&lt;&gt;"",INDEX(WeaponTable,MATCH(O$11,WeaponList,0),27),""),"")</f>
        <v/>
      </c>
      <c r="Y89" s="1052" t="str">
        <f>IF(Y$11&lt;&gt;"",IF(INDEX(WeaponTable,MATCH(Y$11,WeaponList,0),27)&lt;&gt;"",INDEX(WeaponTable,MATCH(Y$11,WeaponList,0),27),""),"")</f>
        <v/>
      </c>
      <c r="AI89" s="1052" t="str">
        <f>IF(AI$11&lt;&gt;"",IF(INDEX(WeaponTable,MATCH(AI$11,WeaponList,0),27)&lt;&gt;"",INDEX(WeaponTable,MATCH(AI$11,WeaponList,0),27),""),"")</f>
        <v/>
      </c>
      <c r="AS89" s="1052" t="str">
        <f>IF(AS$11&lt;&gt;"",IF(INDEX(WeaponTable,MATCH(AS$11,WeaponList,0),27)&lt;&gt;"",INDEX(WeaponTable,MATCH(AS$11,WeaponList,0),27),""),"")</f>
        <v/>
      </c>
      <c r="BB89" s="78"/>
      <c r="BC89" s="1052" t="str">
        <f>IF(BC$11&lt;&gt;"",IF(INDEX(WeaponTable,MATCH(BC$11,WeaponList,0),27)&lt;&gt;"",INDEX(WeaponTable,MATCH(BC$11,WeaponList,0),27),""),"")</f>
        <v/>
      </c>
      <c r="BD89" s="508"/>
      <c r="BE89" s="508"/>
      <c r="BF89" s="20"/>
      <c r="BK89" s="1100"/>
    </row>
    <row r="90" spans="3:63" hidden="1">
      <c r="C90" s="78" t="s">
        <v>4176</v>
      </c>
      <c r="E90" s="508" t="str">
        <f>IF(E$11&lt;&gt;"",IF(INDEX(WeaponTable,MATCH(E$11,WeaponList,0),28)&lt;&gt;"",INDEX(WeaponTable,MATCH(E$11,WeaponList,0),28)*IF(AND(E$12="Ranged",COUNTIF(E$56:E$59,"Improved Energy Cell")&gt;0),2,1),""),"")</f>
        <v/>
      </c>
      <c r="O90" s="508" t="str">
        <f>IF(O$11&lt;&gt;"",IF(INDEX(WeaponTable,MATCH(O$11,WeaponList,0),28)&lt;&gt;"",INDEX(WeaponTable,MATCH(O$11,WeaponList,0),28)*IF(AND(O$12="Ranged",COUNTIF(O$56:O$59,"Improved Energy Cell")&gt;0),2,1),""),"")</f>
        <v/>
      </c>
      <c r="Y90" s="508" t="str">
        <f>IF(Y$11&lt;&gt;"",IF(INDEX(WeaponTable,MATCH(Y$11,WeaponList,0),28)&lt;&gt;"",INDEX(WeaponTable,MATCH(Y$11,WeaponList,0),28)*IF(AND(Y$12="Ranged",COUNTIF(Y$56:Y$59,"Improved Energy Cell")&gt;0),2,1),""),"")</f>
        <v/>
      </c>
      <c r="AI90" s="508" t="str">
        <f>IF(AI$11&lt;&gt;"",IF(INDEX(WeaponTable,MATCH(AI$11,WeaponList,0),28)&lt;&gt;"",INDEX(WeaponTable,MATCH(AI$11,WeaponList,0),28)*IF(AND(AI$12="Ranged",COUNTIF(AI$56:AI$59,"Improved Energy Cell")&gt;0),2,1),""),"")</f>
        <v/>
      </c>
      <c r="AS90" s="508" t="str">
        <f>IF(AS$11&lt;&gt;"",IF(INDEX(WeaponTable,MATCH(AS$11,WeaponList,0),28)&lt;&gt;"",INDEX(WeaponTable,MATCH(AS$11,WeaponList,0),28)*IF(AND(AS$12="Ranged",COUNTIF(AS$56:AS$59,"Improved Energy Cell")&gt;0),2,1),""),"")</f>
        <v/>
      </c>
      <c r="BB90" s="78"/>
      <c r="BC90" s="508" t="str">
        <f>IF(BC$11&lt;&gt;"",IF(INDEX(WeaponTable,MATCH(BC$11,WeaponList,0),28)&lt;&gt;"",INDEX(WeaponTable,MATCH(BC$11,WeaponList,0),28)*IF(AND(BC$12="Ranged",COUNTIF(BC$56:BC$59,"Improved Energy Cell")&gt;0),2,1),""),"")</f>
        <v/>
      </c>
      <c r="BD90" s="508"/>
      <c r="BE90" s="508"/>
      <c r="BF90" s="20"/>
      <c r="BK90" s="1100"/>
    </row>
    <row r="91" spans="3:63" hidden="1">
      <c r="C91" s="78" t="s">
        <v>4152</v>
      </c>
      <c r="E91" s="508" t="str">
        <f>IF(E$11&lt;&gt;"",IF(INDEX(WeaponTable,MATCH(E$11,WeaponList,0),23)="In","Inaccurate",IF(INDEX(WeaponTable,MATCH(E$11,WeaponList,0),23)="Acc","Accurate","")),"")</f>
        <v/>
      </c>
      <c r="O91" s="508" t="str">
        <f>IF(O$11&lt;&gt;"",IF(INDEX(WeaponTable,MATCH(O$11,WeaponList,0),23)="In","Inaccurate",IF(INDEX(WeaponTable,MATCH(O$11,WeaponList,0),23)="Acc","Accurate","")),"")</f>
        <v/>
      </c>
      <c r="Y91" s="508" t="str">
        <f>IF(Y$11&lt;&gt;"",IF(INDEX(WeaponTable,MATCH(Y$11,WeaponList,0),23)="In","Inaccurate",IF(INDEX(WeaponTable,MATCH(Y$11,WeaponList,0),23)="Acc","Accurate","")),"")</f>
        <v/>
      </c>
      <c r="AI91" s="508" t="str">
        <f>IF(AI$11&lt;&gt;"",IF(INDEX(WeaponTable,MATCH(AI$11,WeaponList,0),23)="In","Inaccurate",IF(INDEX(WeaponTable,MATCH(AI$11,WeaponList,0),23)="Acc","Accurate","")),"")</f>
        <v/>
      </c>
      <c r="AS91" s="508" t="str">
        <f>IF(AS$11&lt;&gt;"",IF(INDEX(WeaponTable,MATCH(AS$11,WeaponList,0),23)="In","Inaccurate",IF(INDEX(WeaponTable,MATCH(AS$11,WeaponList,0),23)="Acc","Accurate","")),"")</f>
        <v/>
      </c>
      <c r="BB91" s="78"/>
      <c r="BC91" s="508" t="str">
        <f>IF(BC$11&lt;&gt;"",IF(INDEX(WeaponTable,MATCH(BC$11,WeaponList,0),23)="In","Inaccurate",IF(INDEX(WeaponTable,MATCH(BC$11,WeaponList,0),23)="Acc","Accurate","")),"")</f>
        <v/>
      </c>
      <c r="BD91" s="508"/>
      <c r="BE91" s="508"/>
      <c r="BF91" s="20"/>
      <c r="BK91" s="1100"/>
    </row>
    <row r="92" spans="3:63" s="905" customFormat="1" hidden="1">
      <c r="C92" s="78" t="s">
        <v>110</v>
      </c>
      <c r="D92" s="842"/>
      <c r="E92" s="508" t="str">
        <f>IF(E$11&lt;&gt;"",IF(INDEX(WeaponTable,MATCH(E$11,WeaponList,0),30)&lt;&gt;"",IF(E53="Range",INDEX(RangeTable,INDEX(RangeTable,MATCH(INDEX(WeaponTable,MATCH(E$11,WeaponList,0),30),RangeList,0),6)+1,1),INDEX(WeaponTable,MATCH(E$11,WeaponList,0),30)),""),"")</f>
        <v/>
      </c>
      <c r="F92" s="508"/>
      <c r="G92" s="508"/>
      <c r="H92" s="20"/>
      <c r="I92" s="20"/>
      <c r="J92" s="20"/>
      <c r="K92" s="20"/>
      <c r="L92" s="20"/>
      <c r="M92" s="1046"/>
      <c r="N92" s="842"/>
      <c r="O92" s="508" t="str">
        <f>IF(O$11&lt;&gt;"",IF(INDEX(WeaponTable,MATCH(O$11,WeaponList,0),30)&lt;&gt;"",IF(O53="Range",INDEX(RangeTable,INDEX(RangeTable,MATCH(INDEX(WeaponTable,MATCH(O$11,WeaponList,0),30),RangeList,0),6)+1,1),INDEX(WeaponTable,MATCH(O$11,WeaponList,0),30)),""),"")</f>
        <v/>
      </c>
      <c r="P92" s="508"/>
      <c r="Q92" s="508"/>
      <c r="R92" s="20"/>
      <c r="S92" s="20"/>
      <c r="T92" s="20"/>
      <c r="U92" s="20"/>
      <c r="V92" s="20"/>
      <c r="W92" s="1046"/>
      <c r="X92" s="842"/>
      <c r="Y92" s="508" t="str">
        <f>IF(Y$11&lt;&gt;"",IF(INDEX(WeaponTable,MATCH(Y$11,WeaponList,0),30)&lt;&gt;"",IF(Y53="Range",INDEX(RangeTable,INDEX(RangeTable,MATCH(INDEX(WeaponTable,MATCH(Y$11,WeaponList,0),30),RangeList,0),6)+1,1),INDEX(WeaponTable,MATCH(Y$11,WeaponList,0),30)),""),"")</f>
        <v/>
      </c>
      <c r="Z92" s="508"/>
      <c r="AA92" s="508"/>
      <c r="AB92" s="20"/>
      <c r="AC92" s="20"/>
      <c r="AD92" s="20"/>
      <c r="AE92" s="20"/>
      <c r="AF92" s="20"/>
      <c r="AG92" s="1046"/>
      <c r="AH92" s="842"/>
      <c r="AI92" s="508" t="str">
        <f>IF(AI$11&lt;&gt;"",IF(INDEX(WeaponTable,MATCH(AI$11,WeaponList,0),30)&lt;&gt;"",IF(AI53="Range",INDEX(RangeTable,INDEX(RangeTable,MATCH(INDEX(WeaponTable,MATCH(AI$11,WeaponList,0),30),RangeList,0),6)+1,1),INDEX(WeaponTable,MATCH(AI$11,WeaponList,0),30)),""),"")</f>
        <v/>
      </c>
      <c r="AJ92" s="508"/>
      <c r="AK92" s="508"/>
      <c r="AL92" s="20"/>
      <c r="AM92" s="20"/>
      <c r="AN92" s="20"/>
      <c r="AO92" s="20"/>
      <c r="AP92" s="20"/>
      <c r="AQ92" s="1046"/>
      <c r="AR92" s="842"/>
      <c r="AS92" s="508" t="str">
        <f>IF(AS$11&lt;&gt;"",IF(INDEX(WeaponTable,MATCH(AS$11,WeaponList,0),30)&lt;&gt;"",IF(AS53="Range",INDEX(RangeTable,INDEX(RangeTable,MATCH(INDEX(WeaponTable,MATCH(AS$11,WeaponList,0),30),RangeList,0),6)+1,1),INDEX(WeaponTable,MATCH(AS$11,WeaponList,0),30)),""),"")</f>
        <v/>
      </c>
      <c r="AT92" s="508"/>
      <c r="AU92" s="508"/>
      <c r="AV92" s="20"/>
      <c r="AW92" s="20"/>
      <c r="AX92" s="20"/>
      <c r="AY92" s="20"/>
      <c r="AZ92" s="20"/>
      <c r="BA92" s="1046"/>
      <c r="BB92" s="78"/>
      <c r="BC92" s="508" t="str">
        <f>IF(BC$11&lt;&gt;"",IF(INDEX(WeaponTable,MATCH(BC$11,WeaponList,0),30)&lt;&gt;"",IF(BC53="Range",INDEX(RangeTable,INDEX(RangeTable,MATCH(INDEX(WeaponTable,MATCH(BC$11,WeaponList,0),30),RangeList,0),6)+1,1),INDEX(WeaponTable,MATCH(BC$11,WeaponList,0),30)),""),"")</f>
        <v/>
      </c>
      <c r="BD92" s="508"/>
      <c r="BE92" s="508"/>
      <c r="BF92" s="20"/>
      <c r="BG92" s="16"/>
      <c r="BH92" s="16"/>
      <c r="BI92" s="16"/>
      <c r="BJ92" s="16"/>
      <c r="BK92" s="1100"/>
    </row>
    <row r="93" spans="3:63" hidden="1">
      <c r="BB93" s="78"/>
      <c r="BC93" s="508"/>
      <c r="BD93" s="508"/>
      <c r="BE93" s="508"/>
      <c r="BF93" s="20"/>
      <c r="BK93" s="1100"/>
    </row>
    <row r="94" spans="3:63" hidden="1">
      <c r="C94" s="78" t="s">
        <v>73</v>
      </c>
      <c r="E94" s="508" t="e">
        <f ca="1">IF(INDEX(WeaponTable,MATCH(E$11,WeaponList,0),16)&lt;&gt;"",INDEX(WeaponTable,MATCH(E$11,WeaponList,0),16),"")&amp;E95</f>
        <v>#N/A</v>
      </c>
      <c r="O94" s="508" t="e">
        <f ca="1">IF(INDEX(WeaponTable,MATCH(O$11,WeaponList,0),16)&lt;&gt;"",INDEX(WeaponTable,MATCH(O$11,WeaponList,0),16),"")&amp;O95</f>
        <v>#N/A</v>
      </c>
      <c r="Y94" s="508" t="e">
        <f ca="1">IF(INDEX(WeaponTable,MATCH(Y$11,WeaponList,0),16)&lt;&gt;"",INDEX(WeaponTable,MATCH(Y$11,WeaponList,0),16),"")&amp;Y95</f>
        <v>#N/A</v>
      </c>
      <c r="AI94" s="508" t="e">
        <f ca="1">IF(INDEX(WeaponTable,MATCH(AI$11,WeaponList,0),16)&lt;&gt;"",INDEX(WeaponTable,MATCH(AI$11,WeaponList,0),16),"")&amp;AI95</f>
        <v>#N/A</v>
      </c>
      <c r="AS94" s="508" t="e">
        <f ca="1">IF(INDEX(WeaponTable,MATCH(AS$11,WeaponList,0),16)&lt;&gt;"",INDEX(WeaponTable,MATCH(AS$11,WeaponList,0),16),"")&amp;AS95</f>
        <v>#N/A</v>
      </c>
      <c r="BB94" s="78"/>
      <c r="BC94" s="508" t="e">
        <f ca="1">IF(INDEX(WeaponTable,MATCH(BC$11,WeaponList,0),16)&lt;&gt;"",INDEX(WeaponTable,MATCH(BC$11,WeaponList,0),16),"")&amp;BC95</f>
        <v>#N/A</v>
      </c>
      <c r="BD94" s="508"/>
      <c r="BE94" s="508"/>
      <c r="BF94" s="20"/>
      <c r="BK94" s="1100"/>
    </row>
    <row r="95" spans="3:63" hidden="1">
      <c r="C95" s="78" t="s">
        <v>4190</v>
      </c>
      <c r="E95" s="508" t="e">
        <f ca="1">IF(AND(M56&lt;&gt;"",INDEX(WeaponTable,MATCH(E$11,WeaponList,0),16)&lt;&gt;""),"; "&amp;M56,M56)</f>
        <v>#N/A</v>
      </c>
      <c r="O95" s="508" t="e">
        <f ca="1">IF(AND(W56&lt;&gt;"",INDEX(WeaponTable,MATCH(O$11,WeaponList,0),16)&lt;&gt;""),"; "&amp;W56,W56)</f>
        <v>#N/A</v>
      </c>
      <c r="Y95" s="508" t="e">
        <f ca="1">IF(AND(AG56&lt;&gt;"",INDEX(WeaponTable,MATCH(Y$11,WeaponList,0),16)&lt;&gt;""),"; "&amp;AG56,AG56)</f>
        <v>#N/A</v>
      </c>
      <c r="AI95" s="508" t="e">
        <f ca="1">IF(AND(AQ56&lt;&gt;"",INDEX(WeaponTable,MATCH(AI$11,WeaponList,0),16)&lt;&gt;""),"; "&amp;AQ56,AQ56)</f>
        <v>#N/A</v>
      </c>
      <c r="AS95" s="508" t="e">
        <f ca="1">IF(AND(BA56&lt;&gt;"",INDEX(WeaponTable,MATCH(AS$11,WeaponList,0),16)&lt;&gt;""),"; "&amp;BA56,BA56)</f>
        <v>#N/A</v>
      </c>
      <c r="BB95" s="78"/>
      <c r="BC95" s="508" t="e">
        <f ca="1">IF(AND(BK56&lt;&gt;"",INDEX(WeaponTable,MATCH(BC$11,WeaponList,0),16)&lt;&gt;""),"; "&amp;BK56,BK56)</f>
        <v>#N/A</v>
      </c>
      <c r="BD95" s="508"/>
      <c r="BE95" s="508"/>
      <c r="BF95" s="20"/>
      <c r="BK95" s="1100"/>
    </row>
    <row r="96" spans="3:63" hidden="1">
      <c r="BB96" s="78"/>
      <c r="BC96" s="508"/>
      <c r="BD96" s="508"/>
      <c r="BE96" s="508"/>
      <c r="BF96" s="20"/>
      <c r="BK96" s="1100"/>
    </row>
    <row r="97" spans="3:63" hidden="1">
      <c r="C97" s="78" t="s">
        <v>106</v>
      </c>
      <c r="E97" s="1114" t="e">
        <f ca="1">INDEX(WeaponTable,MATCH(E$11,WeaponList,0),26)*IF(COUNTIF(E$56:E$59,"Neutronium Reinforcement")&gt;0,2,1)</f>
        <v>#N/A</v>
      </c>
      <c r="O97" s="1114" t="e">
        <f ca="1">INDEX(WeaponTable,MATCH(O$11,WeaponList,0),26)*IF(COUNTIF(O$56:O$59,"Neutronium Reinforcement")&gt;0,2,1)</f>
        <v>#N/A</v>
      </c>
      <c r="Y97" s="1114" t="e">
        <f ca="1">INDEX(WeaponTable,MATCH(Y$11,WeaponList,0),26)*IF(COUNTIF(Y$56:Y$59,"Neutronium Reinforcement")&gt;0,2,1)</f>
        <v>#N/A</v>
      </c>
      <c r="AI97" s="1114" t="e">
        <f ca="1">INDEX(WeaponTable,MATCH(AI$11,WeaponList,0),26)*IF(COUNTIF(AI$56:AI$59,"Neutronium Reinforcement")&gt;0,2,1)</f>
        <v>#N/A</v>
      </c>
      <c r="AS97" s="1114" t="e">
        <f ca="1">INDEX(WeaponTable,MATCH(AS$11,WeaponList,0),26)*IF(COUNTIF(AS$56:AS$59,"Neutronium Reinforcement")&gt;0,2,1)</f>
        <v>#N/A</v>
      </c>
      <c r="BB97" s="78"/>
      <c r="BC97" s="1114" t="e">
        <f ca="1">INDEX(WeaponTable,MATCH(BC$11,WeaponList,0),26)*IF(COUNTIF(BC$56:BC$59,"Neutronium Reinforcement")&gt;0,2,1)</f>
        <v>#N/A</v>
      </c>
      <c r="BD97" s="508"/>
      <c r="BE97" s="508"/>
      <c r="BF97" s="20"/>
      <c r="BK97" s="1100"/>
    </row>
    <row r="98" spans="3:63" hidden="1">
      <c r="C98" s="78" t="s">
        <v>4156</v>
      </c>
      <c r="E98" s="1052" t="e">
        <f ca="1">INDEX(WeaponTable,MATCH(E$11,WeaponList,0),13)&amp;IF(OR(E48="Arkanian",E49="Arkanian")," and Fire","")</f>
        <v>#N/A</v>
      </c>
      <c r="O98" s="1052" t="e">
        <f ca="1">INDEX(WeaponTable,MATCH(O$11,WeaponList,0),13)&amp;IF(OR(O48="Arkanian",O49="Arkanian")," and Fire","")</f>
        <v>#N/A</v>
      </c>
      <c r="Y98" s="1052" t="e">
        <f ca="1">INDEX(WeaponTable,MATCH(Y$11,WeaponList,0),13)&amp;IF(OR(Y48="Arkanian",Y49="Arkanian")," and Fire","")</f>
        <v>#N/A</v>
      </c>
      <c r="AI98" s="1052" t="e">
        <f ca="1">INDEX(WeaponTable,MATCH(AI$11,WeaponList,0),13)&amp;IF(OR(AI48="Arkanian",AI49="Arkanian")," and Fire","")</f>
        <v>#N/A</v>
      </c>
      <c r="AS98" s="1052" t="e">
        <f ca="1">INDEX(WeaponTable,MATCH(AS$11,WeaponList,0),13)&amp;IF(OR(AS48="Arkanian",AS49="Arkanian")," and Fire","")</f>
        <v>#N/A</v>
      </c>
      <c r="BB98" s="78"/>
      <c r="BC98" s="1052" t="e">
        <f ca="1">INDEX(WeaponTable,MATCH(BC$11,WeaponList,0),13)&amp;IF(OR(BC48="Arkanian",BC49="Arkanian")," and Fire","")</f>
        <v>#N/A</v>
      </c>
      <c r="BD98" s="508"/>
      <c r="BE98" s="508"/>
      <c r="BF98" s="20"/>
      <c r="BK98" s="1100"/>
    </row>
    <row r="99" spans="3:63" hidden="1">
      <c r="C99" s="78" t="s">
        <v>104</v>
      </c>
      <c r="BB99" s="78"/>
      <c r="BC99" s="508"/>
      <c r="BD99" s="508"/>
      <c r="BE99" s="508"/>
      <c r="BF99" s="20"/>
      <c r="BK99" s="1100"/>
    </row>
    <row r="100" spans="3:63" hidden="1">
      <c r="C100" s="78" t="s">
        <v>3680</v>
      </c>
      <c r="BB100" s="78"/>
      <c r="BC100" s="508"/>
      <c r="BD100" s="508"/>
      <c r="BE100" s="508"/>
      <c r="BF100" s="20"/>
      <c r="BK100" s="1100"/>
    </row>
    <row r="101" spans="3:63" hidden="1">
      <c r="BB101" s="78"/>
      <c r="BC101" s="508"/>
      <c r="BD101" s="508"/>
      <c r="BE101" s="508"/>
      <c r="BF101" s="20"/>
      <c r="BK101" s="1100"/>
    </row>
    <row r="102" spans="3:63" hidden="1">
      <c r="C102" s="78" t="s">
        <v>3733</v>
      </c>
      <c r="E102" s="1053" t="str">
        <f>IF(E$11&lt;&gt;"",MAX(IF(LEFT(E$46,17)="Improved Accuracy",1,0),IF(LEFT(E$47,17)="Superior Accuracy",2,0))+IF(AND(E12="Melee",COUNTIF(E50:E51,"Attune Weapon")),1,0)+IF(AND(E12="Ranged",COUNTIF(E$56:E$59,"Pulse Charger")&gt;0),-1,0)+IF(COUNTIF(E48:E49,"Rakatan")&gt;0,1,0)+E$103+MAX(E$104,F$104)+AttackBonus,"")</f>
        <v/>
      </c>
      <c r="O102" s="1053" t="str">
        <f>IF(O$11&lt;&gt;"",MAX(IF(LEFT(O$46,17)="Improved Accuracy",1,0),IF(LEFT(O$47,17)="Superior Accuracy",2,0))+IF(AND(O12="Melee",COUNTIF(O50:O51,"Attune Weapon")),1,0)+IF(AND(O12="Ranged",COUNTIF(O$56:O$59,"Pulse Charger")&gt;0),-1,0)+O$103+MAX(O$104,P$104)+AttackBonus,"")</f>
        <v/>
      </c>
      <c r="Y102" s="1053" t="str">
        <f>IF(Y$11&lt;&gt;"",MAX(IF(LEFT(Y$46,17)="Improved Accuracy",1,0),IF(LEFT(Y$47,17)="Superior Accuracy",2,0))+IF(AND(Y12="Melee",COUNTIF(Y50:Y51,"Attune Weapon")),1,0)+IF(AND(Y12="Ranged",COUNTIF(Y$56:Y$59,"Pulse Charger")&gt;0),-1,0)+Y$103+MAX(Y$104,Z$104)+AttackBonus,"")</f>
        <v/>
      </c>
      <c r="AI102" s="1053" t="str">
        <f>IF(AI$11&lt;&gt;"",MAX(IF(LEFT(AI$46,17)="Improved Accuracy",1,0),IF(LEFT(AI$47,17)="Superior Accuracy",2,0))+IF(AND(AI12="Melee",COUNTIF(AI50:AI51,"Attune Weapon")),1,0)+IF(AND(AI12="Ranged",COUNTIF(AI$56:AI$59,"Pulse Charger")&gt;0),-1,0)+AI$103+MAX(AI$104,AJ$104)+AttackBonus,"")</f>
        <v/>
      </c>
      <c r="AS102" s="1053" t="str">
        <f>IF(AS$11&lt;&gt;"",MAX(IF(LEFT(AS$46,17)="Improved Accuracy",1,0),IF(LEFT(AS$47,17)="Superior Accuracy",2,0))+IF(AND(AS12="Melee",COUNTIF(AS50:AS51,"Attune Weapon")),1,0)+IF(AND(AS12="Ranged",COUNTIF(AS$56:AS$59,"Pulse Charger")&gt;0),-1,0)+AS$103+MAX(AS$104,AT$104)+AttackBonus,"")</f>
        <v/>
      </c>
      <c r="BB102" s="78"/>
      <c r="BC102" s="1053" t="str">
        <f>IF(BC$11&lt;&gt;"",MAX(IF(LEFT(BC$46,17)="Improved Accuracy",1,0),IF(LEFT(BC$47,17)="Superior Accuracy",2,0))+IF(AND(BC12="Melee",COUNTIF(BC50:BC51,"Attune Weapon")),1,0)+IF(AND(BC12="Ranged",COUNTIF(BC$56:BC$59,"Pulse Charger")&gt;0),-1,0)+BC$103+MAX(BC$104,BD$104)+AttackBonus,"")</f>
        <v/>
      </c>
      <c r="BD102" s="508"/>
      <c r="BE102" s="508"/>
      <c r="BF102" s="20"/>
      <c r="BK102" s="1100"/>
    </row>
    <row r="103" spans="3:63" hidden="1">
      <c r="C103" s="78" t="s">
        <v>4178</v>
      </c>
      <c r="E103" s="1053">
        <f ca="1">IF(AND(CharacterLevel&gt;=7,Feats!$M$123&gt;0),IF(AND(INDEX(WeaponTable,MATCH(E$11,WeaponList,0),5),CharacterLevel&gt;=7,OR(COUNTIF(E$56:E$59,"Ilum Crystal")&gt;0,COUNTIF(E$56:E$59, "Adegan Kathracite Crystal")&gt;0,COUNTIF(E$56:E$59, "Adegan Mephite Crystal")&gt;0,COUNTIF(E$56:E$59,"Standard Synthetic Crystal")&gt;0)),1,0),0)</f>
        <v>0</v>
      </c>
      <c r="O103" s="1053">
        <f ca="1">IF(AND(CharacterLevel&gt;=7,Feats!$M$123&gt;0),IF(AND(INDEX(WeaponTable,MATCH(O$11,WeaponList,0),5),CharacterLevel&gt;=7,OR(COUNTIF(O$56:O$59,"Ilum Crystal")&gt;0,COUNTIF(O$56:O$59, "Adegan Kathracite Crystal")&gt;0,COUNTIF(O$56:O$59, "Adegan Mephite Crystal")&gt;0,COUNTIF(O$56:O$59,"Standard Synthetic Crystal")&gt;0)),1,0),0)</f>
        <v>0</v>
      </c>
      <c r="Y103" s="1053">
        <f ca="1">IF(AND(CharacterLevel&gt;=7,Feats!$M$123&gt;0),IF(AND(INDEX(WeaponTable,MATCH(Y$11,WeaponList,0),5),CharacterLevel&gt;=7,OR(COUNTIF(Y$56:Y$59,"Ilum Crystal")&gt;0,COUNTIF(Y$56:Y$59, "Adegan Kathracite Crystal")&gt;0,COUNTIF(Y$56:Y$59, "Adegan Mephite Crystal")&gt;0,COUNTIF(Y$56:Y$59,"Standard Synthetic Crystal")&gt;0)),1,0),0)</f>
        <v>0</v>
      </c>
      <c r="AI103" s="1053">
        <f ca="1">IF(AND(CharacterLevel&gt;=7,Feats!$M$123&gt;0),IF(AND(INDEX(WeaponTable,MATCH(AI$11,WeaponList,0),5),CharacterLevel&gt;=7,OR(COUNTIF(AI$56:AI$59,"Ilum Crystal")&gt;0,COUNTIF(AI$56:AI$59, "Adegan Kathracite Crystal")&gt;0,COUNTIF(AI$56:AI$59, "Adegan Mephite Crystal")&gt;0,COUNTIF(AI$56:AI$59,"Standard Synthetic Crystal")&gt;0)),1,0),0)</f>
        <v>0</v>
      </c>
      <c r="AS103" s="1053">
        <f ca="1">IF(AND(CharacterLevel&gt;=7,Feats!$M$123&gt;0),IF(AND(INDEX(WeaponTable,MATCH(AS$11,WeaponList,0),5),CharacterLevel&gt;=7,OR(COUNTIF(AS$56:AS$59,"Ilum Crystal")&gt;0,COUNTIF(AS$56:AS$59, "Adegan Kathracite Crystal")&gt;0,COUNTIF(AS$56:AS$59, "Adegan Mephite Crystal")&gt;0,COUNTIF(AS$56:AS$59,"Standard Synthetic Crystal")&gt;0)),1,0),0)</f>
        <v>0</v>
      </c>
      <c r="BB103" s="78"/>
      <c r="BC103" s="1053">
        <f ca="1">IF(AND(CharacterLevel&gt;=7,Feats!$M$123&gt;0),IF(AND(INDEX(WeaponTable,MATCH(BC$11,WeaponList,0),5),CharacterLevel&gt;=7,OR(COUNTIF(BC$56:BC$59,"Ilum Crystal")&gt;0,COUNTIF(BC$56:BC$59, "Adegan Kathracite Crystal")&gt;0,COUNTIF(BC$56:BC$59, "Adegan Mephite Crystal")&gt;0,COUNTIF(BC$56:BC$59,"Standard Synthetic Crystal")&gt;0)),1,0),0)</f>
        <v>0</v>
      </c>
      <c r="BD103" s="508"/>
      <c r="BE103" s="508"/>
      <c r="BF103" s="20"/>
      <c r="BK103" s="1100"/>
    </row>
    <row r="104" spans="3:63" hidden="1">
      <c r="C104" s="78" t="s">
        <v>2526</v>
      </c>
      <c r="E104" s="1053">
        <f ca="1">IF(ISERROR(FIND("Weapon Focus ("&amp;INDEX(WeaponTable,MATCH(E$11,WeaponList,0),5)&amp;")",FeatsTakenList&amp;TalentsTakenBlankList,1)),0,1)+IF(ISERROR(FIND("Greater Weapon Focus ("&amp;INDEX(WeaponTable,MATCH(E$11,WeaponList,0),5)&amp;")",FeatsTakenList&amp;TalentsTakenBlankList,1)),0,1)</f>
        <v>0</v>
      </c>
      <c r="F104" s="508" t="e">
        <f ca="1">IF(AND(Talents!$M$1004&gt;0,F74="EWP",OR(AND(Feats!$M$344&gt;0,OR(Feats!$D$344=Feats!$D$100,Feats!$D$344=Feats!$D$101)),AND(Feats!$M$345&gt;0,OR(Feats!$D$345=Feats!$D$100,Feats!$D$345=Feats!$D$101)))),1,0)+IF(AND(Talents!$M$1004&gt;0,F74="EWP",OR(NOT(ISERROR(FIND("Greater Weapon Focus ("&amp;Feats!$D$100&amp;")",FeatsTakenList&amp;TalentsTakenBlankList,1))),NOT(ISERROR(FIND("Greater Weapon Focus ("&amp;Feats!$D$101&amp;")",FeatsTakenList&amp;TalentsTakenBlankList,1))))),1,0)</f>
        <v>#N/A</v>
      </c>
      <c r="O104" s="1053">
        <f ca="1">IF(ISERROR(FIND("Weapon Focus ("&amp;INDEX(WeaponTable,MATCH(O$11,WeaponList,0),5)&amp;")",FeatsTakenList&amp;TalentsTakenBlankList,1)),0,1)+IF(ISERROR(FIND("Greater Weapon Focus ("&amp;INDEX(WeaponTable,MATCH(O$11,WeaponList,0),5)&amp;")",FeatsTakenList&amp;TalentsTakenBlankList,1)),0,1)</f>
        <v>0</v>
      </c>
      <c r="P104" s="508" t="e">
        <f ca="1">IF(AND(Talents!$M$1004&gt;0,P74="EWP",OR(AND(Feats!$M$344&gt;0,OR(Feats!$D$344=Feats!$D$100,Feats!$D$344=Feats!$D$101)),AND(Feats!$M$345&gt;0,OR(Feats!$D$345=Feats!$D$100,Feats!$D$345=Feats!$D$101)))),1,0)+IF(AND(Talents!$M$1004&gt;0,P74="EWP",OR(NOT(ISERROR(FIND("Greater Weapon Focus ("&amp;Feats!$D$100&amp;")",FeatsTakenList&amp;TalentsTakenBlankList,1))),NOT(ISERROR(FIND("Greater Weapon Focus ("&amp;Feats!$D$101&amp;")",FeatsTakenList&amp;TalentsTakenBlankList,1))))),1,0)</f>
        <v>#N/A</v>
      </c>
      <c r="Y104" s="1053">
        <f ca="1">IF(ISERROR(FIND("Weapon Focus ("&amp;INDEX(WeaponTable,MATCH(Y$11,WeaponList,0),5)&amp;")",FeatsTakenList&amp;TalentsTakenBlankList,1)),0,1)+IF(ISERROR(FIND("Greater Weapon Focus ("&amp;INDEX(WeaponTable,MATCH(Y$11,WeaponList,0),5)&amp;")",FeatsTakenList&amp;TalentsTakenBlankList,1)),0,1)</f>
        <v>0</v>
      </c>
      <c r="Z104" s="508" t="e">
        <f ca="1">IF(AND(Talents!$M$1004&gt;0,Z74="EWP",OR(AND(Feats!$M$344&gt;0,OR(Feats!$D$344=Feats!$D$100,Feats!$D$344=Feats!$D$101)),AND(Feats!$M$345&gt;0,OR(Feats!$D$345=Feats!$D$100,Feats!$D$345=Feats!$D$101)))),1,0)+IF(AND(Talents!$M$1004&gt;0,Z74="EWP",OR(NOT(ISERROR(FIND("Greater Weapon Focus ("&amp;Feats!$D$100&amp;")",FeatsTakenList&amp;TalentsTakenBlankList,1))),NOT(ISERROR(FIND("Greater Weapon Focus ("&amp;Feats!$D$101&amp;")",FeatsTakenList&amp;TalentsTakenBlankList,1))))),1,0)</f>
        <v>#N/A</v>
      </c>
      <c r="AI104" s="1053">
        <f ca="1">IF(ISERROR(FIND("Weapon Focus ("&amp;INDEX(WeaponTable,MATCH(AI$11,WeaponList,0),5)&amp;")",FeatsTakenList&amp;TalentsTakenBlankList,1)),0,1)+IF(ISERROR(FIND("Greater Weapon Focus ("&amp;INDEX(WeaponTable,MATCH(AI$11,WeaponList,0),5)&amp;")",FeatsTakenList&amp;TalentsTakenBlankList,1)),0,1)</f>
        <v>0</v>
      </c>
      <c r="AJ104" s="508" t="e">
        <f ca="1">IF(AND(Talents!$M$1004&gt;0,AJ74="EWP",OR(AND(Feats!$M$344&gt;0,OR(Feats!$D$344=Feats!$D$100,Feats!$D$344=Feats!$D$101)),AND(Feats!$M$345&gt;0,OR(Feats!$D$345=Feats!$D$100,Feats!$D$345=Feats!$D$101)))),1,0)+IF(AND(Talents!$M$1004&gt;0,AJ74="EWP",OR(NOT(ISERROR(FIND("Greater Weapon Focus ("&amp;Feats!$D$100&amp;")",FeatsTakenList&amp;TalentsTakenBlankList,1))),NOT(ISERROR(FIND("Greater Weapon Focus ("&amp;Feats!$D$101&amp;")",FeatsTakenList&amp;TalentsTakenBlankList,1))))),1,0)</f>
        <v>#N/A</v>
      </c>
      <c r="AS104" s="1053">
        <f ca="1">IF(ISERROR(FIND("Weapon Focus ("&amp;INDEX(WeaponTable,MATCH(AS$11,WeaponList,0),5)&amp;")",FeatsTakenList&amp;TalentsTakenBlankList,1)),0,1)+IF(ISERROR(FIND("Greater Weapon Focus ("&amp;INDEX(WeaponTable,MATCH(AS$11,WeaponList,0),5)&amp;")",FeatsTakenList&amp;TalentsTakenBlankList,1)),0,1)</f>
        <v>0</v>
      </c>
      <c r="AT104" s="508" t="e">
        <f ca="1">IF(AND(Talents!$M$1004&gt;0,AT74="EWP",OR(AND(Feats!$M$344&gt;0,OR(Feats!$D$344=Feats!$D$100,Feats!$D$344=Feats!$D$101)),AND(Feats!$M$345&gt;0,OR(Feats!$D$345=Feats!$D$100,Feats!$D$345=Feats!$D$101)))),1,0)+IF(AND(Talents!$M$1004&gt;0,AT74="EWP",OR(NOT(ISERROR(FIND("Greater Weapon Focus ("&amp;Feats!$D$100&amp;")",FeatsTakenList&amp;TalentsTakenBlankList,1))),NOT(ISERROR(FIND("Greater Weapon Focus ("&amp;Feats!$D$101&amp;")",FeatsTakenList&amp;TalentsTakenBlankList,1))))),1,0)</f>
        <v>#N/A</v>
      </c>
      <c r="BB104" s="78"/>
      <c r="BC104" s="1053">
        <f ca="1">IF(ISERROR(FIND("Weapon Focus ("&amp;INDEX(WeaponTable,MATCH(BC$11,WeaponList,0),5)&amp;")",FeatsTakenList&amp;TalentsTakenBlankList,1)),0,1)+IF(ISERROR(FIND("Greater Weapon Focus ("&amp;INDEX(WeaponTable,MATCH(BC$11,WeaponList,0),5)&amp;")",FeatsTakenList&amp;TalentsTakenBlankList,1)),0,1)</f>
        <v>0</v>
      </c>
      <c r="BD104" s="508" t="e">
        <f ca="1">IF(AND(Talents!$M$1004&gt;0,BD74="EWP",OR(AND(Feats!$M$344&gt;0,OR(Feats!$D$344=Feats!$D$100,Feats!$D$344=Feats!$D$101)),AND(Feats!$M$345&gt;0,OR(Feats!$D$345=Feats!$D$100,Feats!$D$345=Feats!$D$101)))),1,0)+IF(AND(Talents!$M$1004&gt;0,BD74="EWP",OR(NOT(ISERROR(FIND("Greater Weapon Focus ("&amp;Feats!$D$100&amp;")",FeatsTakenList&amp;TalentsTakenBlankList,1))),NOT(ISERROR(FIND("Greater Weapon Focus ("&amp;Feats!$D$101&amp;")",FeatsTakenList&amp;TalentsTakenBlankList,1))))),1,0)</f>
        <v>#N/A</v>
      </c>
      <c r="BE104" s="508"/>
      <c r="BF104" s="20"/>
      <c r="BK104" s="1100"/>
    </row>
    <row r="105" spans="3:63" hidden="1">
      <c r="E105" s="1053"/>
      <c r="O105" s="1053"/>
      <c r="Y105" s="1053"/>
      <c r="AI105" s="1053"/>
      <c r="AS105" s="1053"/>
      <c r="BB105" s="78"/>
      <c r="BC105" s="1053"/>
      <c r="BD105" s="508"/>
      <c r="BE105" s="508"/>
      <c r="BF105" s="20"/>
      <c r="BK105" s="1100"/>
    </row>
    <row r="106" spans="3:63" hidden="1">
      <c r="C106" s="78" t="s">
        <v>3732</v>
      </c>
      <c r="E106" s="1053" t="str">
        <f>IF(E$11&lt;&gt;"",MAX(IF(LEFT(E$46,15)="Improved Damage",2,0),IF(LEFT(E$47,15)="Superior Damage",5,0))+IF(AND(E$12="Ranged",COUNTIF(E$56:E$59,"Pulse Charger")&gt;0),E$78,0)+IF(INDEX(WeaponTable,MATCH(E$11,WeaponList,0),19)&lt;&gt;"",INDEX(WeaponTable,MATCH(E$11,WeaponList,0),19),0)+IF(AND(E$12="Ranged",COUNTIF(E$56:E$59,"Improved Energy Cell")&gt;0,LEFT(E$46,15)="Improved Damage"),1,0)+E107+MAX(E108,F108)+DamageBonus,"")</f>
        <v/>
      </c>
      <c r="O106" s="1053" t="str">
        <f>IF(O$11&lt;&gt;"",MAX(IF(LEFT(O$46,15)="Improved Damage",2,0),IF(LEFT(O$47,15)="Superior Damage",5,0))+IF(AND(O$12="Ranged",COUNTIF(O$56:O$59,"Pulse Charger")&gt;0),O$78,0)+IF(INDEX(WeaponTable,MATCH(O$11,WeaponList,0),19)&lt;&gt;"",INDEX(WeaponTable,MATCH(O$11,WeaponList,0),19),0)+IF(AND(O$12="Ranged",COUNTIF(O$56:O$59,"Improved Energy Cell")&gt;0,LEFT(O$46,15)="Improved Damage"),1,0)+O107+MAX(O108,P108)+DamageBonus,"")</f>
        <v/>
      </c>
      <c r="Y106" s="1053" t="str">
        <f>IF(Y$11&lt;&gt;"",MAX(IF(LEFT(Y$46,15)="Improved Damage",2,0),IF(LEFT(Y$47,15)="Superior Damage",5,0))+IF(AND(Y$12="Ranged",COUNTIF(Y$56:Y$59,"Pulse Charger")&gt;0),Y$78,0)+IF(INDEX(WeaponTable,MATCH(Y$11,WeaponList,0),19)&lt;&gt;"",INDEX(WeaponTable,MATCH(Y$11,WeaponList,0),19),0)+IF(AND(Y$12="Ranged",COUNTIF(Y$56:Y$59,"Improved Energy Cell")&gt;0,LEFT(Y$46,15)="Improved Damage"),1,0)+Y107+MAX(Y108,Z108)+DamageBonus,"")</f>
        <v/>
      </c>
      <c r="AI106" s="1053" t="str">
        <f>IF(AI$11&lt;&gt;"",MAX(IF(LEFT(AI$46,15)="Improved Damage",2,0),IF(LEFT(AI$47,15)="Superior Damage",5,0))+IF(AND(AI$12="Ranged",COUNTIF(AI$56:AI$59,"Pulse Charger")&gt;0),AI$78,0)+IF(INDEX(WeaponTable,MATCH(AI$11,WeaponList,0),19)&lt;&gt;"",INDEX(WeaponTable,MATCH(AI$11,WeaponList,0),19),0)+IF(AND(AI$12="Ranged",COUNTIF(AI$56:AI$59,"Improved Energy Cell")&gt;0,LEFT(AI$46,15)="Improved Damage"),1,0)+AI107+MAX(AI108,AJ108)+DamageBonus,"")</f>
        <v/>
      </c>
      <c r="AS106" s="1053" t="str">
        <f>IF(AS$11&lt;&gt;"",MAX(IF(LEFT(AS$46,15)="Improved Damage",2,0),IF(LEFT(AS$47,15)="Superior Damage",5,0))+IF(AND(AS$12="Ranged",COUNTIF(AS$56:AS$59,"Pulse Charger")&gt;0),AS$78,0)+IF(INDEX(WeaponTable,MATCH(AS$11,WeaponList,0),19)&lt;&gt;"",INDEX(WeaponTable,MATCH(AS$11,WeaponList,0),19),0)+IF(AND(AS$12="Ranged",COUNTIF(AS$56:AS$59,"Improved Energy Cell")&gt;0,LEFT(AS$46,15)="Improved Damage"),1,0)+AS107+MAX(AS108,AT108)+DamageBonus,"")</f>
        <v/>
      </c>
      <c r="BB106" s="78"/>
      <c r="BC106" s="1053" t="str">
        <f>IF(BC$11&lt;&gt;"",MAX(IF(LEFT(BC$46,15)="Improved Damage",2,0),IF(LEFT(BC$47,15)="Superior Damage",5,0))+IF(AND(BC$12="Ranged",COUNTIF(BC$56:BC$59,"Pulse Charger")&gt;0),BC$78,0)+IF(INDEX(WeaponTable,MATCH(BC$11,WeaponList,0),19)&lt;&gt;"",INDEX(WeaponTable,MATCH(BC$11,WeaponList,0),19),0)+IF(AND(BC$12="Ranged",COUNTIF(BC$56:BC$59,"Improved Energy Cell")&gt;0,LEFT(BC$46,15)="Improved Damage"),1,0)+BC107+MAX(BC108,BD108)+DamageBonus,"")</f>
        <v/>
      </c>
      <c r="BD106" s="508"/>
      <c r="BE106" s="508"/>
      <c r="BF106" s="20"/>
      <c r="BK106" s="1100"/>
    </row>
    <row r="107" spans="3:63" hidden="1">
      <c r="C107" s="78" t="s">
        <v>4179</v>
      </c>
      <c r="E107" s="1053" t="e">
        <f ca="1">IF(AND(INDEX(WeaponTable,MATCH(E$11,WeaponList,0),5),CharacterLevel&gt;=7,OR(COUNTIF(E$56:E$59,"Daminia Crystal")&gt;0,COUNTIF(E$56:E$59, "Nextor Crystal")&gt;0,COUNTIF(E$56:E$59,"Sapith Crystal")&gt;0,COUNTIF(E$56:E$59,"Sigil Crystal")&gt;0)),2,0)</f>
        <v>#N/A</v>
      </c>
      <c r="O107" s="1053" t="e">
        <f ca="1">IF(AND(INDEX(WeaponTable,MATCH(O$11,WeaponList,0),5),CharacterLevel&gt;=7,OR(COUNTIF(O$56:O$59,"Daminia Crystal")&gt;0,COUNTIF(O$56:O$59, "Nextor Crystal")&gt;0,COUNTIF(O$56:O$59,"Sapith Crystal")&gt;0,COUNTIF(O$56:O$59,"Sigil Crystal")&gt;0)),2,0)</f>
        <v>#N/A</v>
      </c>
      <c r="Y107" s="1053" t="e">
        <f ca="1">IF(AND(INDEX(WeaponTable,MATCH(Y$11,WeaponList,0),5),CharacterLevel&gt;=7,OR(COUNTIF(Y$56:Y$59,"Daminia Crystal")&gt;0,COUNTIF(Y$56:Y$59, "Nextor Crystal")&gt;0,COUNTIF(Y$56:Y$59,"Sapith Crystal")&gt;0,COUNTIF(Y$56:Y$59,"Sigil Crystal")&gt;0)),2,0)</f>
        <v>#N/A</v>
      </c>
      <c r="AI107" s="1053" t="e">
        <f ca="1">IF(AND(INDEX(WeaponTable,MATCH(AI$11,WeaponList,0),5),CharacterLevel&gt;=7,OR(COUNTIF(AI$56:AI$59,"Daminia Crystal")&gt;0,COUNTIF(AI$56:AI$59, "Nextor Crystal")&gt;0,COUNTIF(AI$56:AI$59,"Sapith Crystal")&gt;0,COUNTIF(AI$56:AI$59,"Sigil Crystal")&gt;0)),2,0)</f>
        <v>#N/A</v>
      </c>
      <c r="AS107" s="1053" t="e">
        <f ca="1">IF(AND(INDEX(WeaponTable,MATCH(AS$11,WeaponList,0),5),CharacterLevel&gt;=7,OR(COUNTIF(AS$56:AS$59,"Daminia Crystal")&gt;0,COUNTIF(AS$56:AS$59, "Nextor Crystal")&gt;0,COUNTIF(AS$56:AS$59,"Sapith Crystal")&gt;0,COUNTIF(AS$56:AS$59,"Sigil Crystal")&gt;0)),2,0)</f>
        <v>#N/A</v>
      </c>
      <c r="BB107" s="78"/>
      <c r="BC107" s="1053" t="e">
        <f ca="1">IF(AND(INDEX(WeaponTable,MATCH(BC$11,WeaponList,0),5),CharacterLevel&gt;=7,OR(COUNTIF(BC$56:BC$59,"Daminia Crystal")&gt;0,COUNTIF(BC$56:BC$59, "Nextor Crystal")&gt;0,COUNTIF(BC$56:BC$59,"Sapith Crystal")&gt;0,COUNTIF(BC$56:BC$59,"Sigil Crystal")&gt;0)),2,0)</f>
        <v>#N/A</v>
      </c>
      <c r="BD107" s="508"/>
      <c r="BE107" s="508"/>
      <c r="BF107" s="20"/>
      <c r="BK107" s="1100"/>
    </row>
    <row r="108" spans="3:63" hidden="1">
      <c r="C108" s="78" t="s">
        <v>2966</v>
      </c>
      <c r="E108" s="1053">
        <f ca="1">IF(ISERROR(FIND("Weapon Specialization ("&amp;INDEX(WeaponTable,MATCH(E$11,WeaponList,0),5)&amp;")",FeatsTakenList&amp;TalentsTakenBlankList,1)),0,2)+IF(ISERROR(FIND("Greater Weapon Specialization ("&amp;INDEX(WeaponTable,MATCH(E$11,WeaponList,0),5)&amp;")",FeatsTakenList&amp;TalentsTakenBlankList,1)),0,2)</f>
        <v>0</v>
      </c>
      <c r="F108" s="1131" t="e">
        <f ca="1">IF(AND(Talents!$M$1004&gt;0,F74="EWP",OR(NOT(ISERROR(FIND("Weapon Specialization ("&amp;Feats!$D$100&amp;")",FeatsTakenList&amp;TalentsTakenBlankList,1))),NOT(ISERROR(FIND("Weapon Specialization ("&amp;Feats!$D$101&amp;")",FeatsTakenList&amp;TalentsTakenBlankList,1))))),2,0)+IF(AND(Talents!$M$1004&gt;0,F74="EWP",OR(NOT(ISERROR(FIND("Greater Weapon Specialization ("&amp;Feats!$D$100&amp;")",FeatsTakenList&amp;TalentsTakenBlankList,1))),NOT(ISERROR(FIND("Weapon Specialization ("&amp;Feats!$D$101&amp;")",FeatsTakenList&amp;TalentsTakenBlankList,1))))),2,0)</f>
        <v>#N/A</v>
      </c>
      <c r="O108" s="1053">
        <f ca="1">IF(ISERROR(FIND("Weapon Specialization ("&amp;INDEX(WeaponTable,MATCH(O$11,WeaponList,0),5)&amp;")",FeatsTakenList&amp;TalentsTakenBlankList,1)),0,2)+IF(ISERROR(FIND("Greater Weapon Specialization ("&amp;INDEX(WeaponTable,MATCH(O$11,WeaponList,0),5)&amp;")",FeatsTakenList&amp;TalentsTakenBlankList,1)),0,2)</f>
        <v>0</v>
      </c>
      <c r="P108" s="1131" t="e">
        <f ca="1">IF(AND(Talents!$M$1004&gt;0,P74="EWP",OR(NOT(ISERROR(FIND("Weapon Specialization ("&amp;Feats!$D$100&amp;")",FeatsTakenList&amp;TalentsTakenBlankList,1))),NOT(ISERROR(FIND("Weapon Specialization ("&amp;Feats!$D$101&amp;")",FeatsTakenList&amp;TalentsTakenBlankList,1))))),2,0)+IF(AND(Talents!$M$1004&gt;0,P74="EWP",OR(NOT(ISERROR(FIND("Greater Weapon Specialization ("&amp;Feats!$D$100&amp;")",FeatsTakenList&amp;TalentsTakenBlankList,1))),NOT(ISERROR(FIND("Weapon Specialization ("&amp;Feats!$D$101&amp;")",FeatsTakenList&amp;TalentsTakenBlankList,1))))),2,0)</f>
        <v>#N/A</v>
      </c>
      <c r="Y108" s="1053">
        <f ca="1">IF(ISERROR(FIND("Weapon Specialization ("&amp;INDEX(WeaponTable,MATCH(Y$11,WeaponList,0),5)&amp;")",FeatsTakenList&amp;TalentsTakenBlankList,1)),0,2)+IF(ISERROR(FIND("Greater Weapon Specialization ("&amp;INDEX(WeaponTable,MATCH(Y$11,WeaponList,0),5)&amp;")",FeatsTakenList&amp;TalentsTakenBlankList,1)),0,2)</f>
        <v>0</v>
      </c>
      <c r="Z108" s="1131" t="e">
        <f ca="1">IF(AND(Talents!$M$1004&gt;0,Z74="EWP",OR(NOT(ISERROR(FIND("Weapon Specialization ("&amp;Feats!$D$100&amp;")",FeatsTakenList&amp;TalentsTakenBlankList,1))),NOT(ISERROR(FIND("Weapon Specialization ("&amp;Feats!$D$101&amp;")",FeatsTakenList&amp;TalentsTakenBlankList,1))))),2,0)+IF(AND(Talents!$M$1004&gt;0,Z74="EWP",OR(NOT(ISERROR(FIND("Greater Weapon Specialization ("&amp;Feats!$D$100&amp;")",FeatsTakenList&amp;TalentsTakenBlankList,1))),NOT(ISERROR(FIND("Weapon Specialization ("&amp;Feats!$D$101&amp;")",FeatsTakenList&amp;TalentsTakenBlankList,1))))),2,0)</f>
        <v>#N/A</v>
      </c>
      <c r="AI108" s="1053">
        <f ca="1">IF(ISERROR(FIND("Weapon Specialization ("&amp;INDEX(WeaponTable,MATCH(AI$11,WeaponList,0),5)&amp;")",FeatsTakenList&amp;TalentsTakenBlankList,1)),0,2)+IF(ISERROR(FIND("Greater Weapon Specialization ("&amp;INDEX(WeaponTable,MATCH(AI$11,WeaponList,0),5)&amp;")",FeatsTakenList&amp;TalentsTakenBlankList,1)),0,2)</f>
        <v>0</v>
      </c>
      <c r="AJ108" s="1131" t="e">
        <f ca="1">IF(AND(Talents!$M$1004&gt;0,AJ74="EWP",OR(NOT(ISERROR(FIND("Weapon Specialization ("&amp;Feats!$D$100&amp;")",FeatsTakenList&amp;TalentsTakenBlankList,1))),NOT(ISERROR(FIND("Weapon Specialization ("&amp;Feats!$D$101&amp;")",FeatsTakenList&amp;TalentsTakenBlankList,1))))),2,0)+IF(AND(Talents!$M$1004&gt;0,AJ74="EWP",OR(NOT(ISERROR(FIND("Greater Weapon Specialization ("&amp;Feats!$D$100&amp;")",FeatsTakenList&amp;TalentsTakenBlankList,1))),NOT(ISERROR(FIND("Weapon Specialization ("&amp;Feats!$D$101&amp;")",FeatsTakenList&amp;TalentsTakenBlankList,1))))),2,0)</f>
        <v>#N/A</v>
      </c>
      <c r="AS108" s="1053">
        <f ca="1">IF(ISERROR(FIND("Weapon Specialization ("&amp;INDEX(WeaponTable,MATCH(AS$11,WeaponList,0),5)&amp;")",FeatsTakenList&amp;TalentsTakenBlankList,1)),0,2)+IF(ISERROR(FIND("Greater Weapon Specialization ("&amp;INDEX(WeaponTable,MATCH(AS$11,WeaponList,0),5)&amp;")",FeatsTakenList&amp;TalentsTakenBlankList,1)),0,2)</f>
        <v>0</v>
      </c>
      <c r="AT108" s="1131" t="e">
        <f ca="1">IF(AND(Talents!$M$1004&gt;0,AT74="EWP",OR(NOT(ISERROR(FIND("Weapon Specialization ("&amp;Feats!$D$100&amp;")",FeatsTakenList&amp;TalentsTakenBlankList,1))),NOT(ISERROR(FIND("Weapon Specialization ("&amp;Feats!$D$101&amp;")",FeatsTakenList&amp;TalentsTakenBlankList,1))))),2,0)+IF(AND(Talents!$M$1004&gt;0,AT74="EWP",OR(NOT(ISERROR(FIND("Greater Weapon Specialization ("&amp;Feats!$D$100&amp;")",FeatsTakenList&amp;TalentsTakenBlankList,1))),NOT(ISERROR(FIND("Weapon Specialization ("&amp;Feats!$D$101&amp;")",FeatsTakenList&amp;TalentsTakenBlankList,1))))),2,0)</f>
        <v>#N/A</v>
      </c>
      <c r="BB108" s="78"/>
      <c r="BC108" s="1053">
        <f ca="1">IF(ISERROR(FIND("Weapon Specialization ("&amp;INDEX(WeaponTable,MATCH(BC$11,WeaponList,0),5)&amp;")",FeatsTakenList&amp;TalentsTakenBlankList,1)),0,2)+IF(ISERROR(FIND("Greater Weapon Specialization ("&amp;INDEX(WeaponTable,MATCH(BC$11,WeaponList,0),5)&amp;")",FeatsTakenList&amp;TalentsTakenBlankList,1)),0,2)</f>
        <v>0</v>
      </c>
      <c r="BD108" s="1131" t="e">
        <f ca="1">IF(AND(Talents!$M$1004&gt;0,BD74="EWP",OR(NOT(ISERROR(FIND("Weapon Specialization ("&amp;Feats!$D$100&amp;")",FeatsTakenList&amp;TalentsTakenBlankList,1))),NOT(ISERROR(FIND("Weapon Specialization ("&amp;Feats!$D$101&amp;")",FeatsTakenList&amp;TalentsTakenBlankList,1))))),2,0)+IF(AND(Talents!$M$1004&gt;0,BD74="EWP",OR(NOT(ISERROR(FIND("Greater Weapon Specialization ("&amp;Feats!$D$100&amp;")",FeatsTakenList&amp;TalentsTakenBlankList,1))),NOT(ISERROR(FIND("Weapon Specialization ("&amp;Feats!$D$101&amp;")",FeatsTakenList&amp;TalentsTakenBlankList,1))))),2,0)</f>
        <v>#N/A</v>
      </c>
      <c r="BE108" s="508"/>
      <c r="BF108" s="20"/>
      <c r="BK108" s="1100"/>
    </row>
    <row r="109" spans="3:63" hidden="1">
      <c r="E109" s="1053"/>
      <c r="O109" s="1053"/>
      <c r="Y109" s="1053"/>
      <c r="AI109" s="1053"/>
      <c r="AS109" s="1053"/>
      <c r="BB109" s="78"/>
      <c r="BC109" s="1053"/>
      <c r="BD109" s="508"/>
      <c r="BE109" s="508"/>
      <c r="BF109" s="20"/>
      <c r="BK109" s="1100"/>
    </row>
    <row r="110" spans="3:63" hidden="1">
      <c r="C110" s="78" t="s">
        <v>4180</v>
      </c>
      <c r="E110" s="1053" t="str">
        <f>IF(E$11&lt;&gt;"",IF(E12="Melee",BAB+E111,BAB+DexMod)+E112+E38+E113+E114,"")</f>
        <v/>
      </c>
      <c r="O110" s="1053" t="str">
        <f>IF(O$11&lt;&gt;"",IF(O12="Melee",BAB+O111,BAB+DexMod)+O112+O38+O113+O114,"")</f>
        <v/>
      </c>
      <c r="Y110" s="1053" t="str">
        <f>IF(Y$11&lt;&gt;"",IF(Y12="Melee",BAB+Y111,BAB+DexMod)+Y112+Y38+Y113+Y114,"")</f>
        <v/>
      </c>
      <c r="AI110" s="1053" t="str">
        <f>IF(AI$11&lt;&gt;"",IF(AI12="Melee",BAB+AI111,BAB+DexMod)+AI112+AI38+AI113+AI114,"")</f>
        <v/>
      </c>
      <c r="AS110" s="1053" t="str">
        <f>IF(AS$11&lt;&gt;"",IF(AS12="Melee",BAB+AS111,BAB+DexMod)+AS112+AS38+AS113+AS114,"")</f>
        <v/>
      </c>
      <c r="BB110" s="78"/>
      <c r="BC110" s="1053" t="str">
        <f>IF(BC$11&lt;&gt;"",IF(BC12="Melee",BAB+BC111,BAB+DexMod)+BC112+BC38+BC113+BC114,"")</f>
        <v/>
      </c>
      <c r="BD110" s="508"/>
      <c r="BE110" s="508"/>
      <c r="BF110" s="20"/>
      <c r="BK110" s="1100"/>
    </row>
    <row r="111" spans="3:63" hidden="1">
      <c r="C111" s="78" t="s">
        <v>4182</v>
      </c>
      <c r="E111" s="1053" t="e">
        <f ca="1">MAX(IF(AND(OR(E$15="Light",INDEX(WeaponTable,MATCH(E$11,WeaponList,0),5)="lightsabers"),Feats!$M$343&gt;0),DexMod,-5),IF(AND(OR(E$15="Light",INDEX(WeaponTable,MATCH(E$11,WeaponList,0),5)="lightsabers"),Talents!$M$152&gt;0),ChaMod,-5),StrMod)</f>
        <v>#N/A</v>
      </c>
      <c r="O111" s="1053" t="e">
        <f ca="1">MAX(IF(AND(OR(O$15="Light",INDEX(WeaponTable,MATCH(O$11,WeaponList,0),5)="lightsabers"),Feats!$M$343&gt;0),DexMod,-5),IF(AND(OR(O$15="Light",INDEX(WeaponTable,MATCH(O$11,WeaponList,0),5)="lightsabers"),Talents!$M$152&gt;0),ChaMod,-5),StrMod)</f>
        <v>#N/A</v>
      </c>
      <c r="Y111" s="1053" t="e">
        <f ca="1">MAX(IF(AND(OR(Y$15="Light",INDEX(WeaponTable,MATCH(Y$11,WeaponList,0),5)="lightsabers"),Feats!$M$343&gt;0),DexMod,-5),IF(AND(OR(Y$15="Light",INDEX(WeaponTable,MATCH(Y$11,WeaponList,0),5)="lightsabers"),Talents!$M$152&gt;0),ChaMod,-5),StrMod)</f>
        <v>#N/A</v>
      </c>
      <c r="AI111" s="1053" t="e">
        <f ca="1">MAX(IF(AND(OR(AI$15="Light",INDEX(WeaponTable,MATCH(AI$11,WeaponList,0),5)="lightsabers"),Feats!$M$343&gt;0),DexMod,-5),IF(AND(OR(AI$15="Light",INDEX(WeaponTable,MATCH(AI$11,WeaponList,0),5)="lightsabers"),Talents!$M$152&gt;0),ChaMod,-5),StrMod)</f>
        <v>#N/A</v>
      </c>
      <c r="AS111" s="1053" t="e">
        <f ca="1">MAX(IF(AND(OR(AS$15="Light",INDEX(WeaponTable,MATCH(AS$11,WeaponList,0),5)="lightsabers"),Feats!$M$343&gt;0),DexMod,-5),IF(AND(OR(AS$15="Light",INDEX(WeaponTable,MATCH(AS$11,WeaponList,0),5)="lightsabers"),Talents!$M$152&gt;0),ChaMod,-5),StrMod)</f>
        <v>#N/A</v>
      </c>
      <c r="BB111" s="78"/>
      <c r="BC111" s="1053" t="e">
        <f ca="1">MAX(IF(AND(OR(BC$15="Light",INDEX(WeaponTable,MATCH(BC$11,WeaponList,0),5)="lightsabers"),Feats!$M$343&gt;0),DexMod,-5),IF(AND(OR(BC$15="Light",INDEX(WeaponTable,MATCH(BC$11,WeaponList,0),5)="lightsabers"),Talents!$M$152&gt;0),ChaMod,-5),StrMod)</f>
        <v>#N/A</v>
      </c>
      <c r="BD111" s="508"/>
      <c r="BE111" s="508"/>
      <c r="BF111" s="20"/>
      <c r="BK111" s="1100"/>
    </row>
    <row r="112" spans="3:63" hidden="1">
      <c r="C112" s="78" t="s">
        <v>4181</v>
      </c>
      <c r="E112" s="1053">
        <f>IF(E$11&lt;&gt;"",IF(OR(F76="U",Bioimplant=4,NOT(ISERROR(FIND(E$13,FeatsTakenList,1))),NOT(ISERROR(FIND(G$74,FeatsTakenList,1))),AND(OR(Talents!$M$1004&gt;0,Talents!$M$946&gt;0),F74="EWP")),0,-5),0)</f>
        <v>0</v>
      </c>
      <c r="O112" s="1053">
        <f>IF(O$11&lt;&gt;"",IF(OR(P76="U",Bioimplant=4,NOT(ISERROR(FIND(O$13,FeatsTakenList,1))),NOT(ISERROR(FIND(Q$74,FeatsTakenList,1))),AND(OR(Talents!$M$1004&gt;0,Talents!$M$946&gt;0),P74="EWP")),0,-5),0)</f>
        <v>0</v>
      </c>
      <c r="Y112" s="1053">
        <f>IF(Y$11&lt;&gt;"",IF(OR(Z76="U",Bioimplant=4,COUNTIF('Character Sheet 2'!$CB$171:$FP$225,Y$13)&gt;0,COUNTIF('Character Sheet 2'!$CB$171:$FP$225,AA$74)&gt;0,AND(OR(Talents!$M$1004&gt;0,Talents!$M$946&gt;0),Z74="EWP")),0,-5),0)</f>
        <v>0</v>
      </c>
      <c r="AI112" s="1053">
        <f>IF(AI$11&lt;&gt;"",IF(OR(AJ76="U",Bioimplant=4,COUNTIF('Character Sheet 2'!$CB$171:$FP$225,AI$13)&gt;0,COUNTIF('Character Sheet 2'!$CB$171:$FP$225,AK$74)&gt;0,AND(OR(Talents!$M$1004&gt;0,Talents!$M$946&gt;0),AJ74="EWP")),0,-5),0)</f>
        <v>0</v>
      </c>
      <c r="AS112" s="1053">
        <f>IF(AS$11&lt;&gt;"",IF(OR(AT76="U",Bioimplant=4,COUNTIF('Character Sheet 2'!$CB$171:$FP$225,AS$13)&gt;0,COUNTIF('Character Sheet 2'!$CB$171:$FP$225,AU$74)&gt;0,AND(OR(Talents!$M$1004&gt;0,Talents!$M$946&gt;0),AT74="EWP")),0,-5),0)</f>
        <v>0</v>
      </c>
      <c r="BB112" s="78"/>
      <c r="BC112" s="1053">
        <f>IF(BC$11&lt;&gt;"",IF(OR(BD76="U",Bioimplant=4,COUNTIF('Character Sheet 2'!$CB$171:$FP$225,BC$13)&gt;0,COUNTIF('Character Sheet 2'!$CB$171:$FP$225,BE$74)&gt;0,AND(OR(Talents!$M$1004&gt;0,Talents!$M$946&gt;0),BD74="EWP")),0,-5),0)</f>
        <v>0</v>
      </c>
      <c r="BD112" s="508"/>
      <c r="BE112" s="508"/>
      <c r="BF112" s="20"/>
      <c r="BK112" s="1100"/>
    </row>
    <row r="113" spans="3:63" s="859" customFormat="1" hidden="1">
      <c r="C113" s="78" t="s">
        <v>4542</v>
      </c>
      <c r="D113" s="842"/>
      <c r="E113" s="1053" t="e">
        <f ca="1">IF(AND(E76="rifles",OR(AND(E16="",E15="One-Handed"),E16&lt;&gt;"Two-Handed")),-5,0)+IF(E$16="Dual Wield",IF(DualWeap3&gt;0,0,IF(DualWeap2&gt;0,-2,IF(DualWeap1&gt;0,-5,-10))))</f>
        <v>#N/A</v>
      </c>
      <c r="F113" s="508"/>
      <c r="G113" s="508"/>
      <c r="H113" s="20"/>
      <c r="I113" s="20"/>
      <c r="J113" s="20"/>
      <c r="K113" s="20"/>
      <c r="L113" s="20"/>
      <c r="M113" s="1046"/>
      <c r="N113" s="842"/>
      <c r="O113" s="1053" t="e">
        <f ca="1">IF(AND(O76="rifles",OR(AND(O16="",O15="One-Handed"),O16&lt;&gt;"Two-Handed")),-5,0)+IF(O$16="Dual Wield",IF(DualWeap3&gt;0,0,IF(DualWeap2&gt;0,-2,IF(DualWeap1&gt;0,-5,-10))))</f>
        <v>#N/A</v>
      </c>
      <c r="P113" s="508"/>
      <c r="Q113" s="508"/>
      <c r="R113" s="20"/>
      <c r="S113" s="20"/>
      <c r="T113" s="20"/>
      <c r="U113" s="20"/>
      <c r="V113" s="20"/>
      <c r="W113" s="1046"/>
      <c r="X113" s="842"/>
      <c r="Y113" s="1053" t="e">
        <f ca="1">IF(AND(Y76="rifles",OR(AND(Y16="",Y15="One-Handed"),Y16&lt;&gt;"Two-Handed")),-5,0)+IF(Y$16="Dual Wield",IF(DualWeap3&gt;0,0,IF(DualWeap2&gt;0,-2,IF(DualWeap1&gt;0,-5,-10))))</f>
        <v>#N/A</v>
      </c>
      <c r="Z113" s="508"/>
      <c r="AA113" s="508"/>
      <c r="AB113" s="20"/>
      <c r="AC113" s="20"/>
      <c r="AD113" s="20"/>
      <c r="AE113" s="20"/>
      <c r="AF113" s="20"/>
      <c r="AG113" s="1046"/>
      <c r="AH113" s="842"/>
      <c r="AI113" s="1053" t="e">
        <f ca="1">IF(AND(AI76="rifles",OR(AND(AI16="",AI15="One-Handed"),AI16&lt;&gt;"Two-Handed")),-5,0)+IF(AI$16="Dual Wield",IF(DualWeap3&gt;0,0,IF(DualWeap2&gt;0,-2,IF(DualWeap1&gt;0,-5,-10))))</f>
        <v>#N/A</v>
      </c>
      <c r="AJ113" s="508"/>
      <c r="AK113" s="508"/>
      <c r="AL113" s="20"/>
      <c r="AM113" s="20"/>
      <c r="AN113" s="20"/>
      <c r="AO113" s="20"/>
      <c r="AP113" s="20"/>
      <c r="AQ113" s="1046"/>
      <c r="AR113" s="842"/>
      <c r="AS113" s="1053" t="e">
        <f ca="1">IF(AND(AS76="rifles",OR(AND(AS16="",AS15="One-Handed"),AS16&lt;&gt;"Two-Handed")),-5,0)+IF(AS$16="Dual Wield",IF(DualWeap3&gt;0,0,IF(DualWeap2&gt;0,-2,IF(DualWeap1&gt;0,-5,-10))))</f>
        <v>#N/A</v>
      </c>
      <c r="AT113" s="508"/>
      <c r="AU113" s="508"/>
      <c r="AV113" s="20"/>
      <c r="AW113" s="20"/>
      <c r="AX113" s="20"/>
      <c r="AY113" s="20"/>
      <c r="AZ113" s="20"/>
      <c r="BA113" s="1046"/>
      <c r="BB113" s="78"/>
      <c r="BC113" s="1053" t="e">
        <f ca="1">IF(AND(BC76="rifles",OR(AND(BC16="",BC15="One-Handed"),BC16&lt;&gt;"Two-Handed")),-5,0)+IF(BC$16="Dual Wield",IF(DualWeap3&gt;0,0,IF(DualWeap2&gt;0,-2,IF(DualWeap1&gt;0,-5,-10))))</f>
        <v>#N/A</v>
      </c>
      <c r="BD113" s="508"/>
      <c r="BE113" s="508"/>
      <c r="BF113" s="20"/>
      <c r="BG113" s="16"/>
      <c r="BH113" s="16"/>
      <c r="BI113" s="16"/>
      <c r="BJ113" s="16"/>
      <c r="BK113" s="1100"/>
    </row>
    <row r="114" spans="3:63" s="869" customFormat="1" hidden="1">
      <c r="C114" s="78" t="s">
        <v>4609</v>
      </c>
      <c r="D114" s="842"/>
      <c r="E114" s="1053">
        <f>ArmorPenalty</f>
        <v>0</v>
      </c>
      <c r="F114" s="508"/>
      <c r="G114" s="508"/>
      <c r="H114" s="20"/>
      <c r="I114" s="20"/>
      <c r="J114" s="20"/>
      <c r="K114" s="20"/>
      <c r="L114" s="20"/>
      <c r="M114" s="1046"/>
      <c r="N114" s="842"/>
      <c r="O114" s="1053">
        <f>ArmorPenalty</f>
        <v>0</v>
      </c>
      <c r="P114" s="508"/>
      <c r="Q114" s="508"/>
      <c r="R114" s="20"/>
      <c r="S114" s="20"/>
      <c r="T114" s="20"/>
      <c r="U114" s="20"/>
      <c r="V114" s="20"/>
      <c r="W114" s="1046"/>
      <c r="X114" s="842"/>
      <c r="Y114" s="1053">
        <f>ArmorPenalty</f>
        <v>0</v>
      </c>
      <c r="Z114" s="508"/>
      <c r="AA114" s="508"/>
      <c r="AB114" s="20"/>
      <c r="AC114" s="20"/>
      <c r="AD114" s="20"/>
      <c r="AE114" s="20"/>
      <c r="AF114" s="20"/>
      <c r="AG114" s="1046"/>
      <c r="AH114" s="842"/>
      <c r="AI114" s="1053">
        <f>ArmorPenalty</f>
        <v>0</v>
      </c>
      <c r="AJ114" s="508"/>
      <c r="AK114" s="508"/>
      <c r="AL114" s="20"/>
      <c r="AM114" s="20"/>
      <c r="AN114" s="20"/>
      <c r="AO114" s="20"/>
      <c r="AP114" s="20"/>
      <c r="AQ114" s="1046"/>
      <c r="AR114" s="842"/>
      <c r="AS114" s="1053">
        <f>ArmorPenalty</f>
        <v>0</v>
      </c>
      <c r="AT114" s="508"/>
      <c r="AU114" s="508"/>
      <c r="AV114" s="20"/>
      <c r="AW114" s="20"/>
      <c r="AX114" s="20"/>
      <c r="AY114" s="20"/>
      <c r="AZ114" s="20"/>
      <c r="BA114" s="1046"/>
      <c r="BB114" s="78"/>
      <c r="BC114" s="1053">
        <f>ArmorPenalty</f>
        <v>0</v>
      </c>
      <c r="BD114" s="508"/>
      <c r="BE114" s="508"/>
      <c r="BF114" s="20"/>
      <c r="BG114" s="16"/>
      <c r="BH114" s="16"/>
      <c r="BI114" s="16"/>
      <c r="BJ114" s="16"/>
      <c r="BK114" s="1100"/>
    </row>
    <row r="115" spans="3:63" hidden="1">
      <c r="BB115" s="78"/>
      <c r="BC115" s="508"/>
      <c r="BD115" s="508"/>
      <c r="BE115" s="508"/>
      <c r="BF115" s="20"/>
      <c r="BK115" s="1100"/>
    </row>
    <row r="116" spans="3:63" hidden="1">
      <c r="C116" s="78" t="s">
        <v>4183</v>
      </c>
      <c r="E116" s="1053" t="str">
        <f>IF(E$11&lt;&gt;"",IF(E$12="Melee",IF(Talents!$M$541&gt;0,1,0)+E117+E118*E119+E39,E39+E117),"")</f>
        <v/>
      </c>
      <c r="O116" s="1053" t="str">
        <f>IF(O$11&lt;&gt;"",IF(O$12="Melee",IF(Talents!$M$541&gt;0,1,0)+O117+O118*O119+O39,O39+O117),"")</f>
        <v/>
      </c>
      <c r="Y116" s="1053" t="str">
        <f>IF(Y$11&lt;&gt;"",IF(Y$12="Melee",IF(Talents!$M$541&gt;0,1,0)+Y117+Y118*Y119+Y39,Y39+Y117),"")</f>
        <v/>
      </c>
      <c r="AI116" s="1053" t="str">
        <f>IF(AI$11&lt;&gt;"",IF(AI$12="Melee",IF(Talents!$M$541&gt;0,1,0)+AI117+AI118*AI119+AI39,AI39+AI117),"")</f>
        <v/>
      </c>
      <c r="AS116" s="1053" t="str">
        <f>IF(AS$11&lt;&gt;"",IF(AS$12="Melee",IF(Talents!$M$541&gt;0,1,0)+AS117+AS118*AS119+AS39,AS39+AS117),"")</f>
        <v/>
      </c>
      <c r="BB116" s="78"/>
      <c r="BC116" s="1053" t="str">
        <f>IF(BC$11&lt;&gt;"",IF(BC$12="Melee",IF(Talents!$M$541&gt;0,1,0)+BC117+BC118*BC119+BC39,BC39+BC117),"")</f>
        <v/>
      </c>
      <c r="BD116" s="508"/>
      <c r="BE116" s="508"/>
      <c r="BF116" s="20"/>
      <c r="BK116" s="1100"/>
    </row>
    <row r="117" spans="3:63" hidden="1">
      <c r="C117" s="78" t="s">
        <v>2243</v>
      </c>
      <c r="E117" s="508" t="e">
        <f ca="1">INT(HeroicLevel/2)+IF(E76="pistols",IF(TrustySidearm&lt;&gt;"",INT(Data!$CT$23/2),0),0)+IF(AND(E76="rifles",Talents!$M$1014&gt;0),IF(TrustySidearm&lt;&gt;"",INT(Data!$CT$23/2),0),0)</f>
        <v>#N/A</v>
      </c>
      <c r="O117" s="508" t="e">
        <f ca="1">INT(HeroicLevel/2)+IF(O76="pistols",IF(TrustySidearm&lt;&gt;"",INT(Data!$CT$23/2),0),0)+IF(AND(O76="rifles",Talents!$M$1014&gt;0),IF(TrustySidearm&lt;&gt;"",INT(Data!$CT$23/2),0),0)</f>
        <v>#N/A</v>
      </c>
      <c r="Y117" s="508" t="e">
        <f ca="1">INT(HeroicLevel/2)+IF(Y76="pistols",IF(TrustySidearm&lt;&gt;"",INT(Data!$CT$23/2),0),0)+IF(AND(Y76="rifles",Talents!$M$1014&gt;0),IF(TrustySidearm&lt;&gt;"",INT(Data!$CT$23/2),0),0)</f>
        <v>#N/A</v>
      </c>
      <c r="AI117" s="508" t="e">
        <f ca="1">INT(HeroicLevel/2)+IF(AI76="pistols",IF(TrustySidearm&lt;&gt;"",INT(Data!$CT$23/2),0),0)+IF(AND(AI76="rifles",Talents!$M$1014&gt;0),IF(TrustySidearm&lt;&gt;"",INT(Data!$CT$23/2),0),0)</f>
        <v>#N/A</v>
      </c>
      <c r="AS117" s="508" t="e">
        <f ca="1">INT(HeroicLevel/2)+IF(AS76="pistols",IF(TrustySidearm&lt;&gt;"",INT(Data!$CT$23/2),0),0)+IF(AND(AS76="rifles",Talents!$M$1014&gt;0),IF(TrustySidearm&lt;&gt;"",INT(Data!$CT$23/2),0),0)</f>
        <v>#N/A</v>
      </c>
      <c r="BB117" s="78"/>
      <c r="BC117" s="508" t="e">
        <f ca="1">INT(HeroicLevel/2)+IF(BC76="pistols",IF(TrustySidearm&lt;&gt;"",INT(Data!$CT$23/2),0),0)+IF(AND(BC76="rifles",Talents!$M$1014&gt;0),IF(TrustySidearm&lt;&gt;"",INT(Data!$CT$23/2),0),0)</f>
        <v>#N/A</v>
      </c>
      <c r="BD117" s="508"/>
      <c r="BE117" s="508"/>
      <c r="BF117" s="20"/>
      <c r="BK117" s="1100"/>
    </row>
    <row r="118" spans="3:63" hidden="1">
      <c r="C118" s="78" t="s">
        <v>4184</v>
      </c>
      <c r="E118" s="508">
        <f>IF(AND(E$12="Melee",OR(E$16="Two-Handed",AND(E$16="",E$15="Two-Handed"))),IF(E$11="Long-handle lightsaber (d10)",1,2),IF(AND(E$11="Unarmed",Talents!$M$538&gt;0),2,1))</f>
        <v>1</v>
      </c>
      <c r="O118" s="508">
        <f>IF(AND(O$12="Melee",OR(O$16="Two-Handed",AND(O$16="",O$15="Two-Handed"))),IF(O$11="Long-handle lightsaber (d10)",1,2),IF(AND(O$11="Unarmed",Talents!$M$538&gt;0),2,1))</f>
        <v>1</v>
      </c>
      <c r="Y118" s="508">
        <f>IF(AND(Y$12="Melee",OR(Y$16="Two-Handed",AND(Y$16="",Y$15="Two-Handed"))),IF(Y$11="Long-handle lightsaber (d10)",1,2),IF(AND(Y$11="Unarmed",Talents!$M$538&gt;0),2,1))</f>
        <v>1</v>
      </c>
      <c r="AI118" s="508">
        <f>IF(AND(AI$12="Melee",OR(AI$16="Two-Handed",AND(AI$16="",AI$15="Two-Handed"))),IF(AI$11="Long-handle lightsaber (d10)",1,2),IF(AND(AI$11="Unarmed",Talents!$M$538&gt;0),2,1))</f>
        <v>1</v>
      </c>
      <c r="AS118" s="508">
        <f>IF(AND(AS$12="Melee",OR(AS$16="Two-Handed",AND(AS$16="",AS$15="Two-Handed"))),IF(AS$11="Long-handle lightsaber (d10)",1,2),IF(AND(AS$11="Unarmed",Talents!$M$538&gt;0),2,1))</f>
        <v>1</v>
      </c>
      <c r="BB118" s="78"/>
      <c r="BC118" s="508">
        <f>IF(AND(BC$12="Melee",OR(BC$16="Two-Handed",AND(BC$16="",BC$15="Two-Handed"))),IF(BC$11="Long-handle lightsaber (d10)",1,2),IF(AND(BC$11="Unarmed",Talents!$M$538&gt;0),2,1))</f>
        <v>1</v>
      </c>
      <c r="BD118" s="508"/>
      <c r="BE118" s="508"/>
      <c r="BF118" s="20"/>
      <c r="BK118" s="1100"/>
    </row>
    <row r="119" spans="3:63" hidden="1">
      <c r="C119" s="78" t="s">
        <v>4182</v>
      </c>
      <c r="E119" s="508" t="e">
        <f ca="1">MAX(IF(OR(AND(INDEX(WeaponTable,MATCH(E$11,WeaponList,0),5)="lightsabers",Talents!$M$1153&gt;0),AND(INDEX(WeaponTable,MATCH(E$11,WeaponList,0),5)="advanced melee",Talents!$M$1203&gt;0,E$15="Light")),DexMod,-5),StrMod+IF(Talents!M766&gt;0,StrMod,0))</f>
        <v>#N/A</v>
      </c>
      <c r="O119" s="508" t="e">
        <f ca="1">MAX(IF(OR(AND(INDEX(WeaponTable,MATCH(O$11,WeaponList,0),5)="lightsabers",Talents!$M$1153&gt;0),AND(INDEX(WeaponTable,MATCH(O$11,WeaponList,0),5)="advanced melee",Talents!$M$1203&gt;0,O$15="Light")),DexMod,-5),StrMod)</f>
        <v>#N/A</v>
      </c>
      <c r="Y119" s="508" t="e">
        <f ca="1">MAX(IF(OR(AND(INDEX(WeaponTable,MATCH(Y$11,WeaponList,0),5)="lightsabers",Talents!$M$1153&gt;0),AND(INDEX(WeaponTable,MATCH(Y$11,WeaponList,0),5)="advanced melee",Talents!$M$1203&gt;0,Y$15="Light")),DexMod,-5),StrMod)</f>
        <v>#N/A</v>
      </c>
      <c r="AI119" s="508" t="e">
        <f ca="1">MAX(IF(OR(AND(INDEX(WeaponTable,MATCH(AI$11,WeaponList,0),5)="lightsabers",Talents!$M$1153&gt;0),AND(INDEX(WeaponTable,MATCH(AI$11,WeaponList,0),5)="advanced melee",Talents!$M$1203&gt;0,AI$15="Light")),DexMod,-5),StrMod)</f>
        <v>#N/A</v>
      </c>
      <c r="AS119" s="508" t="e">
        <f ca="1">MAX(IF(OR(AND(INDEX(WeaponTable,MATCH(AS$11,WeaponList,0),5)="lightsabers",Talents!$M$1153&gt;0),AND(INDEX(WeaponTable,MATCH(AS$11,WeaponList,0),5)="advanced melee",Talents!$M$1203&gt;0,AS$15="Light")),DexMod,-5),StrMod)</f>
        <v>#N/A</v>
      </c>
      <c r="BB119" s="78"/>
      <c r="BC119" s="508" t="e">
        <f ca="1">MAX(IF(OR(AND(INDEX(WeaponTable,MATCH(BC$11,WeaponList,0),5)="lightsabers",Talents!$M$1153&gt;0),AND(INDEX(WeaponTable,MATCH(BC$11,WeaponList,0),5)="advanced melee",Talents!$M$1203&gt;0,BC$15="Light")),DexMod,-5),StrMod)</f>
        <v>#N/A</v>
      </c>
      <c r="BD119" s="508"/>
      <c r="BE119" s="508"/>
      <c r="BF119" s="20"/>
      <c r="BK119" s="1100"/>
    </row>
    <row r="120" spans="3:63" hidden="1">
      <c r="BB120" s="78"/>
      <c r="BC120" s="508"/>
      <c r="BD120" s="508"/>
      <c r="BE120" s="508"/>
      <c r="BF120" s="20"/>
      <c r="BK120" s="1100"/>
    </row>
    <row r="121" spans="3:63" hidden="1">
      <c r="C121" s="78" t="s">
        <v>4541</v>
      </c>
      <c r="E121" s="508" t="e">
        <f ca="1">IF(OR(INDEX(WeaponTable,MATCH(E$11,WeaponList,0),24),COUNTIF(E56:E59,"Retractable Stock")&gt;0),"Retractable Stock","")</f>
        <v>#N/A</v>
      </c>
      <c r="O121" s="508" t="e">
        <f ca="1">IF(OR(INDEX(WeaponTable,MATCH(O$11,WeaponList,0),24),COUNTIF(O56:O59,"Retractable Stock")&gt;0),"Retractable Stock","")</f>
        <v>#N/A</v>
      </c>
      <c r="Y121" s="508" t="e">
        <f ca="1">IF(OR(INDEX(WeaponTable,MATCH(Y$11,WeaponList,0),24),COUNTIF(Y56:Y59,"Retractable Stock")&gt;0),"Retractable Stock","")</f>
        <v>#N/A</v>
      </c>
      <c r="AI121" s="508" t="e">
        <f ca="1">IF(OR(INDEX(WeaponTable,MATCH(AI$11,WeaponList,0),24),COUNTIF(AI56:AI59,"Retractable Stock")&gt;0),"Retractable Stock","")</f>
        <v>#N/A</v>
      </c>
      <c r="AS121" s="508" t="e">
        <f ca="1">IF(OR(INDEX(WeaponTable,MATCH(AS$11,WeaponList,0),24),COUNTIF(AS56:AS59,"Retractable Stock")&gt;0),"Retractable Stock","")</f>
        <v>#N/A</v>
      </c>
      <c r="BB121" s="78"/>
      <c r="BC121" s="508" t="e">
        <f ca="1">IF(OR(INDEX(WeaponTable,MATCH(BC$11,WeaponList,0),24),COUNTIF(BC56:BC59,"Retractable Stock")&gt;0),"Retractable Stock","")</f>
        <v>#N/A</v>
      </c>
      <c r="BD121" s="508"/>
      <c r="BE121" s="508"/>
      <c r="BF121" s="20"/>
      <c r="BK121" s="1100"/>
    </row>
    <row r="122" spans="3:63" hidden="1">
      <c r="BB122" s="78"/>
      <c r="BC122" s="508"/>
      <c r="BD122" s="508"/>
      <c r="BE122" s="508"/>
      <c r="BF122" s="20"/>
      <c r="BK122" s="1100"/>
    </row>
    <row r="123" spans="3:63" hidden="1">
      <c r="C123" s="78" t="s">
        <v>5899</v>
      </c>
      <c r="E123" s="508" t="e">
        <f ca="1">IF(COUNTIF(E56:E59,"Ion Charger")&gt;0,"+2d6 ion","")&amp;IF(AND(F74="I",Feats!$M$157&gt;0),"+1d6","")</f>
        <v>#N/A</v>
      </c>
      <c r="O123" s="508" t="e">
        <f ca="1">IF(COUNTIF(O56:O59,"Ion Charger")&gt;0,"+2d6 ion","")&amp;IF(AND(P74="I",Feats!$M$157&gt;0),"+1d6","")</f>
        <v>#N/A</v>
      </c>
      <c r="Y123" s="508" t="e">
        <f ca="1">IF(COUNTIF(Y56:Y59,"Ion Charger")&gt;0,"+2d6 ion","")&amp;IF(AND(Z74="I",Feats!$M$157&gt;0),"+1d6","")</f>
        <v>#N/A</v>
      </c>
      <c r="AI123" s="508" t="e">
        <f ca="1">IF(COUNTIF(AI56:AI59,"Ion Charger")&gt;0,"+2d6 ion","")&amp;IF(AND(AJ74="I",Feats!$M$157&gt;0),"+1d6","")</f>
        <v>#N/A</v>
      </c>
      <c r="AS123" s="508" t="e">
        <f ca="1">IF(COUNTIF(AS56:AS59,"Ion Charger")&gt;0,"+2d6 ion","")&amp;IF(AND(AT74="I",Feats!$M$157&gt;0),"+1d6","")</f>
        <v>#N/A</v>
      </c>
      <c r="BB123" s="78"/>
      <c r="BC123" s="508" t="e">
        <f ca="1">IF(COUNTIF(BC56:BC59,"Ion Charger")&gt;0,"+2d6 ion","")&amp;IF(AND(BD74="I",Feats!$M$157&gt;0),"+1d6","")</f>
        <v>#N/A</v>
      </c>
      <c r="BD123" s="508"/>
      <c r="BE123" s="508"/>
      <c r="BF123" s="20"/>
      <c r="BK123" s="1100"/>
    </row>
    <row r="124" spans="3:63" hidden="1">
      <c r="BB124" s="78"/>
      <c r="BC124" s="508"/>
      <c r="BD124" s="508"/>
      <c r="BE124" s="508"/>
      <c r="BF124" s="20"/>
      <c r="BK124" s="1100"/>
    </row>
    <row r="125" spans="3:63" hidden="1">
      <c r="C125" s="78" t="s">
        <v>6011</v>
      </c>
      <c r="E125" s="508" t="e">
        <f ca="1">INDEX(WeaponTable,MATCH(E$11,WeaponList,0),31)</f>
        <v>#N/A</v>
      </c>
      <c r="O125" s="508" t="e">
        <f ca="1">INDEX(WeaponTable,MATCH(O$11,WeaponList,0),31)</f>
        <v>#N/A</v>
      </c>
      <c r="Y125" s="508" t="e">
        <f ca="1">INDEX(WeaponTable,MATCH(Y$11,WeaponList,0),31)</f>
        <v>#N/A</v>
      </c>
      <c r="AI125" s="508" t="e">
        <f ca="1">INDEX(WeaponTable,MATCH(AI$11,WeaponList,0),31)</f>
        <v>#N/A</v>
      </c>
      <c r="AS125" s="508" t="e">
        <f ca="1">INDEX(WeaponTable,MATCH(AS$11,WeaponList,0),31)</f>
        <v>#N/A</v>
      </c>
      <c r="BB125" s="78"/>
      <c r="BC125" s="508" t="e">
        <f ca="1">INDEX(WeaponTable,MATCH(BC$11,WeaponList,0),31)</f>
        <v>#N/A</v>
      </c>
      <c r="BD125" s="508"/>
      <c r="BE125" s="508"/>
      <c r="BF125" s="20"/>
      <c r="BK125" s="1100"/>
    </row>
    <row r="126" spans="3:63" hidden="1">
      <c r="BC126" s="508"/>
      <c r="BD126" s="508"/>
      <c r="BE126" s="508"/>
      <c r="BF126" s="20"/>
    </row>
    <row r="127" spans="3:63" hidden="1">
      <c r="C127" s="78" t="s">
        <v>2343</v>
      </c>
      <c r="E127" s="508" t="str">
        <f ca="1">IF(COUNTIF(FeatsCharacterSheet,F127)&gt;0,MIN(IF(F76&lt;&gt;"EWP",0,IF(NOT(ISERROR(FIND(Lists!$CC$8,TalentsTakenList,1))),Lists!$CD$8,0))-5,0)+IF(NOT(ISERROR(FIND(INDEX(MultiattackProficiencyTable,MATCH(E76,MultiattackProficiencyType,0),1),TalentsTakenList,1))),INDEX(MultiattackProficiencyTable,MATCH(E76,MultiattackProficiencyType,0),2),0),"")</f>
        <v/>
      </c>
      <c r="F127" s="508" t="e">
        <f ca="1">IF(F76="EWP",IF(OR(Talents!M946&gt;0,Talents!M1004&gt;0),"Double Attack ("&amp;Feats!D81&amp;")","Double Attack ("&amp;E76&amp;")"),"Double Attack ("&amp;E76&amp;")")</f>
        <v>#N/A</v>
      </c>
      <c r="O127" s="508" t="str">
        <f ca="1">IF(COUNTIF(FeatsCharacterSheet,P127)&gt;0,MIN(IF(P76&lt;&gt;"EWP",0,IF(NOT(ISERROR(FIND(Lists!$CC$8,TalentsTakenList,1))),Lists!$CD$8,0))-5,0)+IF(NOT(ISERROR(FIND(INDEX(MultiattackProficiencyTable,MATCH(O76,MultiattackProficiencyType,0),1),TalentsTakenList,1))),INDEX(MultiattackProficiencyTable,MATCH(O76,MultiattackProficiencyType,0),2),0),"")</f>
        <v/>
      </c>
      <c r="P127" s="508" t="e">
        <f ca="1">IF(P76="EWP",IF(OR(Talents!W946&gt;0,Talents!W1004&gt;0),"Double Attack ("&amp;Feats!N81&amp;")","Double Attack ("&amp;O76&amp;")"),"Double Attack ("&amp;O76&amp;")")</f>
        <v>#N/A</v>
      </c>
      <c r="Y127" s="508" t="str">
        <f ca="1">IF(COUNTIF(FeatsCharacterSheet,Z127)&gt;0,MIN(IF(Z76&lt;&gt;"EWP",0,IF(NOT(ISERROR(FIND(Lists!$CC$8,TalentsTakenList,1))),Lists!$CD$8,0))-5,0)+IF(NOT(ISERROR(FIND(INDEX(MultiattackProficiencyTable,MATCH(Y76,MultiattackProficiencyType,0),1),TalentsTakenList,1))),INDEX(MultiattackProficiencyTable,MATCH(Y76,MultiattackProficiencyType,0),2),0),"")</f>
        <v/>
      </c>
      <c r="Z127" s="508" t="e">
        <f ca="1">IF(Z76="EWP",IF(OR(Talents!AG946&gt;0,Talents!AG1004&gt;0),"Double Attack ("&amp;Feats!X81&amp;")","Double Attack ("&amp;Y76&amp;")"),"Double Attack ("&amp;Y76&amp;")")</f>
        <v>#N/A</v>
      </c>
      <c r="AI127" s="508" t="str">
        <f ca="1">IF(COUNTIF(FeatsCharacterSheet,AJ127)&gt;0,MIN(IF(AJ76&lt;&gt;"EWP",0,IF(NOT(ISERROR(FIND(Lists!$CC$8,TalentsTakenList,1))),Lists!$CD$8,0))-5,0)+IF(NOT(ISERROR(FIND(INDEX(MultiattackProficiencyTable,MATCH(AI76,MultiattackProficiencyType,0),1),TalentsTakenList,1))),INDEX(MultiattackProficiencyTable,MATCH(AI76,MultiattackProficiencyType,0),2),0),"")</f>
        <v/>
      </c>
      <c r="AJ127" s="508" t="e">
        <f ca="1">IF(AJ76="EWP",IF(OR(Talents!AQ946&gt;0,Talents!AQ1004&gt;0),"Double Attack ("&amp;Feats!AH71&amp;")","Double Attack ("&amp;AI76&amp;")"),"Double Attack ("&amp;AI76&amp;")")</f>
        <v>#N/A</v>
      </c>
      <c r="AS127" s="508" t="str">
        <f ca="1">IF(COUNTIF(FeatsCharacterSheet,AT127)&gt;0,MIN(IF(AT76&lt;&gt;"EWP",0,IF(NOT(ISERROR(FIND(Lists!$CC$8,TalentsTakenList,1))),Lists!$CD$8,0))-5,0)+IF(NOT(ISERROR(FIND(INDEX(MultiattackProficiencyTable,MATCH(AS76,MultiattackProficiencyType,0),1),TalentsTakenList,1))),INDEX(MultiattackProficiencyTable,MATCH(AS76,MultiattackProficiencyType,0),2),0),"")</f>
        <v/>
      </c>
      <c r="AT127" s="508" t="e">
        <f ca="1">IF(AT76="EWP",IF(OR(Talents!BA946&gt;0,Talents!BA1004&gt;0),"Double Attack ("&amp;Feats!AR71&amp;")","Double Attack ("&amp;AS76&amp;")"),"Double Attack ("&amp;AS76&amp;")")</f>
        <v>#N/A</v>
      </c>
      <c r="BC127" s="508" t="str">
        <f ca="1">IF(COUNTIF(FeatsCharacterSheet,BD127)&gt;0,MIN(IF(BD76&lt;&gt;"EWP",0,IF(NOT(ISERROR(FIND(Lists!$CC$8,TalentsTakenList,1))),Lists!$CD$8,0))-5,0)+IF(NOT(ISERROR(FIND(INDEX(MultiattackProficiencyTable,MATCH(BC76,MultiattackProficiencyType,0),1),TalentsTakenList,1))),INDEX(MultiattackProficiencyTable,MATCH(BC76,MultiattackProficiencyType,0),2),0),"")</f>
        <v/>
      </c>
      <c r="BD127" s="508" t="e">
        <f ca="1">IF(BD76="EWP",IF(OR(Talents!BK946&gt;0,Talents!BK1004&gt;0),"Double Attack ("&amp;Feats!BB71&amp;")","Double Attack ("&amp;BC76&amp;")"),"Double Attack ("&amp;BC76&amp;")")</f>
        <v>#N/A</v>
      </c>
      <c r="BE127" s="508"/>
      <c r="BF127" s="20"/>
    </row>
    <row r="128" spans="3:63" hidden="1">
      <c r="C128" s="78" t="s">
        <v>2511</v>
      </c>
      <c r="E128" s="508" t="str">
        <f ca="1">IF(COUNTIF(FeatsCharacterSheet,F128)&gt;0,MIN(IF(F76&lt;&gt;"EWP",0,IF(NOT(ISERROR(FIND(Lists!$CC$8,TalentsTakenList,1))),Lists!$CD$8,0))-10,0)+IF(NOT(ISERROR(FIND(INDEX(MultiattackProficiencyTable,MATCH(E76,MultiattackProficiencyType,0),1),TalentsTakenList,1))),INDEX(MultiattackProficiencyTable,MATCH(E76,MultiattackProficiencyType,0),2),0),"")</f>
        <v/>
      </c>
      <c r="F128" s="508" t="e">
        <f ca="1">IF(F76="EWP",IF(OR(Talents!M946&gt;0,Talents!M1004&gt;0),"Triple Attack ("&amp;Feats!D81&amp;")","Triple Attack ("&amp;E76&amp;")"),"Triple Attack ("&amp;E76&amp;")")</f>
        <v>#N/A</v>
      </c>
      <c r="O128" s="508" t="str">
        <f ca="1">IF(COUNTIF(FeatsCharacterSheet,P128)&gt;0,MIN(IF(P76&lt;&gt;"EWP",0,IF(NOT(ISERROR(FIND(Lists!$CC$8,TalentsTakenList,1))),Lists!$CD$8,0))-10,0)+IF(NOT(ISERROR(FIND(INDEX(MultiattackProficiencyTable,MATCH(O76,MultiattackProficiencyType,0),1),TalentsTakenList,1))),INDEX(MultiattackProficiencyTable,MATCH(O76,MultiattackProficiencyType,0),2),0),"")</f>
        <v/>
      </c>
      <c r="P128" s="508" t="e">
        <f ca="1">IF(P76="EWP",IF(OR(Talents!W946&gt;0,Talents!W1004&gt;0),"Triple Attack ("&amp;Feats!N81&amp;")","Triple Attack ("&amp;O76&amp;")"),"Triple Attack ("&amp;O76&amp;")")</f>
        <v>#N/A</v>
      </c>
      <c r="Y128" s="508" t="str">
        <f ca="1">IF(COUNTIF(FeatsCharacterSheet,Z128)&gt;0,MIN(IF(Z76&lt;&gt;"EWP",0,IF(NOT(ISERROR(FIND(Lists!$CC$8,TalentsTakenList,1))),Lists!$CD$8,0))-10,0)+IF(NOT(ISERROR(FIND(INDEX(MultiattackProficiencyTable,MATCH(Y76,MultiattackProficiencyType,0),1),TalentsTakenList,1))),INDEX(MultiattackProficiencyTable,MATCH(Y76,MultiattackProficiencyType,0),2),0),"")</f>
        <v/>
      </c>
      <c r="Z128" s="508" t="e">
        <f ca="1">IF(Z76="EWP",IF(OR(Talents!AG946&gt;0,Talents!AG1004&gt;0),"Triple Attack ("&amp;Feats!X81&amp;")","Triple Attack ("&amp;Y76&amp;")"),"Triple Attack ("&amp;Y76&amp;")")</f>
        <v>#N/A</v>
      </c>
      <c r="AI128" s="508" t="str">
        <f ca="1">IF(COUNTIF(FeatsCharacterSheet,AJ128)&gt;0,MIN(IF(AJ76&lt;&gt;"EWP",0,IF(NOT(ISERROR(FIND(Lists!$CC$8,TalentsTakenList,1))),Lists!$CD$8,0))-10,0)+IF(NOT(ISERROR(FIND(INDEX(MultiattackProficiencyTable,MATCH(AI76,MultiattackProficiencyType,0),1),TalentsTakenList,1))),INDEX(MultiattackProficiencyTable,MATCH(AI76,MultiattackProficiencyType,0),2),0),"")</f>
        <v/>
      </c>
      <c r="AJ128" s="508" t="e">
        <f ca="1">IF(AJ76="EWP",IF(OR(Talents!AQ946&gt;0,Talents!AQ1004&gt;0),"Triple Attack ("&amp;Feats!AH71&amp;")","Triple Attack ("&amp;AI76&amp;")"),"Triple Attack ("&amp;AI76&amp;")")</f>
        <v>#N/A</v>
      </c>
      <c r="AS128" s="508" t="str">
        <f ca="1">IF(COUNTIF(FeatsCharacterSheet,AT128)&gt;0,MIN(IF(AT76&lt;&gt;"EWP",0,IF(NOT(ISERROR(FIND(Lists!$CC$8,TalentsTakenList,1))),Lists!$CD$8,0))-10,0)+IF(NOT(ISERROR(FIND(INDEX(MultiattackProficiencyTable,MATCH(AS76,MultiattackProficiencyType,0),1),TalentsTakenList,1))),INDEX(MultiattackProficiencyTable,MATCH(AS76,MultiattackProficiencyType,0),2),0),"")</f>
        <v/>
      </c>
      <c r="AT128" s="508" t="e">
        <f ca="1">IF(AT76="EWP",IF(OR(Talents!BA946&gt;0,Talents!BA1004&gt;0),"Triple Attack ("&amp;Feats!AR71&amp;")","Triple Attack ("&amp;AS76&amp;")"),"Triple Attack ("&amp;AS76&amp;")")</f>
        <v>#N/A</v>
      </c>
      <c r="BC128" s="508" t="str">
        <f ca="1">IF(COUNTIF(FeatsCharacterSheet,BD128)&gt;0,MIN(IF(BD76&lt;&gt;"EWP",0,IF(NOT(ISERROR(FIND(Lists!$CC$8,TalentsTakenList,1))),Lists!$CD$8,0))-10,0)+IF(NOT(ISERROR(FIND(INDEX(MultiattackProficiencyTable,MATCH(BC76,MultiattackProficiencyType,0),1),TalentsTakenList,1))),INDEX(MultiattackProficiencyTable,MATCH(BC76,MultiattackProficiencyType,0),2),0),"")</f>
        <v/>
      </c>
      <c r="BD128" s="508" t="e">
        <f ca="1">IF(BD76="EWP",IF(OR(Talents!BK946&gt;0,Talents!BK1004&gt;0),"Triple Attack ("&amp;Feats!BB71&amp;")","Triple Attack ("&amp;BC76&amp;")"),"Triple Attack ("&amp;BC76&amp;")")</f>
        <v>#N/A</v>
      </c>
      <c r="BE128" s="508"/>
      <c r="BF128" s="20"/>
    </row>
    <row r="129" spans="1:63" s="1496" customFormat="1" ht="298.89999999999998" hidden="1" customHeight="1">
      <c r="C129" s="1494"/>
      <c r="D129" s="1495" t="str">
        <f>IF(E$12="Ranged","Ranged "&amp;INDEX(RangeTable,MATCH(Weapons!E$92,RangeList,0),2)&amp;"/"&amp;INDEX(RangeTable,MATCH(Weapons!E$92,RangeList,0),3)&amp;"/"&amp;INDEX(RangeTable,MATCH(Weapons!E$92,RangeList,0),4)&amp;"/"&amp;IF(E$91="Inaccurate","—",INDEX(RangeTable,MATCH(Weapons!E$92,RangeList,0),5))&amp;"; ","")</f>
        <v/>
      </c>
      <c r="E129" s="1841" t="str">
        <f>IF(E11&lt;&gt;"",IF(HTML,TRG&amp;WFS&amp;"u"&amp;WFF&amp;BS,"//")&amp;" "&amp;PROPER(E$7)&amp;IF(HTML,BF,"")&amp;" (standard or full; at-will) "&amp;IF(HTML,BS&amp;WFS&amp;"v"&amp;WFF,"•")&amp;" Weapon
"&amp;IF(HTML,BF&amp;TRF&amp;TRW,"")&amp;IF(D129&lt;&gt;"",D129,"")&amp;IF(E$110&lt;0,E$110,"+"&amp;E$110)&amp;" vs. Reflex; "&amp;IF(E$11&lt;&gt;"",IF(E21="special",E21,E21&amp;IF(E$116&gt;=0,"+","")&amp;E$116),"")&amp;" "&amp;LOWER(E$98)&amp;" damage"&amp;IF(M130&lt;&gt;"","
"&amp;IF(HTML,"&lt;BR&gt;","")&amp;M130&amp;IF(HTML,TRF,""),IF(HTML,TRF,"")),"")</f>
        <v/>
      </c>
      <c r="F129" s="1841"/>
      <c r="G129" s="1841"/>
      <c r="H129" s="1841"/>
      <c r="I129" s="1841"/>
      <c r="J129" s="1841"/>
      <c r="K129" s="1841"/>
      <c r="L129" s="1841"/>
      <c r="M129" s="1497"/>
      <c r="N129" s="1495" t="str">
        <f>IF(O$12="Ranged","Ranged "&amp;INDEX(RangeTable,MATCH(Weapons!O$92,RangeList,0),2)&amp;"/"&amp;INDEX(RangeTable,MATCH(Weapons!O$92,RangeList,0),3)&amp;"/"&amp;INDEX(RangeTable,MATCH(Weapons!O$92,RangeList,0),4)&amp;"/"&amp;IF(O$91="Inaccurate","—",INDEX(RangeTable,MATCH(Weapons!O$92,RangeList,0),5))&amp;"; ","")</f>
        <v/>
      </c>
      <c r="O129" s="1841" t="str">
        <f>IF(O11&lt;&gt;"",IF(HTML,TRG&amp;WFS&amp;"u"&amp;WFF&amp;BS,"//")&amp;" "&amp;PROPER(O$7)&amp;IF(HTML,BF,"")&amp;" (standard or full; at-will) "&amp;IF(HTML,BS&amp;WFS&amp;"v"&amp;WFF,"•")&amp;" Weapon
"&amp;IF(HTML,BF&amp;TRF&amp;TRW,"")&amp;IF(N129&lt;&gt;"",N129,"")&amp;IF(O$110&lt;0,O$110,"+"&amp;O$110)&amp;" vs. Reflex; "&amp;IF(O$11&lt;&gt;"",IF(O21="special",O21,O21&amp;IF(O$116&gt;=0,"+","")&amp;O$116),"")&amp;" "&amp;LOWER(O$98)&amp;" damage"&amp;IF(W130&lt;&gt;"","
"&amp;IF(HTML,"&lt;BR&gt;","")&amp;W130&amp;IF(HTML,TRF,""),IF(HTML,TRF,"")),"")</f>
        <v/>
      </c>
      <c r="P129" s="1841"/>
      <c r="Q129" s="1841"/>
      <c r="R129" s="1841"/>
      <c r="S129" s="1841"/>
      <c r="T129" s="1841"/>
      <c r="U129" s="1841"/>
      <c r="V129" s="1841"/>
      <c r="W129" s="1497"/>
      <c r="X129" s="1495" t="str">
        <f>IF(Y$12="Ranged","Ranged "&amp;INDEX(RangeTable,MATCH(Weapons!Y$92,RangeList,0),2)&amp;"/"&amp;INDEX(RangeTable,MATCH(Weapons!Y$92,RangeList,0),3)&amp;"/"&amp;INDEX(RangeTable,MATCH(Weapons!Y$92,RangeList,0),4)&amp;"/"&amp;IF(Y$91="Inaccurate","—",INDEX(RangeTable,MATCH(Weapons!Y$92,RangeList,0),5))&amp;"; ","")</f>
        <v/>
      </c>
      <c r="Y129" s="1841" t="str">
        <f>IF(Y11&lt;&gt;"",IF(HTML,TRG&amp;WFS&amp;"u"&amp;WFF&amp;BS,"//")&amp;" "&amp;PROPER(Y$7)&amp;IF(HTML,BF,"")&amp;" (standard or full; at-will) "&amp;IF(HTML,BS&amp;WFS&amp;"v"&amp;WFF,"•")&amp;" Weapon
"&amp;IF(HTML,BF&amp;TRF&amp;TRW,"")&amp;IF(X129&lt;&gt;"",X129,"")&amp;IF(Y$110&lt;0,Y$110,"+"&amp;Y$110)&amp;" vs. Reflex; "&amp;IF(Y$11&lt;&gt;"",IF(Y21="special",Y21,Y21&amp;IF(Y$116&gt;=0,"+","")&amp;Y$116),"")&amp;" "&amp;LOWER(Y$98)&amp;" damage"&amp;IF(AG130&lt;&gt;"","
"&amp;IF(HTML,"&lt;BR&gt;","")&amp;AG130&amp;IF(HTML,TRF,""),IF(HTML,TRF,"")),"")</f>
        <v/>
      </c>
      <c r="Z129" s="1841"/>
      <c r="AA129" s="1841"/>
      <c r="AB129" s="1841"/>
      <c r="AC129" s="1841"/>
      <c r="AD129" s="1841"/>
      <c r="AE129" s="1841"/>
      <c r="AF129" s="1841"/>
      <c r="AG129" s="1497"/>
      <c r="AH129" s="1495" t="str">
        <f>IF(AI$12="Ranged","Ranged "&amp;INDEX(RangeTable,MATCH(Weapons!AI$92,RangeList,0),2)&amp;"/"&amp;INDEX(RangeTable,MATCH(Weapons!AI$92,RangeList,0),3)&amp;"/"&amp;INDEX(RangeTable,MATCH(Weapons!AI$92,RangeList,0),4)&amp;"/"&amp;IF(AI$91="Inaccurate","—",INDEX(RangeTable,MATCH(Weapons!AI$92,RangeList,0),5))&amp;"; ","")</f>
        <v/>
      </c>
      <c r="AI129" s="1841" t="str">
        <f>IF(AI11&lt;&gt;"",IF(HTML,TRG&amp;WFS&amp;"u"&amp;WFF&amp;BS,"//")&amp;" "&amp;PROPER(AI$7)&amp;IF(HTML,BF,"")&amp;" (standard or full; at-will) "&amp;IF(HTML,BS&amp;WFS&amp;"v"&amp;WFF,"•")&amp;" Weapon
"&amp;IF(HTML,BF&amp;TRF&amp;TRW,"")&amp;IF(AH129&lt;&gt;"",AH129,"")&amp;IF(AI$110&lt;0,AI$110,"+"&amp;AI$110)&amp;" vs. Reflex; "&amp;IF(AI$11&lt;&gt;"",IF(AI21="special",AI21,AI21&amp;IF(AI$116&gt;=0,"+","")&amp;AI$116),"")&amp;" "&amp;LOWER(AI$98)&amp;" damage"&amp;IF(AQ130&lt;&gt;"","
"&amp;IF(HTML,"&lt;BR&gt;","")&amp;AQ130&amp;IF(HTML,TRF,""),IF(HTML,TRF,"")),"")</f>
        <v/>
      </c>
      <c r="AJ129" s="1841"/>
      <c r="AK129" s="1841"/>
      <c r="AL129" s="1841"/>
      <c r="AM129" s="1841"/>
      <c r="AN129" s="1841"/>
      <c r="AO129" s="1841"/>
      <c r="AP129" s="1841"/>
      <c r="AQ129" s="1497"/>
      <c r="AR129" s="1495" t="str">
        <f>IF(AS$12="Ranged","Ranged "&amp;INDEX(RangeTable,MATCH(Weapons!AS$92,RangeList,0),2)&amp;"/"&amp;INDEX(RangeTable,MATCH(Weapons!AS$92,RangeList,0),3)&amp;"/"&amp;INDEX(RangeTable,MATCH(Weapons!AS$92,RangeList,0),4)&amp;"/"&amp;IF(AS$91="Inaccurate","—",INDEX(RangeTable,MATCH(Weapons!AS$92,RangeList,0),5))&amp;"; ","")</f>
        <v/>
      </c>
      <c r="AS129" s="1841" t="str">
        <f>IF(AS11&lt;&gt;"",IF(HTML,TRG&amp;WFS&amp;"u"&amp;WFF&amp;BS,"//")&amp;" "&amp;PROPER(AS$7)&amp;IF(HTML,BF,"")&amp;" (standard or full; at-will) "&amp;IF(HTML,BS&amp;WFS&amp;"v"&amp;WFF,"•")&amp;" Weapon
"&amp;IF(HTML,BF&amp;TRF&amp;TRW,"")&amp;IF(AR129&lt;&gt;"",AR129,"")&amp;IF(AS$110&lt;0,AS$110,"+"&amp;AS$110)&amp;" vs. Reflex; "&amp;IF(AS$11&lt;&gt;"",IF(AS21="special",AS21,AS21&amp;IF(AS$116&gt;=0,"+","")&amp;AS$116),"")&amp;" "&amp;LOWER(AS$98)&amp;" damage"&amp;IF(BA130&lt;&gt;"","
"&amp;IF(HTML,"&lt;BR&gt;","")&amp;BA130&amp;IF(HTML,TRF,""),IF(HTML,TRF,"")),"")</f>
        <v/>
      </c>
      <c r="AT129" s="1841"/>
      <c r="AU129" s="1841"/>
      <c r="AV129" s="1841"/>
      <c r="AW129" s="1841"/>
      <c r="AX129" s="1841"/>
      <c r="AY129" s="1841"/>
      <c r="AZ129" s="1841"/>
      <c r="BA129" s="1497"/>
      <c r="BB129" s="1495" t="str">
        <f>IF(BC$12="Ranged","Ranged "&amp;INDEX(RangeTable,MATCH(Weapons!BC$92,RangeList,0),2)&amp;"/"&amp;INDEX(RangeTable,MATCH(Weapons!BC$92,RangeList,0),3)&amp;"/"&amp;INDEX(RangeTable,MATCH(Weapons!BC$92,RangeList,0),4)&amp;"/"&amp;IF(BC$91="Inaccurate","—",INDEX(RangeTable,MATCH(Weapons!BC$92,RangeList,0),5))&amp;"; ","")</f>
        <v/>
      </c>
      <c r="BC129" s="1841" t="str">
        <f>IF(BC11&lt;&gt;"",IF(HTML,TRG&amp;WFS&amp;"u"&amp;WFF&amp;BS,"//")&amp;" "&amp;PROPER(BC$7)&amp;IF(HTML,BF,"")&amp;" (standard or full; at-will) "&amp;IF(HTML,BS&amp;WFS&amp;"v"&amp;WFF,"•")&amp;" Weapon
"&amp;IF(HTML,BF&amp;TRF&amp;TRW,"")&amp;IF(BB129&lt;&gt;"",BB129,"")&amp;IF(BC$110&lt;0,BC$110,"+"&amp;BC$110)&amp;" vs. Reflex; "&amp;IF(BC$11&lt;&gt;"",IF(BC21="special",BC21,BC21&amp;IF(BC$116&gt;=0,"+","")&amp;BC$116),"")&amp;" "&amp;LOWER(BC$98)&amp;" damage"&amp;IF(BK130&lt;&gt;"","
"&amp;IF(HTML,"&lt;BR&gt;","")&amp;BK130&amp;IF(HTML,TRF,""),IF(HTML,TRF,"")),"")</f>
        <v/>
      </c>
      <c r="BD129" s="1841"/>
      <c r="BE129" s="1841"/>
      <c r="BF129" s="1841"/>
      <c r="BG129" s="1841"/>
      <c r="BH129" s="1841"/>
      <c r="BI129" s="1841"/>
      <c r="BJ129" s="1841"/>
      <c r="BK129" s="1497"/>
    </row>
    <row r="130" spans="1:63" hidden="1">
      <c r="F130" s="508" t="s">
        <v>48</v>
      </c>
      <c r="G130" s="508" t="s">
        <v>7779</v>
      </c>
      <c r="H130" s="20" t="s">
        <v>7780</v>
      </c>
      <c r="I130" s="20" t="s">
        <v>7781</v>
      </c>
      <c r="K130" s="20" t="s">
        <v>7782</v>
      </c>
      <c r="L130" s="20" t="s">
        <v>7778</v>
      </c>
      <c r="M130" s="1046" t="str">
        <f ca="1">IF(E130&lt;&gt;"",E130&amp;"
"&amp;M131,M131)</f>
        <v/>
      </c>
      <c r="P130" s="508" t="s">
        <v>48</v>
      </c>
      <c r="Q130" s="508" t="s">
        <v>7779</v>
      </c>
      <c r="R130" s="20" t="s">
        <v>7780</v>
      </c>
      <c r="S130" s="20" t="s">
        <v>7781</v>
      </c>
      <c r="U130" s="20" t="s">
        <v>7782</v>
      </c>
      <c r="V130" s="20" t="s">
        <v>7778</v>
      </c>
      <c r="W130" s="1046" t="str">
        <f ca="1">IF(O130&lt;&gt;"",O130&amp;"
"&amp;W131,W131)</f>
        <v/>
      </c>
      <c r="Z130" s="508" t="s">
        <v>48</v>
      </c>
      <c r="AA130" s="508" t="s">
        <v>7779</v>
      </c>
      <c r="AB130" s="20" t="s">
        <v>7780</v>
      </c>
      <c r="AC130" s="20" t="s">
        <v>7781</v>
      </c>
      <c r="AE130" s="20" t="s">
        <v>7782</v>
      </c>
      <c r="AF130" s="20" t="s">
        <v>7778</v>
      </c>
      <c r="AG130" s="1046" t="str">
        <f ca="1">IF(Y130&lt;&gt;"",Y130&amp;"
"&amp;AG131,AG131)</f>
        <v/>
      </c>
      <c r="AJ130" s="508" t="s">
        <v>48</v>
      </c>
      <c r="AK130" s="508" t="s">
        <v>7779</v>
      </c>
      <c r="AL130" s="20" t="s">
        <v>7780</v>
      </c>
      <c r="AM130" s="20" t="s">
        <v>7781</v>
      </c>
      <c r="AO130" s="20" t="s">
        <v>7782</v>
      </c>
      <c r="AP130" s="20" t="s">
        <v>7778</v>
      </c>
      <c r="AQ130" s="1046" t="str">
        <f ca="1">IF(AI130&lt;&gt;"",AI130&amp;"
"&amp;AQ131,AQ131)</f>
        <v/>
      </c>
      <c r="AT130" s="508" t="s">
        <v>48</v>
      </c>
      <c r="AU130" s="508" t="s">
        <v>7779</v>
      </c>
      <c r="AV130" s="20" t="s">
        <v>7780</v>
      </c>
      <c r="AW130" s="20" t="s">
        <v>7781</v>
      </c>
      <c r="AY130" s="20" t="s">
        <v>7782</v>
      </c>
      <c r="AZ130" s="20" t="s">
        <v>7778</v>
      </c>
      <c r="BA130" s="1046" t="str">
        <f ca="1">IF(AS130&lt;&gt;"",AS130&amp;"
"&amp;BA131,BA131)</f>
        <v/>
      </c>
      <c r="BB130" s="842"/>
      <c r="BC130" s="508"/>
      <c r="BD130" s="508" t="s">
        <v>48</v>
      </c>
      <c r="BE130" s="508" t="s">
        <v>7779</v>
      </c>
      <c r="BF130" s="20" t="s">
        <v>7780</v>
      </c>
      <c r="BG130" s="20" t="s">
        <v>7781</v>
      </c>
      <c r="BH130" s="20"/>
      <c r="BI130" s="20" t="s">
        <v>7782</v>
      </c>
      <c r="BJ130" s="20" t="s">
        <v>7778</v>
      </c>
      <c r="BK130" s="1046" t="str">
        <f ca="1">IF(BC130&lt;&gt;"",BC130&amp;"
"&amp;BK131,BK131)</f>
        <v/>
      </c>
    </row>
    <row r="131" spans="1:63" hidden="1">
      <c r="A131" s="1477">
        <v>1</v>
      </c>
      <c r="B131" s="1477"/>
      <c r="C131" s="1477" t="str">
        <f t="shared" ref="C131:C162" ca="1" si="6">INDEX(SpecialModsList,A131,1)</f>
        <v>Artillery Shot</v>
      </c>
      <c r="D131" s="842" t="str">
        <f t="shared" ref="D131:D162" ca="1" si="7">IF(AND(F131,OR(E$12=INDEX(SpecialModsTable,$A131,7),INDEX(SpecialModsTable,$A131,7)=""),NOT(ISERROR(FIND(IF(NOT(ISERROR(FIND("(",$C131,1))),LEFT($C131,LEN($C131)-(LEN($C131)-FIND("(-",$C131,1)+2)),$C131),SpecialsImportList,1)))),$C131,"")</f>
        <v/>
      </c>
      <c r="E131" s="1498" t="str">
        <f t="shared" ref="E131:E162" ca="1" si="8">IF(D131&lt;&gt;"",IF(K131,D131&amp;"; ","")&amp;IF(J131&lt;&gt;"",J131&amp;" "&amp;INDEX(SpecialModsTable,$A131,12),PROPER(LEFT(INDEX(SpecialModsTable,$A131,12),1))&amp;RIGHT(INDEX(SpecialModsTable,$A131,12),LEN(INDEX(SpecialModsTable,$A131,12))-1)),"")</f>
        <v/>
      </c>
      <c r="F131" s="508" t="b">
        <f ca="1">IF($C131&lt;&gt;"",IF(OR(INDEX(SpecialModsTable,$A131,6)&lt;&gt;"",INDEX(SpecialModsTable,$A131,8)&lt;&gt;""),IF(AND(NOT(ISERROR(FIND(Weapons!E$76,INDEX(SpecialModsTable,$A131,6),1))),NOT(ISERROR(FIND(Weapons!E$88,INDEX(SpecialModsTable,$A131,8),1)))),TRUE,FALSE),TRUE),FALSE)</f>
        <v>0</v>
      </c>
      <c r="G131" s="508" t="str">
        <f t="shared" ref="G131:G162" ca="1" si="9">IF(D131&lt;&gt;"",IF(INDEX(SpecialModsTable,$A131,2)&lt;&gt;"",INDEX(SpecialModsTable,$A131,2),""),"")</f>
        <v/>
      </c>
      <c r="H131" s="20" t="str">
        <f t="shared" ref="H131:H162" ca="1" si="10">IF(D131&lt;&gt;"",IF(E$16&lt;&gt;"Two-Handed",IF(INDEX(SpecialModsTable,$A131,3)&lt;&gt;"",INDEX(SpecialModsTable,$A131,3),""),IF(INDEX(SpecialModsTable,$A131,4)&lt;&gt;"",INDEX(SpecialModsTable,$A131,4),IF(INDEX(SpecialModsTable,$A131,3)&lt;&gt;"",INDEX(SpecialModsTable,$A131,3),""))),"")</f>
        <v/>
      </c>
      <c r="I131" s="20" t="str">
        <f t="shared" ref="I131:I162" ca="1" si="11">IF(D131&lt;&gt;"",IF(INDEX(SpecialModsTable,$A131,5)&lt;&gt;"",INDEX(SpecialModsTable,$A131,5),""),"")</f>
        <v/>
      </c>
      <c r="J131" s="20" t="str">
        <f t="shared" ref="J131:J143" ca="1" si="12">IF(OR(G131&lt;&gt;"",H131&lt;&gt;"",I131&lt;&gt;""),IF(G131&lt;&gt;"",IF(G131&lt;0,"","+")&amp;G131&amp;" attack","")&amp;IF(AND(G131&lt;&gt;"",H131&lt;&gt;""),"/","")&amp;IF(H131&lt;&gt;"","+"&amp;H131&amp;" damage","")&amp;IF(AND(I131&lt;&gt;"",OR(G131&lt;&gt;"",H131&lt;&gt;"")),"/","")&amp;IF(I131&lt;&gt;"","+"&amp;I131&amp;" die of damage",""),"")</f>
        <v/>
      </c>
      <c r="K131" s="20" t="b">
        <f t="shared" ref="K131:K162" ca="1" si="13">IF(D131&lt;&gt;"",IF(INDEX(SpecialModsTable,$A131,14)&lt;&gt;"No",TRUE,FALSE),TRUE)</f>
        <v>1</v>
      </c>
      <c r="L131" s="20" t="b">
        <f t="shared" ref="L131:L162" ca="1" si="14">IF(D131&lt;&gt;"",IF(INDEX(SpecialModsTable,$A131,13)="No",TRUE,FALSE),TRUE)</f>
        <v>1</v>
      </c>
      <c r="M131" s="1046" t="str">
        <f t="shared" ref="M131:M162" ca="1" si="15">IF(E131&lt;&gt;"",E131&amp;IF(HTML,"&lt;BR&gt;","")&amp;IF(M132&lt;&gt;"","
"&amp;M132,""),M132)</f>
        <v/>
      </c>
      <c r="N131" s="842" t="str">
        <f t="shared" ref="N131:N194" ca="1" si="16">IF(AND(P131,OR(O$12=INDEX(SpecialModsTable,$A131,7),INDEX(SpecialModsTable,$A131,7)=""),NOT(ISERROR(FIND(IF(NOT(ISERROR(FIND("(",$C131,1))),LEFT($C131,LEN($C131)-(LEN($C131)-FIND("(-",$C131,1)+2)),$C131),SpecialsImportList,1)))),$C131,"")</f>
        <v/>
      </c>
      <c r="O131" s="1498" t="str">
        <f t="shared" ref="O131:O194" ca="1" si="17">IF(N131&lt;&gt;"",IF(U131,N131&amp;"; ","")&amp;IF(T131&lt;&gt;"",T131&amp;" "&amp;INDEX(SpecialModsTable,$A131,12),PROPER(LEFT(INDEX(SpecialModsTable,$A131,12),1))&amp;RIGHT(INDEX(SpecialModsTable,$A131,12),LEN(INDEX(SpecialModsTable,$A131,12))-1)),"")</f>
        <v/>
      </c>
      <c r="P131" s="508" t="b">
        <f ca="1">IF($C131&lt;&gt;"",IF(OR(INDEX(SpecialModsTable,$A131,6)&lt;&gt;"",INDEX(SpecialModsTable,$A131,8)&lt;&gt;""),IF(AND(NOT(ISERROR(FIND(Weapons!O$76,INDEX(SpecialModsTable,$A131,6),1))),NOT(ISERROR(FIND(Weapons!O$88,INDEX(SpecialModsTable,$A131,8),1)))),TRUE,FALSE),TRUE),FALSE)</f>
        <v>0</v>
      </c>
      <c r="Q131" s="508" t="str">
        <f t="shared" ref="Q131:Q194" ca="1" si="18">IF(N131&lt;&gt;"",IF(INDEX(SpecialModsTable,$A131,2)&lt;&gt;"",INDEX(SpecialModsTable,$A131,2),""),"")</f>
        <v/>
      </c>
      <c r="R131" s="20" t="str">
        <f t="shared" ref="R131:R194" ca="1" si="19">IF(N131&lt;&gt;"",IF(O$16&lt;&gt;"Two-Handed",IF(INDEX(SpecialModsTable,$A131,3)&lt;&gt;"",INDEX(SpecialModsTable,$A131,3),""),IF(INDEX(SpecialModsTable,$A131,4)&lt;&gt;"",INDEX(SpecialModsTable,$A131,4),IF(INDEX(SpecialModsTable,$A131,3)&lt;&gt;"",INDEX(SpecialModsTable,$A131,3),""))),"")</f>
        <v/>
      </c>
      <c r="S131" s="20" t="str">
        <f t="shared" ref="S131:S194" ca="1" si="20">IF(N131&lt;&gt;"",IF(INDEX(SpecialModsTable,$A131,5)&lt;&gt;"",INDEX(SpecialModsTable,$A131,5),""),"")</f>
        <v/>
      </c>
      <c r="T131" s="20" t="str">
        <f t="shared" ref="T131:T143" ca="1" si="21">IF(OR(Q131&lt;&gt;"",R131&lt;&gt;"",S131&lt;&gt;""),IF(Q131&lt;&gt;"",IF(Q131&lt;0,"","+")&amp;Q131&amp;" attack","")&amp;IF(AND(Q131&lt;&gt;"",R131&lt;&gt;""),"/","")&amp;IF(R131&lt;&gt;"","+"&amp;R131&amp;" damage","")&amp;IF(AND(S131&lt;&gt;"",OR(Q131&lt;&gt;"",R131&lt;&gt;"")),"/","")&amp;IF(S131&lt;&gt;"","+"&amp;S131&amp;" die of damage",""),"")</f>
        <v/>
      </c>
      <c r="U131" s="20" t="b">
        <f t="shared" ref="U131:U194" ca="1" si="22">IF(N131&lt;&gt;"",IF(INDEX(SpecialModsTable,$A131,14)&lt;&gt;"No",TRUE,FALSE),TRUE)</f>
        <v>1</v>
      </c>
      <c r="V131" s="20" t="b">
        <f t="shared" ref="V131:V194" ca="1" si="23">IF(N131&lt;&gt;"",IF(INDEX(SpecialModsTable,$A131,13)="No",TRUE,FALSE),TRUE)</f>
        <v>1</v>
      </c>
      <c r="W131" s="1046" t="str">
        <f t="shared" ref="W131:W194" ca="1" si="24">IF(O131&lt;&gt;"",O131&amp;IF(HTML,"&lt;BR&gt;","")&amp;IF(W132&lt;&gt;"","
"&amp;W132,""),W132)</f>
        <v/>
      </c>
      <c r="X131" s="842" t="str">
        <f t="shared" ref="X131:X194" ca="1" si="25">IF(AND(Z131,OR(Y$12=INDEX(SpecialModsTable,$A131,7),INDEX(SpecialModsTable,$A131,7)=""),NOT(ISERROR(FIND(IF(NOT(ISERROR(FIND("(",$C131,1))),LEFT($C131,LEN($C131)-(LEN($C131)-FIND("(-",$C131,1)+2)),$C131),SpecialsImportList,1)))),$C131,"")</f>
        <v/>
      </c>
      <c r="Y131" s="1498" t="str">
        <f t="shared" ref="Y131:Y194" ca="1" si="26">IF(X131&lt;&gt;"",IF(AE131,X131&amp;"; ","")&amp;IF(AD131&lt;&gt;"",AD131&amp;" "&amp;INDEX(SpecialModsTable,$A131,12),PROPER(LEFT(INDEX(SpecialModsTable,$A131,12),1))&amp;RIGHT(INDEX(SpecialModsTable,$A131,12),LEN(INDEX(SpecialModsTable,$A131,12))-1)),"")</f>
        <v/>
      </c>
      <c r="Z131" s="508" t="b">
        <f ca="1">IF($C131&lt;&gt;"",IF(OR(INDEX(SpecialModsTable,$A131,6)&lt;&gt;"",INDEX(SpecialModsTable,$A131,8)&lt;&gt;""),IF(AND(NOT(ISERROR(FIND(Weapons!Y$76,INDEX(SpecialModsTable,$A131,6),1))),NOT(ISERROR(FIND(Weapons!Y$88,INDEX(SpecialModsTable,$A131,8),1)))),TRUE,FALSE),TRUE),FALSE)</f>
        <v>0</v>
      </c>
      <c r="AA131" s="508" t="str">
        <f t="shared" ref="AA131:AA194" ca="1" si="27">IF(X131&lt;&gt;"",IF(INDEX(SpecialModsTable,$A131,2)&lt;&gt;"",INDEX(SpecialModsTable,$A131,2),""),"")</f>
        <v/>
      </c>
      <c r="AB131" s="20" t="str">
        <f t="shared" ref="AB131:AB194" ca="1" si="28">IF(X131&lt;&gt;"",IF(Y$16&lt;&gt;"Two-Handed",IF(INDEX(SpecialModsTable,$A131,3)&lt;&gt;"",INDEX(SpecialModsTable,$A131,3),""),IF(INDEX(SpecialModsTable,$A131,4)&lt;&gt;"",INDEX(SpecialModsTable,$A131,4),IF(INDEX(SpecialModsTable,$A131,3)&lt;&gt;"",INDEX(SpecialModsTable,$A131,3),""))),"")</f>
        <v/>
      </c>
      <c r="AC131" s="20" t="str">
        <f t="shared" ref="AC131:AC194" ca="1" si="29">IF(X131&lt;&gt;"",IF(INDEX(SpecialModsTable,$A131,5)&lt;&gt;"",INDEX(SpecialModsTable,$A131,5),""),"")</f>
        <v/>
      </c>
      <c r="AD131" s="20" t="str">
        <f t="shared" ref="AD131:AD143" ca="1" si="30">IF(OR(AA131&lt;&gt;"",AB131&lt;&gt;"",AC131&lt;&gt;""),IF(AA131&lt;&gt;"",IF(AA131&lt;0,"","+")&amp;AA131&amp;" attack","")&amp;IF(AND(AA131&lt;&gt;"",AB131&lt;&gt;""),"/","")&amp;IF(AB131&lt;&gt;"","+"&amp;AB131&amp;" damage","")&amp;IF(AND(AC131&lt;&gt;"",OR(AA131&lt;&gt;"",AB131&lt;&gt;"")),"/","")&amp;IF(AC131&lt;&gt;"","+"&amp;AC131&amp;" die of damage",""),"")</f>
        <v/>
      </c>
      <c r="AE131" s="20" t="b">
        <f t="shared" ref="AE131:AE194" ca="1" si="31">IF(X131&lt;&gt;"",IF(INDEX(SpecialModsTable,$A131,14)&lt;&gt;"No",TRUE,FALSE),TRUE)</f>
        <v>1</v>
      </c>
      <c r="AF131" s="20" t="b">
        <f t="shared" ref="AF131:AF194" ca="1" si="32">IF(X131&lt;&gt;"",IF(INDEX(SpecialModsTable,$A131,13)="No",TRUE,FALSE),TRUE)</f>
        <v>1</v>
      </c>
      <c r="AG131" s="1046" t="str">
        <f t="shared" ref="AG131:AG194" ca="1" si="33">IF(Y131&lt;&gt;"",Y131&amp;IF(HTML,"&lt;BR&gt;","")&amp;IF(AG132&lt;&gt;"","
"&amp;AG132,""),AG132)</f>
        <v/>
      </c>
      <c r="AH131" s="842" t="str">
        <f t="shared" ref="AH131:AH194" ca="1" si="34">IF(AND(AJ131,OR(AI$12=INDEX(SpecialModsTable,$A131,7),INDEX(SpecialModsTable,$A131,7)=""),NOT(ISERROR(FIND(IF(NOT(ISERROR(FIND("(",$C131,1))),LEFT($C131,LEN($C131)-(LEN($C131)-FIND("(-",$C131,1)+2)),$C131),SpecialsImportList,1)))),$C131,"")</f>
        <v/>
      </c>
      <c r="AI131" s="1498" t="str">
        <f t="shared" ref="AI131:AI194" ca="1" si="35">IF(AH131&lt;&gt;"",IF(AO131,AH131&amp;"; ","")&amp;IF(AN131&lt;&gt;"",AN131&amp;" "&amp;INDEX(SpecialModsTable,$A131,12),PROPER(LEFT(INDEX(SpecialModsTable,$A131,12),1))&amp;RIGHT(INDEX(SpecialModsTable,$A131,12),LEN(INDEX(SpecialModsTable,$A131,12))-1)),"")</f>
        <v/>
      </c>
      <c r="AJ131" s="508" t="b">
        <f ca="1">IF($C131&lt;&gt;"",IF(OR(INDEX(SpecialModsTable,$A131,6)&lt;&gt;"",INDEX(SpecialModsTable,$A131,8)&lt;&gt;""),IF(AND(NOT(ISERROR(FIND(Weapons!AI$76,INDEX(SpecialModsTable,$A131,6),1))),NOT(ISERROR(FIND(Weapons!AI$88,INDEX(SpecialModsTable,$A131,8),1)))),TRUE,FALSE),TRUE),FALSE)</f>
        <v>0</v>
      </c>
      <c r="AK131" s="508" t="str">
        <f t="shared" ref="AK131:AK194" ca="1" si="36">IF(AH131&lt;&gt;"",IF(INDEX(SpecialModsTable,$A131,2)&lt;&gt;"",INDEX(SpecialModsTable,$A131,2),""),"")</f>
        <v/>
      </c>
      <c r="AL131" s="20" t="str">
        <f t="shared" ref="AL131:AL194" ca="1" si="37">IF(AH131&lt;&gt;"",IF(AI$16&lt;&gt;"Two-Handed",IF(INDEX(SpecialModsTable,$A131,3)&lt;&gt;"",INDEX(SpecialModsTable,$A131,3),""),IF(INDEX(SpecialModsTable,$A131,4)&lt;&gt;"",INDEX(SpecialModsTable,$A131,4),IF(INDEX(SpecialModsTable,$A131,3)&lt;&gt;"",INDEX(SpecialModsTable,$A131,3),""))),"")</f>
        <v/>
      </c>
      <c r="AM131" s="20" t="str">
        <f t="shared" ref="AM131:AM194" ca="1" si="38">IF(AH131&lt;&gt;"",IF(INDEX(SpecialModsTable,$A131,5)&lt;&gt;"",INDEX(SpecialModsTable,$A131,5),""),"")</f>
        <v/>
      </c>
      <c r="AN131" s="20" t="str">
        <f t="shared" ref="AN131:AN143" ca="1" si="39">IF(OR(AK131&lt;&gt;"",AL131&lt;&gt;"",AM131&lt;&gt;""),IF(AK131&lt;&gt;"",IF(AK131&lt;0,"","+")&amp;AK131&amp;" attack","")&amp;IF(AND(AK131&lt;&gt;"",AL131&lt;&gt;""),"/","")&amp;IF(AL131&lt;&gt;"","+"&amp;AL131&amp;" damage","")&amp;IF(AND(AM131&lt;&gt;"",OR(AK131&lt;&gt;"",AL131&lt;&gt;"")),"/","")&amp;IF(AM131&lt;&gt;"","+"&amp;AM131&amp;" die of damage",""),"")</f>
        <v/>
      </c>
      <c r="AO131" s="20" t="b">
        <f t="shared" ref="AO131:AO194" ca="1" si="40">IF(AH131&lt;&gt;"",IF(INDEX(SpecialModsTable,$A131,14)&lt;&gt;"No",TRUE,FALSE),TRUE)</f>
        <v>1</v>
      </c>
      <c r="AP131" s="20" t="b">
        <f t="shared" ref="AP131:AP194" ca="1" si="41">IF(AH131&lt;&gt;"",IF(INDEX(SpecialModsTable,$A131,13)="No",TRUE,FALSE),TRUE)</f>
        <v>1</v>
      </c>
      <c r="AQ131" s="1046" t="str">
        <f t="shared" ref="AQ131:AQ194" ca="1" si="42">IF(AI131&lt;&gt;"",AI131&amp;IF(HTML,"&lt;BR&gt;","")&amp;IF(AQ132&lt;&gt;"","
"&amp;AQ132,""),AQ132)</f>
        <v/>
      </c>
      <c r="AR131" s="842" t="str">
        <f t="shared" ref="AR131:AR194" ca="1" si="43">IF(AND(AT131,OR(AS$12=INDEX(SpecialModsTable,$A131,7),INDEX(SpecialModsTable,$A131,7)=""),NOT(ISERROR(FIND(IF(NOT(ISERROR(FIND("(",$C131,1))),LEFT($C131,LEN($C131)-(LEN($C131)-FIND("(-",$C131,1)+2)),$C131),SpecialsImportList,1)))),$C131,"")</f>
        <v/>
      </c>
      <c r="AS131" s="1498" t="str">
        <f t="shared" ref="AS131:AS194" ca="1" si="44">IF(AR131&lt;&gt;"",IF(AY131,AR131&amp;"; ","")&amp;IF(AX131&lt;&gt;"",AX131&amp;" "&amp;INDEX(SpecialModsTable,$A131,12),PROPER(LEFT(INDEX(SpecialModsTable,$A131,12),1))&amp;RIGHT(INDEX(SpecialModsTable,$A131,12),LEN(INDEX(SpecialModsTable,$A131,12))-1)),"")</f>
        <v/>
      </c>
      <c r="AT131" s="508" t="b">
        <f ca="1">IF($C131&lt;&gt;"",IF(OR(INDEX(SpecialModsTable,$A131,6)&lt;&gt;"",INDEX(SpecialModsTable,$A131,8)&lt;&gt;""),IF(AND(NOT(ISERROR(FIND(Weapons!AS$76,INDEX(SpecialModsTable,$A131,6),1))),NOT(ISERROR(FIND(Weapons!AS$88,INDEX(SpecialModsTable,$A131,8),1)))),TRUE,FALSE),TRUE),FALSE)</f>
        <v>0</v>
      </c>
      <c r="AU131" s="508" t="str">
        <f t="shared" ref="AU131:AU194" ca="1" si="45">IF(AR131&lt;&gt;"",IF(INDEX(SpecialModsTable,$A131,2)&lt;&gt;"",INDEX(SpecialModsTable,$A131,2),""),"")</f>
        <v/>
      </c>
      <c r="AV131" s="20" t="str">
        <f t="shared" ref="AV131:AV194" ca="1" si="46">IF(AR131&lt;&gt;"",IF(AS$16&lt;&gt;"Two-Handed",IF(INDEX(SpecialModsTable,$A131,3)&lt;&gt;"",INDEX(SpecialModsTable,$A131,3),""),IF(INDEX(SpecialModsTable,$A131,4)&lt;&gt;"",INDEX(SpecialModsTable,$A131,4),IF(INDEX(SpecialModsTable,$A131,3)&lt;&gt;"",INDEX(SpecialModsTable,$A131,3),""))),"")</f>
        <v/>
      </c>
      <c r="AW131" s="20" t="str">
        <f t="shared" ref="AW131:AW194" ca="1" si="47">IF(AR131&lt;&gt;"",IF(INDEX(SpecialModsTable,$A131,5)&lt;&gt;"",INDEX(SpecialModsTable,$A131,5),""),"")</f>
        <v/>
      </c>
      <c r="AX131" s="20" t="str">
        <f t="shared" ref="AX131:AX143" ca="1" si="48">IF(OR(AU131&lt;&gt;"",AV131&lt;&gt;"",AW131&lt;&gt;""),IF(AU131&lt;&gt;"",IF(AU131&lt;0,"","+")&amp;AU131&amp;" attack","")&amp;IF(AND(AU131&lt;&gt;"",AV131&lt;&gt;""),"/","")&amp;IF(AV131&lt;&gt;"","+"&amp;AV131&amp;" damage","")&amp;IF(AND(AW131&lt;&gt;"",OR(AU131&lt;&gt;"",AV131&lt;&gt;"")),"/","")&amp;IF(AW131&lt;&gt;"","+"&amp;AW131&amp;" die of damage",""),"")</f>
        <v/>
      </c>
      <c r="AY131" s="20" t="b">
        <f t="shared" ref="AY131:AY194" ca="1" si="49">IF(AR131&lt;&gt;"",IF(INDEX(SpecialModsTable,$A131,14)&lt;&gt;"No",TRUE,FALSE),TRUE)</f>
        <v>1</v>
      </c>
      <c r="AZ131" s="20" t="b">
        <f t="shared" ref="AZ131:AZ194" ca="1" si="50">IF(AR131&lt;&gt;"",IF(INDEX(SpecialModsTable,$A131,13)="No",TRUE,FALSE),TRUE)</f>
        <v>1</v>
      </c>
      <c r="BA131" s="1046" t="str">
        <f t="shared" ref="BA131:BA194" ca="1" si="51">IF(AS131&lt;&gt;"",AS131&amp;IF(HTML,"&lt;BR&gt;","")&amp;IF(BA132&lt;&gt;"","
"&amp;BA132,""),BA132)</f>
        <v/>
      </c>
      <c r="BB131" s="842" t="str">
        <f t="shared" ref="BB131:BB194" ca="1" si="52">IF(AND(BD131,OR(BC$12=INDEX(SpecialModsTable,$A131,7),INDEX(SpecialModsTable,$A131,7)=""),NOT(ISERROR(FIND(IF(NOT(ISERROR(FIND("(",$C131,1))),LEFT($C131,LEN($C131)-(LEN($C131)-FIND("(-",$C131,1)+2)),$C131),SpecialsImportList,1)))),$C131,"")</f>
        <v/>
      </c>
      <c r="BC131" s="1498" t="str">
        <f t="shared" ref="BC131:BC194" ca="1" si="53">IF(BB131&lt;&gt;"",IF(BI131,BB131&amp;"; ","")&amp;IF(BH131&lt;&gt;"",BH131&amp;" "&amp;INDEX(SpecialModsTable,$A131,12),PROPER(LEFT(INDEX(SpecialModsTable,$A131,12),1))&amp;RIGHT(INDEX(SpecialModsTable,$A131,12),LEN(INDEX(SpecialModsTable,$A131,12))-1)),"")</f>
        <v/>
      </c>
      <c r="BD131" s="508" t="b">
        <f ca="1">IF($C131&lt;&gt;"",IF(OR(INDEX(SpecialModsTable,$A131,6)&lt;&gt;"",INDEX(SpecialModsTable,$A131,8)&lt;&gt;""),IF(AND(NOT(ISERROR(FIND(Weapons!BC$76,INDEX(SpecialModsTable,$A131,6),1))),NOT(ISERROR(FIND(Weapons!BC$88,INDEX(SpecialModsTable,$A131,8),1)))),TRUE,FALSE),TRUE),FALSE)</f>
        <v>0</v>
      </c>
      <c r="BE131" s="508" t="str">
        <f t="shared" ref="BE131:BE194" ca="1" si="54">IF(BB131&lt;&gt;"",IF(INDEX(SpecialModsTable,$A131,2)&lt;&gt;"",INDEX(SpecialModsTable,$A131,2),""),"")</f>
        <v/>
      </c>
      <c r="BF131" s="20" t="str">
        <f t="shared" ref="BF131:BF194" ca="1" si="55">IF(BB131&lt;&gt;"",IF(BC$16&lt;&gt;"Two-Handed",IF(INDEX(SpecialModsTable,$A131,3)&lt;&gt;"",INDEX(SpecialModsTable,$A131,3),""),IF(INDEX(SpecialModsTable,$A131,4)&lt;&gt;"",INDEX(SpecialModsTable,$A131,4),IF(INDEX(SpecialModsTable,$A131,3)&lt;&gt;"",INDEX(SpecialModsTable,$A131,3),""))),"")</f>
        <v/>
      </c>
      <c r="BG131" s="20" t="str">
        <f t="shared" ref="BG131:BG194" ca="1" si="56">IF(BB131&lt;&gt;"",IF(INDEX(SpecialModsTable,$A131,5)&lt;&gt;"",INDEX(SpecialModsTable,$A131,5),""),"")</f>
        <v/>
      </c>
      <c r="BH131" s="20" t="str">
        <f t="shared" ref="BH131:BH143" ca="1" si="57">IF(OR(BE131&lt;&gt;"",BF131&lt;&gt;"",BG131&lt;&gt;""),IF(BE131&lt;&gt;"",IF(BE131&lt;0,"","+")&amp;BE131&amp;" attack","")&amp;IF(AND(BE131&lt;&gt;"",BF131&lt;&gt;""),"/","")&amp;IF(BF131&lt;&gt;"","+"&amp;BF131&amp;" damage","")&amp;IF(AND(BG131&lt;&gt;"",OR(BE131&lt;&gt;"",BF131&lt;&gt;"")),"/","")&amp;IF(BG131&lt;&gt;"","+"&amp;BG131&amp;" die of damage",""),"")</f>
        <v/>
      </c>
      <c r="BI131" s="20" t="b">
        <f t="shared" ref="BI131:BI194" ca="1" si="58">IF(BB131&lt;&gt;"",IF(INDEX(SpecialModsTable,$A131,14)&lt;&gt;"No",TRUE,FALSE),TRUE)</f>
        <v>1</v>
      </c>
      <c r="BJ131" s="20" t="b">
        <f t="shared" ref="BJ131:BJ194" ca="1" si="59">IF(BB131&lt;&gt;"",IF(INDEX(SpecialModsTable,$A131,13)="No",TRUE,FALSE),TRUE)</f>
        <v>1</v>
      </c>
      <c r="BK131" s="1046" t="str">
        <f t="shared" ref="BK131:BK194" ca="1" si="60">IF(BC131&lt;&gt;"",BC131&amp;IF(HTML,"&lt;BR&gt;","")&amp;IF(BK132&lt;&gt;"","
"&amp;BK132,""),BK132)</f>
        <v/>
      </c>
    </row>
    <row r="132" spans="1:63" hidden="1">
      <c r="A132" s="1477">
        <f>A131+1</f>
        <v>2</v>
      </c>
      <c r="B132" s="1477"/>
      <c r="C132" s="1477" t="str">
        <f t="shared" ca="1" si="6"/>
        <v>Burst Fire</v>
      </c>
      <c r="D132" s="842" t="str">
        <f t="shared" ca="1" si="7"/>
        <v/>
      </c>
      <c r="E132" s="1498" t="str">
        <f t="shared" ca="1" si="8"/>
        <v/>
      </c>
      <c r="F132" s="508" t="b">
        <f ca="1">IF($C132&lt;&gt;"",IF(INDEX(SpecialModsTable,$A132,6)&lt;&gt;"",IF(NOT(ISERROR(FIND(Weapons!E$76,INDEX(SpecialModsTable,$A132,6),1))),TRUE,FALSE),TRUE),FALSE)</f>
        <v>0</v>
      </c>
      <c r="G132" s="508" t="str">
        <f t="shared" ca="1" si="9"/>
        <v/>
      </c>
      <c r="H132" s="20" t="str">
        <f t="shared" ca="1" si="10"/>
        <v/>
      </c>
      <c r="I132" s="20" t="str">
        <f t="shared" ca="1" si="11"/>
        <v/>
      </c>
      <c r="J132" s="20" t="str">
        <f t="shared" ca="1" si="12"/>
        <v/>
      </c>
      <c r="K132" s="20" t="b">
        <f t="shared" ca="1" si="13"/>
        <v>1</v>
      </c>
      <c r="L132" s="20" t="b">
        <f t="shared" ca="1" si="14"/>
        <v>1</v>
      </c>
      <c r="M132" s="1046" t="str">
        <f t="shared" ca="1" si="15"/>
        <v/>
      </c>
      <c r="N132" s="842" t="str">
        <f t="shared" ca="1" si="16"/>
        <v/>
      </c>
      <c r="O132" s="1498" t="str">
        <f t="shared" ca="1" si="17"/>
        <v/>
      </c>
      <c r="P132" s="508" t="b">
        <f ca="1">IF($C132&lt;&gt;"",IF(INDEX(SpecialModsTable,$A132,6)&lt;&gt;"",IF(NOT(ISERROR(FIND(Weapons!O$76,INDEX(SpecialModsTable,$A132,6),1))),TRUE,FALSE),TRUE),FALSE)</f>
        <v>0</v>
      </c>
      <c r="Q132" s="508" t="str">
        <f t="shared" ca="1" si="18"/>
        <v/>
      </c>
      <c r="R132" s="20" t="str">
        <f t="shared" ca="1" si="19"/>
        <v/>
      </c>
      <c r="S132" s="20" t="str">
        <f t="shared" ca="1" si="20"/>
        <v/>
      </c>
      <c r="T132" s="20" t="str">
        <f t="shared" ca="1" si="21"/>
        <v/>
      </c>
      <c r="U132" s="20" t="b">
        <f t="shared" ca="1" si="22"/>
        <v>1</v>
      </c>
      <c r="V132" s="20" t="b">
        <f t="shared" ca="1" si="23"/>
        <v>1</v>
      </c>
      <c r="W132" s="1046" t="str">
        <f t="shared" ca="1" si="24"/>
        <v/>
      </c>
      <c r="X132" s="842" t="str">
        <f t="shared" ca="1" si="25"/>
        <v/>
      </c>
      <c r="Y132" s="1498" t="str">
        <f t="shared" ca="1" si="26"/>
        <v/>
      </c>
      <c r="Z132" s="508" t="b">
        <f ca="1">IF($C132&lt;&gt;"",IF(INDEX(SpecialModsTable,$A132,6)&lt;&gt;"",IF(NOT(ISERROR(FIND(Weapons!Y$76,INDEX(SpecialModsTable,$A132,6),1))),TRUE,FALSE),TRUE),FALSE)</f>
        <v>0</v>
      </c>
      <c r="AA132" s="508" t="str">
        <f t="shared" ca="1" si="27"/>
        <v/>
      </c>
      <c r="AB132" s="20" t="str">
        <f t="shared" ca="1" si="28"/>
        <v/>
      </c>
      <c r="AC132" s="20" t="str">
        <f t="shared" ca="1" si="29"/>
        <v/>
      </c>
      <c r="AD132" s="20" t="str">
        <f t="shared" ca="1" si="30"/>
        <v/>
      </c>
      <c r="AE132" s="20" t="b">
        <f t="shared" ca="1" si="31"/>
        <v>1</v>
      </c>
      <c r="AF132" s="20" t="b">
        <f t="shared" ca="1" si="32"/>
        <v>1</v>
      </c>
      <c r="AG132" s="1046" t="str">
        <f t="shared" ca="1" si="33"/>
        <v/>
      </c>
      <c r="AH132" s="842" t="str">
        <f t="shared" ca="1" si="34"/>
        <v/>
      </c>
      <c r="AI132" s="1498" t="str">
        <f t="shared" ca="1" si="35"/>
        <v/>
      </c>
      <c r="AJ132" s="508" t="b">
        <f ca="1">IF($C132&lt;&gt;"",IF(INDEX(SpecialModsTable,$A132,6)&lt;&gt;"",IF(NOT(ISERROR(FIND(Weapons!AI$76,INDEX(SpecialModsTable,$A132,6),1))),TRUE,FALSE),TRUE),FALSE)</f>
        <v>0</v>
      </c>
      <c r="AK132" s="508" t="str">
        <f t="shared" ca="1" si="36"/>
        <v/>
      </c>
      <c r="AL132" s="20" t="str">
        <f t="shared" ca="1" si="37"/>
        <v/>
      </c>
      <c r="AM132" s="20" t="str">
        <f t="shared" ca="1" si="38"/>
        <v/>
      </c>
      <c r="AN132" s="20" t="str">
        <f t="shared" ca="1" si="39"/>
        <v/>
      </c>
      <c r="AO132" s="20" t="b">
        <f t="shared" ca="1" si="40"/>
        <v>1</v>
      </c>
      <c r="AP132" s="20" t="b">
        <f t="shared" ca="1" si="41"/>
        <v>1</v>
      </c>
      <c r="AQ132" s="1046" t="str">
        <f t="shared" ca="1" si="42"/>
        <v/>
      </c>
      <c r="AR132" s="842" t="str">
        <f t="shared" ca="1" si="43"/>
        <v/>
      </c>
      <c r="AS132" s="1498" t="str">
        <f t="shared" ca="1" si="44"/>
        <v/>
      </c>
      <c r="AT132" s="508" t="b">
        <f ca="1">IF($C132&lt;&gt;"",IF(INDEX(SpecialModsTable,$A132,6)&lt;&gt;"",IF(NOT(ISERROR(FIND(Weapons!AS$76,INDEX(SpecialModsTable,$A132,6),1))),TRUE,FALSE),TRUE),FALSE)</f>
        <v>0</v>
      </c>
      <c r="AU132" s="508" t="str">
        <f t="shared" ca="1" si="45"/>
        <v/>
      </c>
      <c r="AV132" s="20" t="str">
        <f t="shared" ca="1" si="46"/>
        <v/>
      </c>
      <c r="AW132" s="20" t="str">
        <f t="shared" ca="1" si="47"/>
        <v/>
      </c>
      <c r="AX132" s="20" t="str">
        <f t="shared" ca="1" si="48"/>
        <v/>
      </c>
      <c r="AY132" s="20" t="b">
        <f t="shared" ca="1" si="49"/>
        <v>1</v>
      </c>
      <c r="AZ132" s="20" t="b">
        <f t="shared" ca="1" si="50"/>
        <v>1</v>
      </c>
      <c r="BA132" s="1046" t="str">
        <f t="shared" ca="1" si="51"/>
        <v/>
      </c>
      <c r="BB132" s="842" t="str">
        <f t="shared" ca="1" si="52"/>
        <v/>
      </c>
      <c r="BC132" s="1498" t="str">
        <f t="shared" ca="1" si="53"/>
        <v/>
      </c>
      <c r="BD132" s="508" t="b">
        <f ca="1">IF($C132&lt;&gt;"",IF(INDEX(SpecialModsTable,$A132,6)&lt;&gt;"",IF(NOT(ISERROR(FIND(Weapons!BC$76,INDEX(SpecialModsTable,$A132,6),1))),TRUE,FALSE),TRUE),FALSE)</f>
        <v>0</v>
      </c>
      <c r="BE132" s="508" t="str">
        <f t="shared" ca="1" si="54"/>
        <v/>
      </c>
      <c r="BF132" s="20" t="str">
        <f t="shared" ca="1" si="55"/>
        <v/>
      </c>
      <c r="BG132" s="20" t="str">
        <f t="shared" ca="1" si="56"/>
        <v/>
      </c>
      <c r="BH132" s="20" t="str">
        <f t="shared" ca="1" si="57"/>
        <v/>
      </c>
      <c r="BI132" s="20" t="b">
        <f t="shared" ca="1" si="58"/>
        <v>1</v>
      </c>
      <c r="BJ132" s="20" t="b">
        <f t="shared" ca="1" si="59"/>
        <v>1</v>
      </c>
      <c r="BK132" s="1046" t="str">
        <f t="shared" ca="1" si="60"/>
        <v/>
      </c>
    </row>
    <row r="133" spans="1:63" hidden="1">
      <c r="A133" s="1477">
        <f t="shared" ref="A133:A197" si="61">A132+1</f>
        <v>3</v>
      </c>
      <c r="B133" s="1477"/>
      <c r="C133" s="1477" t="str">
        <f t="shared" ca="1" si="6"/>
        <v>Careful Shot</v>
      </c>
      <c r="D133" s="842" t="str">
        <f t="shared" ca="1" si="7"/>
        <v/>
      </c>
      <c r="E133" s="1498" t="str">
        <f t="shared" ca="1" si="8"/>
        <v/>
      </c>
      <c r="F133" s="508" t="b">
        <f ca="1">IF($C133&lt;&gt;"",IF(INDEX(SpecialModsTable,$A133,6)&lt;&gt;"",IF(NOT(ISERROR(FIND(Weapons!E$76,INDEX(SpecialModsTable,$A133,6),1))),TRUE,FALSE),TRUE),FALSE)</f>
        <v>1</v>
      </c>
      <c r="G133" s="508" t="str">
        <f t="shared" ca="1" si="9"/>
        <v/>
      </c>
      <c r="H133" s="20" t="str">
        <f t="shared" ca="1" si="10"/>
        <v/>
      </c>
      <c r="I133" s="20" t="str">
        <f t="shared" ca="1" si="11"/>
        <v/>
      </c>
      <c r="J133" s="20" t="str">
        <f t="shared" ca="1" si="12"/>
        <v/>
      </c>
      <c r="K133" s="20" t="b">
        <f t="shared" ca="1" si="13"/>
        <v>1</v>
      </c>
      <c r="L133" s="20" t="b">
        <f t="shared" ca="1" si="14"/>
        <v>1</v>
      </c>
      <c r="M133" s="1046" t="str">
        <f t="shared" ca="1" si="15"/>
        <v/>
      </c>
      <c r="N133" s="842" t="str">
        <f t="shared" ca="1" si="16"/>
        <v/>
      </c>
      <c r="O133" s="1498" t="str">
        <f t="shared" ca="1" si="17"/>
        <v/>
      </c>
      <c r="P133" s="508" t="b">
        <f ca="1">IF($C133&lt;&gt;"",IF(INDEX(SpecialModsTable,$A133,6)&lt;&gt;"",IF(NOT(ISERROR(FIND(Weapons!O$76,INDEX(SpecialModsTable,$A133,6),1))),TRUE,FALSE),TRUE),FALSE)</f>
        <v>1</v>
      </c>
      <c r="Q133" s="508" t="str">
        <f t="shared" ca="1" si="18"/>
        <v/>
      </c>
      <c r="R133" s="20" t="str">
        <f t="shared" ca="1" si="19"/>
        <v/>
      </c>
      <c r="S133" s="20" t="str">
        <f t="shared" ca="1" si="20"/>
        <v/>
      </c>
      <c r="T133" s="20" t="str">
        <f t="shared" ca="1" si="21"/>
        <v/>
      </c>
      <c r="U133" s="20" t="b">
        <f t="shared" ca="1" si="22"/>
        <v>1</v>
      </c>
      <c r="V133" s="20" t="b">
        <f t="shared" ca="1" si="23"/>
        <v>1</v>
      </c>
      <c r="W133" s="1046" t="str">
        <f t="shared" ca="1" si="24"/>
        <v/>
      </c>
      <c r="X133" s="842" t="str">
        <f t="shared" ca="1" si="25"/>
        <v/>
      </c>
      <c r="Y133" s="1498" t="str">
        <f t="shared" ca="1" si="26"/>
        <v/>
      </c>
      <c r="Z133" s="508" t="b">
        <f ca="1">IF($C133&lt;&gt;"",IF(INDEX(SpecialModsTable,$A133,6)&lt;&gt;"",IF(NOT(ISERROR(FIND(Weapons!Y$76,INDEX(SpecialModsTable,$A133,6),1))),TRUE,FALSE),TRUE),FALSE)</f>
        <v>1</v>
      </c>
      <c r="AA133" s="508" t="str">
        <f t="shared" ca="1" si="27"/>
        <v/>
      </c>
      <c r="AB133" s="20" t="str">
        <f t="shared" ca="1" si="28"/>
        <v/>
      </c>
      <c r="AC133" s="20" t="str">
        <f t="shared" ca="1" si="29"/>
        <v/>
      </c>
      <c r="AD133" s="20" t="str">
        <f t="shared" ca="1" si="30"/>
        <v/>
      </c>
      <c r="AE133" s="20" t="b">
        <f t="shared" ca="1" si="31"/>
        <v>1</v>
      </c>
      <c r="AF133" s="20" t="b">
        <f t="shared" ca="1" si="32"/>
        <v>1</v>
      </c>
      <c r="AG133" s="1046" t="str">
        <f t="shared" ca="1" si="33"/>
        <v/>
      </c>
      <c r="AH133" s="842" t="str">
        <f t="shared" ca="1" si="34"/>
        <v/>
      </c>
      <c r="AI133" s="1498" t="str">
        <f t="shared" ca="1" si="35"/>
        <v/>
      </c>
      <c r="AJ133" s="508" t="b">
        <f ca="1">IF($C133&lt;&gt;"",IF(INDEX(SpecialModsTable,$A133,6)&lt;&gt;"",IF(NOT(ISERROR(FIND(Weapons!AI$76,INDEX(SpecialModsTable,$A133,6),1))),TRUE,FALSE),TRUE),FALSE)</f>
        <v>1</v>
      </c>
      <c r="AK133" s="508" t="str">
        <f t="shared" ca="1" si="36"/>
        <v/>
      </c>
      <c r="AL133" s="20" t="str">
        <f t="shared" ca="1" si="37"/>
        <v/>
      </c>
      <c r="AM133" s="20" t="str">
        <f t="shared" ca="1" si="38"/>
        <v/>
      </c>
      <c r="AN133" s="20" t="str">
        <f t="shared" ca="1" si="39"/>
        <v/>
      </c>
      <c r="AO133" s="20" t="b">
        <f t="shared" ca="1" si="40"/>
        <v>1</v>
      </c>
      <c r="AP133" s="20" t="b">
        <f t="shared" ca="1" si="41"/>
        <v>1</v>
      </c>
      <c r="AQ133" s="1046" t="str">
        <f t="shared" ca="1" si="42"/>
        <v/>
      </c>
      <c r="AR133" s="842" t="str">
        <f t="shared" ca="1" si="43"/>
        <v/>
      </c>
      <c r="AS133" s="1498" t="str">
        <f t="shared" ca="1" si="44"/>
        <v/>
      </c>
      <c r="AT133" s="508" t="b">
        <f ca="1">IF($C133&lt;&gt;"",IF(INDEX(SpecialModsTable,$A133,6)&lt;&gt;"",IF(NOT(ISERROR(FIND(Weapons!AS$76,INDEX(SpecialModsTable,$A133,6),1))),TRUE,FALSE),TRUE),FALSE)</f>
        <v>1</v>
      </c>
      <c r="AU133" s="508" t="str">
        <f t="shared" ca="1" si="45"/>
        <v/>
      </c>
      <c r="AV133" s="20" t="str">
        <f t="shared" ca="1" si="46"/>
        <v/>
      </c>
      <c r="AW133" s="20" t="str">
        <f t="shared" ca="1" si="47"/>
        <v/>
      </c>
      <c r="AX133" s="20" t="str">
        <f t="shared" ca="1" si="48"/>
        <v/>
      </c>
      <c r="AY133" s="20" t="b">
        <f t="shared" ca="1" si="49"/>
        <v>1</v>
      </c>
      <c r="AZ133" s="20" t="b">
        <f t="shared" ca="1" si="50"/>
        <v>1</v>
      </c>
      <c r="BA133" s="1046" t="str">
        <f t="shared" ca="1" si="51"/>
        <v/>
      </c>
      <c r="BB133" s="842" t="str">
        <f t="shared" ca="1" si="52"/>
        <v/>
      </c>
      <c r="BC133" s="1498" t="str">
        <f t="shared" ca="1" si="53"/>
        <v/>
      </c>
      <c r="BD133" s="508" t="b">
        <f ca="1">IF($C133&lt;&gt;"",IF(INDEX(SpecialModsTable,$A133,6)&lt;&gt;"",IF(NOT(ISERROR(FIND(Weapons!BC$76,INDEX(SpecialModsTable,$A133,6),1))),TRUE,FALSE),TRUE),FALSE)</f>
        <v>1</v>
      </c>
      <c r="BE133" s="508" t="str">
        <f t="shared" ca="1" si="54"/>
        <v/>
      </c>
      <c r="BF133" s="20" t="str">
        <f t="shared" ca="1" si="55"/>
        <v/>
      </c>
      <c r="BG133" s="20" t="str">
        <f t="shared" ca="1" si="56"/>
        <v/>
      </c>
      <c r="BH133" s="20" t="str">
        <f t="shared" ca="1" si="57"/>
        <v/>
      </c>
      <c r="BI133" s="20" t="b">
        <f t="shared" ca="1" si="58"/>
        <v>1</v>
      </c>
      <c r="BJ133" s="20" t="b">
        <f t="shared" ca="1" si="59"/>
        <v>1</v>
      </c>
      <c r="BK133" s="1046" t="str">
        <f t="shared" ca="1" si="60"/>
        <v/>
      </c>
    </row>
    <row r="134" spans="1:63" hidden="1">
      <c r="A134" s="1477">
        <f t="shared" si="61"/>
        <v>4</v>
      </c>
      <c r="B134" s="1477"/>
      <c r="C134" s="1477" t="str">
        <f t="shared" ca="1" si="6"/>
        <v>Charge</v>
      </c>
      <c r="D134" s="842" t="str">
        <f t="shared" ca="1" si="7"/>
        <v/>
      </c>
      <c r="E134" s="1498" t="str">
        <f t="shared" ca="1" si="8"/>
        <v/>
      </c>
      <c r="F134" s="508" t="b">
        <f ca="1">IF($C134&lt;&gt;"",IF(INDEX(SpecialModsTable,$A134,6)&lt;&gt;"",IF(NOT(ISERROR(FIND(Weapons!E$76,INDEX(SpecialModsTable,$A134,6),1))),TRUE,FALSE),TRUE),FALSE)</f>
        <v>1</v>
      </c>
      <c r="G134" s="508" t="str">
        <f t="shared" ca="1" si="9"/>
        <v/>
      </c>
      <c r="H134" s="20" t="str">
        <f t="shared" ca="1" si="10"/>
        <v/>
      </c>
      <c r="I134" s="20" t="str">
        <f t="shared" ca="1" si="11"/>
        <v/>
      </c>
      <c r="J134" s="20" t="str">
        <f t="shared" ca="1" si="12"/>
        <v/>
      </c>
      <c r="K134" s="20" t="b">
        <f t="shared" ca="1" si="13"/>
        <v>1</v>
      </c>
      <c r="L134" s="20" t="b">
        <f t="shared" ca="1" si="14"/>
        <v>1</v>
      </c>
      <c r="M134" s="1046" t="str">
        <f t="shared" ca="1" si="15"/>
        <v/>
      </c>
      <c r="N134" s="842" t="str">
        <f t="shared" ca="1" si="16"/>
        <v/>
      </c>
      <c r="O134" s="1498" t="str">
        <f t="shared" ca="1" si="17"/>
        <v/>
      </c>
      <c r="P134" s="508" t="b">
        <f ca="1">IF($C134&lt;&gt;"",IF(INDEX(SpecialModsTable,$A134,6)&lt;&gt;"",IF(NOT(ISERROR(FIND(Weapons!O$76,INDEX(SpecialModsTable,$A134,6),1))),TRUE,FALSE),TRUE),FALSE)</f>
        <v>1</v>
      </c>
      <c r="Q134" s="508" t="str">
        <f t="shared" ca="1" si="18"/>
        <v/>
      </c>
      <c r="R134" s="20" t="str">
        <f t="shared" ca="1" si="19"/>
        <v/>
      </c>
      <c r="S134" s="20" t="str">
        <f t="shared" ca="1" si="20"/>
        <v/>
      </c>
      <c r="T134" s="20" t="str">
        <f t="shared" ca="1" si="21"/>
        <v/>
      </c>
      <c r="U134" s="20" t="b">
        <f t="shared" ca="1" si="22"/>
        <v>1</v>
      </c>
      <c r="V134" s="20" t="b">
        <f t="shared" ca="1" si="23"/>
        <v>1</v>
      </c>
      <c r="W134" s="1046" t="str">
        <f t="shared" ca="1" si="24"/>
        <v/>
      </c>
      <c r="X134" s="842" t="str">
        <f t="shared" ca="1" si="25"/>
        <v/>
      </c>
      <c r="Y134" s="1498" t="str">
        <f t="shared" ca="1" si="26"/>
        <v/>
      </c>
      <c r="Z134" s="508" t="b">
        <f ca="1">IF($C134&lt;&gt;"",IF(INDEX(SpecialModsTable,$A134,6)&lt;&gt;"",IF(NOT(ISERROR(FIND(Weapons!Y$76,INDEX(SpecialModsTable,$A134,6),1))),TRUE,FALSE),TRUE),FALSE)</f>
        <v>1</v>
      </c>
      <c r="AA134" s="508" t="str">
        <f t="shared" ca="1" si="27"/>
        <v/>
      </c>
      <c r="AB134" s="20" t="str">
        <f t="shared" ca="1" si="28"/>
        <v/>
      </c>
      <c r="AC134" s="20" t="str">
        <f t="shared" ca="1" si="29"/>
        <v/>
      </c>
      <c r="AD134" s="20" t="str">
        <f t="shared" ca="1" si="30"/>
        <v/>
      </c>
      <c r="AE134" s="20" t="b">
        <f t="shared" ca="1" si="31"/>
        <v>1</v>
      </c>
      <c r="AF134" s="20" t="b">
        <f t="shared" ca="1" si="32"/>
        <v>1</v>
      </c>
      <c r="AG134" s="1046" t="str">
        <f t="shared" ca="1" si="33"/>
        <v/>
      </c>
      <c r="AH134" s="842" t="str">
        <f t="shared" ca="1" si="34"/>
        <v/>
      </c>
      <c r="AI134" s="1498" t="str">
        <f t="shared" ca="1" si="35"/>
        <v/>
      </c>
      <c r="AJ134" s="508" t="b">
        <f ca="1">IF($C134&lt;&gt;"",IF(INDEX(SpecialModsTable,$A134,6)&lt;&gt;"",IF(NOT(ISERROR(FIND(Weapons!AI$76,INDEX(SpecialModsTable,$A134,6),1))),TRUE,FALSE),TRUE),FALSE)</f>
        <v>1</v>
      </c>
      <c r="AK134" s="508" t="str">
        <f t="shared" ca="1" si="36"/>
        <v/>
      </c>
      <c r="AL134" s="20" t="str">
        <f t="shared" ca="1" si="37"/>
        <v/>
      </c>
      <c r="AM134" s="20" t="str">
        <f t="shared" ca="1" si="38"/>
        <v/>
      </c>
      <c r="AN134" s="20" t="str">
        <f t="shared" ca="1" si="39"/>
        <v/>
      </c>
      <c r="AO134" s="20" t="b">
        <f t="shared" ca="1" si="40"/>
        <v>1</v>
      </c>
      <c r="AP134" s="20" t="b">
        <f t="shared" ca="1" si="41"/>
        <v>1</v>
      </c>
      <c r="AQ134" s="1046" t="str">
        <f t="shared" ca="1" si="42"/>
        <v/>
      </c>
      <c r="AR134" s="842" t="str">
        <f t="shared" ca="1" si="43"/>
        <v/>
      </c>
      <c r="AS134" s="1498" t="str">
        <f t="shared" ca="1" si="44"/>
        <v/>
      </c>
      <c r="AT134" s="508" t="b">
        <f ca="1">IF($C134&lt;&gt;"",IF(INDEX(SpecialModsTable,$A134,6)&lt;&gt;"",IF(NOT(ISERROR(FIND(Weapons!AS$76,INDEX(SpecialModsTable,$A134,6),1))),TRUE,FALSE),TRUE),FALSE)</f>
        <v>1</v>
      </c>
      <c r="AU134" s="508" t="str">
        <f t="shared" ca="1" si="45"/>
        <v/>
      </c>
      <c r="AV134" s="20" t="str">
        <f t="shared" ca="1" si="46"/>
        <v/>
      </c>
      <c r="AW134" s="20" t="str">
        <f t="shared" ca="1" si="47"/>
        <v/>
      </c>
      <c r="AX134" s="20" t="str">
        <f t="shared" ca="1" si="48"/>
        <v/>
      </c>
      <c r="AY134" s="20" t="b">
        <f t="shared" ca="1" si="49"/>
        <v>1</v>
      </c>
      <c r="AZ134" s="20" t="b">
        <f t="shared" ca="1" si="50"/>
        <v>1</v>
      </c>
      <c r="BA134" s="1046" t="str">
        <f t="shared" ca="1" si="51"/>
        <v/>
      </c>
      <c r="BB134" s="842" t="str">
        <f t="shared" ca="1" si="52"/>
        <v/>
      </c>
      <c r="BC134" s="1498" t="str">
        <f t="shared" ca="1" si="53"/>
        <v/>
      </c>
      <c r="BD134" s="508" t="b">
        <f ca="1">IF($C134&lt;&gt;"",IF(INDEX(SpecialModsTable,$A134,6)&lt;&gt;"",IF(NOT(ISERROR(FIND(Weapons!BC$76,INDEX(SpecialModsTable,$A134,6),1))),TRUE,FALSE),TRUE),FALSE)</f>
        <v>1</v>
      </c>
      <c r="BE134" s="508" t="str">
        <f t="shared" ca="1" si="54"/>
        <v/>
      </c>
      <c r="BF134" s="20" t="str">
        <f t="shared" ca="1" si="55"/>
        <v/>
      </c>
      <c r="BG134" s="20" t="str">
        <f t="shared" ca="1" si="56"/>
        <v/>
      </c>
      <c r="BH134" s="20" t="str">
        <f t="shared" ca="1" si="57"/>
        <v/>
      </c>
      <c r="BI134" s="20" t="b">
        <f t="shared" ca="1" si="58"/>
        <v>1</v>
      </c>
      <c r="BJ134" s="20" t="b">
        <f t="shared" ca="1" si="59"/>
        <v>1</v>
      </c>
      <c r="BK134" s="1046" t="str">
        <f t="shared" ca="1" si="60"/>
        <v/>
      </c>
    </row>
    <row r="135" spans="1:63" hidden="1">
      <c r="A135" s="1477">
        <f t="shared" si="61"/>
        <v>5</v>
      </c>
      <c r="B135" s="1477"/>
      <c r="C135" s="1477" t="str">
        <f t="shared" ca="1" si="6"/>
        <v>Charging Fire</v>
      </c>
      <c r="D135" s="842" t="str">
        <f t="shared" ca="1" si="7"/>
        <v/>
      </c>
      <c r="E135" s="1498" t="str">
        <f t="shared" ca="1" si="8"/>
        <v/>
      </c>
      <c r="F135" s="508" t="b">
        <f ca="1">IF($C135&lt;&gt;"",IF(INDEX(SpecialModsTable,$A135,6)&lt;&gt;"",IF(NOT(ISERROR(FIND(Weapons!E$76,INDEX(SpecialModsTable,$A135,6),1))),TRUE,FALSE),TRUE),FALSE)</f>
        <v>1</v>
      </c>
      <c r="G135" s="508" t="str">
        <f t="shared" ca="1" si="9"/>
        <v/>
      </c>
      <c r="H135" s="20" t="str">
        <f t="shared" ca="1" si="10"/>
        <v/>
      </c>
      <c r="I135" s="20" t="str">
        <f t="shared" ca="1" si="11"/>
        <v/>
      </c>
      <c r="J135" s="20" t="str">
        <f t="shared" ca="1" si="12"/>
        <v/>
      </c>
      <c r="K135" s="20" t="b">
        <f t="shared" ca="1" si="13"/>
        <v>1</v>
      </c>
      <c r="L135" s="20" t="b">
        <f t="shared" ca="1" si="14"/>
        <v>1</v>
      </c>
      <c r="M135" s="1046" t="str">
        <f t="shared" ca="1" si="15"/>
        <v/>
      </c>
      <c r="N135" s="842" t="str">
        <f t="shared" ca="1" si="16"/>
        <v/>
      </c>
      <c r="O135" s="1498" t="str">
        <f t="shared" ca="1" si="17"/>
        <v/>
      </c>
      <c r="P135" s="508" t="b">
        <f ca="1">IF($C135&lt;&gt;"",IF(INDEX(SpecialModsTable,$A135,6)&lt;&gt;"",IF(NOT(ISERROR(FIND(Weapons!O$76,INDEX(SpecialModsTable,$A135,6),1))),TRUE,FALSE),TRUE),FALSE)</f>
        <v>1</v>
      </c>
      <c r="Q135" s="508" t="str">
        <f t="shared" ca="1" si="18"/>
        <v/>
      </c>
      <c r="R135" s="20" t="str">
        <f t="shared" ca="1" si="19"/>
        <v/>
      </c>
      <c r="S135" s="20" t="str">
        <f t="shared" ca="1" si="20"/>
        <v/>
      </c>
      <c r="T135" s="20" t="str">
        <f t="shared" ca="1" si="21"/>
        <v/>
      </c>
      <c r="U135" s="20" t="b">
        <f t="shared" ca="1" si="22"/>
        <v>1</v>
      </c>
      <c r="V135" s="20" t="b">
        <f t="shared" ca="1" si="23"/>
        <v>1</v>
      </c>
      <c r="W135" s="1046" t="str">
        <f t="shared" ca="1" si="24"/>
        <v/>
      </c>
      <c r="X135" s="842" t="str">
        <f t="shared" ca="1" si="25"/>
        <v/>
      </c>
      <c r="Y135" s="1498" t="str">
        <f t="shared" ca="1" si="26"/>
        <v/>
      </c>
      <c r="Z135" s="508" t="b">
        <f ca="1">IF($C135&lt;&gt;"",IF(INDEX(SpecialModsTable,$A135,6)&lt;&gt;"",IF(NOT(ISERROR(FIND(Weapons!Y$76,INDEX(SpecialModsTable,$A135,6),1))),TRUE,FALSE),TRUE),FALSE)</f>
        <v>1</v>
      </c>
      <c r="AA135" s="508" t="str">
        <f t="shared" ca="1" si="27"/>
        <v/>
      </c>
      <c r="AB135" s="20" t="str">
        <f t="shared" ca="1" si="28"/>
        <v/>
      </c>
      <c r="AC135" s="20" t="str">
        <f t="shared" ca="1" si="29"/>
        <v/>
      </c>
      <c r="AD135" s="20" t="str">
        <f t="shared" ca="1" si="30"/>
        <v/>
      </c>
      <c r="AE135" s="20" t="b">
        <f t="shared" ca="1" si="31"/>
        <v>1</v>
      </c>
      <c r="AF135" s="20" t="b">
        <f t="shared" ca="1" si="32"/>
        <v>1</v>
      </c>
      <c r="AG135" s="1046" t="str">
        <f t="shared" ca="1" si="33"/>
        <v/>
      </c>
      <c r="AH135" s="842" t="str">
        <f t="shared" ca="1" si="34"/>
        <v/>
      </c>
      <c r="AI135" s="1498" t="str">
        <f t="shared" ca="1" si="35"/>
        <v/>
      </c>
      <c r="AJ135" s="508" t="b">
        <f ca="1">IF($C135&lt;&gt;"",IF(INDEX(SpecialModsTable,$A135,6)&lt;&gt;"",IF(NOT(ISERROR(FIND(Weapons!AI$76,INDEX(SpecialModsTable,$A135,6),1))),TRUE,FALSE),TRUE),FALSE)</f>
        <v>1</v>
      </c>
      <c r="AK135" s="508" t="str">
        <f t="shared" ca="1" si="36"/>
        <v/>
      </c>
      <c r="AL135" s="20" t="str">
        <f t="shared" ca="1" si="37"/>
        <v/>
      </c>
      <c r="AM135" s="20" t="str">
        <f t="shared" ca="1" si="38"/>
        <v/>
      </c>
      <c r="AN135" s="20" t="str">
        <f t="shared" ca="1" si="39"/>
        <v/>
      </c>
      <c r="AO135" s="20" t="b">
        <f t="shared" ca="1" si="40"/>
        <v>1</v>
      </c>
      <c r="AP135" s="20" t="b">
        <f t="shared" ca="1" si="41"/>
        <v>1</v>
      </c>
      <c r="AQ135" s="1046" t="str">
        <f t="shared" ca="1" si="42"/>
        <v/>
      </c>
      <c r="AR135" s="842" t="str">
        <f t="shared" ca="1" si="43"/>
        <v/>
      </c>
      <c r="AS135" s="1498" t="str">
        <f t="shared" ca="1" si="44"/>
        <v/>
      </c>
      <c r="AT135" s="508" t="b">
        <f ca="1">IF($C135&lt;&gt;"",IF(INDEX(SpecialModsTable,$A135,6)&lt;&gt;"",IF(NOT(ISERROR(FIND(Weapons!AS$76,INDEX(SpecialModsTable,$A135,6),1))),TRUE,FALSE),TRUE),FALSE)</f>
        <v>1</v>
      </c>
      <c r="AU135" s="508" t="str">
        <f t="shared" ca="1" si="45"/>
        <v/>
      </c>
      <c r="AV135" s="20" t="str">
        <f t="shared" ca="1" si="46"/>
        <v/>
      </c>
      <c r="AW135" s="20" t="str">
        <f t="shared" ca="1" si="47"/>
        <v/>
      </c>
      <c r="AX135" s="20" t="str">
        <f t="shared" ca="1" si="48"/>
        <v/>
      </c>
      <c r="AY135" s="20" t="b">
        <f t="shared" ca="1" si="49"/>
        <v>1</v>
      </c>
      <c r="AZ135" s="20" t="b">
        <f t="shared" ca="1" si="50"/>
        <v>1</v>
      </c>
      <c r="BA135" s="1046" t="str">
        <f t="shared" ca="1" si="51"/>
        <v/>
      </c>
      <c r="BB135" s="842" t="str">
        <f t="shared" ca="1" si="52"/>
        <v/>
      </c>
      <c r="BC135" s="1498" t="str">
        <f t="shared" ca="1" si="53"/>
        <v/>
      </c>
      <c r="BD135" s="508" t="b">
        <f ca="1">IF($C135&lt;&gt;"",IF(INDEX(SpecialModsTable,$A135,6)&lt;&gt;"",IF(NOT(ISERROR(FIND(Weapons!BC$76,INDEX(SpecialModsTable,$A135,6),1))),TRUE,FALSE),TRUE),FALSE)</f>
        <v>1</v>
      </c>
      <c r="BE135" s="508" t="str">
        <f t="shared" ca="1" si="54"/>
        <v/>
      </c>
      <c r="BF135" s="20" t="str">
        <f t="shared" ca="1" si="55"/>
        <v/>
      </c>
      <c r="BG135" s="20" t="str">
        <f t="shared" ca="1" si="56"/>
        <v/>
      </c>
      <c r="BH135" s="20" t="str">
        <f t="shared" ca="1" si="57"/>
        <v/>
      </c>
      <c r="BI135" s="20" t="b">
        <f t="shared" ca="1" si="58"/>
        <v>1</v>
      </c>
      <c r="BJ135" s="20" t="b">
        <f t="shared" ca="1" si="59"/>
        <v>1</v>
      </c>
      <c r="BK135" s="1046" t="str">
        <f t="shared" ca="1" si="60"/>
        <v/>
      </c>
    </row>
    <row r="136" spans="1:63" hidden="1">
      <c r="A136" s="1477">
        <f t="shared" si="61"/>
        <v>6</v>
      </c>
      <c r="B136" s="1477"/>
      <c r="C136" s="1477" t="str">
        <f t="shared" ca="1" si="6"/>
        <v>Cleave</v>
      </c>
      <c r="D136" s="842" t="str">
        <f t="shared" ca="1" si="7"/>
        <v/>
      </c>
      <c r="E136" s="1498" t="str">
        <f t="shared" ca="1" si="8"/>
        <v/>
      </c>
      <c r="F136" s="508" t="b">
        <f ca="1">IF($C136&lt;&gt;"",IF(INDEX(SpecialModsTable,$A136,6)&lt;&gt;"",IF(NOT(ISERROR(FIND(Weapons!E$76,INDEX(SpecialModsTable,$A136,6),1))),TRUE,FALSE),TRUE),FALSE)</f>
        <v>1</v>
      </c>
      <c r="G136" s="508" t="str">
        <f t="shared" ca="1" si="9"/>
        <v/>
      </c>
      <c r="H136" s="20" t="str">
        <f t="shared" ca="1" si="10"/>
        <v/>
      </c>
      <c r="I136" s="20" t="str">
        <f t="shared" ca="1" si="11"/>
        <v/>
      </c>
      <c r="J136" s="20" t="str">
        <f t="shared" ca="1" si="12"/>
        <v/>
      </c>
      <c r="K136" s="20" t="b">
        <f t="shared" ca="1" si="13"/>
        <v>1</v>
      </c>
      <c r="L136" s="20" t="b">
        <f t="shared" ca="1" si="14"/>
        <v>1</v>
      </c>
      <c r="M136" s="1046" t="str">
        <f t="shared" ca="1" si="15"/>
        <v/>
      </c>
      <c r="N136" s="842" t="str">
        <f t="shared" ca="1" si="16"/>
        <v/>
      </c>
      <c r="O136" s="1498" t="str">
        <f t="shared" ca="1" si="17"/>
        <v/>
      </c>
      <c r="P136" s="508" t="b">
        <f ca="1">IF($C136&lt;&gt;"",IF(INDEX(SpecialModsTable,$A136,6)&lt;&gt;"",IF(NOT(ISERROR(FIND(Weapons!O$76,INDEX(SpecialModsTable,$A136,6),1))),TRUE,FALSE),TRUE),FALSE)</f>
        <v>1</v>
      </c>
      <c r="Q136" s="508" t="str">
        <f t="shared" ca="1" si="18"/>
        <v/>
      </c>
      <c r="R136" s="20" t="str">
        <f t="shared" ca="1" si="19"/>
        <v/>
      </c>
      <c r="S136" s="20" t="str">
        <f t="shared" ca="1" si="20"/>
        <v/>
      </c>
      <c r="T136" s="20" t="str">
        <f t="shared" ca="1" si="21"/>
        <v/>
      </c>
      <c r="U136" s="20" t="b">
        <f t="shared" ca="1" si="22"/>
        <v>1</v>
      </c>
      <c r="V136" s="20" t="b">
        <f t="shared" ca="1" si="23"/>
        <v>1</v>
      </c>
      <c r="W136" s="1046" t="str">
        <f t="shared" ca="1" si="24"/>
        <v/>
      </c>
      <c r="X136" s="842" t="str">
        <f t="shared" ca="1" si="25"/>
        <v/>
      </c>
      <c r="Y136" s="1498" t="str">
        <f t="shared" ca="1" si="26"/>
        <v/>
      </c>
      <c r="Z136" s="508" t="b">
        <f ca="1">IF($C136&lt;&gt;"",IF(INDEX(SpecialModsTable,$A136,6)&lt;&gt;"",IF(NOT(ISERROR(FIND(Weapons!Y$76,INDEX(SpecialModsTable,$A136,6),1))),TRUE,FALSE),TRUE),FALSE)</f>
        <v>1</v>
      </c>
      <c r="AA136" s="508" t="str">
        <f t="shared" ca="1" si="27"/>
        <v/>
      </c>
      <c r="AB136" s="20" t="str">
        <f t="shared" ca="1" si="28"/>
        <v/>
      </c>
      <c r="AC136" s="20" t="str">
        <f t="shared" ca="1" si="29"/>
        <v/>
      </c>
      <c r="AD136" s="20" t="str">
        <f t="shared" ca="1" si="30"/>
        <v/>
      </c>
      <c r="AE136" s="20" t="b">
        <f t="shared" ca="1" si="31"/>
        <v>1</v>
      </c>
      <c r="AF136" s="20" t="b">
        <f t="shared" ca="1" si="32"/>
        <v>1</v>
      </c>
      <c r="AG136" s="1046" t="str">
        <f t="shared" ca="1" si="33"/>
        <v/>
      </c>
      <c r="AH136" s="842" t="str">
        <f t="shared" ca="1" si="34"/>
        <v/>
      </c>
      <c r="AI136" s="1498" t="str">
        <f t="shared" ca="1" si="35"/>
        <v/>
      </c>
      <c r="AJ136" s="508" t="b">
        <f ca="1">IF($C136&lt;&gt;"",IF(INDEX(SpecialModsTable,$A136,6)&lt;&gt;"",IF(NOT(ISERROR(FIND(Weapons!AI$76,INDEX(SpecialModsTable,$A136,6),1))),TRUE,FALSE),TRUE),FALSE)</f>
        <v>1</v>
      </c>
      <c r="AK136" s="508" t="str">
        <f t="shared" ca="1" si="36"/>
        <v/>
      </c>
      <c r="AL136" s="20" t="str">
        <f t="shared" ca="1" si="37"/>
        <v/>
      </c>
      <c r="AM136" s="20" t="str">
        <f t="shared" ca="1" si="38"/>
        <v/>
      </c>
      <c r="AN136" s="20" t="str">
        <f t="shared" ca="1" si="39"/>
        <v/>
      </c>
      <c r="AO136" s="20" t="b">
        <f t="shared" ca="1" si="40"/>
        <v>1</v>
      </c>
      <c r="AP136" s="20" t="b">
        <f t="shared" ca="1" si="41"/>
        <v>1</v>
      </c>
      <c r="AQ136" s="1046" t="str">
        <f t="shared" ca="1" si="42"/>
        <v/>
      </c>
      <c r="AR136" s="842" t="str">
        <f t="shared" ca="1" si="43"/>
        <v/>
      </c>
      <c r="AS136" s="1498" t="str">
        <f t="shared" ca="1" si="44"/>
        <v/>
      </c>
      <c r="AT136" s="508" t="b">
        <f ca="1">IF($C136&lt;&gt;"",IF(INDEX(SpecialModsTable,$A136,6)&lt;&gt;"",IF(NOT(ISERROR(FIND(Weapons!AS$76,INDEX(SpecialModsTable,$A136,6),1))),TRUE,FALSE),TRUE),FALSE)</f>
        <v>1</v>
      </c>
      <c r="AU136" s="508" t="str">
        <f t="shared" ca="1" si="45"/>
        <v/>
      </c>
      <c r="AV136" s="20" t="str">
        <f t="shared" ca="1" si="46"/>
        <v/>
      </c>
      <c r="AW136" s="20" t="str">
        <f t="shared" ca="1" si="47"/>
        <v/>
      </c>
      <c r="AX136" s="20" t="str">
        <f t="shared" ca="1" si="48"/>
        <v/>
      </c>
      <c r="AY136" s="20" t="b">
        <f t="shared" ca="1" si="49"/>
        <v>1</v>
      </c>
      <c r="AZ136" s="20" t="b">
        <f t="shared" ca="1" si="50"/>
        <v>1</v>
      </c>
      <c r="BA136" s="1046" t="str">
        <f t="shared" ca="1" si="51"/>
        <v/>
      </c>
      <c r="BB136" s="842" t="str">
        <f t="shared" ca="1" si="52"/>
        <v/>
      </c>
      <c r="BC136" s="1498" t="str">
        <f t="shared" ca="1" si="53"/>
        <v/>
      </c>
      <c r="BD136" s="508" t="b">
        <f ca="1">IF($C136&lt;&gt;"",IF(INDEX(SpecialModsTable,$A136,6)&lt;&gt;"",IF(NOT(ISERROR(FIND(Weapons!BC$76,INDEX(SpecialModsTable,$A136,6),1))),TRUE,FALSE),TRUE),FALSE)</f>
        <v>1</v>
      </c>
      <c r="BE136" s="508" t="str">
        <f t="shared" ca="1" si="54"/>
        <v/>
      </c>
      <c r="BF136" s="20" t="str">
        <f t="shared" ca="1" si="55"/>
        <v/>
      </c>
      <c r="BG136" s="20" t="str">
        <f t="shared" ca="1" si="56"/>
        <v/>
      </c>
      <c r="BH136" s="20" t="str">
        <f t="shared" ca="1" si="57"/>
        <v/>
      </c>
      <c r="BI136" s="20" t="b">
        <f t="shared" ca="1" si="58"/>
        <v>1</v>
      </c>
      <c r="BJ136" s="20" t="b">
        <f t="shared" ca="1" si="59"/>
        <v>1</v>
      </c>
      <c r="BK136" s="1046" t="str">
        <f t="shared" ca="1" si="60"/>
        <v/>
      </c>
    </row>
    <row r="137" spans="1:63" hidden="1">
      <c r="A137" s="1477">
        <f t="shared" si="61"/>
        <v>7</v>
      </c>
      <c r="B137" s="1477"/>
      <c r="C137" s="1477" t="str">
        <f t="shared" ca="1" si="6"/>
        <v>Cunning Attack</v>
      </c>
      <c r="D137" s="842" t="str">
        <f t="shared" ca="1" si="7"/>
        <v/>
      </c>
      <c r="E137" s="1498" t="str">
        <f t="shared" ca="1" si="8"/>
        <v/>
      </c>
      <c r="F137" s="508" t="b">
        <f ca="1">IF($C137&lt;&gt;"",IF(INDEX(SpecialModsTable,$A137,6)&lt;&gt;"",IF(NOT(ISERROR(FIND(Weapons!E$76,INDEX(SpecialModsTable,$A137,6),1))),TRUE,FALSE),TRUE),FALSE)</f>
        <v>1</v>
      </c>
      <c r="G137" s="508" t="str">
        <f t="shared" ca="1" si="9"/>
        <v/>
      </c>
      <c r="H137" s="20" t="str">
        <f t="shared" ca="1" si="10"/>
        <v/>
      </c>
      <c r="I137" s="20" t="str">
        <f t="shared" ca="1" si="11"/>
        <v/>
      </c>
      <c r="J137" s="20" t="str">
        <f t="shared" ca="1" si="12"/>
        <v/>
      </c>
      <c r="K137" s="20" t="b">
        <f t="shared" ca="1" si="13"/>
        <v>1</v>
      </c>
      <c r="L137" s="20" t="b">
        <f t="shared" ca="1" si="14"/>
        <v>1</v>
      </c>
      <c r="M137" s="1046" t="str">
        <f t="shared" ca="1" si="15"/>
        <v/>
      </c>
      <c r="N137" s="842" t="str">
        <f t="shared" ca="1" si="16"/>
        <v/>
      </c>
      <c r="O137" s="1498" t="str">
        <f t="shared" ca="1" si="17"/>
        <v/>
      </c>
      <c r="P137" s="508" t="b">
        <f ca="1">IF($C137&lt;&gt;"",IF(INDEX(SpecialModsTable,$A137,6)&lt;&gt;"",IF(NOT(ISERROR(FIND(Weapons!O$76,INDEX(SpecialModsTable,$A137,6),1))),TRUE,FALSE),TRUE),FALSE)</f>
        <v>1</v>
      </c>
      <c r="Q137" s="508" t="str">
        <f t="shared" ca="1" si="18"/>
        <v/>
      </c>
      <c r="R137" s="20" t="str">
        <f t="shared" ca="1" si="19"/>
        <v/>
      </c>
      <c r="S137" s="20" t="str">
        <f t="shared" ca="1" si="20"/>
        <v/>
      </c>
      <c r="T137" s="20" t="str">
        <f t="shared" ca="1" si="21"/>
        <v/>
      </c>
      <c r="U137" s="20" t="b">
        <f t="shared" ca="1" si="22"/>
        <v>1</v>
      </c>
      <c r="V137" s="20" t="b">
        <f t="shared" ca="1" si="23"/>
        <v>1</v>
      </c>
      <c r="W137" s="1046" t="str">
        <f t="shared" ca="1" si="24"/>
        <v/>
      </c>
      <c r="X137" s="842" t="str">
        <f t="shared" ca="1" si="25"/>
        <v/>
      </c>
      <c r="Y137" s="1498" t="str">
        <f t="shared" ca="1" si="26"/>
        <v/>
      </c>
      <c r="Z137" s="508" t="b">
        <f ca="1">IF($C137&lt;&gt;"",IF(INDEX(SpecialModsTable,$A137,6)&lt;&gt;"",IF(NOT(ISERROR(FIND(Weapons!Y$76,INDEX(SpecialModsTable,$A137,6),1))),TRUE,FALSE),TRUE),FALSE)</f>
        <v>1</v>
      </c>
      <c r="AA137" s="508" t="str">
        <f t="shared" ca="1" si="27"/>
        <v/>
      </c>
      <c r="AB137" s="20" t="str">
        <f t="shared" ca="1" si="28"/>
        <v/>
      </c>
      <c r="AC137" s="20" t="str">
        <f t="shared" ca="1" si="29"/>
        <v/>
      </c>
      <c r="AD137" s="20" t="str">
        <f t="shared" ca="1" si="30"/>
        <v/>
      </c>
      <c r="AE137" s="20" t="b">
        <f t="shared" ca="1" si="31"/>
        <v>1</v>
      </c>
      <c r="AF137" s="20" t="b">
        <f t="shared" ca="1" si="32"/>
        <v>1</v>
      </c>
      <c r="AG137" s="1046" t="str">
        <f t="shared" ca="1" si="33"/>
        <v/>
      </c>
      <c r="AH137" s="842" t="str">
        <f t="shared" ca="1" si="34"/>
        <v/>
      </c>
      <c r="AI137" s="1498" t="str">
        <f t="shared" ca="1" si="35"/>
        <v/>
      </c>
      <c r="AJ137" s="508" t="b">
        <f ca="1">IF($C137&lt;&gt;"",IF(INDEX(SpecialModsTable,$A137,6)&lt;&gt;"",IF(NOT(ISERROR(FIND(Weapons!AI$76,INDEX(SpecialModsTable,$A137,6),1))),TRUE,FALSE),TRUE),FALSE)</f>
        <v>1</v>
      </c>
      <c r="AK137" s="508" t="str">
        <f t="shared" ca="1" si="36"/>
        <v/>
      </c>
      <c r="AL137" s="20" t="str">
        <f t="shared" ca="1" si="37"/>
        <v/>
      </c>
      <c r="AM137" s="20" t="str">
        <f t="shared" ca="1" si="38"/>
        <v/>
      </c>
      <c r="AN137" s="20" t="str">
        <f t="shared" ca="1" si="39"/>
        <v/>
      </c>
      <c r="AO137" s="20" t="b">
        <f t="shared" ca="1" si="40"/>
        <v>1</v>
      </c>
      <c r="AP137" s="20" t="b">
        <f t="shared" ca="1" si="41"/>
        <v>1</v>
      </c>
      <c r="AQ137" s="1046" t="str">
        <f t="shared" ca="1" si="42"/>
        <v/>
      </c>
      <c r="AR137" s="842" t="str">
        <f t="shared" ca="1" si="43"/>
        <v/>
      </c>
      <c r="AS137" s="1498" t="str">
        <f t="shared" ca="1" si="44"/>
        <v/>
      </c>
      <c r="AT137" s="508" t="b">
        <f ca="1">IF($C137&lt;&gt;"",IF(INDEX(SpecialModsTable,$A137,6)&lt;&gt;"",IF(NOT(ISERROR(FIND(Weapons!AS$76,INDEX(SpecialModsTable,$A137,6),1))),TRUE,FALSE),TRUE),FALSE)</f>
        <v>1</v>
      </c>
      <c r="AU137" s="508" t="str">
        <f t="shared" ca="1" si="45"/>
        <v/>
      </c>
      <c r="AV137" s="20" t="str">
        <f t="shared" ca="1" si="46"/>
        <v/>
      </c>
      <c r="AW137" s="20" t="str">
        <f t="shared" ca="1" si="47"/>
        <v/>
      </c>
      <c r="AX137" s="20" t="str">
        <f t="shared" ca="1" si="48"/>
        <v/>
      </c>
      <c r="AY137" s="20" t="b">
        <f t="shared" ca="1" si="49"/>
        <v>1</v>
      </c>
      <c r="AZ137" s="20" t="b">
        <f t="shared" ca="1" si="50"/>
        <v>1</v>
      </c>
      <c r="BA137" s="1046" t="str">
        <f t="shared" ca="1" si="51"/>
        <v/>
      </c>
      <c r="BB137" s="842" t="str">
        <f t="shared" ca="1" si="52"/>
        <v/>
      </c>
      <c r="BC137" s="1498" t="str">
        <f t="shared" ca="1" si="53"/>
        <v/>
      </c>
      <c r="BD137" s="508" t="b">
        <f ca="1">IF($C137&lt;&gt;"",IF(INDEX(SpecialModsTable,$A137,6)&lt;&gt;"",IF(NOT(ISERROR(FIND(Weapons!BC$76,INDEX(SpecialModsTable,$A137,6),1))),TRUE,FALSE),TRUE),FALSE)</f>
        <v>1</v>
      </c>
      <c r="BE137" s="508" t="str">
        <f t="shared" ca="1" si="54"/>
        <v/>
      </c>
      <c r="BF137" s="20" t="str">
        <f t="shared" ca="1" si="55"/>
        <v/>
      </c>
      <c r="BG137" s="20" t="str">
        <f t="shared" ca="1" si="56"/>
        <v/>
      </c>
      <c r="BH137" s="20" t="str">
        <f t="shared" ca="1" si="57"/>
        <v/>
      </c>
      <c r="BI137" s="20" t="b">
        <f t="shared" ca="1" si="58"/>
        <v>1</v>
      </c>
      <c r="BJ137" s="20" t="b">
        <f t="shared" ca="1" si="59"/>
        <v>1</v>
      </c>
      <c r="BK137" s="1046" t="str">
        <f t="shared" ca="1" si="60"/>
        <v/>
      </c>
    </row>
    <row r="138" spans="1:63" hidden="1">
      <c r="A138" s="1477">
        <f t="shared" si="61"/>
        <v>8</v>
      </c>
      <c r="B138" s="1477"/>
      <c r="C138" s="1477" t="str">
        <f t="shared" ca="1" si="6"/>
        <v>Deadeye</v>
      </c>
      <c r="D138" s="842" t="str">
        <f t="shared" ca="1" si="7"/>
        <v/>
      </c>
      <c r="E138" s="1498" t="str">
        <f t="shared" ca="1" si="8"/>
        <v/>
      </c>
      <c r="F138" s="508" t="b">
        <f ca="1">IF($C138&lt;&gt;"",IF(INDEX(SpecialModsTable,$A138,6)&lt;&gt;"",IF(NOT(ISERROR(FIND(Weapons!E$76,INDEX(SpecialModsTable,$A138,6),1))),TRUE,FALSE),TRUE),FALSE)</f>
        <v>1</v>
      </c>
      <c r="G138" s="508" t="str">
        <f t="shared" ca="1" si="9"/>
        <v/>
      </c>
      <c r="H138" s="20" t="str">
        <f t="shared" ca="1" si="10"/>
        <v/>
      </c>
      <c r="I138" s="20" t="str">
        <f t="shared" ca="1" si="11"/>
        <v/>
      </c>
      <c r="J138" s="20" t="str">
        <f t="shared" ca="1" si="12"/>
        <v/>
      </c>
      <c r="K138" s="20" t="b">
        <f t="shared" ca="1" si="13"/>
        <v>1</v>
      </c>
      <c r="L138" s="20" t="b">
        <f t="shared" ca="1" si="14"/>
        <v>1</v>
      </c>
      <c r="M138" s="1046" t="str">
        <f t="shared" ca="1" si="15"/>
        <v/>
      </c>
      <c r="N138" s="842" t="str">
        <f t="shared" ca="1" si="16"/>
        <v/>
      </c>
      <c r="O138" s="1498" t="str">
        <f t="shared" ca="1" si="17"/>
        <v/>
      </c>
      <c r="P138" s="508" t="b">
        <f ca="1">IF($C138&lt;&gt;"",IF(INDEX(SpecialModsTable,$A138,6)&lt;&gt;"",IF(NOT(ISERROR(FIND(Weapons!O$76,INDEX(SpecialModsTable,$A138,6),1))),TRUE,FALSE),TRUE),FALSE)</f>
        <v>1</v>
      </c>
      <c r="Q138" s="508" t="str">
        <f t="shared" ca="1" si="18"/>
        <v/>
      </c>
      <c r="R138" s="20" t="str">
        <f t="shared" ca="1" si="19"/>
        <v/>
      </c>
      <c r="S138" s="20" t="str">
        <f t="shared" ca="1" si="20"/>
        <v/>
      </c>
      <c r="T138" s="20" t="str">
        <f t="shared" ca="1" si="21"/>
        <v/>
      </c>
      <c r="U138" s="20" t="b">
        <f t="shared" ca="1" si="22"/>
        <v>1</v>
      </c>
      <c r="V138" s="20" t="b">
        <f t="shared" ca="1" si="23"/>
        <v>1</v>
      </c>
      <c r="W138" s="1046" t="str">
        <f t="shared" ca="1" si="24"/>
        <v/>
      </c>
      <c r="X138" s="842" t="str">
        <f t="shared" ca="1" si="25"/>
        <v/>
      </c>
      <c r="Y138" s="1498" t="str">
        <f t="shared" ca="1" si="26"/>
        <v/>
      </c>
      <c r="Z138" s="508" t="b">
        <f ca="1">IF($C138&lt;&gt;"",IF(INDEX(SpecialModsTable,$A138,6)&lt;&gt;"",IF(NOT(ISERROR(FIND(Weapons!Y$76,INDEX(SpecialModsTable,$A138,6),1))),TRUE,FALSE),TRUE),FALSE)</f>
        <v>1</v>
      </c>
      <c r="AA138" s="508" t="str">
        <f t="shared" ca="1" si="27"/>
        <v/>
      </c>
      <c r="AB138" s="20" t="str">
        <f t="shared" ca="1" si="28"/>
        <v/>
      </c>
      <c r="AC138" s="20" t="str">
        <f t="shared" ca="1" si="29"/>
        <v/>
      </c>
      <c r="AD138" s="20" t="str">
        <f t="shared" ca="1" si="30"/>
        <v/>
      </c>
      <c r="AE138" s="20" t="b">
        <f t="shared" ca="1" si="31"/>
        <v>1</v>
      </c>
      <c r="AF138" s="20" t="b">
        <f t="shared" ca="1" si="32"/>
        <v>1</v>
      </c>
      <c r="AG138" s="1046" t="str">
        <f t="shared" ca="1" si="33"/>
        <v/>
      </c>
      <c r="AH138" s="842" t="str">
        <f t="shared" ca="1" si="34"/>
        <v/>
      </c>
      <c r="AI138" s="1498" t="str">
        <f t="shared" ca="1" si="35"/>
        <v/>
      </c>
      <c r="AJ138" s="508" t="b">
        <f ca="1">IF($C138&lt;&gt;"",IF(INDEX(SpecialModsTable,$A138,6)&lt;&gt;"",IF(NOT(ISERROR(FIND(Weapons!AI$76,INDEX(SpecialModsTable,$A138,6),1))),TRUE,FALSE),TRUE),FALSE)</f>
        <v>1</v>
      </c>
      <c r="AK138" s="508" t="str">
        <f t="shared" ca="1" si="36"/>
        <v/>
      </c>
      <c r="AL138" s="20" t="str">
        <f t="shared" ca="1" si="37"/>
        <v/>
      </c>
      <c r="AM138" s="20" t="str">
        <f t="shared" ca="1" si="38"/>
        <v/>
      </c>
      <c r="AN138" s="20" t="str">
        <f t="shared" ca="1" si="39"/>
        <v/>
      </c>
      <c r="AO138" s="20" t="b">
        <f t="shared" ca="1" si="40"/>
        <v>1</v>
      </c>
      <c r="AP138" s="20" t="b">
        <f t="shared" ca="1" si="41"/>
        <v>1</v>
      </c>
      <c r="AQ138" s="1046" t="str">
        <f t="shared" ca="1" si="42"/>
        <v/>
      </c>
      <c r="AR138" s="842" t="str">
        <f t="shared" ca="1" si="43"/>
        <v/>
      </c>
      <c r="AS138" s="1498" t="str">
        <f t="shared" ca="1" si="44"/>
        <v/>
      </c>
      <c r="AT138" s="508" t="b">
        <f ca="1">IF($C138&lt;&gt;"",IF(INDEX(SpecialModsTable,$A138,6)&lt;&gt;"",IF(NOT(ISERROR(FIND(Weapons!AS$76,INDEX(SpecialModsTable,$A138,6),1))),TRUE,FALSE),TRUE),FALSE)</f>
        <v>1</v>
      </c>
      <c r="AU138" s="508" t="str">
        <f t="shared" ca="1" si="45"/>
        <v/>
      </c>
      <c r="AV138" s="20" t="str">
        <f t="shared" ca="1" si="46"/>
        <v/>
      </c>
      <c r="AW138" s="20" t="str">
        <f t="shared" ca="1" si="47"/>
        <v/>
      </c>
      <c r="AX138" s="20" t="str">
        <f t="shared" ca="1" si="48"/>
        <v/>
      </c>
      <c r="AY138" s="20" t="b">
        <f t="shared" ca="1" si="49"/>
        <v>1</v>
      </c>
      <c r="AZ138" s="20" t="b">
        <f t="shared" ca="1" si="50"/>
        <v>1</v>
      </c>
      <c r="BA138" s="1046" t="str">
        <f t="shared" ca="1" si="51"/>
        <v/>
      </c>
      <c r="BB138" s="842" t="str">
        <f t="shared" ca="1" si="52"/>
        <v/>
      </c>
      <c r="BC138" s="1498" t="str">
        <f t="shared" ca="1" si="53"/>
        <v/>
      </c>
      <c r="BD138" s="508" t="b">
        <f ca="1">IF($C138&lt;&gt;"",IF(INDEX(SpecialModsTable,$A138,6)&lt;&gt;"",IF(NOT(ISERROR(FIND(Weapons!BC$76,INDEX(SpecialModsTable,$A138,6),1))),TRUE,FALSE),TRUE),FALSE)</f>
        <v>1</v>
      </c>
      <c r="BE138" s="508" t="str">
        <f t="shared" ca="1" si="54"/>
        <v/>
      </c>
      <c r="BF138" s="20" t="str">
        <f t="shared" ca="1" si="55"/>
        <v/>
      </c>
      <c r="BG138" s="20" t="str">
        <f t="shared" ca="1" si="56"/>
        <v/>
      </c>
      <c r="BH138" s="20" t="str">
        <f t="shared" ca="1" si="57"/>
        <v/>
      </c>
      <c r="BI138" s="20" t="b">
        <f t="shared" ca="1" si="58"/>
        <v>1</v>
      </c>
      <c r="BJ138" s="20" t="b">
        <f t="shared" ca="1" si="59"/>
        <v>1</v>
      </c>
      <c r="BK138" s="1046" t="str">
        <f t="shared" ca="1" si="60"/>
        <v/>
      </c>
    </row>
    <row r="139" spans="1:63" hidden="1">
      <c r="A139" s="1477">
        <f t="shared" si="61"/>
        <v>9</v>
      </c>
      <c r="B139" s="1477"/>
      <c r="C139" s="1477" t="str">
        <f t="shared" ca="1" si="6"/>
        <v>Deadly Sniper</v>
      </c>
      <c r="D139" s="842" t="str">
        <f t="shared" ca="1" si="7"/>
        <v/>
      </c>
      <c r="E139" s="1498" t="str">
        <f t="shared" ca="1" si="8"/>
        <v/>
      </c>
      <c r="F139" s="508" t="b">
        <f ca="1">IF($C139&lt;&gt;"",IF(INDEX(SpecialModsTable,$A139,6)&lt;&gt;"",IF(NOT(ISERROR(FIND(Weapons!E$76,INDEX(SpecialModsTable,$A139,6),1))),TRUE,FALSE),TRUE),FALSE)</f>
        <v>1</v>
      </c>
      <c r="G139" s="508" t="str">
        <f t="shared" ca="1" si="9"/>
        <v/>
      </c>
      <c r="H139" s="20" t="str">
        <f t="shared" ca="1" si="10"/>
        <v/>
      </c>
      <c r="I139" s="20" t="str">
        <f t="shared" ca="1" si="11"/>
        <v/>
      </c>
      <c r="J139" s="20" t="str">
        <f t="shared" ca="1" si="12"/>
        <v/>
      </c>
      <c r="K139" s="20" t="b">
        <f t="shared" ca="1" si="13"/>
        <v>1</v>
      </c>
      <c r="L139" s="20" t="b">
        <f t="shared" ca="1" si="14"/>
        <v>1</v>
      </c>
      <c r="M139" s="1046" t="str">
        <f t="shared" ca="1" si="15"/>
        <v/>
      </c>
      <c r="N139" s="842" t="str">
        <f t="shared" ca="1" si="16"/>
        <v/>
      </c>
      <c r="O139" s="1498" t="str">
        <f t="shared" ca="1" si="17"/>
        <v/>
      </c>
      <c r="P139" s="508" t="b">
        <f ca="1">IF($C139&lt;&gt;"",IF(INDEX(SpecialModsTable,$A139,6)&lt;&gt;"",IF(NOT(ISERROR(FIND(Weapons!O$76,INDEX(SpecialModsTable,$A139,6),1))),TRUE,FALSE),TRUE),FALSE)</f>
        <v>1</v>
      </c>
      <c r="Q139" s="508" t="str">
        <f t="shared" ca="1" si="18"/>
        <v/>
      </c>
      <c r="R139" s="20" t="str">
        <f t="shared" ca="1" si="19"/>
        <v/>
      </c>
      <c r="S139" s="20" t="str">
        <f t="shared" ca="1" si="20"/>
        <v/>
      </c>
      <c r="T139" s="20" t="str">
        <f t="shared" ca="1" si="21"/>
        <v/>
      </c>
      <c r="U139" s="20" t="b">
        <f t="shared" ca="1" si="22"/>
        <v>1</v>
      </c>
      <c r="V139" s="20" t="b">
        <f t="shared" ca="1" si="23"/>
        <v>1</v>
      </c>
      <c r="W139" s="1046" t="str">
        <f t="shared" ca="1" si="24"/>
        <v/>
      </c>
      <c r="X139" s="842" t="str">
        <f t="shared" ca="1" si="25"/>
        <v/>
      </c>
      <c r="Y139" s="1498" t="str">
        <f t="shared" ca="1" si="26"/>
        <v/>
      </c>
      <c r="Z139" s="508" t="b">
        <f ca="1">IF($C139&lt;&gt;"",IF(INDEX(SpecialModsTable,$A139,6)&lt;&gt;"",IF(NOT(ISERROR(FIND(Weapons!Y$76,INDEX(SpecialModsTable,$A139,6),1))),TRUE,FALSE),TRUE),FALSE)</f>
        <v>1</v>
      </c>
      <c r="AA139" s="508" t="str">
        <f t="shared" ca="1" si="27"/>
        <v/>
      </c>
      <c r="AB139" s="20" t="str">
        <f t="shared" ca="1" si="28"/>
        <v/>
      </c>
      <c r="AC139" s="20" t="str">
        <f t="shared" ca="1" si="29"/>
        <v/>
      </c>
      <c r="AD139" s="20" t="str">
        <f t="shared" ca="1" si="30"/>
        <v/>
      </c>
      <c r="AE139" s="20" t="b">
        <f t="shared" ca="1" si="31"/>
        <v>1</v>
      </c>
      <c r="AF139" s="20" t="b">
        <f t="shared" ca="1" si="32"/>
        <v>1</v>
      </c>
      <c r="AG139" s="1046" t="str">
        <f t="shared" ca="1" si="33"/>
        <v/>
      </c>
      <c r="AH139" s="842" t="str">
        <f t="shared" ca="1" si="34"/>
        <v/>
      </c>
      <c r="AI139" s="1498" t="str">
        <f t="shared" ca="1" si="35"/>
        <v/>
      </c>
      <c r="AJ139" s="508" t="b">
        <f ca="1">IF($C139&lt;&gt;"",IF(INDEX(SpecialModsTable,$A139,6)&lt;&gt;"",IF(NOT(ISERROR(FIND(Weapons!AI$76,INDEX(SpecialModsTable,$A139,6),1))),TRUE,FALSE),TRUE),FALSE)</f>
        <v>1</v>
      </c>
      <c r="AK139" s="508" t="str">
        <f t="shared" ca="1" si="36"/>
        <v/>
      </c>
      <c r="AL139" s="20" t="str">
        <f t="shared" ca="1" si="37"/>
        <v/>
      </c>
      <c r="AM139" s="20" t="str">
        <f t="shared" ca="1" si="38"/>
        <v/>
      </c>
      <c r="AN139" s="20" t="str">
        <f t="shared" ca="1" si="39"/>
        <v/>
      </c>
      <c r="AO139" s="20" t="b">
        <f t="shared" ca="1" si="40"/>
        <v>1</v>
      </c>
      <c r="AP139" s="20" t="b">
        <f t="shared" ca="1" si="41"/>
        <v>1</v>
      </c>
      <c r="AQ139" s="1046" t="str">
        <f t="shared" ca="1" si="42"/>
        <v/>
      </c>
      <c r="AR139" s="842" t="str">
        <f t="shared" ca="1" si="43"/>
        <v/>
      </c>
      <c r="AS139" s="1498" t="str">
        <f t="shared" ca="1" si="44"/>
        <v/>
      </c>
      <c r="AT139" s="508" t="b">
        <f ca="1">IF($C139&lt;&gt;"",IF(INDEX(SpecialModsTable,$A139,6)&lt;&gt;"",IF(NOT(ISERROR(FIND(Weapons!AS$76,INDEX(SpecialModsTable,$A139,6),1))),TRUE,FALSE),TRUE),FALSE)</f>
        <v>1</v>
      </c>
      <c r="AU139" s="508" t="str">
        <f t="shared" ca="1" si="45"/>
        <v/>
      </c>
      <c r="AV139" s="20" t="str">
        <f t="shared" ca="1" si="46"/>
        <v/>
      </c>
      <c r="AW139" s="20" t="str">
        <f t="shared" ca="1" si="47"/>
        <v/>
      </c>
      <c r="AX139" s="20" t="str">
        <f t="shared" ca="1" si="48"/>
        <v/>
      </c>
      <c r="AY139" s="20" t="b">
        <f t="shared" ca="1" si="49"/>
        <v>1</v>
      </c>
      <c r="AZ139" s="20" t="b">
        <f t="shared" ca="1" si="50"/>
        <v>1</v>
      </c>
      <c r="BA139" s="1046" t="str">
        <f t="shared" ca="1" si="51"/>
        <v/>
      </c>
      <c r="BB139" s="842" t="str">
        <f t="shared" ca="1" si="52"/>
        <v/>
      </c>
      <c r="BC139" s="1498" t="str">
        <f t="shared" ca="1" si="53"/>
        <v/>
      </c>
      <c r="BD139" s="508" t="b">
        <f ca="1">IF($C139&lt;&gt;"",IF(INDEX(SpecialModsTable,$A139,6)&lt;&gt;"",IF(NOT(ISERROR(FIND(Weapons!BC$76,INDEX(SpecialModsTable,$A139,6),1))),TRUE,FALSE),TRUE),FALSE)</f>
        <v>1</v>
      </c>
      <c r="BE139" s="508" t="str">
        <f t="shared" ca="1" si="54"/>
        <v/>
      </c>
      <c r="BF139" s="20" t="str">
        <f t="shared" ca="1" si="55"/>
        <v/>
      </c>
      <c r="BG139" s="20" t="str">
        <f t="shared" ca="1" si="56"/>
        <v/>
      </c>
      <c r="BH139" s="20" t="str">
        <f t="shared" ca="1" si="57"/>
        <v/>
      </c>
      <c r="BI139" s="20" t="b">
        <f t="shared" ca="1" si="58"/>
        <v>1</v>
      </c>
      <c r="BJ139" s="20" t="b">
        <f t="shared" ca="1" si="59"/>
        <v>1</v>
      </c>
      <c r="BK139" s="1046" t="str">
        <f t="shared" ca="1" si="60"/>
        <v/>
      </c>
    </row>
    <row r="140" spans="1:63" hidden="1">
      <c r="A140" s="1477">
        <f t="shared" si="61"/>
        <v>10</v>
      </c>
      <c r="B140" s="1477"/>
      <c r="C140" s="1477" t="str">
        <f t="shared" ca="1" si="6"/>
        <v>Double Attack ()</v>
      </c>
      <c r="D140" s="842" t="str">
        <f t="shared" ca="1" si="7"/>
        <v/>
      </c>
      <c r="E140" s="1498" t="str">
        <f t="shared" ca="1" si="8"/>
        <v/>
      </c>
      <c r="F140" s="508" t="b">
        <f ca="1">IF($C140&lt;&gt;"",IF(INDEX(SpecialModsTable,$A140,6)&lt;&gt;"",IF(NOT(ISERROR(FIND(Weapons!E$76,INDEX(SpecialModsTable,$A140,6),1))),TRUE,FALSE),TRUE),FALSE)</f>
        <v>0</v>
      </c>
      <c r="G140" s="508" t="str">
        <f t="shared" ca="1" si="9"/>
        <v/>
      </c>
      <c r="H140" s="20" t="str">
        <f t="shared" ca="1" si="10"/>
        <v/>
      </c>
      <c r="I140" s="20" t="str">
        <f t="shared" ca="1" si="11"/>
        <v/>
      </c>
      <c r="J140" s="20" t="str">
        <f t="shared" ca="1" si="12"/>
        <v/>
      </c>
      <c r="K140" s="20" t="b">
        <f t="shared" ca="1" si="13"/>
        <v>1</v>
      </c>
      <c r="L140" s="20" t="b">
        <f t="shared" ca="1" si="14"/>
        <v>1</v>
      </c>
      <c r="M140" s="1046" t="str">
        <f t="shared" ca="1" si="15"/>
        <v/>
      </c>
      <c r="N140" s="842" t="str">
        <f t="shared" ca="1" si="16"/>
        <v/>
      </c>
      <c r="O140" s="1498" t="str">
        <f t="shared" ca="1" si="17"/>
        <v/>
      </c>
      <c r="P140" s="508" t="b">
        <f ca="1">IF($C140&lt;&gt;"",IF(INDEX(SpecialModsTable,$A140,6)&lt;&gt;"",IF(NOT(ISERROR(FIND(Weapons!O$76,INDEX(SpecialModsTable,$A140,6),1))),TRUE,FALSE),TRUE),FALSE)</f>
        <v>0</v>
      </c>
      <c r="Q140" s="508" t="str">
        <f t="shared" ca="1" si="18"/>
        <v/>
      </c>
      <c r="R140" s="20" t="str">
        <f t="shared" ca="1" si="19"/>
        <v/>
      </c>
      <c r="S140" s="20" t="str">
        <f t="shared" ca="1" si="20"/>
        <v/>
      </c>
      <c r="T140" s="20" t="str">
        <f t="shared" ca="1" si="21"/>
        <v/>
      </c>
      <c r="U140" s="20" t="b">
        <f t="shared" ca="1" si="22"/>
        <v>1</v>
      </c>
      <c r="V140" s="20" t="b">
        <f t="shared" ca="1" si="23"/>
        <v>1</v>
      </c>
      <c r="W140" s="1046" t="str">
        <f t="shared" ca="1" si="24"/>
        <v/>
      </c>
      <c r="X140" s="842" t="str">
        <f t="shared" ca="1" si="25"/>
        <v/>
      </c>
      <c r="Y140" s="1498" t="str">
        <f t="shared" ca="1" si="26"/>
        <v/>
      </c>
      <c r="Z140" s="508" t="b">
        <f ca="1">IF($C140&lt;&gt;"",IF(INDEX(SpecialModsTable,$A140,6)&lt;&gt;"",IF(NOT(ISERROR(FIND(Weapons!Y$76,INDEX(SpecialModsTable,$A140,6),1))),TRUE,FALSE),TRUE),FALSE)</f>
        <v>0</v>
      </c>
      <c r="AA140" s="508" t="str">
        <f t="shared" ca="1" si="27"/>
        <v/>
      </c>
      <c r="AB140" s="20" t="str">
        <f t="shared" ca="1" si="28"/>
        <v/>
      </c>
      <c r="AC140" s="20" t="str">
        <f t="shared" ca="1" si="29"/>
        <v/>
      </c>
      <c r="AD140" s="20" t="str">
        <f t="shared" ca="1" si="30"/>
        <v/>
      </c>
      <c r="AE140" s="20" t="b">
        <f t="shared" ca="1" si="31"/>
        <v>1</v>
      </c>
      <c r="AF140" s="20" t="b">
        <f t="shared" ca="1" si="32"/>
        <v>1</v>
      </c>
      <c r="AG140" s="1046" t="str">
        <f t="shared" ca="1" si="33"/>
        <v/>
      </c>
      <c r="AH140" s="842" t="str">
        <f t="shared" ca="1" si="34"/>
        <v/>
      </c>
      <c r="AI140" s="1498" t="str">
        <f t="shared" ca="1" si="35"/>
        <v/>
      </c>
      <c r="AJ140" s="508" t="b">
        <f ca="1">IF($C140&lt;&gt;"",IF(INDEX(SpecialModsTable,$A140,6)&lt;&gt;"",IF(NOT(ISERROR(FIND(Weapons!AI$76,INDEX(SpecialModsTable,$A140,6),1))),TRUE,FALSE),TRUE),FALSE)</f>
        <v>0</v>
      </c>
      <c r="AK140" s="508" t="str">
        <f t="shared" ca="1" si="36"/>
        <v/>
      </c>
      <c r="AL140" s="20" t="str">
        <f t="shared" ca="1" si="37"/>
        <v/>
      </c>
      <c r="AM140" s="20" t="str">
        <f t="shared" ca="1" si="38"/>
        <v/>
      </c>
      <c r="AN140" s="20" t="str">
        <f t="shared" ca="1" si="39"/>
        <v/>
      </c>
      <c r="AO140" s="20" t="b">
        <f t="shared" ca="1" si="40"/>
        <v>1</v>
      </c>
      <c r="AP140" s="20" t="b">
        <f t="shared" ca="1" si="41"/>
        <v>1</v>
      </c>
      <c r="AQ140" s="1046" t="str">
        <f t="shared" ca="1" si="42"/>
        <v/>
      </c>
      <c r="AR140" s="842" t="str">
        <f t="shared" ca="1" si="43"/>
        <v/>
      </c>
      <c r="AS140" s="1498" t="str">
        <f t="shared" ca="1" si="44"/>
        <v/>
      </c>
      <c r="AT140" s="508" t="b">
        <f ca="1">IF($C140&lt;&gt;"",IF(INDEX(SpecialModsTable,$A140,6)&lt;&gt;"",IF(NOT(ISERROR(FIND(Weapons!AS$76,INDEX(SpecialModsTable,$A140,6),1))),TRUE,FALSE),TRUE),FALSE)</f>
        <v>0</v>
      </c>
      <c r="AU140" s="508" t="str">
        <f t="shared" ca="1" si="45"/>
        <v/>
      </c>
      <c r="AV140" s="20" t="str">
        <f t="shared" ca="1" si="46"/>
        <v/>
      </c>
      <c r="AW140" s="20" t="str">
        <f t="shared" ca="1" si="47"/>
        <v/>
      </c>
      <c r="AX140" s="20" t="str">
        <f t="shared" ca="1" si="48"/>
        <v/>
      </c>
      <c r="AY140" s="20" t="b">
        <f t="shared" ca="1" si="49"/>
        <v>1</v>
      </c>
      <c r="AZ140" s="20" t="b">
        <f t="shared" ca="1" si="50"/>
        <v>1</v>
      </c>
      <c r="BA140" s="1046" t="str">
        <f t="shared" ca="1" si="51"/>
        <v/>
      </c>
      <c r="BB140" s="842" t="str">
        <f t="shared" ca="1" si="52"/>
        <v/>
      </c>
      <c r="BC140" s="1498" t="str">
        <f t="shared" ca="1" si="53"/>
        <v/>
      </c>
      <c r="BD140" s="508" t="b">
        <f ca="1">IF($C140&lt;&gt;"",IF(INDEX(SpecialModsTable,$A140,6)&lt;&gt;"",IF(NOT(ISERROR(FIND(Weapons!BC$76,INDEX(SpecialModsTable,$A140,6),1))),TRUE,FALSE),TRUE),FALSE)</f>
        <v>0</v>
      </c>
      <c r="BE140" s="508" t="str">
        <f t="shared" ca="1" si="54"/>
        <v/>
      </c>
      <c r="BF140" s="20" t="str">
        <f t="shared" ca="1" si="55"/>
        <v/>
      </c>
      <c r="BG140" s="20" t="str">
        <f t="shared" ca="1" si="56"/>
        <v/>
      </c>
      <c r="BH140" s="20" t="str">
        <f t="shared" ca="1" si="57"/>
        <v/>
      </c>
      <c r="BI140" s="20" t="b">
        <f t="shared" ca="1" si="58"/>
        <v>1</v>
      </c>
      <c r="BJ140" s="20" t="b">
        <f t="shared" ca="1" si="59"/>
        <v>1</v>
      </c>
      <c r="BK140" s="1046" t="str">
        <f t="shared" ca="1" si="60"/>
        <v/>
      </c>
    </row>
    <row r="141" spans="1:63" hidden="1">
      <c r="A141" s="1477">
        <f t="shared" si="61"/>
        <v>11</v>
      </c>
      <c r="B141" s="1477"/>
      <c r="C141" s="1477" t="str">
        <f t="shared" ca="1" si="6"/>
        <v>Double Attack ()</v>
      </c>
      <c r="D141" s="842" t="str">
        <f t="shared" ca="1" si="7"/>
        <v/>
      </c>
      <c r="E141" s="1498" t="str">
        <f t="shared" ca="1" si="8"/>
        <v/>
      </c>
      <c r="F141" s="508" t="b">
        <f ca="1">IF($C141&lt;&gt;"",IF(INDEX(SpecialModsTable,$A141,6)&lt;&gt;"",IF(NOT(ISERROR(FIND(Weapons!E$76,INDEX(SpecialModsTable,$A141,6),1))),TRUE,FALSE),TRUE),FALSE)</f>
        <v>0</v>
      </c>
      <c r="G141" s="508" t="str">
        <f t="shared" ca="1" si="9"/>
        <v/>
      </c>
      <c r="H141" s="20" t="str">
        <f t="shared" ca="1" si="10"/>
        <v/>
      </c>
      <c r="I141" s="20" t="str">
        <f t="shared" ca="1" si="11"/>
        <v/>
      </c>
      <c r="J141" s="20" t="str">
        <f t="shared" ca="1" si="12"/>
        <v/>
      </c>
      <c r="K141" s="20" t="b">
        <f t="shared" ca="1" si="13"/>
        <v>1</v>
      </c>
      <c r="L141" s="20" t="b">
        <f t="shared" ca="1" si="14"/>
        <v>1</v>
      </c>
      <c r="M141" s="1046" t="str">
        <f t="shared" ca="1" si="15"/>
        <v/>
      </c>
      <c r="N141" s="842" t="str">
        <f t="shared" ca="1" si="16"/>
        <v/>
      </c>
      <c r="O141" s="1498" t="str">
        <f t="shared" ca="1" si="17"/>
        <v/>
      </c>
      <c r="P141" s="508" t="b">
        <f ca="1">IF($C141&lt;&gt;"",IF(INDEX(SpecialModsTable,$A141,6)&lt;&gt;"",IF(NOT(ISERROR(FIND(Weapons!O$76,INDEX(SpecialModsTable,$A141,6),1))),TRUE,FALSE),TRUE),FALSE)</f>
        <v>0</v>
      </c>
      <c r="Q141" s="508" t="str">
        <f t="shared" ca="1" si="18"/>
        <v/>
      </c>
      <c r="R141" s="20" t="str">
        <f t="shared" ca="1" si="19"/>
        <v/>
      </c>
      <c r="S141" s="20" t="str">
        <f t="shared" ca="1" si="20"/>
        <v/>
      </c>
      <c r="T141" s="20" t="str">
        <f t="shared" ca="1" si="21"/>
        <v/>
      </c>
      <c r="U141" s="20" t="b">
        <f t="shared" ca="1" si="22"/>
        <v>1</v>
      </c>
      <c r="V141" s="20" t="b">
        <f t="shared" ca="1" si="23"/>
        <v>1</v>
      </c>
      <c r="W141" s="1046" t="str">
        <f t="shared" ca="1" si="24"/>
        <v/>
      </c>
      <c r="X141" s="842" t="str">
        <f t="shared" ca="1" si="25"/>
        <v/>
      </c>
      <c r="Y141" s="1498" t="str">
        <f t="shared" ca="1" si="26"/>
        <v/>
      </c>
      <c r="Z141" s="508" t="b">
        <f ca="1">IF($C141&lt;&gt;"",IF(INDEX(SpecialModsTable,$A141,6)&lt;&gt;"",IF(NOT(ISERROR(FIND(Weapons!Y$76,INDEX(SpecialModsTable,$A141,6),1))),TRUE,FALSE),TRUE),FALSE)</f>
        <v>0</v>
      </c>
      <c r="AA141" s="508" t="str">
        <f t="shared" ca="1" si="27"/>
        <v/>
      </c>
      <c r="AB141" s="20" t="str">
        <f t="shared" ca="1" si="28"/>
        <v/>
      </c>
      <c r="AC141" s="20" t="str">
        <f t="shared" ca="1" si="29"/>
        <v/>
      </c>
      <c r="AD141" s="20" t="str">
        <f t="shared" ca="1" si="30"/>
        <v/>
      </c>
      <c r="AE141" s="20" t="b">
        <f t="shared" ca="1" si="31"/>
        <v>1</v>
      </c>
      <c r="AF141" s="20" t="b">
        <f t="shared" ca="1" si="32"/>
        <v>1</v>
      </c>
      <c r="AG141" s="1046" t="str">
        <f t="shared" ca="1" si="33"/>
        <v/>
      </c>
      <c r="AH141" s="842" t="str">
        <f t="shared" ca="1" si="34"/>
        <v/>
      </c>
      <c r="AI141" s="1498" t="str">
        <f t="shared" ca="1" si="35"/>
        <v/>
      </c>
      <c r="AJ141" s="508" t="b">
        <f ca="1">IF($C141&lt;&gt;"",IF(INDEX(SpecialModsTable,$A141,6)&lt;&gt;"",IF(NOT(ISERROR(FIND(Weapons!AI$76,INDEX(SpecialModsTable,$A141,6),1))),TRUE,FALSE),TRUE),FALSE)</f>
        <v>0</v>
      </c>
      <c r="AK141" s="508" t="str">
        <f t="shared" ca="1" si="36"/>
        <v/>
      </c>
      <c r="AL141" s="20" t="str">
        <f t="shared" ca="1" si="37"/>
        <v/>
      </c>
      <c r="AM141" s="20" t="str">
        <f t="shared" ca="1" si="38"/>
        <v/>
      </c>
      <c r="AN141" s="20" t="str">
        <f t="shared" ca="1" si="39"/>
        <v/>
      </c>
      <c r="AO141" s="20" t="b">
        <f t="shared" ca="1" si="40"/>
        <v>1</v>
      </c>
      <c r="AP141" s="20" t="b">
        <f t="shared" ca="1" si="41"/>
        <v>1</v>
      </c>
      <c r="AQ141" s="1046" t="str">
        <f t="shared" ca="1" si="42"/>
        <v/>
      </c>
      <c r="AR141" s="842" t="str">
        <f t="shared" ca="1" si="43"/>
        <v/>
      </c>
      <c r="AS141" s="1498" t="str">
        <f t="shared" ca="1" si="44"/>
        <v/>
      </c>
      <c r="AT141" s="508" t="b">
        <f ca="1">IF($C141&lt;&gt;"",IF(INDEX(SpecialModsTable,$A141,6)&lt;&gt;"",IF(NOT(ISERROR(FIND(Weapons!AS$76,INDEX(SpecialModsTable,$A141,6),1))),TRUE,FALSE),TRUE),FALSE)</f>
        <v>0</v>
      </c>
      <c r="AU141" s="508" t="str">
        <f t="shared" ca="1" si="45"/>
        <v/>
      </c>
      <c r="AV141" s="20" t="str">
        <f t="shared" ca="1" si="46"/>
        <v/>
      </c>
      <c r="AW141" s="20" t="str">
        <f t="shared" ca="1" si="47"/>
        <v/>
      </c>
      <c r="AX141" s="20" t="str">
        <f t="shared" ca="1" si="48"/>
        <v/>
      </c>
      <c r="AY141" s="20" t="b">
        <f t="shared" ca="1" si="49"/>
        <v>1</v>
      </c>
      <c r="AZ141" s="20" t="b">
        <f t="shared" ca="1" si="50"/>
        <v>1</v>
      </c>
      <c r="BA141" s="1046" t="str">
        <f t="shared" ca="1" si="51"/>
        <v/>
      </c>
      <c r="BB141" s="842" t="str">
        <f t="shared" ca="1" si="52"/>
        <v/>
      </c>
      <c r="BC141" s="1498" t="str">
        <f t="shared" ca="1" si="53"/>
        <v/>
      </c>
      <c r="BD141" s="508" t="b">
        <f ca="1">IF($C141&lt;&gt;"",IF(INDEX(SpecialModsTable,$A141,6)&lt;&gt;"",IF(NOT(ISERROR(FIND(Weapons!BC$76,INDEX(SpecialModsTable,$A141,6),1))),TRUE,FALSE),TRUE),FALSE)</f>
        <v>0</v>
      </c>
      <c r="BE141" s="508" t="str">
        <f t="shared" ca="1" si="54"/>
        <v/>
      </c>
      <c r="BF141" s="20" t="str">
        <f t="shared" ca="1" si="55"/>
        <v/>
      </c>
      <c r="BG141" s="20" t="str">
        <f t="shared" ca="1" si="56"/>
        <v/>
      </c>
      <c r="BH141" s="20" t="str">
        <f t="shared" ca="1" si="57"/>
        <v/>
      </c>
      <c r="BI141" s="20" t="b">
        <f t="shared" ca="1" si="58"/>
        <v>1</v>
      </c>
      <c r="BJ141" s="20" t="b">
        <f t="shared" ca="1" si="59"/>
        <v>1</v>
      </c>
      <c r="BK141" s="1046" t="str">
        <f t="shared" ca="1" si="60"/>
        <v/>
      </c>
    </row>
    <row r="142" spans="1:63" hidden="1">
      <c r="A142" s="1477">
        <f t="shared" si="61"/>
        <v>12</v>
      </c>
      <c r="B142" s="1477"/>
      <c r="C142" s="1477" t="str">
        <f t="shared" ca="1" si="6"/>
        <v>Double Attack (advanced melee)</v>
      </c>
      <c r="D142" s="842" t="str">
        <f t="shared" ca="1" si="7"/>
        <v/>
      </c>
      <c r="E142" s="1498" t="str">
        <f t="shared" ca="1" si="8"/>
        <v/>
      </c>
      <c r="F142" s="508" t="b">
        <f ca="1">IF($C142&lt;&gt;"",IF(INDEX(SpecialModsTable,$A142,6)&lt;&gt;"",IF(NOT(ISERROR(FIND(Weapons!E$76,INDEX(SpecialModsTable,$A142,6),1))),TRUE,FALSE),TRUE),FALSE)</f>
        <v>0</v>
      </c>
      <c r="G142" s="508" t="str">
        <f t="shared" ca="1" si="9"/>
        <v/>
      </c>
      <c r="H142" s="20" t="str">
        <f t="shared" ca="1" si="10"/>
        <v/>
      </c>
      <c r="I142" s="20" t="str">
        <f t="shared" ca="1" si="11"/>
        <v/>
      </c>
      <c r="J142" s="20" t="str">
        <f t="shared" ca="1" si="12"/>
        <v/>
      </c>
      <c r="K142" s="20" t="b">
        <f t="shared" ca="1" si="13"/>
        <v>1</v>
      </c>
      <c r="L142" s="20" t="b">
        <f t="shared" ca="1" si="14"/>
        <v>1</v>
      </c>
      <c r="M142" s="1046" t="str">
        <f t="shared" ca="1" si="15"/>
        <v/>
      </c>
      <c r="N142" s="842" t="str">
        <f t="shared" ca="1" si="16"/>
        <v/>
      </c>
      <c r="O142" s="1498" t="str">
        <f t="shared" ca="1" si="17"/>
        <v/>
      </c>
      <c r="P142" s="508" t="b">
        <f ca="1">IF($C142&lt;&gt;"",IF(INDEX(SpecialModsTable,$A142,6)&lt;&gt;"",IF(NOT(ISERROR(FIND(Weapons!O$76,INDEX(SpecialModsTable,$A142,6),1))),TRUE,FALSE),TRUE),FALSE)</f>
        <v>0</v>
      </c>
      <c r="Q142" s="508" t="str">
        <f t="shared" ca="1" si="18"/>
        <v/>
      </c>
      <c r="R142" s="20" t="str">
        <f t="shared" ca="1" si="19"/>
        <v/>
      </c>
      <c r="S142" s="20" t="str">
        <f t="shared" ca="1" si="20"/>
        <v/>
      </c>
      <c r="T142" s="20" t="str">
        <f t="shared" ca="1" si="21"/>
        <v/>
      </c>
      <c r="U142" s="20" t="b">
        <f t="shared" ca="1" si="22"/>
        <v>1</v>
      </c>
      <c r="V142" s="20" t="b">
        <f t="shared" ca="1" si="23"/>
        <v>1</v>
      </c>
      <c r="W142" s="1046" t="str">
        <f t="shared" ca="1" si="24"/>
        <v/>
      </c>
      <c r="X142" s="842" t="str">
        <f t="shared" ca="1" si="25"/>
        <v/>
      </c>
      <c r="Y142" s="1498" t="str">
        <f t="shared" ca="1" si="26"/>
        <v/>
      </c>
      <c r="Z142" s="508" t="b">
        <f ca="1">IF($C142&lt;&gt;"",IF(INDEX(SpecialModsTable,$A142,6)&lt;&gt;"",IF(NOT(ISERROR(FIND(Weapons!Y$76,INDEX(SpecialModsTable,$A142,6),1))),TRUE,FALSE),TRUE),FALSE)</f>
        <v>0</v>
      </c>
      <c r="AA142" s="508" t="str">
        <f t="shared" ca="1" si="27"/>
        <v/>
      </c>
      <c r="AB142" s="20" t="str">
        <f t="shared" ca="1" si="28"/>
        <v/>
      </c>
      <c r="AC142" s="20" t="str">
        <f t="shared" ca="1" si="29"/>
        <v/>
      </c>
      <c r="AD142" s="20" t="str">
        <f t="shared" ca="1" si="30"/>
        <v/>
      </c>
      <c r="AE142" s="20" t="b">
        <f t="shared" ca="1" si="31"/>
        <v>1</v>
      </c>
      <c r="AF142" s="20" t="b">
        <f t="shared" ca="1" si="32"/>
        <v>1</v>
      </c>
      <c r="AG142" s="1046" t="str">
        <f t="shared" ca="1" si="33"/>
        <v/>
      </c>
      <c r="AH142" s="842" t="str">
        <f t="shared" ca="1" si="34"/>
        <v/>
      </c>
      <c r="AI142" s="1498" t="str">
        <f t="shared" ca="1" si="35"/>
        <v/>
      </c>
      <c r="AJ142" s="508" t="b">
        <f ca="1">IF($C142&lt;&gt;"",IF(INDEX(SpecialModsTable,$A142,6)&lt;&gt;"",IF(NOT(ISERROR(FIND(Weapons!AI$76,INDEX(SpecialModsTable,$A142,6),1))),TRUE,FALSE),TRUE),FALSE)</f>
        <v>0</v>
      </c>
      <c r="AK142" s="508" t="str">
        <f t="shared" ca="1" si="36"/>
        <v/>
      </c>
      <c r="AL142" s="20" t="str">
        <f t="shared" ca="1" si="37"/>
        <v/>
      </c>
      <c r="AM142" s="20" t="str">
        <f t="shared" ca="1" si="38"/>
        <v/>
      </c>
      <c r="AN142" s="20" t="str">
        <f t="shared" ca="1" si="39"/>
        <v/>
      </c>
      <c r="AO142" s="20" t="b">
        <f t="shared" ca="1" si="40"/>
        <v>1</v>
      </c>
      <c r="AP142" s="20" t="b">
        <f t="shared" ca="1" si="41"/>
        <v>1</v>
      </c>
      <c r="AQ142" s="1046" t="str">
        <f t="shared" ca="1" si="42"/>
        <v/>
      </c>
      <c r="AR142" s="842" t="str">
        <f t="shared" ca="1" si="43"/>
        <v/>
      </c>
      <c r="AS142" s="1498" t="str">
        <f t="shared" ca="1" si="44"/>
        <v/>
      </c>
      <c r="AT142" s="508" t="b">
        <f ca="1">IF($C142&lt;&gt;"",IF(INDEX(SpecialModsTable,$A142,6)&lt;&gt;"",IF(NOT(ISERROR(FIND(Weapons!AS$76,INDEX(SpecialModsTable,$A142,6),1))),TRUE,FALSE),TRUE),FALSE)</f>
        <v>0</v>
      </c>
      <c r="AU142" s="508" t="str">
        <f t="shared" ca="1" si="45"/>
        <v/>
      </c>
      <c r="AV142" s="20" t="str">
        <f t="shared" ca="1" si="46"/>
        <v/>
      </c>
      <c r="AW142" s="20" t="str">
        <f t="shared" ca="1" si="47"/>
        <v/>
      </c>
      <c r="AX142" s="20" t="str">
        <f t="shared" ca="1" si="48"/>
        <v/>
      </c>
      <c r="AY142" s="20" t="b">
        <f t="shared" ca="1" si="49"/>
        <v>1</v>
      </c>
      <c r="AZ142" s="20" t="b">
        <f t="shared" ca="1" si="50"/>
        <v>1</v>
      </c>
      <c r="BA142" s="1046" t="str">
        <f t="shared" ca="1" si="51"/>
        <v/>
      </c>
      <c r="BB142" s="842" t="str">
        <f t="shared" ca="1" si="52"/>
        <v/>
      </c>
      <c r="BC142" s="1498" t="str">
        <f t="shared" ca="1" si="53"/>
        <v/>
      </c>
      <c r="BD142" s="508" t="b">
        <f ca="1">IF($C142&lt;&gt;"",IF(INDEX(SpecialModsTable,$A142,6)&lt;&gt;"",IF(NOT(ISERROR(FIND(Weapons!BC$76,INDEX(SpecialModsTable,$A142,6),1))),TRUE,FALSE),TRUE),FALSE)</f>
        <v>0</v>
      </c>
      <c r="BE142" s="508" t="str">
        <f t="shared" ca="1" si="54"/>
        <v/>
      </c>
      <c r="BF142" s="20" t="str">
        <f t="shared" ca="1" si="55"/>
        <v/>
      </c>
      <c r="BG142" s="20" t="str">
        <f t="shared" ca="1" si="56"/>
        <v/>
      </c>
      <c r="BH142" s="20" t="str">
        <f t="shared" ca="1" si="57"/>
        <v/>
      </c>
      <c r="BI142" s="20" t="b">
        <f t="shared" ca="1" si="58"/>
        <v>1</v>
      </c>
      <c r="BJ142" s="20" t="b">
        <f t="shared" ca="1" si="59"/>
        <v>1</v>
      </c>
      <c r="BK142" s="1046" t="str">
        <f t="shared" ca="1" si="60"/>
        <v/>
      </c>
    </row>
    <row r="143" spans="1:63" hidden="1">
      <c r="A143" s="1477">
        <f t="shared" si="61"/>
        <v>13</v>
      </c>
      <c r="B143" s="1477"/>
      <c r="C143" s="1477" t="str">
        <f t="shared" ca="1" si="6"/>
        <v>Double Attack (lightsabers)</v>
      </c>
      <c r="D143" s="842" t="str">
        <f t="shared" ca="1" si="7"/>
        <v/>
      </c>
      <c r="E143" s="1498" t="str">
        <f t="shared" ca="1" si="8"/>
        <v/>
      </c>
      <c r="F143" s="508" t="b">
        <f ca="1">IF($C143&lt;&gt;"",IF(INDEX(SpecialModsTable,$A143,6)&lt;&gt;"",IF(NOT(ISERROR(FIND(Weapons!E$76,INDEX(SpecialModsTable,$A143,6),1))),TRUE,FALSE),TRUE),FALSE)</f>
        <v>0</v>
      </c>
      <c r="G143" s="508" t="str">
        <f t="shared" ca="1" si="9"/>
        <v/>
      </c>
      <c r="H143" s="20" t="str">
        <f t="shared" ca="1" si="10"/>
        <v/>
      </c>
      <c r="I143" s="20" t="str">
        <f t="shared" ca="1" si="11"/>
        <v/>
      </c>
      <c r="J143" s="20" t="str">
        <f t="shared" ca="1" si="12"/>
        <v/>
      </c>
      <c r="K143" s="20" t="b">
        <f t="shared" ca="1" si="13"/>
        <v>1</v>
      </c>
      <c r="L143" s="20" t="b">
        <f t="shared" ca="1" si="14"/>
        <v>1</v>
      </c>
      <c r="M143" s="1046" t="str">
        <f t="shared" ca="1" si="15"/>
        <v/>
      </c>
      <c r="N143" s="842" t="str">
        <f t="shared" ca="1" si="16"/>
        <v/>
      </c>
      <c r="O143" s="1498" t="str">
        <f t="shared" ca="1" si="17"/>
        <v/>
      </c>
      <c r="P143" s="508" t="b">
        <f ca="1">IF($C143&lt;&gt;"",IF(INDEX(SpecialModsTable,$A143,6)&lt;&gt;"",IF(NOT(ISERROR(FIND(Weapons!O$76,INDEX(SpecialModsTable,$A143,6),1))),TRUE,FALSE),TRUE),FALSE)</f>
        <v>0</v>
      </c>
      <c r="Q143" s="508" t="str">
        <f t="shared" ca="1" si="18"/>
        <v/>
      </c>
      <c r="R143" s="20" t="str">
        <f t="shared" ca="1" si="19"/>
        <v/>
      </c>
      <c r="S143" s="20" t="str">
        <f t="shared" ca="1" si="20"/>
        <v/>
      </c>
      <c r="T143" s="20" t="str">
        <f t="shared" ca="1" si="21"/>
        <v/>
      </c>
      <c r="U143" s="20" t="b">
        <f t="shared" ca="1" si="22"/>
        <v>1</v>
      </c>
      <c r="V143" s="20" t="b">
        <f t="shared" ca="1" si="23"/>
        <v>1</v>
      </c>
      <c r="W143" s="1046" t="str">
        <f t="shared" ca="1" si="24"/>
        <v/>
      </c>
      <c r="X143" s="842" t="str">
        <f t="shared" ca="1" si="25"/>
        <v/>
      </c>
      <c r="Y143" s="1498" t="str">
        <f t="shared" ca="1" si="26"/>
        <v/>
      </c>
      <c r="Z143" s="508" t="b">
        <f ca="1">IF($C143&lt;&gt;"",IF(INDEX(SpecialModsTable,$A143,6)&lt;&gt;"",IF(NOT(ISERROR(FIND(Weapons!Y$76,INDEX(SpecialModsTable,$A143,6),1))),TRUE,FALSE),TRUE),FALSE)</f>
        <v>0</v>
      </c>
      <c r="AA143" s="508" t="str">
        <f t="shared" ca="1" si="27"/>
        <v/>
      </c>
      <c r="AB143" s="20" t="str">
        <f t="shared" ca="1" si="28"/>
        <v/>
      </c>
      <c r="AC143" s="20" t="str">
        <f t="shared" ca="1" si="29"/>
        <v/>
      </c>
      <c r="AD143" s="20" t="str">
        <f t="shared" ca="1" si="30"/>
        <v/>
      </c>
      <c r="AE143" s="20" t="b">
        <f t="shared" ca="1" si="31"/>
        <v>1</v>
      </c>
      <c r="AF143" s="20" t="b">
        <f t="shared" ca="1" si="32"/>
        <v>1</v>
      </c>
      <c r="AG143" s="1046" t="str">
        <f t="shared" ca="1" si="33"/>
        <v/>
      </c>
      <c r="AH143" s="842" t="str">
        <f t="shared" ca="1" si="34"/>
        <v/>
      </c>
      <c r="AI143" s="1498" t="str">
        <f t="shared" ca="1" si="35"/>
        <v/>
      </c>
      <c r="AJ143" s="508" t="b">
        <f ca="1">IF($C143&lt;&gt;"",IF(INDEX(SpecialModsTable,$A143,6)&lt;&gt;"",IF(NOT(ISERROR(FIND(Weapons!AI$76,INDEX(SpecialModsTable,$A143,6),1))),TRUE,FALSE),TRUE),FALSE)</f>
        <v>0</v>
      </c>
      <c r="AK143" s="508" t="str">
        <f t="shared" ca="1" si="36"/>
        <v/>
      </c>
      <c r="AL143" s="20" t="str">
        <f t="shared" ca="1" si="37"/>
        <v/>
      </c>
      <c r="AM143" s="20" t="str">
        <f t="shared" ca="1" si="38"/>
        <v/>
      </c>
      <c r="AN143" s="20" t="str">
        <f t="shared" ca="1" si="39"/>
        <v/>
      </c>
      <c r="AO143" s="20" t="b">
        <f t="shared" ca="1" si="40"/>
        <v>1</v>
      </c>
      <c r="AP143" s="20" t="b">
        <f t="shared" ca="1" si="41"/>
        <v>1</v>
      </c>
      <c r="AQ143" s="1046" t="str">
        <f t="shared" ca="1" si="42"/>
        <v/>
      </c>
      <c r="AR143" s="842" t="str">
        <f t="shared" ca="1" si="43"/>
        <v/>
      </c>
      <c r="AS143" s="1498" t="str">
        <f t="shared" ca="1" si="44"/>
        <v/>
      </c>
      <c r="AT143" s="508" t="b">
        <f ca="1">IF($C143&lt;&gt;"",IF(INDEX(SpecialModsTable,$A143,6)&lt;&gt;"",IF(NOT(ISERROR(FIND(Weapons!AS$76,INDEX(SpecialModsTable,$A143,6),1))),TRUE,FALSE),TRUE),FALSE)</f>
        <v>0</v>
      </c>
      <c r="AU143" s="508" t="str">
        <f t="shared" ca="1" si="45"/>
        <v/>
      </c>
      <c r="AV143" s="20" t="str">
        <f t="shared" ca="1" si="46"/>
        <v/>
      </c>
      <c r="AW143" s="20" t="str">
        <f t="shared" ca="1" si="47"/>
        <v/>
      </c>
      <c r="AX143" s="20" t="str">
        <f t="shared" ca="1" si="48"/>
        <v/>
      </c>
      <c r="AY143" s="20" t="b">
        <f t="shared" ca="1" si="49"/>
        <v>1</v>
      </c>
      <c r="AZ143" s="20" t="b">
        <f t="shared" ca="1" si="50"/>
        <v>1</v>
      </c>
      <c r="BA143" s="1046" t="str">
        <f t="shared" ca="1" si="51"/>
        <v/>
      </c>
      <c r="BB143" s="842" t="str">
        <f t="shared" ca="1" si="52"/>
        <v/>
      </c>
      <c r="BC143" s="1498" t="str">
        <f t="shared" ca="1" si="53"/>
        <v/>
      </c>
      <c r="BD143" s="508" t="b">
        <f ca="1">IF($C143&lt;&gt;"",IF(INDEX(SpecialModsTable,$A143,6)&lt;&gt;"",IF(NOT(ISERROR(FIND(Weapons!BC$76,INDEX(SpecialModsTable,$A143,6),1))),TRUE,FALSE),TRUE),FALSE)</f>
        <v>0</v>
      </c>
      <c r="BE143" s="508" t="str">
        <f t="shared" ca="1" si="54"/>
        <v/>
      </c>
      <c r="BF143" s="20" t="str">
        <f t="shared" ca="1" si="55"/>
        <v/>
      </c>
      <c r="BG143" s="20" t="str">
        <f t="shared" ca="1" si="56"/>
        <v/>
      </c>
      <c r="BH143" s="20" t="str">
        <f t="shared" ca="1" si="57"/>
        <v/>
      </c>
      <c r="BI143" s="20" t="b">
        <f t="shared" ca="1" si="58"/>
        <v>1</v>
      </c>
      <c r="BJ143" s="20" t="b">
        <f t="shared" ca="1" si="59"/>
        <v>1</v>
      </c>
      <c r="BK143" s="1046" t="str">
        <f t="shared" ca="1" si="60"/>
        <v/>
      </c>
    </row>
    <row r="144" spans="1:63" hidden="1">
      <c r="A144" s="1477">
        <f t="shared" si="61"/>
        <v>14</v>
      </c>
      <c r="B144" s="1477"/>
      <c r="C144" s="1477" t="str">
        <f t="shared" ca="1" si="6"/>
        <v>Double Attack (pistols)</v>
      </c>
      <c r="D144" s="842" t="str">
        <f ca="1">IF(AND(F144,OR(E$12=INDEX(SpecialModsTable,$A144,7),INDEX(SpecialModsTable,$A144,7)=""),NOT(ISERROR(FIND(IF(NOT(ISERROR(FIND("(-",$C144,1))),LEFT($C144,LEN($C144)-(LEN($C144)-FIND("(-",$C144,1)+2)),$C144),SpecialsImportList,1)))),$C144,"")</f>
        <v/>
      </c>
      <c r="E144" s="1498" t="str">
        <f t="shared" ca="1" si="8"/>
        <v/>
      </c>
      <c r="F144" s="508" t="b">
        <f ca="1">IF($C144&lt;&gt;"",IF(INDEX(SpecialModsTable,$A144,6)&lt;&gt;"",IF(NOT(ISERROR(FIND(Weapons!E$76,INDEX(SpecialModsTable,$A144,6),1))),TRUE,FALSE),TRUE),FALSE)</f>
        <v>0</v>
      </c>
      <c r="G144" s="508" t="str">
        <f t="shared" ca="1" si="9"/>
        <v/>
      </c>
      <c r="H144" s="20" t="str">
        <f t="shared" ca="1" si="10"/>
        <v/>
      </c>
      <c r="I144" s="20" t="str">
        <f t="shared" ca="1" si="11"/>
        <v/>
      </c>
      <c r="J144" s="20" t="str">
        <f ca="1">IF(OR(G144&lt;&gt;"",H144&lt;&gt;"",I144&lt;&gt;""),IF(G144&lt;&gt;"",IF(G144&lt;0,"","+")&amp;G144&amp;" attack","")&amp;IF(AND(G144&lt;&gt;"",H144&lt;&gt;""),"/","")&amp;IF(H144&lt;&gt;"","+"&amp;H144&amp;" damage","")&amp;IF(AND(I144&lt;&gt;"",OR(G144&lt;&gt;"",H144&lt;&gt;"")),"/","")&amp;IF(I144&lt;&gt;"","+"&amp;I144&amp;" die of damage",""),"")</f>
        <v/>
      </c>
      <c r="K144" s="20" t="b">
        <f t="shared" ca="1" si="13"/>
        <v>1</v>
      </c>
      <c r="L144" s="20" t="b">
        <f t="shared" ca="1" si="14"/>
        <v>1</v>
      </c>
      <c r="M144" s="1046" t="str">
        <f t="shared" ca="1" si="15"/>
        <v/>
      </c>
      <c r="N144" s="842" t="str">
        <f t="shared" ca="1" si="16"/>
        <v/>
      </c>
      <c r="O144" s="1498" t="str">
        <f t="shared" ca="1" si="17"/>
        <v/>
      </c>
      <c r="P144" s="508" t="b">
        <f ca="1">IF($C144&lt;&gt;"",IF(INDEX(SpecialModsTable,$A144,6)&lt;&gt;"",IF(NOT(ISERROR(FIND(Weapons!O$76,INDEX(SpecialModsTable,$A144,6),1))),TRUE,FALSE),TRUE),FALSE)</f>
        <v>0</v>
      </c>
      <c r="Q144" s="508" t="str">
        <f t="shared" ca="1" si="18"/>
        <v/>
      </c>
      <c r="R144" s="20" t="str">
        <f t="shared" ca="1" si="19"/>
        <v/>
      </c>
      <c r="S144" s="20" t="str">
        <f t="shared" ca="1" si="20"/>
        <v/>
      </c>
      <c r="T144" s="20" t="str">
        <f ca="1">IF(OR(Q144&lt;&gt;"",R144&lt;&gt;"",S144&lt;&gt;""),IF(Q144&lt;&gt;"",IF(Q144&lt;0,"","+")&amp;Q144&amp;" attack","")&amp;IF(AND(Q144&lt;&gt;"",R144&lt;&gt;""),"/","")&amp;IF(R144&lt;&gt;"","+"&amp;R144&amp;" damage","")&amp;IF(AND(S144&lt;&gt;"",OR(Q144&lt;&gt;"",R144&lt;&gt;"")),"/","")&amp;IF(S144&lt;&gt;"","+"&amp;S144&amp;" die of damage",""),"")</f>
        <v/>
      </c>
      <c r="U144" s="20" t="b">
        <f t="shared" ca="1" si="22"/>
        <v>1</v>
      </c>
      <c r="V144" s="20" t="b">
        <f t="shared" ca="1" si="23"/>
        <v>1</v>
      </c>
      <c r="W144" s="1046" t="str">
        <f t="shared" ca="1" si="24"/>
        <v/>
      </c>
      <c r="X144" s="842" t="str">
        <f t="shared" ca="1" si="25"/>
        <v/>
      </c>
      <c r="Y144" s="1498" t="str">
        <f t="shared" ca="1" si="26"/>
        <v/>
      </c>
      <c r="Z144" s="508" t="b">
        <f ca="1">IF($C144&lt;&gt;"",IF(INDEX(SpecialModsTable,$A144,6)&lt;&gt;"",IF(NOT(ISERROR(FIND(Weapons!Y$76,INDEX(SpecialModsTable,$A144,6),1))),TRUE,FALSE),TRUE),FALSE)</f>
        <v>0</v>
      </c>
      <c r="AA144" s="508" t="str">
        <f t="shared" ca="1" si="27"/>
        <v/>
      </c>
      <c r="AB144" s="20" t="str">
        <f t="shared" ca="1" si="28"/>
        <v/>
      </c>
      <c r="AC144" s="20" t="str">
        <f t="shared" ca="1" si="29"/>
        <v/>
      </c>
      <c r="AD144" s="20" t="str">
        <f ca="1">IF(OR(AA144&lt;&gt;"",AB144&lt;&gt;"",AC144&lt;&gt;""),IF(AA144&lt;&gt;"",IF(AA144&lt;0,"","+")&amp;AA144&amp;" attack","")&amp;IF(AND(AA144&lt;&gt;"",AB144&lt;&gt;""),"/","")&amp;IF(AB144&lt;&gt;"","+"&amp;AB144&amp;" damage","")&amp;IF(AND(AC144&lt;&gt;"",OR(AA144&lt;&gt;"",AB144&lt;&gt;"")),"/","")&amp;IF(AC144&lt;&gt;"","+"&amp;AC144&amp;" die of damage",""),"")</f>
        <v/>
      </c>
      <c r="AE144" s="20" t="b">
        <f t="shared" ca="1" si="31"/>
        <v>1</v>
      </c>
      <c r="AF144" s="20" t="b">
        <f t="shared" ca="1" si="32"/>
        <v>1</v>
      </c>
      <c r="AG144" s="1046" t="str">
        <f t="shared" ca="1" si="33"/>
        <v/>
      </c>
      <c r="AH144" s="842" t="str">
        <f t="shared" ca="1" si="34"/>
        <v/>
      </c>
      <c r="AI144" s="1498" t="str">
        <f t="shared" ca="1" si="35"/>
        <v/>
      </c>
      <c r="AJ144" s="508" t="b">
        <f ca="1">IF($C144&lt;&gt;"",IF(INDEX(SpecialModsTable,$A144,6)&lt;&gt;"",IF(NOT(ISERROR(FIND(Weapons!AI$76,INDEX(SpecialModsTable,$A144,6),1))),TRUE,FALSE),TRUE),FALSE)</f>
        <v>0</v>
      </c>
      <c r="AK144" s="508" t="str">
        <f t="shared" ca="1" si="36"/>
        <v/>
      </c>
      <c r="AL144" s="20" t="str">
        <f t="shared" ca="1" si="37"/>
        <v/>
      </c>
      <c r="AM144" s="20" t="str">
        <f t="shared" ca="1" si="38"/>
        <v/>
      </c>
      <c r="AN144" s="20" t="str">
        <f ca="1">IF(OR(AK144&lt;&gt;"",AL144&lt;&gt;"",AM144&lt;&gt;""),IF(AK144&lt;&gt;"",IF(AK144&lt;0,"","+")&amp;AK144&amp;" attack","")&amp;IF(AND(AK144&lt;&gt;"",AL144&lt;&gt;""),"/","")&amp;IF(AL144&lt;&gt;"","+"&amp;AL144&amp;" damage","")&amp;IF(AND(AM144&lt;&gt;"",OR(AK144&lt;&gt;"",AL144&lt;&gt;"")),"/","")&amp;IF(AM144&lt;&gt;"","+"&amp;AM144&amp;" die of damage",""),"")</f>
        <v/>
      </c>
      <c r="AO144" s="20" t="b">
        <f t="shared" ca="1" si="40"/>
        <v>1</v>
      </c>
      <c r="AP144" s="20" t="b">
        <f t="shared" ca="1" si="41"/>
        <v>1</v>
      </c>
      <c r="AQ144" s="1046" t="str">
        <f t="shared" ca="1" si="42"/>
        <v/>
      </c>
      <c r="AR144" s="842" t="str">
        <f t="shared" ca="1" si="43"/>
        <v/>
      </c>
      <c r="AS144" s="1498" t="str">
        <f t="shared" ca="1" si="44"/>
        <v/>
      </c>
      <c r="AT144" s="508" t="b">
        <f ca="1">IF($C144&lt;&gt;"",IF(INDEX(SpecialModsTable,$A144,6)&lt;&gt;"",IF(NOT(ISERROR(FIND(Weapons!AS$76,INDEX(SpecialModsTable,$A144,6),1))),TRUE,FALSE),TRUE),FALSE)</f>
        <v>0</v>
      </c>
      <c r="AU144" s="508" t="str">
        <f t="shared" ca="1" si="45"/>
        <v/>
      </c>
      <c r="AV144" s="20" t="str">
        <f t="shared" ca="1" si="46"/>
        <v/>
      </c>
      <c r="AW144" s="20" t="str">
        <f t="shared" ca="1" si="47"/>
        <v/>
      </c>
      <c r="AX144" s="20" t="str">
        <f ca="1">IF(OR(AU144&lt;&gt;"",AV144&lt;&gt;"",AW144&lt;&gt;""),IF(AU144&lt;&gt;"",IF(AU144&lt;0,"","+")&amp;AU144&amp;" attack","")&amp;IF(AND(AU144&lt;&gt;"",AV144&lt;&gt;""),"/","")&amp;IF(AV144&lt;&gt;"","+"&amp;AV144&amp;" damage","")&amp;IF(AND(AW144&lt;&gt;"",OR(AU144&lt;&gt;"",AV144&lt;&gt;"")),"/","")&amp;IF(AW144&lt;&gt;"","+"&amp;AW144&amp;" die of damage",""),"")</f>
        <v/>
      </c>
      <c r="AY144" s="20" t="b">
        <f t="shared" ca="1" si="49"/>
        <v>1</v>
      </c>
      <c r="AZ144" s="20" t="b">
        <f t="shared" ca="1" si="50"/>
        <v>1</v>
      </c>
      <c r="BA144" s="1046" t="str">
        <f t="shared" ca="1" si="51"/>
        <v/>
      </c>
      <c r="BB144" s="842" t="str">
        <f t="shared" ca="1" si="52"/>
        <v/>
      </c>
      <c r="BC144" s="1498" t="str">
        <f t="shared" ca="1" si="53"/>
        <v/>
      </c>
      <c r="BD144" s="508" t="b">
        <f ca="1">IF($C144&lt;&gt;"",IF(INDEX(SpecialModsTable,$A144,6)&lt;&gt;"",IF(NOT(ISERROR(FIND(Weapons!BC$76,INDEX(SpecialModsTable,$A144,6),1))),TRUE,FALSE),TRUE),FALSE)</f>
        <v>0</v>
      </c>
      <c r="BE144" s="508" t="str">
        <f t="shared" ca="1" si="54"/>
        <v/>
      </c>
      <c r="BF144" s="20" t="str">
        <f t="shared" ca="1" si="55"/>
        <v/>
      </c>
      <c r="BG144" s="20" t="str">
        <f t="shared" ca="1" si="56"/>
        <v/>
      </c>
      <c r="BH144" s="20" t="str">
        <f ca="1">IF(OR(BE144&lt;&gt;"",BF144&lt;&gt;"",BG144&lt;&gt;""),IF(BE144&lt;&gt;"",IF(BE144&lt;0,"","+")&amp;BE144&amp;" attack","")&amp;IF(AND(BE144&lt;&gt;"",BF144&lt;&gt;""),"/","")&amp;IF(BF144&lt;&gt;"","+"&amp;BF144&amp;" damage","")&amp;IF(AND(BG144&lt;&gt;"",OR(BE144&lt;&gt;"",BF144&lt;&gt;"")),"/","")&amp;IF(BG144&lt;&gt;"","+"&amp;BG144&amp;" die of damage",""),"")</f>
        <v/>
      </c>
      <c r="BI144" s="20" t="b">
        <f t="shared" ca="1" si="58"/>
        <v>1</v>
      </c>
      <c r="BJ144" s="20" t="b">
        <f t="shared" ca="1" si="59"/>
        <v>1</v>
      </c>
      <c r="BK144" s="1046" t="str">
        <f t="shared" ca="1" si="60"/>
        <v/>
      </c>
    </row>
    <row r="145" spans="1:63" hidden="1">
      <c r="A145" s="1477">
        <f t="shared" si="61"/>
        <v>15</v>
      </c>
      <c r="B145" s="1477"/>
      <c r="C145" s="1477" t="str">
        <f t="shared" ca="1" si="6"/>
        <v>Double Attack (rifles)</v>
      </c>
      <c r="D145" s="842" t="str">
        <f t="shared" ca="1" si="7"/>
        <v/>
      </c>
      <c r="E145" s="1498" t="str">
        <f t="shared" ca="1" si="8"/>
        <v/>
      </c>
      <c r="F145" s="508" t="b">
        <f ca="1">IF($C145&lt;&gt;"",IF(INDEX(SpecialModsTable,$A145,6)&lt;&gt;"",IF(NOT(ISERROR(FIND(Weapons!E$76,INDEX(SpecialModsTable,$A145,6),1))),TRUE,FALSE),TRUE),FALSE)</f>
        <v>0</v>
      </c>
      <c r="G145" s="508" t="str">
        <f t="shared" ca="1" si="9"/>
        <v/>
      </c>
      <c r="H145" s="20" t="str">
        <f t="shared" ca="1" si="10"/>
        <v/>
      </c>
      <c r="I145" s="20" t="str">
        <f t="shared" ca="1" si="11"/>
        <v/>
      </c>
      <c r="J145" s="20" t="str">
        <f t="shared" ref="J145:J155" ca="1" si="62">IF(OR(G145&lt;&gt;"",H145&lt;&gt;"",I145&lt;&gt;""),IF(G145&lt;&gt;"",IF(G145&lt;0,"","+")&amp;G145&amp;" attack","")&amp;IF(AND(G145&lt;&gt;"",H145&lt;&gt;""),"/","")&amp;IF(H145&lt;&gt;"","+"&amp;H145&amp;" damage","")&amp;IF(AND(I145&lt;&gt;"",OR(G145&lt;&gt;"",H145&lt;&gt;"")),"/","")&amp;IF(I145&lt;&gt;"","+"&amp;I145&amp;" die of damage",""),"")</f>
        <v/>
      </c>
      <c r="K145" s="20" t="b">
        <f t="shared" ca="1" si="13"/>
        <v>1</v>
      </c>
      <c r="L145" s="20" t="b">
        <f t="shared" ca="1" si="14"/>
        <v>1</v>
      </c>
      <c r="M145" s="1046" t="str">
        <f t="shared" ca="1" si="15"/>
        <v/>
      </c>
      <c r="N145" s="842" t="str">
        <f t="shared" ca="1" si="16"/>
        <v/>
      </c>
      <c r="O145" s="1498" t="str">
        <f t="shared" ca="1" si="17"/>
        <v/>
      </c>
      <c r="P145" s="508" t="b">
        <f ca="1">IF($C145&lt;&gt;"",IF(INDEX(SpecialModsTable,$A145,6)&lt;&gt;"",IF(NOT(ISERROR(FIND(Weapons!O$76,INDEX(SpecialModsTable,$A145,6),1))),TRUE,FALSE),TRUE),FALSE)</f>
        <v>0</v>
      </c>
      <c r="Q145" s="508" t="str">
        <f t="shared" ca="1" si="18"/>
        <v/>
      </c>
      <c r="R145" s="20" t="str">
        <f t="shared" ca="1" si="19"/>
        <v/>
      </c>
      <c r="S145" s="20" t="str">
        <f t="shared" ca="1" si="20"/>
        <v/>
      </c>
      <c r="T145" s="20" t="str">
        <f t="shared" ref="T145:T203" ca="1" si="63">IF(OR(Q145&lt;&gt;"",R145&lt;&gt;"",S145&lt;&gt;""),IF(Q145&lt;&gt;"",IF(Q145&lt;0,"","+")&amp;Q145&amp;" attack","")&amp;IF(AND(Q145&lt;&gt;"",R145&lt;&gt;""),"/","")&amp;IF(R145&lt;&gt;"","+"&amp;R145&amp;" damage","")&amp;IF(AND(S145&lt;&gt;"",OR(Q145&lt;&gt;"",R145&lt;&gt;"")),"/","")&amp;IF(S145&lt;&gt;"","+"&amp;S145&amp;" die of damage",""),"")</f>
        <v/>
      </c>
      <c r="U145" s="20" t="b">
        <f t="shared" ca="1" si="22"/>
        <v>1</v>
      </c>
      <c r="V145" s="20" t="b">
        <f t="shared" ca="1" si="23"/>
        <v>1</v>
      </c>
      <c r="W145" s="1046" t="str">
        <f t="shared" ca="1" si="24"/>
        <v/>
      </c>
      <c r="X145" s="842" t="str">
        <f t="shared" ca="1" si="25"/>
        <v/>
      </c>
      <c r="Y145" s="1498" t="str">
        <f t="shared" ca="1" si="26"/>
        <v/>
      </c>
      <c r="Z145" s="508" t="b">
        <f ca="1">IF($C145&lt;&gt;"",IF(INDEX(SpecialModsTable,$A145,6)&lt;&gt;"",IF(NOT(ISERROR(FIND(Weapons!Y$76,INDEX(SpecialModsTable,$A145,6),1))),TRUE,FALSE),TRUE),FALSE)</f>
        <v>0</v>
      </c>
      <c r="AA145" s="508" t="str">
        <f t="shared" ca="1" si="27"/>
        <v/>
      </c>
      <c r="AB145" s="20" t="str">
        <f t="shared" ca="1" si="28"/>
        <v/>
      </c>
      <c r="AC145" s="20" t="str">
        <f t="shared" ca="1" si="29"/>
        <v/>
      </c>
      <c r="AD145" s="20" t="str">
        <f t="shared" ref="AD145:AD203" ca="1" si="64">IF(OR(AA145&lt;&gt;"",AB145&lt;&gt;"",AC145&lt;&gt;""),IF(AA145&lt;&gt;"",IF(AA145&lt;0,"","+")&amp;AA145&amp;" attack","")&amp;IF(AND(AA145&lt;&gt;"",AB145&lt;&gt;""),"/","")&amp;IF(AB145&lt;&gt;"","+"&amp;AB145&amp;" damage","")&amp;IF(AND(AC145&lt;&gt;"",OR(AA145&lt;&gt;"",AB145&lt;&gt;"")),"/","")&amp;IF(AC145&lt;&gt;"","+"&amp;AC145&amp;" die of damage",""),"")</f>
        <v/>
      </c>
      <c r="AE145" s="20" t="b">
        <f t="shared" ca="1" si="31"/>
        <v>1</v>
      </c>
      <c r="AF145" s="20" t="b">
        <f t="shared" ca="1" si="32"/>
        <v>1</v>
      </c>
      <c r="AG145" s="1046" t="str">
        <f t="shared" ca="1" si="33"/>
        <v/>
      </c>
      <c r="AH145" s="842" t="str">
        <f t="shared" ca="1" si="34"/>
        <v/>
      </c>
      <c r="AI145" s="1498" t="str">
        <f t="shared" ca="1" si="35"/>
        <v/>
      </c>
      <c r="AJ145" s="508" t="b">
        <f ca="1">IF($C145&lt;&gt;"",IF(INDEX(SpecialModsTable,$A145,6)&lt;&gt;"",IF(NOT(ISERROR(FIND(Weapons!AI$76,INDEX(SpecialModsTable,$A145,6),1))),TRUE,FALSE),TRUE),FALSE)</f>
        <v>0</v>
      </c>
      <c r="AK145" s="508" t="str">
        <f t="shared" ca="1" si="36"/>
        <v/>
      </c>
      <c r="AL145" s="20" t="str">
        <f t="shared" ca="1" si="37"/>
        <v/>
      </c>
      <c r="AM145" s="20" t="str">
        <f t="shared" ca="1" si="38"/>
        <v/>
      </c>
      <c r="AN145" s="20" t="str">
        <f t="shared" ref="AN145:AN203" ca="1" si="65">IF(OR(AK145&lt;&gt;"",AL145&lt;&gt;"",AM145&lt;&gt;""),IF(AK145&lt;&gt;"",IF(AK145&lt;0,"","+")&amp;AK145&amp;" attack","")&amp;IF(AND(AK145&lt;&gt;"",AL145&lt;&gt;""),"/","")&amp;IF(AL145&lt;&gt;"","+"&amp;AL145&amp;" damage","")&amp;IF(AND(AM145&lt;&gt;"",OR(AK145&lt;&gt;"",AL145&lt;&gt;"")),"/","")&amp;IF(AM145&lt;&gt;"","+"&amp;AM145&amp;" die of damage",""),"")</f>
        <v/>
      </c>
      <c r="AO145" s="20" t="b">
        <f t="shared" ca="1" si="40"/>
        <v>1</v>
      </c>
      <c r="AP145" s="20" t="b">
        <f t="shared" ca="1" si="41"/>
        <v>1</v>
      </c>
      <c r="AQ145" s="1046" t="str">
        <f t="shared" ca="1" si="42"/>
        <v/>
      </c>
      <c r="AR145" s="842" t="str">
        <f t="shared" ca="1" si="43"/>
        <v/>
      </c>
      <c r="AS145" s="1498" t="str">
        <f t="shared" ca="1" si="44"/>
        <v/>
      </c>
      <c r="AT145" s="508" t="b">
        <f ca="1">IF($C145&lt;&gt;"",IF(INDEX(SpecialModsTable,$A145,6)&lt;&gt;"",IF(NOT(ISERROR(FIND(Weapons!AS$76,INDEX(SpecialModsTable,$A145,6),1))),TRUE,FALSE),TRUE),FALSE)</f>
        <v>0</v>
      </c>
      <c r="AU145" s="508" t="str">
        <f t="shared" ca="1" si="45"/>
        <v/>
      </c>
      <c r="AV145" s="20" t="str">
        <f t="shared" ca="1" si="46"/>
        <v/>
      </c>
      <c r="AW145" s="20" t="str">
        <f t="shared" ca="1" si="47"/>
        <v/>
      </c>
      <c r="AX145" s="20" t="str">
        <f t="shared" ref="AX145:AX203" ca="1" si="66">IF(OR(AU145&lt;&gt;"",AV145&lt;&gt;"",AW145&lt;&gt;""),IF(AU145&lt;&gt;"",IF(AU145&lt;0,"","+")&amp;AU145&amp;" attack","")&amp;IF(AND(AU145&lt;&gt;"",AV145&lt;&gt;""),"/","")&amp;IF(AV145&lt;&gt;"","+"&amp;AV145&amp;" damage","")&amp;IF(AND(AW145&lt;&gt;"",OR(AU145&lt;&gt;"",AV145&lt;&gt;"")),"/","")&amp;IF(AW145&lt;&gt;"","+"&amp;AW145&amp;" die of damage",""),"")</f>
        <v/>
      </c>
      <c r="AY145" s="20" t="b">
        <f t="shared" ca="1" si="49"/>
        <v>1</v>
      </c>
      <c r="AZ145" s="20" t="b">
        <f t="shared" ca="1" si="50"/>
        <v>1</v>
      </c>
      <c r="BA145" s="1046" t="str">
        <f t="shared" ca="1" si="51"/>
        <v/>
      </c>
      <c r="BB145" s="842" t="str">
        <f t="shared" ca="1" si="52"/>
        <v/>
      </c>
      <c r="BC145" s="1498" t="str">
        <f t="shared" ca="1" si="53"/>
        <v/>
      </c>
      <c r="BD145" s="508" t="b">
        <f ca="1">IF($C145&lt;&gt;"",IF(INDEX(SpecialModsTable,$A145,6)&lt;&gt;"",IF(NOT(ISERROR(FIND(Weapons!BC$76,INDEX(SpecialModsTable,$A145,6),1))),TRUE,FALSE),TRUE),FALSE)</f>
        <v>0</v>
      </c>
      <c r="BE145" s="508" t="str">
        <f t="shared" ca="1" si="54"/>
        <v/>
      </c>
      <c r="BF145" s="20" t="str">
        <f t="shared" ca="1" si="55"/>
        <v/>
      </c>
      <c r="BG145" s="20" t="str">
        <f t="shared" ca="1" si="56"/>
        <v/>
      </c>
      <c r="BH145" s="20" t="str">
        <f t="shared" ref="BH145:BH203" ca="1" si="67">IF(OR(BE145&lt;&gt;"",BF145&lt;&gt;"",BG145&lt;&gt;""),IF(BE145&lt;&gt;"",IF(BE145&lt;0,"","+")&amp;BE145&amp;" attack","")&amp;IF(AND(BE145&lt;&gt;"",BF145&lt;&gt;""),"/","")&amp;IF(BF145&lt;&gt;"","+"&amp;BF145&amp;" damage","")&amp;IF(AND(BG145&lt;&gt;"",OR(BE145&lt;&gt;"",BF145&lt;&gt;"")),"/","")&amp;IF(BG145&lt;&gt;"","+"&amp;BG145&amp;" die of damage",""),"")</f>
        <v/>
      </c>
      <c r="BI145" s="20" t="b">
        <f t="shared" ca="1" si="58"/>
        <v>1</v>
      </c>
      <c r="BJ145" s="20" t="b">
        <f t="shared" ca="1" si="59"/>
        <v>1</v>
      </c>
      <c r="BK145" s="1046" t="str">
        <f t="shared" ca="1" si="60"/>
        <v/>
      </c>
    </row>
    <row r="146" spans="1:63" hidden="1">
      <c r="A146" s="1477">
        <f t="shared" si="61"/>
        <v>16</v>
      </c>
      <c r="B146" s="1477"/>
      <c r="C146" s="1477" t="str">
        <f t="shared" ca="1" si="6"/>
        <v>Double Attack (simple)</v>
      </c>
      <c r="D146" s="842" t="str">
        <f t="shared" ca="1" si="7"/>
        <v/>
      </c>
      <c r="E146" s="1498" t="str">
        <f t="shared" ca="1" si="8"/>
        <v/>
      </c>
      <c r="F146" s="508" t="b">
        <f ca="1">IF($C146&lt;&gt;"",IF(INDEX(SpecialModsTable,$A146,6)&lt;&gt;"",IF(NOT(ISERROR(FIND(Weapons!E$76,INDEX(SpecialModsTable,$A146,6),1))),TRUE,FALSE),TRUE),FALSE)</f>
        <v>0</v>
      </c>
      <c r="G146" s="508" t="str">
        <f t="shared" ca="1" si="9"/>
        <v/>
      </c>
      <c r="H146" s="20" t="str">
        <f t="shared" ca="1" si="10"/>
        <v/>
      </c>
      <c r="I146" s="20" t="str">
        <f t="shared" ca="1" si="11"/>
        <v/>
      </c>
      <c r="J146" s="20" t="str">
        <f t="shared" ca="1" si="62"/>
        <v/>
      </c>
      <c r="K146" s="20" t="b">
        <f t="shared" ca="1" si="13"/>
        <v>1</v>
      </c>
      <c r="L146" s="20" t="b">
        <f t="shared" ca="1" si="14"/>
        <v>1</v>
      </c>
      <c r="M146" s="1046" t="str">
        <f t="shared" ca="1" si="15"/>
        <v/>
      </c>
      <c r="N146" s="842" t="str">
        <f t="shared" ca="1" si="16"/>
        <v/>
      </c>
      <c r="O146" s="1498" t="str">
        <f t="shared" ca="1" si="17"/>
        <v/>
      </c>
      <c r="P146" s="508" t="b">
        <f ca="1">IF($C146&lt;&gt;"",IF(INDEX(SpecialModsTable,$A146,6)&lt;&gt;"",IF(NOT(ISERROR(FIND(Weapons!O$76,INDEX(SpecialModsTable,$A146,6),1))),TRUE,FALSE),TRUE),FALSE)</f>
        <v>0</v>
      </c>
      <c r="Q146" s="508" t="str">
        <f t="shared" ca="1" si="18"/>
        <v/>
      </c>
      <c r="R146" s="20" t="str">
        <f t="shared" ca="1" si="19"/>
        <v/>
      </c>
      <c r="S146" s="20" t="str">
        <f t="shared" ca="1" si="20"/>
        <v/>
      </c>
      <c r="T146" s="20" t="str">
        <f t="shared" ca="1" si="63"/>
        <v/>
      </c>
      <c r="U146" s="20" t="b">
        <f t="shared" ca="1" si="22"/>
        <v>1</v>
      </c>
      <c r="V146" s="20" t="b">
        <f t="shared" ca="1" si="23"/>
        <v>1</v>
      </c>
      <c r="W146" s="1046" t="str">
        <f t="shared" ca="1" si="24"/>
        <v/>
      </c>
      <c r="X146" s="842" t="str">
        <f t="shared" ca="1" si="25"/>
        <v/>
      </c>
      <c r="Y146" s="1498" t="str">
        <f t="shared" ca="1" si="26"/>
        <v/>
      </c>
      <c r="Z146" s="508" t="b">
        <f ca="1">IF($C146&lt;&gt;"",IF(INDEX(SpecialModsTable,$A146,6)&lt;&gt;"",IF(NOT(ISERROR(FIND(Weapons!Y$76,INDEX(SpecialModsTable,$A146,6),1))),TRUE,FALSE),TRUE),FALSE)</f>
        <v>0</v>
      </c>
      <c r="AA146" s="508" t="str">
        <f t="shared" ca="1" si="27"/>
        <v/>
      </c>
      <c r="AB146" s="20" t="str">
        <f t="shared" ca="1" si="28"/>
        <v/>
      </c>
      <c r="AC146" s="20" t="str">
        <f t="shared" ca="1" si="29"/>
        <v/>
      </c>
      <c r="AD146" s="20" t="str">
        <f t="shared" ca="1" si="64"/>
        <v/>
      </c>
      <c r="AE146" s="20" t="b">
        <f t="shared" ca="1" si="31"/>
        <v>1</v>
      </c>
      <c r="AF146" s="20" t="b">
        <f t="shared" ca="1" si="32"/>
        <v>1</v>
      </c>
      <c r="AG146" s="1046" t="str">
        <f t="shared" ca="1" si="33"/>
        <v/>
      </c>
      <c r="AH146" s="842" t="str">
        <f t="shared" ca="1" si="34"/>
        <v/>
      </c>
      <c r="AI146" s="1498" t="str">
        <f t="shared" ca="1" si="35"/>
        <v/>
      </c>
      <c r="AJ146" s="508" t="b">
        <f ca="1">IF($C146&lt;&gt;"",IF(INDEX(SpecialModsTable,$A146,6)&lt;&gt;"",IF(NOT(ISERROR(FIND(Weapons!AI$76,INDEX(SpecialModsTable,$A146,6),1))),TRUE,FALSE),TRUE),FALSE)</f>
        <v>0</v>
      </c>
      <c r="AK146" s="508" t="str">
        <f t="shared" ca="1" si="36"/>
        <v/>
      </c>
      <c r="AL146" s="20" t="str">
        <f t="shared" ca="1" si="37"/>
        <v/>
      </c>
      <c r="AM146" s="20" t="str">
        <f t="shared" ca="1" si="38"/>
        <v/>
      </c>
      <c r="AN146" s="20" t="str">
        <f t="shared" ca="1" si="65"/>
        <v/>
      </c>
      <c r="AO146" s="20" t="b">
        <f t="shared" ca="1" si="40"/>
        <v>1</v>
      </c>
      <c r="AP146" s="20" t="b">
        <f t="shared" ca="1" si="41"/>
        <v>1</v>
      </c>
      <c r="AQ146" s="1046" t="str">
        <f t="shared" ca="1" si="42"/>
        <v/>
      </c>
      <c r="AR146" s="842" t="str">
        <f t="shared" ca="1" si="43"/>
        <v/>
      </c>
      <c r="AS146" s="1498" t="str">
        <f t="shared" ca="1" si="44"/>
        <v/>
      </c>
      <c r="AT146" s="508" t="b">
        <f ca="1">IF($C146&lt;&gt;"",IF(INDEX(SpecialModsTable,$A146,6)&lt;&gt;"",IF(NOT(ISERROR(FIND(Weapons!AS$76,INDEX(SpecialModsTable,$A146,6),1))),TRUE,FALSE),TRUE),FALSE)</f>
        <v>0</v>
      </c>
      <c r="AU146" s="508" t="str">
        <f t="shared" ca="1" si="45"/>
        <v/>
      </c>
      <c r="AV146" s="20" t="str">
        <f t="shared" ca="1" si="46"/>
        <v/>
      </c>
      <c r="AW146" s="20" t="str">
        <f t="shared" ca="1" si="47"/>
        <v/>
      </c>
      <c r="AX146" s="20" t="str">
        <f t="shared" ca="1" si="66"/>
        <v/>
      </c>
      <c r="AY146" s="20" t="b">
        <f t="shared" ca="1" si="49"/>
        <v>1</v>
      </c>
      <c r="AZ146" s="20" t="b">
        <f t="shared" ca="1" si="50"/>
        <v>1</v>
      </c>
      <c r="BA146" s="1046" t="str">
        <f t="shared" ca="1" si="51"/>
        <v/>
      </c>
      <c r="BB146" s="842" t="str">
        <f t="shared" ca="1" si="52"/>
        <v/>
      </c>
      <c r="BC146" s="1498" t="str">
        <f t="shared" ca="1" si="53"/>
        <v/>
      </c>
      <c r="BD146" s="508" t="b">
        <f ca="1">IF($C146&lt;&gt;"",IF(INDEX(SpecialModsTable,$A146,6)&lt;&gt;"",IF(NOT(ISERROR(FIND(Weapons!BC$76,INDEX(SpecialModsTable,$A146,6),1))),TRUE,FALSE),TRUE),FALSE)</f>
        <v>0</v>
      </c>
      <c r="BE146" s="508" t="str">
        <f t="shared" ca="1" si="54"/>
        <v/>
      </c>
      <c r="BF146" s="20" t="str">
        <f t="shared" ca="1" si="55"/>
        <v/>
      </c>
      <c r="BG146" s="20" t="str">
        <f t="shared" ca="1" si="56"/>
        <v/>
      </c>
      <c r="BH146" s="20" t="str">
        <f t="shared" ca="1" si="67"/>
        <v/>
      </c>
      <c r="BI146" s="20" t="b">
        <f t="shared" ca="1" si="58"/>
        <v>1</v>
      </c>
      <c r="BJ146" s="20" t="b">
        <f t="shared" ca="1" si="59"/>
        <v>1</v>
      </c>
      <c r="BK146" s="1046" t="str">
        <f t="shared" ca="1" si="60"/>
        <v/>
      </c>
    </row>
    <row r="147" spans="1:63" hidden="1">
      <c r="A147" s="1477">
        <f t="shared" si="61"/>
        <v>17</v>
      </c>
      <c r="B147" s="1477"/>
      <c r="C147" s="1477" t="str">
        <f t="shared" ca="1" si="6"/>
        <v>Dual Weapon Mastery</v>
      </c>
      <c r="D147" s="842" t="str">
        <f t="shared" ca="1" si="7"/>
        <v/>
      </c>
      <c r="E147" s="1498" t="str">
        <f t="shared" ca="1" si="8"/>
        <v/>
      </c>
      <c r="F147" s="508" t="b">
        <f ca="1">IF($C147&lt;&gt;"",IF(INDEX(SpecialModsTable,$A147,6)&lt;&gt;"",IF(NOT(ISERROR(FIND(Weapons!E$76,INDEX(SpecialModsTable,$A147,6),1))),TRUE,FALSE),TRUE),FALSE)</f>
        <v>1</v>
      </c>
      <c r="G147" s="508" t="str">
        <f t="shared" ca="1" si="9"/>
        <v/>
      </c>
      <c r="H147" s="20" t="str">
        <f t="shared" ca="1" si="10"/>
        <v/>
      </c>
      <c r="I147" s="20" t="str">
        <f t="shared" ca="1" si="11"/>
        <v/>
      </c>
      <c r="J147" s="20" t="str">
        <f t="shared" ca="1" si="62"/>
        <v/>
      </c>
      <c r="K147" s="20" t="b">
        <f t="shared" ca="1" si="13"/>
        <v>1</v>
      </c>
      <c r="L147" s="20" t="b">
        <f t="shared" ca="1" si="14"/>
        <v>1</v>
      </c>
      <c r="M147" s="1046" t="str">
        <f t="shared" ca="1" si="15"/>
        <v/>
      </c>
      <c r="N147" s="842" t="str">
        <f t="shared" ca="1" si="16"/>
        <v/>
      </c>
      <c r="O147" s="1498" t="str">
        <f t="shared" ca="1" si="17"/>
        <v/>
      </c>
      <c r="P147" s="508" t="b">
        <f ca="1">IF($C147&lt;&gt;"",IF(INDEX(SpecialModsTable,$A147,6)&lt;&gt;"",IF(NOT(ISERROR(FIND(Weapons!O$76,INDEX(SpecialModsTable,$A147,6),1))),TRUE,FALSE),TRUE),FALSE)</f>
        <v>1</v>
      </c>
      <c r="Q147" s="508" t="str">
        <f t="shared" ca="1" si="18"/>
        <v/>
      </c>
      <c r="R147" s="20" t="str">
        <f t="shared" ca="1" si="19"/>
        <v/>
      </c>
      <c r="S147" s="20" t="str">
        <f t="shared" ca="1" si="20"/>
        <v/>
      </c>
      <c r="T147" s="20" t="str">
        <f t="shared" ca="1" si="63"/>
        <v/>
      </c>
      <c r="U147" s="20" t="b">
        <f t="shared" ca="1" si="22"/>
        <v>1</v>
      </c>
      <c r="V147" s="20" t="b">
        <f t="shared" ca="1" si="23"/>
        <v>1</v>
      </c>
      <c r="W147" s="1046" t="str">
        <f t="shared" ca="1" si="24"/>
        <v/>
      </c>
      <c r="X147" s="842" t="str">
        <f t="shared" ca="1" si="25"/>
        <v/>
      </c>
      <c r="Y147" s="1498" t="str">
        <f t="shared" ca="1" si="26"/>
        <v/>
      </c>
      <c r="Z147" s="508" t="b">
        <f ca="1">IF($C147&lt;&gt;"",IF(INDEX(SpecialModsTable,$A147,6)&lt;&gt;"",IF(NOT(ISERROR(FIND(Weapons!Y$76,INDEX(SpecialModsTable,$A147,6),1))),TRUE,FALSE),TRUE),FALSE)</f>
        <v>1</v>
      </c>
      <c r="AA147" s="508" t="str">
        <f t="shared" ca="1" si="27"/>
        <v/>
      </c>
      <c r="AB147" s="20" t="str">
        <f t="shared" ca="1" si="28"/>
        <v/>
      </c>
      <c r="AC147" s="20" t="str">
        <f t="shared" ca="1" si="29"/>
        <v/>
      </c>
      <c r="AD147" s="20" t="str">
        <f t="shared" ca="1" si="64"/>
        <v/>
      </c>
      <c r="AE147" s="20" t="b">
        <f t="shared" ca="1" si="31"/>
        <v>1</v>
      </c>
      <c r="AF147" s="20" t="b">
        <f t="shared" ca="1" si="32"/>
        <v>1</v>
      </c>
      <c r="AG147" s="1046" t="str">
        <f t="shared" ca="1" si="33"/>
        <v/>
      </c>
      <c r="AH147" s="842" t="str">
        <f t="shared" ca="1" si="34"/>
        <v/>
      </c>
      <c r="AI147" s="1498" t="str">
        <f t="shared" ca="1" si="35"/>
        <v/>
      </c>
      <c r="AJ147" s="508" t="b">
        <f ca="1">IF($C147&lt;&gt;"",IF(INDEX(SpecialModsTable,$A147,6)&lt;&gt;"",IF(NOT(ISERROR(FIND(Weapons!AI$76,INDEX(SpecialModsTable,$A147,6),1))),TRUE,FALSE),TRUE),FALSE)</f>
        <v>1</v>
      </c>
      <c r="AK147" s="508" t="str">
        <f t="shared" ca="1" si="36"/>
        <v/>
      </c>
      <c r="AL147" s="20" t="str">
        <f t="shared" ca="1" si="37"/>
        <v/>
      </c>
      <c r="AM147" s="20" t="str">
        <f t="shared" ca="1" si="38"/>
        <v/>
      </c>
      <c r="AN147" s="20" t="str">
        <f t="shared" ca="1" si="65"/>
        <v/>
      </c>
      <c r="AO147" s="20" t="b">
        <f t="shared" ca="1" si="40"/>
        <v>1</v>
      </c>
      <c r="AP147" s="20" t="b">
        <f t="shared" ca="1" si="41"/>
        <v>1</v>
      </c>
      <c r="AQ147" s="1046" t="str">
        <f t="shared" ca="1" si="42"/>
        <v/>
      </c>
      <c r="AR147" s="842" t="str">
        <f t="shared" ca="1" si="43"/>
        <v/>
      </c>
      <c r="AS147" s="1498" t="str">
        <f t="shared" ca="1" si="44"/>
        <v/>
      </c>
      <c r="AT147" s="508" t="b">
        <f ca="1">IF($C147&lt;&gt;"",IF(INDEX(SpecialModsTable,$A147,6)&lt;&gt;"",IF(NOT(ISERROR(FIND(Weapons!AS$76,INDEX(SpecialModsTable,$A147,6),1))),TRUE,FALSE),TRUE),FALSE)</f>
        <v>1</v>
      </c>
      <c r="AU147" s="508" t="str">
        <f t="shared" ca="1" si="45"/>
        <v/>
      </c>
      <c r="AV147" s="20" t="str">
        <f t="shared" ca="1" si="46"/>
        <v/>
      </c>
      <c r="AW147" s="20" t="str">
        <f t="shared" ca="1" si="47"/>
        <v/>
      </c>
      <c r="AX147" s="20" t="str">
        <f t="shared" ca="1" si="66"/>
        <v/>
      </c>
      <c r="AY147" s="20" t="b">
        <f t="shared" ca="1" si="49"/>
        <v>1</v>
      </c>
      <c r="AZ147" s="20" t="b">
        <f t="shared" ca="1" si="50"/>
        <v>1</v>
      </c>
      <c r="BA147" s="1046" t="str">
        <f t="shared" ca="1" si="51"/>
        <v/>
      </c>
      <c r="BB147" s="842" t="str">
        <f t="shared" ca="1" si="52"/>
        <v/>
      </c>
      <c r="BC147" s="1498" t="str">
        <f t="shared" ca="1" si="53"/>
        <v/>
      </c>
      <c r="BD147" s="508" t="b">
        <f ca="1">IF($C147&lt;&gt;"",IF(INDEX(SpecialModsTable,$A147,6)&lt;&gt;"",IF(NOT(ISERROR(FIND(Weapons!BC$76,INDEX(SpecialModsTable,$A147,6),1))),TRUE,FALSE),TRUE),FALSE)</f>
        <v>1</v>
      </c>
      <c r="BE147" s="508" t="str">
        <f t="shared" ca="1" si="54"/>
        <v/>
      </c>
      <c r="BF147" s="20" t="str">
        <f t="shared" ca="1" si="55"/>
        <v/>
      </c>
      <c r="BG147" s="20" t="str">
        <f t="shared" ca="1" si="56"/>
        <v/>
      </c>
      <c r="BH147" s="20" t="str">
        <f t="shared" ca="1" si="67"/>
        <v/>
      </c>
      <c r="BI147" s="20" t="b">
        <f t="shared" ca="1" si="58"/>
        <v>1</v>
      </c>
      <c r="BJ147" s="20" t="b">
        <f t="shared" ca="1" si="59"/>
        <v>1</v>
      </c>
      <c r="BK147" s="1046" t="str">
        <f t="shared" ca="1" si="60"/>
        <v/>
      </c>
    </row>
    <row r="148" spans="1:63" hidden="1">
      <c r="A148" s="1477">
        <f t="shared" si="61"/>
        <v>18</v>
      </c>
      <c r="B148" s="1477"/>
      <c r="C148" s="1477" t="str">
        <f t="shared" ca="1" si="6"/>
        <v>Flurry</v>
      </c>
      <c r="D148" s="842" t="str">
        <f t="shared" ca="1" si="7"/>
        <v/>
      </c>
      <c r="E148" s="1498" t="str">
        <f t="shared" ca="1" si="8"/>
        <v/>
      </c>
      <c r="F148" s="508" t="b">
        <f ca="1">IF($C148&lt;&gt;"",IF(INDEX(SpecialModsTable,$A148,6)&lt;&gt;"",IF(NOT(ISERROR(FIND(Weapons!E$76,INDEX(SpecialModsTable,$A148,6),1))),TRUE,FALSE),FALSE),FALSE)</f>
        <v>0</v>
      </c>
      <c r="G148" s="508" t="str">
        <f t="shared" ca="1" si="9"/>
        <v/>
      </c>
      <c r="H148" s="20" t="str">
        <f t="shared" ca="1" si="10"/>
        <v/>
      </c>
      <c r="I148" s="20" t="str">
        <f t="shared" ca="1" si="11"/>
        <v/>
      </c>
      <c r="J148" s="20" t="str">
        <f t="shared" ca="1" si="62"/>
        <v/>
      </c>
      <c r="K148" s="20" t="b">
        <f t="shared" ca="1" si="13"/>
        <v>1</v>
      </c>
      <c r="L148" s="20" t="b">
        <f t="shared" ca="1" si="14"/>
        <v>1</v>
      </c>
      <c r="M148" s="1046" t="str">
        <f t="shared" ca="1" si="15"/>
        <v/>
      </c>
      <c r="N148" s="842" t="str">
        <f t="shared" ca="1" si="16"/>
        <v/>
      </c>
      <c r="O148" s="1498" t="str">
        <f t="shared" ca="1" si="17"/>
        <v/>
      </c>
      <c r="P148" s="508" t="b">
        <f ca="1">IF($C148&lt;&gt;"",IF(INDEX(SpecialModsTable,$A148,6)&lt;&gt;"",IF(NOT(ISERROR(FIND(Weapons!O$76,INDEX(SpecialModsTable,$A148,6),1))),TRUE,FALSE),FALSE),FALSE)</f>
        <v>0</v>
      </c>
      <c r="Q148" s="508" t="str">
        <f t="shared" ca="1" si="18"/>
        <v/>
      </c>
      <c r="R148" s="20" t="str">
        <f t="shared" ca="1" si="19"/>
        <v/>
      </c>
      <c r="S148" s="20" t="str">
        <f t="shared" ca="1" si="20"/>
        <v/>
      </c>
      <c r="T148" s="20" t="str">
        <f t="shared" ca="1" si="63"/>
        <v/>
      </c>
      <c r="U148" s="20" t="b">
        <f t="shared" ca="1" si="22"/>
        <v>1</v>
      </c>
      <c r="V148" s="20" t="b">
        <f t="shared" ca="1" si="23"/>
        <v>1</v>
      </c>
      <c r="W148" s="1046" t="str">
        <f t="shared" ca="1" si="24"/>
        <v/>
      </c>
      <c r="X148" s="842" t="str">
        <f t="shared" ca="1" si="25"/>
        <v/>
      </c>
      <c r="Y148" s="1498" t="str">
        <f t="shared" ca="1" si="26"/>
        <v/>
      </c>
      <c r="Z148" s="508" t="b">
        <f ca="1">IF($C148&lt;&gt;"",IF(INDEX(SpecialModsTable,$A148,6)&lt;&gt;"",IF(NOT(ISERROR(FIND(Weapons!Y$76,INDEX(SpecialModsTable,$A148,6),1))),TRUE,FALSE),FALSE),FALSE)</f>
        <v>0</v>
      </c>
      <c r="AA148" s="508" t="str">
        <f t="shared" ca="1" si="27"/>
        <v/>
      </c>
      <c r="AB148" s="20" t="str">
        <f t="shared" ca="1" si="28"/>
        <v/>
      </c>
      <c r="AC148" s="20" t="str">
        <f t="shared" ca="1" si="29"/>
        <v/>
      </c>
      <c r="AD148" s="20" t="str">
        <f t="shared" ca="1" si="64"/>
        <v/>
      </c>
      <c r="AE148" s="20" t="b">
        <f t="shared" ca="1" si="31"/>
        <v>1</v>
      </c>
      <c r="AF148" s="20" t="b">
        <f t="shared" ca="1" si="32"/>
        <v>1</v>
      </c>
      <c r="AG148" s="1046" t="str">
        <f t="shared" ca="1" si="33"/>
        <v/>
      </c>
      <c r="AH148" s="842" t="str">
        <f t="shared" ca="1" si="34"/>
        <v/>
      </c>
      <c r="AI148" s="1498" t="str">
        <f t="shared" ca="1" si="35"/>
        <v/>
      </c>
      <c r="AJ148" s="508" t="b">
        <f ca="1">IF($C148&lt;&gt;"",IF(INDEX(SpecialModsTable,$A148,6)&lt;&gt;"",IF(NOT(ISERROR(FIND(Weapons!AI$76,INDEX(SpecialModsTable,$A148,6),1))),TRUE,FALSE),FALSE),FALSE)</f>
        <v>0</v>
      </c>
      <c r="AK148" s="508" t="str">
        <f t="shared" ca="1" si="36"/>
        <v/>
      </c>
      <c r="AL148" s="20" t="str">
        <f t="shared" ca="1" si="37"/>
        <v/>
      </c>
      <c r="AM148" s="20" t="str">
        <f t="shared" ca="1" si="38"/>
        <v/>
      </c>
      <c r="AN148" s="20" t="str">
        <f t="shared" ca="1" si="65"/>
        <v/>
      </c>
      <c r="AO148" s="20" t="b">
        <f t="shared" ca="1" si="40"/>
        <v>1</v>
      </c>
      <c r="AP148" s="20" t="b">
        <f t="shared" ca="1" si="41"/>
        <v>1</v>
      </c>
      <c r="AQ148" s="1046" t="str">
        <f t="shared" ca="1" si="42"/>
        <v/>
      </c>
      <c r="AR148" s="842" t="str">
        <f t="shared" ca="1" si="43"/>
        <v/>
      </c>
      <c r="AS148" s="1498" t="str">
        <f t="shared" ca="1" si="44"/>
        <v/>
      </c>
      <c r="AT148" s="508" t="b">
        <f ca="1">IF($C148&lt;&gt;"",IF(INDEX(SpecialModsTable,$A148,6)&lt;&gt;"",IF(NOT(ISERROR(FIND(Weapons!AS$76,INDEX(SpecialModsTable,$A148,6),1))),TRUE,FALSE),FALSE),FALSE)</f>
        <v>0</v>
      </c>
      <c r="AU148" s="508" t="str">
        <f t="shared" ca="1" si="45"/>
        <v/>
      </c>
      <c r="AV148" s="20" t="str">
        <f t="shared" ca="1" si="46"/>
        <v/>
      </c>
      <c r="AW148" s="20" t="str">
        <f t="shared" ca="1" si="47"/>
        <v/>
      </c>
      <c r="AX148" s="20" t="str">
        <f t="shared" ca="1" si="66"/>
        <v/>
      </c>
      <c r="AY148" s="20" t="b">
        <f t="shared" ca="1" si="49"/>
        <v>1</v>
      </c>
      <c r="AZ148" s="20" t="b">
        <f t="shared" ca="1" si="50"/>
        <v>1</v>
      </c>
      <c r="BA148" s="1046" t="str">
        <f t="shared" ca="1" si="51"/>
        <v/>
      </c>
      <c r="BB148" s="842" t="str">
        <f t="shared" ca="1" si="52"/>
        <v/>
      </c>
      <c r="BC148" s="1498" t="str">
        <f t="shared" ca="1" si="53"/>
        <v/>
      </c>
      <c r="BD148" s="508" t="b">
        <f ca="1">IF($C148&lt;&gt;"",IF(INDEX(SpecialModsTable,$A148,6)&lt;&gt;"",IF(NOT(ISERROR(FIND(Weapons!BC$76,INDEX(SpecialModsTable,$A148,6),1))),TRUE,FALSE),FALSE),FALSE)</f>
        <v>0</v>
      </c>
      <c r="BE148" s="508" t="str">
        <f t="shared" ca="1" si="54"/>
        <v/>
      </c>
      <c r="BF148" s="20" t="str">
        <f t="shared" ca="1" si="55"/>
        <v/>
      </c>
      <c r="BG148" s="20" t="str">
        <f t="shared" ca="1" si="56"/>
        <v/>
      </c>
      <c r="BH148" s="20" t="str">
        <f t="shared" ca="1" si="67"/>
        <v/>
      </c>
      <c r="BI148" s="20" t="b">
        <f t="shared" ca="1" si="58"/>
        <v>1</v>
      </c>
      <c r="BJ148" s="20" t="b">
        <f t="shared" ca="1" si="59"/>
        <v>1</v>
      </c>
      <c r="BK148" s="1046" t="str">
        <f t="shared" ca="1" si="60"/>
        <v/>
      </c>
    </row>
    <row r="149" spans="1:63" hidden="1">
      <c r="A149" s="1477">
        <f t="shared" si="61"/>
        <v>19</v>
      </c>
      <c r="B149" s="1477"/>
      <c r="C149" s="1477" t="str">
        <f t="shared" ca="1" si="6"/>
        <v>Improved Rapid Strike</v>
      </c>
      <c r="D149" s="842" t="str">
        <f t="shared" ca="1" si="7"/>
        <v/>
      </c>
      <c r="E149" s="1498" t="str">
        <f t="shared" ca="1" si="8"/>
        <v/>
      </c>
      <c r="F149" s="508" t="b">
        <f ca="1">IF($C149&lt;&gt;"",IF(INDEX(SpecialModsTable,$A149,6)&lt;&gt;"",IF(NOT(ISERROR(FIND(Weapons!E$76,INDEX(SpecialModsTable,$A149,6),1))),TRUE,FALSE),TRUE),FALSE)</f>
        <v>0</v>
      </c>
      <c r="G149" s="508" t="str">
        <f t="shared" ca="1" si="9"/>
        <v/>
      </c>
      <c r="H149" s="20" t="str">
        <f t="shared" ca="1" si="10"/>
        <v/>
      </c>
      <c r="I149" s="20" t="str">
        <f t="shared" ca="1" si="11"/>
        <v/>
      </c>
      <c r="J149" s="20" t="str">
        <f t="shared" ca="1" si="62"/>
        <v/>
      </c>
      <c r="K149" s="20" t="b">
        <f t="shared" ca="1" si="13"/>
        <v>1</v>
      </c>
      <c r="L149" s="20" t="b">
        <f t="shared" ca="1" si="14"/>
        <v>1</v>
      </c>
      <c r="M149" s="1046" t="str">
        <f t="shared" ca="1" si="15"/>
        <v/>
      </c>
      <c r="N149" s="842" t="str">
        <f t="shared" ca="1" si="16"/>
        <v/>
      </c>
      <c r="O149" s="1498" t="str">
        <f t="shared" ca="1" si="17"/>
        <v/>
      </c>
      <c r="P149" s="508" t="b">
        <f ca="1">IF($C149&lt;&gt;"",IF(INDEX(SpecialModsTable,$A149,6)&lt;&gt;"",IF(NOT(ISERROR(FIND(Weapons!O$76,INDEX(SpecialModsTable,$A149,6),1))),TRUE,FALSE),TRUE),FALSE)</f>
        <v>0</v>
      </c>
      <c r="Q149" s="508" t="str">
        <f t="shared" ca="1" si="18"/>
        <v/>
      </c>
      <c r="R149" s="20" t="str">
        <f t="shared" ca="1" si="19"/>
        <v/>
      </c>
      <c r="S149" s="20" t="str">
        <f t="shared" ca="1" si="20"/>
        <v/>
      </c>
      <c r="T149" s="20" t="str">
        <f t="shared" ca="1" si="63"/>
        <v/>
      </c>
      <c r="U149" s="20" t="b">
        <f t="shared" ca="1" si="22"/>
        <v>1</v>
      </c>
      <c r="V149" s="20" t="b">
        <f t="shared" ca="1" si="23"/>
        <v>1</v>
      </c>
      <c r="W149" s="1046" t="str">
        <f t="shared" ca="1" si="24"/>
        <v/>
      </c>
      <c r="X149" s="842" t="str">
        <f t="shared" ca="1" si="25"/>
        <v/>
      </c>
      <c r="Y149" s="1498" t="str">
        <f t="shared" ca="1" si="26"/>
        <v/>
      </c>
      <c r="Z149" s="508" t="b">
        <f ca="1">IF($C149&lt;&gt;"",IF(INDEX(SpecialModsTable,$A149,6)&lt;&gt;"",IF(NOT(ISERROR(FIND(Weapons!Y$76,INDEX(SpecialModsTable,$A149,6),1))),TRUE,FALSE),TRUE),FALSE)</f>
        <v>0</v>
      </c>
      <c r="AA149" s="508" t="str">
        <f t="shared" ca="1" si="27"/>
        <v/>
      </c>
      <c r="AB149" s="20" t="str">
        <f t="shared" ca="1" si="28"/>
        <v/>
      </c>
      <c r="AC149" s="20" t="str">
        <f t="shared" ca="1" si="29"/>
        <v/>
      </c>
      <c r="AD149" s="20" t="str">
        <f t="shared" ca="1" si="64"/>
        <v/>
      </c>
      <c r="AE149" s="20" t="b">
        <f t="shared" ca="1" si="31"/>
        <v>1</v>
      </c>
      <c r="AF149" s="20" t="b">
        <f t="shared" ca="1" si="32"/>
        <v>1</v>
      </c>
      <c r="AG149" s="1046" t="str">
        <f t="shared" ca="1" si="33"/>
        <v/>
      </c>
      <c r="AH149" s="842" t="str">
        <f t="shared" ca="1" si="34"/>
        <v/>
      </c>
      <c r="AI149" s="1498" t="str">
        <f t="shared" ca="1" si="35"/>
        <v/>
      </c>
      <c r="AJ149" s="508" t="b">
        <f ca="1">IF($C149&lt;&gt;"",IF(INDEX(SpecialModsTable,$A149,6)&lt;&gt;"",IF(NOT(ISERROR(FIND(Weapons!AI$76,INDEX(SpecialModsTable,$A149,6),1))),TRUE,FALSE),TRUE),FALSE)</f>
        <v>0</v>
      </c>
      <c r="AK149" s="508" t="str">
        <f t="shared" ca="1" si="36"/>
        <v/>
      </c>
      <c r="AL149" s="20" t="str">
        <f t="shared" ca="1" si="37"/>
        <v/>
      </c>
      <c r="AM149" s="20" t="str">
        <f t="shared" ca="1" si="38"/>
        <v/>
      </c>
      <c r="AN149" s="20" t="str">
        <f t="shared" ca="1" si="65"/>
        <v/>
      </c>
      <c r="AO149" s="20" t="b">
        <f t="shared" ca="1" si="40"/>
        <v>1</v>
      </c>
      <c r="AP149" s="20" t="b">
        <f t="shared" ca="1" si="41"/>
        <v>1</v>
      </c>
      <c r="AQ149" s="1046" t="str">
        <f t="shared" ca="1" si="42"/>
        <v/>
      </c>
      <c r="AR149" s="842" t="str">
        <f t="shared" ca="1" si="43"/>
        <v/>
      </c>
      <c r="AS149" s="1498" t="str">
        <f t="shared" ca="1" si="44"/>
        <v/>
      </c>
      <c r="AT149" s="508" t="b">
        <f ca="1">IF($C149&lt;&gt;"",IF(INDEX(SpecialModsTable,$A149,6)&lt;&gt;"",IF(NOT(ISERROR(FIND(Weapons!AS$76,INDEX(SpecialModsTable,$A149,6),1))),TRUE,FALSE),TRUE),FALSE)</f>
        <v>0</v>
      </c>
      <c r="AU149" s="508" t="str">
        <f t="shared" ca="1" si="45"/>
        <v/>
      </c>
      <c r="AV149" s="20" t="str">
        <f t="shared" ca="1" si="46"/>
        <v/>
      </c>
      <c r="AW149" s="20" t="str">
        <f t="shared" ca="1" si="47"/>
        <v/>
      </c>
      <c r="AX149" s="20" t="str">
        <f t="shared" ca="1" si="66"/>
        <v/>
      </c>
      <c r="AY149" s="20" t="b">
        <f t="shared" ca="1" si="49"/>
        <v>1</v>
      </c>
      <c r="AZ149" s="20" t="b">
        <f t="shared" ca="1" si="50"/>
        <v>1</v>
      </c>
      <c r="BA149" s="1046" t="str">
        <f t="shared" ca="1" si="51"/>
        <v/>
      </c>
      <c r="BB149" s="842" t="str">
        <f t="shared" ca="1" si="52"/>
        <v/>
      </c>
      <c r="BC149" s="1498" t="str">
        <f t="shared" ca="1" si="53"/>
        <v/>
      </c>
      <c r="BD149" s="508" t="b">
        <f ca="1">IF($C149&lt;&gt;"",IF(INDEX(SpecialModsTable,$A149,6)&lt;&gt;"",IF(NOT(ISERROR(FIND(Weapons!BC$76,INDEX(SpecialModsTable,$A149,6),1))),TRUE,FALSE),TRUE),FALSE)</f>
        <v>0</v>
      </c>
      <c r="BE149" s="508" t="str">
        <f t="shared" ca="1" si="54"/>
        <v/>
      </c>
      <c r="BF149" s="20" t="str">
        <f t="shared" ca="1" si="55"/>
        <v/>
      </c>
      <c r="BG149" s="20" t="str">
        <f t="shared" ca="1" si="56"/>
        <v/>
      </c>
      <c r="BH149" s="20" t="str">
        <f t="shared" ca="1" si="67"/>
        <v/>
      </c>
      <c r="BI149" s="20" t="b">
        <f t="shared" ca="1" si="58"/>
        <v>1</v>
      </c>
      <c r="BJ149" s="20" t="b">
        <f t="shared" ca="1" si="59"/>
        <v>1</v>
      </c>
      <c r="BK149" s="1046" t="str">
        <f t="shared" ca="1" si="60"/>
        <v/>
      </c>
    </row>
    <row r="150" spans="1:63" hidden="1">
      <c r="A150" s="1477">
        <f t="shared" si="61"/>
        <v>20</v>
      </c>
      <c r="B150" s="1477"/>
      <c r="C150" s="1477" t="str">
        <f t="shared" ca="1" si="6"/>
        <v>Mighty Swing</v>
      </c>
      <c r="D150" s="842" t="str">
        <f t="shared" ca="1" si="7"/>
        <v/>
      </c>
      <c r="E150" s="1498" t="str">
        <f t="shared" ca="1" si="8"/>
        <v/>
      </c>
      <c r="F150" s="508" t="b">
        <f ca="1">IF($C150&lt;&gt;"",IF(INDEX(SpecialModsTable,$A150,6)&lt;&gt;"",IF(NOT(ISERROR(FIND(Weapons!E$76,INDEX(SpecialModsTable,$A150,6),1))),TRUE,FALSE),TRUE),FALSE)</f>
        <v>1</v>
      </c>
      <c r="G150" s="508" t="str">
        <f t="shared" ca="1" si="9"/>
        <v/>
      </c>
      <c r="H150" s="20" t="str">
        <f t="shared" ca="1" si="10"/>
        <v/>
      </c>
      <c r="I150" s="20" t="str">
        <f t="shared" ca="1" si="11"/>
        <v/>
      </c>
      <c r="J150" s="20" t="str">
        <f t="shared" ca="1" si="62"/>
        <v/>
      </c>
      <c r="K150" s="20" t="b">
        <f t="shared" ca="1" si="13"/>
        <v>1</v>
      </c>
      <c r="L150" s="20" t="b">
        <f t="shared" ca="1" si="14"/>
        <v>1</v>
      </c>
      <c r="M150" s="1046" t="str">
        <f t="shared" ca="1" si="15"/>
        <v/>
      </c>
      <c r="N150" s="842" t="str">
        <f t="shared" ca="1" si="16"/>
        <v/>
      </c>
      <c r="O150" s="1498" t="str">
        <f t="shared" ca="1" si="17"/>
        <v/>
      </c>
      <c r="P150" s="508" t="b">
        <f ca="1">IF($C150&lt;&gt;"",IF(INDEX(SpecialModsTable,$A150,6)&lt;&gt;"",IF(NOT(ISERROR(FIND(Weapons!O$76,INDEX(SpecialModsTable,$A150,6),1))),TRUE,FALSE),TRUE),FALSE)</f>
        <v>1</v>
      </c>
      <c r="Q150" s="508" t="str">
        <f t="shared" ca="1" si="18"/>
        <v/>
      </c>
      <c r="R150" s="20" t="str">
        <f t="shared" ca="1" si="19"/>
        <v/>
      </c>
      <c r="S150" s="20" t="str">
        <f t="shared" ca="1" si="20"/>
        <v/>
      </c>
      <c r="T150" s="20" t="str">
        <f t="shared" ca="1" si="63"/>
        <v/>
      </c>
      <c r="U150" s="20" t="b">
        <f t="shared" ca="1" si="22"/>
        <v>1</v>
      </c>
      <c r="V150" s="20" t="b">
        <f t="shared" ca="1" si="23"/>
        <v>1</v>
      </c>
      <c r="W150" s="1046" t="str">
        <f t="shared" ca="1" si="24"/>
        <v/>
      </c>
      <c r="X150" s="842" t="str">
        <f t="shared" ca="1" si="25"/>
        <v/>
      </c>
      <c r="Y150" s="1498" t="str">
        <f t="shared" ca="1" si="26"/>
        <v/>
      </c>
      <c r="Z150" s="508" t="b">
        <f ca="1">IF($C150&lt;&gt;"",IF(INDEX(SpecialModsTable,$A150,6)&lt;&gt;"",IF(NOT(ISERROR(FIND(Weapons!Y$76,INDEX(SpecialModsTable,$A150,6),1))),TRUE,FALSE),TRUE),FALSE)</f>
        <v>1</v>
      </c>
      <c r="AA150" s="508" t="str">
        <f t="shared" ca="1" si="27"/>
        <v/>
      </c>
      <c r="AB150" s="20" t="str">
        <f t="shared" ca="1" si="28"/>
        <v/>
      </c>
      <c r="AC150" s="20" t="str">
        <f t="shared" ca="1" si="29"/>
        <v/>
      </c>
      <c r="AD150" s="20" t="str">
        <f t="shared" ca="1" si="64"/>
        <v/>
      </c>
      <c r="AE150" s="20" t="b">
        <f t="shared" ca="1" si="31"/>
        <v>1</v>
      </c>
      <c r="AF150" s="20" t="b">
        <f t="shared" ca="1" si="32"/>
        <v>1</v>
      </c>
      <c r="AG150" s="1046" t="str">
        <f t="shared" ca="1" si="33"/>
        <v/>
      </c>
      <c r="AH150" s="842" t="str">
        <f t="shared" ca="1" si="34"/>
        <v/>
      </c>
      <c r="AI150" s="1498" t="str">
        <f t="shared" ca="1" si="35"/>
        <v/>
      </c>
      <c r="AJ150" s="508" t="b">
        <f ca="1">IF($C150&lt;&gt;"",IF(INDEX(SpecialModsTable,$A150,6)&lt;&gt;"",IF(NOT(ISERROR(FIND(Weapons!AI$76,INDEX(SpecialModsTable,$A150,6),1))),TRUE,FALSE),TRUE),FALSE)</f>
        <v>1</v>
      </c>
      <c r="AK150" s="508" t="str">
        <f t="shared" ca="1" si="36"/>
        <v/>
      </c>
      <c r="AL150" s="20" t="str">
        <f t="shared" ca="1" si="37"/>
        <v/>
      </c>
      <c r="AM150" s="20" t="str">
        <f t="shared" ca="1" si="38"/>
        <v/>
      </c>
      <c r="AN150" s="20" t="str">
        <f t="shared" ca="1" si="65"/>
        <v/>
      </c>
      <c r="AO150" s="20" t="b">
        <f t="shared" ca="1" si="40"/>
        <v>1</v>
      </c>
      <c r="AP150" s="20" t="b">
        <f t="shared" ca="1" si="41"/>
        <v>1</v>
      </c>
      <c r="AQ150" s="1046" t="str">
        <f t="shared" ca="1" si="42"/>
        <v/>
      </c>
      <c r="AR150" s="842" t="str">
        <f t="shared" ca="1" si="43"/>
        <v/>
      </c>
      <c r="AS150" s="1498" t="str">
        <f t="shared" ca="1" si="44"/>
        <v/>
      </c>
      <c r="AT150" s="508" t="b">
        <f ca="1">IF($C150&lt;&gt;"",IF(INDEX(SpecialModsTable,$A150,6)&lt;&gt;"",IF(NOT(ISERROR(FIND(Weapons!AS$76,INDEX(SpecialModsTable,$A150,6),1))),TRUE,FALSE),TRUE),FALSE)</f>
        <v>1</v>
      </c>
      <c r="AU150" s="508" t="str">
        <f t="shared" ca="1" si="45"/>
        <v/>
      </c>
      <c r="AV150" s="20" t="str">
        <f t="shared" ca="1" si="46"/>
        <v/>
      </c>
      <c r="AW150" s="20" t="str">
        <f t="shared" ca="1" si="47"/>
        <v/>
      </c>
      <c r="AX150" s="20" t="str">
        <f t="shared" ca="1" si="66"/>
        <v/>
      </c>
      <c r="AY150" s="20" t="b">
        <f t="shared" ca="1" si="49"/>
        <v>1</v>
      </c>
      <c r="AZ150" s="20" t="b">
        <f t="shared" ca="1" si="50"/>
        <v>1</v>
      </c>
      <c r="BA150" s="1046" t="str">
        <f t="shared" ca="1" si="51"/>
        <v/>
      </c>
      <c r="BB150" s="842" t="str">
        <f t="shared" ca="1" si="52"/>
        <v/>
      </c>
      <c r="BC150" s="1498" t="str">
        <f t="shared" ca="1" si="53"/>
        <v/>
      </c>
      <c r="BD150" s="508" t="b">
        <f ca="1">IF($C150&lt;&gt;"",IF(INDEX(SpecialModsTable,$A150,6)&lt;&gt;"",IF(NOT(ISERROR(FIND(Weapons!BC$76,INDEX(SpecialModsTable,$A150,6),1))),TRUE,FALSE),TRUE),FALSE)</f>
        <v>1</v>
      </c>
      <c r="BE150" s="508" t="str">
        <f t="shared" ca="1" si="54"/>
        <v/>
      </c>
      <c r="BF150" s="20" t="str">
        <f t="shared" ca="1" si="55"/>
        <v/>
      </c>
      <c r="BG150" s="20" t="str">
        <f t="shared" ca="1" si="56"/>
        <v/>
      </c>
      <c r="BH150" s="20" t="str">
        <f t="shared" ca="1" si="67"/>
        <v/>
      </c>
      <c r="BI150" s="20" t="b">
        <f t="shared" ca="1" si="58"/>
        <v>1</v>
      </c>
      <c r="BJ150" s="20" t="b">
        <f t="shared" ca="1" si="59"/>
        <v>1</v>
      </c>
      <c r="BK150" s="1046" t="str">
        <f t="shared" ca="1" si="60"/>
        <v/>
      </c>
    </row>
    <row r="151" spans="1:63" hidden="1">
      <c r="A151" s="1477">
        <f t="shared" si="61"/>
        <v>21</v>
      </c>
      <c r="B151" s="1477"/>
      <c r="C151" s="1477" t="str">
        <f t="shared" ca="1" si="6"/>
        <v>Point Blank Shot</v>
      </c>
      <c r="D151" s="842" t="str">
        <f t="shared" ca="1" si="7"/>
        <v/>
      </c>
      <c r="E151" s="1498" t="str">
        <f t="shared" ca="1" si="8"/>
        <v/>
      </c>
      <c r="F151" s="508" t="b">
        <f ca="1">IF($C151&lt;&gt;"",IF(INDEX(SpecialModsTable,$A151,6)&lt;&gt;"",IF(NOT(ISERROR(FIND(Weapons!E$76,INDEX(SpecialModsTable,$A151,6),1))),TRUE,FALSE),TRUE),FALSE)</f>
        <v>1</v>
      </c>
      <c r="G151" s="508" t="str">
        <f t="shared" ca="1" si="9"/>
        <v/>
      </c>
      <c r="H151" s="20" t="str">
        <f t="shared" ca="1" si="10"/>
        <v/>
      </c>
      <c r="I151" s="20" t="str">
        <f t="shared" ca="1" si="11"/>
        <v/>
      </c>
      <c r="J151" s="20" t="str">
        <f t="shared" ca="1" si="62"/>
        <v/>
      </c>
      <c r="K151" s="20" t="b">
        <f t="shared" ca="1" si="13"/>
        <v>1</v>
      </c>
      <c r="L151" s="20" t="b">
        <f t="shared" ca="1" si="14"/>
        <v>1</v>
      </c>
      <c r="M151" s="1046" t="str">
        <f t="shared" ca="1" si="15"/>
        <v/>
      </c>
      <c r="N151" s="842" t="str">
        <f t="shared" ca="1" si="16"/>
        <v/>
      </c>
      <c r="O151" s="1498" t="str">
        <f t="shared" ca="1" si="17"/>
        <v/>
      </c>
      <c r="P151" s="508" t="b">
        <f ca="1">IF($C151&lt;&gt;"",IF(INDEX(SpecialModsTable,$A151,6)&lt;&gt;"",IF(NOT(ISERROR(FIND(Weapons!O$76,INDEX(SpecialModsTable,$A151,6),1))),TRUE,FALSE),TRUE),FALSE)</f>
        <v>1</v>
      </c>
      <c r="Q151" s="508" t="str">
        <f t="shared" ca="1" si="18"/>
        <v/>
      </c>
      <c r="R151" s="20" t="str">
        <f t="shared" ca="1" si="19"/>
        <v/>
      </c>
      <c r="S151" s="20" t="str">
        <f t="shared" ca="1" si="20"/>
        <v/>
      </c>
      <c r="T151" s="20" t="str">
        <f t="shared" ca="1" si="63"/>
        <v/>
      </c>
      <c r="U151" s="20" t="b">
        <f t="shared" ca="1" si="22"/>
        <v>1</v>
      </c>
      <c r="V151" s="20" t="b">
        <f t="shared" ca="1" si="23"/>
        <v>1</v>
      </c>
      <c r="W151" s="1046" t="str">
        <f t="shared" ca="1" si="24"/>
        <v/>
      </c>
      <c r="X151" s="842" t="str">
        <f t="shared" ca="1" si="25"/>
        <v/>
      </c>
      <c r="Y151" s="1498" t="str">
        <f t="shared" ca="1" si="26"/>
        <v/>
      </c>
      <c r="Z151" s="508" t="b">
        <f ca="1">IF($C151&lt;&gt;"",IF(INDEX(SpecialModsTable,$A151,6)&lt;&gt;"",IF(NOT(ISERROR(FIND(Weapons!Y$76,INDEX(SpecialModsTable,$A151,6),1))),TRUE,FALSE),TRUE),FALSE)</f>
        <v>1</v>
      </c>
      <c r="AA151" s="508" t="str">
        <f t="shared" ca="1" si="27"/>
        <v/>
      </c>
      <c r="AB151" s="20" t="str">
        <f t="shared" ca="1" si="28"/>
        <v/>
      </c>
      <c r="AC151" s="20" t="str">
        <f t="shared" ca="1" si="29"/>
        <v/>
      </c>
      <c r="AD151" s="20" t="str">
        <f t="shared" ca="1" si="64"/>
        <v/>
      </c>
      <c r="AE151" s="20" t="b">
        <f t="shared" ca="1" si="31"/>
        <v>1</v>
      </c>
      <c r="AF151" s="20" t="b">
        <f t="shared" ca="1" si="32"/>
        <v>1</v>
      </c>
      <c r="AG151" s="1046" t="str">
        <f t="shared" ca="1" si="33"/>
        <v/>
      </c>
      <c r="AH151" s="842" t="str">
        <f t="shared" ca="1" si="34"/>
        <v/>
      </c>
      <c r="AI151" s="1498" t="str">
        <f t="shared" ca="1" si="35"/>
        <v/>
      </c>
      <c r="AJ151" s="508" t="b">
        <f ca="1">IF($C151&lt;&gt;"",IF(INDEX(SpecialModsTable,$A151,6)&lt;&gt;"",IF(NOT(ISERROR(FIND(Weapons!AI$76,INDEX(SpecialModsTable,$A151,6),1))),TRUE,FALSE),TRUE),FALSE)</f>
        <v>1</v>
      </c>
      <c r="AK151" s="508" t="str">
        <f t="shared" ca="1" si="36"/>
        <v/>
      </c>
      <c r="AL151" s="20" t="str">
        <f t="shared" ca="1" si="37"/>
        <v/>
      </c>
      <c r="AM151" s="20" t="str">
        <f t="shared" ca="1" si="38"/>
        <v/>
      </c>
      <c r="AN151" s="20" t="str">
        <f t="shared" ca="1" si="65"/>
        <v/>
      </c>
      <c r="AO151" s="20" t="b">
        <f t="shared" ca="1" si="40"/>
        <v>1</v>
      </c>
      <c r="AP151" s="20" t="b">
        <f t="shared" ca="1" si="41"/>
        <v>1</v>
      </c>
      <c r="AQ151" s="1046" t="str">
        <f t="shared" ca="1" si="42"/>
        <v/>
      </c>
      <c r="AR151" s="842" t="str">
        <f t="shared" ca="1" si="43"/>
        <v/>
      </c>
      <c r="AS151" s="1498" t="str">
        <f t="shared" ca="1" si="44"/>
        <v/>
      </c>
      <c r="AT151" s="508" t="b">
        <f ca="1">IF($C151&lt;&gt;"",IF(INDEX(SpecialModsTable,$A151,6)&lt;&gt;"",IF(NOT(ISERROR(FIND(Weapons!AS$76,INDEX(SpecialModsTable,$A151,6),1))),TRUE,FALSE),TRUE),FALSE)</f>
        <v>1</v>
      </c>
      <c r="AU151" s="508" t="str">
        <f t="shared" ca="1" si="45"/>
        <v/>
      </c>
      <c r="AV151" s="20" t="str">
        <f t="shared" ca="1" si="46"/>
        <v/>
      </c>
      <c r="AW151" s="20" t="str">
        <f t="shared" ca="1" si="47"/>
        <v/>
      </c>
      <c r="AX151" s="20" t="str">
        <f t="shared" ca="1" si="66"/>
        <v/>
      </c>
      <c r="AY151" s="20" t="b">
        <f t="shared" ca="1" si="49"/>
        <v>1</v>
      </c>
      <c r="AZ151" s="20" t="b">
        <f t="shared" ca="1" si="50"/>
        <v>1</v>
      </c>
      <c r="BA151" s="1046" t="str">
        <f t="shared" ca="1" si="51"/>
        <v/>
      </c>
      <c r="BB151" s="842" t="str">
        <f t="shared" ca="1" si="52"/>
        <v/>
      </c>
      <c r="BC151" s="1498" t="str">
        <f t="shared" ca="1" si="53"/>
        <v/>
      </c>
      <c r="BD151" s="508" t="b">
        <f ca="1">IF($C151&lt;&gt;"",IF(INDEX(SpecialModsTable,$A151,6)&lt;&gt;"",IF(NOT(ISERROR(FIND(Weapons!BC$76,INDEX(SpecialModsTable,$A151,6),1))),TRUE,FALSE),TRUE),FALSE)</f>
        <v>1</v>
      </c>
      <c r="BE151" s="508" t="str">
        <f t="shared" ca="1" si="54"/>
        <v/>
      </c>
      <c r="BF151" s="20" t="str">
        <f t="shared" ca="1" si="55"/>
        <v/>
      </c>
      <c r="BG151" s="20" t="str">
        <f t="shared" ca="1" si="56"/>
        <v/>
      </c>
      <c r="BH151" s="20" t="str">
        <f t="shared" ca="1" si="67"/>
        <v/>
      </c>
      <c r="BI151" s="20" t="b">
        <f t="shared" ca="1" si="58"/>
        <v>1</v>
      </c>
      <c r="BJ151" s="20" t="b">
        <f t="shared" ca="1" si="59"/>
        <v>1</v>
      </c>
      <c r="BK151" s="1046" t="str">
        <f t="shared" ca="1" si="60"/>
        <v/>
      </c>
    </row>
    <row r="152" spans="1:63" hidden="1">
      <c r="A152" s="1477">
        <f t="shared" si="61"/>
        <v>22</v>
      </c>
      <c r="B152" s="1477"/>
      <c r="C152" s="1477" t="str">
        <f t="shared" ca="1" si="6"/>
        <v>Power Attack (-1)</v>
      </c>
      <c r="D152" s="842" t="str">
        <f t="shared" ca="1" si="7"/>
        <v/>
      </c>
      <c r="E152" s="1498" t="str">
        <f t="shared" ca="1" si="8"/>
        <v/>
      </c>
      <c r="F152" s="508" t="b">
        <f ca="1">IF($C152&lt;&gt;"",IF(INDEX(SpecialModsTable,$A152,6)&lt;&gt;"",IF(NOT(ISERROR(FIND(Weapons!E$76,INDEX(SpecialModsTable,$A152,6),1))),TRUE,FALSE),TRUE),FALSE)</f>
        <v>0</v>
      </c>
      <c r="G152" s="508" t="str">
        <f t="shared" ca="1" si="9"/>
        <v/>
      </c>
      <c r="H152" s="20" t="str">
        <f t="shared" ca="1" si="10"/>
        <v/>
      </c>
      <c r="I152" s="20" t="str">
        <f t="shared" ca="1" si="11"/>
        <v/>
      </c>
      <c r="J152" s="20" t="str">
        <f t="shared" ca="1" si="62"/>
        <v/>
      </c>
      <c r="K152" s="20" t="b">
        <f t="shared" ca="1" si="13"/>
        <v>1</v>
      </c>
      <c r="L152" s="20" t="b">
        <f t="shared" ca="1" si="14"/>
        <v>1</v>
      </c>
      <c r="M152" s="1046" t="str">
        <f t="shared" ca="1" si="15"/>
        <v/>
      </c>
      <c r="N152" s="842" t="str">
        <f t="shared" ca="1" si="16"/>
        <v/>
      </c>
      <c r="O152" s="1498" t="str">
        <f t="shared" ca="1" si="17"/>
        <v/>
      </c>
      <c r="P152" s="508" t="b">
        <f ca="1">IF($C152&lt;&gt;"",IF(INDEX(SpecialModsTable,$A152,6)&lt;&gt;"",IF(NOT(ISERROR(FIND(Weapons!O$76,INDEX(SpecialModsTable,$A152,6),1))),TRUE,FALSE),TRUE),FALSE)</f>
        <v>0</v>
      </c>
      <c r="Q152" s="508" t="str">
        <f t="shared" ca="1" si="18"/>
        <v/>
      </c>
      <c r="R152" s="20" t="str">
        <f t="shared" ca="1" si="19"/>
        <v/>
      </c>
      <c r="S152" s="20" t="str">
        <f t="shared" ca="1" si="20"/>
        <v/>
      </c>
      <c r="T152" s="20" t="str">
        <f t="shared" ca="1" si="63"/>
        <v/>
      </c>
      <c r="U152" s="20" t="b">
        <f t="shared" ca="1" si="22"/>
        <v>1</v>
      </c>
      <c r="V152" s="20" t="b">
        <f t="shared" ca="1" si="23"/>
        <v>1</v>
      </c>
      <c r="W152" s="1046" t="str">
        <f t="shared" ca="1" si="24"/>
        <v/>
      </c>
      <c r="X152" s="842" t="str">
        <f t="shared" ca="1" si="25"/>
        <v/>
      </c>
      <c r="Y152" s="1498" t="str">
        <f t="shared" ca="1" si="26"/>
        <v/>
      </c>
      <c r="Z152" s="508" t="b">
        <f ca="1">IF($C152&lt;&gt;"",IF(INDEX(SpecialModsTable,$A152,6)&lt;&gt;"",IF(NOT(ISERROR(FIND(Weapons!Y$76,INDEX(SpecialModsTable,$A152,6),1))),TRUE,FALSE),TRUE),FALSE)</f>
        <v>0</v>
      </c>
      <c r="AA152" s="508" t="str">
        <f t="shared" ca="1" si="27"/>
        <v/>
      </c>
      <c r="AB152" s="20" t="str">
        <f t="shared" ca="1" si="28"/>
        <v/>
      </c>
      <c r="AC152" s="20" t="str">
        <f t="shared" ca="1" si="29"/>
        <v/>
      </c>
      <c r="AD152" s="20" t="str">
        <f t="shared" ca="1" si="64"/>
        <v/>
      </c>
      <c r="AE152" s="20" t="b">
        <f t="shared" ca="1" si="31"/>
        <v>1</v>
      </c>
      <c r="AF152" s="20" t="b">
        <f t="shared" ca="1" si="32"/>
        <v>1</v>
      </c>
      <c r="AG152" s="1046" t="str">
        <f t="shared" ca="1" si="33"/>
        <v/>
      </c>
      <c r="AH152" s="842" t="str">
        <f t="shared" ca="1" si="34"/>
        <v/>
      </c>
      <c r="AI152" s="1498" t="str">
        <f t="shared" ca="1" si="35"/>
        <v/>
      </c>
      <c r="AJ152" s="508" t="b">
        <f ca="1">IF($C152&lt;&gt;"",IF(INDEX(SpecialModsTable,$A152,6)&lt;&gt;"",IF(NOT(ISERROR(FIND(Weapons!AI$76,INDEX(SpecialModsTable,$A152,6),1))),TRUE,FALSE),TRUE),FALSE)</f>
        <v>0</v>
      </c>
      <c r="AK152" s="508" t="str">
        <f t="shared" ca="1" si="36"/>
        <v/>
      </c>
      <c r="AL152" s="20" t="str">
        <f t="shared" ca="1" si="37"/>
        <v/>
      </c>
      <c r="AM152" s="20" t="str">
        <f t="shared" ca="1" si="38"/>
        <v/>
      </c>
      <c r="AN152" s="20" t="str">
        <f t="shared" ca="1" si="65"/>
        <v/>
      </c>
      <c r="AO152" s="20" t="b">
        <f t="shared" ca="1" si="40"/>
        <v>1</v>
      </c>
      <c r="AP152" s="20" t="b">
        <f t="shared" ca="1" si="41"/>
        <v>1</v>
      </c>
      <c r="AQ152" s="1046" t="str">
        <f t="shared" ca="1" si="42"/>
        <v/>
      </c>
      <c r="AR152" s="842" t="str">
        <f t="shared" ca="1" si="43"/>
        <v/>
      </c>
      <c r="AS152" s="1498" t="str">
        <f t="shared" ca="1" si="44"/>
        <v/>
      </c>
      <c r="AT152" s="508" t="b">
        <f ca="1">IF($C152&lt;&gt;"",IF(INDEX(SpecialModsTable,$A152,6)&lt;&gt;"",IF(NOT(ISERROR(FIND(Weapons!AS$76,INDEX(SpecialModsTable,$A152,6),1))),TRUE,FALSE),TRUE),FALSE)</f>
        <v>0</v>
      </c>
      <c r="AU152" s="508" t="str">
        <f t="shared" ca="1" si="45"/>
        <v/>
      </c>
      <c r="AV152" s="20" t="str">
        <f t="shared" ca="1" si="46"/>
        <v/>
      </c>
      <c r="AW152" s="20" t="str">
        <f t="shared" ca="1" si="47"/>
        <v/>
      </c>
      <c r="AX152" s="20" t="str">
        <f t="shared" ca="1" si="66"/>
        <v/>
      </c>
      <c r="AY152" s="20" t="b">
        <f t="shared" ca="1" si="49"/>
        <v>1</v>
      </c>
      <c r="AZ152" s="20" t="b">
        <f t="shared" ca="1" si="50"/>
        <v>1</v>
      </c>
      <c r="BA152" s="1046" t="str">
        <f t="shared" ca="1" si="51"/>
        <v/>
      </c>
      <c r="BB152" s="842" t="str">
        <f t="shared" ca="1" si="52"/>
        <v/>
      </c>
      <c r="BC152" s="1498" t="str">
        <f t="shared" ca="1" si="53"/>
        <v/>
      </c>
      <c r="BD152" s="508" t="b">
        <f ca="1">IF($C152&lt;&gt;"",IF(INDEX(SpecialModsTable,$A152,6)&lt;&gt;"",IF(NOT(ISERROR(FIND(Weapons!BC$76,INDEX(SpecialModsTable,$A152,6),1))),TRUE,FALSE),TRUE),FALSE)</f>
        <v>0</v>
      </c>
      <c r="BE152" s="508" t="str">
        <f t="shared" ca="1" si="54"/>
        <v/>
      </c>
      <c r="BF152" s="20" t="str">
        <f t="shared" ca="1" si="55"/>
        <v/>
      </c>
      <c r="BG152" s="20" t="str">
        <f t="shared" ca="1" si="56"/>
        <v/>
      </c>
      <c r="BH152" s="20" t="str">
        <f t="shared" ca="1" si="67"/>
        <v/>
      </c>
      <c r="BI152" s="20" t="b">
        <f t="shared" ca="1" si="58"/>
        <v>1</v>
      </c>
      <c r="BJ152" s="20" t="b">
        <f t="shared" ca="1" si="59"/>
        <v>1</v>
      </c>
      <c r="BK152" s="1046" t="str">
        <f t="shared" ca="1" si="60"/>
        <v/>
      </c>
    </row>
    <row r="153" spans="1:63" hidden="1">
      <c r="A153" s="1477">
        <f t="shared" si="61"/>
        <v>23</v>
      </c>
      <c r="B153" s="1477"/>
      <c r="C153" s="1477" t="str">
        <f t="shared" ca="1" si="6"/>
        <v>Power Attack (-10)</v>
      </c>
      <c r="D153" s="842" t="str">
        <f t="shared" ca="1" si="7"/>
        <v/>
      </c>
      <c r="E153" s="1498" t="str">
        <f t="shared" ca="1" si="8"/>
        <v/>
      </c>
      <c r="F153" s="508" t="b">
        <f ca="1">IF($C153&lt;&gt;"",IF(INDEX(SpecialModsTable,$A153,6)&lt;&gt;"",IF(NOT(ISERROR(FIND(Weapons!E$76,INDEX(SpecialModsTable,$A153,6),1))),TRUE,FALSE),TRUE),FALSE)</f>
        <v>0</v>
      </c>
      <c r="G153" s="508" t="str">
        <f t="shared" ca="1" si="9"/>
        <v/>
      </c>
      <c r="H153" s="20" t="str">
        <f t="shared" ca="1" si="10"/>
        <v/>
      </c>
      <c r="I153" s="20" t="str">
        <f t="shared" ca="1" si="11"/>
        <v/>
      </c>
      <c r="J153" s="20" t="str">
        <f t="shared" ca="1" si="62"/>
        <v/>
      </c>
      <c r="K153" s="20" t="b">
        <f t="shared" ca="1" si="13"/>
        <v>1</v>
      </c>
      <c r="L153" s="20" t="b">
        <f t="shared" ca="1" si="14"/>
        <v>1</v>
      </c>
      <c r="M153" s="1046" t="str">
        <f t="shared" ca="1" si="15"/>
        <v/>
      </c>
      <c r="N153" s="842" t="str">
        <f t="shared" ca="1" si="16"/>
        <v/>
      </c>
      <c r="O153" s="1498" t="str">
        <f t="shared" ca="1" si="17"/>
        <v/>
      </c>
      <c r="P153" s="508" t="b">
        <f ca="1">IF($C153&lt;&gt;"",IF(INDEX(SpecialModsTable,$A153,6)&lt;&gt;"",IF(NOT(ISERROR(FIND(Weapons!O$76,INDEX(SpecialModsTable,$A153,6),1))),TRUE,FALSE),TRUE),FALSE)</f>
        <v>0</v>
      </c>
      <c r="Q153" s="508" t="str">
        <f t="shared" ca="1" si="18"/>
        <v/>
      </c>
      <c r="R153" s="20" t="str">
        <f t="shared" ca="1" si="19"/>
        <v/>
      </c>
      <c r="S153" s="20" t="str">
        <f t="shared" ca="1" si="20"/>
        <v/>
      </c>
      <c r="T153" s="20" t="str">
        <f t="shared" ca="1" si="63"/>
        <v/>
      </c>
      <c r="U153" s="20" t="b">
        <f t="shared" ca="1" si="22"/>
        <v>1</v>
      </c>
      <c r="V153" s="20" t="b">
        <f t="shared" ca="1" si="23"/>
        <v>1</v>
      </c>
      <c r="W153" s="1046" t="str">
        <f t="shared" ca="1" si="24"/>
        <v/>
      </c>
      <c r="X153" s="842" t="str">
        <f t="shared" ca="1" si="25"/>
        <v/>
      </c>
      <c r="Y153" s="1498" t="str">
        <f t="shared" ca="1" si="26"/>
        <v/>
      </c>
      <c r="Z153" s="508" t="b">
        <f ca="1">IF($C153&lt;&gt;"",IF(INDEX(SpecialModsTable,$A153,6)&lt;&gt;"",IF(NOT(ISERROR(FIND(Weapons!Y$76,INDEX(SpecialModsTable,$A153,6),1))),TRUE,FALSE),TRUE),FALSE)</f>
        <v>0</v>
      </c>
      <c r="AA153" s="508" t="str">
        <f t="shared" ca="1" si="27"/>
        <v/>
      </c>
      <c r="AB153" s="20" t="str">
        <f t="shared" ca="1" si="28"/>
        <v/>
      </c>
      <c r="AC153" s="20" t="str">
        <f t="shared" ca="1" si="29"/>
        <v/>
      </c>
      <c r="AD153" s="20" t="str">
        <f t="shared" ca="1" si="64"/>
        <v/>
      </c>
      <c r="AE153" s="20" t="b">
        <f t="shared" ca="1" si="31"/>
        <v>1</v>
      </c>
      <c r="AF153" s="20" t="b">
        <f t="shared" ca="1" si="32"/>
        <v>1</v>
      </c>
      <c r="AG153" s="1046" t="str">
        <f t="shared" ca="1" si="33"/>
        <v/>
      </c>
      <c r="AH153" s="842" t="str">
        <f t="shared" ca="1" si="34"/>
        <v/>
      </c>
      <c r="AI153" s="1498" t="str">
        <f t="shared" ca="1" si="35"/>
        <v/>
      </c>
      <c r="AJ153" s="508" t="b">
        <f ca="1">IF($C153&lt;&gt;"",IF(INDEX(SpecialModsTable,$A153,6)&lt;&gt;"",IF(NOT(ISERROR(FIND(Weapons!AI$76,INDEX(SpecialModsTable,$A153,6),1))),TRUE,FALSE),TRUE),FALSE)</f>
        <v>0</v>
      </c>
      <c r="AK153" s="508" t="str">
        <f t="shared" ca="1" si="36"/>
        <v/>
      </c>
      <c r="AL153" s="20" t="str">
        <f t="shared" ca="1" si="37"/>
        <v/>
      </c>
      <c r="AM153" s="20" t="str">
        <f t="shared" ca="1" si="38"/>
        <v/>
      </c>
      <c r="AN153" s="20" t="str">
        <f t="shared" ca="1" si="65"/>
        <v/>
      </c>
      <c r="AO153" s="20" t="b">
        <f t="shared" ca="1" si="40"/>
        <v>1</v>
      </c>
      <c r="AP153" s="20" t="b">
        <f t="shared" ca="1" si="41"/>
        <v>1</v>
      </c>
      <c r="AQ153" s="1046" t="str">
        <f t="shared" ca="1" si="42"/>
        <v/>
      </c>
      <c r="AR153" s="842" t="str">
        <f t="shared" ca="1" si="43"/>
        <v/>
      </c>
      <c r="AS153" s="1498" t="str">
        <f t="shared" ca="1" si="44"/>
        <v/>
      </c>
      <c r="AT153" s="508" t="b">
        <f ca="1">IF($C153&lt;&gt;"",IF(INDEX(SpecialModsTable,$A153,6)&lt;&gt;"",IF(NOT(ISERROR(FIND(Weapons!AS$76,INDEX(SpecialModsTable,$A153,6),1))),TRUE,FALSE),TRUE),FALSE)</f>
        <v>0</v>
      </c>
      <c r="AU153" s="508" t="str">
        <f t="shared" ca="1" si="45"/>
        <v/>
      </c>
      <c r="AV153" s="20" t="str">
        <f t="shared" ca="1" si="46"/>
        <v/>
      </c>
      <c r="AW153" s="20" t="str">
        <f t="shared" ca="1" si="47"/>
        <v/>
      </c>
      <c r="AX153" s="20" t="str">
        <f t="shared" ca="1" si="66"/>
        <v/>
      </c>
      <c r="AY153" s="20" t="b">
        <f t="shared" ca="1" si="49"/>
        <v>1</v>
      </c>
      <c r="AZ153" s="20" t="b">
        <f t="shared" ca="1" si="50"/>
        <v>1</v>
      </c>
      <c r="BA153" s="1046" t="str">
        <f t="shared" ca="1" si="51"/>
        <v/>
      </c>
      <c r="BB153" s="842" t="str">
        <f t="shared" ca="1" si="52"/>
        <v/>
      </c>
      <c r="BC153" s="1498" t="str">
        <f t="shared" ca="1" si="53"/>
        <v/>
      </c>
      <c r="BD153" s="508" t="b">
        <f ca="1">IF($C153&lt;&gt;"",IF(INDEX(SpecialModsTable,$A153,6)&lt;&gt;"",IF(NOT(ISERROR(FIND(Weapons!BC$76,INDEX(SpecialModsTable,$A153,6),1))),TRUE,FALSE),TRUE),FALSE)</f>
        <v>0</v>
      </c>
      <c r="BE153" s="508" t="str">
        <f t="shared" ca="1" si="54"/>
        <v/>
      </c>
      <c r="BF153" s="20" t="str">
        <f t="shared" ca="1" si="55"/>
        <v/>
      </c>
      <c r="BG153" s="20" t="str">
        <f t="shared" ca="1" si="56"/>
        <v/>
      </c>
      <c r="BH153" s="20" t="str">
        <f t="shared" ca="1" si="67"/>
        <v/>
      </c>
      <c r="BI153" s="20" t="b">
        <f t="shared" ca="1" si="58"/>
        <v>1</v>
      </c>
      <c r="BJ153" s="20" t="b">
        <f t="shared" ca="1" si="59"/>
        <v>1</v>
      </c>
      <c r="BK153" s="1046" t="str">
        <f t="shared" ca="1" si="60"/>
        <v/>
      </c>
    </row>
    <row r="154" spans="1:63" hidden="1">
      <c r="A154" s="1477">
        <f t="shared" si="61"/>
        <v>24</v>
      </c>
      <c r="B154" s="1477"/>
      <c r="C154" s="1477" t="str">
        <f t="shared" ca="1" si="6"/>
        <v>Power Attack (-11)</v>
      </c>
      <c r="D154" s="842" t="str">
        <f t="shared" ca="1" si="7"/>
        <v/>
      </c>
      <c r="E154" s="1498" t="str">
        <f t="shared" ca="1" si="8"/>
        <v/>
      </c>
      <c r="F154" s="508" t="b">
        <f ca="1">IF($C154&lt;&gt;"",IF(INDEX(SpecialModsTable,$A154,6)&lt;&gt;"",IF(NOT(ISERROR(FIND(Weapons!E$76,INDEX(SpecialModsTable,$A154,6),1))),TRUE,FALSE),TRUE),FALSE)</f>
        <v>0</v>
      </c>
      <c r="G154" s="508" t="str">
        <f t="shared" ca="1" si="9"/>
        <v/>
      </c>
      <c r="H154" s="20" t="str">
        <f t="shared" ca="1" si="10"/>
        <v/>
      </c>
      <c r="I154" s="20" t="str">
        <f t="shared" ca="1" si="11"/>
        <v/>
      </c>
      <c r="J154" s="20" t="str">
        <f t="shared" ca="1" si="62"/>
        <v/>
      </c>
      <c r="K154" s="20" t="b">
        <f t="shared" ca="1" si="13"/>
        <v>1</v>
      </c>
      <c r="L154" s="20" t="b">
        <f t="shared" ca="1" si="14"/>
        <v>1</v>
      </c>
      <c r="M154" s="1046" t="str">
        <f t="shared" ca="1" si="15"/>
        <v/>
      </c>
      <c r="N154" s="842" t="str">
        <f t="shared" ca="1" si="16"/>
        <v/>
      </c>
      <c r="O154" s="1498" t="str">
        <f t="shared" ca="1" si="17"/>
        <v/>
      </c>
      <c r="P154" s="508" t="b">
        <f ca="1">IF($C154&lt;&gt;"",IF(INDEX(SpecialModsTable,$A154,6)&lt;&gt;"",IF(NOT(ISERROR(FIND(Weapons!O$76,INDEX(SpecialModsTable,$A154,6),1))),TRUE,FALSE),TRUE),FALSE)</f>
        <v>0</v>
      </c>
      <c r="Q154" s="508" t="str">
        <f t="shared" ca="1" si="18"/>
        <v/>
      </c>
      <c r="R154" s="20" t="str">
        <f t="shared" ca="1" si="19"/>
        <v/>
      </c>
      <c r="S154" s="20" t="str">
        <f t="shared" ca="1" si="20"/>
        <v/>
      </c>
      <c r="T154" s="20" t="str">
        <f t="shared" ca="1" si="63"/>
        <v/>
      </c>
      <c r="U154" s="20" t="b">
        <f t="shared" ca="1" si="22"/>
        <v>1</v>
      </c>
      <c r="V154" s="20" t="b">
        <f t="shared" ca="1" si="23"/>
        <v>1</v>
      </c>
      <c r="W154" s="1046" t="str">
        <f t="shared" ca="1" si="24"/>
        <v/>
      </c>
      <c r="X154" s="842" t="str">
        <f t="shared" ca="1" si="25"/>
        <v/>
      </c>
      <c r="Y154" s="1498" t="str">
        <f t="shared" ca="1" si="26"/>
        <v/>
      </c>
      <c r="Z154" s="508" t="b">
        <f ca="1">IF($C154&lt;&gt;"",IF(INDEX(SpecialModsTable,$A154,6)&lt;&gt;"",IF(NOT(ISERROR(FIND(Weapons!Y$76,INDEX(SpecialModsTable,$A154,6),1))),TRUE,FALSE),TRUE),FALSE)</f>
        <v>0</v>
      </c>
      <c r="AA154" s="508" t="str">
        <f t="shared" ca="1" si="27"/>
        <v/>
      </c>
      <c r="AB154" s="20" t="str">
        <f t="shared" ca="1" si="28"/>
        <v/>
      </c>
      <c r="AC154" s="20" t="str">
        <f t="shared" ca="1" si="29"/>
        <v/>
      </c>
      <c r="AD154" s="20" t="str">
        <f t="shared" ca="1" si="64"/>
        <v/>
      </c>
      <c r="AE154" s="20" t="b">
        <f t="shared" ca="1" si="31"/>
        <v>1</v>
      </c>
      <c r="AF154" s="20" t="b">
        <f t="shared" ca="1" si="32"/>
        <v>1</v>
      </c>
      <c r="AG154" s="1046" t="str">
        <f t="shared" ca="1" si="33"/>
        <v/>
      </c>
      <c r="AH154" s="842" t="str">
        <f t="shared" ca="1" si="34"/>
        <v/>
      </c>
      <c r="AI154" s="1498" t="str">
        <f t="shared" ca="1" si="35"/>
        <v/>
      </c>
      <c r="AJ154" s="508" t="b">
        <f ca="1">IF($C154&lt;&gt;"",IF(INDEX(SpecialModsTable,$A154,6)&lt;&gt;"",IF(NOT(ISERROR(FIND(Weapons!AI$76,INDEX(SpecialModsTable,$A154,6),1))),TRUE,FALSE),TRUE),FALSE)</f>
        <v>0</v>
      </c>
      <c r="AK154" s="508" t="str">
        <f t="shared" ca="1" si="36"/>
        <v/>
      </c>
      <c r="AL154" s="20" t="str">
        <f t="shared" ca="1" si="37"/>
        <v/>
      </c>
      <c r="AM154" s="20" t="str">
        <f t="shared" ca="1" si="38"/>
        <v/>
      </c>
      <c r="AN154" s="20" t="str">
        <f t="shared" ca="1" si="65"/>
        <v/>
      </c>
      <c r="AO154" s="20" t="b">
        <f t="shared" ca="1" si="40"/>
        <v>1</v>
      </c>
      <c r="AP154" s="20" t="b">
        <f t="shared" ca="1" si="41"/>
        <v>1</v>
      </c>
      <c r="AQ154" s="1046" t="str">
        <f t="shared" ca="1" si="42"/>
        <v/>
      </c>
      <c r="AR154" s="842" t="str">
        <f t="shared" ca="1" si="43"/>
        <v/>
      </c>
      <c r="AS154" s="1498" t="str">
        <f t="shared" ca="1" si="44"/>
        <v/>
      </c>
      <c r="AT154" s="508" t="b">
        <f ca="1">IF($C154&lt;&gt;"",IF(INDEX(SpecialModsTable,$A154,6)&lt;&gt;"",IF(NOT(ISERROR(FIND(Weapons!AS$76,INDEX(SpecialModsTable,$A154,6),1))),TRUE,FALSE),TRUE),FALSE)</f>
        <v>0</v>
      </c>
      <c r="AU154" s="508" t="str">
        <f t="shared" ca="1" si="45"/>
        <v/>
      </c>
      <c r="AV154" s="20" t="str">
        <f t="shared" ca="1" si="46"/>
        <v/>
      </c>
      <c r="AW154" s="20" t="str">
        <f t="shared" ca="1" si="47"/>
        <v/>
      </c>
      <c r="AX154" s="20" t="str">
        <f t="shared" ca="1" si="66"/>
        <v/>
      </c>
      <c r="AY154" s="20" t="b">
        <f t="shared" ca="1" si="49"/>
        <v>1</v>
      </c>
      <c r="AZ154" s="20" t="b">
        <f t="shared" ca="1" si="50"/>
        <v>1</v>
      </c>
      <c r="BA154" s="1046" t="str">
        <f t="shared" ca="1" si="51"/>
        <v/>
      </c>
      <c r="BB154" s="842" t="str">
        <f t="shared" ca="1" si="52"/>
        <v/>
      </c>
      <c r="BC154" s="1498" t="str">
        <f t="shared" ca="1" si="53"/>
        <v/>
      </c>
      <c r="BD154" s="508" t="b">
        <f ca="1">IF($C154&lt;&gt;"",IF(INDEX(SpecialModsTable,$A154,6)&lt;&gt;"",IF(NOT(ISERROR(FIND(Weapons!BC$76,INDEX(SpecialModsTable,$A154,6),1))),TRUE,FALSE),TRUE),FALSE)</f>
        <v>0</v>
      </c>
      <c r="BE154" s="508" t="str">
        <f t="shared" ca="1" si="54"/>
        <v/>
      </c>
      <c r="BF154" s="20" t="str">
        <f t="shared" ca="1" si="55"/>
        <v/>
      </c>
      <c r="BG154" s="20" t="str">
        <f t="shared" ca="1" si="56"/>
        <v/>
      </c>
      <c r="BH154" s="20" t="str">
        <f t="shared" ca="1" si="67"/>
        <v/>
      </c>
      <c r="BI154" s="20" t="b">
        <f t="shared" ca="1" si="58"/>
        <v>1</v>
      </c>
      <c r="BJ154" s="20" t="b">
        <f t="shared" ca="1" si="59"/>
        <v>1</v>
      </c>
      <c r="BK154" s="1046" t="str">
        <f t="shared" ca="1" si="60"/>
        <v/>
      </c>
    </row>
    <row r="155" spans="1:63" hidden="1">
      <c r="A155" s="1477">
        <f t="shared" si="61"/>
        <v>25</v>
      </c>
      <c r="B155" s="1477"/>
      <c r="C155" s="1477" t="str">
        <f t="shared" ca="1" si="6"/>
        <v>Power Attack (-12)</v>
      </c>
      <c r="D155" s="842" t="str">
        <f t="shared" ca="1" si="7"/>
        <v/>
      </c>
      <c r="E155" s="1498" t="str">
        <f t="shared" ca="1" si="8"/>
        <v/>
      </c>
      <c r="F155" s="508" t="b">
        <f ca="1">IF($C155&lt;&gt;"",IF(INDEX(SpecialModsTable,$A155,6)&lt;&gt;"",IF(NOT(ISERROR(FIND(Weapons!E$76,INDEX(SpecialModsTable,$A155,6),1))),TRUE,FALSE),TRUE),FALSE)</f>
        <v>0</v>
      </c>
      <c r="G155" s="508" t="str">
        <f t="shared" ca="1" si="9"/>
        <v/>
      </c>
      <c r="H155" s="20" t="str">
        <f t="shared" ca="1" si="10"/>
        <v/>
      </c>
      <c r="I155" s="20" t="str">
        <f t="shared" ca="1" si="11"/>
        <v/>
      </c>
      <c r="J155" s="20" t="str">
        <f t="shared" ca="1" si="62"/>
        <v/>
      </c>
      <c r="K155" s="20" t="b">
        <f t="shared" ca="1" si="13"/>
        <v>1</v>
      </c>
      <c r="L155" s="20" t="b">
        <f t="shared" ca="1" si="14"/>
        <v>1</v>
      </c>
      <c r="M155" s="1046" t="str">
        <f t="shared" ca="1" si="15"/>
        <v/>
      </c>
      <c r="N155" s="842" t="str">
        <f t="shared" ca="1" si="16"/>
        <v/>
      </c>
      <c r="O155" s="1498" t="str">
        <f t="shared" ca="1" si="17"/>
        <v/>
      </c>
      <c r="P155" s="508" t="b">
        <f ca="1">IF($C155&lt;&gt;"",IF(INDEX(SpecialModsTable,$A155,6)&lt;&gt;"",IF(NOT(ISERROR(FIND(Weapons!O$76,INDEX(SpecialModsTable,$A155,6),1))),TRUE,FALSE),TRUE),FALSE)</f>
        <v>0</v>
      </c>
      <c r="Q155" s="508" t="str">
        <f t="shared" ca="1" si="18"/>
        <v/>
      </c>
      <c r="R155" s="20" t="str">
        <f t="shared" ca="1" si="19"/>
        <v/>
      </c>
      <c r="S155" s="20" t="str">
        <f t="shared" ca="1" si="20"/>
        <v/>
      </c>
      <c r="T155" s="20" t="str">
        <f t="shared" ca="1" si="63"/>
        <v/>
      </c>
      <c r="U155" s="20" t="b">
        <f t="shared" ca="1" si="22"/>
        <v>1</v>
      </c>
      <c r="V155" s="20" t="b">
        <f t="shared" ca="1" si="23"/>
        <v>1</v>
      </c>
      <c r="W155" s="1046" t="str">
        <f t="shared" ca="1" si="24"/>
        <v/>
      </c>
      <c r="X155" s="842" t="str">
        <f t="shared" ca="1" si="25"/>
        <v/>
      </c>
      <c r="Y155" s="1498" t="str">
        <f t="shared" ca="1" si="26"/>
        <v/>
      </c>
      <c r="Z155" s="508" t="b">
        <f ca="1">IF($C155&lt;&gt;"",IF(INDEX(SpecialModsTable,$A155,6)&lt;&gt;"",IF(NOT(ISERROR(FIND(Weapons!Y$76,INDEX(SpecialModsTable,$A155,6),1))),TRUE,FALSE),TRUE),FALSE)</f>
        <v>0</v>
      </c>
      <c r="AA155" s="508" t="str">
        <f t="shared" ca="1" si="27"/>
        <v/>
      </c>
      <c r="AB155" s="20" t="str">
        <f t="shared" ca="1" si="28"/>
        <v/>
      </c>
      <c r="AC155" s="20" t="str">
        <f t="shared" ca="1" si="29"/>
        <v/>
      </c>
      <c r="AD155" s="20" t="str">
        <f t="shared" ca="1" si="64"/>
        <v/>
      </c>
      <c r="AE155" s="20" t="b">
        <f t="shared" ca="1" si="31"/>
        <v>1</v>
      </c>
      <c r="AF155" s="20" t="b">
        <f t="shared" ca="1" si="32"/>
        <v>1</v>
      </c>
      <c r="AG155" s="1046" t="str">
        <f t="shared" ca="1" si="33"/>
        <v/>
      </c>
      <c r="AH155" s="842" t="str">
        <f t="shared" ca="1" si="34"/>
        <v/>
      </c>
      <c r="AI155" s="1498" t="str">
        <f t="shared" ca="1" si="35"/>
        <v/>
      </c>
      <c r="AJ155" s="508" t="b">
        <f ca="1">IF($C155&lt;&gt;"",IF(INDEX(SpecialModsTable,$A155,6)&lt;&gt;"",IF(NOT(ISERROR(FIND(Weapons!AI$76,INDEX(SpecialModsTable,$A155,6),1))),TRUE,FALSE),TRUE),FALSE)</f>
        <v>0</v>
      </c>
      <c r="AK155" s="508" t="str">
        <f t="shared" ca="1" si="36"/>
        <v/>
      </c>
      <c r="AL155" s="20" t="str">
        <f t="shared" ca="1" si="37"/>
        <v/>
      </c>
      <c r="AM155" s="20" t="str">
        <f t="shared" ca="1" si="38"/>
        <v/>
      </c>
      <c r="AN155" s="20" t="str">
        <f t="shared" ca="1" si="65"/>
        <v/>
      </c>
      <c r="AO155" s="20" t="b">
        <f t="shared" ca="1" si="40"/>
        <v>1</v>
      </c>
      <c r="AP155" s="20" t="b">
        <f t="shared" ca="1" si="41"/>
        <v>1</v>
      </c>
      <c r="AQ155" s="1046" t="str">
        <f t="shared" ca="1" si="42"/>
        <v/>
      </c>
      <c r="AR155" s="842" t="str">
        <f t="shared" ca="1" si="43"/>
        <v/>
      </c>
      <c r="AS155" s="1498" t="str">
        <f t="shared" ca="1" si="44"/>
        <v/>
      </c>
      <c r="AT155" s="508" t="b">
        <f ca="1">IF($C155&lt;&gt;"",IF(INDEX(SpecialModsTable,$A155,6)&lt;&gt;"",IF(NOT(ISERROR(FIND(Weapons!AS$76,INDEX(SpecialModsTable,$A155,6),1))),TRUE,FALSE),TRUE),FALSE)</f>
        <v>0</v>
      </c>
      <c r="AU155" s="508" t="str">
        <f t="shared" ca="1" si="45"/>
        <v/>
      </c>
      <c r="AV155" s="20" t="str">
        <f t="shared" ca="1" si="46"/>
        <v/>
      </c>
      <c r="AW155" s="20" t="str">
        <f t="shared" ca="1" si="47"/>
        <v/>
      </c>
      <c r="AX155" s="20" t="str">
        <f t="shared" ca="1" si="66"/>
        <v/>
      </c>
      <c r="AY155" s="20" t="b">
        <f t="shared" ca="1" si="49"/>
        <v>1</v>
      </c>
      <c r="AZ155" s="20" t="b">
        <f t="shared" ca="1" si="50"/>
        <v>1</v>
      </c>
      <c r="BA155" s="1046" t="str">
        <f t="shared" ca="1" si="51"/>
        <v/>
      </c>
      <c r="BB155" s="842" t="str">
        <f t="shared" ca="1" si="52"/>
        <v/>
      </c>
      <c r="BC155" s="1498" t="str">
        <f t="shared" ca="1" si="53"/>
        <v/>
      </c>
      <c r="BD155" s="508" t="b">
        <f ca="1">IF($C155&lt;&gt;"",IF(INDEX(SpecialModsTable,$A155,6)&lt;&gt;"",IF(NOT(ISERROR(FIND(Weapons!BC$76,INDEX(SpecialModsTable,$A155,6),1))),TRUE,FALSE),TRUE),FALSE)</f>
        <v>0</v>
      </c>
      <c r="BE155" s="508" t="str">
        <f t="shared" ca="1" si="54"/>
        <v/>
      </c>
      <c r="BF155" s="20" t="str">
        <f t="shared" ca="1" si="55"/>
        <v/>
      </c>
      <c r="BG155" s="20" t="str">
        <f t="shared" ca="1" si="56"/>
        <v/>
      </c>
      <c r="BH155" s="20" t="str">
        <f t="shared" ca="1" si="67"/>
        <v/>
      </c>
      <c r="BI155" s="20" t="b">
        <f t="shared" ca="1" si="58"/>
        <v>1</v>
      </c>
      <c r="BJ155" s="20" t="b">
        <f t="shared" ca="1" si="59"/>
        <v>1</v>
      </c>
      <c r="BK155" s="1046" t="str">
        <f t="shared" ca="1" si="60"/>
        <v/>
      </c>
    </row>
    <row r="156" spans="1:63" hidden="1">
      <c r="A156" s="1477">
        <f t="shared" si="61"/>
        <v>26</v>
      </c>
      <c r="B156" s="1477"/>
      <c r="C156" s="1477" t="str">
        <f t="shared" ca="1" si="6"/>
        <v>Power Attack (-13)</v>
      </c>
      <c r="D156" s="842" t="str">
        <f t="shared" ca="1" si="7"/>
        <v/>
      </c>
      <c r="E156" s="1498" t="str">
        <f t="shared" ca="1" si="8"/>
        <v/>
      </c>
      <c r="F156" s="508" t="b">
        <f ca="1">IF($C156&lt;&gt;"",IF(INDEX(SpecialModsTable,$A156,6)&lt;&gt;"",IF(NOT(ISERROR(FIND(Weapons!E$76,INDEX(SpecialModsTable,$A156,6),1))),TRUE,FALSE),TRUE),FALSE)</f>
        <v>0</v>
      </c>
      <c r="G156" s="508" t="str">
        <f t="shared" ca="1" si="9"/>
        <v/>
      </c>
      <c r="H156" s="20" t="str">
        <f t="shared" ca="1" si="10"/>
        <v/>
      </c>
      <c r="I156" s="20" t="str">
        <f t="shared" ca="1" si="11"/>
        <v/>
      </c>
      <c r="J156" s="20" t="str">
        <f ca="1">IF(OR(G156&lt;&gt;"",H156&lt;&gt;"",I156&lt;&gt;""),IF(G156&lt;&gt;"",IF(G156&lt;0,"","+")&amp;G156&amp;" attack","")&amp;IF(AND(G156&lt;&gt;"",H156&lt;&gt;""),"/","")&amp;IF(H156&lt;&gt;"","+"&amp;H156&amp;" damage","")&amp;IF(AND(I156&lt;&gt;"",OR(G156&lt;&gt;"",H156&lt;&gt;"")),"/","")&amp;IF(I156&lt;&gt;"","+"&amp;I156&amp;" die of damage",""),"")</f>
        <v/>
      </c>
      <c r="K156" s="20" t="b">
        <f t="shared" ca="1" si="13"/>
        <v>1</v>
      </c>
      <c r="L156" s="20" t="b">
        <f t="shared" ca="1" si="14"/>
        <v>1</v>
      </c>
      <c r="M156" s="1046" t="str">
        <f t="shared" ca="1" si="15"/>
        <v/>
      </c>
      <c r="N156" s="842" t="str">
        <f t="shared" ca="1" si="16"/>
        <v/>
      </c>
      <c r="O156" s="1498" t="str">
        <f t="shared" ca="1" si="17"/>
        <v/>
      </c>
      <c r="P156" s="508" t="b">
        <f ca="1">IF($C156&lt;&gt;"",IF(INDEX(SpecialModsTable,$A156,6)&lt;&gt;"",IF(NOT(ISERROR(FIND(Weapons!O$76,INDEX(SpecialModsTable,$A156,6),1))),TRUE,FALSE),TRUE),FALSE)</f>
        <v>0</v>
      </c>
      <c r="Q156" s="508" t="str">
        <f t="shared" ca="1" si="18"/>
        <v/>
      </c>
      <c r="R156" s="20" t="str">
        <f t="shared" ca="1" si="19"/>
        <v/>
      </c>
      <c r="S156" s="20" t="str">
        <f t="shared" ca="1" si="20"/>
        <v/>
      </c>
      <c r="T156" s="20" t="str">
        <f t="shared" ca="1" si="63"/>
        <v/>
      </c>
      <c r="U156" s="20" t="b">
        <f t="shared" ca="1" si="22"/>
        <v>1</v>
      </c>
      <c r="V156" s="20" t="b">
        <f t="shared" ca="1" si="23"/>
        <v>1</v>
      </c>
      <c r="W156" s="1046" t="str">
        <f t="shared" ca="1" si="24"/>
        <v/>
      </c>
      <c r="X156" s="842" t="str">
        <f t="shared" ca="1" si="25"/>
        <v/>
      </c>
      <c r="Y156" s="1498" t="str">
        <f t="shared" ca="1" si="26"/>
        <v/>
      </c>
      <c r="Z156" s="508" t="b">
        <f ca="1">IF($C156&lt;&gt;"",IF(INDEX(SpecialModsTable,$A156,6)&lt;&gt;"",IF(NOT(ISERROR(FIND(Weapons!Y$76,INDEX(SpecialModsTable,$A156,6),1))),TRUE,FALSE),TRUE),FALSE)</f>
        <v>0</v>
      </c>
      <c r="AA156" s="508" t="str">
        <f t="shared" ca="1" si="27"/>
        <v/>
      </c>
      <c r="AB156" s="20" t="str">
        <f t="shared" ca="1" si="28"/>
        <v/>
      </c>
      <c r="AC156" s="20" t="str">
        <f t="shared" ca="1" si="29"/>
        <v/>
      </c>
      <c r="AD156" s="20" t="str">
        <f t="shared" ca="1" si="64"/>
        <v/>
      </c>
      <c r="AE156" s="20" t="b">
        <f t="shared" ca="1" si="31"/>
        <v>1</v>
      </c>
      <c r="AF156" s="20" t="b">
        <f t="shared" ca="1" si="32"/>
        <v>1</v>
      </c>
      <c r="AG156" s="1046" t="str">
        <f t="shared" ca="1" si="33"/>
        <v/>
      </c>
      <c r="AH156" s="842" t="str">
        <f t="shared" ca="1" si="34"/>
        <v/>
      </c>
      <c r="AI156" s="1498" t="str">
        <f t="shared" ca="1" si="35"/>
        <v/>
      </c>
      <c r="AJ156" s="508" t="b">
        <f ca="1">IF($C156&lt;&gt;"",IF(INDEX(SpecialModsTable,$A156,6)&lt;&gt;"",IF(NOT(ISERROR(FIND(Weapons!AI$76,INDEX(SpecialModsTable,$A156,6),1))),TRUE,FALSE),TRUE),FALSE)</f>
        <v>0</v>
      </c>
      <c r="AK156" s="508" t="str">
        <f t="shared" ca="1" si="36"/>
        <v/>
      </c>
      <c r="AL156" s="20" t="str">
        <f t="shared" ca="1" si="37"/>
        <v/>
      </c>
      <c r="AM156" s="20" t="str">
        <f t="shared" ca="1" si="38"/>
        <v/>
      </c>
      <c r="AN156" s="20" t="str">
        <f t="shared" ca="1" si="65"/>
        <v/>
      </c>
      <c r="AO156" s="20" t="b">
        <f t="shared" ca="1" si="40"/>
        <v>1</v>
      </c>
      <c r="AP156" s="20" t="b">
        <f t="shared" ca="1" si="41"/>
        <v>1</v>
      </c>
      <c r="AQ156" s="1046" t="str">
        <f t="shared" ca="1" si="42"/>
        <v/>
      </c>
      <c r="AR156" s="842" t="str">
        <f t="shared" ca="1" si="43"/>
        <v/>
      </c>
      <c r="AS156" s="1498" t="str">
        <f t="shared" ca="1" si="44"/>
        <v/>
      </c>
      <c r="AT156" s="508" t="b">
        <f ca="1">IF($C156&lt;&gt;"",IF(INDEX(SpecialModsTable,$A156,6)&lt;&gt;"",IF(NOT(ISERROR(FIND(Weapons!AS$76,INDEX(SpecialModsTable,$A156,6),1))),TRUE,FALSE),TRUE),FALSE)</f>
        <v>0</v>
      </c>
      <c r="AU156" s="508" t="str">
        <f t="shared" ca="1" si="45"/>
        <v/>
      </c>
      <c r="AV156" s="20" t="str">
        <f t="shared" ca="1" si="46"/>
        <v/>
      </c>
      <c r="AW156" s="20" t="str">
        <f t="shared" ca="1" si="47"/>
        <v/>
      </c>
      <c r="AX156" s="20" t="str">
        <f t="shared" ca="1" si="66"/>
        <v/>
      </c>
      <c r="AY156" s="20" t="b">
        <f t="shared" ca="1" si="49"/>
        <v>1</v>
      </c>
      <c r="AZ156" s="20" t="b">
        <f t="shared" ca="1" si="50"/>
        <v>1</v>
      </c>
      <c r="BA156" s="1046" t="str">
        <f t="shared" ca="1" si="51"/>
        <v/>
      </c>
      <c r="BB156" s="842" t="str">
        <f t="shared" ca="1" si="52"/>
        <v/>
      </c>
      <c r="BC156" s="1498" t="str">
        <f t="shared" ca="1" si="53"/>
        <v/>
      </c>
      <c r="BD156" s="508" t="b">
        <f ca="1">IF($C156&lt;&gt;"",IF(INDEX(SpecialModsTable,$A156,6)&lt;&gt;"",IF(NOT(ISERROR(FIND(Weapons!BC$76,INDEX(SpecialModsTable,$A156,6),1))),TRUE,FALSE),TRUE),FALSE)</f>
        <v>0</v>
      </c>
      <c r="BE156" s="508" t="str">
        <f t="shared" ca="1" si="54"/>
        <v/>
      </c>
      <c r="BF156" s="20" t="str">
        <f t="shared" ca="1" si="55"/>
        <v/>
      </c>
      <c r="BG156" s="20" t="str">
        <f t="shared" ca="1" si="56"/>
        <v/>
      </c>
      <c r="BH156" s="20" t="str">
        <f t="shared" ca="1" si="67"/>
        <v/>
      </c>
      <c r="BI156" s="20" t="b">
        <f t="shared" ca="1" si="58"/>
        <v>1</v>
      </c>
      <c r="BJ156" s="20" t="b">
        <f t="shared" ca="1" si="59"/>
        <v>1</v>
      </c>
      <c r="BK156" s="1046" t="str">
        <f t="shared" ca="1" si="60"/>
        <v/>
      </c>
    </row>
    <row r="157" spans="1:63" hidden="1">
      <c r="A157" s="1477">
        <f t="shared" si="61"/>
        <v>27</v>
      </c>
      <c r="B157" s="1477"/>
      <c r="C157" s="1477" t="str">
        <f t="shared" ca="1" si="6"/>
        <v>Power Attack (-14)</v>
      </c>
      <c r="D157" s="842" t="str">
        <f t="shared" ca="1" si="7"/>
        <v/>
      </c>
      <c r="E157" s="1498" t="str">
        <f t="shared" ca="1" si="8"/>
        <v/>
      </c>
      <c r="F157" s="508" t="b">
        <f ca="1">IF($C157&lt;&gt;"",IF(INDEX(SpecialModsTable,$A157,6)&lt;&gt;"",IF(NOT(ISERROR(FIND(Weapons!E$76,INDEX(SpecialModsTable,$A157,6),1))),TRUE,FALSE),TRUE),FALSE)</f>
        <v>0</v>
      </c>
      <c r="G157" s="508" t="str">
        <f t="shared" ca="1" si="9"/>
        <v/>
      </c>
      <c r="H157" s="20" t="str">
        <f t="shared" ca="1" si="10"/>
        <v/>
      </c>
      <c r="I157" s="20" t="str">
        <f t="shared" ca="1" si="11"/>
        <v/>
      </c>
      <c r="J157" s="20" t="str">
        <f ca="1">IF(OR(G157&lt;&gt;"",H157&lt;&gt;"",I157&lt;&gt;""),IF(G157&lt;&gt;"",IF(G157&lt;0,"","+")&amp;G157&amp;" attack","")&amp;IF(AND(G157&lt;&gt;"",H157&lt;&gt;""),"/","")&amp;IF(H157&lt;&gt;"","+"&amp;H157&amp;" damage","")&amp;IF(AND(I157&lt;&gt;"",OR(G157&lt;&gt;"",H157&lt;&gt;"")),"/","")&amp;IF(I157&lt;&gt;"","+"&amp;I157&amp;" die of damage",""),"")</f>
        <v/>
      </c>
      <c r="K157" s="20" t="b">
        <f t="shared" ca="1" si="13"/>
        <v>1</v>
      </c>
      <c r="L157" s="20" t="b">
        <f t="shared" ca="1" si="14"/>
        <v>1</v>
      </c>
      <c r="M157" s="1046" t="str">
        <f t="shared" ca="1" si="15"/>
        <v/>
      </c>
      <c r="N157" s="842" t="str">
        <f t="shared" ca="1" si="16"/>
        <v/>
      </c>
      <c r="O157" s="1498" t="str">
        <f t="shared" ca="1" si="17"/>
        <v/>
      </c>
      <c r="P157" s="508" t="b">
        <f ca="1">IF($C157&lt;&gt;"",IF(INDEX(SpecialModsTable,$A157,6)&lt;&gt;"",IF(NOT(ISERROR(FIND(Weapons!O$76,INDEX(SpecialModsTable,$A157,6),1))),TRUE,FALSE),TRUE),FALSE)</f>
        <v>0</v>
      </c>
      <c r="Q157" s="508" t="str">
        <f t="shared" ca="1" si="18"/>
        <v/>
      </c>
      <c r="R157" s="20" t="str">
        <f t="shared" ca="1" si="19"/>
        <v/>
      </c>
      <c r="S157" s="20" t="str">
        <f t="shared" ca="1" si="20"/>
        <v/>
      </c>
      <c r="T157" s="20" t="str">
        <f t="shared" ca="1" si="63"/>
        <v/>
      </c>
      <c r="U157" s="20" t="b">
        <f t="shared" ca="1" si="22"/>
        <v>1</v>
      </c>
      <c r="V157" s="20" t="b">
        <f t="shared" ca="1" si="23"/>
        <v>1</v>
      </c>
      <c r="W157" s="1046" t="str">
        <f t="shared" ca="1" si="24"/>
        <v/>
      </c>
      <c r="X157" s="842" t="str">
        <f t="shared" ca="1" si="25"/>
        <v/>
      </c>
      <c r="Y157" s="1498" t="str">
        <f t="shared" ca="1" si="26"/>
        <v/>
      </c>
      <c r="Z157" s="508" t="b">
        <f ca="1">IF($C157&lt;&gt;"",IF(INDEX(SpecialModsTable,$A157,6)&lt;&gt;"",IF(NOT(ISERROR(FIND(Weapons!Y$76,INDEX(SpecialModsTable,$A157,6),1))),TRUE,FALSE),TRUE),FALSE)</f>
        <v>0</v>
      </c>
      <c r="AA157" s="508" t="str">
        <f t="shared" ca="1" si="27"/>
        <v/>
      </c>
      <c r="AB157" s="20" t="str">
        <f t="shared" ca="1" si="28"/>
        <v/>
      </c>
      <c r="AC157" s="20" t="str">
        <f t="shared" ca="1" si="29"/>
        <v/>
      </c>
      <c r="AD157" s="20" t="str">
        <f t="shared" ca="1" si="64"/>
        <v/>
      </c>
      <c r="AE157" s="20" t="b">
        <f t="shared" ca="1" si="31"/>
        <v>1</v>
      </c>
      <c r="AF157" s="20" t="b">
        <f t="shared" ca="1" si="32"/>
        <v>1</v>
      </c>
      <c r="AG157" s="1046" t="str">
        <f t="shared" ca="1" si="33"/>
        <v/>
      </c>
      <c r="AH157" s="842" t="str">
        <f t="shared" ca="1" si="34"/>
        <v/>
      </c>
      <c r="AI157" s="1498" t="str">
        <f t="shared" ca="1" si="35"/>
        <v/>
      </c>
      <c r="AJ157" s="508" t="b">
        <f ca="1">IF($C157&lt;&gt;"",IF(INDEX(SpecialModsTable,$A157,6)&lt;&gt;"",IF(NOT(ISERROR(FIND(Weapons!AI$76,INDEX(SpecialModsTable,$A157,6),1))),TRUE,FALSE),TRUE),FALSE)</f>
        <v>0</v>
      </c>
      <c r="AK157" s="508" t="str">
        <f t="shared" ca="1" si="36"/>
        <v/>
      </c>
      <c r="AL157" s="20" t="str">
        <f t="shared" ca="1" si="37"/>
        <v/>
      </c>
      <c r="AM157" s="20" t="str">
        <f t="shared" ca="1" si="38"/>
        <v/>
      </c>
      <c r="AN157" s="20" t="str">
        <f t="shared" ca="1" si="65"/>
        <v/>
      </c>
      <c r="AO157" s="20" t="b">
        <f t="shared" ca="1" si="40"/>
        <v>1</v>
      </c>
      <c r="AP157" s="20" t="b">
        <f t="shared" ca="1" si="41"/>
        <v>1</v>
      </c>
      <c r="AQ157" s="1046" t="str">
        <f t="shared" ca="1" si="42"/>
        <v/>
      </c>
      <c r="AR157" s="842" t="str">
        <f t="shared" ca="1" si="43"/>
        <v/>
      </c>
      <c r="AS157" s="1498" t="str">
        <f t="shared" ca="1" si="44"/>
        <v/>
      </c>
      <c r="AT157" s="508" t="b">
        <f ca="1">IF($C157&lt;&gt;"",IF(INDEX(SpecialModsTable,$A157,6)&lt;&gt;"",IF(NOT(ISERROR(FIND(Weapons!AS$76,INDEX(SpecialModsTable,$A157,6),1))),TRUE,FALSE),TRUE),FALSE)</f>
        <v>0</v>
      </c>
      <c r="AU157" s="508" t="str">
        <f t="shared" ca="1" si="45"/>
        <v/>
      </c>
      <c r="AV157" s="20" t="str">
        <f t="shared" ca="1" si="46"/>
        <v/>
      </c>
      <c r="AW157" s="20" t="str">
        <f t="shared" ca="1" si="47"/>
        <v/>
      </c>
      <c r="AX157" s="20" t="str">
        <f t="shared" ca="1" si="66"/>
        <v/>
      </c>
      <c r="AY157" s="20" t="b">
        <f t="shared" ca="1" si="49"/>
        <v>1</v>
      </c>
      <c r="AZ157" s="20" t="b">
        <f t="shared" ca="1" si="50"/>
        <v>1</v>
      </c>
      <c r="BA157" s="1046" t="str">
        <f t="shared" ca="1" si="51"/>
        <v/>
      </c>
      <c r="BB157" s="842" t="str">
        <f t="shared" ca="1" si="52"/>
        <v/>
      </c>
      <c r="BC157" s="1498" t="str">
        <f t="shared" ca="1" si="53"/>
        <v/>
      </c>
      <c r="BD157" s="508" t="b">
        <f ca="1">IF($C157&lt;&gt;"",IF(INDEX(SpecialModsTable,$A157,6)&lt;&gt;"",IF(NOT(ISERROR(FIND(Weapons!BC$76,INDEX(SpecialModsTable,$A157,6),1))),TRUE,FALSE),TRUE),FALSE)</f>
        <v>0</v>
      </c>
      <c r="BE157" s="508" t="str">
        <f t="shared" ca="1" si="54"/>
        <v/>
      </c>
      <c r="BF157" s="20" t="str">
        <f t="shared" ca="1" si="55"/>
        <v/>
      </c>
      <c r="BG157" s="20" t="str">
        <f t="shared" ca="1" si="56"/>
        <v/>
      </c>
      <c r="BH157" s="20" t="str">
        <f t="shared" ca="1" si="67"/>
        <v/>
      </c>
      <c r="BI157" s="20" t="b">
        <f t="shared" ca="1" si="58"/>
        <v>1</v>
      </c>
      <c r="BJ157" s="20" t="b">
        <f t="shared" ca="1" si="59"/>
        <v>1</v>
      </c>
      <c r="BK157" s="1046" t="str">
        <f t="shared" ca="1" si="60"/>
        <v/>
      </c>
    </row>
    <row r="158" spans="1:63" hidden="1">
      <c r="A158" s="1477">
        <f t="shared" si="61"/>
        <v>28</v>
      </c>
      <c r="B158" s="1477"/>
      <c r="C158" s="1477" t="str">
        <f t="shared" ca="1" si="6"/>
        <v>Power Attack (-15)</v>
      </c>
      <c r="D158" s="842" t="str">
        <f t="shared" ca="1" si="7"/>
        <v/>
      </c>
      <c r="E158" s="1498" t="str">
        <f t="shared" ca="1" si="8"/>
        <v/>
      </c>
      <c r="F158" s="508" t="b">
        <f ca="1">IF($C158&lt;&gt;"",IF(INDEX(SpecialModsTable,$A158,6)&lt;&gt;"",IF(NOT(ISERROR(FIND(Weapons!E$76,INDEX(SpecialModsTable,$A158,6),1))),TRUE,FALSE),TRUE),FALSE)</f>
        <v>0</v>
      </c>
      <c r="G158" s="508" t="str">
        <f t="shared" ca="1" si="9"/>
        <v/>
      </c>
      <c r="H158" s="20" t="str">
        <f t="shared" ca="1" si="10"/>
        <v/>
      </c>
      <c r="I158" s="20" t="str">
        <f t="shared" ca="1" si="11"/>
        <v/>
      </c>
      <c r="J158" s="20" t="str">
        <f t="shared" ref="J158:J203" ca="1" si="68">IF(OR(G158&lt;&gt;"",H158&lt;&gt;"",I158&lt;&gt;""),IF(G158&lt;&gt;"",IF(G158&lt;0,"","+")&amp;G158&amp;" attack","")&amp;IF(AND(G158&lt;&gt;"",H158&lt;&gt;""),"/","")&amp;IF(H158&lt;&gt;"","+"&amp;H158&amp;" damage","")&amp;IF(AND(I158&lt;&gt;"",OR(G158&lt;&gt;"",H158&lt;&gt;"")),"/","")&amp;IF(I158&lt;&gt;"","+"&amp;I158&amp;" die of damage",""),"")</f>
        <v/>
      </c>
      <c r="K158" s="20" t="b">
        <f t="shared" ca="1" si="13"/>
        <v>1</v>
      </c>
      <c r="L158" s="20" t="b">
        <f t="shared" ca="1" si="14"/>
        <v>1</v>
      </c>
      <c r="M158" s="1046" t="str">
        <f t="shared" ca="1" si="15"/>
        <v/>
      </c>
      <c r="N158" s="842" t="str">
        <f t="shared" ca="1" si="16"/>
        <v/>
      </c>
      <c r="O158" s="1498" t="str">
        <f t="shared" ca="1" si="17"/>
        <v/>
      </c>
      <c r="P158" s="508" t="b">
        <f ca="1">IF($C158&lt;&gt;"",IF(INDEX(SpecialModsTable,$A158,6)&lt;&gt;"",IF(NOT(ISERROR(FIND(Weapons!O$76,INDEX(SpecialModsTable,$A158,6),1))),TRUE,FALSE),TRUE),FALSE)</f>
        <v>0</v>
      </c>
      <c r="Q158" s="508" t="str">
        <f t="shared" ca="1" si="18"/>
        <v/>
      </c>
      <c r="R158" s="20" t="str">
        <f t="shared" ca="1" si="19"/>
        <v/>
      </c>
      <c r="S158" s="20" t="str">
        <f t="shared" ca="1" si="20"/>
        <v/>
      </c>
      <c r="T158" s="20" t="str">
        <f t="shared" ca="1" si="63"/>
        <v/>
      </c>
      <c r="U158" s="20" t="b">
        <f t="shared" ca="1" si="22"/>
        <v>1</v>
      </c>
      <c r="V158" s="20" t="b">
        <f t="shared" ca="1" si="23"/>
        <v>1</v>
      </c>
      <c r="W158" s="1046" t="str">
        <f t="shared" ca="1" si="24"/>
        <v/>
      </c>
      <c r="X158" s="842" t="str">
        <f t="shared" ca="1" si="25"/>
        <v/>
      </c>
      <c r="Y158" s="1498" t="str">
        <f t="shared" ca="1" si="26"/>
        <v/>
      </c>
      <c r="Z158" s="508" t="b">
        <f ca="1">IF($C158&lt;&gt;"",IF(INDEX(SpecialModsTable,$A158,6)&lt;&gt;"",IF(NOT(ISERROR(FIND(Weapons!Y$76,INDEX(SpecialModsTable,$A158,6),1))),TRUE,FALSE),TRUE),FALSE)</f>
        <v>0</v>
      </c>
      <c r="AA158" s="508" t="str">
        <f t="shared" ca="1" si="27"/>
        <v/>
      </c>
      <c r="AB158" s="20" t="str">
        <f t="shared" ca="1" si="28"/>
        <v/>
      </c>
      <c r="AC158" s="20" t="str">
        <f t="shared" ca="1" si="29"/>
        <v/>
      </c>
      <c r="AD158" s="20" t="str">
        <f t="shared" ca="1" si="64"/>
        <v/>
      </c>
      <c r="AE158" s="20" t="b">
        <f t="shared" ca="1" si="31"/>
        <v>1</v>
      </c>
      <c r="AF158" s="20" t="b">
        <f t="shared" ca="1" si="32"/>
        <v>1</v>
      </c>
      <c r="AG158" s="1046" t="str">
        <f t="shared" ca="1" si="33"/>
        <v/>
      </c>
      <c r="AH158" s="842" t="str">
        <f t="shared" ca="1" si="34"/>
        <v/>
      </c>
      <c r="AI158" s="1498" t="str">
        <f t="shared" ca="1" si="35"/>
        <v/>
      </c>
      <c r="AJ158" s="508" t="b">
        <f ca="1">IF($C158&lt;&gt;"",IF(INDEX(SpecialModsTable,$A158,6)&lt;&gt;"",IF(NOT(ISERROR(FIND(Weapons!AI$76,INDEX(SpecialModsTable,$A158,6),1))),TRUE,FALSE),TRUE),FALSE)</f>
        <v>0</v>
      </c>
      <c r="AK158" s="508" t="str">
        <f t="shared" ca="1" si="36"/>
        <v/>
      </c>
      <c r="AL158" s="20" t="str">
        <f t="shared" ca="1" si="37"/>
        <v/>
      </c>
      <c r="AM158" s="20" t="str">
        <f t="shared" ca="1" si="38"/>
        <v/>
      </c>
      <c r="AN158" s="20" t="str">
        <f t="shared" ca="1" si="65"/>
        <v/>
      </c>
      <c r="AO158" s="20" t="b">
        <f t="shared" ca="1" si="40"/>
        <v>1</v>
      </c>
      <c r="AP158" s="20" t="b">
        <f t="shared" ca="1" si="41"/>
        <v>1</v>
      </c>
      <c r="AQ158" s="1046" t="str">
        <f t="shared" ca="1" si="42"/>
        <v/>
      </c>
      <c r="AR158" s="842" t="str">
        <f t="shared" ca="1" si="43"/>
        <v/>
      </c>
      <c r="AS158" s="1498" t="str">
        <f t="shared" ca="1" si="44"/>
        <v/>
      </c>
      <c r="AT158" s="508" t="b">
        <f ca="1">IF($C158&lt;&gt;"",IF(INDEX(SpecialModsTable,$A158,6)&lt;&gt;"",IF(NOT(ISERROR(FIND(Weapons!AS$76,INDEX(SpecialModsTable,$A158,6),1))),TRUE,FALSE),TRUE),FALSE)</f>
        <v>0</v>
      </c>
      <c r="AU158" s="508" t="str">
        <f t="shared" ca="1" si="45"/>
        <v/>
      </c>
      <c r="AV158" s="20" t="str">
        <f t="shared" ca="1" si="46"/>
        <v/>
      </c>
      <c r="AW158" s="20" t="str">
        <f t="shared" ca="1" si="47"/>
        <v/>
      </c>
      <c r="AX158" s="20" t="str">
        <f t="shared" ca="1" si="66"/>
        <v/>
      </c>
      <c r="AY158" s="20" t="b">
        <f t="shared" ca="1" si="49"/>
        <v>1</v>
      </c>
      <c r="AZ158" s="20" t="b">
        <f t="shared" ca="1" si="50"/>
        <v>1</v>
      </c>
      <c r="BA158" s="1046" t="str">
        <f t="shared" ca="1" si="51"/>
        <v/>
      </c>
      <c r="BB158" s="842" t="str">
        <f t="shared" ca="1" si="52"/>
        <v/>
      </c>
      <c r="BC158" s="1498" t="str">
        <f t="shared" ca="1" si="53"/>
        <v/>
      </c>
      <c r="BD158" s="508" t="b">
        <f ca="1">IF($C158&lt;&gt;"",IF(INDEX(SpecialModsTable,$A158,6)&lt;&gt;"",IF(NOT(ISERROR(FIND(Weapons!BC$76,INDEX(SpecialModsTable,$A158,6),1))),TRUE,FALSE),TRUE),FALSE)</f>
        <v>0</v>
      </c>
      <c r="BE158" s="508" t="str">
        <f t="shared" ca="1" si="54"/>
        <v/>
      </c>
      <c r="BF158" s="20" t="str">
        <f t="shared" ca="1" si="55"/>
        <v/>
      </c>
      <c r="BG158" s="20" t="str">
        <f t="shared" ca="1" si="56"/>
        <v/>
      </c>
      <c r="BH158" s="20" t="str">
        <f t="shared" ca="1" si="67"/>
        <v/>
      </c>
      <c r="BI158" s="20" t="b">
        <f t="shared" ca="1" si="58"/>
        <v>1</v>
      </c>
      <c r="BJ158" s="20" t="b">
        <f t="shared" ca="1" si="59"/>
        <v>1</v>
      </c>
      <c r="BK158" s="1046" t="str">
        <f t="shared" ca="1" si="60"/>
        <v/>
      </c>
    </row>
    <row r="159" spans="1:63" hidden="1">
      <c r="A159" s="1477">
        <f t="shared" si="61"/>
        <v>29</v>
      </c>
      <c r="B159" s="1477"/>
      <c r="C159" s="1477" t="str">
        <f t="shared" ca="1" si="6"/>
        <v>Power Attack (-16)</v>
      </c>
      <c r="D159" s="842" t="str">
        <f t="shared" ca="1" si="7"/>
        <v/>
      </c>
      <c r="E159" s="1498" t="str">
        <f t="shared" ca="1" si="8"/>
        <v/>
      </c>
      <c r="F159" s="508" t="b">
        <f ca="1">IF($C159&lt;&gt;"",IF(INDEX(SpecialModsTable,$A159,6)&lt;&gt;"",IF(NOT(ISERROR(FIND(Weapons!E$76,INDEX(SpecialModsTable,$A159,6),1))),TRUE,FALSE),TRUE),FALSE)</f>
        <v>0</v>
      </c>
      <c r="G159" s="508" t="str">
        <f t="shared" ca="1" si="9"/>
        <v/>
      </c>
      <c r="H159" s="20" t="str">
        <f t="shared" ca="1" si="10"/>
        <v/>
      </c>
      <c r="I159" s="20" t="str">
        <f t="shared" ca="1" si="11"/>
        <v/>
      </c>
      <c r="J159" s="20" t="str">
        <f t="shared" ca="1" si="68"/>
        <v/>
      </c>
      <c r="K159" s="20" t="b">
        <f t="shared" ca="1" si="13"/>
        <v>1</v>
      </c>
      <c r="L159" s="20" t="b">
        <f t="shared" ca="1" si="14"/>
        <v>1</v>
      </c>
      <c r="M159" s="1046" t="str">
        <f t="shared" ca="1" si="15"/>
        <v/>
      </c>
      <c r="N159" s="842" t="str">
        <f t="shared" ca="1" si="16"/>
        <v/>
      </c>
      <c r="O159" s="1498" t="str">
        <f t="shared" ca="1" si="17"/>
        <v/>
      </c>
      <c r="P159" s="508" t="b">
        <f ca="1">IF($C159&lt;&gt;"",IF(INDEX(SpecialModsTable,$A159,6)&lt;&gt;"",IF(NOT(ISERROR(FIND(Weapons!O$76,INDEX(SpecialModsTable,$A159,6),1))),TRUE,FALSE),TRUE),FALSE)</f>
        <v>0</v>
      </c>
      <c r="Q159" s="508" t="str">
        <f t="shared" ca="1" si="18"/>
        <v/>
      </c>
      <c r="R159" s="20" t="str">
        <f t="shared" ca="1" si="19"/>
        <v/>
      </c>
      <c r="S159" s="20" t="str">
        <f t="shared" ca="1" si="20"/>
        <v/>
      </c>
      <c r="T159" s="20" t="str">
        <f t="shared" ca="1" si="63"/>
        <v/>
      </c>
      <c r="U159" s="20" t="b">
        <f t="shared" ca="1" si="22"/>
        <v>1</v>
      </c>
      <c r="V159" s="20" t="b">
        <f t="shared" ca="1" si="23"/>
        <v>1</v>
      </c>
      <c r="W159" s="1046" t="str">
        <f t="shared" ca="1" si="24"/>
        <v/>
      </c>
      <c r="X159" s="842" t="str">
        <f t="shared" ca="1" si="25"/>
        <v/>
      </c>
      <c r="Y159" s="1498" t="str">
        <f t="shared" ca="1" si="26"/>
        <v/>
      </c>
      <c r="Z159" s="508" t="b">
        <f ca="1">IF($C159&lt;&gt;"",IF(INDEX(SpecialModsTable,$A159,6)&lt;&gt;"",IF(NOT(ISERROR(FIND(Weapons!Y$76,INDEX(SpecialModsTable,$A159,6),1))),TRUE,FALSE),TRUE),FALSE)</f>
        <v>0</v>
      </c>
      <c r="AA159" s="508" t="str">
        <f t="shared" ca="1" si="27"/>
        <v/>
      </c>
      <c r="AB159" s="20" t="str">
        <f t="shared" ca="1" si="28"/>
        <v/>
      </c>
      <c r="AC159" s="20" t="str">
        <f t="shared" ca="1" si="29"/>
        <v/>
      </c>
      <c r="AD159" s="20" t="str">
        <f t="shared" ca="1" si="64"/>
        <v/>
      </c>
      <c r="AE159" s="20" t="b">
        <f t="shared" ca="1" si="31"/>
        <v>1</v>
      </c>
      <c r="AF159" s="20" t="b">
        <f t="shared" ca="1" si="32"/>
        <v>1</v>
      </c>
      <c r="AG159" s="1046" t="str">
        <f t="shared" ca="1" si="33"/>
        <v/>
      </c>
      <c r="AH159" s="842" t="str">
        <f t="shared" ca="1" si="34"/>
        <v/>
      </c>
      <c r="AI159" s="1498" t="str">
        <f t="shared" ca="1" si="35"/>
        <v/>
      </c>
      <c r="AJ159" s="508" t="b">
        <f ca="1">IF($C159&lt;&gt;"",IF(INDEX(SpecialModsTable,$A159,6)&lt;&gt;"",IF(NOT(ISERROR(FIND(Weapons!AI$76,INDEX(SpecialModsTable,$A159,6),1))),TRUE,FALSE),TRUE),FALSE)</f>
        <v>0</v>
      </c>
      <c r="AK159" s="508" t="str">
        <f t="shared" ca="1" si="36"/>
        <v/>
      </c>
      <c r="AL159" s="20" t="str">
        <f t="shared" ca="1" si="37"/>
        <v/>
      </c>
      <c r="AM159" s="20" t="str">
        <f t="shared" ca="1" si="38"/>
        <v/>
      </c>
      <c r="AN159" s="20" t="str">
        <f t="shared" ca="1" si="65"/>
        <v/>
      </c>
      <c r="AO159" s="20" t="b">
        <f t="shared" ca="1" si="40"/>
        <v>1</v>
      </c>
      <c r="AP159" s="20" t="b">
        <f t="shared" ca="1" si="41"/>
        <v>1</v>
      </c>
      <c r="AQ159" s="1046" t="str">
        <f t="shared" ca="1" si="42"/>
        <v/>
      </c>
      <c r="AR159" s="842" t="str">
        <f t="shared" ca="1" si="43"/>
        <v/>
      </c>
      <c r="AS159" s="1498" t="str">
        <f t="shared" ca="1" si="44"/>
        <v/>
      </c>
      <c r="AT159" s="508" t="b">
        <f ca="1">IF($C159&lt;&gt;"",IF(INDEX(SpecialModsTable,$A159,6)&lt;&gt;"",IF(NOT(ISERROR(FIND(Weapons!AS$76,INDEX(SpecialModsTable,$A159,6),1))),TRUE,FALSE),TRUE),FALSE)</f>
        <v>0</v>
      </c>
      <c r="AU159" s="508" t="str">
        <f t="shared" ca="1" si="45"/>
        <v/>
      </c>
      <c r="AV159" s="20" t="str">
        <f t="shared" ca="1" si="46"/>
        <v/>
      </c>
      <c r="AW159" s="20" t="str">
        <f t="shared" ca="1" si="47"/>
        <v/>
      </c>
      <c r="AX159" s="20" t="str">
        <f t="shared" ca="1" si="66"/>
        <v/>
      </c>
      <c r="AY159" s="20" t="b">
        <f t="shared" ca="1" si="49"/>
        <v>1</v>
      </c>
      <c r="AZ159" s="20" t="b">
        <f t="shared" ca="1" si="50"/>
        <v>1</v>
      </c>
      <c r="BA159" s="1046" t="str">
        <f t="shared" ca="1" si="51"/>
        <v/>
      </c>
      <c r="BB159" s="842" t="str">
        <f t="shared" ca="1" si="52"/>
        <v/>
      </c>
      <c r="BC159" s="1498" t="str">
        <f t="shared" ca="1" si="53"/>
        <v/>
      </c>
      <c r="BD159" s="508" t="b">
        <f ca="1">IF($C159&lt;&gt;"",IF(INDEX(SpecialModsTable,$A159,6)&lt;&gt;"",IF(NOT(ISERROR(FIND(Weapons!BC$76,INDEX(SpecialModsTable,$A159,6),1))),TRUE,FALSE),TRUE),FALSE)</f>
        <v>0</v>
      </c>
      <c r="BE159" s="508" t="str">
        <f t="shared" ca="1" si="54"/>
        <v/>
      </c>
      <c r="BF159" s="20" t="str">
        <f t="shared" ca="1" si="55"/>
        <v/>
      </c>
      <c r="BG159" s="20" t="str">
        <f t="shared" ca="1" si="56"/>
        <v/>
      </c>
      <c r="BH159" s="20" t="str">
        <f t="shared" ca="1" si="67"/>
        <v/>
      </c>
      <c r="BI159" s="20" t="b">
        <f t="shared" ca="1" si="58"/>
        <v>1</v>
      </c>
      <c r="BJ159" s="20" t="b">
        <f t="shared" ca="1" si="59"/>
        <v>1</v>
      </c>
      <c r="BK159" s="1046" t="str">
        <f t="shared" ca="1" si="60"/>
        <v/>
      </c>
    </row>
    <row r="160" spans="1:63" hidden="1">
      <c r="A160" s="1477">
        <f t="shared" si="61"/>
        <v>30</v>
      </c>
      <c r="B160" s="1477"/>
      <c r="C160" s="1477" t="str">
        <f t="shared" ca="1" si="6"/>
        <v>Power Attack (-17)</v>
      </c>
      <c r="D160" s="842" t="str">
        <f t="shared" ca="1" si="7"/>
        <v/>
      </c>
      <c r="E160" s="1498" t="str">
        <f t="shared" ca="1" si="8"/>
        <v/>
      </c>
      <c r="F160" s="508" t="b">
        <f ca="1">IF($C160&lt;&gt;"",IF(INDEX(SpecialModsTable,$A160,6)&lt;&gt;"",IF(NOT(ISERROR(FIND(Weapons!E$76,INDEX(SpecialModsTable,$A160,6),1))),TRUE,FALSE),TRUE),FALSE)</f>
        <v>0</v>
      </c>
      <c r="G160" s="508" t="str">
        <f t="shared" ca="1" si="9"/>
        <v/>
      </c>
      <c r="H160" s="20" t="str">
        <f t="shared" ca="1" si="10"/>
        <v/>
      </c>
      <c r="I160" s="20" t="str">
        <f t="shared" ca="1" si="11"/>
        <v/>
      </c>
      <c r="J160" s="20" t="str">
        <f t="shared" ca="1" si="68"/>
        <v/>
      </c>
      <c r="K160" s="20" t="b">
        <f t="shared" ca="1" si="13"/>
        <v>1</v>
      </c>
      <c r="L160" s="20" t="b">
        <f t="shared" ca="1" si="14"/>
        <v>1</v>
      </c>
      <c r="M160" s="1046" t="str">
        <f t="shared" ca="1" si="15"/>
        <v/>
      </c>
      <c r="N160" s="842" t="str">
        <f t="shared" ca="1" si="16"/>
        <v/>
      </c>
      <c r="O160" s="1498" t="str">
        <f t="shared" ca="1" si="17"/>
        <v/>
      </c>
      <c r="P160" s="508" t="b">
        <f ca="1">IF($C160&lt;&gt;"",IF(INDEX(SpecialModsTable,$A160,6)&lt;&gt;"",IF(NOT(ISERROR(FIND(Weapons!O$76,INDEX(SpecialModsTable,$A160,6),1))),TRUE,FALSE),TRUE),FALSE)</f>
        <v>0</v>
      </c>
      <c r="Q160" s="508" t="str">
        <f t="shared" ca="1" si="18"/>
        <v/>
      </c>
      <c r="R160" s="20" t="str">
        <f t="shared" ca="1" si="19"/>
        <v/>
      </c>
      <c r="S160" s="20" t="str">
        <f t="shared" ca="1" si="20"/>
        <v/>
      </c>
      <c r="T160" s="20" t="str">
        <f t="shared" ca="1" si="63"/>
        <v/>
      </c>
      <c r="U160" s="20" t="b">
        <f t="shared" ca="1" si="22"/>
        <v>1</v>
      </c>
      <c r="V160" s="20" t="b">
        <f t="shared" ca="1" si="23"/>
        <v>1</v>
      </c>
      <c r="W160" s="1046" t="str">
        <f t="shared" ca="1" si="24"/>
        <v/>
      </c>
      <c r="X160" s="842" t="str">
        <f t="shared" ca="1" si="25"/>
        <v/>
      </c>
      <c r="Y160" s="1498" t="str">
        <f t="shared" ca="1" si="26"/>
        <v/>
      </c>
      <c r="Z160" s="508" t="b">
        <f ca="1">IF($C160&lt;&gt;"",IF(INDEX(SpecialModsTable,$A160,6)&lt;&gt;"",IF(NOT(ISERROR(FIND(Weapons!Y$76,INDEX(SpecialModsTable,$A160,6),1))),TRUE,FALSE),TRUE),FALSE)</f>
        <v>0</v>
      </c>
      <c r="AA160" s="508" t="str">
        <f t="shared" ca="1" si="27"/>
        <v/>
      </c>
      <c r="AB160" s="20" t="str">
        <f t="shared" ca="1" si="28"/>
        <v/>
      </c>
      <c r="AC160" s="20" t="str">
        <f t="shared" ca="1" si="29"/>
        <v/>
      </c>
      <c r="AD160" s="20" t="str">
        <f t="shared" ca="1" si="64"/>
        <v/>
      </c>
      <c r="AE160" s="20" t="b">
        <f t="shared" ca="1" si="31"/>
        <v>1</v>
      </c>
      <c r="AF160" s="20" t="b">
        <f t="shared" ca="1" si="32"/>
        <v>1</v>
      </c>
      <c r="AG160" s="1046" t="str">
        <f t="shared" ca="1" si="33"/>
        <v/>
      </c>
      <c r="AH160" s="842" t="str">
        <f t="shared" ca="1" si="34"/>
        <v/>
      </c>
      <c r="AI160" s="1498" t="str">
        <f t="shared" ca="1" si="35"/>
        <v/>
      </c>
      <c r="AJ160" s="508" t="b">
        <f ca="1">IF($C160&lt;&gt;"",IF(INDEX(SpecialModsTable,$A160,6)&lt;&gt;"",IF(NOT(ISERROR(FIND(Weapons!AI$76,INDEX(SpecialModsTable,$A160,6),1))),TRUE,FALSE),TRUE),FALSE)</f>
        <v>0</v>
      </c>
      <c r="AK160" s="508" t="str">
        <f t="shared" ca="1" si="36"/>
        <v/>
      </c>
      <c r="AL160" s="20" t="str">
        <f t="shared" ca="1" si="37"/>
        <v/>
      </c>
      <c r="AM160" s="20" t="str">
        <f t="shared" ca="1" si="38"/>
        <v/>
      </c>
      <c r="AN160" s="20" t="str">
        <f t="shared" ca="1" si="65"/>
        <v/>
      </c>
      <c r="AO160" s="20" t="b">
        <f t="shared" ca="1" si="40"/>
        <v>1</v>
      </c>
      <c r="AP160" s="20" t="b">
        <f t="shared" ca="1" si="41"/>
        <v>1</v>
      </c>
      <c r="AQ160" s="1046" t="str">
        <f t="shared" ca="1" si="42"/>
        <v/>
      </c>
      <c r="AR160" s="842" t="str">
        <f t="shared" ca="1" si="43"/>
        <v/>
      </c>
      <c r="AS160" s="1498" t="str">
        <f t="shared" ca="1" si="44"/>
        <v/>
      </c>
      <c r="AT160" s="508" t="b">
        <f ca="1">IF($C160&lt;&gt;"",IF(INDEX(SpecialModsTable,$A160,6)&lt;&gt;"",IF(NOT(ISERROR(FIND(Weapons!AS$76,INDEX(SpecialModsTable,$A160,6),1))),TRUE,FALSE),TRUE),FALSE)</f>
        <v>0</v>
      </c>
      <c r="AU160" s="508" t="str">
        <f t="shared" ca="1" si="45"/>
        <v/>
      </c>
      <c r="AV160" s="20" t="str">
        <f t="shared" ca="1" si="46"/>
        <v/>
      </c>
      <c r="AW160" s="20" t="str">
        <f t="shared" ca="1" si="47"/>
        <v/>
      </c>
      <c r="AX160" s="20" t="str">
        <f t="shared" ca="1" si="66"/>
        <v/>
      </c>
      <c r="AY160" s="20" t="b">
        <f t="shared" ca="1" si="49"/>
        <v>1</v>
      </c>
      <c r="AZ160" s="20" t="b">
        <f t="shared" ca="1" si="50"/>
        <v>1</v>
      </c>
      <c r="BA160" s="1046" t="str">
        <f t="shared" ca="1" si="51"/>
        <v/>
      </c>
      <c r="BB160" s="842" t="str">
        <f t="shared" ca="1" si="52"/>
        <v/>
      </c>
      <c r="BC160" s="1498" t="str">
        <f t="shared" ca="1" si="53"/>
        <v/>
      </c>
      <c r="BD160" s="508" t="b">
        <f ca="1">IF($C160&lt;&gt;"",IF(INDEX(SpecialModsTable,$A160,6)&lt;&gt;"",IF(NOT(ISERROR(FIND(Weapons!BC$76,INDEX(SpecialModsTable,$A160,6),1))),TRUE,FALSE),TRUE),FALSE)</f>
        <v>0</v>
      </c>
      <c r="BE160" s="508" t="str">
        <f t="shared" ca="1" si="54"/>
        <v/>
      </c>
      <c r="BF160" s="20" t="str">
        <f t="shared" ca="1" si="55"/>
        <v/>
      </c>
      <c r="BG160" s="20" t="str">
        <f t="shared" ca="1" si="56"/>
        <v/>
      </c>
      <c r="BH160" s="20" t="str">
        <f t="shared" ca="1" si="67"/>
        <v/>
      </c>
      <c r="BI160" s="20" t="b">
        <f t="shared" ca="1" si="58"/>
        <v>1</v>
      </c>
      <c r="BJ160" s="20" t="b">
        <f t="shared" ca="1" si="59"/>
        <v>1</v>
      </c>
      <c r="BK160" s="1046" t="str">
        <f t="shared" ca="1" si="60"/>
        <v/>
      </c>
    </row>
    <row r="161" spans="1:63" hidden="1">
      <c r="A161" s="1477">
        <f t="shared" si="61"/>
        <v>31</v>
      </c>
      <c r="B161" s="1477"/>
      <c r="C161" s="1477" t="str">
        <f t="shared" ca="1" si="6"/>
        <v>Power Attack (-18)</v>
      </c>
      <c r="D161" s="842" t="str">
        <f t="shared" ca="1" si="7"/>
        <v/>
      </c>
      <c r="E161" s="1498" t="str">
        <f t="shared" ca="1" si="8"/>
        <v/>
      </c>
      <c r="F161" s="508" t="b">
        <f ca="1">IF($C161&lt;&gt;"",IF(INDEX(SpecialModsTable,$A161,6)&lt;&gt;"",IF(NOT(ISERROR(FIND(Weapons!E$76,INDEX(SpecialModsTable,$A161,6),1))),TRUE,FALSE),TRUE),FALSE)</f>
        <v>0</v>
      </c>
      <c r="G161" s="508" t="str">
        <f t="shared" ca="1" si="9"/>
        <v/>
      </c>
      <c r="H161" s="20" t="str">
        <f t="shared" ca="1" si="10"/>
        <v/>
      </c>
      <c r="I161" s="20" t="str">
        <f t="shared" ca="1" si="11"/>
        <v/>
      </c>
      <c r="J161" s="20" t="str">
        <f t="shared" ca="1" si="68"/>
        <v/>
      </c>
      <c r="K161" s="20" t="b">
        <f t="shared" ca="1" si="13"/>
        <v>1</v>
      </c>
      <c r="L161" s="20" t="b">
        <f t="shared" ca="1" si="14"/>
        <v>1</v>
      </c>
      <c r="M161" s="1046" t="str">
        <f t="shared" ca="1" si="15"/>
        <v/>
      </c>
      <c r="N161" s="842" t="str">
        <f t="shared" ca="1" si="16"/>
        <v/>
      </c>
      <c r="O161" s="1498" t="str">
        <f t="shared" ca="1" si="17"/>
        <v/>
      </c>
      <c r="P161" s="508" t="b">
        <f ca="1">IF($C161&lt;&gt;"",IF(INDEX(SpecialModsTable,$A161,6)&lt;&gt;"",IF(NOT(ISERROR(FIND(Weapons!O$76,INDEX(SpecialModsTable,$A161,6),1))),TRUE,FALSE),TRUE),FALSE)</f>
        <v>0</v>
      </c>
      <c r="Q161" s="508" t="str">
        <f t="shared" ca="1" si="18"/>
        <v/>
      </c>
      <c r="R161" s="20" t="str">
        <f t="shared" ca="1" si="19"/>
        <v/>
      </c>
      <c r="S161" s="20" t="str">
        <f t="shared" ca="1" si="20"/>
        <v/>
      </c>
      <c r="T161" s="20" t="str">
        <f t="shared" ca="1" si="63"/>
        <v/>
      </c>
      <c r="U161" s="20" t="b">
        <f t="shared" ca="1" si="22"/>
        <v>1</v>
      </c>
      <c r="V161" s="20" t="b">
        <f t="shared" ca="1" si="23"/>
        <v>1</v>
      </c>
      <c r="W161" s="1046" t="str">
        <f t="shared" ca="1" si="24"/>
        <v/>
      </c>
      <c r="X161" s="842" t="str">
        <f t="shared" ca="1" si="25"/>
        <v/>
      </c>
      <c r="Y161" s="1498" t="str">
        <f t="shared" ca="1" si="26"/>
        <v/>
      </c>
      <c r="Z161" s="508" t="b">
        <f ca="1">IF($C161&lt;&gt;"",IF(INDEX(SpecialModsTable,$A161,6)&lt;&gt;"",IF(NOT(ISERROR(FIND(Weapons!Y$76,INDEX(SpecialModsTable,$A161,6),1))),TRUE,FALSE),TRUE),FALSE)</f>
        <v>0</v>
      </c>
      <c r="AA161" s="508" t="str">
        <f t="shared" ca="1" si="27"/>
        <v/>
      </c>
      <c r="AB161" s="20" t="str">
        <f t="shared" ca="1" si="28"/>
        <v/>
      </c>
      <c r="AC161" s="20" t="str">
        <f t="shared" ca="1" si="29"/>
        <v/>
      </c>
      <c r="AD161" s="20" t="str">
        <f t="shared" ca="1" si="64"/>
        <v/>
      </c>
      <c r="AE161" s="20" t="b">
        <f t="shared" ca="1" si="31"/>
        <v>1</v>
      </c>
      <c r="AF161" s="20" t="b">
        <f t="shared" ca="1" si="32"/>
        <v>1</v>
      </c>
      <c r="AG161" s="1046" t="str">
        <f t="shared" ca="1" si="33"/>
        <v/>
      </c>
      <c r="AH161" s="842" t="str">
        <f t="shared" ca="1" si="34"/>
        <v/>
      </c>
      <c r="AI161" s="1498" t="str">
        <f t="shared" ca="1" si="35"/>
        <v/>
      </c>
      <c r="AJ161" s="508" t="b">
        <f ca="1">IF($C161&lt;&gt;"",IF(INDEX(SpecialModsTable,$A161,6)&lt;&gt;"",IF(NOT(ISERROR(FIND(Weapons!AI$76,INDEX(SpecialModsTable,$A161,6),1))),TRUE,FALSE),TRUE),FALSE)</f>
        <v>0</v>
      </c>
      <c r="AK161" s="508" t="str">
        <f t="shared" ca="1" si="36"/>
        <v/>
      </c>
      <c r="AL161" s="20" t="str">
        <f t="shared" ca="1" si="37"/>
        <v/>
      </c>
      <c r="AM161" s="20" t="str">
        <f t="shared" ca="1" si="38"/>
        <v/>
      </c>
      <c r="AN161" s="20" t="str">
        <f t="shared" ca="1" si="65"/>
        <v/>
      </c>
      <c r="AO161" s="20" t="b">
        <f t="shared" ca="1" si="40"/>
        <v>1</v>
      </c>
      <c r="AP161" s="20" t="b">
        <f t="shared" ca="1" si="41"/>
        <v>1</v>
      </c>
      <c r="AQ161" s="1046" t="str">
        <f t="shared" ca="1" si="42"/>
        <v/>
      </c>
      <c r="AR161" s="842" t="str">
        <f t="shared" ca="1" si="43"/>
        <v/>
      </c>
      <c r="AS161" s="1498" t="str">
        <f t="shared" ca="1" si="44"/>
        <v/>
      </c>
      <c r="AT161" s="508" t="b">
        <f ca="1">IF($C161&lt;&gt;"",IF(INDEX(SpecialModsTable,$A161,6)&lt;&gt;"",IF(NOT(ISERROR(FIND(Weapons!AS$76,INDEX(SpecialModsTable,$A161,6),1))),TRUE,FALSE),TRUE),FALSE)</f>
        <v>0</v>
      </c>
      <c r="AU161" s="508" t="str">
        <f t="shared" ca="1" si="45"/>
        <v/>
      </c>
      <c r="AV161" s="20" t="str">
        <f t="shared" ca="1" si="46"/>
        <v/>
      </c>
      <c r="AW161" s="20" t="str">
        <f t="shared" ca="1" si="47"/>
        <v/>
      </c>
      <c r="AX161" s="20" t="str">
        <f t="shared" ca="1" si="66"/>
        <v/>
      </c>
      <c r="AY161" s="20" t="b">
        <f t="shared" ca="1" si="49"/>
        <v>1</v>
      </c>
      <c r="AZ161" s="20" t="b">
        <f t="shared" ca="1" si="50"/>
        <v>1</v>
      </c>
      <c r="BA161" s="1046" t="str">
        <f t="shared" ca="1" si="51"/>
        <v/>
      </c>
      <c r="BB161" s="842" t="str">
        <f t="shared" ca="1" si="52"/>
        <v/>
      </c>
      <c r="BC161" s="1498" t="str">
        <f t="shared" ca="1" si="53"/>
        <v/>
      </c>
      <c r="BD161" s="508" t="b">
        <f ca="1">IF($C161&lt;&gt;"",IF(INDEX(SpecialModsTable,$A161,6)&lt;&gt;"",IF(NOT(ISERROR(FIND(Weapons!BC$76,INDEX(SpecialModsTable,$A161,6),1))),TRUE,FALSE),TRUE),FALSE)</f>
        <v>0</v>
      </c>
      <c r="BE161" s="508" t="str">
        <f t="shared" ca="1" si="54"/>
        <v/>
      </c>
      <c r="BF161" s="20" t="str">
        <f t="shared" ca="1" si="55"/>
        <v/>
      </c>
      <c r="BG161" s="20" t="str">
        <f t="shared" ca="1" si="56"/>
        <v/>
      </c>
      <c r="BH161" s="20" t="str">
        <f t="shared" ca="1" si="67"/>
        <v/>
      </c>
      <c r="BI161" s="20" t="b">
        <f t="shared" ca="1" si="58"/>
        <v>1</v>
      </c>
      <c r="BJ161" s="20" t="b">
        <f t="shared" ca="1" si="59"/>
        <v>1</v>
      </c>
      <c r="BK161" s="1046" t="str">
        <f t="shared" ca="1" si="60"/>
        <v/>
      </c>
    </row>
    <row r="162" spans="1:63" hidden="1">
      <c r="A162" s="1477">
        <f t="shared" si="61"/>
        <v>32</v>
      </c>
      <c r="B162" s="1477"/>
      <c r="C162" s="1477" t="str">
        <f t="shared" ca="1" si="6"/>
        <v>Power Attack (-19)</v>
      </c>
      <c r="D162" s="842" t="str">
        <f t="shared" ca="1" si="7"/>
        <v/>
      </c>
      <c r="E162" s="1498" t="str">
        <f t="shared" ca="1" si="8"/>
        <v/>
      </c>
      <c r="F162" s="508" t="b">
        <f ca="1">IF($C162&lt;&gt;"",IF(INDEX(SpecialModsTable,$A162,6)&lt;&gt;"",IF(NOT(ISERROR(FIND(Weapons!E$76,INDEX(SpecialModsTable,$A162,6),1))),TRUE,FALSE),TRUE),FALSE)</f>
        <v>0</v>
      </c>
      <c r="G162" s="508" t="str">
        <f t="shared" ca="1" si="9"/>
        <v/>
      </c>
      <c r="H162" s="20" t="str">
        <f t="shared" ca="1" si="10"/>
        <v/>
      </c>
      <c r="I162" s="20" t="str">
        <f t="shared" ca="1" si="11"/>
        <v/>
      </c>
      <c r="J162" s="20" t="str">
        <f t="shared" ca="1" si="68"/>
        <v/>
      </c>
      <c r="K162" s="20" t="b">
        <f t="shared" ca="1" si="13"/>
        <v>1</v>
      </c>
      <c r="L162" s="20" t="b">
        <f t="shared" ca="1" si="14"/>
        <v>1</v>
      </c>
      <c r="M162" s="1046" t="str">
        <f t="shared" ca="1" si="15"/>
        <v/>
      </c>
      <c r="N162" s="842" t="str">
        <f t="shared" ca="1" si="16"/>
        <v/>
      </c>
      <c r="O162" s="1498" t="str">
        <f t="shared" ca="1" si="17"/>
        <v/>
      </c>
      <c r="P162" s="508" t="b">
        <f ca="1">IF($C162&lt;&gt;"",IF(INDEX(SpecialModsTable,$A162,6)&lt;&gt;"",IF(NOT(ISERROR(FIND(Weapons!O$76,INDEX(SpecialModsTable,$A162,6),1))),TRUE,FALSE),TRUE),FALSE)</f>
        <v>0</v>
      </c>
      <c r="Q162" s="508" t="str">
        <f t="shared" ca="1" si="18"/>
        <v/>
      </c>
      <c r="R162" s="20" t="str">
        <f t="shared" ca="1" si="19"/>
        <v/>
      </c>
      <c r="S162" s="20" t="str">
        <f t="shared" ca="1" si="20"/>
        <v/>
      </c>
      <c r="T162" s="20" t="str">
        <f t="shared" ca="1" si="63"/>
        <v/>
      </c>
      <c r="U162" s="20" t="b">
        <f t="shared" ca="1" si="22"/>
        <v>1</v>
      </c>
      <c r="V162" s="20" t="b">
        <f t="shared" ca="1" si="23"/>
        <v>1</v>
      </c>
      <c r="W162" s="1046" t="str">
        <f t="shared" ca="1" si="24"/>
        <v/>
      </c>
      <c r="X162" s="842" t="str">
        <f t="shared" ca="1" si="25"/>
        <v/>
      </c>
      <c r="Y162" s="1498" t="str">
        <f t="shared" ca="1" si="26"/>
        <v/>
      </c>
      <c r="Z162" s="508" t="b">
        <f ca="1">IF($C162&lt;&gt;"",IF(INDEX(SpecialModsTable,$A162,6)&lt;&gt;"",IF(NOT(ISERROR(FIND(Weapons!Y$76,INDEX(SpecialModsTable,$A162,6),1))),TRUE,FALSE),TRUE),FALSE)</f>
        <v>0</v>
      </c>
      <c r="AA162" s="508" t="str">
        <f t="shared" ca="1" si="27"/>
        <v/>
      </c>
      <c r="AB162" s="20" t="str">
        <f t="shared" ca="1" si="28"/>
        <v/>
      </c>
      <c r="AC162" s="20" t="str">
        <f t="shared" ca="1" si="29"/>
        <v/>
      </c>
      <c r="AD162" s="20" t="str">
        <f t="shared" ca="1" si="64"/>
        <v/>
      </c>
      <c r="AE162" s="20" t="b">
        <f t="shared" ca="1" si="31"/>
        <v>1</v>
      </c>
      <c r="AF162" s="20" t="b">
        <f t="shared" ca="1" si="32"/>
        <v>1</v>
      </c>
      <c r="AG162" s="1046" t="str">
        <f t="shared" ca="1" si="33"/>
        <v/>
      </c>
      <c r="AH162" s="842" t="str">
        <f t="shared" ca="1" si="34"/>
        <v/>
      </c>
      <c r="AI162" s="1498" t="str">
        <f t="shared" ca="1" si="35"/>
        <v/>
      </c>
      <c r="AJ162" s="508" t="b">
        <f ca="1">IF($C162&lt;&gt;"",IF(INDEX(SpecialModsTable,$A162,6)&lt;&gt;"",IF(NOT(ISERROR(FIND(Weapons!AI$76,INDEX(SpecialModsTable,$A162,6),1))),TRUE,FALSE),TRUE),FALSE)</f>
        <v>0</v>
      </c>
      <c r="AK162" s="508" t="str">
        <f t="shared" ca="1" si="36"/>
        <v/>
      </c>
      <c r="AL162" s="20" t="str">
        <f t="shared" ca="1" si="37"/>
        <v/>
      </c>
      <c r="AM162" s="20" t="str">
        <f t="shared" ca="1" si="38"/>
        <v/>
      </c>
      <c r="AN162" s="20" t="str">
        <f t="shared" ca="1" si="65"/>
        <v/>
      </c>
      <c r="AO162" s="20" t="b">
        <f t="shared" ca="1" si="40"/>
        <v>1</v>
      </c>
      <c r="AP162" s="20" t="b">
        <f t="shared" ca="1" si="41"/>
        <v>1</v>
      </c>
      <c r="AQ162" s="1046" t="str">
        <f t="shared" ca="1" si="42"/>
        <v/>
      </c>
      <c r="AR162" s="842" t="str">
        <f t="shared" ca="1" si="43"/>
        <v/>
      </c>
      <c r="AS162" s="1498" t="str">
        <f t="shared" ca="1" si="44"/>
        <v/>
      </c>
      <c r="AT162" s="508" t="b">
        <f ca="1">IF($C162&lt;&gt;"",IF(INDEX(SpecialModsTable,$A162,6)&lt;&gt;"",IF(NOT(ISERROR(FIND(Weapons!AS$76,INDEX(SpecialModsTable,$A162,6),1))),TRUE,FALSE),TRUE),FALSE)</f>
        <v>0</v>
      </c>
      <c r="AU162" s="508" t="str">
        <f t="shared" ca="1" si="45"/>
        <v/>
      </c>
      <c r="AV162" s="20" t="str">
        <f t="shared" ca="1" si="46"/>
        <v/>
      </c>
      <c r="AW162" s="20" t="str">
        <f t="shared" ca="1" si="47"/>
        <v/>
      </c>
      <c r="AX162" s="20" t="str">
        <f t="shared" ca="1" si="66"/>
        <v/>
      </c>
      <c r="AY162" s="20" t="b">
        <f t="shared" ca="1" si="49"/>
        <v>1</v>
      </c>
      <c r="AZ162" s="20" t="b">
        <f t="shared" ca="1" si="50"/>
        <v>1</v>
      </c>
      <c r="BA162" s="1046" t="str">
        <f t="shared" ca="1" si="51"/>
        <v/>
      </c>
      <c r="BB162" s="842" t="str">
        <f t="shared" ca="1" si="52"/>
        <v/>
      </c>
      <c r="BC162" s="1498" t="str">
        <f t="shared" ca="1" si="53"/>
        <v/>
      </c>
      <c r="BD162" s="508" t="b">
        <f ca="1">IF($C162&lt;&gt;"",IF(INDEX(SpecialModsTable,$A162,6)&lt;&gt;"",IF(NOT(ISERROR(FIND(Weapons!BC$76,INDEX(SpecialModsTable,$A162,6),1))),TRUE,FALSE),TRUE),FALSE)</f>
        <v>0</v>
      </c>
      <c r="BE162" s="508" t="str">
        <f t="shared" ca="1" si="54"/>
        <v/>
      </c>
      <c r="BF162" s="20" t="str">
        <f t="shared" ca="1" si="55"/>
        <v/>
      </c>
      <c r="BG162" s="20" t="str">
        <f t="shared" ca="1" si="56"/>
        <v/>
      </c>
      <c r="BH162" s="20" t="str">
        <f t="shared" ca="1" si="67"/>
        <v/>
      </c>
      <c r="BI162" s="20" t="b">
        <f t="shared" ca="1" si="58"/>
        <v>1</v>
      </c>
      <c r="BJ162" s="20" t="b">
        <f t="shared" ca="1" si="59"/>
        <v>1</v>
      </c>
      <c r="BK162" s="1046" t="str">
        <f t="shared" ca="1" si="60"/>
        <v/>
      </c>
    </row>
    <row r="163" spans="1:63" hidden="1">
      <c r="A163" s="1477">
        <f t="shared" si="61"/>
        <v>33</v>
      </c>
      <c r="B163" s="1477"/>
      <c r="C163" s="1477" t="str">
        <f t="shared" ref="C163:C194" ca="1" si="69">INDEX(SpecialModsList,A163,1)</f>
        <v>Power Attack (-2)</v>
      </c>
      <c r="D163" s="842" t="str">
        <f t="shared" ref="D163:D194" ca="1" si="70">IF(AND(F163,OR(E$12=INDEX(SpecialModsTable,$A163,7),INDEX(SpecialModsTable,$A163,7)=""),NOT(ISERROR(FIND(IF(NOT(ISERROR(FIND("(",$C163,1))),LEFT($C163,LEN($C163)-(LEN($C163)-FIND("(-",$C163,1)+2)),$C163),SpecialsImportList,1)))),$C163,"")</f>
        <v/>
      </c>
      <c r="E163" s="1498" t="str">
        <f t="shared" ref="E163:E194" ca="1" si="71">IF(D163&lt;&gt;"",IF(K163,D163&amp;"; ","")&amp;IF(J163&lt;&gt;"",J163&amp;" "&amp;INDEX(SpecialModsTable,$A163,12),PROPER(LEFT(INDEX(SpecialModsTable,$A163,12),1))&amp;RIGHT(INDEX(SpecialModsTable,$A163,12),LEN(INDEX(SpecialModsTable,$A163,12))-1)),"")</f>
        <v/>
      </c>
      <c r="F163" s="508" t="b">
        <f ca="1">IF($C163&lt;&gt;"",IF(INDEX(SpecialModsTable,$A163,6)&lt;&gt;"",IF(NOT(ISERROR(FIND(Weapons!E$76,INDEX(SpecialModsTable,$A163,6),1))),TRUE,FALSE),TRUE),FALSE)</f>
        <v>0</v>
      </c>
      <c r="G163" s="508" t="str">
        <f t="shared" ref="G163:G194" ca="1" si="72">IF(D163&lt;&gt;"",IF(INDEX(SpecialModsTable,$A163,2)&lt;&gt;"",INDEX(SpecialModsTable,$A163,2),""),"")</f>
        <v/>
      </c>
      <c r="H163" s="20" t="str">
        <f t="shared" ref="H163:H194" ca="1" si="73">IF(D163&lt;&gt;"",IF(E$16&lt;&gt;"Two-Handed",IF(INDEX(SpecialModsTable,$A163,3)&lt;&gt;"",INDEX(SpecialModsTable,$A163,3),""),IF(INDEX(SpecialModsTable,$A163,4)&lt;&gt;"",INDEX(SpecialModsTable,$A163,4),IF(INDEX(SpecialModsTable,$A163,3)&lt;&gt;"",INDEX(SpecialModsTable,$A163,3),""))),"")</f>
        <v/>
      </c>
      <c r="I163" s="20" t="str">
        <f t="shared" ref="I163:I194" ca="1" si="74">IF(D163&lt;&gt;"",IF(INDEX(SpecialModsTable,$A163,5)&lt;&gt;"",INDEX(SpecialModsTable,$A163,5),""),"")</f>
        <v/>
      </c>
      <c r="J163" s="20" t="str">
        <f t="shared" ca="1" si="68"/>
        <v/>
      </c>
      <c r="K163" s="20" t="b">
        <f t="shared" ref="K163:K194" ca="1" si="75">IF(D163&lt;&gt;"",IF(INDEX(SpecialModsTable,$A163,14)&lt;&gt;"No",TRUE,FALSE),TRUE)</f>
        <v>1</v>
      </c>
      <c r="L163" s="20" t="b">
        <f t="shared" ref="L163:L194" ca="1" si="76">IF(D163&lt;&gt;"",IF(INDEX(SpecialModsTable,$A163,13)="No",TRUE,FALSE),TRUE)</f>
        <v>1</v>
      </c>
      <c r="M163" s="1046" t="str">
        <f t="shared" ref="M163:M194" ca="1" si="77">IF(E163&lt;&gt;"",E163&amp;IF(HTML,"&lt;BR&gt;","")&amp;IF(M164&lt;&gt;"","
"&amp;M164,""),M164)</f>
        <v/>
      </c>
      <c r="N163" s="842" t="str">
        <f t="shared" ca="1" si="16"/>
        <v/>
      </c>
      <c r="O163" s="1498" t="str">
        <f t="shared" ca="1" si="17"/>
        <v/>
      </c>
      <c r="P163" s="508" t="b">
        <f ca="1">IF($C163&lt;&gt;"",IF(INDEX(SpecialModsTable,$A163,6)&lt;&gt;"",IF(NOT(ISERROR(FIND(Weapons!O$76,INDEX(SpecialModsTable,$A163,6),1))),TRUE,FALSE),TRUE),FALSE)</f>
        <v>0</v>
      </c>
      <c r="Q163" s="508" t="str">
        <f t="shared" ca="1" si="18"/>
        <v/>
      </c>
      <c r="R163" s="20" t="str">
        <f t="shared" ca="1" si="19"/>
        <v/>
      </c>
      <c r="S163" s="20" t="str">
        <f t="shared" ca="1" si="20"/>
        <v/>
      </c>
      <c r="T163" s="20" t="str">
        <f t="shared" ca="1" si="63"/>
        <v/>
      </c>
      <c r="U163" s="20" t="b">
        <f t="shared" ca="1" si="22"/>
        <v>1</v>
      </c>
      <c r="V163" s="20" t="b">
        <f t="shared" ca="1" si="23"/>
        <v>1</v>
      </c>
      <c r="W163" s="1046" t="str">
        <f t="shared" ca="1" si="24"/>
        <v/>
      </c>
      <c r="X163" s="842" t="str">
        <f t="shared" ca="1" si="25"/>
        <v/>
      </c>
      <c r="Y163" s="1498" t="str">
        <f t="shared" ca="1" si="26"/>
        <v/>
      </c>
      <c r="Z163" s="508" t="b">
        <f ca="1">IF($C163&lt;&gt;"",IF(INDEX(SpecialModsTable,$A163,6)&lt;&gt;"",IF(NOT(ISERROR(FIND(Weapons!Y$76,INDEX(SpecialModsTable,$A163,6),1))),TRUE,FALSE),TRUE),FALSE)</f>
        <v>0</v>
      </c>
      <c r="AA163" s="508" t="str">
        <f t="shared" ca="1" si="27"/>
        <v/>
      </c>
      <c r="AB163" s="20" t="str">
        <f t="shared" ca="1" si="28"/>
        <v/>
      </c>
      <c r="AC163" s="20" t="str">
        <f t="shared" ca="1" si="29"/>
        <v/>
      </c>
      <c r="AD163" s="20" t="str">
        <f t="shared" ca="1" si="64"/>
        <v/>
      </c>
      <c r="AE163" s="20" t="b">
        <f t="shared" ca="1" si="31"/>
        <v>1</v>
      </c>
      <c r="AF163" s="20" t="b">
        <f t="shared" ca="1" si="32"/>
        <v>1</v>
      </c>
      <c r="AG163" s="1046" t="str">
        <f t="shared" ca="1" si="33"/>
        <v/>
      </c>
      <c r="AH163" s="842" t="str">
        <f t="shared" ca="1" si="34"/>
        <v/>
      </c>
      <c r="AI163" s="1498" t="str">
        <f t="shared" ca="1" si="35"/>
        <v/>
      </c>
      <c r="AJ163" s="508" t="b">
        <f ca="1">IF($C163&lt;&gt;"",IF(INDEX(SpecialModsTable,$A163,6)&lt;&gt;"",IF(NOT(ISERROR(FIND(Weapons!AI$76,INDEX(SpecialModsTable,$A163,6),1))),TRUE,FALSE),TRUE),FALSE)</f>
        <v>0</v>
      </c>
      <c r="AK163" s="508" t="str">
        <f t="shared" ca="1" si="36"/>
        <v/>
      </c>
      <c r="AL163" s="20" t="str">
        <f t="shared" ca="1" si="37"/>
        <v/>
      </c>
      <c r="AM163" s="20" t="str">
        <f t="shared" ca="1" si="38"/>
        <v/>
      </c>
      <c r="AN163" s="20" t="str">
        <f t="shared" ca="1" si="65"/>
        <v/>
      </c>
      <c r="AO163" s="20" t="b">
        <f t="shared" ca="1" si="40"/>
        <v>1</v>
      </c>
      <c r="AP163" s="20" t="b">
        <f t="shared" ca="1" si="41"/>
        <v>1</v>
      </c>
      <c r="AQ163" s="1046" t="str">
        <f t="shared" ca="1" si="42"/>
        <v/>
      </c>
      <c r="AR163" s="842" t="str">
        <f t="shared" ca="1" si="43"/>
        <v/>
      </c>
      <c r="AS163" s="1498" t="str">
        <f t="shared" ca="1" si="44"/>
        <v/>
      </c>
      <c r="AT163" s="508" t="b">
        <f ca="1">IF($C163&lt;&gt;"",IF(INDEX(SpecialModsTable,$A163,6)&lt;&gt;"",IF(NOT(ISERROR(FIND(Weapons!AS$76,INDEX(SpecialModsTable,$A163,6),1))),TRUE,FALSE),TRUE),FALSE)</f>
        <v>0</v>
      </c>
      <c r="AU163" s="508" t="str">
        <f t="shared" ca="1" si="45"/>
        <v/>
      </c>
      <c r="AV163" s="20" t="str">
        <f t="shared" ca="1" si="46"/>
        <v/>
      </c>
      <c r="AW163" s="20" t="str">
        <f t="shared" ca="1" si="47"/>
        <v/>
      </c>
      <c r="AX163" s="20" t="str">
        <f t="shared" ca="1" si="66"/>
        <v/>
      </c>
      <c r="AY163" s="20" t="b">
        <f t="shared" ca="1" si="49"/>
        <v>1</v>
      </c>
      <c r="AZ163" s="20" t="b">
        <f t="shared" ca="1" si="50"/>
        <v>1</v>
      </c>
      <c r="BA163" s="1046" t="str">
        <f t="shared" ca="1" si="51"/>
        <v/>
      </c>
      <c r="BB163" s="842" t="str">
        <f t="shared" ca="1" si="52"/>
        <v/>
      </c>
      <c r="BC163" s="1498" t="str">
        <f t="shared" ca="1" si="53"/>
        <v/>
      </c>
      <c r="BD163" s="508" t="b">
        <f ca="1">IF($C163&lt;&gt;"",IF(INDEX(SpecialModsTable,$A163,6)&lt;&gt;"",IF(NOT(ISERROR(FIND(Weapons!BC$76,INDEX(SpecialModsTable,$A163,6),1))),TRUE,FALSE),TRUE),FALSE)</f>
        <v>0</v>
      </c>
      <c r="BE163" s="508" t="str">
        <f t="shared" ca="1" si="54"/>
        <v/>
      </c>
      <c r="BF163" s="20" t="str">
        <f t="shared" ca="1" si="55"/>
        <v/>
      </c>
      <c r="BG163" s="20" t="str">
        <f t="shared" ca="1" si="56"/>
        <v/>
      </c>
      <c r="BH163" s="20" t="str">
        <f t="shared" ca="1" si="67"/>
        <v/>
      </c>
      <c r="BI163" s="20" t="b">
        <f t="shared" ca="1" si="58"/>
        <v>1</v>
      </c>
      <c r="BJ163" s="20" t="b">
        <f t="shared" ca="1" si="59"/>
        <v>1</v>
      </c>
      <c r="BK163" s="1046" t="str">
        <f t="shared" ca="1" si="60"/>
        <v/>
      </c>
    </row>
    <row r="164" spans="1:63" hidden="1">
      <c r="A164" s="1477">
        <f t="shared" si="61"/>
        <v>34</v>
      </c>
      <c r="B164" s="1477"/>
      <c r="C164" s="1477" t="str">
        <f t="shared" ca="1" si="69"/>
        <v>Power Attack (-20)</v>
      </c>
      <c r="D164" s="842" t="str">
        <f t="shared" ca="1" si="70"/>
        <v/>
      </c>
      <c r="E164" s="1498" t="str">
        <f t="shared" ca="1" si="71"/>
        <v/>
      </c>
      <c r="F164" s="508" t="b">
        <f ca="1">IF($C164&lt;&gt;"",IF(INDEX(SpecialModsTable,$A164,6)&lt;&gt;"",IF(NOT(ISERROR(FIND(Weapons!E$76,INDEX(SpecialModsTable,$A164,6),1))),TRUE,FALSE),TRUE),FALSE)</f>
        <v>0</v>
      </c>
      <c r="G164" s="508" t="str">
        <f t="shared" ca="1" si="72"/>
        <v/>
      </c>
      <c r="H164" s="20" t="str">
        <f t="shared" ca="1" si="73"/>
        <v/>
      </c>
      <c r="I164" s="20" t="str">
        <f t="shared" ca="1" si="74"/>
        <v/>
      </c>
      <c r="J164" s="20" t="str">
        <f t="shared" ca="1" si="68"/>
        <v/>
      </c>
      <c r="K164" s="20" t="b">
        <f t="shared" ca="1" si="75"/>
        <v>1</v>
      </c>
      <c r="L164" s="20" t="b">
        <f t="shared" ca="1" si="76"/>
        <v>1</v>
      </c>
      <c r="M164" s="1046" t="str">
        <f t="shared" ca="1" si="77"/>
        <v/>
      </c>
      <c r="N164" s="842" t="str">
        <f t="shared" ca="1" si="16"/>
        <v/>
      </c>
      <c r="O164" s="1498" t="str">
        <f t="shared" ca="1" si="17"/>
        <v/>
      </c>
      <c r="P164" s="508" t="b">
        <f ca="1">IF($C164&lt;&gt;"",IF(INDEX(SpecialModsTable,$A164,6)&lt;&gt;"",IF(NOT(ISERROR(FIND(Weapons!O$76,INDEX(SpecialModsTable,$A164,6),1))),TRUE,FALSE),TRUE),FALSE)</f>
        <v>0</v>
      </c>
      <c r="Q164" s="508" t="str">
        <f t="shared" ca="1" si="18"/>
        <v/>
      </c>
      <c r="R164" s="20" t="str">
        <f t="shared" ca="1" si="19"/>
        <v/>
      </c>
      <c r="S164" s="20" t="str">
        <f t="shared" ca="1" si="20"/>
        <v/>
      </c>
      <c r="T164" s="20" t="str">
        <f t="shared" ca="1" si="63"/>
        <v/>
      </c>
      <c r="U164" s="20" t="b">
        <f t="shared" ca="1" si="22"/>
        <v>1</v>
      </c>
      <c r="V164" s="20" t="b">
        <f t="shared" ca="1" si="23"/>
        <v>1</v>
      </c>
      <c r="W164" s="1046" t="str">
        <f t="shared" ca="1" si="24"/>
        <v/>
      </c>
      <c r="X164" s="842" t="str">
        <f t="shared" ca="1" si="25"/>
        <v/>
      </c>
      <c r="Y164" s="1498" t="str">
        <f t="shared" ca="1" si="26"/>
        <v/>
      </c>
      <c r="Z164" s="508" t="b">
        <f ca="1">IF($C164&lt;&gt;"",IF(INDEX(SpecialModsTable,$A164,6)&lt;&gt;"",IF(NOT(ISERROR(FIND(Weapons!Y$76,INDEX(SpecialModsTable,$A164,6),1))),TRUE,FALSE),TRUE),FALSE)</f>
        <v>0</v>
      </c>
      <c r="AA164" s="508" t="str">
        <f t="shared" ca="1" si="27"/>
        <v/>
      </c>
      <c r="AB164" s="20" t="str">
        <f t="shared" ca="1" si="28"/>
        <v/>
      </c>
      <c r="AC164" s="20" t="str">
        <f t="shared" ca="1" si="29"/>
        <v/>
      </c>
      <c r="AD164" s="20" t="str">
        <f t="shared" ca="1" si="64"/>
        <v/>
      </c>
      <c r="AE164" s="20" t="b">
        <f t="shared" ca="1" si="31"/>
        <v>1</v>
      </c>
      <c r="AF164" s="20" t="b">
        <f t="shared" ca="1" si="32"/>
        <v>1</v>
      </c>
      <c r="AG164" s="1046" t="str">
        <f t="shared" ca="1" si="33"/>
        <v/>
      </c>
      <c r="AH164" s="842" t="str">
        <f t="shared" ca="1" si="34"/>
        <v/>
      </c>
      <c r="AI164" s="1498" t="str">
        <f t="shared" ca="1" si="35"/>
        <v/>
      </c>
      <c r="AJ164" s="508" t="b">
        <f ca="1">IF($C164&lt;&gt;"",IF(INDEX(SpecialModsTable,$A164,6)&lt;&gt;"",IF(NOT(ISERROR(FIND(Weapons!AI$76,INDEX(SpecialModsTable,$A164,6),1))),TRUE,FALSE),TRUE),FALSE)</f>
        <v>0</v>
      </c>
      <c r="AK164" s="508" t="str">
        <f t="shared" ca="1" si="36"/>
        <v/>
      </c>
      <c r="AL164" s="20" t="str">
        <f t="shared" ca="1" si="37"/>
        <v/>
      </c>
      <c r="AM164" s="20" t="str">
        <f t="shared" ca="1" si="38"/>
        <v/>
      </c>
      <c r="AN164" s="20" t="str">
        <f t="shared" ca="1" si="65"/>
        <v/>
      </c>
      <c r="AO164" s="20" t="b">
        <f t="shared" ca="1" si="40"/>
        <v>1</v>
      </c>
      <c r="AP164" s="20" t="b">
        <f t="shared" ca="1" si="41"/>
        <v>1</v>
      </c>
      <c r="AQ164" s="1046" t="str">
        <f t="shared" ca="1" si="42"/>
        <v/>
      </c>
      <c r="AR164" s="842" t="str">
        <f t="shared" ca="1" si="43"/>
        <v/>
      </c>
      <c r="AS164" s="1498" t="str">
        <f t="shared" ca="1" si="44"/>
        <v/>
      </c>
      <c r="AT164" s="508" t="b">
        <f ca="1">IF($C164&lt;&gt;"",IF(INDEX(SpecialModsTable,$A164,6)&lt;&gt;"",IF(NOT(ISERROR(FIND(Weapons!AS$76,INDEX(SpecialModsTable,$A164,6),1))),TRUE,FALSE),TRUE),FALSE)</f>
        <v>0</v>
      </c>
      <c r="AU164" s="508" t="str">
        <f t="shared" ca="1" si="45"/>
        <v/>
      </c>
      <c r="AV164" s="20" t="str">
        <f t="shared" ca="1" si="46"/>
        <v/>
      </c>
      <c r="AW164" s="20" t="str">
        <f t="shared" ca="1" si="47"/>
        <v/>
      </c>
      <c r="AX164" s="20" t="str">
        <f t="shared" ca="1" si="66"/>
        <v/>
      </c>
      <c r="AY164" s="20" t="b">
        <f t="shared" ca="1" si="49"/>
        <v>1</v>
      </c>
      <c r="AZ164" s="20" t="b">
        <f t="shared" ca="1" si="50"/>
        <v>1</v>
      </c>
      <c r="BA164" s="1046" t="str">
        <f t="shared" ca="1" si="51"/>
        <v/>
      </c>
      <c r="BB164" s="842" t="str">
        <f t="shared" ca="1" si="52"/>
        <v/>
      </c>
      <c r="BC164" s="1498" t="str">
        <f t="shared" ca="1" si="53"/>
        <v/>
      </c>
      <c r="BD164" s="508" t="b">
        <f ca="1">IF($C164&lt;&gt;"",IF(INDEX(SpecialModsTable,$A164,6)&lt;&gt;"",IF(NOT(ISERROR(FIND(Weapons!BC$76,INDEX(SpecialModsTable,$A164,6),1))),TRUE,FALSE),TRUE),FALSE)</f>
        <v>0</v>
      </c>
      <c r="BE164" s="508" t="str">
        <f t="shared" ca="1" si="54"/>
        <v/>
      </c>
      <c r="BF164" s="20" t="str">
        <f t="shared" ca="1" si="55"/>
        <v/>
      </c>
      <c r="BG164" s="20" t="str">
        <f t="shared" ca="1" si="56"/>
        <v/>
      </c>
      <c r="BH164" s="20" t="str">
        <f t="shared" ca="1" si="67"/>
        <v/>
      </c>
      <c r="BI164" s="20" t="b">
        <f t="shared" ca="1" si="58"/>
        <v>1</v>
      </c>
      <c r="BJ164" s="20" t="b">
        <f t="shared" ca="1" si="59"/>
        <v>1</v>
      </c>
      <c r="BK164" s="1046" t="str">
        <f t="shared" ca="1" si="60"/>
        <v/>
      </c>
    </row>
    <row r="165" spans="1:63" hidden="1">
      <c r="A165" s="1477">
        <f t="shared" si="61"/>
        <v>35</v>
      </c>
      <c r="B165" s="1477"/>
      <c r="C165" s="1477" t="str">
        <f t="shared" ca="1" si="69"/>
        <v>Power Attack (-3)</v>
      </c>
      <c r="D165" s="842" t="str">
        <f t="shared" ca="1" si="70"/>
        <v/>
      </c>
      <c r="E165" s="1498" t="str">
        <f t="shared" ca="1" si="71"/>
        <v/>
      </c>
      <c r="F165" s="508" t="b">
        <f ca="1">IF($C165&lt;&gt;"",IF(INDEX(SpecialModsTable,$A165,6)&lt;&gt;"",IF(NOT(ISERROR(FIND(Weapons!E$76,INDEX(SpecialModsTable,$A165,6),1))),TRUE,FALSE),TRUE),FALSE)</f>
        <v>0</v>
      </c>
      <c r="G165" s="508" t="str">
        <f t="shared" ca="1" si="72"/>
        <v/>
      </c>
      <c r="H165" s="20" t="str">
        <f t="shared" ca="1" si="73"/>
        <v/>
      </c>
      <c r="I165" s="20" t="str">
        <f t="shared" ca="1" si="74"/>
        <v/>
      </c>
      <c r="J165" s="20" t="str">
        <f t="shared" ca="1" si="68"/>
        <v/>
      </c>
      <c r="K165" s="20" t="b">
        <f t="shared" ca="1" si="75"/>
        <v>1</v>
      </c>
      <c r="L165" s="20" t="b">
        <f t="shared" ca="1" si="76"/>
        <v>1</v>
      </c>
      <c r="M165" s="1046" t="str">
        <f t="shared" ca="1" si="77"/>
        <v/>
      </c>
      <c r="N165" s="842" t="str">
        <f t="shared" ca="1" si="16"/>
        <v/>
      </c>
      <c r="O165" s="1498" t="str">
        <f t="shared" ca="1" si="17"/>
        <v/>
      </c>
      <c r="P165" s="508" t="b">
        <f ca="1">IF($C165&lt;&gt;"",IF(INDEX(SpecialModsTable,$A165,6)&lt;&gt;"",IF(NOT(ISERROR(FIND(Weapons!O$76,INDEX(SpecialModsTable,$A165,6),1))),TRUE,FALSE),TRUE),FALSE)</f>
        <v>0</v>
      </c>
      <c r="Q165" s="508" t="str">
        <f t="shared" ca="1" si="18"/>
        <v/>
      </c>
      <c r="R165" s="20" t="str">
        <f t="shared" ca="1" si="19"/>
        <v/>
      </c>
      <c r="S165" s="20" t="str">
        <f t="shared" ca="1" si="20"/>
        <v/>
      </c>
      <c r="T165" s="20" t="str">
        <f t="shared" ca="1" si="63"/>
        <v/>
      </c>
      <c r="U165" s="20" t="b">
        <f t="shared" ca="1" si="22"/>
        <v>1</v>
      </c>
      <c r="V165" s="20" t="b">
        <f t="shared" ca="1" si="23"/>
        <v>1</v>
      </c>
      <c r="W165" s="1046" t="str">
        <f t="shared" ca="1" si="24"/>
        <v/>
      </c>
      <c r="X165" s="842" t="str">
        <f t="shared" ca="1" si="25"/>
        <v/>
      </c>
      <c r="Y165" s="1498" t="str">
        <f t="shared" ca="1" si="26"/>
        <v/>
      </c>
      <c r="Z165" s="508" t="b">
        <f ca="1">IF($C165&lt;&gt;"",IF(INDEX(SpecialModsTable,$A165,6)&lt;&gt;"",IF(NOT(ISERROR(FIND(Weapons!Y$76,INDEX(SpecialModsTable,$A165,6),1))),TRUE,FALSE),TRUE),FALSE)</f>
        <v>0</v>
      </c>
      <c r="AA165" s="508" t="str">
        <f t="shared" ca="1" si="27"/>
        <v/>
      </c>
      <c r="AB165" s="20" t="str">
        <f t="shared" ca="1" si="28"/>
        <v/>
      </c>
      <c r="AC165" s="20" t="str">
        <f t="shared" ca="1" si="29"/>
        <v/>
      </c>
      <c r="AD165" s="20" t="str">
        <f t="shared" ca="1" si="64"/>
        <v/>
      </c>
      <c r="AE165" s="20" t="b">
        <f t="shared" ca="1" si="31"/>
        <v>1</v>
      </c>
      <c r="AF165" s="20" t="b">
        <f t="shared" ca="1" si="32"/>
        <v>1</v>
      </c>
      <c r="AG165" s="1046" t="str">
        <f t="shared" ca="1" si="33"/>
        <v/>
      </c>
      <c r="AH165" s="842" t="str">
        <f t="shared" ca="1" si="34"/>
        <v/>
      </c>
      <c r="AI165" s="1498" t="str">
        <f t="shared" ca="1" si="35"/>
        <v/>
      </c>
      <c r="AJ165" s="508" t="b">
        <f ca="1">IF($C165&lt;&gt;"",IF(INDEX(SpecialModsTable,$A165,6)&lt;&gt;"",IF(NOT(ISERROR(FIND(Weapons!AI$76,INDEX(SpecialModsTable,$A165,6),1))),TRUE,FALSE),TRUE),FALSE)</f>
        <v>0</v>
      </c>
      <c r="AK165" s="508" t="str">
        <f t="shared" ca="1" si="36"/>
        <v/>
      </c>
      <c r="AL165" s="20" t="str">
        <f t="shared" ca="1" si="37"/>
        <v/>
      </c>
      <c r="AM165" s="20" t="str">
        <f t="shared" ca="1" si="38"/>
        <v/>
      </c>
      <c r="AN165" s="20" t="str">
        <f t="shared" ca="1" si="65"/>
        <v/>
      </c>
      <c r="AO165" s="20" t="b">
        <f t="shared" ca="1" si="40"/>
        <v>1</v>
      </c>
      <c r="AP165" s="20" t="b">
        <f t="shared" ca="1" si="41"/>
        <v>1</v>
      </c>
      <c r="AQ165" s="1046" t="str">
        <f t="shared" ca="1" si="42"/>
        <v/>
      </c>
      <c r="AR165" s="842" t="str">
        <f t="shared" ca="1" si="43"/>
        <v/>
      </c>
      <c r="AS165" s="1498" t="str">
        <f t="shared" ca="1" si="44"/>
        <v/>
      </c>
      <c r="AT165" s="508" t="b">
        <f ca="1">IF($C165&lt;&gt;"",IF(INDEX(SpecialModsTable,$A165,6)&lt;&gt;"",IF(NOT(ISERROR(FIND(Weapons!AS$76,INDEX(SpecialModsTable,$A165,6),1))),TRUE,FALSE),TRUE),FALSE)</f>
        <v>0</v>
      </c>
      <c r="AU165" s="508" t="str">
        <f t="shared" ca="1" si="45"/>
        <v/>
      </c>
      <c r="AV165" s="20" t="str">
        <f t="shared" ca="1" si="46"/>
        <v/>
      </c>
      <c r="AW165" s="20" t="str">
        <f t="shared" ca="1" si="47"/>
        <v/>
      </c>
      <c r="AX165" s="20" t="str">
        <f t="shared" ca="1" si="66"/>
        <v/>
      </c>
      <c r="AY165" s="20" t="b">
        <f t="shared" ca="1" si="49"/>
        <v>1</v>
      </c>
      <c r="AZ165" s="20" t="b">
        <f t="shared" ca="1" si="50"/>
        <v>1</v>
      </c>
      <c r="BA165" s="1046" t="str">
        <f t="shared" ca="1" si="51"/>
        <v/>
      </c>
      <c r="BB165" s="842" t="str">
        <f t="shared" ca="1" si="52"/>
        <v/>
      </c>
      <c r="BC165" s="1498" t="str">
        <f t="shared" ca="1" si="53"/>
        <v/>
      </c>
      <c r="BD165" s="508" t="b">
        <f ca="1">IF($C165&lt;&gt;"",IF(INDEX(SpecialModsTable,$A165,6)&lt;&gt;"",IF(NOT(ISERROR(FIND(Weapons!BC$76,INDEX(SpecialModsTable,$A165,6),1))),TRUE,FALSE),TRUE),FALSE)</f>
        <v>0</v>
      </c>
      <c r="BE165" s="508" t="str">
        <f t="shared" ca="1" si="54"/>
        <v/>
      </c>
      <c r="BF165" s="20" t="str">
        <f t="shared" ca="1" si="55"/>
        <v/>
      </c>
      <c r="BG165" s="20" t="str">
        <f t="shared" ca="1" si="56"/>
        <v/>
      </c>
      <c r="BH165" s="20" t="str">
        <f t="shared" ca="1" si="67"/>
        <v/>
      </c>
      <c r="BI165" s="20" t="b">
        <f t="shared" ca="1" si="58"/>
        <v>1</v>
      </c>
      <c r="BJ165" s="20" t="b">
        <f t="shared" ca="1" si="59"/>
        <v>1</v>
      </c>
      <c r="BK165" s="1046" t="str">
        <f t="shared" ca="1" si="60"/>
        <v/>
      </c>
    </row>
    <row r="166" spans="1:63" hidden="1">
      <c r="A166" s="1477">
        <f t="shared" si="61"/>
        <v>36</v>
      </c>
      <c r="B166" s="1477"/>
      <c r="C166" s="1477" t="str">
        <f t="shared" ca="1" si="69"/>
        <v>Power Attack (-4)</v>
      </c>
      <c r="D166" s="842" t="str">
        <f t="shared" ca="1" si="70"/>
        <v/>
      </c>
      <c r="E166" s="1498" t="str">
        <f t="shared" ca="1" si="71"/>
        <v/>
      </c>
      <c r="F166" s="508" t="b">
        <f ca="1">IF($C166&lt;&gt;"",IF(INDEX(SpecialModsTable,$A166,6)&lt;&gt;"",IF(NOT(ISERROR(FIND(Weapons!E$76,INDEX(SpecialModsTable,$A166,6),1))),TRUE,FALSE),TRUE),FALSE)</f>
        <v>0</v>
      </c>
      <c r="G166" s="508" t="str">
        <f t="shared" ca="1" si="72"/>
        <v/>
      </c>
      <c r="H166" s="20" t="str">
        <f t="shared" ca="1" si="73"/>
        <v/>
      </c>
      <c r="I166" s="20" t="str">
        <f t="shared" ca="1" si="74"/>
        <v/>
      </c>
      <c r="J166" s="20" t="str">
        <f t="shared" ca="1" si="68"/>
        <v/>
      </c>
      <c r="K166" s="20" t="b">
        <f t="shared" ca="1" si="75"/>
        <v>1</v>
      </c>
      <c r="L166" s="20" t="b">
        <f t="shared" ca="1" si="76"/>
        <v>1</v>
      </c>
      <c r="M166" s="1046" t="str">
        <f t="shared" ca="1" si="77"/>
        <v/>
      </c>
      <c r="N166" s="842" t="str">
        <f t="shared" ca="1" si="16"/>
        <v/>
      </c>
      <c r="O166" s="1498" t="str">
        <f t="shared" ca="1" si="17"/>
        <v/>
      </c>
      <c r="P166" s="508" t="b">
        <f ca="1">IF($C166&lt;&gt;"",IF(INDEX(SpecialModsTable,$A166,6)&lt;&gt;"",IF(NOT(ISERROR(FIND(Weapons!O$76,INDEX(SpecialModsTable,$A166,6),1))),TRUE,FALSE),TRUE),FALSE)</f>
        <v>0</v>
      </c>
      <c r="Q166" s="508" t="str">
        <f t="shared" ca="1" si="18"/>
        <v/>
      </c>
      <c r="R166" s="20" t="str">
        <f t="shared" ca="1" si="19"/>
        <v/>
      </c>
      <c r="S166" s="20" t="str">
        <f t="shared" ca="1" si="20"/>
        <v/>
      </c>
      <c r="T166" s="20" t="str">
        <f t="shared" ca="1" si="63"/>
        <v/>
      </c>
      <c r="U166" s="20" t="b">
        <f t="shared" ca="1" si="22"/>
        <v>1</v>
      </c>
      <c r="V166" s="20" t="b">
        <f t="shared" ca="1" si="23"/>
        <v>1</v>
      </c>
      <c r="W166" s="1046" t="str">
        <f t="shared" ca="1" si="24"/>
        <v/>
      </c>
      <c r="X166" s="842" t="str">
        <f t="shared" ca="1" si="25"/>
        <v/>
      </c>
      <c r="Y166" s="1498" t="str">
        <f t="shared" ca="1" si="26"/>
        <v/>
      </c>
      <c r="Z166" s="508" t="b">
        <f ca="1">IF($C166&lt;&gt;"",IF(INDEX(SpecialModsTable,$A166,6)&lt;&gt;"",IF(NOT(ISERROR(FIND(Weapons!Y$76,INDEX(SpecialModsTable,$A166,6),1))),TRUE,FALSE),TRUE),FALSE)</f>
        <v>0</v>
      </c>
      <c r="AA166" s="508" t="str">
        <f t="shared" ca="1" si="27"/>
        <v/>
      </c>
      <c r="AB166" s="20" t="str">
        <f t="shared" ca="1" si="28"/>
        <v/>
      </c>
      <c r="AC166" s="20" t="str">
        <f t="shared" ca="1" si="29"/>
        <v/>
      </c>
      <c r="AD166" s="20" t="str">
        <f t="shared" ca="1" si="64"/>
        <v/>
      </c>
      <c r="AE166" s="20" t="b">
        <f t="shared" ca="1" si="31"/>
        <v>1</v>
      </c>
      <c r="AF166" s="20" t="b">
        <f t="shared" ca="1" si="32"/>
        <v>1</v>
      </c>
      <c r="AG166" s="1046" t="str">
        <f t="shared" ca="1" si="33"/>
        <v/>
      </c>
      <c r="AH166" s="842" t="str">
        <f t="shared" ca="1" si="34"/>
        <v/>
      </c>
      <c r="AI166" s="1498" t="str">
        <f t="shared" ca="1" si="35"/>
        <v/>
      </c>
      <c r="AJ166" s="508" t="b">
        <f ca="1">IF($C166&lt;&gt;"",IF(INDEX(SpecialModsTable,$A166,6)&lt;&gt;"",IF(NOT(ISERROR(FIND(Weapons!AI$76,INDEX(SpecialModsTable,$A166,6),1))),TRUE,FALSE),TRUE),FALSE)</f>
        <v>0</v>
      </c>
      <c r="AK166" s="508" t="str">
        <f t="shared" ca="1" si="36"/>
        <v/>
      </c>
      <c r="AL166" s="20" t="str">
        <f t="shared" ca="1" si="37"/>
        <v/>
      </c>
      <c r="AM166" s="20" t="str">
        <f t="shared" ca="1" si="38"/>
        <v/>
      </c>
      <c r="AN166" s="20" t="str">
        <f t="shared" ca="1" si="65"/>
        <v/>
      </c>
      <c r="AO166" s="20" t="b">
        <f t="shared" ca="1" si="40"/>
        <v>1</v>
      </c>
      <c r="AP166" s="20" t="b">
        <f t="shared" ca="1" si="41"/>
        <v>1</v>
      </c>
      <c r="AQ166" s="1046" t="str">
        <f t="shared" ca="1" si="42"/>
        <v/>
      </c>
      <c r="AR166" s="842" t="str">
        <f t="shared" ca="1" si="43"/>
        <v/>
      </c>
      <c r="AS166" s="1498" t="str">
        <f t="shared" ca="1" si="44"/>
        <v/>
      </c>
      <c r="AT166" s="508" t="b">
        <f ca="1">IF($C166&lt;&gt;"",IF(INDEX(SpecialModsTable,$A166,6)&lt;&gt;"",IF(NOT(ISERROR(FIND(Weapons!AS$76,INDEX(SpecialModsTable,$A166,6),1))),TRUE,FALSE),TRUE),FALSE)</f>
        <v>0</v>
      </c>
      <c r="AU166" s="508" t="str">
        <f t="shared" ca="1" si="45"/>
        <v/>
      </c>
      <c r="AV166" s="20" t="str">
        <f t="shared" ca="1" si="46"/>
        <v/>
      </c>
      <c r="AW166" s="20" t="str">
        <f t="shared" ca="1" si="47"/>
        <v/>
      </c>
      <c r="AX166" s="20" t="str">
        <f t="shared" ca="1" si="66"/>
        <v/>
      </c>
      <c r="AY166" s="20" t="b">
        <f t="shared" ca="1" si="49"/>
        <v>1</v>
      </c>
      <c r="AZ166" s="20" t="b">
        <f t="shared" ca="1" si="50"/>
        <v>1</v>
      </c>
      <c r="BA166" s="1046" t="str">
        <f t="shared" ca="1" si="51"/>
        <v/>
      </c>
      <c r="BB166" s="842" t="str">
        <f t="shared" ca="1" si="52"/>
        <v/>
      </c>
      <c r="BC166" s="1498" t="str">
        <f t="shared" ca="1" si="53"/>
        <v/>
      </c>
      <c r="BD166" s="508" t="b">
        <f ca="1">IF($C166&lt;&gt;"",IF(INDEX(SpecialModsTable,$A166,6)&lt;&gt;"",IF(NOT(ISERROR(FIND(Weapons!BC$76,INDEX(SpecialModsTable,$A166,6),1))),TRUE,FALSE),TRUE),FALSE)</f>
        <v>0</v>
      </c>
      <c r="BE166" s="508" t="str">
        <f t="shared" ca="1" si="54"/>
        <v/>
      </c>
      <c r="BF166" s="20" t="str">
        <f t="shared" ca="1" si="55"/>
        <v/>
      </c>
      <c r="BG166" s="20" t="str">
        <f t="shared" ca="1" si="56"/>
        <v/>
      </c>
      <c r="BH166" s="20" t="str">
        <f t="shared" ca="1" si="67"/>
        <v/>
      </c>
      <c r="BI166" s="20" t="b">
        <f t="shared" ca="1" si="58"/>
        <v>1</v>
      </c>
      <c r="BJ166" s="20" t="b">
        <f t="shared" ca="1" si="59"/>
        <v>1</v>
      </c>
      <c r="BK166" s="1046" t="str">
        <f t="shared" ca="1" si="60"/>
        <v/>
      </c>
    </row>
    <row r="167" spans="1:63" hidden="1">
      <c r="A167" s="1477">
        <f t="shared" si="61"/>
        <v>37</v>
      </c>
      <c r="B167" s="1477"/>
      <c r="C167" s="1477" t="str">
        <f t="shared" ca="1" si="69"/>
        <v>Power Attack (-5)</v>
      </c>
      <c r="D167" s="842" t="str">
        <f t="shared" ca="1" si="70"/>
        <v/>
      </c>
      <c r="E167" s="1498" t="str">
        <f t="shared" ca="1" si="71"/>
        <v/>
      </c>
      <c r="F167" s="508" t="b">
        <f ca="1">IF($C167&lt;&gt;"",IF(INDEX(SpecialModsTable,$A167,6)&lt;&gt;"",IF(NOT(ISERROR(FIND(Weapons!E$76,INDEX(SpecialModsTable,$A167,6),1))),TRUE,FALSE),TRUE),FALSE)</f>
        <v>0</v>
      </c>
      <c r="G167" s="508" t="str">
        <f t="shared" ca="1" si="72"/>
        <v/>
      </c>
      <c r="H167" s="20" t="str">
        <f t="shared" ca="1" si="73"/>
        <v/>
      </c>
      <c r="I167" s="20" t="str">
        <f t="shared" ca="1" si="74"/>
        <v/>
      </c>
      <c r="J167" s="20" t="str">
        <f t="shared" ca="1" si="68"/>
        <v/>
      </c>
      <c r="K167" s="20" t="b">
        <f t="shared" ca="1" si="75"/>
        <v>1</v>
      </c>
      <c r="L167" s="20" t="b">
        <f t="shared" ca="1" si="76"/>
        <v>1</v>
      </c>
      <c r="M167" s="1046" t="str">
        <f t="shared" ca="1" si="77"/>
        <v/>
      </c>
      <c r="N167" s="842" t="str">
        <f t="shared" ca="1" si="16"/>
        <v/>
      </c>
      <c r="O167" s="1498" t="str">
        <f t="shared" ca="1" si="17"/>
        <v/>
      </c>
      <c r="P167" s="508" t="b">
        <f ca="1">IF($C167&lt;&gt;"",IF(INDEX(SpecialModsTable,$A167,6)&lt;&gt;"",IF(NOT(ISERROR(FIND(Weapons!O$76,INDEX(SpecialModsTable,$A167,6),1))),TRUE,FALSE),TRUE),FALSE)</f>
        <v>0</v>
      </c>
      <c r="Q167" s="508" t="str">
        <f t="shared" ca="1" si="18"/>
        <v/>
      </c>
      <c r="R167" s="20" t="str">
        <f t="shared" ca="1" si="19"/>
        <v/>
      </c>
      <c r="S167" s="20" t="str">
        <f t="shared" ca="1" si="20"/>
        <v/>
      </c>
      <c r="T167" s="20" t="str">
        <f t="shared" ca="1" si="63"/>
        <v/>
      </c>
      <c r="U167" s="20" t="b">
        <f t="shared" ca="1" si="22"/>
        <v>1</v>
      </c>
      <c r="V167" s="20" t="b">
        <f t="shared" ca="1" si="23"/>
        <v>1</v>
      </c>
      <c r="W167" s="1046" t="str">
        <f t="shared" ca="1" si="24"/>
        <v/>
      </c>
      <c r="X167" s="842" t="str">
        <f t="shared" ca="1" si="25"/>
        <v/>
      </c>
      <c r="Y167" s="1498" t="str">
        <f t="shared" ca="1" si="26"/>
        <v/>
      </c>
      <c r="Z167" s="508" t="b">
        <f ca="1">IF($C167&lt;&gt;"",IF(INDEX(SpecialModsTable,$A167,6)&lt;&gt;"",IF(NOT(ISERROR(FIND(Weapons!Y$76,INDEX(SpecialModsTable,$A167,6),1))),TRUE,FALSE),TRUE),FALSE)</f>
        <v>0</v>
      </c>
      <c r="AA167" s="508" t="str">
        <f t="shared" ca="1" si="27"/>
        <v/>
      </c>
      <c r="AB167" s="20" t="str">
        <f t="shared" ca="1" si="28"/>
        <v/>
      </c>
      <c r="AC167" s="20" t="str">
        <f t="shared" ca="1" si="29"/>
        <v/>
      </c>
      <c r="AD167" s="20" t="str">
        <f t="shared" ca="1" si="64"/>
        <v/>
      </c>
      <c r="AE167" s="20" t="b">
        <f t="shared" ca="1" si="31"/>
        <v>1</v>
      </c>
      <c r="AF167" s="20" t="b">
        <f t="shared" ca="1" si="32"/>
        <v>1</v>
      </c>
      <c r="AG167" s="1046" t="str">
        <f t="shared" ca="1" si="33"/>
        <v/>
      </c>
      <c r="AH167" s="842" t="str">
        <f t="shared" ca="1" si="34"/>
        <v/>
      </c>
      <c r="AI167" s="1498" t="str">
        <f t="shared" ca="1" si="35"/>
        <v/>
      </c>
      <c r="AJ167" s="508" t="b">
        <f ca="1">IF($C167&lt;&gt;"",IF(INDEX(SpecialModsTable,$A167,6)&lt;&gt;"",IF(NOT(ISERROR(FIND(Weapons!AI$76,INDEX(SpecialModsTable,$A167,6),1))),TRUE,FALSE),TRUE),FALSE)</f>
        <v>0</v>
      </c>
      <c r="AK167" s="508" t="str">
        <f t="shared" ca="1" si="36"/>
        <v/>
      </c>
      <c r="AL167" s="20" t="str">
        <f t="shared" ca="1" si="37"/>
        <v/>
      </c>
      <c r="AM167" s="20" t="str">
        <f t="shared" ca="1" si="38"/>
        <v/>
      </c>
      <c r="AN167" s="20" t="str">
        <f t="shared" ca="1" si="65"/>
        <v/>
      </c>
      <c r="AO167" s="20" t="b">
        <f t="shared" ca="1" si="40"/>
        <v>1</v>
      </c>
      <c r="AP167" s="20" t="b">
        <f t="shared" ca="1" si="41"/>
        <v>1</v>
      </c>
      <c r="AQ167" s="1046" t="str">
        <f t="shared" ca="1" si="42"/>
        <v/>
      </c>
      <c r="AR167" s="842" t="str">
        <f t="shared" ca="1" si="43"/>
        <v/>
      </c>
      <c r="AS167" s="1498" t="str">
        <f t="shared" ca="1" si="44"/>
        <v/>
      </c>
      <c r="AT167" s="508" t="b">
        <f ca="1">IF($C167&lt;&gt;"",IF(INDEX(SpecialModsTable,$A167,6)&lt;&gt;"",IF(NOT(ISERROR(FIND(Weapons!AS$76,INDEX(SpecialModsTable,$A167,6),1))),TRUE,FALSE),TRUE),FALSE)</f>
        <v>0</v>
      </c>
      <c r="AU167" s="508" t="str">
        <f t="shared" ca="1" si="45"/>
        <v/>
      </c>
      <c r="AV167" s="20" t="str">
        <f t="shared" ca="1" si="46"/>
        <v/>
      </c>
      <c r="AW167" s="20" t="str">
        <f t="shared" ca="1" si="47"/>
        <v/>
      </c>
      <c r="AX167" s="20" t="str">
        <f t="shared" ca="1" si="66"/>
        <v/>
      </c>
      <c r="AY167" s="20" t="b">
        <f t="shared" ca="1" si="49"/>
        <v>1</v>
      </c>
      <c r="AZ167" s="20" t="b">
        <f t="shared" ca="1" si="50"/>
        <v>1</v>
      </c>
      <c r="BA167" s="1046" t="str">
        <f t="shared" ca="1" si="51"/>
        <v/>
      </c>
      <c r="BB167" s="842" t="str">
        <f t="shared" ca="1" si="52"/>
        <v/>
      </c>
      <c r="BC167" s="1498" t="str">
        <f t="shared" ca="1" si="53"/>
        <v/>
      </c>
      <c r="BD167" s="508" t="b">
        <f ca="1">IF($C167&lt;&gt;"",IF(INDEX(SpecialModsTable,$A167,6)&lt;&gt;"",IF(NOT(ISERROR(FIND(Weapons!BC$76,INDEX(SpecialModsTable,$A167,6),1))),TRUE,FALSE),TRUE),FALSE)</f>
        <v>0</v>
      </c>
      <c r="BE167" s="508" t="str">
        <f t="shared" ca="1" si="54"/>
        <v/>
      </c>
      <c r="BF167" s="20" t="str">
        <f t="shared" ca="1" si="55"/>
        <v/>
      </c>
      <c r="BG167" s="20" t="str">
        <f t="shared" ca="1" si="56"/>
        <v/>
      </c>
      <c r="BH167" s="20" t="str">
        <f t="shared" ca="1" si="67"/>
        <v/>
      </c>
      <c r="BI167" s="20" t="b">
        <f t="shared" ca="1" si="58"/>
        <v>1</v>
      </c>
      <c r="BJ167" s="20" t="b">
        <f t="shared" ca="1" si="59"/>
        <v>1</v>
      </c>
      <c r="BK167" s="1046" t="str">
        <f t="shared" ca="1" si="60"/>
        <v/>
      </c>
    </row>
    <row r="168" spans="1:63" hidden="1">
      <c r="A168" s="1477">
        <f t="shared" si="61"/>
        <v>38</v>
      </c>
      <c r="B168" s="1477"/>
      <c r="C168" s="1477" t="str">
        <f t="shared" ca="1" si="69"/>
        <v>Power Attack (-6)</v>
      </c>
      <c r="D168" s="842" t="str">
        <f t="shared" ca="1" si="70"/>
        <v/>
      </c>
      <c r="E168" s="1498" t="str">
        <f t="shared" ca="1" si="71"/>
        <v/>
      </c>
      <c r="F168" s="508" t="b">
        <f ca="1">IF($C168&lt;&gt;"",IF(INDEX(SpecialModsTable,$A168,6)&lt;&gt;"",IF(NOT(ISERROR(FIND(Weapons!E$76,INDEX(SpecialModsTable,$A168,6),1))),TRUE,FALSE),TRUE),FALSE)</f>
        <v>0</v>
      </c>
      <c r="G168" s="508" t="str">
        <f t="shared" ca="1" si="72"/>
        <v/>
      </c>
      <c r="H168" s="20" t="str">
        <f t="shared" ca="1" si="73"/>
        <v/>
      </c>
      <c r="I168" s="20" t="str">
        <f t="shared" ca="1" si="74"/>
        <v/>
      </c>
      <c r="J168" s="20" t="str">
        <f t="shared" ca="1" si="68"/>
        <v/>
      </c>
      <c r="K168" s="20" t="b">
        <f t="shared" ca="1" si="75"/>
        <v>1</v>
      </c>
      <c r="L168" s="20" t="b">
        <f t="shared" ca="1" si="76"/>
        <v>1</v>
      </c>
      <c r="M168" s="1046" t="str">
        <f t="shared" ca="1" si="77"/>
        <v/>
      </c>
      <c r="N168" s="842" t="str">
        <f t="shared" ca="1" si="16"/>
        <v/>
      </c>
      <c r="O168" s="1498" t="str">
        <f t="shared" ca="1" si="17"/>
        <v/>
      </c>
      <c r="P168" s="508" t="b">
        <f ca="1">IF($C168&lt;&gt;"",IF(INDEX(SpecialModsTable,$A168,6)&lt;&gt;"",IF(NOT(ISERROR(FIND(Weapons!O$76,INDEX(SpecialModsTable,$A168,6),1))),TRUE,FALSE),TRUE),FALSE)</f>
        <v>0</v>
      </c>
      <c r="Q168" s="508" t="str">
        <f t="shared" ca="1" si="18"/>
        <v/>
      </c>
      <c r="R168" s="20" t="str">
        <f t="shared" ca="1" si="19"/>
        <v/>
      </c>
      <c r="S168" s="20" t="str">
        <f t="shared" ca="1" si="20"/>
        <v/>
      </c>
      <c r="T168" s="20" t="str">
        <f t="shared" ca="1" si="63"/>
        <v/>
      </c>
      <c r="U168" s="20" t="b">
        <f t="shared" ca="1" si="22"/>
        <v>1</v>
      </c>
      <c r="V168" s="20" t="b">
        <f t="shared" ca="1" si="23"/>
        <v>1</v>
      </c>
      <c r="W168" s="1046" t="str">
        <f t="shared" ca="1" si="24"/>
        <v/>
      </c>
      <c r="X168" s="842" t="str">
        <f t="shared" ca="1" si="25"/>
        <v/>
      </c>
      <c r="Y168" s="1498" t="str">
        <f t="shared" ca="1" si="26"/>
        <v/>
      </c>
      <c r="Z168" s="508" t="b">
        <f ca="1">IF($C168&lt;&gt;"",IF(INDEX(SpecialModsTable,$A168,6)&lt;&gt;"",IF(NOT(ISERROR(FIND(Weapons!Y$76,INDEX(SpecialModsTable,$A168,6),1))),TRUE,FALSE),TRUE),FALSE)</f>
        <v>0</v>
      </c>
      <c r="AA168" s="508" t="str">
        <f t="shared" ca="1" si="27"/>
        <v/>
      </c>
      <c r="AB168" s="20" t="str">
        <f t="shared" ca="1" si="28"/>
        <v/>
      </c>
      <c r="AC168" s="20" t="str">
        <f t="shared" ca="1" si="29"/>
        <v/>
      </c>
      <c r="AD168" s="20" t="str">
        <f t="shared" ca="1" si="64"/>
        <v/>
      </c>
      <c r="AE168" s="20" t="b">
        <f t="shared" ca="1" si="31"/>
        <v>1</v>
      </c>
      <c r="AF168" s="20" t="b">
        <f t="shared" ca="1" si="32"/>
        <v>1</v>
      </c>
      <c r="AG168" s="1046" t="str">
        <f t="shared" ca="1" si="33"/>
        <v/>
      </c>
      <c r="AH168" s="842" t="str">
        <f t="shared" ca="1" si="34"/>
        <v/>
      </c>
      <c r="AI168" s="1498" t="str">
        <f t="shared" ca="1" si="35"/>
        <v/>
      </c>
      <c r="AJ168" s="508" t="b">
        <f ca="1">IF($C168&lt;&gt;"",IF(INDEX(SpecialModsTable,$A168,6)&lt;&gt;"",IF(NOT(ISERROR(FIND(Weapons!AI$76,INDEX(SpecialModsTable,$A168,6),1))),TRUE,FALSE),TRUE),FALSE)</f>
        <v>0</v>
      </c>
      <c r="AK168" s="508" t="str">
        <f t="shared" ca="1" si="36"/>
        <v/>
      </c>
      <c r="AL168" s="20" t="str">
        <f t="shared" ca="1" si="37"/>
        <v/>
      </c>
      <c r="AM168" s="20" t="str">
        <f t="shared" ca="1" si="38"/>
        <v/>
      </c>
      <c r="AN168" s="20" t="str">
        <f t="shared" ca="1" si="65"/>
        <v/>
      </c>
      <c r="AO168" s="20" t="b">
        <f t="shared" ca="1" si="40"/>
        <v>1</v>
      </c>
      <c r="AP168" s="20" t="b">
        <f t="shared" ca="1" si="41"/>
        <v>1</v>
      </c>
      <c r="AQ168" s="1046" t="str">
        <f t="shared" ca="1" si="42"/>
        <v/>
      </c>
      <c r="AR168" s="842" t="str">
        <f t="shared" ca="1" si="43"/>
        <v/>
      </c>
      <c r="AS168" s="1498" t="str">
        <f t="shared" ca="1" si="44"/>
        <v/>
      </c>
      <c r="AT168" s="508" t="b">
        <f ca="1">IF($C168&lt;&gt;"",IF(INDEX(SpecialModsTable,$A168,6)&lt;&gt;"",IF(NOT(ISERROR(FIND(Weapons!AS$76,INDEX(SpecialModsTable,$A168,6),1))),TRUE,FALSE),TRUE),FALSE)</f>
        <v>0</v>
      </c>
      <c r="AU168" s="508" t="str">
        <f t="shared" ca="1" si="45"/>
        <v/>
      </c>
      <c r="AV168" s="20" t="str">
        <f t="shared" ca="1" si="46"/>
        <v/>
      </c>
      <c r="AW168" s="20" t="str">
        <f t="shared" ca="1" si="47"/>
        <v/>
      </c>
      <c r="AX168" s="20" t="str">
        <f t="shared" ca="1" si="66"/>
        <v/>
      </c>
      <c r="AY168" s="20" t="b">
        <f t="shared" ca="1" si="49"/>
        <v>1</v>
      </c>
      <c r="AZ168" s="20" t="b">
        <f t="shared" ca="1" si="50"/>
        <v>1</v>
      </c>
      <c r="BA168" s="1046" t="str">
        <f t="shared" ca="1" si="51"/>
        <v/>
      </c>
      <c r="BB168" s="842" t="str">
        <f t="shared" ca="1" si="52"/>
        <v/>
      </c>
      <c r="BC168" s="1498" t="str">
        <f t="shared" ca="1" si="53"/>
        <v/>
      </c>
      <c r="BD168" s="508" t="b">
        <f ca="1">IF($C168&lt;&gt;"",IF(INDEX(SpecialModsTable,$A168,6)&lt;&gt;"",IF(NOT(ISERROR(FIND(Weapons!BC$76,INDEX(SpecialModsTable,$A168,6),1))),TRUE,FALSE),TRUE),FALSE)</f>
        <v>0</v>
      </c>
      <c r="BE168" s="508" t="str">
        <f t="shared" ca="1" si="54"/>
        <v/>
      </c>
      <c r="BF168" s="20" t="str">
        <f t="shared" ca="1" si="55"/>
        <v/>
      </c>
      <c r="BG168" s="20" t="str">
        <f t="shared" ca="1" si="56"/>
        <v/>
      </c>
      <c r="BH168" s="20" t="str">
        <f t="shared" ca="1" si="67"/>
        <v/>
      </c>
      <c r="BI168" s="20" t="b">
        <f t="shared" ca="1" si="58"/>
        <v>1</v>
      </c>
      <c r="BJ168" s="20" t="b">
        <f t="shared" ca="1" si="59"/>
        <v>1</v>
      </c>
      <c r="BK168" s="1046" t="str">
        <f t="shared" ca="1" si="60"/>
        <v/>
      </c>
    </row>
    <row r="169" spans="1:63" hidden="1">
      <c r="A169" s="1477">
        <f t="shared" si="61"/>
        <v>39</v>
      </c>
      <c r="B169" s="1477"/>
      <c r="C169" s="1477" t="str">
        <f t="shared" ca="1" si="69"/>
        <v>Power Attack (-7)</v>
      </c>
      <c r="D169" s="842" t="str">
        <f t="shared" ca="1" si="70"/>
        <v/>
      </c>
      <c r="E169" s="1498" t="str">
        <f t="shared" ca="1" si="71"/>
        <v/>
      </c>
      <c r="F169" s="508" t="b">
        <f ca="1">IF($C169&lt;&gt;"",IF(INDEX(SpecialModsTable,$A169,6)&lt;&gt;"",IF(NOT(ISERROR(FIND(Weapons!E$76,INDEX(SpecialModsTable,$A169,6),1))),TRUE,FALSE),TRUE),FALSE)</f>
        <v>0</v>
      </c>
      <c r="G169" s="508" t="str">
        <f t="shared" ca="1" si="72"/>
        <v/>
      </c>
      <c r="H169" s="20" t="str">
        <f t="shared" ca="1" si="73"/>
        <v/>
      </c>
      <c r="I169" s="20" t="str">
        <f t="shared" ca="1" si="74"/>
        <v/>
      </c>
      <c r="J169" s="20" t="str">
        <f t="shared" ca="1" si="68"/>
        <v/>
      </c>
      <c r="K169" s="20" t="b">
        <f t="shared" ca="1" si="75"/>
        <v>1</v>
      </c>
      <c r="L169" s="20" t="b">
        <f t="shared" ca="1" si="76"/>
        <v>1</v>
      </c>
      <c r="M169" s="1046" t="str">
        <f t="shared" ca="1" si="77"/>
        <v/>
      </c>
      <c r="N169" s="842" t="str">
        <f t="shared" ca="1" si="16"/>
        <v/>
      </c>
      <c r="O169" s="1498" t="str">
        <f t="shared" ca="1" si="17"/>
        <v/>
      </c>
      <c r="P169" s="508" t="b">
        <f ca="1">IF($C169&lt;&gt;"",IF(INDEX(SpecialModsTable,$A169,6)&lt;&gt;"",IF(NOT(ISERROR(FIND(Weapons!O$76,INDEX(SpecialModsTable,$A169,6),1))),TRUE,FALSE),TRUE),FALSE)</f>
        <v>0</v>
      </c>
      <c r="Q169" s="508" t="str">
        <f t="shared" ca="1" si="18"/>
        <v/>
      </c>
      <c r="R169" s="20" t="str">
        <f t="shared" ca="1" si="19"/>
        <v/>
      </c>
      <c r="S169" s="20" t="str">
        <f t="shared" ca="1" si="20"/>
        <v/>
      </c>
      <c r="T169" s="20" t="str">
        <f t="shared" ca="1" si="63"/>
        <v/>
      </c>
      <c r="U169" s="20" t="b">
        <f t="shared" ca="1" si="22"/>
        <v>1</v>
      </c>
      <c r="V169" s="20" t="b">
        <f t="shared" ca="1" si="23"/>
        <v>1</v>
      </c>
      <c r="W169" s="1046" t="str">
        <f t="shared" ca="1" si="24"/>
        <v/>
      </c>
      <c r="X169" s="842" t="str">
        <f t="shared" ca="1" si="25"/>
        <v/>
      </c>
      <c r="Y169" s="1498" t="str">
        <f t="shared" ca="1" si="26"/>
        <v/>
      </c>
      <c r="Z169" s="508" t="b">
        <f ca="1">IF($C169&lt;&gt;"",IF(INDEX(SpecialModsTable,$A169,6)&lt;&gt;"",IF(NOT(ISERROR(FIND(Weapons!Y$76,INDEX(SpecialModsTable,$A169,6),1))),TRUE,FALSE),TRUE),FALSE)</f>
        <v>0</v>
      </c>
      <c r="AA169" s="508" t="str">
        <f t="shared" ca="1" si="27"/>
        <v/>
      </c>
      <c r="AB169" s="20" t="str">
        <f t="shared" ca="1" si="28"/>
        <v/>
      </c>
      <c r="AC169" s="20" t="str">
        <f t="shared" ca="1" si="29"/>
        <v/>
      </c>
      <c r="AD169" s="20" t="str">
        <f t="shared" ca="1" si="64"/>
        <v/>
      </c>
      <c r="AE169" s="20" t="b">
        <f t="shared" ca="1" si="31"/>
        <v>1</v>
      </c>
      <c r="AF169" s="20" t="b">
        <f t="shared" ca="1" si="32"/>
        <v>1</v>
      </c>
      <c r="AG169" s="1046" t="str">
        <f t="shared" ca="1" si="33"/>
        <v/>
      </c>
      <c r="AH169" s="842" t="str">
        <f t="shared" ca="1" si="34"/>
        <v/>
      </c>
      <c r="AI169" s="1498" t="str">
        <f t="shared" ca="1" si="35"/>
        <v/>
      </c>
      <c r="AJ169" s="508" t="b">
        <f ca="1">IF($C169&lt;&gt;"",IF(INDEX(SpecialModsTable,$A169,6)&lt;&gt;"",IF(NOT(ISERROR(FIND(Weapons!AI$76,INDEX(SpecialModsTable,$A169,6),1))),TRUE,FALSE),TRUE),FALSE)</f>
        <v>0</v>
      </c>
      <c r="AK169" s="508" t="str">
        <f t="shared" ca="1" si="36"/>
        <v/>
      </c>
      <c r="AL169" s="20" t="str">
        <f t="shared" ca="1" si="37"/>
        <v/>
      </c>
      <c r="AM169" s="20" t="str">
        <f t="shared" ca="1" si="38"/>
        <v/>
      </c>
      <c r="AN169" s="20" t="str">
        <f t="shared" ca="1" si="65"/>
        <v/>
      </c>
      <c r="AO169" s="20" t="b">
        <f t="shared" ca="1" si="40"/>
        <v>1</v>
      </c>
      <c r="AP169" s="20" t="b">
        <f t="shared" ca="1" si="41"/>
        <v>1</v>
      </c>
      <c r="AQ169" s="1046" t="str">
        <f t="shared" ca="1" si="42"/>
        <v/>
      </c>
      <c r="AR169" s="842" t="str">
        <f t="shared" ca="1" si="43"/>
        <v/>
      </c>
      <c r="AS169" s="1498" t="str">
        <f t="shared" ca="1" si="44"/>
        <v/>
      </c>
      <c r="AT169" s="508" t="b">
        <f ca="1">IF($C169&lt;&gt;"",IF(INDEX(SpecialModsTable,$A169,6)&lt;&gt;"",IF(NOT(ISERROR(FIND(Weapons!AS$76,INDEX(SpecialModsTable,$A169,6),1))),TRUE,FALSE),TRUE),FALSE)</f>
        <v>0</v>
      </c>
      <c r="AU169" s="508" t="str">
        <f t="shared" ca="1" si="45"/>
        <v/>
      </c>
      <c r="AV169" s="20" t="str">
        <f t="shared" ca="1" si="46"/>
        <v/>
      </c>
      <c r="AW169" s="20" t="str">
        <f t="shared" ca="1" si="47"/>
        <v/>
      </c>
      <c r="AX169" s="20" t="str">
        <f t="shared" ca="1" si="66"/>
        <v/>
      </c>
      <c r="AY169" s="20" t="b">
        <f t="shared" ca="1" si="49"/>
        <v>1</v>
      </c>
      <c r="AZ169" s="20" t="b">
        <f t="shared" ca="1" si="50"/>
        <v>1</v>
      </c>
      <c r="BA169" s="1046" t="str">
        <f t="shared" ca="1" si="51"/>
        <v/>
      </c>
      <c r="BB169" s="842" t="str">
        <f t="shared" ca="1" si="52"/>
        <v/>
      </c>
      <c r="BC169" s="1498" t="str">
        <f t="shared" ca="1" si="53"/>
        <v/>
      </c>
      <c r="BD169" s="508" t="b">
        <f ca="1">IF($C169&lt;&gt;"",IF(INDEX(SpecialModsTable,$A169,6)&lt;&gt;"",IF(NOT(ISERROR(FIND(Weapons!BC$76,INDEX(SpecialModsTable,$A169,6),1))),TRUE,FALSE),TRUE),FALSE)</f>
        <v>0</v>
      </c>
      <c r="BE169" s="508" t="str">
        <f t="shared" ca="1" si="54"/>
        <v/>
      </c>
      <c r="BF169" s="20" t="str">
        <f t="shared" ca="1" si="55"/>
        <v/>
      </c>
      <c r="BG169" s="20" t="str">
        <f t="shared" ca="1" si="56"/>
        <v/>
      </c>
      <c r="BH169" s="20" t="str">
        <f t="shared" ca="1" si="67"/>
        <v/>
      </c>
      <c r="BI169" s="20" t="b">
        <f t="shared" ca="1" si="58"/>
        <v>1</v>
      </c>
      <c r="BJ169" s="20" t="b">
        <f t="shared" ca="1" si="59"/>
        <v>1</v>
      </c>
      <c r="BK169" s="1046" t="str">
        <f t="shared" ca="1" si="60"/>
        <v/>
      </c>
    </row>
    <row r="170" spans="1:63" hidden="1">
      <c r="A170" s="1477">
        <f t="shared" si="61"/>
        <v>40</v>
      </c>
      <c r="B170" s="1477"/>
      <c r="C170" s="1477" t="str">
        <f t="shared" ca="1" si="69"/>
        <v>Power Attack (-8)</v>
      </c>
      <c r="D170" s="842" t="str">
        <f t="shared" ca="1" si="70"/>
        <v/>
      </c>
      <c r="E170" s="1498" t="str">
        <f t="shared" ca="1" si="71"/>
        <v/>
      </c>
      <c r="F170" s="508" t="b">
        <f ca="1">IF($C170&lt;&gt;"",IF(INDEX(SpecialModsTable,$A170,6)&lt;&gt;"",IF(NOT(ISERROR(FIND(Weapons!E$76,INDEX(SpecialModsTable,$A170,6),1))),TRUE,FALSE),TRUE),FALSE)</f>
        <v>0</v>
      </c>
      <c r="G170" s="508" t="str">
        <f t="shared" ca="1" si="72"/>
        <v/>
      </c>
      <c r="H170" s="20" t="str">
        <f t="shared" ca="1" si="73"/>
        <v/>
      </c>
      <c r="I170" s="20" t="str">
        <f t="shared" ca="1" si="74"/>
        <v/>
      </c>
      <c r="J170" s="20" t="str">
        <f t="shared" ca="1" si="68"/>
        <v/>
      </c>
      <c r="K170" s="20" t="b">
        <f t="shared" ca="1" si="75"/>
        <v>1</v>
      </c>
      <c r="L170" s="20" t="b">
        <f t="shared" ca="1" si="76"/>
        <v>1</v>
      </c>
      <c r="M170" s="1046" t="str">
        <f t="shared" ca="1" si="77"/>
        <v/>
      </c>
      <c r="N170" s="842" t="str">
        <f t="shared" ca="1" si="16"/>
        <v/>
      </c>
      <c r="O170" s="1498" t="str">
        <f t="shared" ca="1" si="17"/>
        <v/>
      </c>
      <c r="P170" s="508" t="b">
        <f ca="1">IF($C170&lt;&gt;"",IF(INDEX(SpecialModsTable,$A170,6)&lt;&gt;"",IF(NOT(ISERROR(FIND(Weapons!O$76,INDEX(SpecialModsTable,$A170,6),1))),TRUE,FALSE),TRUE),FALSE)</f>
        <v>0</v>
      </c>
      <c r="Q170" s="508" t="str">
        <f t="shared" ca="1" si="18"/>
        <v/>
      </c>
      <c r="R170" s="20" t="str">
        <f t="shared" ca="1" si="19"/>
        <v/>
      </c>
      <c r="S170" s="20" t="str">
        <f t="shared" ca="1" si="20"/>
        <v/>
      </c>
      <c r="T170" s="20" t="str">
        <f t="shared" ca="1" si="63"/>
        <v/>
      </c>
      <c r="U170" s="20" t="b">
        <f t="shared" ca="1" si="22"/>
        <v>1</v>
      </c>
      <c r="V170" s="20" t="b">
        <f t="shared" ca="1" si="23"/>
        <v>1</v>
      </c>
      <c r="W170" s="1046" t="str">
        <f t="shared" ca="1" si="24"/>
        <v/>
      </c>
      <c r="X170" s="842" t="str">
        <f t="shared" ca="1" si="25"/>
        <v/>
      </c>
      <c r="Y170" s="1498" t="str">
        <f t="shared" ca="1" si="26"/>
        <v/>
      </c>
      <c r="Z170" s="508" t="b">
        <f ca="1">IF($C170&lt;&gt;"",IF(INDEX(SpecialModsTable,$A170,6)&lt;&gt;"",IF(NOT(ISERROR(FIND(Weapons!Y$76,INDEX(SpecialModsTable,$A170,6),1))),TRUE,FALSE),TRUE),FALSE)</f>
        <v>0</v>
      </c>
      <c r="AA170" s="508" t="str">
        <f t="shared" ca="1" si="27"/>
        <v/>
      </c>
      <c r="AB170" s="20" t="str">
        <f t="shared" ca="1" si="28"/>
        <v/>
      </c>
      <c r="AC170" s="20" t="str">
        <f t="shared" ca="1" si="29"/>
        <v/>
      </c>
      <c r="AD170" s="20" t="str">
        <f t="shared" ca="1" si="64"/>
        <v/>
      </c>
      <c r="AE170" s="20" t="b">
        <f t="shared" ca="1" si="31"/>
        <v>1</v>
      </c>
      <c r="AF170" s="20" t="b">
        <f t="shared" ca="1" si="32"/>
        <v>1</v>
      </c>
      <c r="AG170" s="1046" t="str">
        <f t="shared" ca="1" si="33"/>
        <v/>
      </c>
      <c r="AH170" s="842" t="str">
        <f t="shared" ca="1" si="34"/>
        <v/>
      </c>
      <c r="AI170" s="1498" t="str">
        <f t="shared" ca="1" si="35"/>
        <v/>
      </c>
      <c r="AJ170" s="508" t="b">
        <f ca="1">IF($C170&lt;&gt;"",IF(INDEX(SpecialModsTable,$A170,6)&lt;&gt;"",IF(NOT(ISERROR(FIND(Weapons!AI$76,INDEX(SpecialModsTable,$A170,6),1))),TRUE,FALSE),TRUE),FALSE)</f>
        <v>0</v>
      </c>
      <c r="AK170" s="508" t="str">
        <f t="shared" ca="1" si="36"/>
        <v/>
      </c>
      <c r="AL170" s="20" t="str">
        <f t="shared" ca="1" si="37"/>
        <v/>
      </c>
      <c r="AM170" s="20" t="str">
        <f t="shared" ca="1" si="38"/>
        <v/>
      </c>
      <c r="AN170" s="20" t="str">
        <f t="shared" ca="1" si="65"/>
        <v/>
      </c>
      <c r="AO170" s="20" t="b">
        <f t="shared" ca="1" si="40"/>
        <v>1</v>
      </c>
      <c r="AP170" s="20" t="b">
        <f t="shared" ca="1" si="41"/>
        <v>1</v>
      </c>
      <c r="AQ170" s="1046" t="str">
        <f t="shared" ca="1" si="42"/>
        <v/>
      </c>
      <c r="AR170" s="842" t="str">
        <f t="shared" ca="1" si="43"/>
        <v/>
      </c>
      <c r="AS170" s="1498" t="str">
        <f t="shared" ca="1" si="44"/>
        <v/>
      </c>
      <c r="AT170" s="508" t="b">
        <f ca="1">IF($C170&lt;&gt;"",IF(INDEX(SpecialModsTable,$A170,6)&lt;&gt;"",IF(NOT(ISERROR(FIND(Weapons!AS$76,INDEX(SpecialModsTable,$A170,6),1))),TRUE,FALSE),TRUE),FALSE)</f>
        <v>0</v>
      </c>
      <c r="AU170" s="508" t="str">
        <f t="shared" ca="1" si="45"/>
        <v/>
      </c>
      <c r="AV170" s="20" t="str">
        <f t="shared" ca="1" si="46"/>
        <v/>
      </c>
      <c r="AW170" s="20" t="str">
        <f t="shared" ca="1" si="47"/>
        <v/>
      </c>
      <c r="AX170" s="20" t="str">
        <f t="shared" ca="1" si="66"/>
        <v/>
      </c>
      <c r="AY170" s="20" t="b">
        <f t="shared" ca="1" si="49"/>
        <v>1</v>
      </c>
      <c r="AZ170" s="20" t="b">
        <f t="shared" ca="1" si="50"/>
        <v>1</v>
      </c>
      <c r="BA170" s="1046" t="str">
        <f t="shared" ca="1" si="51"/>
        <v/>
      </c>
      <c r="BB170" s="842" t="str">
        <f t="shared" ca="1" si="52"/>
        <v/>
      </c>
      <c r="BC170" s="1498" t="str">
        <f t="shared" ca="1" si="53"/>
        <v/>
      </c>
      <c r="BD170" s="508" t="b">
        <f ca="1">IF($C170&lt;&gt;"",IF(INDEX(SpecialModsTable,$A170,6)&lt;&gt;"",IF(NOT(ISERROR(FIND(Weapons!BC$76,INDEX(SpecialModsTable,$A170,6),1))),TRUE,FALSE),TRUE),FALSE)</f>
        <v>0</v>
      </c>
      <c r="BE170" s="508" t="str">
        <f t="shared" ca="1" si="54"/>
        <v/>
      </c>
      <c r="BF170" s="20" t="str">
        <f t="shared" ca="1" si="55"/>
        <v/>
      </c>
      <c r="BG170" s="20" t="str">
        <f t="shared" ca="1" si="56"/>
        <v/>
      </c>
      <c r="BH170" s="20" t="str">
        <f t="shared" ca="1" si="67"/>
        <v/>
      </c>
      <c r="BI170" s="20" t="b">
        <f t="shared" ca="1" si="58"/>
        <v>1</v>
      </c>
      <c r="BJ170" s="20" t="b">
        <f t="shared" ca="1" si="59"/>
        <v>1</v>
      </c>
      <c r="BK170" s="1046" t="str">
        <f t="shared" ca="1" si="60"/>
        <v/>
      </c>
    </row>
    <row r="171" spans="1:63" hidden="1">
      <c r="A171" s="1477">
        <f t="shared" si="61"/>
        <v>41</v>
      </c>
      <c r="B171" s="1477"/>
      <c r="C171" s="1477" t="str">
        <f t="shared" ca="1" si="69"/>
        <v>Power Attack (-9)</v>
      </c>
      <c r="D171" s="842" t="str">
        <f t="shared" ca="1" si="70"/>
        <v/>
      </c>
      <c r="E171" s="1498" t="str">
        <f t="shared" ca="1" si="71"/>
        <v/>
      </c>
      <c r="F171" s="508" t="b">
        <f ca="1">IF($C171&lt;&gt;"",IF(INDEX(SpecialModsTable,$A171,6)&lt;&gt;"",IF(NOT(ISERROR(FIND(Weapons!E$76,INDEX(SpecialModsTable,$A171,6),1))),TRUE,FALSE),TRUE),FALSE)</f>
        <v>0</v>
      </c>
      <c r="G171" s="508" t="str">
        <f t="shared" ca="1" si="72"/>
        <v/>
      </c>
      <c r="H171" s="20" t="str">
        <f t="shared" ca="1" si="73"/>
        <v/>
      </c>
      <c r="I171" s="20" t="str">
        <f t="shared" ca="1" si="74"/>
        <v/>
      </c>
      <c r="J171" s="20" t="str">
        <f t="shared" ca="1" si="68"/>
        <v/>
      </c>
      <c r="K171" s="20" t="b">
        <f t="shared" ca="1" si="75"/>
        <v>1</v>
      </c>
      <c r="L171" s="20" t="b">
        <f t="shared" ca="1" si="76"/>
        <v>1</v>
      </c>
      <c r="M171" s="1046" t="str">
        <f t="shared" ca="1" si="77"/>
        <v/>
      </c>
      <c r="N171" s="842" t="str">
        <f t="shared" ca="1" si="16"/>
        <v/>
      </c>
      <c r="O171" s="1498" t="str">
        <f t="shared" ca="1" si="17"/>
        <v/>
      </c>
      <c r="P171" s="508" t="b">
        <f ca="1">IF($C171&lt;&gt;"",IF(INDEX(SpecialModsTable,$A171,6)&lt;&gt;"",IF(NOT(ISERROR(FIND(Weapons!O$76,INDEX(SpecialModsTable,$A171,6),1))),TRUE,FALSE),TRUE),FALSE)</f>
        <v>0</v>
      </c>
      <c r="Q171" s="508" t="str">
        <f t="shared" ca="1" si="18"/>
        <v/>
      </c>
      <c r="R171" s="20" t="str">
        <f t="shared" ca="1" si="19"/>
        <v/>
      </c>
      <c r="S171" s="20" t="str">
        <f t="shared" ca="1" si="20"/>
        <v/>
      </c>
      <c r="T171" s="20" t="str">
        <f t="shared" ca="1" si="63"/>
        <v/>
      </c>
      <c r="U171" s="20" t="b">
        <f t="shared" ca="1" si="22"/>
        <v>1</v>
      </c>
      <c r="V171" s="20" t="b">
        <f t="shared" ca="1" si="23"/>
        <v>1</v>
      </c>
      <c r="W171" s="1046" t="str">
        <f t="shared" ca="1" si="24"/>
        <v/>
      </c>
      <c r="X171" s="842" t="str">
        <f t="shared" ca="1" si="25"/>
        <v/>
      </c>
      <c r="Y171" s="1498" t="str">
        <f t="shared" ca="1" si="26"/>
        <v/>
      </c>
      <c r="Z171" s="508" t="b">
        <f ca="1">IF($C171&lt;&gt;"",IF(INDEX(SpecialModsTable,$A171,6)&lt;&gt;"",IF(NOT(ISERROR(FIND(Weapons!Y$76,INDEX(SpecialModsTable,$A171,6),1))),TRUE,FALSE),TRUE),FALSE)</f>
        <v>0</v>
      </c>
      <c r="AA171" s="508" t="str">
        <f t="shared" ca="1" si="27"/>
        <v/>
      </c>
      <c r="AB171" s="20" t="str">
        <f t="shared" ca="1" si="28"/>
        <v/>
      </c>
      <c r="AC171" s="20" t="str">
        <f t="shared" ca="1" si="29"/>
        <v/>
      </c>
      <c r="AD171" s="20" t="str">
        <f t="shared" ca="1" si="64"/>
        <v/>
      </c>
      <c r="AE171" s="20" t="b">
        <f t="shared" ca="1" si="31"/>
        <v>1</v>
      </c>
      <c r="AF171" s="20" t="b">
        <f t="shared" ca="1" si="32"/>
        <v>1</v>
      </c>
      <c r="AG171" s="1046" t="str">
        <f t="shared" ca="1" si="33"/>
        <v/>
      </c>
      <c r="AH171" s="842" t="str">
        <f t="shared" ca="1" si="34"/>
        <v/>
      </c>
      <c r="AI171" s="1498" t="str">
        <f t="shared" ca="1" si="35"/>
        <v/>
      </c>
      <c r="AJ171" s="508" t="b">
        <f ca="1">IF($C171&lt;&gt;"",IF(INDEX(SpecialModsTable,$A171,6)&lt;&gt;"",IF(NOT(ISERROR(FIND(Weapons!AI$76,INDEX(SpecialModsTable,$A171,6),1))),TRUE,FALSE),TRUE),FALSE)</f>
        <v>0</v>
      </c>
      <c r="AK171" s="508" t="str">
        <f t="shared" ca="1" si="36"/>
        <v/>
      </c>
      <c r="AL171" s="20" t="str">
        <f t="shared" ca="1" si="37"/>
        <v/>
      </c>
      <c r="AM171" s="20" t="str">
        <f t="shared" ca="1" si="38"/>
        <v/>
      </c>
      <c r="AN171" s="20" t="str">
        <f t="shared" ca="1" si="65"/>
        <v/>
      </c>
      <c r="AO171" s="20" t="b">
        <f t="shared" ca="1" si="40"/>
        <v>1</v>
      </c>
      <c r="AP171" s="20" t="b">
        <f t="shared" ca="1" si="41"/>
        <v>1</v>
      </c>
      <c r="AQ171" s="1046" t="str">
        <f t="shared" ca="1" si="42"/>
        <v/>
      </c>
      <c r="AR171" s="842" t="str">
        <f t="shared" ca="1" si="43"/>
        <v/>
      </c>
      <c r="AS171" s="1498" t="str">
        <f t="shared" ca="1" si="44"/>
        <v/>
      </c>
      <c r="AT171" s="508" t="b">
        <f ca="1">IF($C171&lt;&gt;"",IF(INDEX(SpecialModsTable,$A171,6)&lt;&gt;"",IF(NOT(ISERROR(FIND(Weapons!AS$76,INDEX(SpecialModsTable,$A171,6),1))),TRUE,FALSE),TRUE),FALSE)</f>
        <v>0</v>
      </c>
      <c r="AU171" s="508" t="str">
        <f t="shared" ca="1" si="45"/>
        <v/>
      </c>
      <c r="AV171" s="20" t="str">
        <f t="shared" ca="1" si="46"/>
        <v/>
      </c>
      <c r="AW171" s="20" t="str">
        <f t="shared" ca="1" si="47"/>
        <v/>
      </c>
      <c r="AX171" s="20" t="str">
        <f t="shared" ca="1" si="66"/>
        <v/>
      </c>
      <c r="AY171" s="20" t="b">
        <f t="shared" ca="1" si="49"/>
        <v>1</v>
      </c>
      <c r="AZ171" s="20" t="b">
        <f t="shared" ca="1" si="50"/>
        <v>1</v>
      </c>
      <c r="BA171" s="1046" t="str">
        <f t="shared" ca="1" si="51"/>
        <v/>
      </c>
      <c r="BB171" s="842" t="str">
        <f t="shared" ca="1" si="52"/>
        <v/>
      </c>
      <c r="BC171" s="1498" t="str">
        <f t="shared" ca="1" si="53"/>
        <v/>
      </c>
      <c r="BD171" s="508" t="b">
        <f ca="1">IF($C171&lt;&gt;"",IF(INDEX(SpecialModsTable,$A171,6)&lt;&gt;"",IF(NOT(ISERROR(FIND(Weapons!BC$76,INDEX(SpecialModsTable,$A171,6),1))),TRUE,FALSE),TRUE),FALSE)</f>
        <v>0</v>
      </c>
      <c r="BE171" s="508" t="str">
        <f t="shared" ca="1" si="54"/>
        <v/>
      </c>
      <c r="BF171" s="20" t="str">
        <f t="shared" ca="1" si="55"/>
        <v/>
      </c>
      <c r="BG171" s="20" t="str">
        <f t="shared" ca="1" si="56"/>
        <v/>
      </c>
      <c r="BH171" s="20" t="str">
        <f t="shared" ca="1" si="67"/>
        <v/>
      </c>
      <c r="BI171" s="20" t="b">
        <f t="shared" ca="1" si="58"/>
        <v>1</v>
      </c>
      <c r="BJ171" s="20" t="b">
        <f t="shared" ca="1" si="59"/>
        <v>1</v>
      </c>
      <c r="BK171" s="1046" t="str">
        <f t="shared" ca="1" si="60"/>
        <v/>
      </c>
    </row>
    <row r="172" spans="1:63" hidden="1">
      <c r="A172" s="1477">
        <f t="shared" si="61"/>
        <v>42</v>
      </c>
      <c r="B172" s="1477"/>
      <c r="C172" s="1477" t="str">
        <f t="shared" ca="1" si="69"/>
        <v>Power Blast (-1)</v>
      </c>
      <c r="D172" s="842" t="str">
        <f t="shared" ca="1" si="70"/>
        <v/>
      </c>
      <c r="E172" s="1498" t="str">
        <f t="shared" ca="1" si="71"/>
        <v/>
      </c>
      <c r="F172" s="508" t="b">
        <f ca="1">IF($C172&lt;&gt;"",IF(INDEX(SpecialModsTable,$A172,6)&lt;&gt;"",IF(NOT(ISERROR(FIND(Weapons!E$76,INDEX(SpecialModsTable,$A172,6),1))),TRUE,FALSE),TRUE),FALSE)</f>
        <v>0</v>
      </c>
      <c r="G172" s="508" t="str">
        <f t="shared" ca="1" si="72"/>
        <v/>
      </c>
      <c r="H172" s="20" t="str">
        <f t="shared" ca="1" si="73"/>
        <v/>
      </c>
      <c r="I172" s="20" t="str">
        <f t="shared" ca="1" si="74"/>
        <v/>
      </c>
      <c r="J172" s="20" t="str">
        <f t="shared" ca="1" si="68"/>
        <v/>
      </c>
      <c r="K172" s="20" t="b">
        <f t="shared" ca="1" si="75"/>
        <v>1</v>
      </c>
      <c r="L172" s="20" t="b">
        <f t="shared" ca="1" si="76"/>
        <v>1</v>
      </c>
      <c r="M172" s="1046" t="str">
        <f t="shared" ca="1" si="77"/>
        <v/>
      </c>
      <c r="N172" s="842" t="str">
        <f t="shared" ca="1" si="16"/>
        <v/>
      </c>
      <c r="O172" s="1498" t="str">
        <f t="shared" ca="1" si="17"/>
        <v/>
      </c>
      <c r="P172" s="508" t="b">
        <f ca="1">IF($C172&lt;&gt;"",IF(INDEX(SpecialModsTable,$A172,6)&lt;&gt;"",IF(NOT(ISERROR(FIND(Weapons!O$76,INDEX(SpecialModsTable,$A172,6),1))),TRUE,FALSE),TRUE),FALSE)</f>
        <v>0</v>
      </c>
      <c r="Q172" s="508" t="str">
        <f t="shared" ca="1" si="18"/>
        <v/>
      </c>
      <c r="R172" s="20" t="str">
        <f t="shared" ca="1" si="19"/>
        <v/>
      </c>
      <c r="S172" s="20" t="str">
        <f t="shared" ca="1" si="20"/>
        <v/>
      </c>
      <c r="T172" s="20" t="str">
        <f t="shared" ca="1" si="63"/>
        <v/>
      </c>
      <c r="U172" s="20" t="b">
        <f t="shared" ca="1" si="22"/>
        <v>1</v>
      </c>
      <c r="V172" s="20" t="b">
        <f t="shared" ca="1" si="23"/>
        <v>1</v>
      </c>
      <c r="W172" s="1046" t="str">
        <f t="shared" ca="1" si="24"/>
        <v/>
      </c>
      <c r="X172" s="842" t="str">
        <f t="shared" ca="1" si="25"/>
        <v/>
      </c>
      <c r="Y172" s="1498" t="str">
        <f t="shared" ca="1" si="26"/>
        <v/>
      </c>
      <c r="Z172" s="508" t="b">
        <f ca="1">IF($C172&lt;&gt;"",IF(INDEX(SpecialModsTable,$A172,6)&lt;&gt;"",IF(NOT(ISERROR(FIND(Weapons!Y$76,INDEX(SpecialModsTable,$A172,6),1))),TRUE,FALSE),TRUE),FALSE)</f>
        <v>0</v>
      </c>
      <c r="AA172" s="508" t="str">
        <f t="shared" ca="1" si="27"/>
        <v/>
      </c>
      <c r="AB172" s="20" t="str">
        <f t="shared" ca="1" si="28"/>
        <v/>
      </c>
      <c r="AC172" s="20" t="str">
        <f t="shared" ca="1" si="29"/>
        <v/>
      </c>
      <c r="AD172" s="20" t="str">
        <f t="shared" ca="1" si="64"/>
        <v/>
      </c>
      <c r="AE172" s="20" t="b">
        <f t="shared" ca="1" si="31"/>
        <v>1</v>
      </c>
      <c r="AF172" s="20" t="b">
        <f t="shared" ca="1" si="32"/>
        <v>1</v>
      </c>
      <c r="AG172" s="1046" t="str">
        <f t="shared" ca="1" si="33"/>
        <v/>
      </c>
      <c r="AH172" s="842" t="str">
        <f t="shared" ca="1" si="34"/>
        <v/>
      </c>
      <c r="AI172" s="1498" t="str">
        <f t="shared" ca="1" si="35"/>
        <v/>
      </c>
      <c r="AJ172" s="508" t="b">
        <f ca="1">IF($C172&lt;&gt;"",IF(INDEX(SpecialModsTable,$A172,6)&lt;&gt;"",IF(NOT(ISERROR(FIND(Weapons!AI$76,INDEX(SpecialModsTable,$A172,6),1))),TRUE,FALSE),TRUE),FALSE)</f>
        <v>0</v>
      </c>
      <c r="AK172" s="508" t="str">
        <f t="shared" ca="1" si="36"/>
        <v/>
      </c>
      <c r="AL172" s="20" t="str">
        <f t="shared" ca="1" si="37"/>
        <v/>
      </c>
      <c r="AM172" s="20" t="str">
        <f t="shared" ca="1" si="38"/>
        <v/>
      </c>
      <c r="AN172" s="20" t="str">
        <f t="shared" ca="1" si="65"/>
        <v/>
      </c>
      <c r="AO172" s="20" t="b">
        <f t="shared" ca="1" si="40"/>
        <v>1</v>
      </c>
      <c r="AP172" s="20" t="b">
        <f t="shared" ca="1" si="41"/>
        <v>1</v>
      </c>
      <c r="AQ172" s="1046" t="str">
        <f t="shared" ca="1" si="42"/>
        <v/>
      </c>
      <c r="AR172" s="842" t="str">
        <f t="shared" ca="1" si="43"/>
        <v/>
      </c>
      <c r="AS172" s="1498" t="str">
        <f t="shared" ca="1" si="44"/>
        <v/>
      </c>
      <c r="AT172" s="508" t="b">
        <f ca="1">IF($C172&lt;&gt;"",IF(INDEX(SpecialModsTable,$A172,6)&lt;&gt;"",IF(NOT(ISERROR(FIND(Weapons!AS$76,INDEX(SpecialModsTable,$A172,6),1))),TRUE,FALSE),TRUE),FALSE)</f>
        <v>0</v>
      </c>
      <c r="AU172" s="508" t="str">
        <f t="shared" ca="1" si="45"/>
        <v/>
      </c>
      <c r="AV172" s="20" t="str">
        <f t="shared" ca="1" si="46"/>
        <v/>
      </c>
      <c r="AW172" s="20" t="str">
        <f t="shared" ca="1" si="47"/>
        <v/>
      </c>
      <c r="AX172" s="20" t="str">
        <f t="shared" ca="1" si="66"/>
        <v/>
      </c>
      <c r="AY172" s="20" t="b">
        <f t="shared" ca="1" si="49"/>
        <v>1</v>
      </c>
      <c r="AZ172" s="20" t="b">
        <f t="shared" ca="1" si="50"/>
        <v>1</v>
      </c>
      <c r="BA172" s="1046" t="str">
        <f t="shared" ca="1" si="51"/>
        <v/>
      </c>
      <c r="BB172" s="842" t="str">
        <f t="shared" ca="1" si="52"/>
        <v/>
      </c>
      <c r="BC172" s="1498" t="str">
        <f t="shared" ca="1" si="53"/>
        <v/>
      </c>
      <c r="BD172" s="508" t="b">
        <f ca="1">IF($C172&lt;&gt;"",IF(INDEX(SpecialModsTable,$A172,6)&lt;&gt;"",IF(NOT(ISERROR(FIND(Weapons!BC$76,INDEX(SpecialModsTable,$A172,6),1))),TRUE,FALSE),TRUE),FALSE)</f>
        <v>0</v>
      </c>
      <c r="BE172" s="508" t="str">
        <f t="shared" ca="1" si="54"/>
        <v/>
      </c>
      <c r="BF172" s="20" t="str">
        <f t="shared" ca="1" si="55"/>
        <v/>
      </c>
      <c r="BG172" s="20" t="str">
        <f t="shared" ca="1" si="56"/>
        <v/>
      </c>
      <c r="BH172" s="20" t="str">
        <f t="shared" ca="1" si="67"/>
        <v/>
      </c>
      <c r="BI172" s="20" t="b">
        <f t="shared" ca="1" si="58"/>
        <v>1</v>
      </c>
      <c r="BJ172" s="20" t="b">
        <f t="shared" ca="1" si="59"/>
        <v>1</v>
      </c>
      <c r="BK172" s="1046" t="str">
        <f t="shared" ca="1" si="60"/>
        <v/>
      </c>
    </row>
    <row r="173" spans="1:63" hidden="1">
      <c r="A173" s="1477">
        <f t="shared" si="61"/>
        <v>43</v>
      </c>
      <c r="B173" s="1477"/>
      <c r="C173" s="1477" t="str">
        <f t="shared" ca="1" si="69"/>
        <v>Power Blast (-10)</v>
      </c>
      <c r="D173" s="842" t="str">
        <f t="shared" ca="1" si="70"/>
        <v/>
      </c>
      <c r="E173" s="1498" t="str">
        <f t="shared" ca="1" si="71"/>
        <v/>
      </c>
      <c r="F173" s="508" t="b">
        <f ca="1">IF($C173&lt;&gt;"",IF(INDEX(SpecialModsTable,$A173,6)&lt;&gt;"",IF(NOT(ISERROR(FIND(Weapons!E$76,INDEX(SpecialModsTable,$A173,6),1))),TRUE,FALSE),TRUE),FALSE)</f>
        <v>0</v>
      </c>
      <c r="G173" s="508" t="str">
        <f t="shared" ca="1" si="72"/>
        <v/>
      </c>
      <c r="H173" s="20" t="str">
        <f t="shared" ca="1" si="73"/>
        <v/>
      </c>
      <c r="I173" s="20" t="str">
        <f t="shared" ca="1" si="74"/>
        <v/>
      </c>
      <c r="J173" s="20" t="str">
        <f t="shared" ca="1" si="68"/>
        <v/>
      </c>
      <c r="K173" s="20" t="b">
        <f t="shared" ca="1" si="75"/>
        <v>1</v>
      </c>
      <c r="L173" s="20" t="b">
        <f t="shared" ca="1" si="76"/>
        <v>1</v>
      </c>
      <c r="M173" s="1046" t="str">
        <f t="shared" ca="1" si="77"/>
        <v/>
      </c>
      <c r="N173" s="842" t="str">
        <f t="shared" ca="1" si="16"/>
        <v/>
      </c>
      <c r="O173" s="1498" t="str">
        <f t="shared" ca="1" si="17"/>
        <v/>
      </c>
      <c r="P173" s="508" t="b">
        <f ca="1">IF($C173&lt;&gt;"",IF(INDEX(SpecialModsTable,$A173,6)&lt;&gt;"",IF(NOT(ISERROR(FIND(Weapons!O$76,INDEX(SpecialModsTable,$A173,6),1))),TRUE,FALSE),TRUE),FALSE)</f>
        <v>0</v>
      </c>
      <c r="Q173" s="508" t="str">
        <f t="shared" ca="1" si="18"/>
        <v/>
      </c>
      <c r="R173" s="20" t="str">
        <f t="shared" ca="1" si="19"/>
        <v/>
      </c>
      <c r="S173" s="20" t="str">
        <f t="shared" ca="1" si="20"/>
        <v/>
      </c>
      <c r="T173" s="20" t="str">
        <f t="shared" ca="1" si="63"/>
        <v/>
      </c>
      <c r="U173" s="20" t="b">
        <f t="shared" ca="1" si="22"/>
        <v>1</v>
      </c>
      <c r="V173" s="20" t="b">
        <f t="shared" ca="1" si="23"/>
        <v>1</v>
      </c>
      <c r="W173" s="1046" t="str">
        <f t="shared" ca="1" si="24"/>
        <v/>
      </c>
      <c r="X173" s="842" t="str">
        <f t="shared" ca="1" si="25"/>
        <v/>
      </c>
      <c r="Y173" s="1498" t="str">
        <f t="shared" ca="1" si="26"/>
        <v/>
      </c>
      <c r="Z173" s="508" t="b">
        <f ca="1">IF($C173&lt;&gt;"",IF(INDEX(SpecialModsTable,$A173,6)&lt;&gt;"",IF(NOT(ISERROR(FIND(Weapons!Y$76,INDEX(SpecialModsTable,$A173,6),1))),TRUE,FALSE),TRUE),FALSE)</f>
        <v>0</v>
      </c>
      <c r="AA173" s="508" t="str">
        <f t="shared" ca="1" si="27"/>
        <v/>
      </c>
      <c r="AB173" s="20" t="str">
        <f t="shared" ca="1" si="28"/>
        <v/>
      </c>
      <c r="AC173" s="20" t="str">
        <f t="shared" ca="1" si="29"/>
        <v/>
      </c>
      <c r="AD173" s="20" t="str">
        <f t="shared" ca="1" si="64"/>
        <v/>
      </c>
      <c r="AE173" s="20" t="b">
        <f t="shared" ca="1" si="31"/>
        <v>1</v>
      </c>
      <c r="AF173" s="20" t="b">
        <f t="shared" ca="1" si="32"/>
        <v>1</v>
      </c>
      <c r="AG173" s="1046" t="str">
        <f t="shared" ca="1" si="33"/>
        <v/>
      </c>
      <c r="AH173" s="842" t="str">
        <f t="shared" ca="1" si="34"/>
        <v/>
      </c>
      <c r="AI173" s="1498" t="str">
        <f t="shared" ca="1" si="35"/>
        <v/>
      </c>
      <c r="AJ173" s="508" t="b">
        <f ca="1">IF($C173&lt;&gt;"",IF(INDEX(SpecialModsTable,$A173,6)&lt;&gt;"",IF(NOT(ISERROR(FIND(Weapons!AI$76,INDEX(SpecialModsTable,$A173,6),1))),TRUE,FALSE),TRUE),FALSE)</f>
        <v>0</v>
      </c>
      <c r="AK173" s="508" t="str">
        <f t="shared" ca="1" si="36"/>
        <v/>
      </c>
      <c r="AL173" s="20" t="str">
        <f t="shared" ca="1" si="37"/>
        <v/>
      </c>
      <c r="AM173" s="20" t="str">
        <f t="shared" ca="1" si="38"/>
        <v/>
      </c>
      <c r="AN173" s="20" t="str">
        <f t="shared" ca="1" si="65"/>
        <v/>
      </c>
      <c r="AO173" s="20" t="b">
        <f t="shared" ca="1" si="40"/>
        <v>1</v>
      </c>
      <c r="AP173" s="20" t="b">
        <f t="shared" ca="1" si="41"/>
        <v>1</v>
      </c>
      <c r="AQ173" s="1046" t="str">
        <f t="shared" ca="1" si="42"/>
        <v/>
      </c>
      <c r="AR173" s="842" t="str">
        <f t="shared" ca="1" si="43"/>
        <v/>
      </c>
      <c r="AS173" s="1498" t="str">
        <f t="shared" ca="1" si="44"/>
        <v/>
      </c>
      <c r="AT173" s="508" t="b">
        <f ca="1">IF($C173&lt;&gt;"",IF(INDEX(SpecialModsTable,$A173,6)&lt;&gt;"",IF(NOT(ISERROR(FIND(Weapons!AS$76,INDEX(SpecialModsTable,$A173,6),1))),TRUE,FALSE),TRUE),FALSE)</f>
        <v>0</v>
      </c>
      <c r="AU173" s="508" t="str">
        <f t="shared" ca="1" si="45"/>
        <v/>
      </c>
      <c r="AV173" s="20" t="str">
        <f t="shared" ca="1" si="46"/>
        <v/>
      </c>
      <c r="AW173" s="20" t="str">
        <f t="shared" ca="1" si="47"/>
        <v/>
      </c>
      <c r="AX173" s="20" t="str">
        <f t="shared" ca="1" si="66"/>
        <v/>
      </c>
      <c r="AY173" s="20" t="b">
        <f t="shared" ca="1" si="49"/>
        <v>1</v>
      </c>
      <c r="AZ173" s="20" t="b">
        <f t="shared" ca="1" si="50"/>
        <v>1</v>
      </c>
      <c r="BA173" s="1046" t="str">
        <f t="shared" ca="1" si="51"/>
        <v/>
      </c>
      <c r="BB173" s="842" t="str">
        <f t="shared" ca="1" si="52"/>
        <v/>
      </c>
      <c r="BC173" s="1498" t="str">
        <f t="shared" ca="1" si="53"/>
        <v/>
      </c>
      <c r="BD173" s="508" t="b">
        <f ca="1">IF($C173&lt;&gt;"",IF(INDEX(SpecialModsTable,$A173,6)&lt;&gt;"",IF(NOT(ISERROR(FIND(Weapons!BC$76,INDEX(SpecialModsTable,$A173,6),1))),TRUE,FALSE),TRUE),FALSE)</f>
        <v>0</v>
      </c>
      <c r="BE173" s="508" t="str">
        <f t="shared" ca="1" si="54"/>
        <v/>
      </c>
      <c r="BF173" s="20" t="str">
        <f t="shared" ca="1" si="55"/>
        <v/>
      </c>
      <c r="BG173" s="20" t="str">
        <f t="shared" ca="1" si="56"/>
        <v/>
      </c>
      <c r="BH173" s="20" t="str">
        <f t="shared" ca="1" si="67"/>
        <v/>
      </c>
      <c r="BI173" s="20" t="b">
        <f t="shared" ca="1" si="58"/>
        <v>1</v>
      </c>
      <c r="BJ173" s="20" t="b">
        <f t="shared" ca="1" si="59"/>
        <v>1</v>
      </c>
      <c r="BK173" s="1046" t="str">
        <f t="shared" ca="1" si="60"/>
        <v/>
      </c>
    </row>
    <row r="174" spans="1:63" hidden="1">
      <c r="A174" s="1477">
        <f t="shared" si="61"/>
        <v>44</v>
      </c>
      <c r="B174" s="1477"/>
      <c r="C174" s="1477" t="str">
        <f t="shared" ca="1" si="69"/>
        <v>Power Blast (-11)</v>
      </c>
      <c r="D174" s="842" t="str">
        <f t="shared" ca="1" si="70"/>
        <v/>
      </c>
      <c r="E174" s="1498" t="str">
        <f t="shared" ca="1" si="71"/>
        <v/>
      </c>
      <c r="F174" s="508" t="b">
        <f ca="1">IF($C174&lt;&gt;"",IF(INDEX(SpecialModsTable,$A174,6)&lt;&gt;"",IF(NOT(ISERROR(FIND(Weapons!E$76,INDEX(SpecialModsTable,$A174,6),1))),TRUE,FALSE),TRUE),FALSE)</f>
        <v>0</v>
      </c>
      <c r="G174" s="508" t="str">
        <f t="shared" ca="1" si="72"/>
        <v/>
      </c>
      <c r="H174" s="20" t="str">
        <f t="shared" ca="1" si="73"/>
        <v/>
      </c>
      <c r="I174" s="20" t="str">
        <f t="shared" ca="1" si="74"/>
        <v/>
      </c>
      <c r="J174" s="20" t="str">
        <f t="shared" ca="1" si="68"/>
        <v/>
      </c>
      <c r="K174" s="20" t="b">
        <f t="shared" ca="1" si="75"/>
        <v>1</v>
      </c>
      <c r="L174" s="20" t="b">
        <f t="shared" ca="1" si="76"/>
        <v>1</v>
      </c>
      <c r="M174" s="1046" t="str">
        <f t="shared" ca="1" si="77"/>
        <v/>
      </c>
      <c r="N174" s="842" t="str">
        <f t="shared" ca="1" si="16"/>
        <v/>
      </c>
      <c r="O174" s="1498" t="str">
        <f t="shared" ca="1" si="17"/>
        <v/>
      </c>
      <c r="P174" s="508" t="b">
        <f ca="1">IF($C174&lt;&gt;"",IF(INDEX(SpecialModsTable,$A174,6)&lt;&gt;"",IF(NOT(ISERROR(FIND(Weapons!O$76,INDEX(SpecialModsTable,$A174,6),1))),TRUE,FALSE),TRUE),FALSE)</f>
        <v>0</v>
      </c>
      <c r="Q174" s="508" t="str">
        <f t="shared" ca="1" si="18"/>
        <v/>
      </c>
      <c r="R174" s="20" t="str">
        <f t="shared" ca="1" si="19"/>
        <v/>
      </c>
      <c r="S174" s="20" t="str">
        <f t="shared" ca="1" si="20"/>
        <v/>
      </c>
      <c r="T174" s="20" t="str">
        <f t="shared" ca="1" si="63"/>
        <v/>
      </c>
      <c r="U174" s="20" t="b">
        <f t="shared" ca="1" si="22"/>
        <v>1</v>
      </c>
      <c r="V174" s="20" t="b">
        <f t="shared" ca="1" si="23"/>
        <v>1</v>
      </c>
      <c r="W174" s="1046" t="str">
        <f t="shared" ca="1" si="24"/>
        <v/>
      </c>
      <c r="X174" s="842" t="str">
        <f t="shared" ca="1" si="25"/>
        <v/>
      </c>
      <c r="Y174" s="1498" t="str">
        <f t="shared" ca="1" si="26"/>
        <v/>
      </c>
      <c r="Z174" s="508" t="b">
        <f ca="1">IF($C174&lt;&gt;"",IF(INDEX(SpecialModsTable,$A174,6)&lt;&gt;"",IF(NOT(ISERROR(FIND(Weapons!Y$76,INDEX(SpecialModsTable,$A174,6),1))),TRUE,FALSE),TRUE),FALSE)</f>
        <v>0</v>
      </c>
      <c r="AA174" s="508" t="str">
        <f t="shared" ca="1" si="27"/>
        <v/>
      </c>
      <c r="AB174" s="20" t="str">
        <f t="shared" ca="1" si="28"/>
        <v/>
      </c>
      <c r="AC174" s="20" t="str">
        <f t="shared" ca="1" si="29"/>
        <v/>
      </c>
      <c r="AD174" s="20" t="str">
        <f t="shared" ca="1" si="64"/>
        <v/>
      </c>
      <c r="AE174" s="20" t="b">
        <f t="shared" ca="1" si="31"/>
        <v>1</v>
      </c>
      <c r="AF174" s="20" t="b">
        <f t="shared" ca="1" si="32"/>
        <v>1</v>
      </c>
      <c r="AG174" s="1046" t="str">
        <f t="shared" ca="1" si="33"/>
        <v/>
      </c>
      <c r="AH174" s="842" t="str">
        <f t="shared" ca="1" si="34"/>
        <v/>
      </c>
      <c r="AI174" s="1498" t="str">
        <f t="shared" ca="1" si="35"/>
        <v/>
      </c>
      <c r="AJ174" s="508" t="b">
        <f ca="1">IF($C174&lt;&gt;"",IF(INDEX(SpecialModsTable,$A174,6)&lt;&gt;"",IF(NOT(ISERROR(FIND(Weapons!AI$76,INDEX(SpecialModsTable,$A174,6),1))),TRUE,FALSE),TRUE),FALSE)</f>
        <v>0</v>
      </c>
      <c r="AK174" s="508" t="str">
        <f t="shared" ca="1" si="36"/>
        <v/>
      </c>
      <c r="AL174" s="20" t="str">
        <f t="shared" ca="1" si="37"/>
        <v/>
      </c>
      <c r="AM174" s="20" t="str">
        <f t="shared" ca="1" si="38"/>
        <v/>
      </c>
      <c r="AN174" s="20" t="str">
        <f t="shared" ca="1" si="65"/>
        <v/>
      </c>
      <c r="AO174" s="20" t="b">
        <f t="shared" ca="1" si="40"/>
        <v>1</v>
      </c>
      <c r="AP174" s="20" t="b">
        <f t="shared" ca="1" si="41"/>
        <v>1</v>
      </c>
      <c r="AQ174" s="1046" t="str">
        <f t="shared" ca="1" si="42"/>
        <v/>
      </c>
      <c r="AR174" s="842" t="str">
        <f t="shared" ca="1" si="43"/>
        <v/>
      </c>
      <c r="AS174" s="1498" t="str">
        <f t="shared" ca="1" si="44"/>
        <v/>
      </c>
      <c r="AT174" s="508" t="b">
        <f ca="1">IF($C174&lt;&gt;"",IF(INDEX(SpecialModsTable,$A174,6)&lt;&gt;"",IF(NOT(ISERROR(FIND(Weapons!AS$76,INDEX(SpecialModsTable,$A174,6),1))),TRUE,FALSE),TRUE),FALSE)</f>
        <v>0</v>
      </c>
      <c r="AU174" s="508" t="str">
        <f t="shared" ca="1" si="45"/>
        <v/>
      </c>
      <c r="AV174" s="20" t="str">
        <f t="shared" ca="1" si="46"/>
        <v/>
      </c>
      <c r="AW174" s="20" t="str">
        <f t="shared" ca="1" si="47"/>
        <v/>
      </c>
      <c r="AX174" s="20" t="str">
        <f t="shared" ca="1" si="66"/>
        <v/>
      </c>
      <c r="AY174" s="20" t="b">
        <f t="shared" ca="1" si="49"/>
        <v>1</v>
      </c>
      <c r="AZ174" s="20" t="b">
        <f t="shared" ca="1" si="50"/>
        <v>1</v>
      </c>
      <c r="BA174" s="1046" t="str">
        <f t="shared" ca="1" si="51"/>
        <v/>
      </c>
      <c r="BB174" s="842" t="str">
        <f t="shared" ca="1" si="52"/>
        <v/>
      </c>
      <c r="BC174" s="1498" t="str">
        <f t="shared" ca="1" si="53"/>
        <v/>
      </c>
      <c r="BD174" s="508" t="b">
        <f ca="1">IF($C174&lt;&gt;"",IF(INDEX(SpecialModsTable,$A174,6)&lt;&gt;"",IF(NOT(ISERROR(FIND(Weapons!BC$76,INDEX(SpecialModsTable,$A174,6),1))),TRUE,FALSE),TRUE),FALSE)</f>
        <v>0</v>
      </c>
      <c r="BE174" s="508" t="str">
        <f t="shared" ca="1" si="54"/>
        <v/>
      </c>
      <c r="BF174" s="20" t="str">
        <f t="shared" ca="1" si="55"/>
        <v/>
      </c>
      <c r="BG174" s="20" t="str">
        <f t="shared" ca="1" si="56"/>
        <v/>
      </c>
      <c r="BH174" s="20" t="str">
        <f t="shared" ca="1" si="67"/>
        <v/>
      </c>
      <c r="BI174" s="20" t="b">
        <f t="shared" ca="1" si="58"/>
        <v>1</v>
      </c>
      <c r="BJ174" s="20" t="b">
        <f t="shared" ca="1" si="59"/>
        <v>1</v>
      </c>
      <c r="BK174" s="1046" t="str">
        <f t="shared" ca="1" si="60"/>
        <v/>
      </c>
    </row>
    <row r="175" spans="1:63" hidden="1">
      <c r="A175" s="1477">
        <f t="shared" si="61"/>
        <v>45</v>
      </c>
      <c r="B175" s="1477"/>
      <c r="C175" s="1477" t="str">
        <f t="shared" ca="1" si="69"/>
        <v>Power Blast (-12)</v>
      </c>
      <c r="D175" s="842" t="str">
        <f t="shared" ca="1" si="70"/>
        <v/>
      </c>
      <c r="E175" s="1498" t="str">
        <f t="shared" ca="1" si="71"/>
        <v/>
      </c>
      <c r="F175" s="508" t="b">
        <f ca="1">IF($C175&lt;&gt;"",IF(INDEX(SpecialModsTable,$A175,6)&lt;&gt;"",IF(NOT(ISERROR(FIND(Weapons!E$76,INDEX(SpecialModsTable,$A175,6),1))),TRUE,FALSE),TRUE),FALSE)</f>
        <v>0</v>
      </c>
      <c r="G175" s="508" t="str">
        <f t="shared" ca="1" si="72"/>
        <v/>
      </c>
      <c r="H175" s="20" t="str">
        <f t="shared" ca="1" si="73"/>
        <v/>
      </c>
      <c r="I175" s="20" t="str">
        <f t="shared" ca="1" si="74"/>
        <v/>
      </c>
      <c r="J175" s="20" t="str">
        <f t="shared" ca="1" si="68"/>
        <v/>
      </c>
      <c r="K175" s="20" t="b">
        <f t="shared" ca="1" si="75"/>
        <v>1</v>
      </c>
      <c r="L175" s="20" t="b">
        <f t="shared" ca="1" si="76"/>
        <v>1</v>
      </c>
      <c r="M175" s="1046" t="str">
        <f t="shared" ca="1" si="77"/>
        <v/>
      </c>
      <c r="N175" s="842" t="str">
        <f t="shared" ca="1" si="16"/>
        <v/>
      </c>
      <c r="O175" s="1498" t="str">
        <f t="shared" ca="1" si="17"/>
        <v/>
      </c>
      <c r="P175" s="508" t="b">
        <f ca="1">IF($C175&lt;&gt;"",IF(INDEX(SpecialModsTable,$A175,6)&lt;&gt;"",IF(NOT(ISERROR(FIND(Weapons!O$76,INDEX(SpecialModsTable,$A175,6),1))),TRUE,FALSE),TRUE),FALSE)</f>
        <v>0</v>
      </c>
      <c r="Q175" s="508" t="str">
        <f t="shared" ca="1" si="18"/>
        <v/>
      </c>
      <c r="R175" s="20" t="str">
        <f t="shared" ca="1" si="19"/>
        <v/>
      </c>
      <c r="S175" s="20" t="str">
        <f t="shared" ca="1" si="20"/>
        <v/>
      </c>
      <c r="T175" s="20" t="str">
        <f t="shared" ca="1" si="63"/>
        <v/>
      </c>
      <c r="U175" s="20" t="b">
        <f t="shared" ca="1" si="22"/>
        <v>1</v>
      </c>
      <c r="V175" s="20" t="b">
        <f t="shared" ca="1" si="23"/>
        <v>1</v>
      </c>
      <c r="W175" s="1046" t="str">
        <f t="shared" ca="1" si="24"/>
        <v/>
      </c>
      <c r="X175" s="842" t="str">
        <f t="shared" ca="1" si="25"/>
        <v/>
      </c>
      <c r="Y175" s="1498" t="str">
        <f t="shared" ca="1" si="26"/>
        <v/>
      </c>
      <c r="Z175" s="508" t="b">
        <f ca="1">IF($C175&lt;&gt;"",IF(INDEX(SpecialModsTable,$A175,6)&lt;&gt;"",IF(NOT(ISERROR(FIND(Weapons!Y$76,INDEX(SpecialModsTable,$A175,6),1))),TRUE,FALSE),TRUE),FALSE)</f>
        <v>0</v>
      </c>
      <c r="AA175" s="508" t="str">
        <f t="shared" ca="1" si="27"/>
        <v/>
      </c>
      <c r="AB175" s="20" t="str">
        <f t="shared" ca="1" si="28"/>
        <v/>
      </c>
      <c r="AC175" s="20" t="str">
        <f t="shared" ca="1" si="29"/>
        <v/>
      </c>
      <c r="AD175" s="20" t="str">
        <f t="shared" ca="1" si="64"/>
        <v/>
      </c>
      <c r="AE175" s="20" t="b">
        <f t="shared" ca="1" si="31"/>
        <v>1</v>
      </c>
      <c r="AF175" s="20" t="b">
        <f t="shared" ca="1" si="32"/>
        <v>1</v>
      </c>
      <c r="AG175" s="1046" t="str">
        <f t="shared" ca="1" si="33"/>
        <v/>
      </c>
      <c r="AH175" s="842" t="str">
        <f t="shared" ca="1" si="34"/>
        <v/>
      </c>
      <c r="AI175" s="1498" t="str">
        <f t="shared" ca="1" si="35"/>
        <v/>
      </c>
      <c r="AJ175" s="508" t="b">
        <f ca="1">IF($C175&lt;&gt;"",IF(INDEX(SpecialModsTable,$A175,6)&lt;&gt;"",IF(NOT(ISERROR(FIND(Weapons!AI$76,INDEX(SpecialModsTable,$A175,6),1))),TRUE,FALSE),TRUE),FALSE)</f>
        <v>0</v>
      </c>
      <c r="AK175" s="508" t="str">
        <f t="shared" ca="1" si="36"/>
        <v/>
      </c>
      <c r="AL175" s="20" t="str">
        <f t="shared" ca="1" si="37"/>
        <v/>
      </c>
      <c r="AM175" s="20" t="str">
        <f t="shared" ca="1" si="38"/>
        <v/>
      </c>
      <c r="AN175" s="20" t="str">
        <f t="shared" ca="1" si="65"/>
        <v/>
      </c>
      <c r="AO175" s="20" t="b">
        <f t="shared" ca="1" si="40"/>
        <v>1</v>
      </c>
      <c r="AP175" s="20" t="b">
        <f t="shared" ca="1" si="41"/>
        <v>1</v>
      </c>
      <c r="AQ175" s="1046" t="str">
        <f t="shared" ca="1" si="42"/>
        <v/>
      </c>
      <c r="AR175" s="842" t="str">
        <f t="shared" ca="1" si="43"/>
        <v/>
      </c>
      <c r="AS175" s="1498" t="str">
        <f t="shared" ca="1" si="44"/>
        <v/>
      </c>
      <c r="AT175" s="508" t="b">
        <f ca="1">IF($C175&lt;&gt;"",IF(INDEX(SpecialModsTable,$A175,6)&lt;&gt;"",IF(NOT(ISERROR(FIND(Weapons!AS$76,INDEX(SpecialModsTable,$A175,6),1))),TRUE,FALSE),TRUE),FALSE)</f>
        <v>0</v>
      </c>
      <c r="AU175" s="508" t="str">
        <f t="shared" ca="1" si="45"/>
        <v/>
      </c>
      <c r="AV175" s="20" t="str">
        <f t="shared" ca="1" si="46"/>
        <v/>
      </c>
      <c r="AW175" s="20" t="str">
        <f t="shared" ca="1" si="47"/>
        <v/>
      </c>
      <c r="AX175" s="20" t="str">
        <f t="shared" ca="1" si="66"/>
        <v/>
      </c>
      <c r="AY175" s="20" t="b">
        <f t="shared" ca="1" si="49"/>
        <v>1</v>
      </c>
      <c r="AZ175" s="20" t="b">
        <f t="shared" ca="1" si="50"/>
        <v>1</v>
      </c>
      <c r="BA175" s="1046" t="str">
        <f t="shared" ca="1" si="51"/>
        <v/>
      </c>
      <c r="BB175" s="842" t="str">
        <f t="shared" ca="1" si="52"/>
        <v/>
      </c>
      <c r="BC175" s="1498" t="str">
        <f t="shared" ca="1" si="53"/>
        <v/>
      </c>
      <c r="BD175" s="508" t="b">
        <f ca="1">IF($C175&lt;&gt;"",IF(INDEX(SpecialModsTable,$A175,6)&lt;&gt;"",IF(NOT(ISERROR(FIND(Weapons!BC$76,INDEX(SpecialModsTable,$A175,6),1))),TRUE,FALSE),TRUE),FALSE)</f>
        <v>0</v>
      </c>
      <c r="BE175" s="508" t="str">
        <f t="shared" ca="1" si="54"/>
        <v/>
      </c>
      <c r="BF175" s="20" t="str">
        <f t="shared" ca="1" si="55"/>
        <v/>
      </c>
      <c r="BG175" s="20" t="str">
        <f t="shared" ca="1" si="56"/>
        <v/>
      </c>
      <c r="BH175" s="20" t="str">
        <f t="shared" ca="1" si="67"/>
        <v/>
      </c>
      <c r="BI175" s="20" t="b">
        <f t="shared" ca="1" si="58"/>
        <v>1</v>
      </c>
      <c r="BJ175" s="20" t="b">
        <f t="shared" ca="1" si="59"/>
        <v>1</v>
      </c>
      <c r="BK175" s="1046" t="str">
        <f t="shared" ca="1" si="60"/>
        <v/>
      </c>
    </row>
    <row r="176" spans="1:63" hidden="1">
      <c r="A176" s="1477">
        <f t="shared" si="61"/>
        <v>46</v>
      </c>
      <c r="B176" s="1477"/>
      <c r="C176" s="1477" t="str">
        <f t="shared" ca="1" si="69"/>
        <v>Power Blast (-13)</v>
      </c>
      <c r="D176" s="842" t="str">
        <f t="shared" ca="1" si="70"/>
        <v/>
      </c>
      <c r="E176" s="1498" t="str">
        <f t="shared" ca="1" si="71"/>
        <v/>
      </c>
      <c r="F176" s="508" t="b">
        <f ca="1">IF($C176&lt;&gt;"",IF(INDEX(SpecialModsTable,$A176,6)&lt;&gt;"",IF(NOT(ISERROR(FIND(Weapons!E$76,INDEX(SpecialModsTable,$A176,6),1))),TRUE,FALSE),TRUE),FALSE)</f>
        <v>0</v>
      </c>
      <c r="G176" s="508" t="str">
        <f t="shared" ca="1" si="72"/>
        <v/>
      </c>
      <c r="H176" s="20" t="str">
        <f t="shared" ca="1" si="73"/>
        <v/>
      </c>
      <c r="I176" s="20" t="str">
        <f t="shared" ca="1" si="74"/>
        <v/>
      </c>
      <c r="J176" s="20" t="str">
        <f t="shared" ca="1" si="68"/>
        <v/>
      </c>
      <c r="K176" s="20" t="b">
        <f t="shared" ca="1" si="75"/>
        <v>1</v>
      </c>
      <c r="L176" s="20" t="b">
        <f t="shared" ca="1" si="76"/>
        <v>1</v>
      </c>
      <c r="M176" s="1046" t="str">
        <f t="shared" ca="1" si="77"/>
        <v/>
      </c>
      <c r="N176" s="842" t="str">
        <f t="shared" ca="1" si="16"/>
        <v/>
      </c>
      <c r="O176" s="1498" t="str">
        <f t="shared" ca="1" si="17"/>
        <v/>
      </c>
      <c r="P176" s="508" t="b">
        <f ca="1">IF($C176&lt;&gt;"",IF(INDEX(SpecialModsTable,$A176,6)&lt;&gt;"",IF(NOT(ISERROR(FIND(Weapons!O$76,INDEX(SpecialModsTable,$A176,6),1))),TRUE,FALSE),TRUE),FALSE)</f>
        <v>0</v>
      </c>
      <c r="Q176" s="508" t="str">
        <f t="shared" ca="1" si="18"/>
        <v/>
      </c>
      <c r="R176" s="20" t="str">
        <f t="shared" ca="1" si="19"/>
        <v/>
      </c>
      <c r="S176" s="20" t="str">
        <f t="shared" ca="1" si="20"/>
        <v/>
      </c>
      <c r="T176" s="20" t="str">
        <f t="shared" ca="1" si="63"/>
        <v/>
      </c>
      <c r="U176" s="20" t="b">
        <f t="shared" ca="1" si="22"/>
        <v>1</v>
      </c>
      <c r="V176" s="20" t="b">
        <f t="shared" ca="1" si="23"/>
        <v>1</v>
      </c>
      <c r="W176" s="1046" t="str">
        <f t="shared" ca="1" si="24"/>
        <v/>
      </c>
      <c r="X176" s="842" t="str">
        <f t="shared" ca="1" si="25"/>
        <v/>
      </c>
      <c r="Y176" s="1498" t="str">
        <f t="shared" ca="1" si="26"/>
        <v/>
      </c>
      <c r="Z176" s="508" t="b">
        <f ca="1">IF($C176&lt;&gt;"",IF(INDEX(SpecialModsTable,$A176,6)&lt;&gt;"",IF(NOT(ISERROR(FIND(Weapons!Y$76,INDEX(SpecialModsTable,$A176,6),1))),TRUE,FALSE),TRUE),FALSE)</f>
        <v>0</v>
      </c>
      <c r="AA176" s="508" t="str">
        <f t="shared" ca="1" si="27"/>
        <v/>
      </c>
      <c r="AB176" s="20" t="str">
        <f t="shared" ca="1" si="28"/>
        <v/>
      </c>
      <c r="AC176" s="20" t="str">
        <f t="shared" ca="1" si="29"/>
        <v/>
      </c>
      <c r="AD176" s="20" t="str">
        <f t="shared" ca="1" si="64"/>
        <v/>
      </c>
      <c r="AE176" s="20" t="b">
        <f t="shared" ca="1" si="31"/>
        <v>1</v>
      </c>
      <c r="AF176" s="20" t="b">
        <f t="shared" ca="1" si="32"/>
        <v>1</v>
      </c>
      <c r="AG176" s="1046" t="str">
        <f t="shared" ca="1" si="33"/>
        <v/>
      </c>
      <c r="AH176" s="842" t="str">
        <f t="shared" ca="1" si="34"/>
        <v/>
      </c>
      <c r="AI176" s="1498" t="str">
        <f t="shared" ca="1" si="35"/>
        <v/>
      </c>
      <c r="AJ176" s="508" t="b">
        <f ca="1">IF($C176&lt;&gt;"",IF(INDEX(SpecialModsTable,$A176,6)&lt;&gt;"",IF(NOT(ISERROR(FIND(Weapons!AI$76,INDEX(SpecialModsTable,$A176,6),1))),TRUE,FALSE),TRUE),FALSE)</f>
        <v>0</v>
      </c>
      <c r="AK176" s="508" t="str">
        <f t="shared" ca="1" si="36"/>
        <v/>
      </c>
      <c r="AL176" s="20" t="str">
        <f t="shared" ca="1" si="37"/>
        <v/>
      </c>
      <c r="AM176" s="20" t="str">
        <f t="shared" ca="1" si="38"/>
        <v/>
      </c>
      <c r="AN176" s="20" t="str">
        <f t="shared" ca="1" si="65"/>
        <v/>
      </c>
      <c r="AO176" s="20" t="b">
        <f t="shared" ca="1" si="40"/>
        <v>1</v>
      </c>
      <c r="AP176" s="20" t="b">
        <f t="shared" ca="1" si="41"/>
        <v>1</v>
      </c>
      <c r="AQ176" s="1046" t="str">
        <f t="shared" ca="1" si="42"/>
        <v/>
      </c>
      <c r="AR176" s="842" t="str">
        <f t="shared" ca="1" si="43"/>
        <v/>
      </c>
      <c r="AS176" s="1498" t="str">
        <f t="shared" ca="1" si="44"/>
        <v/>
      </c>
      <c r="AT176" s="508" t="b">
        <f ca="1">IF($C176&lt;&gt;"",IF(INDEX(SpecialModsTable,$A176,6)&lt;&gt;"",IF(NOT(ISERROR(FIND(Weapons!AS$76,INDEX(SpecialModsTable,$A176,6),1))),TRUE,FALSE),TRUE),FALSE)</f>
        <v>0</v>
      </c>
      <c r="AU176" s="508" t="str">
        <f t="shared" ca="1" si="45"/>
        <v/>
      </c>
      <c r="AV176" s="20" t="str">
        <f t="shared" ca="1" si="46"/>
        <v/>
      </c>
      <c r="AW176" s="20" t="str">
        <f t="shared" ca="1" si="47"/>
        <v/>
      </c>
      <c r="AX176" s="20" t="str">
        <f t="shared" ca="1" si="66"/>
        <v/>
      </c>
      <c r="AY176" s="20" t="b">
        <f t="shared" ca="1" si="49"/>
        <v>1</v>
      </c>
      <c r="AZ176" s="20" t="b">
        <f t="shared" ca="1" si="50"/>
        <v>1</v>
      </c>
      <c r="BA176" s="1046" t="str">
        <f t="shared" ca="1" si="51"/>
        <v/>
      </c>
      <c r="BB176" s="842" t="str">
        <f t="shared" ca="1" si="52"/>
        <v/>
      </c>
      <c r="BC176" s="1498" t="str">
        <f t="shared" ca="1" si="53"/>
        <v/>
      </c>
      <c r="BD176" s="508" t="b">
        <f ca="1">IF($C176&lt;&gt;"",IF(INDEX(SpecialModsTable,$A176,6)&lt;&gt;"",IF(NOT(ISERROR(FIND(Weapons!BC$76,INDEX(SpecialModsTable,$A176,6),1))),TRUE,FALSE),TRUE),FALSE)</f>
        <v>0</v>
      </c>
      <c r="BE176" s="508" t="str">
        <f t="shared" ca="1" si="54"/>
        <v/>
      </c>
      <c r="BF176" s="20" t="str">
        <f t="shared" ca="1" si="55"/>
        <v/>
      </c>
      <c r="BG176" s="20" t="str">
        <f t="shared" ca="1" si="56"/>
        <v/>
      </c>
      <c r="BH176" s="20" t="str">
        <f t="shared" ca="1" si="67"/>
        <v/>
      </c>
      <c r="BI176" s="20" t="b">
        <f t="shared" ca="1" si="58"/>
        <v>1</v>
      </c>
      <c r="BJ176" s="20" t="b">
        <f t="shared" ca="1" si="59"/>
        <v>1</v>
      </c>
      <c r="BK176" s="1046" t="str">
        <f t="shared" ca="1" si="60"/>
        <v/>
      </c>
    </row>
    <row r="177" spans="1:63" hidden="1">
      <c r="A177" s="1477">
        <f t="shared" si="61"/>
        <v>47</v>
      </c>
      <c r="B177" s="1477"/>
      <c r="C177" s="1477" t="str">
        <f t="shared" ca="1" si="69"/>
        <v>Power Blast (-14)</v>
      </c>
      <c r="D177" s="842" t="str">
        <f t="shared" ca="1" si="70"/>
        <v/>
      </c>
      <c r="E177" s="1498" t="str">
        <f t="shared" ca="1" si="71"/>
        <v/>
      </c>
      <c r="F177" s="508" t="b">
        <f ca="1">IF($C177&lt;&gt;"",IF(INDEX(SpecialModsTable,$A177,6)&lt;&gt;"",IF(NOT(ISERROR(FIND(Weapons!E$76,INDEX(SpecialModsTable,$A177,6),1))),TRUE,FALSE),TRUE),FALSE)</f>
        <v>0</v>
      </c>
      <c r="G177" s="508" t="str">
        <f t="shared" ca="1" si="72"/>
        <v/>
      </c>
      <c r="H177" s="20" t="str">
        <f t="shared" ca="1" si="73"/>
        <v/>
      </c>
      <c r="I177" s="20" t="str">
        <f t="shared" ca="1" si="74"/>
        <v/>
      </c>
      <c r="J177" s="20" t="str">
        <f t="shared" ca="1" si="68"/>
        <v/>
      </c>
      <c r="K177" s="20" t="b">
        <f t="shared" ca="1" si="75"/>
        <v>1</v>
      </c>
      <c r="L177" s="20" t="b">
        <f t="shared" ca="1" si="76"/>
        <v>1</v>
      </c>
      <c r="M177" s="1046" t="str">
        <f t="shared" ca="1" si="77"/>
        <v/>
      </c>
      <c r="N177" s="842" t="str">
        <f t="shared" ca="1" si="16"/>
        <v/>
      </c>
      <c r="O177" s="1498" t="str">
        <f t="shared" ca="1" si="17"/>
        <v/>
      </c>
      <c r="P177" s="508" t="b">
        <f ca="1">IF($C177&lt;&gt;"",IF(INDEX(SpecialModsTable,$A177,6)&lt;&gt;"",IF(NOT(ISERROR(FIND(Weapons!O$76,INDEX(SpecialModsTable,$A177,6),1))),TRUE,FALSE),TRUE),FALSE)</f>
        <v>0</v>
      </c>
      <c r="Q177" s="508" t="str">
        <f t="shared" ca="1" si="18"/>
        <v/>
      </c>
      <c r="R177" s="20" t="str">
        <f t="shared" ca="1" si="19"/>
        <v/>
      </c>
      <c r="S177" s="20" t="str">
        <f t="shared" ca="1" si="20"/>
        <v/>
      </c>
      <c r="T177" s="20" t="str">
        <f t="shared" ca="1" si="63"/>
        <v/>
      </c>
      <c r="U177" s="20" t="b">
        <f t="shared" ca="1" si="22"/>
        <v>1</v>
      </c>
      <c r="V177" s="20" t="b">
        <f t="shared" ca="1" si="23"/>
        <v>1</v>
      </c>
      <c r="W177" s="1046" t="str">
        <f t="shared" ca="1" si="24"/>
        <v/>
      </c>
      <c r="X177" s="842" t="str">
        <f t="shared" ca="1" si="25"/>
        <v/>
      </c>
      <c r="Y177" s="1498" t="str">
        <f t="shared" ca="1" si="26"/>
        <v/>
      </c>
      <c r="Z177" s="508" t="b">
        <f ca="1">IF($C177&lt;&gt;"",IF(INDEX(SpecialModsTable,$A177,6)&lt;&gt;"",IF(NOT(ISERROR(FIND(Weapons!Y$76,INDEX(SpecialModsTable,$A177,6),1))),TRUE,FALSE),TRUE),FALSE)</f>
        <v>0</v>
      </c>
      <c r="AA177" s="508" t="str">
        <f t="shared" ca="1" si="27"/>
        <v/>
      </c>
      <c r="AB177" s="20" t="str">
        <f t="shared" ca="1" si="28"/>
        <v/>
      </c>
      <c r="AC177" s="20" t="str">
        <f t="shared" ca="1" si="29"/>
        <v/>
      </c>
      <c r="AD177" s="20" t="str">
        <f t="shared" ca="1" si="64"/>
        <v/>
      </c>
      <c r="AE177" s="20" t="b">
        <f t="shared" ca="1" si="31"/>
        <v>1</v>
      </c>
      <c r="AF177" s="20" t="b">
        <f t="shared" ca="1" si="32"/>
        <v>1</v>
      </c>
      <c r="AG177" s="1046" t="str">
        <f t="shared" ca="1" si="33"/>
        <v/>
      </c>
      <c r="AH177" s="842" t="str">
        <f t="shared" ca="1" si="34"/>
        <v/>
      </c>
      <c r="AI177" s="1498" t="str">
        <f t="shared" ca="1" si="35"/>
        <v/>
      </c>
      <c r="AJ177" s="508" t="b">
        <f ca="1">IF($C177&lt;&gt;"",IF(INDEX(SpecialModsTable,$A177,6)&lt;&gt;"",IF(NOT(ISERROR(FIND(Weapons!AI$76,INDEX(SpecialModsTable,$A177,6),1))),TRUE,FALSE),TRUE),FALSE)</f>
        <v>0</v>
      </c>
      <c r="AK177" s="508" t="str">
        <f t="shared" ca="1" si="36"/>
        <v/>
      </c>
      <c r="AL177" s="20" t="str">
        <f t="shared" ca="1" si="37"/>
        <v/>
      </c>
      <c r="AM177" s="20" t="str">
        <f t="shared" ca="1" si="38"/>
        <v/>
      </c>
      <c r="AN177" s="20" t="str">
        <f t="shared" ca="1" si="65"/>
        <v/>
      </c>
      <c r="AO177" s="20" t="b">
        <f t="shared" ca="1" si="40"/>
        <v>1</v>
      </c>
      <c r="AP177" s="20" t="b">
        <f t="shared" ca="1" si="41"/>
        <v>1</v>
      </c>
      <c r="AQ177" s="1046" t="str">
        <f t="shared" ca="1" si="42"/>
        <v/>
      </c>
      <c r="AR177" s="842" t="str">
        <f t="shared" ca="1" si="43"/>
        <v/>
      </c>
      <c r="AS177" s="1498" t="str">
        <f t="shared" ca="1" si="44"/>
        <v/>
      </c>
      <c r="AT177" s="508" t="b">
        <f ca="1">IF($C177&lt;&gt;"",IF(INDEX(SpecialModsTable,$A177,6)&lt;&gt;"",IF(NOT(ISERROR(FIND(Weapons!AS$76,INDEX(SpecialModsTable,$A177,6),1))),TRUE,FALSE),TRUE),FALSE)</f>
        <v>0</v>
      </c>
      <c r="AU177" s="508" t="str">
        <f t="shared" ca="1" si="45"/>
        <v/>
      </c>
      <c r="AV177" s="20" t="str">
        <f t="shared" ca="1" si="46"/>
        <v/>
      </c>
      <c r="AW177" s="20" t="str">
        <f t="shared" ca="1" si="47"/>
        <v/>
      </c>
      <c r="AX177" s="20" t="str">
        <f t="shared" ca="1" si="66"/>
        <v/>
      </c>
      <c r="AY177" s="20" t="b">
        <f t="shared" ca="1" si="49"/>
        <v>1</v>
      </c>
      <c r="AZ177" s="20" t="b">
        <f t="shared" ca="1" si="50"/>
        <v>1</v>
      </c>
      <c r="BA177" s="1046" t="str">
        <f t="shared" ca="1" si="51"/>
        <v/>
      </c>
      <c r="BB177" s="842" t="str">
        <f t="shared" ca="1" si="52"/>
        <v/>
      </c>
      <c r="BC177" s="1498" t="str">
        <f t="shared" ca="1" si="53"/>
        <v/>
      </c>
      <c r="BD177" s="508" t="b">
        <f ca="1">IF($C177&lt;&gt;"",IF(INDEX(SpecialModsTable,$A177,6)&lt;&gt;"",IF(NOT(ISERROR(FIND(Weapons!BC$76,INDEX(SpecialModsTable,$A177,6),1))),TRUE,FALSE),TRUE),FALSE)</f>
        <v>0</v>
      </c>
      <c r="BE177" s="508" t="str">
        <f t="shared" ca="1" si="54"/>
        <v/>
      </c>
      <c r="BF177" s="20" t="str">
        <f t="shared" ca="1" si="55"/>
        <v/>
      </c>
      <c r="BG177" s="20" t="str">
        <f t="shared" ca="1" si="56"/>
        <v/>
      </c>
      <c r="BH177" s="20" t="str">
        <f t="shared" ca="1" si="67"/>
        <v/>
      </c>
      <c r="BI177" s="20" t="b">
        <f t="shared" ca="1" si="58"/>
        <v>1</v>
      </c>
      <c r="BJ177" s="20" t="b">
        <f t="shared" ca="1" si="59"/>
        <v>1</v>
      </c>
      <c r="BK177" s="1046" t="str">
        <f t="shared" ca="1" si="60"/>
        <v/>
      </c>
    </row>
    <row r="178" spans="1:63" hidden="1">
      <c r="A178" s="1477">
        <f t="shared" si="61"/>
        <v>48</v>
      </c>
      <c r="B178" s="1477"/>
      <c r="C178" s="1477" t="str">
        <f t="shared" ca="1" si="69"/>
        <v>Power Blast (-15)</v>
      </c>
      <c r="D178" s="842" t="str">
        <f t="shared" ca="1" si="70"/>
        <v/>
      </c>
      <c r="E178" s="1498" t="str">
        <f t="shared" ca="1" si="71"/>
        <v/>
      </c>
      <c r="F178" s="508" t="b">
        <f ca="1">IF($C178&lt;&gt;"",IF(INDEX(SpecialModsTable,$A178,6)&lt;&gt;"",IF(NOT(ISERROR(FIND(Weapons!E$76,INDEX(SpecialModsTable,$A178,6),1))),TRUE,FALSE),TRUE),FALSE)</f>
        <v>0</v>
      </c>
      <c r="G178" s="508" t="str">
        <f t="shared" ca="1" si="72"/>
        <v/>
      </c>
      <c r="H178" s="20" t="str">
        <f t="shared" ca="1" si="73"/>
        <v/>
      </c>
      <c r="I178" s="20" t="str">
        <f t="shared" ca="1" si="74"/>
        <v/>
      </c>
      <c r="J178" s="20" t="str">
        <f t="shared" ca="1" si="68"/>
        <v/>
      </c>
      <c r="K178" s="20" t="b">
        <f t="shared" ca="1" si="75"/>
        <v>1</v>
      </c>
      <c r="L178" s="20" t="b">
        <f t="shared" ca="1" si="76"/>
        <v>1</v>
      </c>
      <c r="M178" s="1046" t="str">
        <f t="shared" ca="1" si="77"/>
        <v/>
      </c>
      <c r="N178" s="842" t="str">
        <f t="shared" ca="1" si="16"/>
        <v/>
      </c>
      <c r="O178" s="1498" t="str">
        <f t="shared" ca="1" si="17"/>
        <v/>
      </c>
      <c r="P178" s="508" t="b">
        <f ca="1">IF($C178&lt;&gt;"",IF(INDEX(SpecialModsTable,$A178,6)&lt;&gt;"",IF(NOT(ISERROR(FIND(Weapons!O$76,INDEX(SpecialModsTable,$A178,6),1))),TRUE,FALSE),TRUE),FALSE)</f>
        <v>0</v>
      </c>
      <c r="Q178" s="508" t="str">
        <f t="shared" ca="1" si="18"/>
        <v/>
      </c>
      <c r="R178" s="20" t="str">
        <f t="shared" ca="1" si="19"/>
        <v/>
      </c>
      <c r="S178" s="20" t="str">
        <f t="shared" ca="1" si="20"/>
        <v/>
      </c>
      <c r="T178" s="20" t="str">
        <f t="shared" ca="1" si="63"/>
        <v/>
      </c>
      <c r="U178" s="20" t="b">
        <f t="shared" ca="1" si="22"/>
        <v>1</v>
      </c>
      <c r="V178" s="20" t="b">
        <f t="shared" ca="1" si="23"/>
        <v>1</v>
      </c>
      <c r="W178" s="1046" t="str">
        <f t="shared" ca="1" si="24"/>
        <v/>
      </c>
      <c r="X178" s="842" t="str">
        <f t="shared" ca="1" si="25"/>
        <v/>
      </c>
      <c r="Y178" s="1498" t="str">
        <f t="shared" ca="1" si="26"/>
        <v/>
      </c>
      <c r="Z178" s="508" t="b">
        <f ca="1">IF($C178&lt;&gt;"",IF(INDEX(SpecialModsTable,$A178,6)&lt;&gt;"",IF(NOT(ISERROR(FIND(Weapons!Y$76,INDEX(SpecialModsTable,$A178,6),1))),TRUE,FALSE),TRUE),FALSE)</f>
        <v>0</v>
      </c>
      <c r="AA178" s="508" t="str">
        <f t="shared" ca="1" si="27"/>
        <v/>
      </c>
      <c r="AB178" s="20" t="str">
        <f t="shared" ca="1" si="28"/>
        <v/>
      </c>
      <c r="AC178" s="20" t="str">
        <f t="shared" ca="1" si="29"/>
        <v/>
      </c>
      <c r="AD178" s="20" t="str">
        <f t="shared" ca="1" si="64"/>
        <v/>
      </c>
      <c r="AE178" s="20" t="b">
        <f t="shared" ca="1" si="31"/>
        <v>1</v>
      </c>
      <c r="AF178" s="20" t="b">
        <f t="shared" ca="1" si="32"/>
        <v>1</v>
      </c>
      <c r="AG178" s="1046" t="str">
        <f t="shared" ca="1" si="33"/>
        <v/>
      </c>
      <c r="AH178" s="842" t="str">
        <f t="shared" ca="1" si="34"/>
        <v/>
      </c>
      <c r="AI178" s="1498" t="str">
        <f t="shared" ca="1" si="35"/>
        <v/>
      </c>
      <c r="AJ178" s="508" t="b">
        <f ca="1">IF($C178&lt;&gt;"",IF(INDEX(SpecialModsTable,$A178,6)&lt;&gt;"",IF(NOT(ISERROR(FIND(Weapons!AI$76,INDEX(SpecialModsTable,$A178,6),1))),TRUE,FALSE),TRUE),FALSE)</f>
        <v>0</v>
      </c>
      <c r="AK178" s="508" t="str">
        <f t="shared" ca="1" si="36"/>
        <v/>
      </c>
      <c r="AL178" s="20" t="str">
        <f t="shared" ca="1" si="37"/>
        <v/>
      </c>
      <c r="AM178" s="20" t="str">
        <f t="shared" ca="1" si="38"/>
        <v/>
      </c>
      <c r="AN178" s="20" t="str">
        <f t="shared" ca="1" si="65"/>
        <v/>
      </c>
      <c r="AO178" s="20" t="b">
        <f t="shared" ca="1" si="40"/>
        <v>1</v>
      </c>
      <c r="AP178" s="20" t="b">
        <f t="shared" ca="1" si="41"/>
        <v>1</v>
      </c>
      <c r="AQ178" s="1046" t="str">
        <f t="shared" ca="1" si="42"/>
        <v/>
      </c>
      <c r="AR178" s="842" t="str">
        <f t="shared" ca="1" si="43"/>
        <v/>
      </c>
      <c r="AS178" s="1498" t="str">
        <f t="shared" ca="1" si="44"/>
        <v/>
      </c>
      <c r="AT178" s="508" t="b">
        <f ca="1">IF($C178&lt;&gt;"",IF(INDEX(SpecialModsTable,$A178,6)&lt;&gt;"",IF(NOT(ISERROR(FIND(Weapons!AS$76,INDEX(SpecialModsTable,$A178,6),1))),TRUE,FALSE),TRUE),FALSE)</f>
        <v>0</v>
      </c>
      <c r="AU178" s="508" t="str">
        <f t="shared" ca="1" si="45"/>
        <v/>
      </c>
      <c r="AV178" s="20" t="str">
        <f t="shared" ca="1" si="46"/>
        <v/>
      </c>
      <c r="AW178" s="20" t="str">
        <f t="shared" ca="1" si="47"/>
        <v/>
      </c>
      <c r="AX178" s="20" t="str">
        <f t="shared" ca="1" si="66"/>
        <v/>
      </c>
      <c r="AY178" s="20" t="b">
        <f t="shared" ca="1" si="49"/>
        <v>1</v>
      </c>
      <c r="AZ178" s="20" t="b">
        <f t="shared" ca="1" si="50"/>
        <v>1</v>
      </c>
      <c r="BA178" s="1046" t="str">
        <f t="shared" ca="1" si="51"/>
        <v/>
      </c>
      <c r="BB178" s="842" t="str">
        <f t="shared" ca="1" si="52"/>
        <v/>
      </c>
      <c r="BC178" s="1498" t="str">
        <f t="shared" ca="1" si="53"/>
        <v/>
      </c>
      <c r="BD178" s="508" t="b">
        <f ca="1">IF($C178&lt;&gt;"",IF(INDEX(SpecialModsTable,$A178,6)&lt;&gt;"",IF(NOT(ISERROR(FIND(Weapons!BC$76,INDEX(SpecialModsTable,$A178,6),1))),TRUE,FALSE),TRUE),FALSE)</f>
        <v>0</v>
      </c>
      <c r="BE178" s="508" t="str">
        <f t="shared" ca="1" si="54"/>
        <v/>
      </c>
      <c r="BF178" s="20" t="str">
        <f t="shared" ca="1" si="55"/>
        <v/>
      </c>
      <c r="BG178" s="20" t="str">
        <f t="shared" ca="1" si="56"/>
        <v/>
      </c>
      <c r="BH178" s="20" t="str">
        <f t="shared" ca="1" si="67"/>
        <v/>
      </c>
      <c r="BI178" s="20" t="b">
        <f t="shared" ca="1" si="58"/>
        <v>1</v>
      </c>
      <c r="BJ178" s="20" t="b">
        <f t="shared" ca="1" si="59"/>
        <v>1</v>
      </c>
      <c r="BK178" s="1046" t="str">
        <f t="shared" ca="1" si="60"/>
        <v/>
      </c>
    </row>
    <row r="179" spans="1:63" hidden="1">
      <c r="A179" s="1477">
        <f t="shared" si="61"/>
        <v>49</v>
      </c>
      <c r="B179" s="1477"/>
      <c r="C179" s="1477" t="str">
        <f t="shared" ca="1" si="69"/>
        <v>Power Blast (-16)</v>
      </c>
      <c r="D179" s="842" t="str">
        <f t="shared" ca="1" si="70"/>
        <v/>
      </c>
      <c r="E179" s="1498" t="str">
        <f t="shared" ca="1" si="71"/>
        <v/>
      </c>
      <c r="F179" s="508" t="b">
        <f ca="1">IF($C179&lt;&gt;"",IF(INDEX(SpecialModsTable,$A179,6)&lt;&gt;"",IF(NOT(ISERROR(FIND(Weapons!E$76,INDEX(SpecialModsTable,$A179,6),1))),TRUE,FALSE),TRUE),FALSE)</f>
        <v>0</v>
      </c>
      <c r="G179" s="508" t="str">
        <f t="shared" ca="1" si="72"/>
        <v/>
      </c>
      <c r="H179" s="20" t="str">
        <f t="shared" ca="1" si="73"/>
        <v/>
      </c>
      <c r="I179" s="20" t="str">
        <f t="shared" ca="1" si="74"/>
        <v/>
      </c>
      <c r="J179" s="20" t="str">
        <f t="shared" ca="1" si="68"/>
        <v/>
      </c>
      <c r="K179" s="20" t="b">
        <f t="shared" ca="1" si="75"/>
        <v>1</v>
      </c>
      <c r="L179" s="20" t="b">
        <f t="shared" ca="1" si="76"/>
        <v>1</v>
      </c>
      <c r="M179" s="1046" t="str">
        <f t="shared" ca="1" si="77"/>
        <v/>
      </c>
      <c r="N179" s="842" t="str">
        <f t="shared" ca="1" si="16"/>
        <v/>
      </c>
      <c r="O179" s="1498" t="str">
        <f t="shared" ca="1" si="17"/>
        <v/>
      </c>
      <c r="P179" s="508" t="b">
        <f ca="1">IF($C179&lt;&gt;"",IF(INDEX(SpecialModsTable,$A179,6)&lt;&gt;"",IF(NOT(ISERROR(FIND(Weapons!O$76,INDEX(SpecialModsTable,$A179,6),1))),TRUE,FALSE),TRUE),FALSE)</f>
        <v>0</v>
      </c>
      <c r="Q179" s="508" t="str">
        <f t="shared" ca="1" si="18"/>
        <v/>
      </c>
      <c r="R179" s="20" t="str">
        <f t="shared" ca="1" si="19"/>
        <v/>
      </c>
      <c r="S179" s="20" t="str">
        <f t="shared" ca="1" si="20"/>
        <v/>
      </c>
      <c r="T179" s="20" t="str">
        <f t="shared" ca="1" si="63"/>
        <v/>
      </c>
      <c r="U179" s="20" t="b">
        <f t="shared" ca="1" si="22"/>
        <v>1</v>
      </c>
      <c r="V179" s="20" t="b">
        <f t="shared" ca="1" si="23"/>
        <v>1</v>
      </c>
      <c r="W179" s="1046" t="str">
        <f t="shared" ca="1" si="24"/>
        <v/>
      </c>
      <c r="X179" s="842" t="str">
        <f t="shared" ca="1" si="25"/>
        <v/>
      </c>
      <c r="Y179" s="1498" t="str">
        <f t="shared" ca="1" si="26"/>
        <v/>
      </c>
      <c r="Z179" s="508" t="b">
        <f ca="1">IF($C179&lt;&gt;"",IF(INDEX(SpecialModsTable,$A179,6)&lt;&gt;"",IF(NOT(ISERROR(FIND(Weapons!Y$76,INDEX(SpecialModsTable,$A179,6),1))),TRUE,FALSE),TRUE),FALSE)</f>
        <v>0</v>
      </c>
      <c r="AA179" s="508" t="str">
        <f t="shared" ca="1" si="27"/>
        <v/>
      </c>
      <c r="AB179" s="20" t="str">
        <f t="shared" ca="1" si="28"/>
        <v/>
      </c>
      <c r="AC179" s="20" t="str">
        <f t="shared" ca="1" si="29"/>
        <v/>
      </c>
      <c r="AD179" s="20" t="str">
        <f t="shared" ca="1" si="64"/>
        <v/>
      </c>
      <c r="AE179" s="20" t="b">
        <f t="shared" ca="1" si="31"/>
        <v>1</v>
      </c>
      <c r="AF179" s="20" t="b">
        <f t="shared" ca="1" si="32"/>
        <v>1</v>
      </c>
      <c r="AG179" s="1046" t="str">
        <f t="shared" ca="1" si="33"/>
        <v/>
      </c>
      <c r="AH179" s="842" t="str">
        <f t="shared" ca="1" si="34"/>
        <v/>
      </c>
      <c r="AI179" s="1498" t="str">
        <f t="shared" ca="1" si="35"/>
        <v/>
      </c>
      <c r="AJ179" s="508" t="b">
        <f ca="1">IF($C179&lt;&gt;"",IF(INDEX(SpecialModsTable,$A179,6)&lt;&gt;"",IF(NOT(ISERROR(FIND(Weapons!AI$76,INDEX(SpecialModsTable,$A179,6),1))),TRUE,FALSE),TRUE),FALSE)</f>
        <v>0</v>
      </c>
      <c r="AK179" s="508" t="str">
        <f t="shared" ca="1" si="36"/>
        <v/>
      </c>
      <c r="AL179" s="20" t="str">
        <f t="shared" ca="1" si="37"/>
        <v/>
      </c>
      <c r="AM179" s="20" t="str">
        <f t="shared" ca="1" si="38"/>
        <v/>
      </c>
      <c r="AN179" s="20" t="str">
        <f t="shared" ca="1" si="65"/>
        <v/>
      </c>
      <c r="AO179" s="20" t="b">
        <f t="shared" ca="1" si="40"/>
        <v>1</v>
      </c>
      <c r="AP179" s="20" t="b">
        <f t="shared" ca="1" si="41"/>
        <v>1</v>
      </c>
      <c r="AQ179" s="1046" t="str">
        <f t="shared" ca="1" si="42"/>
        <v/>
      </c>
      <c r="AR179" s="842" t="str">
        <f t="shared" ca="1" si="43"/>
        <v/>
      </c>
      <c r="AS179" s="1498" t="str">
        <f t="shared" ca="1" si="44"/>
        <v/>
      </c>
      <c r="AT179" s="508" t="b">
        <f ca="1">IF($C179&lt;&gt;"",IF(INDEX(SpecialModsTable,$A179,6)&lt;&gt;"",IF(NOT(ISERROR(FIND(Weapons!AS$76,INDEX(SpecialModsTable,$A179,6),1))),TRUE,FALSE),TRUE),FALSE)</f>
        <v>0</v>
      </c>
      <c r="AU179" s="508" t="str">
        <f t="shared" ca="1" si="45"/>
        <v/>
      </c>
      <c r="AV179" s="20" t="str">
        <f t="shared" ca="1" si="46"/>
        <v/>
      </c>
      <c r="AW179" s="20" t="str">
        <f t="shared" ca="1" si="47"/>
        <v/>
      </c>
      <c r="AX179" s="20" t="str">
        <f t="shared" ca="1" si="66"/>
        <v/>
      </c>
      <c r="AY179" s="20" t="b">
        <f t="shared" ca="1" si="49"/>
        <v>1</v>
      </c>
      <c r="AZ179" s="20" t="b">
        <f t="shared" ca="1" si="50"/>
        <v>1</v>
      </c>
      <c r="BA179" s="1046" t="str">
        <f t="shared" ca="1" si="51"/>
        <v/>
      </c>
      <c r="BB179" s="842" t="str">
        <f t="shared" ca="1" si="52"/>
        <v/>
      </c>
      <c r="BC179" s="1498" t="str">
        <f t="shared" ca="1" si="53"/>
        <v/>
      </c>
      <c r="BD179" s="508" t="b">
        <f ca="1">IF($C179&lt;&gt;"",IF(INDEX(SpecialModsTable,$A179,6)&lt;&gt;"",IF(NOT(ISERROR(FIND(Weapons!BC$76,INDEX(SpecialModsTable,$A179,6),1))),TRUE,FALSE),TRUE),FALSE)</f>
        <v>0</v>
      </c>
      <c r="BE179" s="508" t="str">
        <f t="shared" ca="1" si="54"/>
        <v/>
      </c>
      <c r="BF179" s="20" t="str">
        <f t="shared" ca="1" si="55"/>
        <v/>
      </c>
      <c r="BG179" s="20" t="str">
        <f t="shared" ca="1" si="56"/>
        <v/>
      </c>
      <c r="BH179" s="20" t="str">
        <f t="shared" ca="1" si="67"/>
        <v/>
      </c>
      <c r="BI179" s="20" t="b">
        <f t="shared" ca="1" si="58"/>
        <v>1</v>
      </c>
      <c r="BJ179" s="20" t="b">
        <f t="shared" ca="1" si="59"/>
        <v>1</v>
      </c>
      <c r="BK179" s="1046" t="str">
        <f t="shared" ca="1" si="60"/>
        <v/>
      </c>
    </row>
    <row r="180" spans="1:63" hidden="1">
      <c r="A180" s="1477">
        <f t="shared" si="61"/>
        <v>50</v>
      </c>
      <c r="B180" s="1477"/>
      <c r="C180" s="1477" t="str">
        <f t="shared" ca="1" si="69"/>
        <v>Power Blast (-17)</v>
      </c>
      <c r="D180" s="842" t="str">
        <f t="shared" ca="1" si="70"/>
        <v/>
      </c>
      <c r="E180" s="1498" t="str">
        <f t="shared" ca="1" si="71"/>
        <v/>
      </c>
      <c r="F180" s="508" t="b">
        <f ca="1">IF($C180&lt;&gt;"",IF(INDEX(SpecialModsTable,$A180,6)&lt;&gt;"",IF(NOT(ISERROR(FIND(Weapons!E$76,INDEX(SpecialModsTable,$A180,6),1))),TRUE,FALSE),TRUE),FALSE)</f>
        <v>0</v>
      </c>
      <c r="G180" s="508" t="str">
        <f t="shared" ca="1" si="72"/>
        <v/>
      </c>
      <c r="H180" s="20" t="str">
        <f t="shared" ca="1" si="73"/>
        <v/>
      </c>
      <c r="I180" s="20" t="str">
        <f t="shared" ca="1" si="74"/>
        <v/>
      </c>
      <c r="J180" s="20" t="str">
        <f t="shared" ca="1" si="68"/>
        <v/>
      </c>
      <c r="K180" s="20" t="b">
        <f t="shared" ca="1" si="75"/>
        <v>1</v>
      </c>
      <c r="L180" s="20" t="b">
        <f t="shared" ca="1" si="76"/>
        <v>1</v>
      </c>
      <c r="M180" s="1046" t="str">
        <f t="shared" ca="1" si="77"/>
        <v/>
      </c>
      <c r="N180" s="842" t="str">
        <f t="shared" ca="1" si="16"/>
        <v/>
      </c>
      <c r="O180" s="1498" t="str">
        <f t="shared" ca="1" si="17"/>
        <v/>
      </c>
      <c r="P180" s="508" t="b">
        <f ca="1">IF($C180&lt;&gt;"",IF(INDEX(SpecialModsTable,$A180,6)&lt;&gt;"",IF(NOT(ISERROR(FIND(Weapons!O$76,INDEX(SpecialModsTable,$A180,6),1))),TRUE,FALSE),TRUE),FALSE)</f>
        <v>0</v>
      </c>
      <c r="Q180" s="508" t="str">
        <f t="shared" ca="1" si="18"/>
        <v/>
      </c>
      <c r="R180" s="20" t="str">
        <f t="shared" ca="1" si="19"/>
        <v/>
      </c>
      <c r="S180" s="20" t="str">
        <f t="shared" ca="1" si="20"/>
        <v/>
      </c>
      <c r="T180" s="20" t="str">
        <f t="shared" ca="1" si="63"/>
        <v/>
      </c>
      <c r="U180" s="20" t="b">
        <f t="shared" ca="1" si="22"/>
        <v>1</v>
      </c>
      <c r="V180" s="20" t="b">
        <f t="shared" ca="1" si="23"/>
        <v>1</v>
      </c>
      <c r="W180" s="1046" t="str">
        <f t="shared" ca="1" si="24"/>
        <v/>
      </c>
      <c r="X180" s="842" t="str">
        <f t="shared" ca="1" si="25"/>
        <v/>
      </c>
      <c r="Y180" s="1498" t="str">
        <f t="shared" ca="1" si="26"/>
        <v/>
      </c>
      <c r="Z180" s="508" t="b">
        <f ca="1">IF($C180&lt;&gt;"",IF(INDEX(SpecialModsTable,$A180,6)&lt;&gt;"",IF(NOT(ISERROR(FIND(Weapons!Y$76,INDEX(SpecialModsTable,$A180,6),1))),TRUE,FALSE),TRUE),FALSE)</f>
        <v>0</v>
      </c>
      <c r="AA180" s="508" t="str">
        <f t="shared" ca="1" si="27"/>
        <v/>
      </c>
      <c r="AB180" s="20" t="str">
        <f t="shared" ca="1" si="28"/>
        <v/>
      </c>
      <c r="AC180" s="20" t="str">
        <f t="shared" ca="1" si="29"/>
        <v/>
      </c>
      <c r="AD180" s="20" t="str">
        <f t="shared" ca="1" si="64"/>
        <v/>
      </c>
      <c r="AE180" s="20" t="b">
        <f t="shared" ca="1" si="31"/>
        <v>1</v>
      </c>
      <c r="AF180" s="20" t="b">
        <f t="shared" ca="1" si="32"/>
        <v>1</v>
      </c>
      <c r="AG180" s="1046" t="str">
        <f t="shared" ca="1" si="33"/>
        <v/>
      </c>
      <c r="AH180" s="842" t="str">
        <f t="shared" ca="1" si="34"/>
        <v/>
      </c>
      <c r="AI180" s="1498" t="str">
        <f t="shared" ca="1" si="35"/>
        <v/>
      </c>
      <c r="AJ180" s="508" t="b">
        <f ca="1">IF($C180&lt;&gt;"",IF(INDEX(SpecialModsTable,$A180,6)&lt;&gt;"",IF(NOT(ISERROR(FIND(Weapons!AI$76,INDEX(SpecialModsTable,$A180,6),1))),TRUE,FALSE),TRUE),FALSE)</f>
        <v>0</v>
      </c>
      <c r="AK180" s="508" t="str">
        <f t="shared" ca="1" si="36"/>
        <v/>
      </c>
      <c r="AL180" s="20" t="str">
        <f t="shared" ca="1" si="37"/>
        <v/>
      </c>
      <c r="AM180" s="20" t="str">
        <f t="shared" ca="1" si="38"/>
        <v/>
      </c>
      <c r="AN180" s="20" t="str">
        <f t="shared" ca="1" si="65"/>
        <v/>
      </c>
      <c r="AO180" s="20" t="b">
        <f t="shared" ca="1" si="40"/>
        <v>1</v>
      </c>
      <c r="AP180" s="20" t="b">
        <f t="shared" ca="1" si="41"/>
        <v>1</v>
      </c>
      <c r="AQ180" s="1046" t="str">
        <f t="shared" ca="1" si="42"/>
        <v/>
      </c>
      <c r="AR180" s="842" t="str">
        <f t="shared" ca="1" si="43"/>
        <v/>
      </c>
      <c r="AS180" s="1498" t="str">
        <f t="shared" ca="1" si="44"/>
        <v/>
      </c>
      <c r="AT180" s="508" t="b">
        <f ca="1">IF($C180&lt;&gt;"",IF(INDEX(SpecialModsTable,$A180,6)&lt;&gt;"",IF(NOT(ISERROR(FIND(Weapons!AS$76,INDEX(SpecialModsTable,$A180,6),1))),TRUE,FALSE),TRUE),FALSE)</f>
        <v>0</v>
      </c>
      <c r="AU180" s="508" t="str">
        <f t="shared" ca="1" si="45"/>
        <v/>
      </c>
      <c r="AV180" s="20" t="str">
        <f t="shared" ca="1" si="46"/>
        <v/>
      </c>
      <c r="AW180" s="20" t="str">
        <f t="shared" ca="1" si="47"/>
        <v/>
      </c>
      <c r="AX180" s="20" t="str">
        <f t="shared" ca="1" si="66"/>
        <v/>
      </c>
      <c r="AY180" s="20" t="b">
        <f t="shared" ca="1" si="49"/>
        <v>1</v>
      </c>
      <c r="AZ180" s="20" t="b">
        <f t="shared" ca="1" si="50"/>
        <v>1</v>
      </c>
      <c r="BA180" s="1046" t="str">
        <f t="shared" ca="1" si="51"/>
        <v/>
      </c>
      <c r="BB180" s="842" t="str">
        <f t="shared" ca="1" si="52"/>
        <v/>
      </c>
      <c r="BC180" s="1498" t="str">
        <f t="shared" ca="1" si="53"/>
        <v/>
      </c>
      <c r="BD180" s="508" t="b">
        <f ca="1">IF($C180&lt;&gt;"",IF(INDEX(SpecialModsTable,$A180,6)&lt;&gt;"",IF(NOT(ISERROR(FIND(Weapons!BC$76,INDEX(SpecialModsTable,$A180,6),1))),TRUE,FALSE),TRUE),FALSE)</f>
        <v>0</v>
      </c>
      <c r="BE180" s="508" t="str">
        <f t="shared" ca="1" si="54"/>
        <v/>
      </c>
      <c r="BF180" s="20" t="str">
        <f t="shared" ca="1" si="55"/>
        <v/>
      </c>
      <c r="BG180" s="20" t="str">
        <f t="shared" ca="1" si="56"/>
        <v/>
      </c>
      <c r="BH180" s="20" t="str">
        <f t="shared" ca="1" si="67"/>
        <v/>
      </c>
      <c r="BI180" s="20" t="b">
        <f t="shared" ca="1" si="58"/>
        <v>1</v>
      </c>
      <c r="BJ180" s="20" t="b">
        <f t="shared" ca="1" si="59"/>
        <v>1</v>
      </c>
      <c r="BK180" s="1046" t="str">
        <f t="shared" ca="1" si="60"/>
        <v/>
      </c>
    </row>
    <row r="181" spans="1:63" hidden="1">
      <c r="A181" s="1477">
        <f t="shared" si="61"/>
        <v>51</v>
      </c>
      <c r="B181" s="1477"/>
      <c r="C181" s="1477" t="str">
        <f t="shared" ca="1" si="69"/>
        <v>Power Blast (-18)</v>
      </c>
      <c r="D181" s="842" t="str">
        <f t="shared" ca="1" si="70"/>
        <v/>
      </c>
      <c r="E181" s="1498" t="str">
        <f t="shared" ca="1" si="71"/>
        <v/>
      </c>
      <c r="F181" s="508" t="b">
        <f ca="1">IF($C181&lt;&gt;"",IF(INDEX(SpecialModsTable,$A181,6)&lt;&gt;"",IF(NOT(ISERROR(FIND(Weapons!E$76,INDEX(SpecialModsTable,$A181,6),1))),TRUE,FALSE),TRUE),FALSE)</f>
        <v>0</v>
      </c>
      <c r="G181" s="508" t="str">
        <f t="shared" ca="1" si="72"/>
        <v/>
      </c>
      <c r="H181" s="20" t="str">
        <f t="shared" ca="1" si="73"/>
        <v/>
      </c>
      <c r="I181" s="20" t="str">
        <f t="shared" ca="1" si="74"/>
        <v/>
      </c>
      <c r="J181" s="20" t="str">
        <f t="shared" ca="1" si="68"/>
        <v/>
      </c>
      <c r="K181" s="20" t="b">
        <f t="shared" ca="1" si="75"/>
        <v>1</v>
      </c>
      <c r="L181" s="20" t="b">
        <f t="shared" ca="1" si="76"/>
        <v>1</v>
      </c>
      <c r="M181" s="1046" t="str">
        <f t="shared" ca="1" si="77"/>
        <v/>
      </c>
      <c r="N181" s="842" t="str">
        <f t="shared" ca="1" si="16"/>
        <v/>
      </c>
      <c r="O181" s="1498" t="str">
        <f t="shared" ca="1" si="17"/>
        <v/>
      </c>
      <c r="P181" s="508" t="b">
        <f ca="1">IF($C181&lt;&gt;"",IF(INDEX(SpecialModsTable,$A181,6)&lt;&gt;"",IF(NOT(ISERROR(FIND(Weapons!O$76,INDEX(SpecialModsTable,$A181,6),1))),TRUE,FALSE),TRUE),FALSE)</f>
        <v>0</v>
      </c>
      <c r="Q181" s="508" t="str">
        <f t="shared" ca="1" si="18"/>
        <v/>
      </c>
      <c r="R181" s="20" t="str">
        <f t="shared" ca="1" si="19"/>
        <v/>
      </c>
      <c r="S181" s="20" t="str">
        <f t="shared" ca="1" si="20"/>
        <v/>
      </c>
      <c r="T181" s="20" t="str">
        <f t="shared" ca="1" si="63"/>
        <v/>
      </c>
      <c r="U181" s="20" t="b">
        <f t="shared" ca="1" si="22"/>
        <v>1</v>
      </c>
      <c r="V181" s="20" t="b">
        <f t="shared" ca="1" si="23"/>
        <v>1</v>
      </c>
      <c r="W181" s="1046" t="str">
        <f t="shared" ca="1" si="24"/>
        <v/>
      </c>
      <c r="X181" s="842" t="str">
        <f t="shared" ca="1" si="25"/>
        <v/>
      </c>
      <c r="Y181" s="1498" t="str">
        <f t="shared" ca="1" si="26"/>
        <v/>
      </c>
      <c r="Z181" s="508" t="b">
        <f ca="1">IF($C181&lt;&gt;"",IF(INDEX(SpecialModsTable,$A181,6)&lt;&gt;"",IF(NOT(ISERROR(FIND(Weapons!Y$76,INDEX(SpecialModsTable,$A181,6),1))),TRUE,FALSE),TRUE),FALSE)</f>
        <v>0</v>
      </c>
      <c r="AA181" s="508" t="str">
        <f t="shared" ca="1" si="27"/>
        <v/>
      </c>
      <c r="AB181" s="20" t="str">
        <f t="shared" ca="1" si="28"/>
        <v/>
      </c>
      <c r="AC181" s="20" t="str">
        <f t="shared" ca="1" si="29"/>
        <v/>
      </c>
      <c r="AD181" s="20" t="str">
        <f t="shared" ca="1" si="64"/>
        <v/>
      </c>
      <c r="AE181" s="20" t="b">
        <f t="shared" ca="1" si="31"/>
        <v>1</v>
      </c>
      <c r="AF181" s="20" t="b">
        <f t="shared" ca="1" si="32"/>
        <v>1</v>
      </c>
      <c r="AG181" s="1046" t="str">
        <f t="shared" ca="1" si="33"/>
        <v/>
      </c>
      <c r="AH181" s="842" t="str">
        <f t="shared" ca="1" si="34"/>
        <v/>
      </c>
      <c r="AI181" s="1498" t="str">
        <f t="shared" ca="1" si="35"/>
        <v/>
      </c>
      <c r="AJ181" s="508" t="b">
        <f ca="1">IF($C181&lt;&gt;"",IF(INDEX(SpecialModsTable,$A181,6)&lt;&gt;"",IF(NOT(ISERROR(FIND(Weapons!AI$76,INDEX(SpecialModsTable,$A181,6),1))),TRUE,FALSE),TRUE),FALSE)</f>
        <v>0</v>
      </c>
      <c r="AK181" s="508" t="str">
        <f t="shared" ca="1" si="36"/>
        <v/>
      </c>
      <c r="AL181" s="20" t="str">
        <f t="shared" ca="1" si="37"/>
        <v/>
      </c>
      <c r="AM181" s="20" t="str">
        <f t="shared" ca="1" si="38"/>
        <v/>
      </c>
      <c r="AN181" s="20" t="str">
        <f t="shared" ca="1" si="65"/>
        <v/>
      </c>
      <c r="AO181" s="20" t="b">
        <f t="shared" ca="1" si="40"/>
        <v>1</v>
      </c>
      <c r="AP181" s="20" t="b">
        <f t="shared" ca="1" si="41"/>
        <v>1</v>
      </c>
      <c r="AQ181" s="1046" t="str">
        <f t="shared" ca="1" si="42"/>
        <v/>
      </c>
      <c r="AR181" s="842" t="str">
        <f t="shared" ca="1" si="43"/>
        <v/>
      </c>
      <c r="AS181" s="1498" t="str">
        <f t="shared" ca="1" si="44"/>
        <v/>
      </c>
      <c r="AT181" s="508" t="b">
        <f ca="1">IF($C181&lt;&gt;"",IF(INDEX(SpecialModsTable,$A181,6)&lt;&gt;"",IF(NOT(ISERROR(FIND(Weapons!AS$76,INDEX(SpecialModsTable,$A181,6),1))),TRUE,FALSE),TRUE),FALSE)</f>
        <v>0</v>
      </c>
      <c r="AU181" s="508" t="str">
        <f t="shared" ca="1" si="45"/>
        <v/>
      </c>
      <c r="AV181" s="20" t="str">
        <f t="shared" ca="1" si="46"/>
        <v/>
      </c>
      <c r="AW181" s="20" t="str">
        <f t="shared" ca="1" si="47"/>
        <v/>
      </c>
      <c r="AX181" s="20" t="str">
        <f t="shared" ca="1" si="66"/>
        <v/>
      </c>
      <c r="AY181" s="20" t="b">
        <f t="shared" ca="1" si="49"/>
        <v>1</v>
      </c>
      <c r="AZ181" s="20" t="b">
        <f t="shared" ca="1" si="50"/>
        <v>1</v>
      </c>
      <c r="BA181" s="1046" t="str">
        <f t="shared" ca="1" si="51"/>
        <v/>
      </c>
      <c r="BB181" s="842" t="str">
        <f t="shared" ca="1" si="52"/>
        <v/>
      </c>
      <c r="BC181" s="1498" t="str">
        <f t="shared" ca="1" si="53"/>
        <v/>
      </c>
      <c r="BD181" s="508" t="b">
        <f ca="1">IF($C181&lt;&gt;"",IF(INDEX(SpecialModsTable,$A181,6)&lt;&gt;"",IF(NOT(ISERROR(FIND(Weapons!BC$76,INDEX(SpecialModsTable,$A181,6),1))),TRUE,FALSE),TRUE),FALSE)</f>
        <v>0</v>
      </c>
      <c r="BE181" s="508" t="str">
        <f t="shared" ca="1" si="54"/>
        <v/>
      </c>
      <c r="BF181" s="20" t="str">
        <f t="shared" ca="1" si="55"/>
        <v/>
      </c>
      <c r="BG181" s="20" t="str">
        <f t="shared" ca="1" si="56"/>
        <v/>
      </c>
      <c r="BH181" s="20" t="str">
        <f t="shared" ca="1" si="67"/>
        <v/>
      </c>
      <c r="BI181" s="20" t="b">
        <f t="shared" ca="1" si="58"/>
        <v>1</v>
      </c>
      <c r="BJ181" s="20" t="b">
        <f t="shared" ca="1" si="59"/>
        <v>1</v>
      </c>
      <c r="BK181" s="1046" t="str">
        <f t="shared" ca="1" si="60"/>
        <v/>
      </c>
    </row>
    <row r="182" spans="1:63" hidden="1">
      <c r="A182" s="1477">
        <f t="shared" si="61"/>
        <v>52</v>
      </c>
      <c r="B182" s="1477"/>
      <c r="C182" s="1477" t="str">
        <f t="shared" ca="1" si="69"/>
        <v>Power Blast (-19)</v>
      </c>
      <c r="D182" s="842" t="str">
        <f t="shared" ca="1" si="70"/>
        <v/>
      </c>
      <c r="E182" s="1498" t="str">
        <f t="shared" ca="1" si="71"/>
        <v/>
      </c>
      <c r="F182" s="508" t="b">
        <f ca="1">IF($C182&lt;&gt;"",IF(INDEX(SpecialModsTable,$A182,6)&lt;&gt;"",IF(NOT(ISERROR(FIND(Weapons!E$76,INDEX(SpecialModsTable,$A182,6),1))),TRUE,FALSE),TRUE),FALSE)</f>
        <v>0</v>
      </c>
      <c r="G182" s="508" t="str">
        <f t="shared" ca="1" si="72"/>
        <v/>
      </c>
      <c r="H182" s="20" t="str">
        <f t="shared" ca="1" si="73"/>
        <v/>
      </c>
      <c r="I182" s="20" t="str">
        <f t="shared" ca="1" si="74"/>
        <v/>
      </c>
      <c r="J182" s="20" t="str">
        <f t="shared" ca="1" si="68"/>
        <v/>
      </c>
      <c r="K182" s="20" t="b">
        <f t="shared" ca="1" si="75"/>
        <v>1</v>
      </c>
      <c r="L182" s="20" t="b">
        <f t="shared" ca="1" si="76"/>
        <v>1</v>
      </c>
      <c r="M182" s="1046" t="str">
        <f t="shared" ca="1" si="77"/>
        <v/>
      </c>
      <c r="N182" s="842" t="str">
        <f t="shared" ca="1" si="16"/>
        <v/>
      </c>
      <c r="O182" s="1498" t="str">
        <f t="shared" ca="1" si="17"/>
        <v/>
      </c>
      <c r="P182" s="508" t="b">
        <f ca="1">IF($C182&lt;&gt;"",IF(INDEX(SpecialModsTable,$A182,6)&lt;&gt;"",IF(NOT(ISERROR(FIND(Weapons!O$76,INDEX(SpecialModsTable,$A182,6),1))),TRUE,FALSE),TRUE),FALSE)</f>
        <v>0</v>
      </c>
      <c r="Q182" s="508" t="str">
        <f t="shared" ca="1" si="18"/>
        <v/>
      </c>
      <c r="R182" s="20" t="str">
        <f t="shared" ca="1" si="19"/>
        <v/>
      </c>
      <c r="S182" s="20" t="str">
        <f t="shared" ca="1" si="20"/>
        <v/>
      </c>
      <c r="T182" s="20" t="str">
        <f t="shared" ca="1" si="63"/>
        <v/>
      </c>
      <c r="U182" s="20" t="b">
        <f t="shared" ca="1" si="22"/>
        <v>1</v>
      </c>
      <c r="V182" s="20" t="b">
        <f t="shared" ca="1" si="23"/>
        <v>1</v>
      </c>
      <c r="W182" s="1046" t="str">
        <f t="shared" ca="1" si="24"/>
        <v/>
      </c>
      <c r="X182" s="842" t="str">
        <f t="shared" ca="1" si="25"/>
        <v/>
      </c>
      <c r="Y182" s="1498" t="str">
        <f t="shared" ca="1" si="26"/>
        <v/>
      </c>
      <c r="Z182" s="508" t="b">
        <f ca="1">IF($C182&lt;&gt;"",IF(INDEX(SpecialModsTable,$A182,6)&lt;&gt;"",IF(NOT(ISERROR(FIND(Weapons!Y$76,INDEX(SpecialModsTable,$A182,6),1))),TRUE,FALSE),TRUE),FALSE)</f>
        <v>0</v>
      </c>
      <c r="AA182" s="508" t="str">
        <f t="shared" ca="1" si="27"/>
        <v/>
      </c>
      <c r="AB182" s="20" t="str">
        <f t="shared" ca="1" si="28"/>
        <v/>
      </c>
      <c r="AC182" s="20" t="str">
        <f t="shared" ca="1" si="29"/>
        <v/>
      </c>
      <c r="AD182" s="20" t="str">
        <f t="shared" ca="1" si="64"/>
        <v/>
      </c>
      <c r="AE182" s="20" t="b">
        <f t="shared" ca="1" si="31"/>
        <v>1</v>
      </c>
      <c r="AF182" s="20" t="b">
        <f t="shared" ca="1" si="32"/>
        <v>1</v>
      </c>
      <c r="AG182" s="1046" t="str">
        <f t="shared" ca="1" si="33"/>
        <v/>
      </c>
      <c r="AH182" s="842" t="str">
        <f t="shared" ca="1" si="34"/>
        <v/>
      </c>
      <c r="AI182" s="1498" t="str">
        <f t="shared" ca="1" si="35"/>
        <v/>
      </c>
      <c r="AJ182" s="508" t="b">
        <f ca="1">IF($C182&lt;&gt;"",IF(INDEX(SpecialModsTable,$A182,6)&lt;&gt;"",IF(NOT(ISERROR(FIND(Weapons!AI$76,INDEX(SpecialModsTable,$A182,6),1))),TRUE,FALSE),TRUE),FALSE)</f>
        <v>0</v>
      </c>
      <c r="AK182" s="508" t="str">
        <f t="shared" ca="1" si="36"/>
        <v/>
      </c>
      <c r="AL182" s="20" t="str">
        <f t="shared" ca="1" si="37"/>
        <v/>
      </c>
      <c r="AM182" s="20" t="str">
        <f t="shared" ca="1" si="38"/>
        <v/>
      </c>
      <c r="AN182" s="20" t="str">
        <f t="shared" ca="1" si="65"/>
        <v/>
      </c>
      <c r="AO182" s="20" t="b">
        <f t="shared" ca="1" si="40"/>
        <v>1</v>
      </c>
      <c r="AP182" s="20" t="b">
        <f t="shared" ca="1" si="41"/>
        <v>1</v>
      </c>
      <c r="AQ182" s="1046" t="str">
        <f t="shared" ca="1" si="42"/>
        <v/>
      </c>
      <c r="AR182" s="842" t="str">
        <f t="shared" ca="1" si="43"/>
        <v/>
      </c>
      <c r="AS182" s="1498" t="str">
        <f t="shared" ca="1" si="44"/>
        <v/>
      </c>
      <c r="AT182" s="508" t="b">
        <f ca="1">IF($C182&lt;&gt;"",IF(INDEX(SpecialModsTable,$A182,6)&lt;&gt;"",IF(NOT(ISERROR(FIND(Weapons!AS$76,INDEX(SpecialModsTable,$A182,6),1))),TRUE,FALSE),TRUE),FALSE)</f>
        <v>0</v>
      </c>
      <c r="AU182" s="508" t="str">
        <f t="shared" ca="1" si="45"/>
        <v/>
      </c>
      <c r="AV182" s="20" t="str">
        <f t="shared" ca="1" si="46"/>
        <v/>
      </c>
      <c r="AW182" s="20" t="str">
        <f t="shared" ca="1" si="47"/>
        <v/>
      </c>
      <c r="AX182" s="20" t="str">
        <f t="shared" ca="1" si="66"/>
        <v/>
      </c>
      <c r="AY182" s="20" t="b">
        <f t="shared" ca="1" si="49"/>
        <v>1</v>
      </c>
      <c r="AZ182" s="20" t="b">
        <f t="shared" ca="1" si="50"/>
        <v>1</v>
      </c>
      <c r="BA182" s="1046" t="str">
        <f t="shared" ca="1" si="51"/>
        <v/>
      </c>
      <c r="BB182" s="842" t="str">
        <f t="shared" ca="1" si="52"/>
        <v/>
      </c>
      <c r="BC182" s="1498" t="str">
        <f t="shared" ca="1" si="53"/>
        <v/>
      </c>
      <c r="BD182" s="508" t="b">
        <f ca="1">IF($C182&lt;&gt;"",IF(INDEX(SpecialModsTable,$A182,6)&lt;&gt;"",IF(NOT(ISERROR(FIND(Weapons!BC$76,INDEX(SpecialModsTable,$A182,6),1))),TRUE,FALSE),TRUE),FALSE)</f>
        <v>0</v>
      </c>
      <c r="BE182" s="508" t="str">
        <f t="shared" ca="1" si="54"/>
        <v/>
      </c>
      <c r="BF182" s="20" t="str">
        <f t="shared" ca="1" si="55"/>
        <v/>
      </c>
      <c r="BG182" s="20" t="str">
        <f t="shared" ca="1" si="56"/>
        <v/>
      </c>
      <c r="BH182" s="20" t="str">
        <f t="shared" ca="1" si="67"/>
        <v/>
      </c>
      <c r="BI182" s="20" t="b">
        <f t="shared" ca="1" si="58"/>
        <v>1</v>
      </c>
      <c r="BJ182" s="20" t="b">
        <f t="shared" ca="1" si="59"/>
        <v>1</v>
      </c>
      <c r="BK182" s="1046" t="str">
        <f t="shared" ca="1" si="60"/>
        <v/>
      </c>
    </row>
    <row r="183" spans="1:63" hidden="1">
      <c r="A183" s="1477">
        <f t="shared" si="61"/>
        <v>53</v>
      </c>
      <c r="B183" s="1477"/>
      <c r="C183" s="1477" t="str">
        <f t="shared" ca="1" si="69"/>
        <v>Power Blast (-2)</v>
      </c>
      <c r="D183" s="842" t="str">
        <f t="shared" ca="1" si="70"/>
        <v/>
      </c>
      <c r="E183" s="1498" t="str">
        <f t="shared" ca="1" si="71"/>
        <v/>
      </c>
      <c r="F183" s="508" t="b">
        <f ca="1">IF($C183&lt;&gt;"",IF(INDEX(SpecialModsTable,$A183,6)&lt;&gt;"",IF(NOT(ISERROR(FIND(Weapons!E$76,INDEX(SpecialModsTable,$A183,6),1))),TRUE,FALSE),TRUE),FALSE)</f>
        <v>0</v>
      </c>
      <c r="G183" s="508" t="str">
        <f t="shared" ca="1" si="72"/>
        <v/>
      </c>
      <c r="H183" s="20" t="str">
        <f t="shared" ca="1" si="73"/>
        <v/>
      </c>
      <c r="I183" s="20" t="str">
        <f t="shared" ca="1" si="74"/>
        <v/>
      </c>
      <c r="J183" s="20" t="str">
        <f t="shared" ca="1" si="68"/>
        <v/>
      </c>
      <c r="K183" s="20" t="b">
        <f t="shared" ca="1" si="75"/>
        <v>1</v>
      </c>
      <c r="L183" s="20" t="b">
        <f t="shared" ca="1" si="76"/>
        <v>1</v>
      </c>
      <c r="M183" s="1046" t="str">
        <f t="shared" ca="1" si="77"/>
        <v/>
      </c>
      <c r="N183" s="842" t="str">
        <f t="shared" ca="1" si="16"/>
        <v/>
      </c>
      <c r="O183" s="1498" t="str">
        <f t="shared" ca="1" si="17"/>
        <v/>
      </c>
      <c r="P183" s="508" t="b">
        <f ca="1">IF($C183&lt;&gt;"",IF(INDEX(SpecialModsTable,$A183,6)&lt;&gt;"",IF(NOT(ISERROR(FIND(Weapons!O$76,INDEX(SpecialModsTable,$A183,6),1))),TRUE,FALSE),TRUE),FALSE)</f>
        <v>0</v>
      </c>
      <c r="Q183" s="508" t="str">
        <f t="shared" ca="1" si="18"/>
        <v/>
      </c>
      <c r="R183" s="20" t="str">
        <f t="shared" ca="1" si="19"/>
        <v/>
      </c>
      <c r="S183" s="20" t="str">
        <f t="shared" ca="1" si="20"/>
        <v/>
      </c>
      <c r="T183" s="20" t="str">
        <f t="shared" ca="1" si="63"/>
        <v/>
      </c>
      <c r="U183" s="20" t="b">
        <f t="shared" ca="1" si="22"/>
        <v>1</v>
      </c>
      <c r="V183" s="20" t="b">
        <f t="shared" ca="1" si="23"/>
        <v>1</v>
      </c>
      <c r="W183" s="1046" t="str">
        <f t="shared" ca="1" si="24"/>
        <v/>
      </c>
      <c r="X183" s="842" t="str">
        <f t="shared" ca="1" si="25"/>
        <v/>
      </c>
      <c r="Y183" s="1498" t="str">
        <f t="shared" ca="1" si="26"/>
        <v/>
      </c>
      <c r="Z183" s="508" t="b">
        <f ca="1">IF($C183&lt;&gt;"",IF(INDEX(SpecialModsTable,$A183,6)&lt;&gt;"",IF(NOT(ISERROR(FIND(Weapons!Y$76,INDEX(SpecialModsTable,$A183,6),1))),TRUE,FALSE),TRUE),FALSE)</f>
        <v>0</v>
      </c>
      <c r="AA183" s="508" t="str">
        <f t="shared" ca="1" si="27"/>
        <v/>
      </c>
      <c r="AB183" s="20" t="str">
        <f t="shared" ca="1" si="28"/>
        <v/>
      </c>
      <c r="AC183" s="20" t="str">
        <f t="shared" ca="1" si="29"/>
        <v/>
      </c>
      <c r="AD183" s="20" t="str">
        <f t="shared" ca="1" si="64"/>
        <v/>
      </c>
      <c r="AE183" s="20" t="b">
        <f t="shared" ca="1" si="31"/>
        <v>1</v>
      </c>
      <c r="AF183" s="20" t="b">
        <f t="shared" ca="1" si="32"/>
        <v>1</v>
      </c>
      <c r="AG183" s="1046" t="str">
        <f t="shared" ca="1" si="33"/>
        <v/>
      </c>
      <c r="AH183" s="842" t="str">
        <f t="shared" ca="1" si="34"/>
        <v/>
      </c>
      <c r="AI183" s="1498" t="str">
        <f t="shared" ca="1" si="35"/>
        <v/>
      </c>
      <c r="AJ183" s="508" t="b">
        <f ca="1">IF($C183&lt;&gt;"",IF(INDEX(SpecialModsTable,$A183,6)&lt;&gt;"",IF(NOT(ISERROR(FIND(Weapons!AI$76,INDEX(SpecialModsTable,$A183,6),1))),TRUE,FALSE),TRUE),FALSE)</f>
        <v>0</v>
      </c>
      <c r="AK183" s="508" t="str">
        <f t="shared" ca="1" si="36"/>
        <v/>
      </c>
      <c r="AL183" s="20" t="str">
        <f t="shared" ca="1" si="37"/>
        <v/>
      </c>
      <c r="AM183" s="20" t="str">
        <f t="shared" ca="1" si="38"/>
        <v/>
      </c>
      <c r="AN183" s="20" t="str">
        <f t="shared" ca="1" si="65"/>
        <v/>
      </c>
      <c r="AO183" s="20" t="b">
        <f t="shared" ca="1" si="40"/>
        <v>1</v>
      </c>
      <c r="AP183" s="20" t="b">
        <f t="shared" ca="1" si="41"/>
        <v>1</v>
      </c>
      <c r="AQ183" s="1046" t="str">
        <f t="shared" ca="1" si="42"/>
        <v/>
      </c>
      <c r="AR183" s="842" t="str">
        <f t="shared" ca="1" si="43"/>
        <v/>
      </c>
      <c r="AS183" s="1498" t="str">
        <f t="shared" ca="1" si="44"/>
        <v/>
      </c>
      <c r="AT183" s="508" t="b">
        <f ca="1">IF($C183&lt;&gt;"",IF(INDEX(SpecialModsTable,$A183,6)&lt;&gt;"",IF(NOT(ISERROR(FIND(Weapons!AS$76,INDEX(SpecialModsTable,$A183,6),1))),TRUE,FALSE),TRUE),FALSE)</f>
        <v>0</v>
      </c>
      <c r="AU183" s="508" t="str">
        <f t="shared" ca="1" si="45"/>
        <v/>
      </c>
      <c r="AV183" s="20" t="str">
        <f t="shared" ca="1" si="46"/>
        <v/>
      </c>
      <c r="AW183" s="20" t="str">
        <f t="shared" ca="1" si="47"/>
        <v/>
      </c>
      <c r="AX183" s="20" t="str">
        <f t="shared" ca="1" si="66"/>
        <v/>
      </c>
      <c r="AY183" s="20" t="b">
        <f t="shared" ca="1" si="49"/>
        <v>1</v>
      </c>
      <c r="AZ183" s="20" t="b">
        <f t="shared" ca="1" si="50"/>
        <v>1</v>
      </c>
      <c r="BA183" s="1046" t="str">
        <f t="shared" ca="1" si="51"/>
        <v/>
      </c>
      <c r="BB183" s="842" t="str">
        <f t="shared" ca="1" si="52"/>
        <v/>
      </c>
      <c r="BC183" s="1498" t="str">
        <f t="shared" ca="1" si="53"/>
        <v/>
      </c>
      <c r="BD183" s="508" t="b">
        <f ca="1">IF($C183&lt;&gt;"",IF(INDEX(SpecialModsTable,$A183,6)&lt;&gt;"",IF(NOT(ISERROR(FIND(Weapons!BC$76,INDEX(SpecialModsTable,$A183,6),1))),TRUE,FALSE),TRUE),FALSE)</f>
        <v>0</v>
      </c>
      <c r="BE183" s="508" t="str">
        <f t="shared" ca="1" si="54"/>
        <v/>
      </c>
      <c r="BF183" s="20" t="str">
        <f t="shared" ca="1" si="55"/>
        <v/>
      </c>
      <c r="BG183" s="20" t="str">
        <f t="shared" ca="1" si="56"/>
        <v/>
      </c>
      <c r="BH183" s="20" t="str">
        <f t="shared" ca="1" si="67"/>
        <v/>
      </c>
      <c r="BI183" s="20" t="b">
        <f t="shared" ca="1" si="58"/>
        <v>1</v>
      </c>
      <c r="BJ183" s="20" t="b">
        <f t="shared" ca="1" si="59"/>
        <v>1</v>
      </c>
      <c r="BK183" s="1046" t="str">
        <f t="shared" ca="1" si="60"/>
        <v/>
      </c>
    </row>
    <row r="184" spans="1:63" hidden="1">
      <c r="A184" s="1477">
        <f t="shared" si="61"/>
        <v>54</v>
      </c>
      <c r="B184" s="1477"/>
      <c r="C184" s="1477" t="str">
        <f t="shared" ca="1" si="69"/>
        <v>Power Blast (-20)</v>
      </c>
      <c r="D184" s="842" t="str">
        <f t="shared" ca="1" si="70"/>
        <v/>
      </c>
      <c r="E184" s="1498" t="str">
        <f t="shared" ca="1" si="71"/>
        <v/>
      </c>
      <c r="F184" s="508" t="b">
        <f ca="1">IF($C184&lt;&gt;"",IF(INDEX(SpecialModsTable,$A184,6)&lt;&gt;"",IF(NOT(ISERROR(FIND(Weapons!E$76,INDEX(SpecialModsTable,$A184,6),1))),TRUE,FALSE),TRUE),FALSE)</f>
        <v>0</v>
      </c>
      <c r="G184" s="508" t="str">
        <f t="shared" ca="1" si="72"/>
        <v/>
      </c>
      <c r="H184" s="20" t="str">
        <f t="shared" ca="1" si="73"/>
        <v/>
      </c>
      <c r="I184" s="20" t="str">
        <f t="shared" ca="1" si="74"/>
        <v/>
      </c>
      <c r="J184" s="20" t="str">
        <f t="shared" ca="1" si="68"/>
        <v/>
      </c>
      <c r="K184" s="20" t="b">
        <f t="shared" ca="1" si="75"/>
        <v>1</v>
      </c>
      <c r="L184" s="20" t="b">
        <f t="shared" ca="1" si="76"/>
        <v>1</v>
      </c>
      <c r="M184" s="1046" t="str">
        <f t="shared" ca="1" si="77"/>
        <v/>
      </c>
      <c r="N184" s="842" t="str">
        <f t="shared" ca="1" si="16"/>
        <v/>
      </c>
      <c r="O184" s="1498" t="str">
        <f t="shared" ca="1" si="17"/>
        <v/>
      </c>
      <c r="P184" s="508" t="b">
        <f ca="1">IF($C184&lt;&gt;"",IF(INDEX(SpecialModsTable,$A184,6)&lt;&gt;"",IF(NOT(ISERROR(FIND(Weapons!O$76,INDEX(SpecialModsTable,$A184,6),1))),TRUE,FALSE),TRUE),FALSE)</f>
        <v>0</v>
      </c>
      <c r="Q184" s="508" t="str">
        <f t="shared" ca="1" si="18"/>
        <v/>
      </c>
      <c r="R184" s="20" t="str">
        <f t="shared" ca="1" si="19"/>
        <v/>
      </c>
      <c r="S184" s="20" t="str">
        <f t="shared" ca="1" si="20"/>
        <v/>
      </c>
      <c r="T184" s="20" t="str">
        <f t="shared" ca="1" si="63"/>
        <v/>
      </c>
      <c r="U184" s="20" t="b">
        <f t="shared" ca="1" si="22"/>
        <v>1</v>
      </c>
      <c r="V184" s="20" t="b">
        <f t="shared" ca="1" si="23"/>
        <v>1</v>
      </c>
      <c r="W184" s="1046" t="str">
        <f t="shared" ca="1" si="24"/>
        <v/>
      </c>
      <c r="X184" s="842" t="str">
        <f t="shared" ca="1" si="25"/>
        <v/>
      </c>
      <c r="Y184" s="1498" t="str">
        <f t="shared" ca="1" si="26"/>
        <v/>
      </c>
      <c r="Z184" s="508" t="b">
        <f ca="1">IF($C184&lt;&gt;"",IF(INDEX(SpecialModsTable,$A184,6)&lt;&gt;"",IF(NOT(ISERROR(FIND(Weapons!Y$76,INDEX(SpecialModsTable,$A184,6),1))),TRUE,FALSE),TRUE),FALSE)</f>
        <v>0</v>
      </c>
      <c r="AA184" s="508" t="str">
        <f t="shared" ca="1" si="27"/>
        <v/>
      </c>
      <c r="AB184" s="20" t="str">
        <f t="shared" ca="1" si="28"/>
        <v/>
      </c>
      <c r="AC184" s="20" t="str">
        <f t="shared" ca="1" si="29"/>
        <v/>
      </c>
      <c r="AD184" s="20" t="str">
        <f t="shared" ca="1" si="64"/>
        <v/>
      </c>
      <c r="AE184" s="20" t="b">
        <f t="shared" ca="1" si="31"/>
        <v>1</v>
      </c>
      <c r="AF184" s="20" t="b">
        <f t="shared" ca="1" si="32"/>
        <v>1</v>
      </c>
      <c r="AG184" s="1046" t="str">
        <f t="shared" ca="1" si="33"/>
        <v/>
      </c>
      <c r="AH184" s="842" t="str">
        <f t="shared" ca="1" si="34"/>
        <v/>
      </c>
      <c r="AI184" s="1498" t="str">
        <f t="shared" ca="1" si="35"/>
        <v/>
      </c>
      <c r="AJ184" s="508" t="b">
        <f ca="1">IF($C184&lt;&gt;"",IF(INDEX(SpecialModsTable,$A184,6)&lt;&gt;"",IF(NOT(ISERROR(FIND(Weapons!AI$76,INDEX(SpecialModsTable,$A184,6),1))),TRUE,FALSE),TRUE),FALSE)</f>
        <v>0</v>
      </c>
      <c r="AK184" s="508" t="str">
        <f t="shared" ca="1" si="36"/>
        <v/>
      </c>
      <c r="AL184" s="20" t="str">
        <f t="shared" ca="1" si="37"/>
        <v/>
      </c>
      <c r="AM184" s="20" t="str">
        <f t="shared" ca="1" si="38"/>
        <v/>
      </c>
      <c r="AN184" s="20" t="str">
        <f t="shared" ca="1" si="65"/>
        <v/>
      </c>
      <c r="AO184" s="20" t="b">
        <f t="shared" ca="1" si="40"/>
        <v>1</v>
      </c>
      <c r="AP184" s="20" t="b">
        <f t="shared" ca="1" si="41"/>
        <v>1</v>
      </c>
      <c r="AQ184" s="1046" t="str">
        <f t="shared" ca="1" si="42"/>
        <v/>
      </c>
      <c r="AR184" s="842" t="str">
        <f t="shared" ca="1" si="43"/>
        <v/>
      </c>
      <c r="AS184" s="1498" t="str">
        <f t="shared" ca="1" si="44"/>
        <v/>
      </c>
      <c r="AT184" s="508" t="b">
        <f ca="1">IF($C184&lt;&gt;"",IF(INDEX(SpecialModsTable,$A184,6)&lt;&gt;"",IF(NOT(ISERROR(FIND(Weapons!AS$76,INDEX(SpecialModsTable,$A184,6),1))),TRUE,FALSE),TRUE),FALSE)</f>
        <v>0</v>
      </c>
      <c r="AU184" s="508" t="str">
        <f t="shared" ca="1" si="45"/>
        <v/>
      </c>
      <c r="AV184" s="20" t="str">
        <f t="shared" ca="1" si="46"/>
        <v/>
      </c>
      <c r="AW184" s="20" t="str">
        <f t="shared" ca="1" si="47"/>
        <v/>
      </c>
      <c r="AX184" s="20" t="str">
        <f t="shared" ca="1" si="66"/>
        <v/>
      </c>
      <c r="AY184" s="20" t="b">
        <f t="shared" ca="1" si="49"/>
        <v>1</v>
      </c>
      <c r="AZ184" s="20" t="b">
        <f t="shared" ca="1" si="50"/>
        <v>1</v>
      </c>
      <c r="BA184" s="1046" t="str">
        <f t="shared" ca="1" si="51"/>
        <v/>
      </c>
      <c r="BB184" s="842" t="str">
        <f t="shared" ca="1" si="52"/>
        <v/>
      </c>
      <c r="BC184" s="1498" t="str">
        <f t="shared" ca="1" si="53"/>
        <v/>
      </c>
      <c r="BD184" s="508" t="b">
        <f ca="1">IF($C184&lt;&gt;"",IF(INDEX(SpecialModsTable,$A184,6)&lt;&gt;"",IF(NOT(ISERROR(FIND(Weapons!BC$76,INDEX(SpecialModsTable,$A184,6),1))),TRUE,FALSE),TRUE),FALSE)</f>
        <v>0</v>
      </c>
      <c r="BE184" s="508" t="str">
        <f t="shared" ca="1" si="54"/>
        <v/>
      </c>
      <c r="BF184" s="20" t="str">
        <f t="shared" ca="1" si="55"/>
        <v/>
      </c>
      <c r="BG184" s="20" t="str">
        <f t="shared" ca="1" si="56"/>
        <v/>
      </c>
      <c r="BH184" s="20" t="str">
        <f t="shared" ca="1" si="67"/>
        <v/>
      </c>
      <c r="BI184" s="20" t="b">
        <f t="shared" ca="1" si="58"/>
        <v>1</v>
      </c>
      <c r="BJ184" s="20" t="b">
        <f t="shared" ca="1" si="59"/>
        <v>1</v>
      </c>
      <c r="BK184" s="1046" t="str">
        <f t="shared" ca="1" si="60"/>
        <v/>
      </c>
    </row>
    <row r="185" spans="1:63" hidden="1">
      <c r="A185" s="1477">
        <f t="shared" si="61"/>
        <v>55</v>
      </c>
      <c r="B185" s="1477"/>
      <c r="C185" s="1477" t="str">
        <f t="shared" ca="1" si="69"/>
        <v>Power Blast (-3)</v>
      </c>
      <c r="D185" s="842" t="str">
        <f t="shared" ca="1" si="70"/>
        <v/>
      </c>
      <c r="E185" s="1498" t="str">
        <f t="shared" ca="1" si="71"/>
        <v/>
      </c>
      <c r="F185" s="508" t="b">
        <f ca="1">IF($C185&lt;&gt;"",IF(INDEX(SpecialModsTable,$A185,6)&lt;&gt;"",IF(NOT(ISERROR(FIND(Weapons!E$76,INDEX(SpecialModsTable,$A185,6),1))),TRUE,FALSE),TRUE),FALSE)</f>
        <v>0</v>
      </c>
      <c r="G185" s="508" t="str">
        <f t="shared" ca="1" si="72"/>
        <v/>
      </c>
      <c r="H185" s="20" t="str">
        <f t="shared" ca="1" si="73"/>
        <v/>
      </c>
      <c r="I185" s="20" t="str">
        <f t="shared" ca="1" si="74"/>
        <v/>
      </c>
      <c r="J185" s="20" t="str">
        <f t="shared" ca="1" si="68"/>
        <v/>
      </c>
      <c r="K185" s="20" t="b">
        <f t="shared" ca="1" si="75"/>
        <v>1</v>
      </c>
      <c r="L185" s="20" t="b">
        <f t="shared" ca="1" si="76"/>
        <v>1</v>
      </c>
      <c r="M185" s="1046" t="str">
        <f t="shared" ca="1" si="77"/>
        <v/>
      </c>
      <c r="N185" s="842" t="str">
        <f t="shared" ca="1" si="16"/>
        <v/>
      </c>
      <c r="O185" s="1498" t="str">
        <f t="shared" ca="1" si="17"/>
        <v/>
      </c>
      <c r="P185" s="508" t="b">
        <f ca="1">IF($C185&lt;&gt;"",IF(INDEX(SpecialModsTable,$A185,6)&lt;&gt;"",IF(NOT(ISERROR(FIND(Weapons!O$76,INDEX(SpecialModsTable,$A185,6),1))),TRUE,FALSE),TRUE),FALSE)</f>
        <v>0</v>
      </c>
      <c r="Q185" s="508" t="str">
        <f t="shared" ca="1" si="18"/>
        <v/>
      </c>
      <c r="R185" s="20" t="str">
        <f t="shared" ca="1" si="19"/>
        <v/>
      </c>
      <c r="S185" s="20" t="str">
        <f t="shared" ca="1" si="20"/>
        <v/>
      </c>
      <c r="T185" s="20" t="str">
        <f t="shared" ca="1" si="63"/>
        <v/>
      </c>
      <c r="U185" s="20" t="b">
        <f t="shared" ca="1" si="22"/>
        <v>1</v>
      </c>
      <c r="V185" s="20" t="b">
        <f t="shared" ca="1" si="23"/>
        <v>1</v>
      </c>
      <c r="W185" s="1046" t="str">
        <f t="shared" ca="1" si="24"/>
        <v/>
      </c>
      <c r="X185" s="842" t="str">
        <f t="shared" ca="1" si="25"/>
        <v/>
      </c>
      <c r="Y185" s="1498" t="str">
        <f t="shared" ca="1" si="26"/>
        <v/>
      </c>
      <c r="Z185" s="508" t="b">
        <f ca="1">IF($C185&lt;&gt;"",IF(INDEX(SpecialModsTable,$A185,6)&lt;&gt;"",IF(NOT(ISERROR(FIND(Weapons!Y$76,INDEX(SpecialModsTable,$A185,6),1))),TRUE,FALSE),TRUE),FALSE)</f>
        <v>0</v>
      </c>
      <c r="AA185" s="508" t="str">
        <f t="shared" ca="1" si="27"/>
        <v/>
      </c>
      <c r="AB185" s="20" t="str">
        <f t="shared" ca="1" si="28"/>
        <v/>
      </c>
      <c r="AC185" s="20" t="str">
        <f t="shared" ca="1" si="29"/>
        <v/>
      </c>
      <c r="AD185" s="20" t="str">
        <f t="shared" ca="1" si="64"/>
        <v/>
      </c>
      <c r="AE185" s="20" t="b">
        <f t="shared" ca="1" si="31"/>
        <v>1</v>
      </c>
      <c r="AF185" s="20" t="b">
        <f t="shared" ca="1" si="32"/>
        <v>1</v>
      </c>
      <c r="AG185" s="1046" t="str">
        <f t="shared" ca="1" si="33"/>
        <v/>
      </c>
      <c r="AH185" s="842" t="str">
        <f t="shared" ca="1" si="34"/>
        <v/>
      </c>
      <c r="AI185" s="1498" t="str">
        <f t="shared" ca="1" si="35"/>
        <v/>
      </c>
      <c r="AJ185" s="508" t="b">
        <f ca="1">IF($C185&lt;&gt;"",IF(INDEX(SpecialModsTable,$A185,6)&lt;&gt;"",IF(NOT(ISERROR(FIND(Weapons!AI$76,INDEX(SpecialModsTable,$A185,6),1))),TRUE,FALSE),TRUE),FALSE)</f>
        <v>0</v>
      </c>
      <c r="AK185" s="508" t="str">
        <f t="shared" ca="1" si="36"/>
        <v/>
      </c>
      <c r="AL185" s="20" t="str">
        <f t="shared" ca="1" si="37"/>
        <v/>
      </c>
      <c r="AM185" s="20" t="str">
        <f t="shared" ca="1" si="38"/>
        <v/>
      </c>
      <c r="AN185" s="20" t="str">
        <f t="shared" ca="1" si="65"/>
        <v/>
      </c>
      <c r="AO185" s="20" t="b">
        <f t="shared" ca="1" si="40"/>
        <v>1</v>
      </c>
      <c r="AP185" s="20" t="b">
        <f t="shared" ca="1" si="41"/>
        <v>1</v>
      </c>
      <c r="AQ185" s="1046" t="str">
        <f t="shared" ca="1" si="42"/>
        <v/>
      </c>
      <c r="AR185" s="842" t="str">
        <f t="shared" ca="1" si="43"/>
        <v/>
      </c>
      <c r="AS185" s="1498" t="str">
        <f t="shared" ca="1" si="44"/>
        <v/>
      </c>
      <c r="AT185" s="508" t="b">
        <f ca="1">IF($C185&lt;&gt;"",IF(INDEX(SpecialModsTable,$A185,6)&lt;&gt;"",IF(NOT(ISERROR(FIND(Weapons!AS$76,INDEX(SpecialModsTable,$A185,6),1))),TRUE,FALSE),TRUE),FALSE)</f>
        <v>0</v>
      </c>
      <c r="AU185" s="508" t="str">
        <f t="shared" ca="1" si="45"/>
        <v/>
      </c>
      <c r="AV185" s="20" t="str">
        <f t="shared" ca="1" si="46"/>
        <v/>
      </c>
      <c r="AW185" s="20" t="str">
        <f t="shared" ca="1" si="47"/>
        <v/>
      </c>
      <c r="AX185" s="20" t="str">
        <f t="shared" ca="1" si="66"/>
        <v/>
      </c>
      <c r="AY185" s="20" t="b">
        <f t="shared" ca="1" si="49"/>
        <v>1</v>
      </c>
      <c r="AZ185" s="20" t="b">
        <f t="shared" ca="1" si="50"/>
        <v>1</v>
      </c>
      <c r="BA185" s="1046" t="str">
        <f t="shared" ca="1" si="51"/>
        <v/>
      </c>
      <c r="BB185" s="842" t="str">
        <f t="shared" ca="1" si="52"/>
        <v/>
      </c>
      <c r="BC185" s="1498" t="str">
        <f t="shared" ca="1" si="53"/>
        <v/>
      </c>
      <c r="BD185" s="508" t="b">
        <f ca="1">IF($C185&lt;&gt;"",IF(INDEX(SpecialModsTable,$A185,6)&lt;&gt;"",IF(NOT(ISERROR(FIND(Weapons!BC$76,INDEX(SpecialModsTable,$A185,6),1))),TRUE,FALSE),TRUE),FALSE)</f>
        <v>0</v>
      </c>
      <c r="BE185" s="508" t="str">
        <f t="shared" ca="1" si="54"/>
        <v/>
      </c>
      <c r="BF185" s="20" t="str">
        <f t="shared" ca="1" si="55"/>
        <v/>
      </c>
      <c r="BG185" s="20" t="str">
        <f t="shared" ca="1" si="56"/>
        <v/>
      </c>
      <c r="BH185" s="20" t="str">
        <f t="shared" ca="1" si="67"/>
        <v/>
      </c>
      <c r="BI185" s="20" t="b">
        <f t="shared" ca="1" si="58"/>
        <v>1</v>
      </c>
      <c r="BJ185" s="20" t="b">
        <f t="shared" ca="1" si="59"/>
        <v>1</v>
      </c>
      <c r="BK185" s="1046" t="str">
        <f t="shared" ca="1" si="60"/>
        <v/>
      </c>
    </row>
    <row r="186" spans="1:63" hidden="1">
      <c r="A186" s="1477">
        <f t="shared" si="61"/>
        <v>56</v>
      </c>
      <c r="B186" s="1477"/>
      <c r="C186" s="1477" t="str">
        <f t="shared" ca="1" si="69"/>
        <v>Power Blast (-4)</v>
      </c>
      <c r="D186" s="842" t="str">
        <f t="shared" ca="1" si="70"/>
        <v/>
      </c>
      <c r="E186" s="1498" t="str">
        <f t="shared" ca="1" si="71"/>
        <v/>
      </c>
      <c r="F186" s="508" t="b">
        <f ca="1">IF($C186&lt;&gt;"",IF(INDEX(SpecialModsTable,$A186,6)&lt;&gt;"",IF(NOT(ISERROR(FIND(Weapons!E$76,INDEX(SpecialModsTable,$A186,6),1))),TRUE,FALSE),TRUE),FALSE)</f>
        <v>0</v>
      </c>
      <c r="G186" s="508" t="str">
        <f t="shared" ca="1" si="72"/>
        <v/>
      </c>
      <c r="H186" s="20" t="str">
        <f t="shared" ca="1" si="73"/>
        <v/>
      </c>
      <c r="I186" s="20" t="str">
        <f t="shared" ca="1" si="74"/>
        <v/>
      </c>
      <c r="J186" s="20" t="str">
        <f t="shared" ca="1" si="68"/>
        <v/>
      </c>
      <c r="K186" s="20" t="b">
        <f t="shared" ca="1" si="75"/>
        <v>1</v>
      </c>
      <c r="L186" s="20" t="b">
        <f t="shared" ca="1" si="76"/>
        <v>1</v>
      </c>
      <c r="M186" s="1046" t="str">
        <f t="shared" ca="1" si="77"/>
        <v/>
      </c>
      <c r="N186" s="842" t="str">
        <f t="shared" ca="1" si="16"/>
        <v/>
      </c>
      <c r="O186" s="1498" t="str">
        <f t="shared" ca="1" si="17"/>
        <v/>
      </c>
      <c r="P186" s="508" t="b">
        <f ca="1">IF($C186&lt;&gt;"",IF(INDEX(SpecialModsTable,$A186,6)&lt;&gt;"",IF(NOT(ISERROR(FIND(Weapons!O$76,INDEX(SpecialModsTable,$A186,6),1))),TRUE,FALSE),TRUE),FALSE)</f>
        <v>0</v>
      </c>
      <c r="Q186" s="508" t="str">
        <f t="shared" ca="1" si="18"/>
        <v/>
      </c>
      <c r="R186" s="20" t="str">
        <f t="shared" ca="1" si="19"/>
        <v/>
      </c>
      <c r="S186" s="20" t="str">
        <f t="shared" ca="1" si="20"/>
        <v/>
      </c>
      <c r="T186" s="20" t="str">
        <f t="shared" ca="1" si="63"/>
        <v/>
      </c>
      <c r="U186" s="20" t="b">
        <f t="shared" ca="1" si="22"/>
        <v>1</v>
      </c>
      <c r="V186" s="20" t="b">
        <f t="shared" ca="1" si="23"/>
        <v>1</v>
      </c>
      <c r="W186" s="1046" t="str">
        <f t="shared" ca="1" si="24"/>
        <v/>
      </c>
      <c r="X186" s="842" t="str">
        <f t="shared" ca="1" si="25"/>
        <v/>
      </c>
      <c r="Y186" s="1498" t="str">
        <f t="shared" ca="1" si="26"/>
        <v/>
      </c>
      <c r="Z186" s="508" t="b">
        <f ca="1">IF($C186&lt;&gt;"",IF(INDEX(SpecialModsTable,$A186,6)&lt;&gt;"",IF(NOT(ISERROR(FIND(Weapons!Y$76,INDEX(SpecialModsTable,$A186,6),1))),TRUE,FALSE),TRUE),FALSE)</f>
        <v>0</v>
      </c>
      <c r="AA186" s="508" t="str">
        <f t="shared" ca="1" si="27"/>
        <v/>
      </c>
      <c r="AB186" s="20" t="str">
        <f t="shared" ca="1" si="28"/>
        <v/>
      </c>
      <c r="AC186" s="20" t="str">
        <f t="shared" ca="1" si="29"/>
        <v/>
      </c>
      <c r="AD186" s="20" t="str">
        <f t="shared" ca="1" si="64"/>
        <v/>
      </c>
      <c r="AE186" s="20" t="b">
        <f t="shared" ca="1" si="31"/>
        <v>1</v>
      </c>
      <c r="AF186" s="20" t="b">
        <f t="shared" ca="1" si="32"/>
        <v>1</v>
      </c>
      <c r="AG186" s="1046" t="str">
        <f t="shared" ca="1" si="33"/>
        <v/>
      </c>
      <c r="AH186" s="842" t="str">
        <f t="shared" ca="1" si="34"/>
        <v/>
      </c>
      <c r="AI186" s="1498" t="str">
        <f t="shared" ca="1" si="35"/>
        <v/>
      </c>
      <c r="AJ186" s="508" t="b">
        <f ca="1">IF($C186&lt;&gt;"",IF(INDEX(SpecialModsTable,$A186,6)&lt;&gt;"",IF(NOT(ISERROR(FIND(Weapons!AI$76,INDEX(SpecialModsTable,$A186,6),1))),TRUE,FALSE),TRUE),FALSE)</f>
        <v>0</v>
      </c>
      <c r="AK186" s="508" t="str">
        <f t="shared" ca="1" si="36"/>
        <v/>
      </c>
      <c r="AL186" s="20" t="str">
        <f t="shared" ca="1" si="37"/>
        <v/>
      </c>
      <c r="AM186" s="20" t="str">
        <f t="shared" ca="1" si="38"/>
        <v/>
      </c>
      <c r="AN186" s="20" t="str">
        <f t="shared" ca="1" si="65"/>
        <v/>
      </c>
      <c r="AO186" s="20" t="b">
        <f t="shared" ca="1" si="40"/>
        <v>1</v>
      </c>
      <c r="AP186" s="20" t="b">
        <f t="shared" ca="1" si="41"/>
        <v>1</v>
      </c>
      <c r="AQ186" s="1046" t="str">
        <f t="shared" ca="1" si="42"/>
        <v/>
      </c>
      <c r="AR186" s="842" t="str">
        <f t="shared" ca="1" si="43"/>
        <v/>
      </c>
      <c r="AS186" s="1498" t="str">
        <f t="shared" ca="1" si="44"/>
        <v/>
      </c>
      <c r="AT186" s="508" t="b">
        <f ca="1">IF($C186&lt;&gt;"",IF(INDEX(SpecialModsTable,$A186,6)&lt;&gt;"",IF(NOT(ISERROR(FIND(Weapons!AS$76,INDEX(SpecialModsTable,$A186,6),1))),TRUE,FALSE),TRUE),FALSE)</f>
        <v>0</v>
      </c>
      <c r="AU186" s="508" t="str">
        <f t="shared" ca="1" si="45"/>
        <v/>
      </c>
      <c r="AV186" s="20" t="str">
        <f t="shared" ca="1" si="46"/>
        <v/>
      </c>
      <c r="AW186" s="20" t="str">
        <f t="shared" ca="1" si="47"/>
        <v/>
      </c>
      <c r="AX186" s="20" t="str">
        <f t="shared" ca="1" si="66"/>
        <v/>
      </c>
      <c r="AY186" s="20" t="b">
        <f t="shared" ca="1" si="49"/>
        <v>1</v>
      </c>
      <c r="AZ186" s="20" t="b">
        <f t="shared" ca="1" si="50"/>
        <v>1</v>
      </c>
      <c r="BA186" s="1046" t="str">
        <f t="shared" ca="1" si="51"/>
        <v/>
      </c>
      <c r="BB186" s="842" t="str">
        <f t="shared" ca="1" si="52"/>
        <v/>
      </c>
      <c r="BC186" s="1498" t="str">
        <f t="shared" ca="1" si="53"/>
        <v/>
      </c>
      <c r="BD186" s="508" t="b">
        <f ca="1">IF($C186&lt;&gt;"",IF(INDEX(SpecialModsTable,$A186,6)&lt;&gt;"",IF(NOT(ISERROR(FIND(Weapons!BC$76,INDEX(SpecialModsTable,$A186,6),1))),TRUE,FALSE),TRUE),FALSE)</f>
        <v>0</v>
      </c>
      <c r="BE186" s="508" t="str">
        <f t="shared" ca="1" si="54"/>
        <v/>
      </c>
      <c r="BF186" s="20" t="str">
        <f t="shared" ca="1" si="55"/>
        <v/>
      </c>
      <c r="BG186" s="20" t="str">
        <f t="shared" ca="1" si="56"/>
        <v/>
      </c>
      <c r="BH186" s="20" t="str">
        <f t="shared" ca="1" si="67"/>
        <v/>
      </c>
      <c r="BI186" s="20" t="b">
        <f t="shared" ca="1" si="58"/>
        <v>1</v>
      </c>
      <c r="BJ186" s="20" t="b">
        <f t="shared" ca="1" si="59"/>
        <v>1</v>
      </c>
      <c r="BK186" s="1046" t="str">
        <f t="shared" ca="1" si="60"/>
        <v/>
      </c>
    </row>
    <row r="187" spans="1:63" hidden="1">
      <c r="A187" s="1477">
        <f t="shared" si="61"/>
        <v>57</v>
      </c>
      <c r="B187" s="1477"/>
      <c r="C187" s="1477" t="str">
        <f t="shared" ca="1" si="69"/>
        <v>Power Blast (-5)</v>
      </c>
      <c r="D187" s="842" t="str">
        <f t="shared" ca="1" si="70"/>
        <v/>
      </c>
      <c r="E187" s="1498" t="str">
        <f t="shared" ca="1" si="71"/>
        <v/>
      </c>
      <c r="F187" s="508" t="b">
        <f ca="1">IF($C187&lt;&gt;"",IF(INDEX(SpecialModsTable,$A187,6)&lt;&gt;"",IF(NOT(ISERROR(FIND(Weapons!E$76,INDEX(SpecialModsTable,$A187,6),1))),TRUE,FALSE),TRUE),FALSE)</f>
        <v>0</v>
      </c>
      <c r="G187" s="508" t="str">
        <f t="shared" ca="1" si="72"/>
        <v/>
      </c>
      <c r="H187" s="20" t="str">
        <f t="shared" ca="1" si="73"/>
        <v/>
      </c>
      <c r="I187" s="20" t="str">
        <f t="shared" ca="1" si="74"/>
        <v/>
      </c>
      <c r="J187" s="20" t="str">
        <f t="shared" ca="1" si="68"/>
        <v/>
      </c>
      <c r="K187" s="20" t="b">
        <f t="shared" ca="1" si="75"/>
        <v>1</v>
      </c>
      <c r="L187" s="20" t="b">
        <f t="shared" ca="1" si="76"/>
        <v>1</v>
      </c>
      <c r="M187" s="1046" t="str">
        <f t="shared" ca="1" si="77"/>
        <v/>
      </c>
      <c r="N187" s="842" t="str">
        <f t="shared" ca="1" si="16"/>
        <v/>
      </c>
      <c r="O187" s="1498" t="str">
        <f t="shared" ca="1" si="17"/>
        <v/>
      </c>
      <c r="P187" s="508" t="b">
        <f ca="1">IF($C187&lt;&gt;"",IF(INDEX(SpecialModsTable,$A187,6)&lt;&gt;"",IF(NOT(ISERROR(FIND(Weapons!O$76,INDEX(SpecialModsTable,$A187,6),1))),TRUE,FALSE),TRUE),FALSE)</f>
        <v>0</v>
      </c>
      <c r="Q187" s="508" t="str">
        <f t="shared" ca="1" si="18"/>
        <v/>
      </c>
      <c r="R187" s="20" t="str">
        <f t="shared" ca="1" si="19"/>
        <v/>
      </c>
      <c r="S187" s="20" t="str">
        <f t="shared" ca="1" si="20"/>
        <v/>
      </c>
      <c r="T187" s="20" t="str">
        <f t="shared" ca="1" si="63"/>
        <v/>
      </c>
      <c r="U187" s="20" t="b">
        <f t="shared" ca="1" si="22"/>
        <v>1</v>
      </c>
      <c r="V187" s="20" t="b">
        <f t="shared" ca="1" si="23"/>
        <v>1</v>
      </c>
      <c r="W187" s="1046" t="str">
        <f t="shared" ca="1" si="24"/>
        <v/>
      </c>
      <c r="X187" s="842" t="str">
        <f t="shared" ca="1" si="25"/>
        <v/>
      </c>
      <c r="Y187" s="1498" t="str">
        <f t="shared" ca="1" si="26"/>
        <v/>
      </c>
      <c r="Z187" s="508" t="b">
        <f ca="1">IF($C187&lt;&gt;"",IF(INDEX(SpecialModsTable,$A187,6)&lt;&gt;"",IF(NOT(ISERROR(FIND(Weapons!Y$76,INDEX(SpecialModsTable,$A187,6),1))),TRUE,FALSE),TRUE),FALSE)</f>
        <v>0</v>
      </c>
      <c r="AA187" s="508" t="str">
        <f t="shared" ca="1" si="27"/>
        <v/>
      </c>
      <c r="AB187" s="20" t="str">
        <f t="shared" ca="1" si="28"/>
        <v/>
      </c>
      <c r="AC187" s="20" t="str">
        <f t="shared" ca="1" si="29"/>
        <v/>
      </c>
      <c r="AD187" s="20" t="str">
        <f t="shared" ca="1" si="64"/>
        <v/>
      </c>
      <c r="AE187" s="20" t="b">
        <f t="shared" ca="1" si="31"/>
        <v>1</v>
      </c>
      <c r="AF187" s="20" t="b">
        <f t="shared" ca="1" si="32"/>
        <v>1</v>
      </c>
      <c r="AG187" s="1046" t="str">
        <f t="shared" ca="1" si="33"/>
        <v/>
      </c>
      <c r="AH187" s="842" t="str">
        <f t="shared" ca="1" si="34"/>
        <v/>
      </c>
      <c r="AI187" s="1498" t="str">
        <f t="shared" ca="1" si="35"/>
        <v/>
      </c>
      <c r="AJ187" s="508" t="b">
        <f ca="1">IF($C187&lt;&gt;"",IF(INDEX(SpecialModsTable,$A187,6)&lt;&gt;"",IF(NOT(ISERROR(FIND(Weapons!AI$76,INDEX(SpecialModsTable,$A187,6),1))),TRUE,FALSE),TRUE),FALSE)</f>
        <v>0</v>
      </c>
      <c r="AK187" s="508" t="str">
        <f t="shared" ca="1" si="36"/>
        <v/>
      </c>
      <c r="AL187" s="20" t="str">
        <f t="shared" ca="1" si="37"/>
        <v/>
      </c>
      <c r="AM187" s="20" t="str">
        <f t="shared" ca="1" si="38"/>
        <v/>
      </c>
      <c r="AN187" s="20" t="str">
        <f t="shared" ca="1" si="65"/>
        <v/>
      </c>
      <c r="AO187" s="20" t="b">
        <f t="shared" ca="1" si="40"/>
        <v>1</v>
      </c>
      <c r="AP187" s="20" t="b">
        <f t="shared" ca="1" si="41"/>
        <v>1</v>
      </c>
      <c r="AQ187" s="1046" t="str">
        <f t="shared" ca="1" si="42"/>
        <v/>
      </c>
      <c r="AR187" s="842" t="str">
        <f t="shared" ca="1" si="43"/>
        <v/>
      </c>
      <c r="AS187" s="1498" t="str">
        <f t="shared" ca="1" si="44"/>
        <v/>
      </c>
      <c r="AT187" s="508" t="b">
        <f ca="1">IF($C187&lt;&gt;"",IF(INDEX(SpecialModsTable,$A187,6)&lt;&gt;"",IF(NOT(ISERROR(FIND(Weapons!AS$76,INDEX(SpecialModsTable,$A187,6),1))),TRUE,FALSE),TRUE),FALSE)</f>
        <v>0</v>
      </c>
      <c r="AU187" s="508" t="str">
        <f t="shared" ca="1" si="45"/>
        <v/>
      </c>
      <c r="AV187" s="20" t="str">
        <f t="shared" ca="1" si="46"/>
        <v/>
      </c>
      <c r="AW187" s="20" t="str">
        <f t="shared" ca="1" si="47"/>
        <v/>
      </c>
      <c r="AX187" s="20" t="str">
        <f t="shared" ca="1" si="66"/>
        <v/>
      </c>
      <c r="AY187" s="20" t="b">
        <f t="shared" ca="1" si="49"/>
        <v>1</v>
      </c>
      <c r="AZ187" s="20" t="b">
        <f t="shared" ca="1" si="50"/>
        <v>1</v>
      </c>
      <c r="BA187" s="1046" t="str">
        <f t="shared" ca="1" si="51"/>
        <v/>
      </c>
      <c r="BB187" s="842" t="str">
        <f t="shared" ca="1" si="52"/>
        <v/>
      </c>
      <c r="BC187" s="1498" t="str">
        <f t="shared" ca="1" si="53"/>
        <v/>
      </c>
      <c r="BD187" s="508" t="b">
        <f ca="1">IF($C187&lt;&gt;"",IF(INDEX(SpecialModsTable,$A187,6)&lt;&gt;"",IF(NOT(ISERROR(FIND(Weapons!BC$76,INDEX(SpecialModsTable,$A187,6),1))),TRUE,FALSE),TRUE),FALSE)</f>
        <v>0</v>
      </c>
      <c r="BE187" s="508" t="str">
        <f t="shared" ca="1" si="54"/>
        <v/>
      </c>
      <c r="BF187" s="20" t="str">
        <f t="shared" ca="1" si="55"/>
        <v/>
      </c>
      <c r="BG187" s="20" t="str">
        <f t="shared" ca="1" si="56"/>
        <v/>
      </c>
      <c r="BH187" s="20" t="str">
        <f t="shared" ca="1" si="67"/>
        <v/>
      </c>
      <c r="BI187" s="20" t="b">
        <f t="shared" ca="1" si="58"/>
        <v>1</v>
      </c>
      <c r="BJ187" s="20" t="b">
        <f t="shared" ca="1" si="59"/>
        <v>1</v>
      </c>
      <c r="BK187" s="1046" t="str">
        <f t="shared" ca="1" si="60"/>
        <v/>
      </c>
    </row>
    <row r="188" spans="1:63" hidden="1">
      <c r="A188" s="1477">
        <f t="shared" si="61"/>
        <v>58</v>
      </c>
      <c r="B188" s="1477"/>
      <c r="C188" s="1477" t="str">
        <f t="shared" ca="1" si="69"/>
        <v>Power Blast (-6)</v>
      </c>
      <c r="D188" s="842" t="str">
        <f t="shared" ca="1" si="70"/>
        <v/>
      </c>
      <c r="E188" s="1498" t="str">
        <f t="shared" ca="1" si="71"/>
        <v/>
      </c>
      <c r="F188" s="508" t="b">
        <f ca="1">IF($C188&lt;&gt;"",IF(INDEX(SpecialModsTable,$A188,6)&lt;&gt;"",IF(NOT(ISERROR(FIND(Weapons!E$76,INDEX(SpecialModsTable,$A188,6),1))),TRUE,FALSE),TRUE),FALSE)</f>
        <v>0</v>
      </c>
      <c r="G188" s="508" t="str">
        <f t="shared" ca="1" si="72"/>
        <v/>
      </c>
      <c r="H188" s="20" t="str">
        <f t="shared" ca="1" si="73"/>
        <v/>
      </c>
      <c r="I188" s="20" t="str">
        <f t="shared" ca="1" si="74"/>
        <v/>
      </c>
      <c r="J188" s="20" t="str">
        <f t="shared" ca="1" si="68"/>
        <v/>
      </c>
      <c r="K188" s="20" t="b">
        <f t="shared" ca="1" si="75"/>
        <v>1</v>
      </c>
      <c r="L188" s="20" t="b">
        <f t="shared" ca="1" si="76"/>
        <v>1</v>
      </c>
      <c r="M188" s="1046" t="str">
        <f t="shared" ca="1" si="77"/>
        <v/>
      </c>
      <c r="N188" s="842" t="str">
        <f t="shared" ca="1" si="16"/>
        <v/>
      </c>
      <c r="O188" s="1498" t="str">
        <f t="shared" ca="1" si="17"/>
        <v/>
      </c>
      <c r="P188" s="508" t="b">
        <f ca="1">IF($C188&lt;&gt;"",IF(INDEX(SpecialModsTable,$A188,6)&lt;&gt;"",IF(NOT(ISERROR(FIND(Weapons!O$76,INDEX(SpecialModsTable,$A188,6),1))),TRUE,FALSE),TRUE),FALSE)</f>
        <v>0</v>
      </c>
      <c r="Q188" s="508" t="str">
        <f t="shared" ca="1" si="18"/>
        <v/>
      </c>
      <c r="R188" s="20" t="str">
        <f t="shared" ca="1" si="19"/>
        <v/>
      </c>
      <c r="S188" s="20" t="str">
        <f t="shared" ca="1" si="20"/>
        <v/>
      </c>
      <c r="T188" s="20" t="str">
        <f t="shared" ca="1" si="63"/>
        <v/>
      </c>
      <c r="U188" s="20" t="b">
        <f t="shared" ca="1" si="22"/>
        <v>1</v>
      </c>
      <c r="V188" s="20" t="b">
        <f t="shared" ca="1" si="23"/>
        <v>1</v>
      </c>
      <c r="W188" s="1046" t="str">
        <f t="shared" ca="1" si="24"/>
        <v/>
      </c>
      <c r="X188" s="842" t="str">
        <f t="shared" ca="1" si="25"/>
        <v/>
      </c>
      <c r="Y188" s="1498" t="str">
        <f t="shared" ca="1" si="26"/>
        <v/>
      </c>
      <c r="Z188" s="508" t="b">
        <f ca="1">IF($C188&lt;&gt;"",IF(INDEX(SpecialModsTable,$A188,6)&lt;&gt;"",IF(NOT(ISERROR(FIND(Weapons!Y$76,INDEX(SpecialModsTable,$A188,6),1))),TRUE,FALSE),TRUE),FALSE)</f>
        <v>0</v>
      </c>
      <c r="AA188" s="508" t="str">
        <f t="shared" ca="1" si="27"/>
        <v/>
      </c>
      <c r="AB188" s="20" t="str">
        <f t="shared" ca="1" si="28"/>
        <v/>
      </c>
      <c r="AC188" s="20" t="str">
        <f t="shared" ca="1" si="29"/>
        <v/>
      </c>
      <c r="AD188" s="20" t="str">
        <f t="shared" ca="1" si="64"/>
        <v/>
      </c>
      <c r="AE188" s="20" t="b">
        <f t="shared" ca="1" si="31"/>
        <v>1</v>
      </c>
      <c r="AF188" s="20" t="b">
        <f t="shared" ca="1" si="32"/>
        <v>1</v>
      </c>
      <c r="AG188" s="1046" t="str">
        <f t="shared" ca="1" si="33"/>
        <v/>
      </c>
      <c r="AH188" s="842" t="str">
        <f t="shared" ca="1" si="34"/>
        <v/>
      </c>
      <c r="AI188" s="1498" t="str">
        <f t="shared" ca="1" si="35"/>
        <v/>
      </c>
      <c r="AJ188" s="508" t="b">
        <f ca="1">IF($C188&lt;&gt;"",IF(INDEX(SpecialModsTable,$A188,6)&lt;&gt;"",IF(NOT(ISERROR(FIND(Weapons!AI$76,INDEX(SpecialModsTable,$A188,6),1))),TRUE,FALSE),TRUE),FALSE)</f>
        <v>0</v>
      </c>
      <c r="AK188" s="508" t="str">
        <f t="shared" ca="1" si="36"/>
        <v/>
      </c>
      <c r="AL188" s="20" t="str">
        <f t="shared" ca="1" si="37"/>
        <v/>
      </c>
      <c r="AM188" s="20" t="str">
        <f t="shared" ca="1" si="38"/>
        <v/>
      </c>
      <c r="AN188" s="20" t="str">
        <f t="shared" ca="1" si="65"/>
        <v/>
      </c>
      <c r="AO188" s="20" t="b">
        <f t="shared" ca="1" si="40"/>
        <v>1</v>
      </c>
      <c r="AP188" s="20" t="b">
        <f t="shared" ca="1" si="41"/>
        <v>1</v>
      </c>
      <c r="AQ188" s="1046" t="str">
        <f t="shared" ca="1" si="42"/>
        <v/>
      </c>
      <c r="AR188" s="842" t="str">
        <f t="shared" ca="1" si="43"/>
        <v/>
      </c>
      <c r="AS188" s="1498" t="str">
        <f t="shared" ca="1" si="44"/>
        <v/>
      </c>
      <c r="AT188" s="508" t="b">
        <f ca="1">IF($C188&lt;&gt;"",IF(INDEX(SpecialModsTable,$A188,6)&lt;&gt;"",IF(NOT(ISERROR(FIND(Weapons!AS$76,INDEX(SpecialModsTable,$A188,6),1))),TRUE,FALSE),TRUE),FALSE)</f>
        <v>0</v>
      </c>
      <c r="AU188" s="508" t="str">
        <f t="shared" ca="1" si="45"/>
        <v/>
      </c>
      <c r="AV188" s="20" t="str">
        <f t="shared" ca="1" si="46"/>
        <v/>
      </c>
      <c r="AW188" s="20" t="str">
        <f t="shared" ca="1" si="47"/>
        <v/>
      </c>
      <c r="AX188" s="20" t="str">
        <f t="shared" ca="1" si="66"/>
        <v/>
      </c>
      <c r="AY188" s="20" t="b">
        <f t="shared" ca="1" si="49"/>
        <v>1</v>
      </c>
      <c r="AZ188" s="20" t="b">
        <f t="shared" ca="1" si="50"/>
        <v>1</v>
      </c>
      <c r="BA188" s="1046" t="str">
        <f t="shared" ca="1" si="51"/>
        <v/>
      </c>
      <c r="BB188" s="842" t="str">
        <f t="shared" ca="1" si="52"/>
        <v/>
      </c>
      <c r="BC188" s="1498" t="str">
        <f t="shared" ca="1" si="53"/>
        <v/>
      </c>
      <c r="BD188" s="508" t="b">
        <f ca="1">IF($C188&lt;&gt;"",IF(INDEX(SpecialModsTable,$A188,6)&lt;&gt;"",IF(NOT(ISERROR(FIND(Weapons!BC$76,INDEX(SpecialModsTable,$A188,6),1))),TRUE,FALSE),TRUE),FALSE)</f>
        <v>0</v>
      </c>
      <c r="BE188" s="508" t="str">
        <f t="shared" ca="1" si="54"/>
        <v/>
      </c>
      <c r="BF188" s="20" t="str">
        <f t="shared" ca="1" si="55"/>
        <v/>
      </c>
      <c r="BG188" s="20" t="str">
        <f t="shared" ca="1" si="56"/>
        <v/>
      </c>
      <c r="BH188" s="20" t="str">
        <f t="shared" ca="1" si="67"/>
        <v/>
      </c>
      <c r="BI188" s="20" t="b">
        <f t="shared" ca="1" si="58"/>
        <v>1</v>
      </c>
      <c r="BJ188" s="20" t="b">
        <f t="shared" ca="1" si="59"/>
        <v>1</v>
      </c>
      <c r="BK188" s="1046" t="str">
        <f t="shared" ca="1" si="60"/>
        <v/>
      </c>
    </row>
    <row r="189" spans="1:63" hidden="1">
      <c r="A189" s="1477">
        <f t="shared" si="61"/>
        <v>59</v>
      </c>
      <c r="B189" s="1477"/>
      <c r="C189" s="1477" t="str">
        <f t="shared" ca="1" si="69"/>
        <v>Power Blast (-7)</v>
      </c>
      <c r="D189" s="842" t="str">
        <f t="shared" ca="1" si="70"/>
        <v/>
      </c>
      <c r="E189" s="1498" t="str">
        <f t="shared" ca="1" si="71"/>
        <v/>
      </c>
      <c r="F189" s="508" t="b">
        <f ca="1">IF($C189&lt;&gt;"",IF(INDEX(SpecialModsTable,$A189,6)&lt;&gt;"",IF(NOT(ISERROR(FIND(Weapons!E$76,INDEX(SpecialModsTable,$A189,6),1))),TRUE,FALSE),TRUE),FALSE)</f>
        <v>0</v>
      </c>
      <c r="G189" s="508" t="str">
        <f t="shared" ca="1" si="72"/>
        <v/>
      </c>
      <c r="H189" s="20" t="str">
        <f t="shared" ca="1" si="73"/>
        <v/>
      </c>
      <c r="I189" s="20" t="str">
        <f t="shared" ca="1" si="74"/>
        <v/>
      </c>
      <c r="J189" s="20" t="str">
        <f t="shared" ca="1" si="68"/>
        <v/>
      </c>
      <c r="K189" s="20" t="b">
        <f t="shared" ca="1" si="75"/>
        <v>1</v>
      </c>
      <c r="L189" s="20" t="b">
        <f t="shared" ca="1" si="76"/>
        <v>1</v>
      </c>
      <c r="M189" s="1046" t="str">
        <f t="shared" ca="1" si="77"/>
        <v/>
      </c>
      <c r="N189" s="842" t="str">
        <f t="shared" ca="1" si="16"/>
        <v/>
      </c>
      <c r="O189" s="1498" t="str">
        <f t="shared" ca="1" si="17"/>
        <v/>
      </c>
      <c r="P189" s="508" t="b">
        <f ca="1">IF($C189&lt;&gt;"",IF(INDEX(SpecialModsTable,$A189,6)&lt;&gt;"",IF(NOT(ISERROR(FIND(Weapons!O$76,INDEX(SpecialModsTable,$A189,6),1))),TRUE,FALSE),TRUE),FALSE)</f>
        <v>0</v>
      </c>
      <c r="Q189" s="508" t="str">
        <f t="shared" ca="1" si="18"/>
        <v/>
      </c>
      <c r="R189" s="20" t="str">
        <f t="shared" ca="1" si="19"/>
        <v/>
      </c>
      <c r="S189" s="20" t="str">
        <f t="shared" ca="1" si="20"/>
        <v/>
      </c>
      <c r="T189" s="20" t="str">
        <f t="shared" ca="1" si="63"/>
        <v/>
      </c>
      <c r="U189" s="20" t="b">
        <f t="shared" ca="1" si="22"/>
        <v>1</v>
      </c>
      <c r="V189" s="20" t="b">
        <f t="shared" ca="1" si="23"/>
        <v>1</v>
      </c>
      <c r="W189" s="1046" t="str">
        <f t="shared" ca="1" si="24"/>
        <v/>
      </c>
      <c r="X189" s="842" t="str">
        <f t="shared" ca="1" si="25"/>
        <v/>
      </c>
      <c r="Y189" s="1498" t="str">
        <f t="shared" ca="1" si="26"/>
        <v/>
      </c>
      <c r="Z189" s="508" t="b">
        <f ca="1">IF($C189&lt;&gt;"",IF(INDEX(SpecialModsTable,$A189,6)&lt;&gt;"",IF(NOT(ISERROR(FIND(Weapons!Y$76,INDEX(SpecialModsTable,$A189,6),1))),TRUE,FALSE),TRUE),FALSE)</f>
        <v>0</v>
      </c>
      <c r="AA189" s="508" t="str">
        <f t="shared" ca="1" si="27"/>
        <v/>
      </c>
      <c r="AB189" s="20" t="str">
        <f t="shared" ca="1" si="28"/>
        <v/>
      </c>
      <c r="AC189" s="20" t="str">
        <f t="shared" ca="1" si="29"/>
        <v/>
      </c>
      <c r="AD189" s="20" t="str">
        <f t="shared" ca="1" si="64"/>
        <v/>
      </c>
      <c r="AE189" s="20" t="b">
        <f t="shared" ca="1" si="31"/>
        <v>1</v>
      </c>
      <c r="AF189" s="20" t="b">
        <f t="shared" ca="1" si="32"/>
        <v>1</v>
      </c>
      <c r="AG189" s="1046" t="str">
        <f t="shared" ca="1" si="33"/>
        <v/>
      </c>
      <c r="AH189" s="842" t="str">
        <f t="shared" ca="1" si="34"/>
        <v/>
      </c>
      <c r="AI189" s="1498" t="str">
        <f t="shared" ca="1" si="35"/>
        <v/>
      </c>
      <c r="AJ189" s="508" t="b">
        <f ca="1">IF($C189&lt;&gt;"",IF(INDEX(SpecialModsTable,$A189,6)&lt;&gt;"",IF(NOT(ISERROR(FIND(Weapons!AI$76,INDEX(SpecialModsTable,$A189,6),1))),TRUE,FALSE),TRUE),FALSE)</f>
        <v>0</v>
      </c>
      <c r="AK189" s="508" t="str">
        <f t="shared" ca="1" si="36"/>
        <v/>
      </c>
      <c r="AL189" s="20" t="str">
        <f t="shared" ca="1" si="37"/>
        <v/>
      </c>
      <c r="AM189" s="20" t="str">
        <f t="shared" ca="1" si="38"/>
        <v/>
      </c>
      <c r="AN189" s="20" t="str">
        <f t="shared" ca="1" si="65"/>
        <v/>
      </c>
      <c r="AO189" s="20" t="b">
        <f t="shared" ca="1" si="40"/>
        <v>1</v>
      </c>
      <c r="AP189" s="20" t="b">
        <f t="shared" ca="1" si="41"/>
        <v>1</v>
      </c>
      <c r="AQ189" s="1046" t="str">
        <f t="shared" ca="1" si="42"/>
        <v/>
      </c>
      <c r="AR189" s="842" t="str">
        <f t="shared" ca="1" si="43"/>
        <v/>
      </c>
      <c r="AS189" s="1498" t="str">
        <f t="shared" ca="1" si="44"/>
        <v/>
      </c>
      <c r="AT189" s="508" t="b">
        <f ca="1">IF($C189&lt;&gt;"",IF(INDEX(SpecialModsTable,$A189,6)&lt;&gt;"",IF(NOT(ISERROR(FIND(Weapons!AS$76,INDEX(SpecialModsTable,$A189,6),1))),TRUE,FALSE),TRUE),FALSE)</f>
        <v>0</v>
      </c>
      <c r="AU189" s="508" t="str">
        <f t="shared" ca="1" si="45"/>
        <v/>
      </c>
      <c r="AV189" s="20" t="str">
        <f t="shared" ca="1" si="46"/>
        <v/>
      </c>
      <c r="AW189" s="20" t="str">
        <f t="shared" ca="1" si="47"/>
        <v/>
      </c>
      <c r="AX189" s="20" t="str">
        <f t="shared" ca="1" si="66"/>
        <v/>
      </c>
      <c r="AY189" s="20" t="b">
        <f t="shared" ca="1" si="49"/>
        <v>1</v>
      </c>
      <c r="AZ189" s="20" t="b">
        <f t="shared" ca="1" si="50"/>
        <v>1</v>
      </c>
      <c r="BA189" s="1046" t="str">
        <f t="shared" ca="1" si="51"/>
        <v/>
      </c>
      <c r="BB189" s="842" t="str">
        <f t="shared" ca="1" si="52"/>
        <v/>
      </c>
      <c r="BC189" s="1498" t="str">
        <f t="shared" ca="1" si="53"/>
        <v/>
      </c>
      <c r="BD189" s="508" t="b">
        <f ca="1">IF($C189&lt;&gt;"",IF(INDEX(SpecialModsTable,$A189,6)&lt;&gt;"",IF(NOT(ISERROR(FIND(Weapons!BC$76,INDEX(SpecialModsTable,$A189,6),1))),TRUE,FALSE),TRUE),FALSE)</f>
        <v>0</v>
      </c>
      <c r="BE189" s="508" t="str">
        <f t="shared" ca="1" si="54"/>
        <v/>
      </c>
      <c r="BF189" s="20" t="str">
        <f t="shared" ca="1" si="55"/>
        <v/>
      </c>
      <c r="BG189" s="20" t="str">
        <f t="shared" ca="1" si="56"/>
        <v/>
      </c>
      <c r="BH189" s="20" t="str">
        <f t="shared" ca="1" si="67"/>
        <v/>
      </c>
      <c r="BI189" s="20" t="b">
        <f t="shared" ca="1" si="58"/>
        <v>1</v>
      </c>
      <c r="BJ189" s="20" t="b">
        <f t="shared" ca="1" si="59"/>
        <v>1</v>
      </c>
      <c r="BK189" s="1046" t="str">
        <f t="shared" ca="1" si="60"/>
        <v/>
      </c>
    </row>
    <row r="190" spans="1:63" hidden="1">
      <c r="A190" s="1477">
        <f t="shared" si="61"/>
        <v>60</v>
      </c>
      <c r="B190" s="1477"/>
      <c r="C190" s="1477" t="str">
        <f t="shared" ca="1" si="69"/>
        <v>Power Blast (-8)</v>
      </c>
      <c r="D190" s="842" t="str">
        <f t="shared" ca="1" si="70"/>
        <v/>
      </c>
      <c r="E190" s="1498" t="str">
        <f t="shared" ca="1" si="71"/>
        <v/>
      </c>
      <c r="F190" s="508" t="b">
        <f ca="1">IF($C190&lt;&gt;"",IF(INDEX(SpecialModsTable,$A190,6)&lt;&gt;"",IF(NOT(ISERROR(FIND(Weapons!E$76,INDEX(SpecialModsTable,$A190,6),1))),TRUE,FALSE),TRUE),FALSE)</f>
        <v>0</v>
      </c>
      <c r="G190" s="508" t="str">
        <f t="shared" ca="1" si="72"/>
        <v/>
      </c>
      <c r="H190" s="20" t="str">
        <f t="shared" ca="1" si="73"/>
        <v/>
      </c>
      <c r="I190" s="20" t="str">
        <f t="shared" ca="1" si="74"/>
        <v/>
      </c>
      <c r="J190" s="20" t="str">
        <f t="shared" ca="1" si="68"/>
        <v/>
      </c>
      <c r="K190" s="20" t="b">
        <f t="shared" ca="1" si="75"/>
        <v>1</v>
      </c>
      <c r="L190" s="20" t="b">
        <f t="shared" ca="1" si="76"/>
        <v>1</v>
      </c>
      <c r="M190" s="1046" t="str">
        <f t="shared" ca="1" si="77"/>
        <v/>
      </c>
      <c r="N190" s="842" t="str">
        <f t="shared" ca="1" si="16"/>
        <v/>
      </c>
      <c r="O190" s="1498" t="str">
        <f t="shared" ca="1" si="17"/>
        <v/>
      </c>
      <c r="P190" s="508" t="b">
        <f ca="1">IF($C190&lt;&gt;"",IF(INDEX(SpecialModsTable,$A190,6)&lt;&gt;"",IF(NOT(ISERROR(FIND(Weapons!O$76,INDEX(SpecialModsTable,$A190,6),1))),TRUE,FALSE),TRUE),FALSE)</f>
        <v>0</v>
      </c>
      <c r="Q190" s="508" t="str">
        <f t="shared" ca="1" si="18"/>
        <v/>
      </c>
      <c r="R190" s="20" t="str">
        <f t="shared" ca="1" si="19"/>
        <v/>
      </c>
      <c r="S190" s="20" t="str">
        <f t="shared" ca="1" si="20"/>
        <v/>
      </c>
      <c r="T190" s="20" t="str">
        <f t="shared" ca="1" si="63"/>
        <v/>
      </c>
      <c r="U190" s="20" t="b">
        <f t="shared" ca="1" si="22"/>
        <v>1</v>
      </c>
      <c r="V190" s="20" t="b">
        <f t="shared" ca="1" si="23"/>
        <v>1</v>
      </c>
      <c r="W190" s="1046" t="str">
        <f t="shared" ca="1" si="24"/>
        <v/>
      </c>
      <c r="X190" s="842" t="str">
        <f t="shared" ca="1" si="25"/>
        <v/>
      </c>
      <c r="Y190" s="1498" t="str">
        <f t="shared" ca="1" si="26"/>
        <v/>
      </c>
      <c r="Z190" s="508" t="b">
        <f ca="1">IF($C190&lt;&gt;"",IF(INDEX(SpecialModsTable,$A190,6)&lt;&gt;"",IF(NOT(ISERROR(FIND(Weapons!Y$76,INDEX(SpecialModsTable,$A190,6),1))),TRUE,FALSE),TRUE),FALSE)</f>
        <v>0</v>
      </c>
      <c r="AA190" s="508" t="str">
        <f t="shared" ca="1" si="27"/>
        <v/>
      </c>
      <c r="AB190" s="20" t="str">
        <f t="shared" ca="1" si="28"/>
        <v/>
      </c>
      <c r="AC190" s="20" t="str">
        <f t="shared" ca="1" si="29"/>
        <v/>
      </c>
      <c r="AD190" s="20" t="str">
        <f t="shared" ca="1" si="64"/>
        <v/>
      </c>
      <c r="AE190" s="20" t="b">
        <f t="shared" ca="1" si="31"/>
        <v>1</v>
      </c>
      <c r="AF190" s="20" t="b">
        <f t="shared" ca="1" si="32"/>
        <v>1</v>
      </c>
      <c r="AG190" s="1046" t="str">
        <f t="shared" ca="1" si="33"/>
        <v/>
      </c>
      <c r="AH190" s="842" t="str">
        <f t="shared" ca="1" si="34"/>
        <v/>
      </c>
      <c r="AI190" s="1498" t="str">
        <f t="shared" ca="1" si="35"/>
        <v/>
      </c>
      <c r="AJ190" s="508" t="b">
        <f ca="1">IF($C190&lt;&gt;"",IF(INDEX(SpecialModsTable,$A190,6)&lt;&gt;"",IF(NOT(ISERROR(FIND(Weapons!AI$76,INDEX(SpecialModsTable,$A190,6),1))),TRUE,FALSE),TRUE),FALSE)</f>
        <v>0</v>
      </c>
      <c r="AK190" s="508" t="str">
        <f t="shared" ca="1" si="36"/>
        <v/>
      </c>
      <c r="AL190" s="20" t="str">
        <f t="shared" ca="1" si="37"/>
        <v/>
      </c>
      <c r="AM190" s="20" t="str">
        <f t="shared" ca="1" si="38"/>
        <v/>
      </c>
      <c r="AN190" s="20" t="str">
        <f t="shared" ca="1" si="65"/>
        <v/>
      </c>
      <c r="AO190" s="20" t="b">
        <f t="shared" ca="1" si="40"/>
        <v>1</v>
      </c>
      <c r="AP190" s="20" t="b">
        <f t="shared" ca="1" si="41"/>
        <v>1</v>
      </c>
      <c r="AQ190" s="1046" t="str">
        <f t="shared" ca="1" si="42"/>
        <v/>
      </c>
      <c r="AR190" s="842" t="str">
        <f t="shared" ca="1" si="43"/>
        <v/>
      </c>
      <c r="AS190" s="1498" t="str">
        <f t="shared" ca="1" si="44"/>
        <v/>
      </c>
      <c r="AT190" s="508" t="b">
        <f ca="1">IF($C190&lt;&gt;"",IF(INDEX(SpecialModsTable,$A190,6)&lt;&gt;"",IF(NOT(ISERROR(FIND(Weapons!AS$76,INDEX(SpecialModsTable,$A190,6),1))),TRUE,FALSE),TRUE),FALSE)</f>
        <v>0</v>
      </c>
      <c r="AU190" s="508" t="str">
        <f t="shared" ca="1" si="45"/>
        <v/>
      </c>
      <c r="AV190" s="20" t="str">
        <f t="shared" ca="1" si="46"/>
        <v/>
      </c>
      <c r="AW190" s="20" t="str">
        <f t="shared" ca="1" si="47"/>
        <v/>
      </c>
      <c r="AX190" s="20" t="str">
        <f t="shared" ca="1" si="66"/>
        <v/>
      </c>
      <c r="AY190" s="20" t="b">
        <f t="shared" ca="1" si="49"/>
        <v>1</v>
      </c>
      <c r="AZ190" s="20" t="b">
        <f t="shared" ca="1" si="50"/>
        <v>1</v>
      </c>
      <c r="BA190" s="1046" t="str">
        <f t="shared" ca="1" si="51"/>
        <v/>
      </c>
      <c r="BB190" s="842" t="str">
        <f t="shared" ca="1" si="52"/>
        <v/>
      </c>
      <c r="BC190" s="1498" t="str">
        <f t="shared" ca="1" si="53"/>
        <v/>
      </c>
      <c r="BD190" s="508" t="b">
        <f ca="1">IF($C190&lt;&gt;"",IF(INDEX(SpecialModsTable,$A190,6)&lt;&gt;"",IF(NOT(ISERROR(FIND(Weapons!BC$76,INDEX(SpecialModsTable,$A190,6),1))),TRUE,FALSE),TRUE),FALSE)</f>
        <v>0</v>
      </c>
      <c r="BE190" s="508" t="str">
        <f t="shared" ca="1" si="54"/>
        <v/>
      </c>
      <c r="BF190" s="20" t="str">
        <f t="shared" ca="1" si="55"/>
        <v/>
      </c>
      <c r="BG190" s="20" t="str">
        <f t="shared" ca="1" si="56"/>
        <v/>
      </c>
      <c r="BH190" s="20" t="str">
        <f t="shared" ca="1" si="67"/>
        <v/>
      </c>
      <c r="BI190" s="20" t="b">
        <f t="shared" ca="1" si="58"/>
        <v>1</v>
      </c>
      <c r="BJ190" s="20" t="b">
        <f t="shared" ca="1" si="59"/>
        <v>1</v>
      </c>
      <c r="BK190" s="1046" t="str">
        <f t="shared" ca="1" si="60"/>
        <v/>
      </c>
    </row>
    <row r="191" spans="1:63" hidden="1">
      <c r="A191" s="1477">
        <f t="shared" si="61"/>
        <v>61</v>
      </c>
      <c r="B191" s="1477"/>
      <c r="C191" s="1477" t="str">
        <f t="shared" ca="1" si="69"/>
        <v>Power Blast (-9)</v>
      </c>
      <c r="D191" s="842" t="str">
        <f t="shared" ca="1" si="70"/>
        <v/>
      </c>
      <c r="E191" s="1498" t="str">
        <f t="shared" ca="1" si="71"/>
        <v/>
      </c>
      <c r="F191" s="508" t="b">
        <f ca="1">IF($C191&lt;&gt;"",IF(INDEX(SpecialModsTable,$A191,6)&lt;&gt;"",IF(NOT(ISERROR(FIND(Weapons!E$76,INDEX(SpecialModsTable,$A191,6),1))),TRUE,FALSE),TRUE),FALSE)</f>
        <v>0</v>
      </c>
      <c r="G191" s="508" t="str">
        <f t="shared" ca="1" si="72"/>
        <v/>
      </c>
      <c r="H191" s="20" t="str">
        <f t="shared" ca="1" si="73"/>
        <v/>
      </c>
      <c r="I191" s="20" t="str">
        <f t="shared" ca="1" si="74"/>
        <v/>
      </c>
      <c r="J191" s="20" t="str">
        <f t="shared" ca="1" si="68"/>
        <v/>
      </c>
      <c r="K191" s="20" t="b">
        <f t="shared" ca="1" si="75"/>
        <v>1</v>
      </c>
      <c r="L191" s="20" t="b">
        <f t="shared" ca="1" si="76"/>
        <v>1</v>
      </c>
      <c r="M191" s="1046" t="str">
        <f t="shared" ca="1" si="77"/>
        <v/>
      </c>
      <c r="N191" s="842" t="str">
        <f t="shared" ca="1" si="16"/>
        <v/>
      </c>
      <c r="O191" s="1498" t="str">
        <f t="shared" ca="1" si="17"/>
        <v/>
      </c>
      <c r="P191" s="508" t="b">
        <f ca="1">IF($C191&lt;&gt;"",IF(INDEX(SpecialModsTable,$A191,6)&lt;&gt;"",IF(NOT(ISERROR(FIND(Weapons!O$76,INDEX(SpecialModsTable,$A191,6),1))),TRUE,FALSE),TRUE),FALSE)</f>
        <v>0</v>
      </c>
      <c r="Q191" s="508" t="str">
        <f t="shared" ca="1" si="18"/>
        <v/>
      </c>
      <c r="R191" s="20" t="str">
        <f t="shared" ca="1" si="19"/>
        <v/>
      </c>
      <c r="S191" s="20" t="str">
        <f t="shared" ca="1" si="20"/>
        <v/>
      </c>
      <c r="T191" s="20" t="str">
        <f t="shared" ca="1" si="63"/>
        <v/>
      </c>
      <c r="U191" s="20" t="b">
        <f t="shared" ca="1" si="22"/>
        <v>1</v>
      </c>
      <c r="V191" s="20" t="b">
        <f t="shared" ca="1" si="23"/>
        <v>1</v>
      </c>
      <c r="W191" s="1046" t="str">
        <f t="shared" ca="1" si="24"/>
        <v/>
      </c>
      <c r="X191" s="842" t="str">
        <f t="shared" ca="1" si="25"/>
        <v/>
      </c>
      <c r="Y191" s="1498" t="str">
        <f t="shared" ca="1" si="26"/>
        <v/>
      </c>
      <c r="Z191" s="508" t="b">
        <f ca="1">IF($C191&lt;&gt;"",IF(INDEX(SpecialModsTable,$A191,6)&lt;&gt;"",IF(NOT(ISERROR(FIND(Weapons!Y$76,INDEX(SpecialModsTable,$A191,6),1))),TRUE,FALSE),TRUE),FALSE)</f>
        <v>0</v>
      </c>
      <c r="AA191" s="508" t="str">
        <f t="shared" ca="1" si="27"/>
        <v/>
      </c>
      <c r="AB191" s="20" t="str">
        <f t="shared" ca="1" si="28"/>
        <v/>
      </c>
      <c r="AC191" s="20" t="str">
        <f t="shared" ca="1" si="29"/>
        <v/>
      </c>
      <c r="AD191" s="20" t="str">
        <f t="shared" ca="1" si="64"/>
        <v/>
      </c>
      <c r="AE191" s="20" t="b">
        <f t="shared" ca="1" si="31"/>
        <v>1</v>
      </c>
      <c r="AF191" s="20" t="b">
        <f t="shared" ca="1" si="32"/>
        <v>1</v>
      </c>
      <c r="AG191" s="1046" t="str">
        <f t="shared" ca="1" si="33"/>
        <v/>
      </c>
      <c r="AH191" s="842" t="str">
        <f t="shared" ca="1" si="34"/>
        <v/>
      </c>
      <c r="AI191" s="1498" t="str">
        <f t="shared" ca="1" si="35"/>
        <v/>
      </c>
      <c r="AJ191" s="508" t="b">
        <f ca="1">IF($C191&lt;&gt;"",IF(INDEX(SpecialModsTable,$A191,6)&lt;&gt;"",IF(NOT(ISERROR(FIND(Weapons!AI$76,INDEX(SpecialModsTable,$A191,6),1))),TRUE,FALSE),TRUE),FALSE)</f>
        <v>0</v>
      </c>
      <c r="AK191" s="508" t="str">
        <f t="shared" ca="1" si="36"/>
        <v/>
      </c>
      <c r="AL191" s="20" t="str">
        <f t="shared" ca="1" si="37"/>
        <v/>
      </c>
      <c r="AM191" s="20" t="str">
        <f t="shared" ca="1" si="38"/>
        <v/>
      </c>
      <c r="AN191" s="20" t="str">
        <f t="shared" ca="1" si="65"/>
        <v/>
      </c>
      <c r="AO191" s="20" t="b">
        <f t="shared" ca="1" si="40"/>
        <v>1</v>
      </c>
      <c r="AP191" s="20" t="b">
        <f t="shared" ca="1" si="41"/>
        <v>1</v>
      </c>
      <c r="AQ191" s="1046" t="str">
        <f t="shared" ca="1" si="42"/>
        <v/>
      </c>
      <c r="AR191" s="842" t="str">
        <f t="shared" ca="1" si="43"/>
        <v/>
      </c>
      <c r="AS191" s="1498" t="str">
        <f t="shared" ca="1" si="44"/>
        <v/>
      </c>
      <c r="AT191" s="508" t="b">
        <f ca="1">IF($C191&lt;&gt;"",IF(INDEX(SpecialModsTable,$A191,6)&lt;&gt;"",IF(NOT(ISERROR(FIND(Weapons!AS$76,INDEX(SpecialModsTable,$A191,6),1))),TRUE,FALSE),TRUE),FALSE)</f>
        <v>0</v>
      </c>
      <c r="AU191" s="508" t="str">
        <f t="shared" ca="1" si="45"/>
        <v/>
      </c>
      <c r="AV191" s="20" t="str">
        <f t="shared" ca="1" si="46"/>
        <v/>
      </c>
      <c r="AW191" s="20" t="str">
        <f t="shared" ca="1" si="47"/>
        <v/>
      </c>
      <c r="AX191" s="20" t="str">
        <f t="shared" ca="1" si="66"/>
        <v/>
      </c>
      <c r="AY191" s="20" t="b">
        <f t="shared" ca="1" si="49"/>
        <v>1</v>
      </c>
      <c r="AZ191" s="20" t="b">
        <f t="shared" ca="1" si="50"/>
        <v>1</v>
      </c>
      <c r="BA191" s="1046" t="str">
        <f t="shared" ca="1" si="51"/>
        <v/>
      </c>
      <c r="BB191" s="842" t="str">
        <f t="shared" ca="1" si="52"/>
        <v/>
      </c>
      <c r="BC191" s="1498" t="str">
        <f t="shared" ca="1" si="53"/>
        <v/>
      </c>
      <c r="BD191" s="508" t="b">
        <f ca="1">IF($C191&lt;&gt;"",IF(INDEX(SpecialModsTable,$A191,6)&lt;&gt;"",IF(NOT(ISERROR(FIND(Weapons!BC$76,INDEX(SpecialModsTable,$A191,6),1))),TRUE,FALSE),TRUE),FALSE)</f>
        <v>0</v>
      </c>
      <c r="BE191" s="508" t="str">
        <f t="shared" ca="1" si="54"/>
        <v/>
      </c>
      <c r="BF191" s="20" t="str">
        <f t="shared" ca="1" si="55"/>
        <v/>
      </c>
      <c r="BG191" s="20" t="str">
        <f t="shared" ca="1" si="56"/>
        <v/>
      </c>
      <c r="BH191" s="20" t="str">
        <f t="shared" ca="1" si="67"/>
        <v/>
      </c>
      <c r="BI191" s="20" t="b">
        <f t="shared" ca="1" si="58"/>
        <v>1</v>
      </c>
      <c r="BJ191" s="20" t="b">
        <f t="shared" ca="1" si="59"/>
        <v>1</v>
      </c>
      <c r="BK191" s="1046" t="str">
        <f t="shared" ca="1" si="60"/>
        <v/>
      </c>
    </row>
    <row r="192" spans="1:63" hidden="1">
      <c r="A192" s="1477">
        <f t="shared" si="61"/>
        <v>62</v>
      </c>
      <c r="B192" s="1477"/>
      <c r="C192" s="1477" t="str">
        <f t="shared" ca="1" si="69"/>
        <v>Prime Shot</v>
      </c>
      <c r="D192" s="842" t="str">
        <f t="shared" ca="1" si="70"/>
        <v/>
      </c>
      <c r="E192" s="1498" t="str">
        <f t="shared" ca="1" si="71"/>
        <v/>
      </c>
      <c r="F192" s="508" t="b">
        <f ca="1">IF($C192&lt;&gt;"",IF(INDEX(SpecialModsTable,$A192,6)&lt;&gt;"",IF(NOT(ISERROR(FIND(Weapons!E$76,INDEX(SpecialModsTable,$A192,6),1))),TRUE,FALSE),TRUE),FALSE)</f>
        <v>1</v>
      </c>
      <c r="G192" s="508" t="str">
        <f t="shared" ca="1" si="72"/>
        <v/>
      </c>
      <c r="H192" s="20" t="str">
        <f t="shared" ca="1" si="73"/>
        <v/>
      </c>
      <c r="I192" s="20" t="str">
        <f t="shared" ca="1" si="74"/>
        <v/>
      </c>
      <c r="J192" s="20" t="str">
        <f t="shared" ca="1" si="68"/>
        <v/>
      </c>
      <c r="K192" s="20" t="b">
        <f t="shared" ca="1" si="75"/>
        <v>1</v>
      </c>
      <c r="L192" s="20" t="b">
        <f t="shared" ca="1" si="76"/>
        <v>1</v>
      </c>
      <c r="M192" s="1046" t="str">
        <f t="shared" ca="1" si="77"/>
        <v/>
      </c>
      <c r="N192" s="842" t="str">
        <f t="shared" ca="1" si="16"/>
        <v/>
      </c>
      <c r="O192" s="1498" t="str">
        <f t="shared" ca="1" si="17"/>
        <v/>
      </c>
      <c r="P192" s="508" t="b">
        <f ca="1">IF($C192&lt;&gt;"",IF(INDEX(SpecialModsTable,$A192,6)&lt;&gt;"",IF(NOT(ISERROR(FIND(Weapons!O$76,INDEX(SpecialModsTable,$A192,6),1))),TRUE,FALSE),TRUE),FALSE)</f>
        <v>1</v>
      </c>
      <c r="Q192" s="508" t="str">
        <f t="shared" ca="1" si="18"/>
        <v/>
      </c>
      <c r="R192" s="20" t="str">
        <f t="shared" ca="1" si="19"/>
        <v/>
      </c>
      <c r="S192" s="20" t="str">
        <f t="shared" ca="1" si="20"/>
        <v/>
      </c>
      <c r="T192" s="20" t="str">
        <f t="shared" ca="1" si="63"/>
        <v/>
      </c>
      <c r="U192" s="20" t="b">
        <f t="shared" ca="1" si="22"/>
        <v>1</v>
      </c>
      <c r="V192" s="20" t="b">
        <f t="shared" ca="1" si="23"/>
        <v>1</v>
      </c>
      <c r="W192" s="1046" t="str">
        <f t="shared" ca="1" si="24"/>
        <v/>
      </c>
      <c r="X192" s="842" t="str">
        <f t="shared" ca="1" si="25"/>
        <v/>
      </c>
      <c r="Y192" s="1498" t="str">
        <f t="shared" ca="1" si="26"/>
        <v/>
      </c>
      <c r="Z192" s="508" t="b">
        <f ca="1">IF($C192&lt;&gt;"",IF(INDEX(SpecialModsTable,$A192,6)&lt;&gt;"",IF(NOT(ISERROR(FIND(Weapons!Y$76,INDEX(SpecialModsTable,$A192,6),1))),TRUE,FALSE),TRUE),FALSE)</f>
        <v>1</v>
      </c>
      <c r="AA192" s="508" t="str">
        <f t="shared" ca="1" si="27"/>
        <v/>
      </c>
      <c r="AB192" s="20" t="str">
        <f t="shared" ca="1" si="28"/>
        <v/>
      </c>
      <c r="AC192" s="20" t="str">
        <f t="shared" ca="1" si="29"/>
        <v/>
      </c>
      <c r="AD192" s="20" t="str">
        <f t="shared" ca="1" si="64"/>
        <v/>
      </c>
      <c r="AE192" s="20" t="b">
        <f t="shared" ca="1" si="31"/>
        <v>1</v>
      </c>
      <c r="AF192" s="20" t="b">
        <f t="shared" ca="1" si="32"/>
        <v>1</v>
      </c>
      <c r="AG192" s="1046" t="str">
        <f t="shared" ca="1" si="33"/>
        <v/>
      </c>
      <c r="AH192" s="842" t="str">
        <f t="shared" ca="1" si="34"/>
        <v/>
      </c>
      <c r="AI192" s="1498" t="str">
        <f t="shared" ca="1" si="35"/>
        <v/>
      </c>
      <c r="AJ192" s="508" t="b">
        <f ca="1">IF($C192&lt;&gt;"",IF(INDEX(SpecialModsTable,$A192,6)&lt;&gt;"",IF(NOT(ISERROR(FIND(Weapons!AI$76,INDEX(SpecialModsTable,$A192,6),1))),TRUE,FALSE),TRUE),FALSE)</f>
        <v>1</v>
      </c>
      <c r="AK192" s="508" t="str">
        <f t="shared" ca="1" si="36"/>
        <v/>
      </c>
      <c r="AL192" s="20" t="str">
        <f t="shared" ca="1" si="37"/>
        <v/>
      </c>
      <c r="AM192" s="20" t="str">
        <f t="shared" ca="1" si="38"/>
        <v/>
      </c>
      <c r="AN192" s="20" t="str">
        <f t="shared" ca="1" si="65"/>
        <v/>
      </c>
      <c r="AO192" s="20" t="b">
        <f t="shared" ca="1" si="40"/>
        <v>1</v>
      </c>
      <c r="AP192" s="20" t="b">
        <f t="shared" ca="1" si="41"/>
        <v>1</v>
      </c>
      <c r="AQ192" s="1046" t="str">
        <f t="shared" ca="1" si="42"/>
        <v/>
      </c>
      <c r="AR192" s="842" t="str">
        <f t="shared" ca="1" si="43"/>
        <v/>
      </c>
      <c r="AS192" s="1498" t="str">
        <f t="shared" ca="1" si="44"/>
        <v/>
      </c>
      <c r="AT192" s="508" t="b">
        <f ca="1">IF($C192&lt;&gt;"",IF(INDEX(SpecialModsTable,$A192,6)&lt;&gt;"",IF(NOT(ISERROR(FIND(Weapons!AS$76,INDEX(SpecialModsTable,$A192,6),1))),TRUE,FALSE),TRUE),FALSE)</f>
        <v>1</v>
      </c>
      <c r="AU192" s="508" t="str">
        <f t="shared" ca="1" si="45"/>
        <v/>
      </c>
      <c r="AV192" s="20" t="str">
        <f t="shared" ca="1" si="46"/>
        <v/>
      </c>
      <c r="AW192" s="20" t="str">
        <f t="shared" ca="1" si="47"/>
        <v/>
      </c>
      <c r="AX192" s="20" t="str">
        <f t="shared" ca="1" si="66"/>
        <v/>
      </c>
      <c r="AY192" s="20" t="b">
        <f t="shared" ca="1" si="49"/>
        <v>1</v>
      </c>
      <c r="AZ192" s="20" t="b">
        <f t="shared" ca="1" si="50"/>
        <v>1</v>
      </c>
      <c r="BA192" s="1046" t="str">
        <f t="shared" ca="1" si="51"/>
        <v/>
      </c>
      <c r="BB192" s="842" t="str">
        <f t="shared" ca="1" si="52"/>
        <v/>
      </c>
      <c r="BC192" s="1498" t="str">
        <f t="shared" ca="1" si="53"/>
        <v/>
      </c>
      <c r="BD192" s="508" t="b">
        <f ca="1">IF($C192&lt;&gt;"",IF(INDEX(SpecialModsTable,$A192,6)&lt;&gt;"",IF(NOT(ISERROR(FIND(Weapons!BC$76,INDEX(SpecialModsTable,$A192,6),1))),TRUE,FALSE),TRUE),FALSE)</f>
        <v>1</v>
      </c>
      <c r="BE192" s="508" t="str">
        <f t="shared" ca="1" si="54"/>
        <v/>
      </c>
      <c r="BF192" s="20" t="str">
        <f t="shared" ca="1" si="55"/>
        <v/>
      </c>
      <c r="BG192" s="20" t="str">
        <f t="shared" ca="1" si="56"/>
        <v/>
      </c>
      <c r="BH192" s="20" t="str">
        <f t="shared" ca="1" si="67"/>
        <v/>
      </c>
      <c r="BI192" s="20" t="b">
        <f t="shared" ca="1" si="58"/>
        <v>1</v>
      </c>
      <c r="BJ192" s="20" t="b">
        <f t="shared" ca="1" si="59"/>
        <v>1</v>
      </c>
      <c r="BK192" s="1046" t="str">
        <f t="shared" ca="1" si="60"/>
        <v/>
      </c>
    </row>
    <row r="193" spans="1:63" hidden="1">
      <c r="A193" s="1477">
        <f t="shared" si="61"/>
        <v>63</v>
      </c>
      <c r="B193" s="1477"/>
      <c r="C193" s="1477" t="str">
        <f t="shared" ca="1" si="69"/>
        <v>Rage</v>
      </c>
      <c r="D193" s="842" t="str">
        <f t="shared" ca="1" si="70"/>
        <v/>
      </c>
      <c r="E193" s="1498" t="str">
        <f t="shared" ca="1" si="71"/>
        <v/>
      </c>
      <c r="F193" s="508" t="b">
        <f ca="1">IF($C193&lt;&gt;"",IF(INDEX(SpecialModsTable,$A193,6)&lt;&gt;"",IF(NOT(ISERROR(FIND(Weapons!E$76,INDEX(SpecialModsTable,$A193,6),1))),TRUE,FALSE),TRUE),FALSE)</f>
        <v>1</v>
      </c>
      <c r="G193" s="508" t="str">
        <f t="shared" ca="1" si="72"/>
        <v/>
      </c>
      <c r="H193" s="20" t="str">
        <f t="shared" ca="1" si="73"/>
        <v/>
      </c>
      <c r="I193" s="20" t="str">
        <f t="shared" ca="1" si="74"/>
        <v/>
      </c>
      <c r="J193" s="20" t="str">
        <f t="shared" ca="1" si="68"/>
        <v/>
      </c>
      <c r="K193" s="20" t="b">
        <f t="shared" ca="1" si="75"/>
        <v>1</v>
      </c>
      <c r="L193" s="20" t="b">
        <f t="shared" ca="1" si="76"/>
        <v>1</v>
      </c>
      <c r="M193" s="1046" t="str">
        <f t="shared" ca="1" si="77"/>
        <v/>
      </c>
      <c r="N193" s="842" t="str">
        <f t="shared" ca="1" si="16"/>
        <v/>
      </c>
      <c r="O193" s="1498" t="str">
        <f t="shared" ca="1" si="17"/>
        <v/>
      </c>
      <c r="P193" s="508" t="b">
        <f ca="1">IF($C193&lt;&gt;"",IF(INDEX(SpecialModsTable,$A193,6)&lt;&gt;"",IF(NOT(ISERROR(FIND(Weapons!O$76,INDEX(SpecialModsTable,$A193,6),1))),TRUE,FALSE),TRUE),FALSE)</f>
        <v>1</v>
      </c>
      <c r="Q193" s="508" t="str">
        <f t="shared" ca="1" si="18"/>
        <v/>
      </c>
      <c r="R193" s="20" t="str">
        <f t="shared" ca="1" si="19"/>
        <v/>
      </c>
      <c r="S193" s="20" t="str">
        <f t="shared" ca="1" si="20"/>
        <v/>
      </c>
      <c r="T193" s="20" t="str">
        <f t="shared" ca="1" si="63"/>
        <v/>
      </c>
      <c r="U193" s="20" t="b">
        <f t="shared" ca="1" si="22"/>
        <v>1</v>
      </c>
      <c r="V193" s="20" t="b">
        <f t="shared" ca="1" si="23"/>
        <v>1</v>
      </c>
      <c r="W193" s="1046" t="str">
        <f t="shared" ca="1" si="24"/>
        <v/>
      </c>
      <c r="X193" s="842" t="str">
        <f t="shared" ca="1" si="25"/>
        <v/>
      </c>
      <c r="Y193" s="1498" t="str">
        <f t="shared" ca="1" si="26"/>
        <v/>
      </c>
      <c r="Z193" s="508" t="b">
        <f ca="1">IF($C193&lt;&gt;"",IF(INDEX(SpecialModsTable,$A193,6)&lt;&gt;"",IF(NOT(ISERROR(FIND(Weapons!Y$76,INDEX(SpecialModsTable,$A193,6),1))),TRUE,FALSE),TRUE),FALSE)</f>
        <v>1</v>
      </c>
      <c r="AA193" s="508" t="str">
        <f t="shared" ca="1" si="27"/>
        <v/>
      </c>
      <c r="AB193" s="20" t="str">
        <f t="shared" ca="1" si="28"/>
        <v/>
      </c>
      <c r="AC193" s="20" t="str">
        <f t="shared" ca="1" si="29"/>
        <v/>
      </c>
      <c r="AD193" s="20" t="str">
        <f t="shared" ca="1" si="64"/>
        <v/>
      </c>
      <c r="AE193" s="20" t="b">
        <f t="shared" ca="1" si="31"/>
        <v>1</v>
      </c>
      <c r="AF193" s="20" t="b">
        <f t="shared" ca="1" si="32"/>
        <v>1</v>
      </c>
      <c r="AG193" s="1046" t="str">
        <f t="shared" ca="1" si="33"/>
        <v/>
      </c>
      <c r="AH193" s="842" t="str">
        <f t="shared" ca="1" si="34"/>
        <v/>
      </c>
      <c r="AI193" s="1498" t="str">
        <f t="shared" ca="1" si="35"/>
        <v/>
      </c>
      <c r="AJ193" s="508" t="b">
        <f ca="1">IF($C193&lt;&gt;"",IF(INDEX(SpecialModsTable,$A193,6)&lt;&gt;"",IF(NOT(ISERROR(FIND(Weapons!AI$76,INDEX(SpecialModsTable,$A193,6),1))),TRUE,FALSE),TRUE),FALSE)</f>
        <v>1</v>
      </c>
      <c r="AK193" s="508" t="str">
        <f t="shared" ca="1" si="36"/>
        <v/>
      </c>
      <c r="AL193" s="20" t="str">
        <f t="shared" ca="1" si="37"/>
        <v/>
      </c>
      <c r="AM193" s="20" t="str">
        <f t="shared" ca="1" si="38"/>
        <v/>
      </c>
      <c r="AN193" s="20" t="str">
        <f t="shared" ca="1" si="65"/>
        <v/>
      </c>
      <c r="AO193" s="20" t="b">
        <f t="shared" ca="1" si="40"/>
        <v>1</v>
      </c>
      <c r="AP193" s="20" t="b">
        <f t="shared" ca="1" si="41"/>
        <v>1</v>
      </c>
      <c r="AQ193" s="1046" t="str">
        <f t="shared" ca="1" si="42"/>
        <v/>
      </c>
      <c r="AR193" s="842" t="str">
        <f t="shared" ca="1" si="43"/>
        <v/>
      </c>
      <c r="AS193" s="1498" t="str">
        <f t="shared" ca="1" si="44"/>
        <v/>
      </c>
      <c r="AT193" s="508" t="b">
        <f ca="1">IF($C193&lt;&gt;"",IF(INDEX(SpecialModsTable,$A193,6)&lt;&gt;"",IF(NOT(ISERROR(FIND(Weapons!AS$76,INDEX(SpecialModsTable,$A193,6),1))),TRUE,FALSE),TRUE),FALSE)</f>
        <v>1</v>
      </c>
      <c r="AU193" s="508" t="str">
        <f t="shared" ca="1" si="45"/>
        <v/>
      </c>
      <c r="AV193" s="20" t="str">
        <f t="shared" ca="1" si="46"/>
        <v/>
      </c>
      <c r="AW193" s="20" t="str">
        <f t="shared" ca="1" si="47"/>
        <v/>
      </c>
      <c r="AX193" s="20" t="str">
        <f t="shared" ca="1" si="66"/>
        <v/>
      </c>
      <c r="AY193" s="20" t="b">
        <f t="shared" ca="1" si="49"/>
        <v>1</v>
      </c>
      <c r="AZ193" s="20" t="b">
        <f t="shared" ca="1" si="50"/>
        <v>1</v>
      </c>
      <c r="BA193" s="1046" t="str">
        <f t="shared" ca="1" si="51"/>
        <v/>
      </c>
      <c r="BB193" s="842" t="str">
        <f t="shared" ca="1" si="52"/>
        <v/>
      </c>
      <c r="BC193" s="1498" t="str">
        <f t="shared" ca="1" si="53"/>
        <v/>
      </c>
      <c r="BD193" s="508" t="b">
        <f ca="1">IF($C193&lt;&gt;"",IF(INDEX(SpecialModsTable,$A193,6)&lt;&gt;"",IF(NOT(ISERROR(FIND(Weapons!BC$76,INDEX(SpecialModsTable,$A193,6),1))),TRUE,FALSE),TRUE),FALSE)</f>
        <v>1</v>
      </c>
      <c r="BE193" s="508" t="str">
        <f t="shared" ca="1" si="54"/>
        <v/>
      </c>
      <c r="BF193" s="20" t="str">
        <f t="shared" ca="1" si="55"/>
        <v/>
      </c>
      <c r="BG193" s="20" t="str">
        <f t="shared" ca="1" si="56"/>
        <v/>
      </c>
      <c r="BH193" s="20" t="str">
        <f t="shared" ca="1" si="67"/>
        <v/>
      </c>
      <c r="BI193" s="20" t="b">
        <f t="shared" ca="1" si="58"/>
        <v>1</v>
      </c>
      <c r="BJ193" s="20" t="b">
        <f t="shared" ca="1" si="59"/>
        <v>1</v>
      </c>
      <c r="BK193" s="1046" t="str">
        <f t="shared" ca="1" si="60"/>
        <v/>
      </c>
    </row>
    <row r="194" spans="1:63" hidden="1">
      <c r="A194" s="1477">
        <f t="shared" si="61"/>
        <v>64</v>
      </c>
      <c r="B194" s="1477"/>
      <c r="C194" s="1477" t="str">
        <f t="shared" ca="1" si="69"/>
        <v>Rapid Shot</v>
      </c>
      <c r="D194" s="842" t="str">
        <f t="shared" ca="1" si="70"/>
        <v/>
      </c>
      <c r="E194" s="1498" t="str">
        <f t="shared" ca="1" si="71"/>
        <v/>
      </c>
      <c r="F194" s="508" t="b">
        <f ca="1">IF($C194&lt;&gt;"",IF(INDEX(SpecialModsTable,$A194,6)&lt;&gt;"",IF(NOT(ISERROR(FIND(Weapons!E$76,INDEX(SpecialModsTable,$A194,6),1))),TRUE,FALSE),TRUE),FALSE)</f>
        <v>1</v>
      </c>
      <c r="G194" s="508" t="str">
        <f t="shared" ca="1" si="72"/>
        <v/>
      </c>
      <c r="H194" s="20" t="str">
        <f t="shared" ca="1" si="73"/>
        <v/>
      </c>
      <c r="I194" s="20" t="str">
        <f t="shared" ca="1" si="74"/>
        <v/>
      </c>
      <c r="J194" s="20" t="str">
        <f t="shared" ca="1" si="68"/>
        <v/>
      </c>
      <c r="K194" s="20" t="b">
        <f t="shared" ca="1" si="75"/>
        <v>1</v>
      </c>
      <c r="L194" s="20" t="b">
        <f t="shared" ca="1" si="76"/>
        <v>1</v>
      </c>
      <c r="M194" s="1046" t="str">
        <f t="shared" ca="1" si="77"/>
        <v/>
      </c>
      <c r="N194" s="842" t="str">
        <f t="shared" ca="1" si="16"/>
        <v/>
      </c>
      <c r="O194" s="1498" t="str">
        <f t="shared" ca="1" si="17"/>
        <v/>
      </c>
      <c r="P194" s="508" t="b">
        <f ca="1">IF($C194&lt;&gt;"",IF(INDEX(SpecialModsTable,$A194,6)&lt;&gt;"",IF(NOT(ISERROR(FIND(Weapons!O$76,INDEX(SpecialModsTable,$A194,6),1))),TRUE,FALSE),TRUE),FALSE)</f>
        <v>1</v>
      </c>
      <c r="Q194" s="508" t="str">
        <f t="shared" ca="1" si="18"/>
        <v/>
      </c>
      <c r="R194" s="20" t="str">
        <f t="shared" ca="1" si="19"/>
        <v/>
      </c>
      <c r="S194" s="20" t="str">
        <f t="shared" ca="1" si="20"/>
        <v/>
      </c>
      <c r="T194" s="20" t="str">
        <f t="shared" ca="1" si="63"/>
        <v/>
      </c>
      <c r="U194" s="20" t="b">
        <f t="shared" ca="1" si="22"/>
        <v>1</v>
      </c>
      <c r="V194" s="20" t="b">
        <f t="shared" ca="1" si="23"/>
        <v>1</v>
      </c>
      <c r="W194" s="1046" t="str">
        <f t="shared" ca="1" si="24"/>
        <v/>
      </c>
      <c r="X194" s="842" t="str">
        <f t="shared" ca="1" si="25"/>
        <v/>
      </c>
      <c r="Y194" s="1498" t="str">
        <f t="shared" ca="1" si="26"/>
        <v/>
      </c>
      <c r="Z194" s="508" t="b">
        <f ca="1">IF($C194&lt;&gt;"",IF(INDEX(SpecialModsTable,$A194,6)&lt;&gt;"",IF(NOT(ISERROR(FIND(Weapons!Y$76,INDEX(SpecialModsTable,$A194,6),1))),TRUE,FALSE),TRUE),FALSE)</f>
        <v>1</v>
      </c>
      <c r="AA194" s="508" t="str">
        <f t="shared" ca="1" si="27"/>
        <v/>
      </c>
      <c r="AB194" s="20" t="str">
        <f t="shared" ca="1" si="28"/>
        <v/>
      </c>
      <c r="AC194" s="20" t="str">
        <f t="shared" ca="1" si="29"/>
        <v/>
      </c>
      <c r="AD194" s="20" t="str">
        <f t="shared" ca="1" si="64"/>
        <v/>
      </c>
      <c r="AE194" s="20" t="b">
        <f t="shared" ca="1" si="31"/>
        <v>1</v>
      </c>
      <c r="AF194" s="20" t="b">
        <f t="shared" ca="1" si="32"/>
        <v>1</v>
      </c>
      <c r="AG194" s="1046" t="str">
        <f t="shared" ca="1" si="33"/>
        <v/>
      </c>
      <c r="AH194" s="842" t="str">
        <f t="shared" ca="1" si="34"/>
        <v/>
      </c>
      <c r="AI194" s="1498" t="str">
        <f t="shared" ca="1" si="35"/>
        <v/>
      </c>
      <c r="AJ194" s="508" t="b">
        <f ca="1">IF($C194&lt;&gt;"",IF(INDEX(SpecialModsTable,$A194,6)&lt;&gt;"",IF(NOT(ISERROR(FIND(Weapons!AI$76,INDEX(SpecialModsTable,$A194,6),1))),TRUE,FALSE),TRUE),FALSE)</f>
        <v>1</v>
      </c>
      <c r="AK194" s="508" t="str">
        <f t="shared" ca="1" si="36"/>
        <v/>
      </c>
      <c r="AL194" s="20" t="str">
        <f t="shared" ca="1" si="37"/>
        <v/>
      </c>
      <c r="AM194" s="20" t="str">
        <f t="shared" ca="1" si="38"/>
        <v/>
      </c>
      <c r="AN194" s="20" t="str">
        <f t="shared" ca="1" si="65"/>
        <v/>
      </c>
      <c r="AO194" s="20" t="b">
        <f t="shared" ca="1" si="40"/>
        <v>1</v>
      </c>
      <c r="AP194" s="20" t="b">
        <f t="shared" ca="1" si="41"/>
        <v>1</v>
      </c>
      <c r="AQ194" s="1046" t="str">
        <f t="shared" ca="1" si="42"/>
        <v/>
      </c>
      <c r="AR194" s="842" t="str">
        <f t="shared" ca="1" si="43"/>
        <v/>
      </c>
      <c r="AS194" s="1498" t="str">
        <f t="shared" ca="1" si="44"/>
        <v/>
      </c>
      <c r="AT194" s="508" t="b">
        <f ca="1">IF($C194&lt;&gt;"",IF(INDEX(SpecialModsTable,$A194,6)&lt;&gt;"",IF(NOT(ISERROR(FIND(Weapons!AS$76,INDEX(SpecialModsTable,$A194,6),1))),TRUE,FALSE),TRUE),FALSE)</f>
        <v>1</v>
      </c>
      <c r="AU194" s="508" t="str">
        <f t="shared" ca="1" si="45"/>
        <v/>
      </c>
      <c r="AV194" s="20" t="str">
        <f t="shared" ca="1" si="46"/>
        <v/>
      </c>
      <c r="AW194" s="20" t="str">
        <f t="shared" ca="1" si="47"/>
        <v/>
      </c>
      <c r="AX194" s="20" t="str">
        <f t="shared" ca="1" si="66"/>
        <v/>
      </c>
      <c r="AY194" s="20" t="b">
        <f t="shared" ca="1" si="49"/>
        <v>1</v>
      </c>
      <c r="AZ194" s="20" t="b">
        <f t="shared" ca="1" si="50"/>
        <v>1</v>
      </c>
      <c r="BA194" s="1046" t="str">
        <f t="shared" ca="1" si="51"/>
        <v/>
      </c>
      <c r="BB194" s="842" t="str">
        <f t="shared" ca="1" si="52"/>
        <v/>
      </c>
      <c r="BC194" s="1498" t="str">
        <f t="shared" ca="1" si="53"/>
        <v/>
      </c>
      <c r="BD194" s="508" t="b">
        <f ca="1">IF($C194&lt;&gt;"",IF(INDEX(SpecialModsTable,$A194,6)&lt;&gt;"",IF(NOT(ISERROR(FIND(Weapons!BC$76,INDEX(SpecialModsTable,$A194,6),1))),TRUE,FALSE),TRUE),FALSE)</f>
        <v>1</v>
      </c>
      <c r="BE194" s="508" t="str">
        <f t="shared" ca="1" si="54"/>
        <v/>
      </c>
      <c r="BF194" s="20" t="str">
        <f t="shared" ca="1" si="55"/>
        <v/>
      </c>
      <c r="BG194" s="20" t="str">
        <f t="shared" ca="1" si="56"/>
        <v/>
      </c>
      <c r="BH194" s="20" t="str">
        <f t="shared" ca="1" si="67"/>
        <v/>
      </c>
      <c r="BI194" s="20" t="b">
        <f t="shared" ca="1" si="58"/>
        <v>1</v>
      </c>
      <c r="BJ194" s="20" t="b">
        <f t="shared" ca="1" si="59"/>
        <v>1</v>
      </c>
      <c r="BK194" s="1046" t="str">
        <f t="shared" ca="1" si="60"/>
        <v/>
      </c>
    </row>
    <row r="195" spans="1:63" hidden="1">
      <c r="A195" s="1477">
        <f t="shared" si="61"/>
        <v>65</v>
      </c>
      <c r="B195" s="1477"/>
      <c r="C195" s="1477" t="str">
        <f t="shared" ref="C195:C203" ca="1" si="78">INDEX(SpecialModsList,A195,1)</f>
        <v>Rapid Strike</v>
      </c>
      <c r="D195" s="842" t="str">
        <f t="shared" ref="D195:D203" ca="1" si="79">IF(AND(F195,OR(E$12=INDEX(SpecialModsTable,$A195,7),INDEX(SpecialModsTable,$A195,7)=""),NOT(ISERROR(FIND(IF(NOT(ISERROR(FIND("(",$C195,1))),LEFT($C195,LEN($C195)-(LEN($C195)-FIND("(-",$C195,1)+2)),$C195),SpecialsImportList,1)))),$C195,"")</f>
        <v/>
      </c>
      <c r="E195" s="1498" t="str">
        <f t="shared" ref="E195:E203" ca="1" si="80">IF(D195&lt;&gt;"",IF(K195,D195&amp;"; ","")&amp;IF(J195&lt;&gt;"",J195&amp;" "&amp;INDEX(SpecialModsTable,$A195,12),PROPER(LEFT(INDEX(SpecialModsTable,$A195,12),1))&amp;RIGHT(INDEX(SpecialModsTable,$A195,12),LEN(INDEX(SpecialModsTable,$A195,12))-1)),"")</f>
        <v/>
      </c>
      <c r="F195" s="508" t="b">
        <f ca="1">IF($C195&lt;&gt;"",IF(INDEX(SpecialModsTable,$A195,6)&lt;&gt;"",IF(NOT(ISERROR(FIND(Weapons!E$76,INDEX(SpecialModsTable,$A195,6),1))),TRUE,FALSE),TRUE),FALSE)</f>
        <v>1</v>
      </c>
      <c r="G195" s="508" t="str">
        <f t="shared" ref="G195:G203" ca="1" si="81">IF(D195&lt;&gt;"",IF(INDEX(SpecialModsTable,$A195,2)&lt;&gt;"",INDEX(SpecialModsTable,$A195,2),""),"")</f>
        <v/>
      </c>
      <c r="H195" s="20" t="str">
        <f t="shared" ref="H195:H203" ca="1" si="82">IF(D195&lt;&gt;"",IF(E$16&lt;&gt;"Two-Handed",IF(INDEX(SpecialModsTable,$A195,3)&lt;&gt;"",INDEX(SpecialModsTable,$A195,3),""),IF(INDEX(SpecialModsTable,$A195,4)&lt;&gt;"",INDEX(SpecialModsTable,$A195,4),IF(INDEX(SpecialModsTable,$A195,3)&lt;&gt;"",INDEX(SpecialModsTable,$A195,3),""))),"")</f>
        <v/>
      </c>
      <c r="I195" s="20" t="str">
        <f t="shared" ref="I195:I203" ca="1" si="83">IF(D195&lt;&gt;"",IF(INDEX(SpecialModsTable,$A195,5)&lt;&gt;"",INDEX(SpecialModsTable,$A195,5),""),"")</f>
        <v/>
      </c>
      <c r="J195" s="20" t="str">
        <f t="shared" ca="1" si="68"/>
        <v/>
      </c>
      <c r="K195" s="20" t="b">
        <f t="shared" ref="K195:K203" ca="1" si="84">IF(D195&lt;&gt;"",IF(INDEX(SpecialModsTable,$A195,14)&lt;&gt;"No",TRUE,FALSE),TRUE)</f>
        <v>1</v>
      </c>
      <c r="L195" s="20" t="b">
        <f t="shared" ref="L195:L203" ca="1" si="85">IF(D195&lt;&gt;"",IF(INDEX(SpecialModsTable,$A195,13)="No",TRUE,FALSE),TRUE)</f>
        <v>1</v>
      </c>
      <c r="M195" s="1046" t="str">
        <f t="shared" ref="M195:M203" ca="1" si="86">IF(E195&lt;&gt;"",E195&amp;IF(HTML,"&lt;BR&gt;","")&amp;IF(M196&lt;&gt;"","
"&amp;M196,""),M196)</f>
        <v/>
      </c>
      <c r="N195" s="842" t="str">
        <f t="shared" ref="N195:N203" ca="1" si="87">IF(AND(P195,OR(O$12=INDEX(SpecialModsTable,$A195,7),INDEX(SpecialModsTable,$A195,7)=""),NOT(ISERROR(FIND(IF(NOT(ISERROR(FIND("(",$C195,1))),LEFT($C195,LEN($C195)-(LEN($C195)-FIND("(-",$C195,1)+2)),$C195),SpecialsImportList,1)))),$C195,"")</f>
        <v/>
      </c>
      <c r="O195" s="1498" t="str">
        <f t="shared" ref="O195:O203" ca="1" si="88">IF(N195&lt;&gt;"",IF(U195,N195&amp;"; ","")&amp;IF(T195&lt;&gt;"",T195&amp;" "&amp;INDEX(SpecialModsTable,$A195,12),PROPER(LEFT(INDEX(SpecialModsTable,$A195,12),1))&amp;RIGHT(INDEX(SpecialModsTable,$A195,12),LEN(INDEX(SpecialModsTable,$A195,12))-1)),"")</f>
        <v/>
      </c>
      <c r="P195" s="508" t="b">
        <f ca="1">IF($C195&lt;&gt;"",IF(INDEX(SpecialModsTable,$A195,6)&lt;&gt;"",IF(NOT(ISERROR(FIND(Weapons!O$76,INDEX(SpecialModsTable,$A195,6),1))),TRUE,FALSE),TRUE),FALSE)</f>
        <v>1</v>
      </c>
      <c r="Q195" s="508" t="str">
        <f t="shared" ref="Q195:Q203" ca="1" si="89">IF(N195&lt;&gt;"",IF(INDEX(SpecialModsTable,$A195,2)&lt;&gt;"",INDEX(SpecialModsTable,$A195,2),""),"")</f>
        <v/>
      </c>
      <c r="R195" s="20" t="str">
        <f t="shared" ref="R195:R203" ca="1" si="90">IF(N195&lt;&gt;"",IF(O$16&lt;&gt;"Two-Handed",IF(INDEX(SpecialModsTable,$A195,3)&lt;&gt;"",INDEX(SpecialModsTable,$A195,3),""),IF(INDEX(SpecialModsTable,$A195,4)&lt;&gt;"",INDEX(SpecialModsTable,$A195,4),IF(INDEX(SpecialModsTable,$A195,3)&lt;&gt;"",INDEX(SpecialModsTable,$A195,3),""))),"")</f>
        <v/>
      </c>
      <c r="S195" s="20" t="str">
        <f t="shared" ref="S195:S203" ca="1" si="91">IF(N195&lt;&gt;"",IF(INDEX(SpecialModsTable,$A195,5)&lt;&gt;"",INDEX(SpecialModsTable,$A195,5),""),"")</f>
        <v/>
      </c>
      <c r="T195" s="20" t="str">
        <f t="shared" ca="1" si="63"/>
        <v/>
      </c>
      <c r="U195" s="20" t="b">
        <f t="shared" ref="U195:U203" ca="1" si="92">IF(N195&lt;&gt;"",IF(INDEX(SpecialModsTable,$A195,14)&lt;&gt;"No",TRUE,FALSE),TRUE)</f>
        <v>1</v>
      </c>
      <c r="V195" s="20" t="b">
        <f t="shared" ref="V195:V203" ca="1" si="93">IF(N195&lt;&gt;"",IF(INDEX(SpecialModsTable,$A195,13)="No",TRUE,FALSE),TRUE)</f>
        <v>1</v>
      </c>
      <c r="W195" s="1046" t="str">
        <f t="shared" ref="W195:W203" ca="1" si="94">IF(O195&lt;&gt;"",O195&amp;IF(HTML,"&lt;BR&gt;","")&amp;IF(W196&lt;&gt;"","
"&amp;W196,""),W196)</f>
        <v/>
      </c>
      <c r="X195" s="842" t="str">
        <f t="shared" ref="X195:X203" ca="1" si="95">IF(AND(Z195,OR(Y$12=INDEX(SpecialModsTable,$A195,7),INDEX(SpecialModsTable,$A195,7)=""),NOT(ISERROR(FIND(IF(NOT(ISERROR(FIND("(",$C195,1))),LEFT($C195,LEN($C195)-(LEN($C195)-FIND("(-",$C195,1)+2)),$C195),SpecialsImportList,1)))),$C195,"")</f>
        <v/>
      </c>
      <c r="Y195" s="1498" t="str">
        <f t="shared" ref="Y195:Y203" ca="1" si="96">IF(X195&lt;&gt;"",IF(AE195,X195&amp;"; ","")&amp;IF(AD195&lt;&gt;"",AD195&amp;" "&amp;INDEX(SpecialModsTable,$A195,12),PROPER(LEFT(INDEX(SpecialModsTable,$A195,12),1))&amp;RIGHT(INDEX(SpecialModsTable,$A195,12),LEN(INDEX(SpecialModsTable,$A195,12))-1)),"")</f>
        <v/>
      </c>
      <c r="Z195" s="508" t="b">
        <f ca="1">IF($C195&lt;&gt;"",IF(INDEX(SpecialModsTable,$A195,6)&lt;&gt;"",IF(NOT(ISERROR(FIND(Weapons!Y$76,INDEX(SpecialModsTable,$A195,6),1))),TRUE,FALSE),TRUE),FALSE)</f>
        <v>1</v>
      </c>
      <c r="AA195" s="508" t="str">
        <f t="shared" ref="AA195:AA203" ca="1" si="97">IF(X195&lt;&gt;"",IF(INDEX(SpecialModsTable,$A195,2)&lt;&gt;"",INDEX(SpecialModsTable,$A195,2),""),"")</f>
        <v/>
      </c>
      <c r="AB195" s="20" t="str">
        <f t="shared" ref="AB195:AB203" ca="1" si="98">IF(X195&lt;&gt;"",IF(Y$16&lt;&gt;"Two-Handed",IF(INDEX(SpecialModsTable,$A195,3)&lt;&gt;"",INDEX(SpecialModsTable,$A195,3),""),IF(INDEX(SpecialModsTable,$A195,4)&lt;&gt;"",INDEX(SpecialModsTable,$A195,4),IF(INDEX(SpecialModsTable,$A195,3)&lt;&gt;"",INDEX(SpecialModsTable,$A195,3),""))),"")</f>
        <v/>
      </c>
      <c r="AC195" s="20" t="str">
        <f t="shared" ref="AC195:AC203" ca="1" si="99">IF(X195&lt;&gt;"",IF(INDEX(SpecialModsTable,$A195,5)&lt;&gt;"",INDEX(SpecialModsTable,$A195,5),""),"")</f>
        <v/>
      </c>
      <c r="AD195" s="20" t="str">
        <f t="shared" ca="1" si="64"/>
        <v/>
      </c>
      <c r="AE195" s="20" t="b">
        <f t="shared" ref="AE195:AE203" ca="1" si="100">IF(X195&lt;&gt;"",IF(INDEX(SpecialModsTable,$A195,14)&lt;&gt;"No",TRUE,FALSE),TRUE)</f>
        <v>1</v>
      </c>
      <c r="AF195" s="20" t="b">
        <f t="shared" ref="AF195:AF203" ca="1" si="101">IF(X195&lt;&gt;"",IF(INDEX(SpecialModsTable,$A195,13)="No",TRUE,FALSE),TRUE)</f>
        <v>1</v>
      </c>
      <c r="AG195" s="1046" t="str">
        <f t="shared" ref="AG195:AG203" ca="1" si="102">IF(Y195&lt;&gt;"",Y195&amp;IF(HTML,"&lt;BR&gt;","")&amp;IF(AG196&lt;&gt;"","
"&amp;AG196,""),AG196)</f>
        <v/>
      </c>
      <c r="AH195" s="842" t="str">
        <f t="shared" ref="AH195:AH203" ca="1" si="103">IF(AND(AJ195,OR(AI$12=INDEX(SpecialModsTable,$A195,7),INDEX(SpecialModsTable,$A195,7)=""),NOT(ISERROR(FIND(IF(NOT(ISERROR(FIND("(",$C195,1))),LEFT($C195,LEN($C195)-(LEN($C195)-FIND("(-",$C195,1)+2)),$C195),SpecialsImportList,1)))),$C195,"")</f>
        <v/>
      </c>
      <c r="AI195" s="1498" t="str">
        <f t="shared" ref="AI195:AI203" ca="1" si="104">IF(AH195&lt;&gt;"",IF(AO195,AH195&amp;"; ","")&amp;IF(AN195&lt;&gt;"",AN195&amp;" "&amp;INDEX(SpecialModsTable,$A195,12),PROPER(LEFT(INDEX(SpecialModsTable,$A195,12),1))&amp;RIGHT(INDEX(SpecialModsTable,$A195,12),LEN(INDEX(SpecialModsTable,$A195,12))-1)),"")</f>
        <v/>
      </c>
      <c r="AJ195" s="508" t="b">
        <f ca="1">IF($C195&lt;&gt;"",IF(INDEX(SpecialModsTable,$A195,6)&lt;&gt;"",IF(NOT(ISERROR(FIND(Weapons!AI$76,INDEX(SpecialModsTable,$A195,6),1))),TRUE,FALSE),TRUE),FALSE)</f>
        <v>1</v>
      </c>
      <c r="AK195" s="508" t="str">
        <f t="shared" ref="AK195:AK203" ca="1" si="105">IF(AH195&lt;&gt;"",IF(INDEX(SpecialModsTable,$A195,2)&lt;&gt;"",INDEX(SpecialModsTable,$A195,2),""),"")</f>
        <v/>
      </c>
      <c r="AL195" s="20" t="str">
        <f t="shared" ref="AL195:AL203" ca="1" si="106">IF(AH195&lt;&gt;"",IF(AI$16&lt;&gt;"Two-Handed",IF(INDEX(SpecialModsTable,$A195,3)&lt;&gt;"",INDEX(SpecialModsTable,$A195,3),""),IF(INDEX(SpecialModsTable,$A195,4)&lt;&gt;"",INDEX(SpecialModsTable,$A195,4),IF(INDEX(SpecialModsTable,$A195,3)&lt;&gt;"",INDEX(SpecialModsTable,$A195,3),""))),"")</f>
        <v/>
      </c>
      <c r="AM195" s="20" t="str">
        <f t="shared" ref="AM195:AM203" ca="1" si="107">IF(AH195&lt;&gt;"",IF(INDEX(SpecialModsTable,$A195,5)&lt;&gt;"",INDEX(SpecialModsTable,$A195,5),""),"")</f>
        <v/>
      </c>
      <c r="AN195" s="20" t="str">
        <f t="shared" ca="1" si="65"/>
        <v/>
      </c>
      <c r="AO195" s="20" t="b">
        <f t="shared" ref="AO195:AO203" ca="1" si="108">IF(AH195&lt;&gt;"",IF(INDEX(SpecialModsTable,$A195,14)&lt;&gt;"No",TRUE,FALSE),TRUE)</f>
        <v>1</v>
      </c>
      <c r="AP195" s="20" t="b">
        <f t="shared" ref="AP195:AP203" ca="1" si="109">IF(AH195&lt;&gt;"",IF(INDEX(SpecialModsTable,$A195,13)="No",TRUE,FALSE),TRUE)</f>
        <v>1</v>
      </c>
      <c r="AQ195" s="1046" t="str">
        <f t="shared" ref="AQ195:AQ203" ca="1" si="110">IF(AI195&lt;&gt;"",AI195&amp;IF(HTML,"&lt;BR&gt;","")&amp;IF(AQ196&lt;&gt;"","
"&amp;AQ196,""),AQ196)</f>
        <v/>
      </c>
      <c r="AR195" s="842" t="str">
        <f t="shared" ref="AR195:AR203" ca="1" si="111">IF(AND(AT195,OR(AS$12=INDEX(SpecialModsTable,$A195,7),INDEX(SpecialModsTable,$A195,7)=""),NOT(ISERROR(FIND(IF(NOT(ISERROR(FIND("(",$C195,1))),LEFT($C195,LEN($C195)-(LEN($C195)-FIND("(-",$C195,1)+2)),$C195),SpecialsImportList,1)))),$C195,"")</f>
        <v/>
      </c>
      <c r="AS195" s="1498" t="str">
        <f t="shared" ref="AS195:AS203" ca="1" si="112">IF(AR195&lt;&gt;"",IF(AY195,AR195&amp;"; ","")&amp;IF(AX195&lt;&gt;"",AX195&amp;" "&amp;INDEX(SpecialModsTable,$A195,12),PROPER(LEFT(INDEX(SpecialModsTable,$A195,12),1))&amp;RIGHT(INDEX(SpecialModsTable,$A195,12),LEN(INDEX(SpecialModsTable,$A195,12))-1)),"")</f>
        <v/>
      </c>
      <c r="AT195" s="508" t="b">
        <f ca="1">IF($C195&lt;&gt;"",IF(INDEX(SpecialModsTable,$A195,6)&lt;&gt;"",IF(NOT(ISERROR(FIND(Weapons!AS$76,INDEX(SpecialModsTable,$A195,6),1))),TRUE,FALSE),TRUE),FALSE)</f>
        <v>1</v>
      </c>
      <c r="AU195" s="508" t="str">
        <f t="shared" ref="AU195:AU203" ca="1" si="113">IF(AR195&lt;&gt;"",IF(INDEX(SpecialModsTable,$A195,2)&lt;&gt;"",INDEX(SpecialModsTable,$A195,2),""),"")</f>
        <v/>
      </c>
      <c r="AV195" s="20" t="str">
        <f t="shared" ref="AV195:AV203" ca="1" si="114">IF(AR195&lt;&gt;"",IF(AS$16&lt;&gt;"Two-Handed",IF(INDEX(SpecialModsTable,$A195,3)&lt;&gt;"",INDEX(SpecialModsTable,$A195,3),""),IF(INDEX(SpecialModsTable,$A195,4)&lt;&gt;"",INDEX(SpecialModsTable,$A195,4),IF(INDEX(SpecialModsTable,$A195,3)&lt;&gt;"",INDEX(SpecialModsTable,$A195,3),""))),"")</f>
        <v/>
      </c>
      <c r="AW195" s="20" t="str">
        <f t="shared" ref="AW195:AW203" ca="1" si="115">IF(AR195&lt;&gt;"",IF(INDEX(SpecialModsTable,$A195,5)&lt;&gt;"",INDEX(SpecialModsTable,$A195,5),""),"")</f>
        <v/>
      </c>
      <c r="AX195" s="20" t="str">
        <f t="shared" ca="1" si="66"/>
        <v/>
      </c>
      <c r="AY195" s="20" t="b">
        <f t="shared" ref="AY195:AY203" ca="1" si="116">IF(AR195&lt;&gt;"",IF(INDEX(SpecialModsTable,$A195,14)&lt;&gt;"No",TRUE,FALSE),TRUE)</f>
        <v>1</v>
      </c>
      <c r="AZ195" s="20" t="b">
        <f t="shared" ref="AZ195:AZ203" ca="1" si="117">IF(AR195&lt;&gt;"",IF(INDEX(SpecialModsTable,$A195,13)="No",TRUE,FALSE),TRUE)</f>
        <v>1</v>
      </c>
      <c r="BA195" s="1046" t="str">
        <f t="shared" ref="BA195:BA203" ca="1" si="118">IF(AS195&lt;&gt;"",AS195&amp;IF(HTML,"&lt;BR&gt;","")&amp;IF(BA196&lt;&gt;"","
"&amp;BA196,""),BA196)</f>
        <v/>
      </c>
      <c r="BB195" s="842" t="str">
        <f t="shared" ref="BB195:BB203" ca="1" si="119">IF(AND(BD195,OR(BC$12=INDEX(SpecialModsTable,$A195,7),INDEX(SpecialModsTable,$A195,7)=""),NOT(ISERROR(FIND(IF(NOT(ISERROR(FIND("(",$C195,1))),LEFT($C195,LEN($C195)-(LEN($C195)-FIND("(-",$C195,1)+2)),$C195),SpecialsImportList,1)))),$C195,"")</f>
        <v/>
      </c>
      <c r="BC195" s="1498" t="str">
        <f t="shared" ref="BC195:BC203" ca="1" si="120">IF(BB195&lt;&gt;"",IF(BI195,BB195&amp;"; ","")&amp;IF(BH195&lt;&gt;"",BH195&amp;" "&amp;INDEX(SpecialModsTable,$A195,12),PROPER(LEFT(INDEX(SpecialModsTable,$A195,12),1))&amp;RIGHT(INDEX(SpecialModsTable,$A195,12),LEN(INDEX(SpecialModsTable,$A195,12))-1)),"")</f>
        <v/>
      </c>
      <c r="BD195" s="508" t="b">
        <f ca="1">IF($C195&lt;&gt;"",IF(INDEX(SpecialModsTable,$A195,6)&lt;&gt;"",IF(NOT(ISERROR(FIND(Weapons!BC$76,INDEX(SpecialModsTable,$A195,6),1))),TRUE,FALSE),TRUE),FALSE)</f>
        <v>1</v>
      </c>
      <c r="BE195" s="508" t="str">
        <f t="shared" ref="BE195:BE203" ca="1" si="121">IF(BB195&lt;&gt;"",IF(INDEX(SpecialModsTable,$A195,2)&lt;&gt;"",INDEX(SpecialModsTable,$A195,2),""),"")</f>
        <v/>
      </c>
      <c r="BF195" s="20" t="str">
        <f t="shared" ref="BF195:BF203" ca="1" si="122">IF(BB195&lt;&gt;"",IF(BC$16&lt;&gt;"Two-Handed",IF(INDEX(SpecialModsTable,$A195,3)&lt;&gt;"",INDEX(SpecialModsTable,$A195,3),""),IF(INDEX(SpecialModsTable,$A195,4)&lt;&gt;"",INDEX(SpecialModsTable,$A195,4),IF(INDEX(SpecialModsTable,$A195,3)&lt;&gt;"",INDEX(SpecialModsTable,$A195,3),""))),"")</f>
        <v/>
      </c>
      <c r="BG195" s="20" t="str">
        <f t="shared" ref="BG195:BG203" ca="1" si="123">IF(BB195&lt;&gt;"",IF(INDEX(SpecialModsTable,$A195,5)&lt;&gt;"",INDEX(SpecialModsTable,$A195,5),""),"")</f>
        <v/>
      </c>
      <c r="BH195" s="20" t="str">
        <f t="shared" ca="1" si="67"/>
        <v/>
      </c>
      <c r="BI195" s="20" t="b">
        <f t="shared" ref="BI195:BI203" ca="1" si="124">IF(BB195&lt;&gt;"",IF(INDEX(SpecialModsTable,$A195,14)&lt;&gt;"No",TRUE,FALSE),TRUE)</f>
        <v>1</v>
      </c>
      <c r="BJ195" s="20" t="b">
        <f t="shared" ref="BJ195:BJ203" ca="1" si="125">IF(BB195&lt;&gt;"",IF(INDEX(SpecialModsTable,$A195,13)="No",TRUE,FALSE),TRUE)</f>
        <v>1</v>
      </c>
      <c r="BK195" s="1046" t="str">
        <f t="shared" ref="BK195:BK203" ca="1" si="126">IF(BC195&lt;&gt;"",BC195&amp;IF(HTML,"&lt;BR&gt;","")&amp;IF(BK196&lt;&gt;"","
"&amp;BK196,""),BK196)</f>
        <v/>
      </c>
    </row>
    <row r="196" spans="1:63" hidden="1">
      <c r="A196" s="1477">
        <f t="shared" si="61"/>
        <v>66</v>
      </c>
      <c r="B196" s="1477"/>
      <c r="C196" s="1477" t="str">
        <f t="shared" ca="1" si="78"/>
        <v>Sniper Shot</v>
      </c>
      <c r="D196" s="842" t="str">
        <f t="shared" ca="1" si="79"/>
        <v/>
      </c>
      <c r="E196" s="1498" t="str">
        <f t="shared" ca="1" si="80"/>
        <v/>
      </c>
      <c r="F196" s="508" t="b">
        <f ca="1">IF($C196&lt;&gt;"",IF(INDEX(SpecialModsTable,$A196,6)&lt;&gt;"",IF(NOT(ISERROR(FIND(Weapons!E$76,INDEX(SpecialModsTable,$A196,6),1))),TRUE,FALSE),TRUE),FALSE)</f>
        <v>1</v>
      </c>
      <c r="G196" s="508" t="str">
        <f t="shared" ca="1" si="81"/>
        <v/>
      </c>
      <c r="H196" s="20" t="str">
        <f t="shared" ca="1" si="82"/>
        <v/>
      </c>
      <c r="I196" s="20" t="str">
        <f t="shared" ca="1" si="83"/>
        <v/>
      </c>
      <c r="J196" s="20" t="str">
        <f t="shared" ca="1" si="68"/>
        <v/>
      </c>
      <c r="K196" s="20" t="b">
        <f t="shared" ca="1" si="84"/>
        <v>1</v>
      </c>
      <c r="L196" s="20" t="b">
        <f t="shared" ca="1" si="85"/>
        <v>1</v>
      </c>
      <c r="M196" s="1046" t="str">
        <f t="shared" ca="1" si="86"/>
        <v/>
      </c>
      <c r="N196" s="842" t="str">
        <f t="shared" ca="1" si="87"/>
        <v/>
      </c>
      <c r="O196" s="1498" t="str">
        <f t="shared" ca="1" si="88"/>
        <v/>
      </c>
      <c r="P196" s="508" t="b">
        <f ca="1">IF($C196&lt;&gt;"",IF(INDEX(SpecialModsTable,$A196,6)&lt;&gt;"",IF(NOT(ISERROR(FIND(Weapons!O$76,INDEX(SpecialModsTable,$A196,6),1))),TRUE,FALSE),TRUE),FALSE)</f>
        <v>1</v>
      </c>
      <c r="Q196" s="508" t="str">
        <f t="shared" ca="1" si="89"/>
        <v/>
      </c>
      <c r="R196" s="20" t="str">
        <f t="shared" ca="1" si="90"/>
        <v/>
      </c>
      <c r="S196" s="20" t="str">
        <f t="shared" ca="1" si="91"/>
        <v/>
      </c>
      <c r="T196" s="20" t="str">
        <f t="shared" ca="1" si="63"/>
        <v/>
      </c>
      <c r="U196" s="20" t="b">
        <f t="shared" ca="1" si="92"/>
        <v>1</v>
      </c>
      <c r="V196" s="20" t="b">
        <f t="shared" ca="1" si="93"/>
        <v>1</v>
      </c>
      <c r="W196" s="1046" t="str">
        <f t="shared" ca="1" si="94"/>
        <v/>
      </c>
      <c r="X196" s="842" t="str">
        <f t="shared" ca="1" si="95"/>
        <v/>
      </c>
      <c r="Y196" s="1498" t="str">
        <f t="shared" ca="1" si="96"/>
        <v/>
      </c>
      <c r="Z196" s="508" t="b">
        <f ca="1">IF($C196&lt;&gt;"",IF(INDEX(SpecialModsTable,$A196,6)&lt;&gt;"",IF(NOT(ISERROR(FIND(Weapons!Y$76,INDEX(SpecialModsTable,$A196,6),1))),TRUE,FALSE),TRUE),FALSE)</f>
        <v>1</v>
      </c>
      <c r="AA196" s="508" t="str">
        <f t="shared" ca="1" si="97"/>
        <v/>
      </c>
      <c r="AB196" s="20" t="str">
        <f t="shared" ca="1" si="98"/>
        <v/>
      </c>
      <c r="AC196" s="20" t="str">
        <f t="shared" ca="1" si="99"/>
        <v/>
      </c>
      <c r="AD196" s="20" t="str">
        <f t="shared" ca="1" si="64"/>
        <v/>
      </c>
      <c r="AE196" s="20" t="b">
        <f t="shared" ca="1" si="100"/>
        <v>1</v>
      </c>
      <c r="AF196" s="20" t="b">
        <f t="shared" ca="1" si="101"/>
        <v>1</v>
      </c>
      <c r="AG196" s="1046" t="str">
        <f t="shared" ca="1" si="102"/>
        <v/>
      </c>
      <c r="AH196" s="842" t="str">
        <f t="shared" ca="1" si="103"/>
        <v/>
      </c>
      <c r="AI196" s="1498" t="str">
        <f t="shared" ca="1" si="104"/>
        <v/>
      </c>
      <c r="AJ196" s="508" t="b">
        <f ca="1">IF($C196&lt;&gt;"",IF(INDEX(SpecialModsTable,$A196,6)&lt;&gt;"",IF(NOT(ISERROR(FIND(Weapons!AI$76,INDEX(SpecialModsTable,$A196,6),1))),TRUE,FALSE),TRUE),FALSE)</f>
        <v>1</v>
      </c>
      <c r="AK196" s="508" t="str">
        <f t="shared" ca="1" si="105"/>
        <v/>
      </c>
      <c r="AL196" s="20" t="str">
        <f t="shared" ca="1" si="106"/>
        <v/>
      </c>
      <c r="AM196" s="20" t="str">
        <f t="shared" ca="1" si="107"/>
        <v/>
      </c>
      <c r="AN196" s="20" t="str">
        <f t="shared" ca="1" si="65"/>
        <v/>
      </c>
      <c r="AO196" s="20" t="b">
        <f t="shared" ca="1" si="108"/>
        <v>1</v>
      </c>
      <c r="AP196" s="20" t="b">
        <f t="shared" ca="1" si="109"/>
        <v>1</v>
      </c>
      <c r="AQ196" s="1046" t="str">
        <f t="shared" ca="1" si="110"/>
        <v/>
      </c>
      <c r="AR196" s="842" t="str">
        <f t="shared" ca="1" si="111"/>
        <v/>
      </c>
      <c r="AS196" s="1498" t="str">
        <f t="shared" ca="1" si="112"/>
        <v/>
      </c>
      <c r="AT196" s="508" t="b">
        <f ca="1">IF($C196&lt;&gt;"",IF(INDEX(SpecialModsTable,$A196,6)&lt;&gt;"",IF(NOT(ISERROR(FIND(Weapons!AS$76,INDEX(SpecialModsTable,$A196,6),1))),TRUE,FALSE),TRUE),FALSE)</f>
        <v>1</v>
      </c>
      <c r="AU196" s="508" t="str">
        <f t="shared" ca="1" si="113"/>
        <v/>
      </c>
      <c r="AV196" s="20" t="str">
        <f t="shared" ca="1" si="114"/>
        <v/>
      </c>
      <c r="AW196" s="20" t="str">
        <f t="shared" ca="1" si="115"/>
        <v/>
      </c>
      <c r="AX196" s="20" t="str">
        <f t="shared" ca="1" si="66"/>
        <v/>
      </c>
      <c r="AY196" s="20" t="b">
        <f t="shared" ca="1" si="116"/>
        <v>1</v>
      </c>
      <c r="AZ196" s="20" t="b">
        <f t="shared" ca="1" si="117"/>
        <v>1</v>
      </c>
      <c r="BA196" s="1046" t="str">
        <f t="shared" ca="1" si="118"/>
        <v/>
      </c>
      <c r="BB196" s="842" t="str">
        <f t="shared" ca="1" si="119"/>
        <v/>
      </c>
      <c r="BC196" s="1498" t="str">
        <f t="shared" ca="1" si="120"/>
        <v/>
      </c>
      <c r="BD196" s="508" t="b">
        <f ca="1">IF($C196&lt;&gt;"",IF(INDEX(SpecialModsTable,$A196,6)&lt;&gt;"",IF(NOT(ISERROR(FIND(Weapons!BC$76,INDEX(SpecialModsTable,$A196,6),1))),TRUE,FALSE),TRUE),FALSE)</f>
        <v>1</v>
      </c>
      <c r="BE196" s="508" t="str">
        <f t="shared" ca="1" si="121"/>
        <v/>
      </c>
      <c r="BF196" s="20" t="str">
        <f t="shared" ca="1" si="122"/>
        <v/>
      </c>
      <c r="BG196" s="20" t="str">
        <f t="shared" ca="1" si="123"/>
        <v/>
      </c>
      <c r="BH196" s="20" t="str">
        <f t="shared" ca="1" si="67"/>
        <v/>
      </c>
      <c r="BI196" s="20" t="b">
        <f t="shared" ca="1" si="124"/>
        <v>1</v>
      </c>
      <c r="BJ196" s="20" t="b">
        <f t="shared" ca="1" si="125"/>
        <v>1</v>
      </c>
      <c r="BK196" s="1046" t="str">
        <f t="shared" ca="1" si="126"/>
        <v/>
      </c>
    </row>
    <row r="197" spans="1:63" hidden="1">
      <c r="A197" s="1477">
        <f t="shared" si="61"/>
        <v>67</v>
      </c>
      <c r="B197" s="1477"/>
      <c r="C197" s="1477" t="str">
        <f t="shared" ca="1" si="78"/>
        <v>Zero Range</v>
      </c>
      <c r="D197" s="842" t="str">
        <f t="shared" ca="1" si="79"/>
        <v/>
      </c>
      <c r="E197" s="1498" t="str">
        <f t="shared" ca="1" si="80"/>
        <v/>
      </c>
      <c r="F197" s="508" t="b">
        <f ca="1">IF($C197&lt;&gt;"",IF(INDEX(SpecialModsTable,$A197,6)&lt;&gt;"",IF(NOT(ISERROR(FIND(Weapons!E$76,INDEX(SpecialModsTable,$A197,6),1))),TRUE,FALSE),TRUE),FALSE)</f>
        <v>1</v>
      </c>
      <c r="G197" s="508" t="str">
        <f t="shared" ca="1" si="81"/>
        <v/>
      </c>
      <c r="H197" s="20" t="str">
        <f t="shared" ca="1" si="82"/>
        <v/>
      </c>
      <c r="I197" s="20" t="str">
        <f t="shared" ca="1" si="83"/>
        <v/>
      </c>
      <c r="J197" s="20" t="str">
        <f t="shared" ca="1" si="68"/>
        <v/>
      </c>
      <c r="K197" s="20" t="b">
        <f t="shared" ca="1" si="84"/>
        <v>1</v>
      </c>
      <c r="L197" s="20" t="b">
        <f t="shared" ca="1" si="85"/>
        <v>1</v>
      </c>
      <c r="M197" s="1046" t="str">
        <f t="shared" ca="1" si="86"/>
        <v/>
      </c>
      <c r="N197" s="842" t="str">
        <f t="shared" ca="1" si="87"/>
        <v/>
      </c>
      <c r="O197" s="1498" t="str">
        <f t="shared" ca="1" si="88"/>
        <v/>
      </c>
      <c r="P197" s="508" t="b">
        <f ca="1">IF($C197&lt;&gt;"",IF(INDEX(SpecialModsTable,$A197,6)&lt;&gt;"",IF(NOT(ISERROR(FIND(Weapons!O$76,INDEX(SpecialModsTable,$A197,6),1))),TRUE,FALSE),TRUE),FALSE)</f>
        <v>1</v>
      </c>
      <c r="Q197" s="508" t="str">
        <f t="shared" ca="1" si="89"/>
        <v/>
      </c>
      <c r="R197" s="20" t="str">
        <f t="shared" ca="1" si="90"/>
        <v/>
      </c>
      <c r="S197" s="20" t="str">
        <f t="shared" ca="1" si="91"/>
        <v/>
      </c>
      <c r="T197" s="20" t="str">
        <f t="shared" ca="1" si="63"/>
        <v/>
      </c>
      <c r="U197" s="20" t="b">
        <f t="shared" ca="1" si="92"/>
        <v>1</v>
      </c>
      <c r="V197" s="20" t="b">
        <f t="shared" ca="1" si="93"/>
        <v>1</v>
      </c>
      <c r="W197" s="1046" t="str">
        <f t="shared" ca="1" si="94"/>
        <v/>
      </c>
      <c r="X197" s="842" t="str">
        <f t="shared" ca="1" si="95"/>
        <v/>
      </c>
      <c r="Y197" s="1498" t="str">
        <f t="shared" ca="1" si="96"/>
        <v/>
      </c>
      <c r="Z197" s="508" t="b">
        <f ca="1">IF($C197&lt;&gt;"",IF(INDEX(SpecialModsTable,$A197,6)&lt;&gt;"",IF(NOT(ISERROR(FIND(Weapons!Y$76,INDEX(SpecialModsTable,$A197,6),1))),TRUE,FALSE),TRUE),FALSE)</f>
        <v>1</v>
      </c>
      <c r="AA197" s="508" t="str">
        <f t="shared" ca="1" si="97"/>
        <v/>
      </c>
      <c r="AB197" s="20" t="str">
        <f t="shared" ca="1" si="98"/>
        <v/>
      </c>
      <c r="AC197" s="20" t="str">
        <f t="shared" ca="1" si="99"/>
        <v/>
      </c>
      <c r="AD197" s="20" t="str">
        <f t="shared" ca="1" si="64"/>
        <v/>
      </c>
      <c r="AE197" s="20" t="b">
        <f t="shared" ca="1" si="100"/>
        <v>1</v>
      </c>
      <c r="AF197" s="20" t="b">
        <f t="shared" ca="1" si="101"/>
        <v>1</v>
      </c>
      <c r="AG197" s="1046" t="str">
        <f t="shared" ca="1" si="102"/>
        <v/>
      </c>
      <c r="AH197" s="842" t="str">
        <f t="shared" ca="1" si="103"/>
        <v/>
      </c>
      <c r="AI197" s="1498" t="str">
        <f t="shared" ca="1" si="104"/>
        <v/>
      </c>
      <c r="AJ197" s="508" t="b">
        <f ca="1">IF($C197&lt;&gt;"",IF(INDEX(SpecialModsTable,$A197,6)&lt;&gt;"",IF(NOT(ISERROR(FIND(Weapons!AI$76,INDEX(SpecialModsTable,$A197,6),1))),TRUE,FALSE),TRUE),FALSE)</f>
        <v>1</v>
      </c>
      <c r="AK197" s="508" t="str">
        <f t="shared" ca="1" si="105"/>
        <v/>
      </c>
      <c r="AL197" s="20" t="str">
        <f t="shared" ca="1" si="106"/>
        <v/>
      </c>
      <c r="AM197" s="20" t="str">
        <f t="shared" ca="1" si="107"/>
        <v/>
      </c>
      <c r="AN197" s="20" t="str">
        <f t="shared" ca="1" si="65"/>
        <v/>
      </c>
      <c r="AO197" s="20" t="b">
        <f t="shared" ca="1" si="108"/>
        <v>1</v>
      </c>
      <c r="AP197" s="20" t="b">
        <f t="shared" ca="1" si="109"/>
        <v>1</v>
      </c>
      <c r="AQ197" s="1046" t="str">
        <f t="shared" ca="1" si="110"/>
        <v/>
      </c>
      <c r="AR197" s="842" t="str">
        <f t="shared" ca="1" si="111"/>
        <v/>
      </c>
      <c r="AS197" s="1498" t="str">
        <f t="shared" ca="1" si="112"/>
        <v/>
      </c>
      <c r="AT197" s="508" t="b">
        <f ca="1">IF($C197&lt;&gt;"",IF(INDEX(SpecialModsTable,$A197,6)&lt;&gt;"",IF(NOT(ISERROR(FIND(Weapons!AS$76,INDEX(SpecialModsTable,$A197,6),1))),TRUE,FALSE),TRUE),FALSE)</f>
        <v>1</v>
      </c>
      <c r="AU197" s="508" t="str">
        <f t="shared" ca="1" si="113"/>
        <v/>
      </c>
      <c r="AV197" s="20" t="str">
        <f t="shared" ca="1" si="114"/>
        <v/>
      </c>
      <c r="AW197" s="20" t="str">
        <f t="shared" ca="1" si="115"/>
        <v/>
      </c>
      <c r="AX197" s="20" t="str">
        <f t="shared" ca="1" si="66"/>
        <v/>
      </c>
      <c r="AY197" s="20" t="b">
        <f t="shared" ca="1" si="116"/>
        <v>1</v>
      </c>
      <c r="AZ197" s="20" t="b">
        <f t="shared" ca="1" si="117"/>
        <v>1</v>
      </c>
      <c r="BA197" s="1046" t="str">
        <f t="shared" ca="1" si="118"/>
        <v/>
      </c>
      <c r="BB197" s="842" t="str">
        <f t="shared" ca="1" si="119"/>
        <v/>
      </c>
      <c r="BC197" s="1498" t="str">
        <f t="shared" ca="1" si="120"/>
        <v/>
      </c>
      <c r="BD197" s="508" t="b">
        <f ca="1">IF($C197&lt;&gt;"",IF(INDEX(SpecialModsTable,$A197,6)&lt;&gt;"",IF(NOT(ISERROR(FIND(Weapons!BC$76,INDEX(SpecialModsTable,$A197,6),1))),TRUE,FALSE),TRUE),FALSE)</f>
        <v>1</v>
      </c>
      <c r="BE197" s="508" t="str">
        <f t="shared" ca="1" si="121"/>
        <v/>
      </c>
      <c r="BF197" s="20" t="str">
        <f t="shared" ca="1" si="122"/>
        <v/>
      </c>
      <c r="BG197" s="20" t="str">
        <f t="shared" ca="1" si="123"/>
        <v/>
      </c>
      <c r="BH197" s="20" t="str">
        <f t="shared" ca="1" si="67"/>
        <v/>
      </c>
      <c r="BI197" s="20" t="b">
        <f t="shared" ca="1" si="124"/>
        <v>1</v>
      </c>
      <c r="BJ197" s="20" t="b">
        <f t="shared" ca="1" si="125"/>
        <v>1</v>
      </c>
      <c r="BK197" s="1046" t="str">
        <f t="shared" ca="1" si="126"/>
        <v/>
      </c>
    </row>
    <row r="198" spans="1:63" hidden="1">
      <c r="A198" s="1477">
        <f t="shared" ref="A198:A203" si="127">A197+1</f>
        <v>68</v>
      </c>
      <c r="B198" s="1477"/>
      <c r="C198" s="1477" t="str">
        <f t="shared" ca="1" si="78"/>
        <v>Acrobatic Strike</v>
      </c>
      <c r="D198" s="842" t="str">
        <f t="shared" ca="1" si="79"/>
        <v/>
      </c>
      <c r="E198" s="1498" t="str">
        <f t="shared" ca="1" si="80"/>
        <v/>
      </c>
      <c r="F198" s="508" t="b">
        <f ca="1">IF($C198&lt;&gt;"",IF(INDEX(SpecialModsTable,$A198,6)&lt;&gt;"",IF(NOT(ISERROR(FIND(Weapons!E$76,INDEX(SpecialModsTable,$A198,6),1))),TRUE,FALSE),TRUE),FALSE)</f>
        <v>1</v>
      </c>
      <c r="G198" s="508" t="str">
        <f t="shared" ca="1" si="81"/>
        <v/>
      </c>
      <c r="H198" s="20" t="str">
        <f t="shared" ca="1" si="82"/>
        <v/>
      </c>
      <c r="I198" s="20" t="str">
        <f t="shared" ca="1" si="83"/>
        <v/>
      </c>
      <c r="J198" s="20" t="str">
        <f t="shared" ca="1" si="68"/>
        <v/>
      </c>
      <c r="K198" s="20" t="b">
        <f t="shared" ca="1" si="84"/>
        <v>1</v>
      </c>
      <c r="L198" s="20" t="b">
        <f t="shared" ca="1" si="85"/>
        <v>1</v>
      </c>
      <c r="M198" s="1046" t="str">
        <f t="shared" ca="1" si="86"/>
        <v/>
      </c>
      <c r="N198" s="842" t="str">
        <f t="shared" ca="1" si="87"/>
        <v/>
      </c>
      <c r="O198" s="1498" t="str">
        <f t="shared" ca="1" si="88"/>
        <v/>
      </c>
      <c r="P198" s="508" t="b">
        <f ca="1">IF($C198&lt;&gt;"",IF(INDEX(SpecialModsTable,$A198,6)&lt;&gt;"",IF(NOT(ISERROR(FIND(Weapons!O$76,INDEX(SpecialModsTable,$A198,6),1))),TRUE,FALSE),TRUE),FALSE)</f>
        <v>1</v>
      </c>
      <c r="Q198" s="508" t="str">
        <f t="shared" ca="1" si="89"/>
        <v/>
      </c>
      <c r="R198" s="20" t="str">
        <f t="shared" ca="1" si="90"/>
        <v/>
      </c>
      <c r="S198" s="20" t="str">
        <f t="shared" ca="1" si="91"/>
        <v/>
      </c>
      <c r="T198" s="20" t="str">
        <f t="shared" ca="1" si="63"/>
        <v/>
      </c>
      <c r="U198" s="20" t="b">
        <f t="shared" ca="1" si="92"/>
        <v>1</v>
      </c>
      <c r="V198" s="20" t="b">
        <f t="shared" ca="1" si="93"/>
        <v>1</v>
      </c>
      <c r="W198" s="1046" t="str">
        <f t="shared" ca="1" si="94"/>
        <v/>
      </c>
      <c r="X198" s="842" t="str">
        <f t="shared" ca="1" si="95"/>
        <v/>
      </c>
      <c r="Y198" s="1498" t="str">
        <f t="shared" ca="1" si="96"/>
        <v/>
      </c>
      <c r="Z198" s="508" t="b">
        <f ca="1">IF($C198&lt;&gt;"",IF(INDEX(SpecialModsTable,$A198,6)&lt;&gt;"",IF(NOT(ISERROR(FIND(Weapons!Y$76,INDEX(SpecialModsTable,$A198,6),1))),TRUE,FALSE),TRUE),FALSE)</f>
        <v>1</v>
      </c>
      <c r="AA198" s="508" t="str">
        <f t="shared" ca="1" si="97"/>
        <v/>
      </c>
      <c r="AB198" s="20" t="str">
        <f t="shared" ca="1" si="98"/>
        <v/>
      </c>
      <c r="AC198" s="20" t="str">
        <f t="shared" ca="1" si="99"/>
        <v/>
      </c>
      <c r="AD198" s="20" t="str">
        <f t="shared" ca="1" si="64"/>
        <v/>
      </c>
      <c r="AE198" s="20" t="b">
        <f t="shared" ca="1" si="100"/>
        <v>1</v>
      </c>
      <c r="AF198" s="20" t="b">
        <f t="shared" ca="1" si="101"/>
        <v>1</v>
      </c>
      <c r="AG198" s="1046" t="str">
        <f t="shared" ca="1" si="102"/>
        <v/>
      </c>
      <c r="AH198" s="842" t="str">
        <f t="shared" ca="1" si="103"/>
        <v/>
      </c>
      <c r="AI198" s="1498" t="str">
        <f t="shared" ca="1" si="104"/>
        <v/>
      </c>
      <c r="AJ198" s="508" t="b">
        <f ca="1">IF($C198&lt;&gt;"",IF(INDEX(SpecialModsTable,$A198,6)&lt;&gt;"",IF(NOT(ISERROR(FIND(Weapons!AI$76,INDEX(SpecialModsTable,$A198,6),1))),TRUE,FALSE),TRUE),FALSE)</f>
        <v>1</v>
      </c>
      <c r="AK198" s="508" t="str">
        <f t="shared" ca="1" si="105"/>
        <v/>
      </c>
      <c r="AL198" s="20" t="str">
        <f t="shared" ca="1" si="106"/>
        <v/>
      </c>
      <c r="AM198" s="20" t="str">
        <f t="shared" ca="1" si="107"/>
        <v/>
      </c>
      <c r="AN198" s="20" t="str">
        <f t="shared" ca="1" si="65"/>
        <v/>
      </c>
      <c r="AO198" s="20" t="b">
        <f t="shared" ca="1" si="108"/>
        <v>1</v>
      </c>
      <c r="AP198" s="20" t="b">
        <f t="shared" ca="1" si="109"/>
        <v>1</v>
      </c>
      <c r="AQ198" s="1046" t="str">
        <f t="shared" ca="1" si="110"/>
        <v/>
      </c>
      <c r="AR198" s="842" t="str">
        <f t="shared" ca="1" si="111"/>
        <v/>
      </c>
      <c r="AS198" s="1498" t="str">
        <f t="shared" ca="1" si="112"/>
        <v/>
      </c>
      <c r="AT198" s="508" t="b">
        <f ca="1">IF($C198&lt;&gt;"",IF(INDEX(SpecialModsTable,$A198,6)&lt;&gt;"",IF(NOT(ISERROR(FIND(Weapons!AS$76,INDEX(SpecialModsTable,$A198,6),1))),TRUE,FALSE),TRUE),FALSE)</f>
        <v>1</v>
      </c>
      <c r="AU198" s="508" t="str">
        <f t="shared" ca="1" si="113"/>
        <v/>
      </c>
      <c r="AV198" s="20" t="str">
        <f t="shared" ca="1" si="114"/>
        <v/>
      </c>
      <c r="AW198" s="20" t="str">
        <f t="shared" ca="1" si="115"/>
        <v/>
      </c>
      <c r="AX198" s="20" t="str">
        <f t="shared" ca="1" si="66"/>
        <v/>
      </c>
      <c r="AY198" s="20" t="b">
        <f t="shared" ca="1" si="116"/>
        <v>1</v>
      </c>
      <c r="AZ198" s="20" t="b">
        <f t="shared" ca="1" si="117"/>
        <v>1</v>
      </c>
      <c r="BA198" s="1046" t="str">
        <f t="shared" ca="1" si="118"/>
        <v/>
      </c>
      <c r="BB198" s="842" t="str">
        <f t="shared" ca="1" si="119"/>
        <v/>
      </c>
      <c r="BC198" s="1498" t="str">
        <f t="shared" ca="1" si="120"/>
        <v/>
      </c>
      <c r="BD198" s="508" t="b">
        <f ca="1">IF($C198&lt;&gt;"",IF(INDEX(SpecialModsTable,$A198,6)&lt;&gt;"",IF(NOT(ISERROR(FIND(Weapons!BC$76,INDEX(SpecialModsTable,$A198,6),1))),TRUE,FALSE),TRUE),FALSE)</f>
        <v>1</v>
      </c>
      <c r="BE198" s="508" t="str">
        <f t="shared" ca="1" si="121"/>
        <v/>
      </c>
      <c r="BF198" s="20" t="str">
        <f t="shared" ca="1" si="122"/>
        <v/>
      </c>
      <c r="BG198" s="20" t="str">
        <f t="shared" ca="1" si="123"/>
        <v/>
      </c>
      <c r="BH198" s="20" t="str">
        <f t="shared" ca="1" si="67"/>
        <v/>
      </c>
      <c r="BI198" s="20" t="b">
        <f t="shared" ca="1" si="124"/>
        <v>1</v>
      </c>
      <c r="BJ198" s="20" t="b">
        <f t="shared" ca="1" si="125"/>
        <v>1</v>
      </c>
      <c r="BK198" s="1046" t="str">
        <f t="shared" ca="1" si="126"/>
        <v/>
      </c>
    </row>
    <row r="199" spans="1:63" hidden="1">
      <c r="A199" s="1477">
        <f t="shared" si="127"/>
        <v>69</v>
      </c>
      <c r="B199" s="1477"/>
      <c r="C199" s="1477" t="str">
        <f t="shared" ca="1" si="78"/>
        <v>Advantageous Attack</v>
      </c>
      <c r="D199" s="842" t="str">
        <f t="shared" ca="1" si="79"/>
        <v/>
      </c>
      <c r="E199" s="1498" t="str">
        <f t="shared" ca="1" si="80"/>
        <v/>
      </c>
      <c r="F199" s="508" t="b">
        <f ca="1">IF($C199&lt;&gt;"",IF(INDEX(SpecialModsTable,$A199,6)&lt;&gt;"",IF(NOT(ISERROR(FIND(Weapons!E$76,INDEX(SpecialModsTable,$A199,6),1))),TRUE,FALSE),TRUE),FALSE)</f>
        <v>1</v>
      </c>
      <c r="G199" s="508" t="str">
        <f t="shared" ca="1" si="81"/>
        <v/>
      </c>
      <c r="H199" s="20" t="str">
        <f t="shared" ca="1" si="82"/>
        <v/>
      </c>
      <c r="I199" s="20" t="str">
        <f t="shared" ca="1" si="83"/>
        <v/>
      </c>
      <c r="J199" s="20" t="str">
        <f t="shared" ca="1" si="68"/>
        <v/>
      </c>
      <c r="K199" s="20" t="b">
        <f t="shared" ca="1" si="84"/>
        <v>1</v>
      </c>
      <c r="L199" s="20" t="b">
        <f t="shared" ca="1" si="85"/>
        <v>1</v>
      </c>
      <c r="M199" s="1046" t="str">
        <f t="shared" ca="1" si="86"/>
        <v/>
      </c>
      <c r="N199" s="842" t="str">
        <f t="shared" ca="1" si="87"/>
        <v/>
      </c>
      <c r="O199" s="1498" t="str">
        <f t="shared" ca="1" si="88"/>
        <v/>
      </c>
      <c r="P199" s="508" t="b">
        <f ca="1">IF($C199&lt;&gt;"",IF(INDEX(SpecialModsTable,$A199,6)&lt;&gt;"",IF(NOT(ISERROR(FIND(Weapons!O$76,INDEX(SpecialModsTable,$A199,6),1))),TRUE,FALSE),TRUE),FALSE)</f>
        <v>1</v>
      </c>
      <c r="Q199" s="508" t="str">
        <f t="shared" ca="1" si="89"/>
        <v/>
      </c>
      <c r="R199" s="20" t="str">
        <f t="shared" ca="1" si="90"/>
        <v/>
      </c>
      <c r="S199" s="20" t="str">
        <f t="shared" ca="1" si="91"/>
        <v/>
      </c>
      <c r="T199" s="20" t="str">
        <f t="shared" ca="1" si="63"/>
        <v/>
      </c>
      <c r="U199" s="20" t="b">
        <f t="shared" ca="1" si="92"/>
        <v>1</v>
      </c>
      <c r="V199" s="20" t="b">
        <f t="shared" ca="1" si="93"/>
        <v>1</v>
      </c>
      <c r="W199" s="1046" t="str">
        <f t="shared" ca="1" si="94"/>
        <v/>
      </c>
      <c r="X199" s="842" t="str">
        <f t="shared" ca="1" si="95"/>
        <v/>
      </c>
      <c r="Y199" s="1498" t="str">
        <f t="shared" ca="1" si="96"/>
        <v/>
      </c>
      <c r="Z199" s="508" t="b">
        <f ca="1">IF($C199&lt;&gt;"",IF(INDEX(SpecialModsTable,$A199,6)&lt;&gt;"",IF(NOT(ISERROR(FIND(Weapons!Y$76,INDEX(SpecialModsTable,$A199,6),1))),TRUE,FALSE),TRUE),FALSE)</f>
        <v>1</v>
      </c>
      <c r="AA199" s="508" t="str">
        <f t="shared" ca="1" si="97"/>
        <v/>
      </c>
      <c r="AB199" s="20" t="str">
        <f t="shared" ca="1" si="98"/>
        <v/>
      </c>
      <c r="AC199" s="20" t="str">
        <f t="shared" ca="1" si="99"/>
        <v/>
      </c>
      <c r="AD199" s="20" t="str">
        <f t="shared" ca="1" si="64"/>
        <v/>
      </c>
      <c r="AE199" s="20" t="b">
        <f t="shared" ca="1" si="100"/>
        <v>1</v>
      </c>
      <c r="AF199" s="20" t="b">
        <f t="shared" ca="1" si="101"/>
        <v>1</v>
      </c>
      <c r="AG199" s="1046" t="str">
        <f t="shared" ca="1" si="102"/>
        <v/>
      </c>
      <c r="AH199" s="842" t="str">
        <f t="shared" ca="1" si="103"/>
        <v/>
      </c>
      <c r="AI199" s="1498" t="str">
        <f t="shared" ca="1" si="104"/>
        <v/>
      </c>
      <c r="AJ199" s="508" t="b">
        <f ca="1">IF($C199&lt;&gt;"",IF(INDEX(SpecialModsTable,$A199,6)&lt;&gt;"",IF(NOT(ISERROR(FIND(Weapons!AI$76,INDEX(SpecialModsTable,$A199,6),1))),TRUE,FALSE),TRUE),FALSE)</f>
        <v>1</v>
      </c>
      <c r="AK199" s="508" t="str">
        <f t="shared" ca="1" si="105"/>
        <v/>
      </c>
      <c r="AL199" s="20" t="str">
        <f t="shared" ca="1" si="106"/>
        <v/>
      </c>
      <c r="AM199" s="20" t="str">
        <f t="shared" ca="1" si="107"/>
        <v/>
      </c>
      <c r="AN199" s="20" t="str">
        <f t="shared" ca="1" si="65"/>
        <v/>
      </c>
      <c r="AO199" s="20" t="b">
        <f t="shared" ca="1" si="108"/>
        <v>1</v>
      </c>
      <c r="AP199" s="20" t="b">
        <f t="shared" ca="1" si="109"/>
        <v>1</v>
      </c>
      <c r="AQ199" s="1046" t="str">
        <f t="shared" ca="1" si="110"/>
        <v/>
      </c>
      <c r="AR199" s="842" t="str">
        <f t="shared" ca="1" si="111"/>
        <v/>
      </c>
      <c r="AS199" s="1498" t="str">
        <f t="shared" ca="1" si="112"/>
        <v/>
      </c>
      <c r="AT199" s="508" t="b">
        <f ca="1">IF($C199&lt;&gt;"",IF(INDEX(SpecialModsTable,$A199,6)&lt;&gt;"",IF(NOT(ISERROR(FIND(Weapons!AS$76,INDEX(SpecialModsTable,$A199,6),1))),TRUE,FALSE),TRUE),FALSE)</f>
        <v>1</v>
      </c>
      <c r="AU199" s="508" t="str">
        <f t="shared" ca="1" si="113"/>
        <v/>
      </c>
      <c r="AV199" s="20" t="str">
        <f t="shared" ca="1" si="114"/>
        <v/>
      </c>
      <c r="AW199" s="20" t="str">
        <f t="shared" ca="1" si="115"/>
        <v/>
      </c>
      <c r="AX199" s="20" t="str">
        <f t="shared" ca="1" si="66"/>
        <v/>
      </c>
      <c r="AY199" s="20" t="b">
        <f t="shared" ca="1" si="116"/>
        <v>1</v>
      </c>
      <c r="AZ199" s="20" t="b">
        <f t="shared" ca="1" si="117"/>
        <v>1</v>
      </c>
      <c r="BA199" s="1046" t="str">
        <f t="shared" ca="1" si="118"/>
        <v/>
      </c>
      <c r="BB199" s="842" t="str">
        <f t="shared" ca="1" si="119"/>
        <v/>
      </c>
      <c r="BC199" s="1498" t="str">
        <f t="shared" ca="1" si="120"/>
        <v/>
      </c>
      <c r="BD199" s="508" t="b">
        <f ca="1">IF($C199&lt;&gt;"",IF(INDEX(SpecialModsTable,$A199,6)&lt;&gt;"",IF(NOT(ISERROR(FIND(Weapons!BC$76,INDEX(SpecialModsTable,$A199,6),1))),TRUE,FALSE),TRUE),FALSE)</f>
        <v>1</v>
      </c>
      <c r="BE199" s="508" t="str">
        <f t="shared" ca="1" si="121"/>
        <v/>
      </c>
      <c r="BF199" s="20" t="str">
        <f t="shared" ca="1" si="122"/>
        <v/>
      </c>
      <c r="BG199" s="20" t="str">
        <f t="shared" ca="1" si="123"/>
        <v/>
      </c>
      <c r="BH199" s="20" t="str">
        <f t="shared" ca="1" si="67"/>
        <v/>
      </c>
      <c r="BI199" s="20" t="b">
        <f t="shared" ca="1" si="124"/>
        <v>1</v>
      </c>
      <c r="BJ199" s="20" t="b">
        <f t="shared" ca="1" si="125"/>
        <v>1</v>
      </c>
      <c r="BK199" s="1046" t="str">
        <f t="shared" ca="1" si="126"/>
        <v/>
      </c>
    </row>
    <row r="200" spans="1:63" hidden="1">
      <c r="A200" s="1477">
        <f t="shared" si="127"/>
        <v>70</v>
      </c>
      <c r="B200" s="1477"/>
      <c r="C200" s="1477" t="str">
        <f t="shared" ca="1" si="78"/>
        <v>Assured Attack</v>
      </c>
      <c r="D200" s="842" t="str">
        <f t="shared" ca="1" si="79"/>
        <v/>
      </c>
      <c r="E200" s="1498" t="str">
        <f t="shared" ca="1" si="80"/>
        <v/>
      </c>
      <c r="F200" s="508" t="b">
        <f ca="1">IF($C200&lt;&gt;"",IF(INDEX(SpecialModsTable,$A200,6)&lt;&gt;"",IF(NOT(ISERROR(FIND(Weapons!E$76,INDEX(SpecialModsTable,$A200,6),1))),TRUE,FALSE),TRUE),FALSE)</f>
        <v>1</v>
      </c>
      <c r="G200" s="508" t="str">
        <f t="shared" ca="1" si="81"/>
        <v/>
      </c>
      <c r="H200" s="20" t="str">
        <f t="shared" ca="1" si="82"/>
        <v/>
      </c>
      <c r="I200" s="20" t="str">
        <f t="shared" ca="1" si="83"/>
        <v/>
      </c>
      <c r="J200" s="20" t="str">
        <f t="shared" ca="1" si="68"/>
        <v/>
      </c>
      <c r="K200" s="20" t="b">
        <f t="shared" ca="1" si="84"/>
        <v>1</v>
      </c>
      <c r="L200" s="20" t="b">
        <f t="shared" ca="1" si="85"/>
        <v>1</v>
      </c>
      <c r="M200" s="1046" t="str">
        <f t="shared" ca="1" si="86"/>
        <v/>
      </c>
      <c r="N200" s="842" t="str">
        <f t="shared" ca="1" si="87"/>
        <v/>
      </c>
      <c r="O200" s="1498" t="str">
        <f t="shared" ca="1" si="88"/>
        <v/>
      </c>
      <c r="P200" s="508" t="b">
        <f ca="1">IF($C200&lt;&gt;"",IF(INDEX(SpecialModsTable,$A200,6)&lt;&gt;"",IF(NOT(ISERROR(FIND(Weapons!O$76,INDEX(SpecialModsTable,$A200,6),1))),TRUE,FALSE),TRUE),FALSE)</f>
        <v>1</v>
      </c>
      <c r="Q200" s="508" t="str">
        <f t="shared" ca="1" si="89"/>
        <v/>
      </c>
      <c r="R200" s="20" t="str">
        <f t="shared" ca="1" si="90"/>
        <v/>
      </c>
      <c r="S200" s="20" t="str">
        <f t="shared" ca="1" si="91"/>
        <v/>
      </c>
      <c r="T200" s="20" t="str">
        <f t="shared" ca="1" si="63"/>
        <v/>
      </c>
      <c r="U200" s="20" t="b">
        <f t="shared" ca="1" si="92"/>
        <v>1</v>
      </c>
      <c r="V200" s="20" t="b">
        <f t="shared" ca="1" si="93"/>
        <v>1</v>
      </c>
      <c r="W200" s="1046" t="str">
        <f t="shared" ca="1" si="94"/>
        <v/>
      </c>
      <c r="X200" s="842" t="str">
        <f t="shared" ca="1" si="95"/>
        <v/>
      </c>
      <c r="Y200" s="1498" t="str">
        <f t="shared" ca="1" si="96"/>
        <v/>
      </c>
      <c r="Z200" s="508" t="b">
        <f ca="1">IF($C200&lt;&gt;"",IF(INDEX(SpecialModsTable,$A200,6)&lt;&gt;"",IF(NOT(ISERROR(FIND(Weapons!Y$76,INDEX(SpecialModsTable,$A200,6),1))),TRUE,FALSE),TRUE),FALSE)</f>
        <v>1</v>
      </c>
      <c r="AA200" s="508" t="str">
        <f t="shared" ca="1" si="97"/>
        <v/>
      </c>
      <c r="AB200" s="20" t="str">
        <f t="shared" ca="1" si="98"/>
        <v/>
      </c>
      <c r="AC200" s="20" t="str">
        <f t="shared" ca="1" si="99"/>
        <v/>
      </c>
      <c r="AD200" s="20" t="str">
        <f t="shared" ca="1" si="64"/>
        <v/>
      </c>
      <c r="AE200" s="20" t="b">
        <f t="shared" ca="1" si="100"/>
        <v>1</v>
      </c>
      <c r="AF200" s="20" t="b">
        <f t="shared" ca="1" si="101"/>
        <v>1</v>
      </c>
      <c r="AG200" s="1046" t="str">
        <f t="shared" ca="1" si="102"/>
        <v/>
      </c>
      <c r="AH200" s="842" t="str">
        <f t="shared" ca="1" si="103"/>
        <v/>
      </c>
      <c r="AI200" s="1498" t="str">
        <f t="shared" ca="1" si="104"/>
        <v/>
      </c>
      <c r="AJ200" s="508" t="b">
        <f ca="1">IF($C200&lt;&gt;"",IF(INDEX(SpecialModsTable,$A200,6)&lt;&gt;"",IF(NOT(ISERROR(FIND(Weapons!AI$76,INDEX(SpecialModsTable,$A200,6),1))),TRUE,FALSE),TRUE),FALSE)</f>
        <v>1</v>
      </c>
      <c r="AK200" s="508" t="str">
        <f t="shared" ca="1" si="105"/>
        <v/>
      </c>
      <c r="AL200" s="20" t="str">
        <f t="shared" ca="1" si="106"/>
        <v/>
      </c>
      <c r="AM200" s="20" t="str">
        <f t="shared" ca="1" si="107"/>
        <v/>
      </c>
      <c r="AN200" s="20" t="str">
        <f t="shared" ca="1" si="65"/>
        <v/>
      </c>
      <c r="AO200" s="20" t="b">
        <f t="shared" ca="1" si="108"/>
        <v>1</v>
      </c>
      <c r="AP200" s="20" t="b">
        <f t="shared" ca="1" si="109"/>
        <v>1</v>
      </c>
      <c r="AQ200" s="1046" t="str">
        <f t="shared" ca="1" si="110"/>
        <v/>
      </c>
      <c r="AR200" s="842" t="str">
        <f t="shared" ca="1" si="111"/>
        <v/>
      </c>
      <c r="AS200" s="1498" t="str">
        <f t="shared" ca="1" si="112"/>
        <v/>
      </c>
      <c r="AT200" s="508" t="b">
        <f ca="1">IF($C200&lt;&gt;"",IF(INDEX(SpecialModsTable,$A200,6)&lt;&gt;"",IF(NOT(ISERROR(FIND(Weapons!AS$76,INDEX(SpecialModsTable,$A200,6),1))),TRUE,FALSE),TRUE),FALSE)</f>
        <v>1</v>
      </c>
      <c r="AU200" s="508" t="str">
        <f t="shared" ca="1" si="113"/>
        <v/>
      </c>
      <c r="AV200" s="20" t="str">
        <f t="shared" ca="1" si="114"/>
        <v/>
      </c>
      <c r="AW200" s="20" t="str">
        <f t="shared" ca="1" si="115"/>
        <v/>
      </c>
      <c r="AX200" s="20" t="str">
        <f t="shared" ca="1" si="66"/>
        <v/>
      </c>
      <c r="AY200" s="20" t="b">
        <f t="shared" ca="1" si="116"/>
        <v>1</v>
      </c>
      <c r="AZ200" s="20" t="b">
        <f t="shared" ca="1" si="117"/>
        <v>1</v>
      </c>
      <c r="BA200" s="1046" t="str">
        <f t="shared" ca="1" si="118"/>
        <v/>
      </c>
      <c r="BB200" s="842" t="str">
        <f t="shared" ca="1" si="119"/>
        <v/>
      </c>
      <c r="BC200" s="1498" t="str">
        <f t="shared" ca="1" si="120"/>
        <v/>
      </c>
      <c r="BD200" s="508" t="b">
        <f ca="1">IF($C200&lt;&gt;"",IF(INDEX(SpecialModsTable,$A200,6)&lt;&gt;"",IF(NOT(ISERROR(FIND(Weapons!BC$76,INDEX(SpecialModsTable,$A200,6),1))),TRUE,FALSE),TRUE),FALSE)</f>
        <v>1</v>
      </c>
      <c r="BE200" s="508" t="str">
        <f t="shared" ca="1" si="121"/>
        <v/>
      </c>
      <c r="BF200" s="20" t="str">
        <f t="shared" ca="1" si="122"/>
        <v/>
      </c>
      <c r="BG200" s="20" t="str">
        <f t="shared" ca="1" si="123"/>
        <v/>
      </c>
      <c r="BH200" s="20" t="str">
        <f t="shared" ca="1" si="67"/>
        <v/>
      </c>
      <c r="BI200" s="20" t="b">
        <f t="shared" ca="1" si="124"/>
        <v>1</v>
      </c>
      <c r="BJ200" s="20" t="b">
        <f t="shared" ca="1" si="125"/>
        <v>1</v>
      </c>
      <c r="BK200" s="1046" t="str">
        <f t="shared" ca="1" si="126"/>
        <v/>
      </c>
    </row>
    <row r="201" spans="1:63" hidden="1">
      <c r="A201" s="1477">
        <f t="shared" si="127"/>
        <v>71</v>
      </c>
      <c r="B201" s="1477"/>
      <c r="C201" s="1477" t="str">
        <f t="shared" ca="1" si="78"/>
        <v>Bantha Rush</v>
      </c>
      <c r="D201" s="842" t="str">
        <f t="shared" ca="1" si="79"/>
        <v/>
      </c>
      <c r="E201" s="1498" t="str">
        <f t="shared" ca="1" si="80"/>
        <v/>
      </c>
      <c r="F201" s="508" t="b">
        <f ca="1">IF($C201&lt;&gt;"",IF(INDEX(SpecialModsTable,$A201,6)&lt;&gt;"",IF(NOT(ISERROR(FIND(Weapons!E$76,INDEX(SpecialModsTable,$A201,6),1))),TRUE,FALSE),TRUE),FALSE)</f>
        <v>1</v>
      </c>
      <c r="G201" s="508" t="str">
        <f t="shared" ca="1" si="81"/>
        <v/>
      </c>
      <c r="H201" s="20" t="str">
        <f t="shared" ca="1" si="82"/>
        <v/>
      </c>
      <c r="I201" s="20" t="str">
        <f t="shared" ca="1" si="83"/>
        <v/>
      </c>
      <c r="J201" s="20" t="str">
        <f t="shared" ca="1" si="68"/>
        <v/>
      </c>
      <c r="K201" s="20" t="b">
        <f t="shared" ca="1" si="84"/>
        <v>1</v>
      </c>
      <c r="L201" s="20" t="b">
        <f t="shared" ca="1" si="85"/>
        <v>1</v>
      </c>
      <c r="M201" s="1046" t="str">
        <f t="shared" ca="1" si="86"/>
        <v/>
      </c>
      <c r="N201" s="842" t="str">
        <f t="shared" ca="1" si="87"/>
        <v/>
      </c>
      <c r="O201" s="1498" t="str">
        <f t="shared" ca="1" si="88"/>
        <v/>
      </c>
      <c r="P201" s="508" t="b">
        <f ca="1">IF($C201&lt;&gt;"",IF(INDEX(SpecialModsTable,$A201,6)&lt;&gt;"",IF(NOT(ISERROR(FIND(Weapons!O$76,INDEX(SpecialModsTable,$A201,6),1))),TRUE,FALSE),TRUE),FALSE)</f>
        <v>1</v>
      </c>
      <c r="Q201" s="508" t="str">
        <f t="shared" ca="1" si="89"/>
        <v/>
      </c>
      <c r="R201" s="20" t="str">
        <f t="shared" ca="1" si="90"/>
        <v/>
      </c>
      <c r="S201" s="20" t="str">
        <f t="shared" ca="1" si="91"/>
        <v/>
      </c>
      <c r="T201" s="20" t="str">
        <f t="shared" ca="1" si="63"/>
        <v/>
      </c>
      <c r="U201" s="20" t="b">
        <f t="shared" ca="1" si="92"/>
        <v>1</v>
      </c>
      <c r="V201" s="20" t="b">
        <f t="shared" ca="1" si="93"/>
        <v>1</v>
      </c>
      <c r="W201" s="1046" t="str">
        <f t="shared" ca="1" si="94"/>
        <v/>
      </c>
      <c r="X201" s="842" t="str">
        <f t="shared" ca="1" si="95"/>
        <v/>
      </c>
      <c r="Y201" s="1498" t="str">
        <f t="shared" ca="1" si="96"/>
        <v/>
      </c>
      <c r="Z201" s="508" t="b">
        <f ca="1">IF($C201&lt;&gt;"",IF(INDEX(SpecialModsTable,$A201,6)&lt;&gt;"",IF(NOT(ISERROR(FIND(Weapons!Y$76,INDEX(SpecialModsTable,$A201,6),1))),TRUE,FALSE),TRUE),FALSE)</f>
        <v>1</v>
      </c>
      <c r="AA201" s="508" t="str">
        <f t="shared" ca="1" si="97"/>
        <v/>
      </c>
      <c r="AB201" s="20" t="str">
        <f t="shared" ca="1" si="98"/>
        <v/>
      </c>
      <c r="AC201" s="20" t="str">
        <f t="shared" ca="1" si="99"/>
        <v/>
      </c>
      <c r="AD201" s="20" t="str">
        <f t="shared" ca="1" si="64"/>
        <v/>
      </c>
      <c r="AE201" s="20" t="b">
        <f t="shared" ca="1" si="100"/>
        <v>1</v>
      </c>
      <c r="AF201" s="20" t="b">
        <f t="shared" ca="1" si="101"/>
        <v>1</v>
      </c>
      <c r="AG201" s="1046" t="str">
        <f t="shared" ca="1" si="102"/>
        <v/>
      </c>
      <c r="AH201" s="842" t="str">
        <f t="shared" ca="1" si="103"/>
        <v/>
      </c>
      <c r="AI201" s="1498" t="str">
        <f t="shared" ca="1" si="104"/>
        <v/>
      </c>
      <c r="AJ201" s="508" t="b">
        <f ca="1">IF($C201&lt;&gt;"",IF(INDEX(SpecialModsTable,$A201,6)&lt;&gt;"",IF(NOT(ISERROR(FIND(Weapons!AI$76,INDEX(SpecialModsTable,$A201,6),1))),TRUE,FALSE),TRUE),FALSE)</f>
        <v>1</v>
      </c>
      <c r="AK201" s="508" t="str">
        <f t="shared" ca="1" si="105"/>
        <v/>
      </c>
      <c r="AL201" s="20" t="str">
        <f t="shared" ca="1" si="106"/>
        <v/>
      </c>
      <c r="AM201" s="20" t="str">
        <f t="shared" ca="1" si="107"/>
        <v/>
      </c>
      <c r="AN201" s="20" t="str">
        <f t="shared" ca="1" si="65"/>
        <v/>
      </c>
      <c r="AO201" s="20" t="b">
        <f t="shared" ca="1" si="108"/>
        <v>1</v>
      </c>
      <c r="AP201" s="20" t="b">
        <f t="shared" ca="1" si="109"/>
        <v>1</v>
      </c>
      <c r="AQ201" s="1046" t="str">
        <f t="shared" ca="1" si="110"/>
        <v/>
      </c>
      <c r="AR201" s="842" t="str">
        <f t="shared" ca="1" si="111"/>
        <v/>
      </c>
      <c r="AS201" s="1498" t="str">
        <f t="shared" ca="1" si="112"/>
        <v/>
      </c>
      <c r="AT201" s="508" t="b">
        <f ca="1">IF($C201&lt;&gt;"",IF(INDEX(SpecialModsTable,$A201,6)&lt;&gt;"",IF(NOT(ISERROR(FIND(Weapons!AS$76,INDEX(SpecialModsTable,$A201,6),1))),TRUE,FALSE),TRUE),FALSE)</f>
        <v>1</v>
      </c>
      <c r="AU201" s="508" t="str">
        <f t="shared" ca="1" si="113"/>
        <v/>
      </c>
      <c r="AV201" s="20" t="str">
        <f t="shared" ca="1" si="114"/>
        <v/>
      </c>
      <c r="AW201" s="20" t="str">
        <f t="shared" ca="1" si="115"/>
        <v/>
      </c>
      <c r="AX201" s="20" t="str">
        <f t="shared" ca="1" si="66"/>
        <v/>
      </c>
      <c r="AY201" s="20" t="b">
        <f t="shared" ca="1" si="116"/>
        <v>1</v>
      </c>
      <c r="AZ201" s="20" t="b">
        <f t="shared" ca="1" si="117"/>
        <v>1</v>
      </c>
      <c r="BA201" s="1046" t="str">
        <f t="shared" ca="1" si="118"/>
        <v/>
      </c>
      <c r="BB201" s="842" t="str">
        <f t="shared" ca="1" si="119"/>
        <v/>
      </c>
      <c r="BC201" s="1498" t="str">
        <f t="shared" ca="1" si="120"/>
        <v/>
      </c>
      <c r="BD201" s="508" t="b">
        <f ca="1">IF($C201&lt;&gt;"",IF(INDEX(SpecialModsTable,$A201,6)&lt;&gt;"",IF(NOT(ISERROR(FIND(Weapons!BC$76,INDEX(SpecialModsTable,$A201,6),1))),TRUE,FALSE),TRUE),FALSE)</f>
        <v>1</v>
      </c>
      <c r="BE201" s="508" t="str">
        <f t="shared" ca="1" si="121"/>
        <v/>
      </c>
      <c r="BF201" s="20" t="str">
        <f t="shared" ca="1" si="122"/>
        <v/>
      </c>
      <c r="BG201" s="20" t="str">
        <f t="shared" ca="1" si="123"/>
        <v/>
      </c>
      <c r="BH201" s="20" t="str">
        <f t="shared" ca="1" si="67"/>
        <v/>
      </c>
      <c r="BI201" s="20" t="b">
        <f t="shared" ca="1" si="124"/>
        <v>1</v>
      </c>
      <c r="BJ201" s="20" t="b">
        <f t="shared" ca="1" si="125"/>
        <v>1</v>
      </c>
      <c r="BK201" s="1046" t="str">
        <f t="shared" ca="1" si="126"/>
        <v/>
      </c>
    </row>
    <row r="202" spans="1:63" hidden="1">
      <c r="A202" s="1477">
        <f t="shared" si="127"/>
        <v>72</v>
      </c>
      <c r="B202" s="1477"/>
      <c r="C202" s="1477" t="str">
        <f t="shared" ca="1" si="78"/>
        <v>Inquisition</v>
      </c>
      <c r="D202" s="842" t="str">
        <f t="shared" ca="1" si="79"/>
        <v/>
      </c>
      <c r="E202" s="1498" t="str">
        <f t="shared" ca="1" si="80"/>
        <v/>
      </c>
      <c r="F202" s="508" t="b">
        <f ca="1">IF($C202&lt;&gt;"",IF(INDEX(SpecialModsTable,$A202,6)&lt;&gt;"",IF(NOT(ISERROR(FIND(Weapons!E$76,INDEX(SpecialModsTable,$A202,6),1))),TRUE,FALSE),TRUE),FALSE)</f>
        <v>1</v>
      </c>
      <c r="G202" s="508" t="str">
        <f t="shared" ca="1" si="81"/>
        <v/>
      </c>
      <c r="H202" s="20" t="str">
        <f t="shared" ca="1" si="82"/>
        <v/>
      </c>
      <c r="I202" s="20" t="str">
        <f t="shared" ca="1" si="83"/>
        <v/>
      </c>
      <c r="J202" s="20" t="str">
        <f t="shared" ca="1" si="68"/>
        <v/>
      </c>
      <c r="K202" s="20" t="b">
        <f t="shared" ca="1" si="84"/>
        <v>1</v>
      </c>
      <c r="L202" s="20" t="b">
        <f t="shared" ca="1" si="85"/>
        <v>1</v>
      </c>
      <c r="M202" s="1046" t="str">
        <f t="shared" ca="1" si="86"/>
        <v/>
      </c>
      <c r="N202" s="842" t="str">
        <f t="shared" ca="1" si="87"/>
        <v/>
      </c>
      <c r="O202" s="1498" t="str">
        <f t="shared" ca="1" si="88"/>
        <v/>
      </c>
      <c r="P202" s="508" t="b">
        <f ca="1">IF($C202&lt;&gt;"",IF(INDEX(SpecialModsTable,$A202,6)&lt;&gt;"",IF(NOT(ISERROR(FIND(Weapons!O$76,INDEX(SpecialModsTable,$A202,6),1))),TRUE,FALSE),TRUE),FALSE)</f>
        <v>1</v>
      </c>
      <c r="Q202" s="508" t="str">
        <f t="shared" ca="1" si="89"/>
        <v/>
      </c>
      <c r="R202" s="20" t="str">
        <f t="shared" ca="1" si="90"/>
        <v/>
      </c>
      <c r="S202" s="20" t="str">
        <f t="shared" ca="1" si="91"/>
        <v/>
      </c>
      <c r="T202" s="20" t="str">
        <f t="shared" ca="1" si="63"/>
        <v/>
      </c>
      <c r="U202" s="20" t="b">
        <f t="shared" ca="1" si="92"/>
        <v>1</v>
      </c>
      <c r="V202" s="20" t="b">
        <f t="shared" ca="1" si="93"/>
        <v>1</v>
      </c>
      <c r="W202" s="1046" t="str">
        <f t="shared" ca="1" si="94"/>
        <v/>
      </c>
      <c r="X202" s="842" t="str">
        <f t="shared" ca="1" si="95"/>
        <v/>
      </c>
      <c r="Y202" s="1498" t="str">
        <f t="shared" ca="1" si="96"/>
        <v/>
      </c>
      <c r="Z202" s="508" t="b">
        <f ca="1">IF($C202&lt;&gt;"",IF(INDEX(SpecialModsTable,$A202,6)&lt;&gt;"",IF(NOT(ISERROR(FIND(Weapons!Y$76,INDEX(SpecialModsTable,$A202,6),1))),TRUE,FALSE),TRUE),FALSE)</f>
        <v>1</v>
      </c>
      <c r="AA202" s="508" t="str">
        <f t="shared" ca="1" si="97"/>
        <v/>
      </c>
      <c r="AB202" s="20" t="str">
        <f t="shared" ca="1" si="98"/>
        <v/>
      </c>
      <c r="AC202" s="20" t="str">
        <f t="shared" ca="1" si="99"/>
        <v/>
      </c>
      <c r="AD202" s="20" t="str">
        <f t="shared" ca="1" si="64"/>
        <v/>
      </c>
      <c r="AE202" s="20" t="b">
        <f t="shared" ca="1" si="100"/>
        <v>1</v>
      </c>
      <c r="AF202" s="20" t="b">
        <f t="shared" ca="1" si="101"/>
        <v>1</v>
      </c>
      <c r="AG202" s="1046" t="str">
        <f t="shared" ca="1" si="102"/>
        <v/>
      </c>
      <c r="AH202" s="842" t="str">
        <f t="shared" ca="1" si="103"/>
        <v/>
      </c>
      <c r="AI202" s="1498" t="str">
        <f t="shared" ca="1" si="104"/>
        <v/>
      </c>
      <c r="AJ202" s="508" t="b">
        <f ca="1">IF($C202&lt;&gt;"",IF(INDEX(SpecialModsTable,$A202,6)&lt;&gt;"",IF(NOT(ISERROR(FIND(Weapons!AI$76,INDEX(SpecialModsTable,$A202,6),1))),TRUE,FALSE),TRUE),FALSE)</f>
        <v>1</v>
      </c>
      <c r="AK202" s="508" t="str">
        <f t="shared" ca="1" si="105"/>
        <v/>
      </c>
      <c r="AL202" s="20" t="str">
        <f t="shared" ca="1" si="106"/>
        <v/>
      </c>
      <c r="AM202" s="20" t="str">
        <f t="shared" ca="1" si="107"/>
        <v/>
      </c>
      <c r="AN202" s="20" t="str">
        <f t="shared" ca="1" si="65"/>
        <v/>
      </c>
      <c r="AO202" s="20" t="b">
        <f t="shared" ca="1" si="108"/>
        <v>1</v>
      </c>
      <c r="AP202" s="20" t="b">
        <f t="shared" ca="1" si="109"/>
        <v>1</v>
      </c>
      <c r="AQ202" s="1046" t="str">
        <f t="shared" ca="1" si="110"/>
        <v/>
      </c>
      <c r="AR202" s="842" t="str">
        <f t="shared" ca="1" si="111"/>
        <v/>
      </c>
      <c r="AS202" s="1498" t="str">
        <f t="shared" ca="1" si="112"/>
        <v/>
      </c>
      <c r="AT202" s="508" t="b">
        <f ca="1">IF($C202&lt;&gt;"",IF(INDEX(SpecialModsTable,$A202,6)&lt;&gt;"",IF(NOT(ISERROR(FIND(Weapons!AS$76,INDEX(SpecialModsTable,$A202,6),1))),TRUE,FALSE),TRUE),FALSE)</f>
        <v>1</v>
      </c>
      <c r="AU202" s="508" t="str">
        <f t="shared" ca="1" si="113"/>
        <v/>
      </c>
      <c r="AV202" s="20" t="str">
        <f t="shared" ca="1" si="114"/>
        <v/>
      </c>
      <c r="AW202" s="20" t="str">
        <f t="shared" ca="1" si="115"/>
        <v/>
      </c>
      <c r="AX202" s="20" t="str">
        <f t="shared" ca="1" si="66"/>
        <v/>
      </c>
      <c r="AY202" s="20" t="b">
        <f t="shared" ca="1" si="116"/>
        <v>1</v>
      </c>
      <c r="AZ202" s="20" t="b">
        <f t="shared" ca="1" si="117"/>
        <v>1</v>
      </c>
      <c r="BA202" s="1046" t="str">
        <f t="shared" ca="1" si="118"/>
        <v/>
      </c>
      <c r="BB202" s="842" t="str">
        <f t="shared" ca="1" si="119"/>
        <v/>
      </c>
      <c r="BC202" s="1498" t="str">
        <f t="shared" ca="1" si="120"/>
        <v/>
      </c>
      <c r="BD202" s="508" t="b">
        <f ca="1">IF($C202&lt;&gt;"",IF(INDEX(SpecialModsTable,$A202,6)&lt;&gt;"",IF(NOT(ISERROR(FIND(Weapons!BC$76,INDEX(SpecialModsTable,$A202,6),1))),TRUE,FALSE),TRUE),FALSE)</f>
        <v>1</v>
      </c>
      <c r="BE202" s="508" t="str">
        <f t="shared" ca="1" si="121"/>
        <v/>
      </c>
      <c r="BF202" s="20" t="str">
        <f t="shared" ca="1" si="122"/>
        <v/>
      </c>
      <c r="BG202" s="20" t="str">
        <f t="shared" ca="1" si="123"/>
        <v/>
      </c>
      <c r="BH202" s="20" t="str">
        <f t="shared" ca="1" si="67"/>
        <v/>
      </c>
      <c r="BI202" s="20" t="b">
        <f t="shared" ca="1" si="124"/>
        <v>1</v>
      </c>
      <c r="BJ202" s="20" t="b">
        <f t="shared" ca="1" si="125"/>
        <v>1</v>
      </c>
      <c r="BK202" s="1046" t="str">
        <f t="shared" ca="1" si="126"/>
        <v/>
      </c>
    </row>
    <row r="203" spans="1:63" hidden="1">
      <c r="A203" s="1477">
        <f t="shared" si="127"/>
        <v>73</v>
      </c>
      <c r="B203" s="1477"/>
      <c r="C203" s="1477" t="str">
        <f t="shared" ca="1" si="78"/>
        <v>Defensive Acuity</v>
      </c>
      <c r="D203" s="842" t="str">
        <f t="shared" ca="1" si="79"/>
        <v/>
      </c>
      <c r="E203" s="1498" t="str">
        <f t="shared" ca="1" si="80"/>
        <v/>
      </c>
      <c r="F203" s="508" t="b">
        <f ca="1">IF($C203&lt;&gt;"",IF(INDEX(SpecialModsTable,$A203,6)&lt;&gt;"",IF(NOT(ISERROR(FIND(Weapons!E$76,INDEX(SpecialModsTable,$A203,6),1))),TRUE,FALSE),TRUE),FALSE)</f>
        <v>0</v>
      </c>
      <c r="G203" s="508" t="str">
        <f t="shared" ca="1" si="81"/>
        <v/>
      </c>
      <c r="H203" s="20" t="str">
        <f t="shared" ca="1" si="82"/>
        <v/>
      </c>
      <c r="I203" s="20" t="str">
        <f t="shared" ca="1" si="83"/>
        <v/>
      </c>
      <c r="J203" s="20" t="str">
        <f t="shared" ca="1" si="68"/>
        <v/>
      </c>
      <c r="K203" s="20" t="b">
        <f t="shared" ca="1" si="84"/>
        <v>1</v>
      </c>
      <c r="L203" s="20" t="b">
        <f t="shared" ca="1" si="85"/>
        <v>1</v>
      </c>
      <c r="M203" s="1046" t="str">
        <f t="shared" ca="1" si="86"/>
        <v/>
      </c>
      <c r="N203" s="842" t="str">
        <f t="shared" ca="1" si="87"/>
        <v/>
      </c>
      <c r="O203" s="1498" t="str">
        <f t="shared" ca="1" si="88"/>
        <v/>
      </c>
      <c r="P203" s="508" t="b">
        <f ca="1">IF($C203&lt;&gt;"",IF(INDEX(SpecialModsTable,$A203,6)&lt;&gt;"",IF(NOT(ISERROR(FIND(Weapons!O$76,INDEX(SpecialModsTable,$A203,6),1))),TRUE,FALSE),TRUE),FALSE)</f>
        <v>0</v>
      </c>
      <c r="Q203" s="508" t="str">
        <f t="shared" ca="1" si="89"/>
        <v/>
      </c>
      <c r="R203" s="20" t="str">
        <f t="shared" ca="1" si="90"/>
        <v/>
      </c>
      <c r="S203" s="20" t="str">
        <f t="shared" ca="1" si="91"/>
        <v/>
      </c>
      <c r="T203" s="20" t="str">
        <f t="shared" ca="1" si="63"/>
        <v/>
      </c>
      <c r="U203" s="20" t="b">
        <f t="shared" ca="1" si="92"/>
        <v>1</v>
      </c>
      <c r="V203" s="20" t="b">
        <f t="shared" ca="1" si="93"/>
        <v>1</v>
      </c>
      <c r="W203" s="1046" t="str">
        <f t="shared" ca="1" si="94"/>
        <v/>
      </c>
      <c r="X203" s="842" t="str">
        <f t="shared" ca="1" si="95"/>
        <v/>
      </c>
      <c r="Y203" s="1498" t="str">
        <f t="shared" ca="1" si="96"/>
        <v/>
      </c>
      <c r="Z203" s="508" t="b">
        <f ca="1">IF($C203&lt;&gt;"",IF(INDEX(SpecialModsTable,$A203,6)&lt;&gt;"",IF(NOT(ISERROR(FIND(Weapons!Y$76,INDEX(SpecialModsTable,$A203,6),1))),TRUE,FALSE),TRUE),FALSE)</f>
        <v>0</v>
      </c>
      <c r="AA203" s="508" t="str">
        <f t="shared" ca="1" si="97"/>
        <v/>
      </c>
      <c r="AB203" s="20" t="str">
        <f t="shared" ca="1" si="98"/>
        <v/>
      </c>
      <c r="AC203" s="20" t="str">
        <f t="shared" ca="1" si="99"/>
        <v/>
      </c>
      <c r="AD203" s="20" t="str">
        <f t="shared" ca="1" si="64"/>
        <v/>
      </c>
      <c r="AE203" s="20" t="b">
        <f t="shared" ca="1" si="100"/>
        <v>1</v>
      </c>
      <c r="AF203" s="20" t="b">
        <f t="shared" ca="1" si="101"/>
        <v>1</v>
      </c>
      <c r="AG203" s="1046" t="str">
        <f t="shared" ca="1" si="102"/>
        <v/>
      </c>
      <c r="AH203" s="842" t="str">
        <f t="shared" ca="1" si="103"/>
        <v/>
      </c>
      <c r="AI203" s="1498" t="str">
        <f t="shared" ca="1" si="104"/>
        <v/>
      </c>
      <c r="AJ203" s="508" t="b">
        <f ca="1">IF($C203&lt;&gt;"",IF(INDEX(SpecialModsTable,$A203,6)&lt;&gt;"",IF(NOT(ISERROR(FIND(Weapons!AI$76,INDEX(SpecialModsTable,$A203,6),1))),TRUE,FALSE),TRUE),FALSE)</f>
        <v>0</v>
      </c>
      <c r="AK203" s="508" t="str">
        <f t="shared" ca="1" si="105"/>
        <v/>
      </c>
      <c r="AL203" s="20" t="str">
        <f t="shared" ca="1" si="106"/>
        <v/>
      </c>
      <c r="AM203" s="20" t="str">
        <f t="shared" ca="1" si="107"/>
        <v/>
      </c>
      <c r="AN203" s="20" t="str">
        <f t="shared" ca="1" si="65"/>
        <v/>
      </c>
      <c r="AO203" s="20" t="b">
        <f t="shared" ca="1" si="108"/>
        <v>1</v>
      </c>
      <c r="AP203" s="20" t="b">
        <f t="shared" ca="1" si="109"/>
        <v>1</v>
      </c>
      <c r="AQ203" s="1046" t="str">
        <f t="shared" ca="1" si="110"/>
        <v/>
      </c>
      <c r="AR203" s="842" t="str">
        <f t="shared" ca="1" si="111"/>
        <v/>
      </c>
      <c r="AS203" s="1498" t="str">
        <f t="shared" ca="1" si="112"/>
        <v/>
      </c>
      <c r="AT203" s="508" t="b">
        <f ca="1">IF($C203&lt;&gt;"",IF(INDEX(SpecialModsTable,$A203,6)&lt;&gt;"",IF(NOT(ISERROR(FIND(Weapons!AS$76,INDEX(SpecialModsTable,$A203,6),1))),TRUE,FALSE),TRUE),FALSE)</f>
        <v>0</v>
      </c>
      <c r="AU203" s="508" t="str">
        <f t="shared" ca="1" si="113"/>
        <v/>
      </c>
      <c r="AV203" s="20" t="str">
        <f t="shared" ca="1" si="114"/>
        <v/>
      </c>
      <c r="AW203" s="20" t="str">
        <f t="shared" ca="1" si="115"/>
        <v/>
      </c>
      <c r="AX203" s="20" t="str">
        <f t="shared" ca="1" si="66"/>
        <v/>
      </c>
      <c r="AY203" s="20" t="b">
        <f t="shared" ca="1" si="116"/>
        <v>1</v>
      </c>
      <c r="AZ203" s="20" t="b">
        <f t="shared" ca="1" si="117"/>
        <v>1</v>
      </c>
      <c r="BA203" s="1046" t="str">
        <f t="shared" ca="1" si="118"/>
        <v/>
      </c>
      <c r="BB203" s="842" t="str">
        <f t="shared" ca="1" si="119"/>
        <v/>
      </c>
      <c r="BC203" s="1498" t="str">
        <f t="shared" ca="1" si="120"/>
        <v/>
      </c>
      <c r="BD203" s="508" t="b">
        <f ca="1">IF($C203&lt;&gt;"",IF(INDEX(SpecialModsTable,$A203,6)&lt;&gt;"",IF(NOT(ISERROR(FIND(Weapons!BC$76,INDEX(SpecialModsTable,$A203,6),1))),TRUE,FALSE),TRUE),FALSE)</f>
        <v>0</v>
      </c>
      <c r="BE203" s="508" t="str">
        <f t="shared" ca="1" si="121"/>
        <v/>
      </c>
      <c r="BF203" s="20" t="str">
        <f t="shared" ca="1" si="122"/>
        <v/>
      </c>
      <c r="BG203" s="20" t="str">
        <f t="shared" ca="1" si="123"/>
        <v/>
      </c>
      <c r="BH203" s="20" t="str">
        <f t="shared" ca="1" si="67"/>
        <v/>
      </c>
      <c r="BI203" s="20" t="b">
        <f t="shared" ca="1" si="124"/>
        <v>1</v>
      </c>
      <c r="BJ203" s="20" t="b">
        <f t="shared" ca="1" si="125"/>
        <v>1</v>
      </c>
      <c r="BK203" s="1046" t="str">
        <f t="shared" ca="1" si="126"/>
        <v/>
      </c>
    </row>
    <row r="204" spans="1:63">
      <c r="M204" s="1499" t="s">
        <v>195</v>
      </c>
      <c r="W204" s="1499" t="s">
        <v>195</v>
      </c>
      <c r="AG204" s="1499" t="s">
        <v>195</v>
      </c>
      <c r="AQ204" s="1499" t="s">
        <v>195</v>
      </c>
      <c r="BA204" s="1499" t="s">
        <v>195</v>
      </c>
      <c r="BK204" s="1499" t="s">
        <v>195</v>
      </c>
    </row>
  </sheetData>
  <mergeCells count="181">
    <mergeCell ref="O28:O32"/>
    <mergeCell ref="H34:L34"/>
    <mergeCell ref="H5:L5"/>
    <mergeCell ref="H35:L35"/>
    <mergeCell ref="H36:L36"/>
    <mergeCell ref="H7:L7"/>
    <mergeCell ref="H38:L38"/>
    <mergeCell ref="H33:L33"/>
    <mergeCell ref="H26:L26"/>
    <mergeCell ref="H23:L23"/>
    <mergeCell ref="E28:E32"/>
    <mergeCell ref="H12:L12"/>
    <mergeCell ref="H13:L13"/>
    <mergeCell ref="H14:L14"/>
    <mergeCell ref="H15:L15"/>
    <mergeCell ref="H16:L16"/>
    <mergeCell ref="H17:L17"/>
    <mergeCell ref="H18:L18"/>
    <mergeCell ref="H19:L19"/>
    <mergeCell ref="H20:L20"/>
    <mergeCell ref="H21:L21"/>
    <mergeCell ref="H22:L22"/>
    <mergeCell ref="H24:L24"/>
    <mergeCell ref="H25:L25"/>
    <mergeCell ref="H28:L32"/>
    <mergeCell ref="H27:L27"/>
    <mergeCell ref="R15:V15"/>
    <mergeCell ref="R16:V16"/>
    <mergeCell ref="R17:V17"/>
    <mergeCell ref="R18:V18"/>
    <mergeCell ref="R19:V19"/>
    <mergeCell ref="R39:V39"/>
    <mergeCell ref="R5:V5"/>
    <mergeCell ref="R7:V7"/>
    <mergeCell ref="R12:V12"/>
    <mergeCell ref="R13:V13"/>
    <mergeCell ref="R14:V14"/>
    <mergeCell ref="R28:V32"/>
    <mergeCell ref="R20:V20"/>
    <mergeCell ref="R21:V21"/>
    <mergeCell ref="AB20:AF20"/>
    <mergeCell ref="AB21:AF21"/>
    <mergeCell ref="R33:V33"/>
    <mergeCell ref="R34:V34"/>
    <mergeCell ref="R35:V35"/>
    <mergeCell ref="R36:V36"/>
    <mergeCell ref="R38:V38"/>
    <mergeCell ref="R25:V25"/>
    <mergeCell ref="R26:V26"/>
    <mergeCell ref="R27:V27"/>
    <mergeCell ref="AB27:AF27"/>
    <mergeCell ref="R22:V22"/>
    <mergeCell ref="R23:V23"/>
    <mergeCell ref="R24:V24"/>
    <mergeCell ref="Y28:Y32"/>
    <mergeCell ref="AB28:AF32"/>
    <mergeCell ref="AB33:AF33"/>
    <mergeCell ref="AB34:AF34"/>
    <mergeCell ref="AB22:AF22"/>
    <mergeCell ref="AB23:AF23"/>
    <mergeCell ref="AB24:AF24"/>
    <mergeCell ref="AB25:AF25"/>
    <mergeCell ref="AB26:AF26"/>
    <mergeCell ref="AB7:AF7"/>
    <mergeCell ref="AB12:AF12"/>
    <mergeCell ref="AB13:AF13"/>
    <mergeCell ref="AB14:AF14"/>
    <mergeCell ref="AB15:AF15"/>
    <mergeCell ref="AB16:AF16"/>
    <mergeCell ref="AB17:AF17"/>
    <mergeCell ref="AB18:AF18"/>
    <mergeCell ref="AB19:AF19"/>
    <mergeCell ref="AI28:AI32"/>
    <mergeCell ref="AL28:AP32"/>
    <mergeCell ref="AB42:AF42"/>
    <mergeCell ref="AB43:AF43"/>
    <mergeCell ref="AL5:AP5"/>
    <mergeCell ref="AL7:AP7"/>
    <mergeCell ref="AL12:AP12"/>
    <mergeCell ref="AL13:AP13"/>
    <mergeCell ref="AL14:AP14"/>
    <mergeCell ref="AL15:AP15"/>
    <mergeCell ref="AL16:AP16"/>
    <mergeCell ref="AL17:AP17"/>
    <mergeCell ref="AL18:AP18"/>
    <mergeCell ref="AL19:AP19"/>
    <mergeCell ref="AL20:AP20"/>
    <mergeCell ref="AL21:AP21"/>
    <mergeCell ref="AL22:AP22"/>
    <mergeCell ref="AL23:AP23"/>
    <mergeCell ref="AB35:AF35"/>
    <mergeCell ref="AB36:AF36"/>
    <mergeCell ref="AB38:AF38"/>
    <mergeCell ref="AB39:AF39"/>
    <mergeCell ref="AB41:AF41"/>
    <mergeCell ref="AB5:AF5"/>
    <mergeCell ref="AV19:AZ19"/>
    <mergeCell ref="AV20:AZ20"/>
    <mergeCell ref="AV21:AZ21"/>
    <mergeCell ref="AL33:AP33"/>
    <mergeCell ref="AL34:AP34"/>
    <mergeCell ref="AL35:AP35"/>
    <mergeCell ref="AL36:AP36"/>
    <mergeCell ref="AL38:AP38"/>
    <mergeCell ref="AL24:AP24"/>
    <mergeCell ref="AL25:AP25"/>
    <mergeCell ref="AL26:AP26"/>
    <mergeCell ref="AL27:AP27"/>
    <mergeCell ref="AV27:AZ27"/>
    <mergeCell ref="AS28:AS32"/>
    <mergeCell ref="AV28:AZ32"/>
    <mergeCell ref="AV33:AZ33"/>
    <mergeCell ref="AV34:AZ34"/>
    <mergeCell ref="AV22:AZ22"/>
    <mergeCell ref="AV23:AZ23"/>
    <mergeCell ref="AV24:AZ24"/>
    <mergeCell ref="AV25:AZ25"/>
    <mergeCell ref="AV26:AZ26"/>
    <mergeCell ref="AV5:AZ5"/>
    <mergeCell ref="AV7:AZ7"/>
    <mergeCell ref="AV12:AZ12"/>
    <mergeCell ref="AV13:AZ13"/>
    <mergeCell ref="AV14:AZ14"/>
    <mergeCell ref="AV15:AZ15"/>
    <mergeCell ref="AV16:AZ16"/>
    <mergeCell ref="AV17:AZ17"/>
    <mergeCell ref="AV18:AZ18"/>
    <mergeCell ref="BF24:BJ24"/>
    <mergeCell ref="BF25:BJ25"/>
    <mergeCell ref="BF26:BJ26"/>
    <mergeCell ref="BF27:BJ27"/>
    <mergeCell ref="BC28:BC32"/>
    <mergeCell ref="BF28:BJ32"/>
    <mergeCell ref="AV42:AZ42"/>
    <mergeCell ref="AV43:AZ43"/>
    <mergeCell ref="BF5:BJ5"/>
    <mergeCell ref="BF7:BJ7"/>
    <mergeCell ref="BF12:BJ12"/>
    <mergeCell ref="BF13:BJ13"/>
    <mergeCell ref="BF14:BJ14"/>
    <mergeCell ref="BF15:BJ15"/>
    <mergeCell ref="BF16:BJ16"/>
    <mergeCell ref="BF17:BJ17"/>
    <mergeCell ref="BF18:BJ18"/>
    <mergeCell ref="BF19:BJ19"/>
    <mergeCell ref="BF20:BJ20"/>
    <mergeCell ref="BF21:BJ21"/>
    <mergeCell ref="BF22:BJ22"/>
    <mergeCell ref="BF23:BJ23"/>
    <mergeCell ref="AV35:AZ35"/>
    <mergeCell ref="AV36:AZ36"/>
    <mergeCell ref="BF33:BJ33"/>
    <mergeCell ref="BF34:BJ34"/>
    <mergeCell ref="BF35:BJ35"/>
    <mergeCell ref="BF36:BJ36"/>
    <mergeCell ref="BF38:BJ38"/>
    <mergeCell ref="AV38:AZ38"/>
    <mergeCell ref="AV39:AZ39"/>
    <mergeCell ref="AV41:AZ41"/>
    <mergeCell ref="AL39:AP39"/>
    <mergeCell ref="AL41:AP41"/>
    <mergeCell ref="O129:V129"/>
    <mergeCell ref="Y129:AF129"/>
    <mergeCell ref="AI129:AP129"/>
    <mergeCell ref="AS129:AZ129"/>
    <mergeCell ref="BC129:BJ129"/>
    <mergeCell ref="E129:L129"/>
    <mergeCell ref="BF39:BJ39"/>
    <mergeCell ref="BF41:BJ41"/>
    <mergeCell ref="BF42:BJ42"/>
    <mergeCell ref="BF43:BJ43"/>
    <mergeCell ref="AL42:AP42"/>
    <mergeCell ref="AL43:AP43"/>
    <mergeCell ref="R41:V41"/>
    <mergeCell ref="R42:V42"/>
    <mergeCell ref="R43:V43"/>
    <mergeCell ref="H42:L42"/>
    <mergeCell ref="H43:L43"/>
    <mergeCell ref="H39:L39"/>
    <mergeCell ref="H41:L41"/>
    <mergeCell ref="H60:K60"/>
  </mergeCells>
  <conditionalFormatting sqref="E46:E54 E56:E61 E63">
    <cfRule type="expression" dxfId="57" priority="7">
      <formula>$F46="Invalid"</formula>
    </cfRule>
  </conditionalFormatting>
  <conditionalFormatting sqref="O46:O54 O56:O61 O63">
    <cfRule type="expression" dxfId="56" priority="6">
      <formula>$O46="Invalid"</formula>
    </cfRule>
  </conditionalFormatting>
  <conditionalFormatting sqref="Y46:Y54 Y56:Y61 Y63">
    <cfRule type="expression" dxfId="55" priority="5">
      <formula>$Y46="Invalid"</formula>
    </cfRule>
  </conditionalFormatting>
  <conditionalFormatting sqref="AI46:AI54 AI56:AI61 AI63">
    <cfRule type="expression" dxfId="54" priority="4">
      <formula>$AI46="Invalid"</formula>
    </cfRule>
  </conditionalFormatting>
  <conditionalFormatting sqref="AS46:AS54 AS56:AS61 AS63">
    <cfRule type="expression" dxfId="53" priority="3">
      <formula>$AS46="Invalid"</formula>
    </cfRule>
  </conditionalFormatting>
  <conditionalFormatting sqref="BC46:BC54 BC56:BC61 BC63">
    <cfRule type="expression" dxfId="52" priority="2">
      <formula>$BC46="Invalid"</formula>
    </cfRule>
  </conditionalFormatting>
  <conditionalFormatting sqref="H60">
    <cfRule type="expression" dxfId="51" priority="1">
      <formula>$F60="Invalid"</formula>
    </cfRule>
  </conditionalFormatting>
  <dataValidations count="17">
    <dataValidation type="list" allowBlank="1" showInputMessage="1" showErrorMessage="1" sqref="E11 O11 Y11 AI11 AS11 BC11" xr:uid="{00000000-0002-0000-1200-000000000000}">
      <formula1>WeaponList</formula1>
    </dataValidation>
    <dataValidation type="list" allowBlank="1" showInputMessage="1" showErrorMessage="1" sqref="E50:E51 AI50:AI51 AS50:AS51 O50:O51 Y50:Y51 BC50:BC51" xr:uid="{00000000-0002-0000-1200-000001000000}">
      <formula1>ForceAdeptList</formula1>
    </dataValidation>
    <dataValidation type="list" allowBlank="1" showInputMessage="1" showErrorMessage="1" sqref="E48:E49 AI48:AI49 AS48:AS49 O48:O49 Y48:Y49 BC48:BC49" xr:uid="{00000000-0002-0000-1200-000002000000}">
      <formula1>WeaponTemplateList</formula1>
    </dataValidation>
    <dataValidation type="list" allowBlank="1" showInputMessage="1" showErrorMessage="1" sqref="E47 AI47 AS47 O47 Y47 BC47" xr:uid="{00000000-0002-0000-1200-000003000000}">
      <formula1>SuperiorTechWeaponsList</formula1>
    </dataValidation>
    <dataValidation type="list" allowBlank="1" showInputMessage="1" showErrorMessage="1" sqref="E46 AI46 AS46 O46 Y46 BC46" xr:uid="{00000000-0002-0000-1200-000004000000}">
      <formula1>TechSpecialistWeaponsList</formula1>
    </dataValidation>
    <dataValidation type="list" allowBlank="1" showInputMessage="1" showErrorMessage="1" sqref="E53 AI53 AS53 O53 Y53 BC53" xr:uid="{00000000-0002-0000-1200-000005000000}">
      <formula1>WeaponStrippingList</formula1>
    </dataValidation>
    <dataValidation type="list" allowBlank="1" showInputMessage="1" showErrorMessage="1" sqref="E56:E59 AI56:AI59 AS56:AS59 O56:O59 Y56:Y59 BC56:BC59" xr:uid="{00000000-0002-0000-1200-000006000000}">
      <formula1>WeaponAccessoriesList</formula1>
    </dataValidation>
    <dataValidation type="list" allowBlank="1" showInputMessage="1" showErrorMessage="1" sqref="E16 O16 Y16 AI16 AS16 BC16" xr:uid="{00000000-0002-0000-1200-000007000000}">
      <formula1>"One-Handed,Two-Handed,Dual Wield"</formula1>
    </dataValidation>
    <dataValidation type="list" allowBlank="1" showInputMessage="1" showErrorMessage="1" sqref="H12 R12 AB12 AL12 AV12 BF12" xr:uid="{00000000-0002-0000-1200-000008000000}">
      <formula1>"Melee,Ranged"</formula1>
    </dataValidation>
    <dataValidation type="list" allowBlank="1" showInputMessage="1" showErrorMessage="1" sqref="H24 R24 AB24 AL24 AV24 BF24" xr:uid="{00000000-0002-0000-1200-000009000000}">
      <formula1>ROFList</formula1>
    </dataValidation>
    <dataValidation type="list" allowBlank="1" showInputMessage="1" showErrorMessage="1" sqref="E54 Y54 AI54 O54 AS54 BC54" xr:uid="{00000000-0002-0000-1200-00000A000000}">
      <formula1>"Yes"</formula1>
    </dataValidation>
    <dataValidation type="list" allowBlank="1" showInputMessage="1" showErrorMessage="1" sqref="E52 AI52 AS52 O52 Y52 BC52" xr:uid="{00000000-0002-0000-1200-00000B000000}">
      <formula1>SithWeaponAlchemyList</formula1>
    </dataValidation>
    <dataValidation type="list" allowBlank="1" showInputMessage="1" showErrorMessage="1" sqref="E63 AI63 AS63 O63 Y63 BC63" xr:uid="{00000000-0002-0000-1200-00000C000000}">
      <formula1>"Stock Retracted, Stock Extended"</formula1>
    </dataValidation>
    <dataValidation type="list" allowBlank="1" showInputMessage="1" showErrorMessage="1" sqref="E61 AS61 O61 Y61 AI61 BC61" xr:uid="{00000000-0002-0000-1200-00000D000000}">
      <formula1>ArmorMountList</formula1>
    </dataValidation>
    <dataValidation type="list" allowBlank="1" showInputMessage="1" showErrorMessage="1" sqref="BC60 O60 Y60 AI60 AS60" xr:uid="{00000000-0002-0000-1200-00000E000000}">
      <formula1>EquipmentList</formula1>
    </dataValidation>
    <dataValidation type="list" allowBlank="1" showInputMessage="1" showErrorMessage="1" sqref="H60:K60" xr:uid="{D6416458-ABDD-49FD-AC01-1C31CF1A8152}">
      <formula1>DualGearList</formula1>
    </dataValidation>
    <dataValidation type="list" allowBlank="1" showInputMessage="1" showErrorMessage="1" sqref="E60" xr:uid="{EED92158-A154-4657-976F-C14D1615EFEF}">
      <formula1>INDIRECT(DualGearWeapon1)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4" r:id="rId4" name="Button 2">
              <controlPr defaultSize="0" print="0" autoFill="0" autoPict="0" macro="[0]!ClearWeapon1">
                <anchor moveWithCells="1" sizeWithCells="1">
                  <from>
                    <xdr:col>4</xdr:col>
                    <xdr:colOff>38100</xdr:colOff>
                    <xdr:row>2</xdr:row>
                    <xdr:rowOff>19050</xdr:rowOff>
                  </from>
                  <to>
                    <xdr:col>4</xdr:col>
                    <xdr:colOff>641350</xdr:colOff>
                    <xdr:row>3</xdr:row>
                    <xdr:rowOff>19050</xdr:rowOff>
                  </to>
                </anchor>
              </controlPr>
            </control>
          </mc:Choice>
        </mc:AlternateContent>
        <mc:AlternateContent xmlns:mc="http://schemas.openxmlformats.org/markup-compatibility/2006">
          <mc:Choice Requires="x14">
            <control shapeId="33803" r:id="rId5" name="Button 11">
              <controlPr defaultSize="0" print="0" autoFill="0" autoPict="0" macro="[0]!ClearAllWeapons">
                <anchor moveWithCells="1" sizeWithCells="1">
                  <from>
                    <xdr:col>2</xdr:col>
                    <xdr:colOff>831850</xdr:colOff>
                    <xdr:row>2</xdr:row>
                    <xdr:rowOff>19050</xdr:rowOff>
                  </from>
                  <to>
                    <xdr:col>2</xdr:col>
                    <xdr:colOff>1422400</xdr:colOff>
                    <xdr:row>3</xdr:row>
                    <xdr:rowOff>19050</xdr:rowOff>
                  </to>
                </anchor>
              </controlPr>
            </control>
          </mc:Choice>
        </mc:AlternateContent>
        <mc:AlternateContent xmlns:mc="http://schemas.openxmlformats.org/markup-compatibility/2006">
          <mc:Choice Requires="x14">
            <control shapeId="33809" r:id="rId6" name="Button 17">
              <controlPr defaultSize="0" print="0" autoFill="0" autoPict="0" macro="[0]!ClearWeapon1">
                <anchor moveWithCells="1" sizeWithCells="1">
                  <from>
                    <xdr:col>14</xdr:col>
                    <xdr:colOff>38100</xdr:colOff>
                    <xdr:row>2</xdr:row>
                    <xdr:rowOff>19050</xdr:rowOff>
                  </from>
                  <to>
                    <xdr:col>14</xdr:col>
                    <xdr:colOff>641350</xdr:colOff>
                    <xdr:row>3</xdr:row>
                    <xdr:rowOff>19050</xdr:rowOff>
                  </to>
                </anchor>
              </controlPr>
            </control>
          </mc:Choice>
        </mc:AlternateContent>
        <mc:AlternateContent xmlns:mc="http://schemas.openxmlformats.org/markup-compatibility/2006">
          <mc:Choice Requires="x14">
            <control shapeId="33810" r:id="rId7" name="Button 18">
              <controlPr defaultSize="0" print="0" autoFill="0" autoPict="0" macro="[0]!ClearWeapon1">
                <anchor moveWithCells="1" sizeWithCells="1">
                  <from>
                    <xdr:col>24</xdr:col>
                    <xdr:colOff>38100</xdr:colOff>
                    <xdr:row>2</xdr:row>
                    <xdr:rowOff>19050</xdr:rowOff>
                  </from>
                  <to>
                    <xdr:col>24</xdr:col>
                    <xdr:colOff>641350</xdr:colOff>
                    <xdr:row>3</xdr:row>
                    <xdr:rowOff>19050</xdr:rowOff>
                  </to>
                </anchor>
              </controlPr>
            </control>
          </mc:Choice>
        </mc:AlternateContent>
        <mc:AlternateContent xmlns:mc="http://schemas.openxmlformats.org/markup-compatibility/2006">
          <mc:Choice Requires="x14">
            <control shapeId="33811" r:id="rId8" name="Button 19">
              <controlPr defaultSize="0" print="0" autoFill="0" autoPict="0" macro="[0]!ClearWeapon1">
                <anchor moveWithCells="1" sizeWithCells="1">
                  <from>
                    <xdr:col>34</xdr:col>
                    <xdr:colOff>38100</xdr:colOff>
                    <xdr:row>2</xdr:row>
                    <xdr:rowOff>19050</xdr:rowOff>
                  </from>
                  <to>
                    <xdr:col>34</xdr:col>
                    <xdr:colOff>641350</xdr:colOff>
                    <xdr:row>3</xdr:row>
                    <xdr:rowOff>19050</xdr:rowOff>
                  </to>
                </anchor>
              </controlPr>
            </control>
          </mc:Choice>
        </mc:AlternateContent>
        <mc:AlternateContent xmlns:mc="http://schemas.openxmlformats.org/markup-compatibility/2006">
          <mc:Choice Requires="x14">
            <control shapeId="33812" r:id="rId9" name="Button 20">
              <controlPr defaultSize="0" print="0" autoFill="0" autoPict="0" macro="[0]!ClearWeapon1">
                <anchor moveWithCells="1" sizeWithCells="1">
                  <from>
                    <xdr:col>44</xdr:col>
                    <xdr:colOff>38100</xdr:colOff>
                    <xdr:row>2</xdr:row>
                    <xdr:rowOff>19050</xdr:rowOff>
                  </from>
                  <to>
                    <xdr:col>44</xdr:col>
                    <xdr:colOff>641350</xdr:colOff>
                    <xdr:row>3</xdr:row>
                    <xdr:rowOff>19050</xdr:rowOff>
                  </to>
                </anchor>
              </controlPr>
            </control>
          </mc:Choice>
        </mc:AlternateContent>
        <mc:AlternateContent xmlns:mc="http://schemas.openxmlformats.org/markup-compatibility/2006">
          <mc:Choice Requires="x14">
            <control shapeId="33813" r:id="rId10" name="Button 21">
              <controlPr defaultSize="0" print="0" autoFill="0" autoPict="0" macro="[0]!ClearWeapon1">
                <anchor moveWithCells="1" sizeWithCells="1">
                  <from>
                    <xdr:col>54</xdr:col>
                    <xdr:colOff>38100</xdr:colOff>
                    <xdr:row>2</xdr:row>
                    <xdr:rowOff>19050</xdr:rowOff>
                  </from>
                  <to>
                    <xdr:col>54</xdr:col>
                    <xdr:colOff>641350</xdr:colOff>
                    <xdr:row>3</xdr:row>
                    <xdr:rowOff>19050</xdr:rowOff>
                  </to>
                </anchor>
              </controlPr>
            </control>
          </mc:Choice>
        </mc:AlternateContent>
        <mc:AlternateContent xmlns:mc="http://schemas.openxmlformats.org/markup-compatibility/2006">
          <mc:Choice Requires="x14">
            <control shapeId="33814" r:id="rId11" name="Button 22">
              <controlPr defaultSize="0" print="0" autoFill="0" autoPict="0" macro="[0]!ClearWeapon1">
                <anchor moveWithCells="1" sizeWithCells="1">
                  <from>
                    <xdr:col>14</xdr:col>
                    <xdr:colOff>38100</xdr:colOff>
                    <xdr:row>2</xdr:row>
                    <xdr:rowOff>19050</xdr:rowOff>
                  </from>
                  <to>
                    <xdr:col>14</xdr:col>
                    <xdr:colOff>641350</xdr:colOff>
                    <xdr:row>3</xdr:row>
                    <xdr:rowOff>19050</xdr:rowOff>
                  </to>
                </anchor>
              </controlPr>
            </control>
          </mc:Choice>
        </mc:AlternateContent>
        <mc:AlternateContent xmlns:mc="http://schemas.openxmlformats.org/markup-compatibility/2006">
          <mc:Choice Requires="x14">
            <control shapeId="33815" r:id="rId12" name="Button 23">
              <controlPr defaultSize="0" print="0" autoFill="0" autoPict="0" macro="[0]!ClearWeapon1">
                <anchor moveWithCells="1" sizeWithCells="1">
                  <from>
                    <xdr:col>24</xdr:col>
                    <xdr:colOff>38100</xdr:colOff>
                    <xdr:row>2</xdr:row>
                    <xdr:rowOff>19050</xdr:rowOff>
                  </from>
                  <to>
                    <xdr:col>24</xdr:col>
                    <xdr:colOff>641350</xdr:colOff>
                    <xdr:row>3</xdr:row>
                    <xdr:rowOff>19050</xdr:rowOff>
                  </to>
                </anchor>
              </controlPr>
            </control>
          </mc:Choice>
        </mc:AlternateContent>
        <mc:AlternateContent xmlns:mc="http://schemas.openxmlformats.org/markup-compatibility/2006">
          <mc:Choice Requires="x14">
            <control shapeId="33816" r:id="rId13" name="Button 24">
              <controlPr defaultSize="0" print="0" autoFill="0" autoPict="0" macro="[0]!ClearWeapon1">
                <anchor moveWithCells="1" sizeWithCells="1">
                  <from>
                    <xdr:col>34</xdr:col>
                    <xdr:colOff>38100</xdr:colOff>
                    <xdr:row>2</xdr:row>
                    <xdr:rowOff>19050</xdr:rowOff>
                  </from>
                  <to>
                    <xdr:col>34</xdr:col>
                    <xdr:colOff>641350</xdr:colOff>
                    <xdr:row>3</xdr:row>
                    <xdr:rowOff>19050</xdr:rowOff>
                  </to>
                </anchor>
              </controlPr>
            </control>
          </mc:Choice>
        </mc:AlternateContent>
        <mc:AlternateContent xmlns:mc="http://schemas.openxmlformats.org/markup-compatibility/2006">
          <mc:Choice Requires="x14">
            <control shapeId="33817" r:id="rId14" name="Button 25">
              <controlPr defaultSize="0" print="0" autoFill="0" autoPict="0" macro="[0]!ClearWeapon1">
                <anchor moveWithCells="1" sizeWithCells="1">
                  <from>
                    <xdr:col>44</xdr:col>
                    <xdr:colOff>38100</xdr:colOff>
                    <xdr:row>2</xdr:row>
                    <xdr:rowOff>19050</xdr:rowOff>
                  </from>
                  <to>
                    <xdr:col>44</xdr:col>
                    <xdr:colOff>641350</xdr:colOff>
                    <xdr:row>3</xdr:row>
                    <xdr:rowOff>19050</xdr:rowOff>
                  </to>
                </anchor>
              </controlPr>
            </control>
          </mc:Choice>
        </mc:AlternateContent>
        <mc:AlternateContent xmlns:mc="http://schemas.openxmlformats.org/markup-compatibility/2006">
          <mc:Choice Requires="x14">
            <control shapeId="33818" r:id="rId15" name="Button 26">
              <controlPr defaultSize="0" print="0" autoFill="0" autoPict="0" macro="[0]!ClearWeapon1">
                <anchor moveWithCells="1" sizeWithCells="1">
                  <from>
                    <xdr:col>54</xdr:col>
                    <xdr:colOff>38100</xdr:colOff>
                    <xdr:row>2</xdr:row>
                    <xdr:rowOff>19050</xdr:rowOff>
                  </from>
                  <to>
                    <xdr:col>54</xdr:col>
                    <xdr:colOff>641350</xdr:colOff>
                    <xdr:row>3</xdr:row>
                    <xdr:rowOff>19050</xdr:rowOff>
                  </to>
                </anchor>
              </controlPr>
            </control>
          </mc:Choice>
        </mc:AlternateContent>
        <mc:AlternateContent xmlns:mc="http://schemas.openxmlformats.org/markup-compatibility/2006">
          <mc:Choice Requires="x14">
            <control shapeId="33820" r:id="rId16" name="Check Box 28">
              <controlPr defaultSize="0" autoFill="0" autoLine="0" autoPict="0">
                <anchor moveWithCells="1">
                  <from>
                    <xdr:col>7</xdr:col>
                    <xdr:colOff>31750</xdr:colOff>
                    <xdr:row>8</xdr:row>
                    <xdr:rowOff>50800</xdr:rowOff>
                  </from>
                  <to>
                    <xdr:col>12</xdr:col>
                    <xdr:colOff>12700</xdr:colOff>
                    <xdr:row>9</xdr:row>
                    <xdr:rowOff>69850</xdr:rowOff>
                  </to>
                </anchor>
              </controlPr>
            </control>
          </mc:Choice>
        </mc:AlternateContent>
        <mc:AlternateContent xmlns:mc="http://schemas.openxmlformats.org/markup-compatibility/2006">
          <mc:Choice Requires="x14">
            <control shapeId="33821" r:id="rId17" name="Button 29">
              <controlPr defaultSize="0" print="0" autoFill="0" autoPict="0" macro="[0]!ClearWeapon2">
                <anchor moveWithCells="1" sizeWithCells="1">
                  <from>
                    <xdr:col>14</xdr:col>
                    <xdr:colOff>38100</xdr:colOff>
                    <xdr:row>2</xdr:row>
                    <xdr:rowOff>19050</xdr:rowOff>
                  </from>
                  <to>
                    <xdr:col>14</xdr:col>
                    <xdr:colOff>641350</xdr:colOff>
                    <xdr:row>3</xdr:row>
                    <xdr:rowOff>19050</xdr:rowOff>
                  </to>
                </anchor>
              </controlPr>
            </control>
          </mc:Choice>
        </mc:AlternateContent>
        <mc:AlternateContent xmlns:mc="http://schemas.openxmlformats.org/markup-compatibility/2006">
          <mc:Choice Requires="x14">
            <control shapeId="33822" r:id="rId18" name="Button 30">
              <controlPr defaultSize="0" print="0" autoFill="0" autoPict="0" macro="[0]!ClearWeapon2">
                <anchor moveWithCells="1" sizeWithCells="1">
                  <from>
                    <xdr:col>24</xdr:col>
                    <xdr:colOff>38100</xdr:colOff>
                    <xdr:row>2</xdr:row>
                    <xdr:rowOff>19050</xdr:rowOff>
                  </from>
                  <to>
                    <xdr:col>24</xdr:col>
                    <xdr:colOff>641350</xdr:colOff>
                    <xdr:row>3</xdr:row>
                    <xdr:rowOff>19050</xdr:rowOff>
                  </to>
                </anchor>
              </controlPr>
            </control>
          </mc:Choice>
        </mc:AlternateContent>
        <mc:AlternateContent xmlns:mc="http://schemas.openxmlformats.org/markup-compatibility/2006">
          <mc:Choice Requires="x14">
            <control shapeId="33823" r:id="rId19" name="Button 31">
              <controlPr defaultSize="0" print="0" autoFill="0" autoPict="0" macro="[0]!ClearWeapon4">
                <anchor moveWithCells="1" sizeWithCells="1">
                  <from>
                    <xdr:col>34</xdr:col>
                    <xdr:colOff>38100</xdr:colOff>
                    <xdr:row>2</xdr:row>
                    <xdr:rowOff>19050</xdr:rowOff>
                  </from>
                  <to>
                    <xdr:col>34</xdr:col>
                    <xdr:colOff>641350</xdr:colOff>
                    <xdr:row>3</xdr:row>
                    <xdr:rowOff>19050</xdr:rowOff>
                  </to>
                </anchor>
              </controlPr>
            </control>
          </mc:Choice>
        </mc:AlternateContent>
        <mc:AlternateContent xmlns:mc="http://schemas.openxmlformats.org/markup-compatibility/2006">
          <mc:Choice Requires="x14">
            <control shapeId="33824" r:id="rId20" name="Button 32">
              <controlPr defaultSize="0" print="0" autoFill="0" autoPict="0" macro="[0]!ClearWeapon5">
                <anchor moveWithCells="1" sizeWithCells="1">
                  <from>
                    <xdr:col>44</xdr:col>
                    <xdr:colOff>38100</xdr:colOff>
                    <xdr:row>2</xdr:row>
                    <xdr:rowOff>19050</xdr:rowOff>
                  </from>
                  <to>
                    <xdr:col>44</xdr:col>
                    <xdr:colOff>641350</xdr:colOff>
                    <xdr:row>3</xdr:row>
                    <xdr:rowOff>19050</xdr:rowOff>
                  </to>
                </anchor>
              </controlPr>
            </control>
          </mc:Choice>
        </mc:AlternateContent>
        <mc:AlternateContent xmlns:mc="http://schemas.openxmlformats.org/markup-compatibility/2006">
          <mc:Choice Requires="x14">
            <control shapeId="33825" r:id="rId21" name="Button 33">
              <controlPr defaultSize="0" print="0" autoFill="0" autoPict="0" macro="[0]!ClearWeapon6">
                <anchor moveWithCells="1" sizeWithCells="1">
                  <from>
                    <xdr:col>54</xdr:col>
                    <xdr:colOff>38100</xdr:colOff>
                    <xdr:row>2</xdr:row>
                    <xdr:rowOff>19050</xdr:rowOff>
                  </from>
                  <to>
                    <xdr:col>54</xdr:col>
                    <xdr:colOff>641350</xdr:colOff>
                    <xdr:row>3</xdr:row>
                    <xdr:rowOff>19050</xdr:rowOff>
                  </to>
                </anchor>
              </controlPr>
            </control>
          </mc:Choice>
        </mc:AlternateContent>
        <mc:AlternateContent xmlns:mc="http://schemas.openxmlformats.org/markup-compatibility/2006">
          <mc:Choice Requires="x14">
            <control shapeId="33827" r:id="rId22" name="Check Box 35">
              <controlPr defaultSize="0" autoFill="0" autoLine="0" autoPict="0">
                <anchor moveWithCells="1">
                  <from>
                    <xdr:col>27</xdr:col>
                    <xdr:colOff>31750</xdr:colOff>
                    <xdr:row>8</xdr:row>
                    <xdr:rowOff>50800</xdr:rowOff>
                  </from>
                  <to>
                    <xdr:col>32</xdr:col>
                    <xdr:colOff>12700</xdr:colOff>
                    <xdr:row>9</xdr:row>
                    <xdr:rowOff>69850</xdr:rowOff>
                  </to>
                </anchor>
              </controlPr>
            </control>
          </mc:Choice>
        </mc:AlternateContent>
        <mc:AlternateContent xmlns:mc="http://schemas.openxmlformats.org/markup-compatibility/2006">
          <mc:Choice Requires="x14">
            <control shapeId="33828" r:id="rId23" name="Check Box 36">
              <controlPr defaultSize="0" autoFill="0" autoLine="0" autoPict="0">
                <anchor moveWithCells="1">
                  <from>
                    <xdr:col>37</xdr:col>
                    <xdr:colOff>31750</xdr:colOff>
                    <xdr:row>8</xdr:row>
                    <xdr:rowOff>50800</xdr:rowOff>
                  </from>
                  <to>
                    <xdr:col>42</xdr:col>
                    <xdr:colOff>12700</xdr:colOff>
                    <xdr:row>9</xdr:row>
                    <xdr:rowOff>69850</xdr:rowOff>
                  </to>
                </anchor>
              </controlPr>
            </control>
          </mc:Choice>
        </mc:AlternateContent>
        <mc:AlternateContent xmlns:mc="http://schemas.openxmlformats.org/markup-compatibility/2006">
          <mc:Choice Requires="x14">
            <control shapeId="33829" r:id="rId24" name="Check Box 37">
              <controlPr defaultSize="0" autoFill="0" autoLine="0" autoPict="0">
                <anchor moveWithCells="1">
                  <from>
                    <xdr:col>47</xdr:col>
                    <xdr:colOff>31750</xdr:colOff>
                    <xdr:row>8</xdr:row>
                    <xdr:rowOff>50800</xdr:rowOff>
                  </from>
                  <to>
                    <xdr:col>52</xdr:col>
                    <xdr:colOff>12700</xdr:colOff>
                    <xdr:row>9</xdr:row>
                    <xdr:rowOff>69850</xdr:rowOff>
                  </to>
                </anchor>
              </controlPr>
            </control>
          </mc:Choice>
        </mc:AlternateContent>
        <mc:AlternateContent xmlns:mc="http://schemas.openxmlformats.org/markup-compatibility/2006">
          <mc:Choice Requires="x14">
            <control shapeId="33830" r:id="rId25" name="Check Box 38">
              <controlPr defaultSize="0" autoFill="0" autoLine="0" autoPict="0">
                <anchor moveWithCells="1">
                  <from>
                    <xdr:col>57</xdr:col>
                    <xdr:colOff>31750</xdr:colOff>
                    <xdr:row>8</xdr:row>
                    <xdr:rowOff>50800</xdr:rowOff>
                  </from>
                  <to>
                    <xdr:col>62</xdr:col>
                    <xdr:colOff>12700</xdr:colOff>
                    <xdr:row>9</xdr:row>
                    <xdr:rowOff>69850</xdr:rowOff>
                  </to>
                </anchor>
              </controlPr>
            </control>
          </mc:Choice>
        </mc:AlternateContent>
        <mc:AlternateContent xmlns:mc="http://schemas.openxmlformats.org/markup-compatibility/2006">
          <mc:Choice Requires="x14">
            <control shapeId="33831" r:id="rId26" name="Check Box 39">
              <controlPr defaultSize="0" autoFill="0" autoLine="0" autoPict="0">
                <anchor moveWithCells="1">
                  <from>
                    <xdr:col>17</xdr:col>
                    <xdr:colOff>31750</xdr:colOff>
                    <xdr:row>8</xdr:row>
                    <xdr:rowOff>50800</xdr:rowOff>
                  </from>
                  <to>
                    <xdr:col>22</xdr:col>
                    <xdr:colOff>12700</xdr:colOff>
                    <xdr:row>9</xdr:row>
                    <xdr:rowOff>69850</xdr:rowOff>
                  </to>
                </anchor>
              </controlPr>
            </control>
          </mc:Choice>
        </mc:AlternateContent>
        <mc:AlternateContent xmlns:mc="http://schemas.openxmlformats.org/markup-compatibility/2006">
          <mc:Choice Requires="x14">
            <control shapeId="33834" r:id="rId27" name="Button 42">
              <controlPr defaultSize="0" print="0" autoFill="0" autoPict="0" macro="[0]!ClearWeapon2">
                <anchor moveWithCells="1" sizeWithCells="1">
                  <from>
                    <xdr:col>14</xdr:col>
                    <xdr:colOff>38100</xdr:colOff>
                    <xdr:row>2</xdr:row>
                    <xdr:rowOff>19050</xdr:rowOff>
                  </from>
                  <to>
                    <xdr:col>14</xdr:col>
                    <xdr:colOff>641350</xdr:colOff>
                    <xdr:row>3</xdr:row>
                    <xdr:rowOff>19050</xdr:rowOff>
                  </to>
                </anchor>
              </controlPr>
            </control>
          </mc:Choice>
        </mc:AlternateContent>
        <mc:AlternateContent xmlns:mc="http://schemas.openxmlformats.org/markup-compatibility/2006">
          <mc:Choice Requires="x14">
            <control shapeId="33835" r:id="rId28" name="Button 43">
              <controlPr defaultSize="0" print="0" autoFill="0" autoPict="0" macro="[0]!ClearWeapon3">
                <anchor moveWithCells="1" sizeWithCells="1">
                  <from>
                    <xdr:col>24</xdr:col>
                    <xdr:colOff>38100</xdr:colOff>
                    <xdr:row>2</xdr:row>
                    <xdr:rowOff>19050</xdr:rowOff>
                  </from>
                  <to>
                    <xdr:col>24</xdr:col>
                    <xdr:colOff>641350</xdr:colOff>
                    <xdr:row>3</xdr:row>
                    <xdr:rowOff>19050</xdr:rowOff>
                  </to>
                </anchor>
              </controlPr>
            </control>
          </mc:Choice>
        </mc:AlternateContent>
        <mc:AlternateContent xmlns:mc="http://schemas.openxmlformats.org/markup-compatibility/2006">
          <mc:Choice Requires="x14">
            <control shapeId="33836" r:id="rId29" name="Button 44">
              <controlPr defaultSize="0" print="0" autoFill="0" autoPict="0" macro="[0]!ClearWeapon4">
                <anchor moveWithCells="1" sizeWithCells="1">
                  <from>
                    <xdr:col>34</xdr:col>
                    <xdr:colOff>38100</xdr:colOff>
                    <xdr:row>2</xdr:row>
                    <xdr:rowOff>19050</xdr:rowOff>
                  </from>
                  <to>
                    <xdr:col>34</xdr:col>
                    <xdr:colOff>641350</xdr:colOff>
                    <xdr:row>3</xdr:row>
                    <xdr:rowOff>19050</xdr:rowOff>
                  </to>
                </anchor>
              </controlPr>
            </control>
          </mc:Choice>
        </mc:AlternateContent>
        <mc:AlternateContent xmlns:mc="http://schemas.openxmlformats.org/markup-compatibility/2006">
          <mc:Choice Requires="x14">
            <control shapeId="33837" r:id="rId30" name="Button 45">
              <controlPr defaultSize="0" print="0" autoFill="0" autoPict="0" macro="[0]!ClearWeapon5">
                <anchor moveWithCells="1" sizeWithCells="1">
                  <from>
                    <xdr:col>44</xdr:col>
                    <xdr:colOff>38100</xdr:colOff>
                    <xdr:row>2</xdr:row>
                    <xdr:rowOff>19050</xdr:rowOff>
                  </from>
                  <to>
                    <xdr:col>44</xdr:col>
                    <xdr:colOff>641350</xdr:colOff>
                    <xdr:row>3</xdr:row>
                    <xdr:rowOff>19050</xdr:rowOff>
                  </to>
                </anchor>
              </controlPr>
            </control>
          </mc:Choice>
        </mc:AlternateContent>
        <mc:AlternateContent xmlns:mc="http://schemas.openxmlformats.org/markup-compatibility/2006">
          <mc:Choice Requires="x14">
            <control shapeId="33838" r:id="rId31" name="Button 46">
              <controlPr defaultSize="0" print="0" autoFill="0" autoPict="0" macro="[0]!ClearWeapon6">
                <anchor moveWithCells="1" sizeWithCells="1">
                  <from>
                    <xdr:col>54</xdr:col>
                    <xdr:colOff>38100</xdr:colOff>
                    <xdr:row>2</xdr:row>
                    <xdr:rowOff>19050</xdr:rowOff>
                  </from>
                  <to>
                    <xdr:col>54</xdr:col>
                    <xdr:colOff>641350</xdr:colOff>
                    <xdr:row>3</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B1:V70"/>
  <sheetViews>
    <sheetView showGridLines="0" showRowColHeaders="0" zoomScaleNormal="100" workbookViewId="0">
      <selection activeCell="G3" sqref="G3"/>
    </sheetView>
  </sheetViews>
  <sheetFormatPr defaultColWidth="9.1796875" defaultRowHeight="14.5"/>
  <cols>
    <col min="1" max="2" width="2.81640625" style="630" customWidth="1"/>
    <col min="3" max="3" width="34.1796875" style="630" customWidth="1"/>
    <col min="4" max="4" width="10.453125" style="16" customWidth="1"/>
    <col min="5" max="7" width="9.1796875" style="16"/>
    <col min="8" max="8" width="20.7265625" style="630" customWidth="1"/>
    <col min="9" max="9" width="20.7265625" style="642" customWidth="1"/>
    <col min="10" max="10" width="11.1796875" style="630" customWidth="1"/>
    <col min="11" max="11" width="9.1796875" style="642"/>
    <col min="12" max="12" width="2.81640625" style="630" customWidth="1"/>
    <col min="13" max="13" width="20.7265625" style="630" hidden="1" customWidth="1"/>
    <col min="14" max="14" width="13.81640625" style="630" hidden="1" customWidth="1"/>
    <col min="15" max="15" width="35.54296875" style="630" hidden="1" customWidth="1"/>
    <col min="16" max="16" width="14.453125" style="630" hidden="1" customWidth="1"/>
    <col min="17" max="22" width="9.1796875" style="630" hidden="1" customWidth="1"/>
    <col min="23" max="33" width="0" style="630" hidden="1" customWidth="1"/>
    <col min="34" max="16384" width="9.1796875" style="630"/>
  </cols>
  <sheetData>
    <row r="1" spans="2:20" ht="15" thickBot="1"/>
    <row r="2" spans="2:20">
      <c r="B2" s="22"/>
      <c r="C2" s="1159"/>
      <c r="D2" s="24"/>
      <c r="E2" s="24"/>
      <c r="F2" s="24"/>
      <c r="G2" s="24"/>
      <c r="H2" s="1159"/>
      <c r="I2" s="1159"/>
      <c r="J2" s="1159"/>
      <c r="K2" s="1159"/>
      <c r="L2" s="25"/>
    </row>
    <row r="3" spans="2:20" ht="21">
      <c r="B3" s="26"/>
      <c r="C3" s="1160" t="s">
        <v>134</v>
      </c>
      <c r="D3" s="530"/>
      <c r="E3" s="1165"/>
      <c r="F3" s="1266" t="s">
        <v>4086</v>
      </c>
      <c r="G3" s="609"/>
      <c r="H3" s="74" t="s">
        <v>5777</v>
      </c>
      <c r="I3" s="800">
        <f>SUM(E8:E12,E15:E19,E22:E69)</f>
        <v>0</v>
      </c>
      <c r="J3" s="1153"/>
      <c r="K3" s="1153"/>
      <c r="L3" s="29"/>
    </row>
    <row r="4" spans="2:20">
      <c r="B4" s="26"/>
      <c r="C4" s="1153"/>
      <c r="D4" s="1165"/>
      <c r="E4" s="1165"/>
      <c r="F4" s="1165"/>
      <c r="G4" s="1165"/>
      <c r="H4" s="1153"/>
      <c r="I4" s="1153"/>
      <c r="J4" s="1153"/>
      <c r="K4" s="1153"/>
      <c r="L4" s="29"/>
    </row>
    <row r="5" spans="2:20">
      <c r="B5" s="26"/>
      <c r="C5" s="1153" t="s">
        <v>4530</v>
      </c>
      <c r="D5" s="1165"/>
      <c r="E5" s="1165"/>
      <c r="F5" s="1165"/>
      <c r="G5" s="1165"/>
      <c r="H5" s="1153"/>
      <c r="I5" s="1153"/>
      <c r="J5" s="1153"/>
      <c r="K5" s="1153"/>
      <c r="L5" s="29"/>
    </row>
    <row r="6" spans="2:20" s="642" customFormat="1">
      <c r="B6" s="26"/>
      <c r="C6" s="1153"/>
      <c r="D6" s="1165"/>
      <c r="E6" s="1165"/>
      <c r="F6" s="1165"/>
      <c r="G6" s="1165"/>
      <c r="H6" s="1153"/>
      <c r="I6" s="1153"/>
      <c r="J6" s="1153"/>
      <c r="K6" s="1153"/>
      <c r="L6" s="29"/>
    </row>
    <row r="7" spans="2:20" s="642" customFormat="1">
      <c r="B7" s="26"/>
      <c r="C7" s="1158" t="s">
        <v>4529</v>
      </c>
      <c r="D7" s="1156" t="s">
        <v>4070</v>
      </c>
      <c r="E7" s="1156" t="s">
        <v>3691</v>
      </c>
      <c r="F7" s="1156" t="s">
        <v>106</v>
      </c>
      <c r="G7" s="1166"/>
      <c r="H7" s="75"/>
      <c r="I7" s="75"/>
      <c r="J7" s="1156" t="s">
        <v>11</v>
      </c>
      <c r="K7" s="75"/>
      <c r="L7" s="29"/>
      <c r="O7" s="630" t="str">
        <f>IF(WeaponsEquippedNameList&lt;&gt;"",WeaponsEquippedNameList,"")&amp;O8</f>
        <v/>
      </c>
      <c r="P7" s="630" t="str">
        <f>IF(WeaponEquippedWeightList&lt;&gt;"",WeaponEquippedWeightList,"")&amp;P8</f>
        <v/>
      </c>
      <c r="Q7" s="642" t="str">
        <f>IF(WeaponEquippedNumberList&lt;&gt;"",WeaponEquippedNumberList,"")&amp;Q8</f>
        <v/>
      </c>
      <c r="R7" s="642" t="str">
        <f>IF(WeaponsEquippedNameList&lt;&gt;"",WeaponsEquippedNameList,"")&amp;R8</f>
        <v/>
      </c>
      <c r="S7" s="642" t="str">
        <f>IF(WeaponEquippedWeightList&lt;&gt;"",WeaponEquippedWeightList,"")&amp;S8</f>
        <v/>
      </c>
      <c r="T7" s="642" t="str">
        <f>IF(WeaponEquippedNumberList&lt;&gt;"",WeaponEquippedNumberList,"")&amp;T8</f>
        <v/>
      </c>
    </row>
    <row r="8" spans="2:20" s="642" customFormat="1">
      <c r="B8" s="26"/>
      <c r="C8" s="510"/>
      <c r="D8" s="1165"/>
      <c r="E8" s="1157" t="str">
        <f>IF(C8&lt;&gt;"",INDEX(WeaponTable,MATCH(C8,WeaponList,0),25)*IF(D8&lt;&gt;"",D8,1),"")</f>
        <v/>
      </c>
      <c r="F8" s="1267" t="str">
        <f>IF(C8&lt;&gt;"",INDEX(WeaponTable,MATCH(C8,WeaponList,0),26)*IF(D8&lt;&gt;"",D8,1),"")</f>
        <v/>
      </c>
      <c r="G8" s="1165"/>
      <c r="H8" s="1153"/>
      <c r="I8" s="1153"/>
      <c r="J8" s="1165" t="str">
        <f>IF(C8&lt;&gt;"",INDEX(SizeTable,MATCH(INDEX(SizeTable,MATCH(INDEX(WeaponTable,MATCH(C8,WeaponList,0),6),SizeAbrList,0),3)+IF(OR(H8="Miniaturized",I8="Miniaturized"),-1,0)+IF(K8="Increased",1,0),SizeNumber,0),2),"")</f>
        <v/>
      </c>
      <c r="K8" s="1153"/>
      <c r="L8" s="29"/>
      <c r="M8" s="960" t="str">
        <f>IF(C8&lt;&gt;"",IF(D8&lt;=1,INDEX(WeaponTable,MATCH(C8,WeaponList,0),31),D8&amp;" "&amp;INDEX(WeaponTable,MATCH(C8,WeaponList,0),32)),"")</f>
        <v/>
      </c>
      <c r="N8" s="960" t="str">
        <f>M8&amp;IF(OR(H8&lt;&gt;"",I8&lt;&gt;"")," ("&amp;IF(H8&lt;&gt;"",H8,"")&amp;IF(AND(H8&lt;&gt;"",I8&lt;&gt;""),", ","")&amp;IF(I8&lt;&gt;"",I8,"")&amp;")","")</f>
        <v/>
      </c>
      <c r="O8" s="673" t="str">
        <f>IF(N8&lt;&gt;"",N8&amp;";"&amp;O9,O9)</f>
        <v/>
      </c>
      <c r="P8" s="642" t="str">
        <f>IF(N8&lt;&gt;"",F8&amp;";"&amp;P9,P9)</f>
        <v/>
      </c>
      <c r="Q8" s="642" t="str">
        <f>IF(N8&lt;&gt;"",IF(D8&lt;&gt;"",D8,1)&amp;";"&amp;Q9,Q9)</f>
        <v/>
      </c>
      <c r="R8" s="642" t="str">
        <f>IF(N8&lt;&gt;"",N8&amp;";"&amp;R9,R9)</f>
        <v/>
      </c>
      <c r="S8" s="642" t="str">
        <f>IF(N8&lt;&gt;"",F8&amp;";"&amp;S9,S9)</f>
        <v/>
      </c>
      <c r="T8" s="642" t="str">
        <f>IF(N8&lt;&gt;"",IF(D8&lt;&gt;"",D8,1)&amp;";"&amp;T9,T9)</f>
        <v/>
      </c>
    </row>
    <row r="9" spans="2:20" s="642" customFormat="1">
      <c r="B9" s="26"/>
      <c r="C9" s="510"/>
      <c r="D9" s="1165"/>
      <c r="E9" s="1157" t="str">
        <f>IF(C9&lt;&gt;"",INDEX(WeaponTable,MATCH(C9,WeaponList,0),25)*IF(D9&lt;&gt;"",D9,1),"")</f>
        <v/>
      </c>
      <c r="F9" s="1267" t="str">
        <f>IF(C9&lt;&gt;"",INDEX(WeaponTable,MATCH(C9,WeaponList,0),26)*IF(D9&lt;&gt;"",D9,1),"")</f>
        <v/>
      </c>
      <c r="G9" s="1165"/>
      <c r="H9" s="1153"/>
      <c r="I9" s="1153"/>
      <c r="J9" s="1165" t="str">
        <f>IF(C9&lt;&gt;"",INDEX(SizeTable,MATCH(INDEX(SizeTable,MATCH(INDEX(WeaponTable,MATCH(C9,WeaponList,0),6),SizeAbrList,0),3)+IF(OR(H9="Miniaturized",I9="Miniaturized"),-1,0)+IF(K9="Increased",1,0),SizeNumber,0),2),"")</f>
        <v/>
      </c>
      <c r="K9" s="1153"/>
      <c r="L9" s="29"/>
      <c r="M9" s="960" t="str">
        <f>IF(C9&lt;&gt;"",IF(D9&lt;=1,INDEX(WeaponTable,MATCH(C9,WeaponList,0),31),D9&amp;" "&amp;INDEX(WeaponTable,MATCH(C9,WeaponList,0),32)),"")</f>
        <v/>
      </c>
      <c r="N9" s="960" t="str">
        <f>M9&amp;IF(OR(H9&lt;&gt;"",I9&lt;&gt;"")," ("&amp;IF(H9&lt;&gt;"",H9,"")&amp;IF(AND(H9&lt;&gt;"",I9&lt;&gt;""),", ","")&amp;IF(I9&lt;&gt;"",I9,"")&amp;")","")</f>
        <v/>
      </c>
      <c r="O9" s="673" t="str">
        <f>IF(N9&lt;&gt;"",N9&amp;";"&amp;O10,O10)</f>
        <v/>
      </c>
      <c r="P9" s="642" t="str">
        <f>IF(N9&lt;&gt;"",F9&amp;";"&amp;P10,P10)</f>
        <v/>
      </c>
      <c r="Q9" s="642" t="str">
        <f>IF(N9&lt;&gt;"",IF(D9&lt;&gt;"",D9,1)&amp;";"&amp;Q10,Q10)</f>
        <v/>
      </c>
      <c r="R9" s="1070" t="str">
        <f>IF(N9&lt;&gt;"",N9&amp;";"&amp;R10,R10)</f>
        <v/>
      </c>
      <c r="S9" s="1070" t="str">
        <f>IF(N9&lt;&gt;"",F9&amp;";"&amp;S10,S10)</f>
        <v/>
      </c>
      <c r="T9" s="1070" t="str">
        <f>IF(N9&lt;&gt;"",IF(D9&lt;&gt;"",D9,1)&amp;";"&amp;T10,T10)</f>
        <v/>
      </c>
    </row>
    <row r="10" spans="2:20" s="642" customFormat="1">
      <c r="B10" s="26"/>
      <c r="C10" s="510"/>
      <c r="D10" s="1165"/>
      <c r="E10" s="1157" t="str">
        <f>IF(C10&lt;&gt;"",INDEX(WeaponTable,MATCH(C10,WeaponList,0),25)*IF(D10&lt;&gt;"",D10,1),"")</f>
        <v/>
      </c>
      <c r="F10" s="1267" t="str">
        <f>IF(C10&lt;&gt;"",INDEX(WeaponTable,MATCH(C10,WeaponList,0),26)*IF(D10&lt;&gt;"",D10,1),"")</f>
        <v/>
      </c>
      <c r="G10" s="1165"/>
      <c r="H10" s="1153"/>
      <c r="I10" s="1153"/>
      <c r="J10" s="1165" t="str">
        <f>IF(C10&lt;&gt;"",INDEX(SizeTable,MATCH(INDEX(SizeTable,MATCH(INDEX(WeaponTable,MATCH(C10,WeaponList,0),6),SizeAbrList,0),3)+IF(OR(H10="Miniaturized",I10="Miniaturized"),-1,0)+IF(K10="Increased",1,0),SizeNumber,0),2),"")</f>
        <v/>
      </c>
      <c r="K10" s="1153"/>
      <c r="L10" s="29"/>
      <c r="M10" s="960" t="str">
        <f>IF(C10&lt;&gt;"",IF(D10&lt;=1,INDEX(WeaponTable,MATCH(C10,WeaponList,0),31),D10&amp;" "&amp;INDEX(WeaponTable,MATCH(C10,WeaponList,0),32)),"")</f>
        <v/>
      </c>
      <c r="N10" s="960" t="str">
        <f>M10&amp;IF(OR(H10&lt;&gt;"",I10&lt;&gt;"")," ("&amp;IF(H10&lt;&gt;"",H10,"")&amp;IF(AND(H10&lt;&gt;"",I10&lt;&gt;""),", ","")&amp;IF(I10&lt;&gt;"",I10,"")&amp;")","")</f>
        <v/>
      </c>
      <c r="O10" s="673" t="str">
        <f>IF(N10&lt;&gt;"",N10&amp;";"&amp;O11,O11)</f>
        <v/>
      </c>
      <c r="P10" s="642" t="str">
        <f>IF(N10&lt;&gt;"",F10&amp;";"&amp;P11,P11)</f>
        <v/>
      </c>
      <c r="Q10" s="642" t="str">
        <f>IF(N10&lt;&gt;"",IF(D10&lt;&gt;"",D10,1)&amp;";"&amp;Q11,Q11)</f>
        <v/>
      </c>
      <c r="R10" s="1070" t="str">
        <f>IF(N10&lt;&gt;"",N10&amp;";"&amp;R11,R11)</f>
        <v/>
      </c>
      <c r="S10" s="1070" t="str">
        <f>IF(N10&lt;&gt;"",F10&amp;";"&amp;S11,S11)</f>
        <v/>
      </c>
      <c r="T10" s="1070" t="str">
        <f>IF(N10&lt;&gt;"",IF(D10&lt;&gt;"",D10,1)&amp;";"&amp;T11,T11)</f>
        <v/>
      </c>
    </row>
    <row r="11" spans="2:20" s="642" customFormat="1">
      <c r="B11" s="26"/>
      <c r="C11" s="510"/>
      <c r="D11" s="1165"/>
      <c r="E11" s="1157" t="str">
        <f>IF(C11&lt;&gt;"",INDEX(WeaponTable,MATCH(C11,WeaponList,0),25)*IF(D11&lt;&gt;"",D11,1),"")</f>
        <v/>
      </c>
      <c r="F11" s="1267" t="str">
        <f>IF(C11&lt;&gt;"",INDEX(WeaponTable,MATCH(C11,WeaponList,0),26)*IF(D11&lt;&gt;"",D11,1),"")</f>
        <v/>
      </c>
      <c r="G11" s="1165"/>
      <c r="H11" s="1153"/>
      <c r="I11" s="1153"/>
      <c r="J11" s="1165" t="str">
        <f>IF(C11&lt;&gt;"",INDEX(SizeTable,MATCH(INDEX(SizeTable,MATCH(INDEX(WeaponTable,MATCH(C11,WeaponList,0),6),SizeAbrList,0),3)+IF(OR(H11="Miniaturized",I11="Miniaturized"),-1,0)+IF(K11="Increased",1,0),SizeNumber,0),2),"")</f>
        <v/>
      </c>
      <c r="K11" s="1153"/>
      <c r="L11" s="29"/>
      <c r="M11" s="960" t="str">
        <f>IF(C11&lt;&gt;"",IF(D11&lt;=1,INDEX(WeaponTable,MATCH(C11,WeaponList,0),31),D11&amp;" "&amp;INDEX(WeaponTable,MATCH(C11,WeaponList,0),32)),"")</f>
        <v/>
      </c>
      <c r="N11" s="960" t="str">
        <f>M11&amp;IF(OR(H11&lt;&gt;"",I11&lt;&gt;"")," ("&amp;IF(H11&lt;&gt;"",H11,"")&amp;IF(AND(H11&lt;&gt;"",I11&lt;&gt;""),", ","")&amp;IF(I11&lt;&gt;"",I11,"")&amp;")","")</f>
        <v/>
      </c>
      <c r="O11" s="673" t="str">
        <f>IF(N11&lt;&gt;"",N11&amp;";"&amp;O12,O12)</f>
        <v/>
      </c>
      <c r="P11" s="642" t="str">
        <f>IF(N11&lt;&gt;"",F11&amp;";"&amp;P12,P12)</f>
        <v/>
      </c>
      <c r="Q11" s="642" t="str">
        <f>IF(N11&lt;&gt;"",IF(D11&lt;&gt;"",D11,1)&amp;";"&amp;Q12,Q12)</f>
        <v/>
      </c>
      <c r="R11" s="1070" t="str">
        <f>IF(N11&lt;&gt;"",N11&amp;";"&amp;R12,R12)</f>
        <v/>
      </c>
      <c r="S11" s="1070" t="str">
        <f>IF(N11&lt;&gt;"",F11&amp;";"&amp;S12,S12)</f>
        <v/>
      </c>
      <c r="T11" s="1070" t="str">
        <f>IF(N11&lt;&gt;"",IF(D11&lt;&gt;"",D11,1)&amp;";"&amp;T12,T12)</f>
        <v/>
      </c>
    </row>
    <row r="12" spans="2:20" s="642" customFormat="1">
      <c r="B12" s="26"/>
      <c r="C12" s="510"/>
      <c r="D12" s="1165"/>
      <c r="E12" s="1157" t="str">
        <f>IF(C12&lt;&gt;"",INDEX(WeaponTable,MATCH(C12,WeaponList,0),25)*IF(D12&lt;&gt;"",D12,1),"")</f>
        <v/>
      </c>
      <c r="F12" s="1267" t="str">
        <f>IF(C12&lt;&gt;"",INDEX(WeaponTable,MATCH(C12,WeaponList,0),26)*IF(D12&lt;&gt;"",D12,1),"")</f>
        <v/>
      </c>
      <c r="G12" s="1165"/>
      <c r="H12" s="1153"/>
      <c r="I12" s="1153"/>
      <c r="J12" s="1165" t="str">
        <f>IF(C12&lt;&gt;"",INDEX(SizeTable,MATCH(INDEX(SizeTable,MATCH(INDEX(WeaponTable,MATCH(C12,WeaponList,0),6),SizeAbrList,0),3)+IF(OR(H12="Miniaturized",I12="Miniaturized"),-1,0)+IF(K12="Increased",1,0),SizeNumber,0),2),"")</f>
        <v/>
      </c>
      <c r="K12" s="1153"/>
      <c r="L12" s="29"/>
      <c r="M12" s="960" t="str">
        <f>IF(C12&lt;&gt;"",IF(D12&lt;=1,INDEX(WeaponTable,MATCH(C12,WeaponList,0),31),D12&amp;" "&amp;INDEX(WeaponTable,MATCH(C12,WeaponList,0),32)),"")</f>
        <v/>
      </c>
      <c r="N12" s="960" t="str">
        <f>M12&amp;IF(OR(H12&lt;&gt;"",I12&lt;&gt;"")," ("&amp;IF(H12&lt;&gt;"",H12,"")&amp;IF(AND(H12&lt;&gt;"",I12&lt;&gt;""),", ","")&amp;IF(I12&lt;&gt;"",I12,"")&amp;")","")</f>
        <v/>
      </c>
      <c r="O12" s="673" t="str">
        <f>IF(N12&lt;&gt;"",N12&amp;";"&amp;O14,O14)</f>
        <v/>
      </c>
      <c r="P12" s="642" t="str">
        <f>IF(N12&lt;&gt;"",F12&amp;";"&amp;P14,P14)</f>
        <v/>
      </c>
      <c r="Q12" s="642" t="str">
        <f>IF(N12&lt;&gt;"",IF(D12&lt;&gt;"",D12,1)&amp;";"&amp;Q14,Q14)</f>
        <v/>
      </c>
      <c r="R12" s="1070" t="str">
        <f>IF(N12&lt;&gt;"",N12&amp;";"&amp;O13,O13)</f>
        <v/>
      </c>
      <c r="S12" s="1070" t="str">
        <f>IF(N12&lt;&gt;"",F12&amp;";"&amp;P13,P13)</f>
        <v/>
      </c>
      <c r="T12" s="1070" t="str">
        <f>IF(N12&lt;&gt;"",IF(D12&lt;&gt;"",D12,1)&amp;";"&amp;Q13,Q13)</f>
        <v/>
      </c>
    </row>
    <row r="13" spans="2:20" s="642" customFormat="1">
      <c r="B13" s="26"/>
      <c r="C13" s="1153"/>
      <c r="D13" s="1165"/>
      <c r="E13" s="1165"/>
      <c r="F13" s="1165"/>
      <c r="G13" s="1165"/>
      <c r="H13" s="1153"/>
      <c r="I13" s="1153"/>
      <c r="J13" s="1153"/>
      <c r="K13" s="1268"/>
      <c r="L13" s="29"/>
      <c r="N13" s="642" t="str">
        <f>C13&amp;IF(OR(H13&lt;&gt;"",I13&lt;&gt;"")," ("&amp;IF(H13&lt;&gt;"",H13,"")&amp;IF(AND(H13&lt;&gt;"",I13&lt;&gt;""),", ","")&amp;IF(I13&lt;&gt;"",I13,"")&amp;")","")</f>
        <v/>
      </c>
      <c r="O13" s="684" t="str">
        <f>IF(ArmorWorn&lt;&gt;"",IF('Armor and Defenses'!F6&lt;&gt;"",'Armor and Defenses'!F6&amp;";",INDEX(ArmorTable,MATCH(ArmorWorn,ArmorList,0),36)&amp;IF(ArmorModsStatBlock&lt;&gt;""," ("&amp;ArmorModsStatBlock&amp;")","")&amp;";"),"")&amp;O15</f>
        <v/>
      </c>
      <c r="P13" s="383" t="str">
        <f>IF(ArmorWorn&lt;&gt;"",ArmorWeight&amp;";","")&amp;P15</f>
        <v/>
      </c>
      <c r="Q13" s="642" t="str">
        <f>IF(ArmorWorn&lt;&gt;"","1;","")&amp;Q15</f>
        <v/>
      </c>
    </row>
    <row r="14" spans="2:20" s="642" customFormat="1" ht="15" customHeight="1">
      <c r="B14" s="26"/>
      <c r="C14" s="1158" t="s">
        <v>4068</v>
      </c>
      <c r="D14" s="1156" t="s">
        <v>4070</v>
      </c>
      <c r="E14" s="1156" t="s">
        <v>3691</v>
      </c>
      <c r="F14" s="1156" t="s">
        <v>106</v>
      </c>
      <c r="G14" s="1156"/>
      <c r="H14" s="1158"/>
      <c r="I14" s="1158"/>
      <c r="J14" s="1156" t="s">
        <v>48</v>
      </c>
      <c r="K14" s="1269"/>
      <c r="L14" s="29"/>
      <c r="O14" s="642" t="str">
        <f>IF(ArmorWorn&lt;&gt;"",IF('Armor and Defenses'!F6&lt;&gt;"",'Armor and Defenses'!F6&amp;";"&amp;_xlfn.SINGLE(IntegratedEquipmentNameList),INDEX(ArmorTable,MATCH(ArmorWorn,ArmorList,0),36)&amp;";"&amp;_xlfn.SINGLE(IntegratedEquipmentNameList)),"")&amp;O15</f>
        <v/>
      </c>
      <c r="P14" s="642" t="str">
        <f>IF(ArmorWorn&lt;&gt;"",ArmorWeight&amp;";"&amp;_xlfn.SINGLE(IntegratedEquipmentWeightList),"")&amp;P15</f>
        <v/>
      </c>
      <c r="Q14" s="960" t="str">
        <f>IF(ArmorWorn&lt;&gt;"","1;"&amp;_xlfn.SINGLE(IntegratedEquipmentNumberList),"")&amp;Q15</f>
        <v/>
      </c>
    </row>
    <row r="15" spans="2:20" s="642" customFormat="1">
      <c r="B15" s="26"/>
      <c r="C15" s="510"/>
      <c r="D15" s="1165"/>
      <c r="E15" s="1157" t="str">
        <f>IF(C15&lt;&gt;"",INDEX(ArmorTable,MATCH(C15,ArmorList,0),34)*IF(D15&lt;&gt;"",D15,1),"")</f>
        <v/>
      </c>
      <c r="F15" s="1267" t="str">
        <f>IF(C15&lt;&gt;"",INDEX(ArmorTable,MATCH(C15,ArmorList,0),35)*IF(D15&lt;&gt;"",D15,1),"")</f>
        <v/>
      </c>
      <c r="G15" s="1165"/>
      <c r="H15" s="1153"/>
      <c r="I15" s="1153"/>
      <c r="J15" s="1165" t="str">
        <f>IF(C15&lt;&gt;"",IF(INDEX(ArmorTable,MATCH(C15,ArmorList,0),2)="L","Light",IF(INDEX(ArmorTable,MATCH(C15,ArmorList,0),2)="M","Medium",IF(INDEX(ArmorTable,MATCH(C15,ArmorList,0),2)="H","Heavy","None"))),"")</f>
        <v/>
      </c>
      <c r="K15" s="1153"/>
      <c r="L15" s="29"/>
      <c r="M15" s="960" t="str">
        <f>IF(C15&lt;&gt;"",IF(D15&lt;=1,INDEX(ArmorTable,MATCH(C15,ArmorList,0),36),D15&amp;" "&amp;INDEX(ArmorTable,MATCH(C15,ArmorList,0),37)),"")</f>
        <v/>
      </c>
      <c r="N15" s="960" t="str">
        <f>M15&amp;IF(OR(H15&lt;&gt;"",I15&lt;&gt;"")," ("&amp;IF(H15&lt;&gt;"",H15,"")&amp;IF(AND(H15&lt;&gt;"",I15&lt;&gt;""),", ","")&amp;IF(I15&lt;&gt;"",I15,"")&amp;")","")</f>
        <v/>
      </c>
      <c r="O15" s="673" t="str">
        <f>IF(N15&lt;&gt;"",N15&amp;";"&amp;O16,O16)</f>
        <v/>
      </c>
      <c r="P15" s="642" t="str">
        <f>IF(N15&lt;&gt;"",F15&amp;";"&amp;P16,P16)</f>
        <v/>
      </c>
      <c r="Q15" s="642" t="str">
        <f>IF(N15&lt;&gt;"",IF(D15&lt;&gt;"",D15,1)&amp;";"&amp;Q16,Q16)</f>
        <v/>
      </c>
    </row>
    <row r="16" spans="2:20" s="642" customFormat="1">
      <c r="B16" s="26"/>
      <c r="C16" s="510"/>
      <c r="D16" s="1165"/>
      <c r="E16" s="1157" t="str">
        <f>IF(C16&lt;&gt;"",INDEX(ArmorTable,MATCH(C16,ArmorList,0),34)*IF(D16&lt;&gt;"",D16,1),"")</f>
        <v/>
      </c>
      <c r="F16" s="1267" t="str">
        <f>IF(C16&lt;&gt;"",INDEX(ArmorTable,MATCH(C16,ArmorList,0),35)*IF(D16&lt;&gt;"",D16,1),"")</f>
        <v/>
      </c>
      <c r="G16" s="1165"/>
      <c r="H16" s="1153"/>
      <c r="I16" s="1153"/>
      <c r="J16" s="1165" t="str">
        <f>IF(C16&lt;&gt;"",IF(INDEX(ArmorTable,MATCH(C16,ArmorList,0),2)="L","Light",IF(INDEX(ArmorTable,MATCH(C16,ArmorList,0),2)="M","Medium",IF(INDEX(ArmorTable,MATCH(C16,ArmorList,0),2)="H","Heavy","None"))),"")</f>
        <v/>
      </c>
      <c r="K16" s="1153"/>
      <c r="L16" s="29"/>
      <c r="M16" s="960" t="str">
        <f>IF(C16&lt;&gt;"",IF(D16&lt;=1,INDEX(ArmorTable,MATCH(C16,ArmorList,0),36),D16&amp;" "&amp;INDEX(ArmorTable,MATCH(C16,ArmorList,0),37)),"")</f>
        <v/>
      </c>
      <c r="N16" s="960" t="str">
        <f>M16&amp;IF(OR(H16&lt;&gt;"",I16&lt;&gt;"")," ("&amp;IF(H16&lt;&gt;"",H16,"")&amp;IF(AND(H16&lt;&gt;"",I16&lt;&gt;""),", ","")&amp;IF(I16&lt;&gt;"",I16,"")&amp;")","")</f>
        <v/>
      </c>
      <c r="O16" s="673" t="str">
        <f>IF(N16&lt;&gt;"",N16&amp;";"&amp;O17,O17)</f>
        <v/>
      </c>
      <c r="P16" s="642" t="str">
        <f>IF(N16&lt;&gt;"",F16&amp;";"&amp;P17,P17)</f>
        <v/>
      </c>
      <c r="Q16" s="642" t="str">
        <f>IF(N16&lt;&gt;"",IF(D16&lt;&gt;"",D16,1)&amp;";"&amp;Q17,Q17)</f>
        <v/>
      </c>
    </row>
    <row r="17" spans="2:17" s="642" customFormat="1">
      <c r="B17" s="26"/>
      <c r="C17" s="510"/>
      <c r="D17" s="1165"/>
      <c r="E17" s="1157" t="str">
        <f>IF(C17&lt;&gt;"",INDEX(ArmorTable,MATCH(C17,ArmorList,0),34)*IF(D17&lt;&gt;"",D17,1),"")</f>
        <v/>
      </c>
      <c r="F17" s="1267" t="str">
        <f>IF(C17&lt;&gt;"",INDEX(ArmorTable,MATCH(C17,ArmorList,0),35)*IF(D17&lt;&gt;"",D17,1),"")</f>
        <v/>
      </c>
      <c r="G17" s="1165"/>
      <c r="H17" s="1153"/>
      <c r="I17" s="1153"/>
      <c r="J17" s="1165" t="str">
        <f>IF(C17&lt;&gt;"",IF(INDEX(ArmorTable,MATCH(C17,ArmorList,0),2)="L","Light",IF(INDEX(ArmorTable,MATCH(C17,ArmorList,0),2)="M","Medium",IF(INDEX(ArmorTable,MATCH(C17,ArmorList,0),2)="H","Heavy","None"))),"")</f>
        <v/>
      </c>
      <c r="K17" s="1153"/>
      <c r="L17" s="29"/>
      <c r="M17" s="960" t="str">
        <f>IF(C17&lt;&gt;"",IF(D17&lt;=1,INDEX(ArmorTable,MATCH(C17,ArmorList,0),36),D17&amp;" "&amp;INDEX(ArmorTable,MATCH(C17,ArmorList,0),37)),"")</f>
        <v/>
      </c>
      <c r="N17" s="960" t="str">
        <f>M17&amp;IF(OR(H17&lt;&gt;"",I17&lt;&gt;"")," ("&amp;IF(H17&lt;&gt;"",H17,"")&amp;IF(AND(H17&lt;&gt;"",I17&lt;&gt;""),", ","")&amp;IF(I17&lt;&gt;"",I17,"")&amp;")","")</f>
        <v/>
      </c>
      <c r="O17" s="673" t="str">
        <f>IF(N17&lt;&gt;"",N17&amp;";"&amp;O18,O18)</f>
        <v/>
      </c>
      <c r="P17" s="642" t="str">
        <f>IF(N17&lt;&gt;"",F17&amp;";"&amp;P18,P18)</f>
        <v/>
      </c>
      <c r="Q17" s="642" t="str">
        <f>IF(N17&lt;&gt;"",IF(D17&lt;&gt;"",D17,1)&amp;";"&amp;Q18,Q18)</f>
        <v/>
      </c>
    </row>
    <row r="18" spans="2:17" s="642" customFormat="1">
      <c r="B18" s="26"/>
      <c r="C18" s="510"/>
      <c r="D18" s="1165"/>
      <c r="E18" s="1157" t="str">
        <f>IF(C18&lt;&gt;"",INDEX(ArmorTable,MATCH(C18,ArmorList,0),34)*IF(D18&lt;&gt;"",D18,1),"")</f>
        <v/>
      </c>
      <c r="F18" s="1267" t="str">
        <f>IF(C18&lt;&gt;"",INDEX(ArmorTable,MATCH(C18,ArmorList,0),35)*IF(D18&lt;&gt;"",D18,1),"")</f>
        <v/>
      </c>
      <c r="G18" s="1165"/>
      <c r="H18" s="1153"/>
      <c r="I18" s="1153"/>
      <c r="J18" s="1165" t="str">
        <f>IF(C18&lt;&gt;"",IF(INDEX(ArmorTable,MATCH(C18,ArmorList,0),2)="L","Light",IF(INDEX(ArmorTable,MATCH(C18,ArmorList,0),2)="M","Medium",IF(INDEX(ArmorTable,MATCH(C18,ArmorList,0),2)="H","Heavy","None"))),"")</f>
        <v/>
      </c>
      <c r="K18" s="1153"/>
      <c r="L18" s="29"/>
      <c r="M18" s="960" t="str">
        <f>IF(C18&lt;&gt;"",IF(D18&lt;=1,INDEX(ArmorTable,MATCH(C18,ArmorList,0),36),D18&amp;" "&amp;INDEX(ArmorTable,MATCH(C18,ArmorList,0),37)),"")</f>
        <v/>
      </c>
      <c r="N18" s="960" t="str">
        <f>M18&amp;IF(OR(H18&lt;&gt;"",I18&lt;&gt;"")," ("&amp;IF(H18&lt;&gt;"",H18,"")&amp;IF(AND(H18&lt;&gt;"",I18&lt;&gt;""),", ","")&amp;IF(I18&lt;&gt;"",I18,"")&amp;")","")</f>
        <v/>
      </c>
      <c r="O18" s="673" t="str">
        <f>IF(N18&lt;&gt;"",N18&amp;";"&amp;O19,O19)</f>
        <v/>
      </c>
      <c r="P18" s="642" t="str">
        <f>IF(N18&lt;&gt;"",F18&amp;";"&amp;P19,P19)</f>
        <v/>
      </c>
      <c r="Q18" s="642" t="str">
        <f>IF(N18&lt;&gt;"",IF(D18&lt;&gt;"",D18,1)&amp;";"&amp;Q19,Q19)</f>
        <v/>
      </c>
    </row>
    <row r="19" spans="2:17" s="642" customFormat="1">
      <c r="B19" s="26"/>
      <c r="C19" s="510"/>
      <c r="D19" s="1165"/>
      <c r="E19" s="1157" t="str">
        <f>IF(C19&lt;&gt;"",INDEX(ArmorTable,MATCH(C19,ArmorList,0),34)*IF(D19&lt;&gt;"",D19,1),"")</f>
        <v/>
      </c>
      <c r="F19" s="1267" t="str">
        <f>IF(C19&lt;&gt;"",INDEX(ArmorTable,MATCH(C19,ArmorList,0),35)*IF(D19&lt;&gt;"",D19,1),"")</f>
        <v/>
      </c>
      <c r="G19" s="1165"/>
      <c r="H19" s="1153"/>
      <c r="I19" s="1153"/>
      <c r="J19" s="1165" t="str">
        <f>IF(C19&lt;&gt;"",IF(INDEX(ArmorTable,MATCH(C19,ArmorList,0),2)="L","Light",IF(INDEX(ArmorTable,MATCH(C19,ArmorList,0),2)="M","Medium",IF(INDEX(ArmorTable,MATCH(C19,ArmorList,0),2)="H","Heavy","None"))),"")</f>
        <v/>
      </c>
      <c r="K19" s="1153"/>
      <c r="L19" s="29"/>
      <c r="M19" s="960" t="str">
        <f>IF(C19&lt;&gt;"",IF(D19&lt;=1,INDEX(ArmorTable,MATCH(C19,ArmorList,0),36),D19&amp;" "&amp;INDEX(ArmorTable,MATCH(C19,ArmorList,0),37)),"")</f>
        <v/>
      </c>
      <c r="N19" s="960" t="str">
        <f>M19&amp;IF(OR(H19&lt;&gt;"",I19&lt;&gt;"")," ("&amp;IF(H19&lt;&gt;"",H19,"")&amp;IF(AND(H19&lt;&gt;"",I19&lt;&gt;""),", ","")&amp;IF(I19&lt;&gt;"",I19,"")&amp;")","")</f>
        <v/>
      </c>
      <c r="O19" s="673" t="str">
        <f>IF(N19&lt;&gt;"",N19&amp;";"&amp;O22,O22)</f>
        <v/>
      </c>
      <c r="P19" s="642" t="str">
        <f>IF(N19&lt;&gt;"",F19&amp;";"&amp;P22,P22)</f>
        <v/>
      </c>
      <c r="Q19" s="642" t="str">
        <f>IF(N19&lt;&gt;"",IF(D19&lt;&gt;"",D19,1)&amp;";"&amp;Q22,Q22)</f>
        <v/>
      </c>
    </row>
    <row r="20" spans="2:17">
      <c r="B20" s="26"/>
      <c r="C20" s="1153"/>
      <c r="D20" s="1165"/>
      <c r="E20" s="1165"/>
      <c r="F20" s="1165"/>
      <c r="G20" s="1165"/>
      <c r="H20" s="1153"/>
      <c r="I20" s="1153"/>
      <c r="J20" s="1153"/>
      <c r="K20" s="1789" t="s">
        <v>4066</v>
      </c>
      <c r="L20" s="29"/>
      <c r="O20" s="383" t="s">
        <v>195</v>
      </c>
      <c r="P20" s="383" t="s">
        <v>195</v>
      </c>
    </row>
    <row r="21" spans="2:17">
      <c r="B21" s="26"/>
      <c r="C21" s="1158" t="s">
        <v>4061</v>
      </c>
      <c r="D21" s="1156" t="s">
        <v>4070</v>
      </c>
      <c r="E21" s="1156" t="s">
        <v>3691</v>
      </c>
      <c r="F21" s="1156" t="s">
        <v>106</v>
      </c>
      <c r="G21" s="1156" t="s">
        <v>88</v>
      </c>
      <c r="H21" s="1158" t="s">
        <v>4071</v>
      </c>
      <c r="I21" s="1158" t="s">
        <v>4071</v>
      </c>
      <c r="J21" s="1156" t="s">
        <v>11</v>
      </c>
      <c r="K21" s="1790"/>
      <c r="L21" s="29"/>
    </row>
    <row r="22" spans="2:17">
      <c r="B22" s="26"/>
      <c r="C22" s="510"/>
      <c r="D22" s="36"/>
      <c r="E22" s="1157" t="str">
        <f t="shared" ref="E22:E29" si="0">IF(C22&lt;&gt;"",(INDEX(EquipmentTable,MATCH(C22,EquipmentList,0),3)*IF(K22&lt;&gt;"",2,1)+IF(H22&lt;&gt;"",INDEX(EquipmentAccessoriesTable,MATCH(H22,EquipmentAccessoriesList,0),3),0)+IF(I22&lt;&gt;"",INDEX(EquipmentAccessoriesTable,MATCH(I22,EquipmentAccessoriesList,0),3),0))*IF(D22&lt;&gt;"",D22,1),"")</f>
        <v/>
      </c>
      <c r="F22" s="1267" t="str">
        <f>IF(C22&lt;&gt;"",(INDEX(EquipmentTable,MATCH(C22,EquipmentList,0),4)/IF(H22="Miniaturized",2,1))*IF(D22&lt;&gt;"",D22,1),"")</f>
        <v/>
      </c>
      <c r="G22" s="1165" t="str">
        <f t="shared" ref="G22:G69" si="1">IF(C22&lt;&gt;"",IF(H22&lt;&gt;"",INDEX(EquipmentAccessoriesTable,MATCH(H22,EquipmentAccessoriesList,0),4),0)+IF(I22&lt;&gt;"",INDEX(EquipmentAccessoriesTable,MATCH(I22,EquipmentAccessoriesList,0),4),0)&amp;"/"&amp;1+IF(K22&lt;&gt;"",1,0),"")</f>
        <v/>
      </c>
      <c r="H22" s="1153"/>
      <c r="I22" s="1153"/>
      <c r="J22" s="1165" t="str">
        <f t="shared" ref="J22:J69" si="2">IF(C22&lt;&gt;"",INDEX(SizeTable,MATCH(INDEX(SizeTable,MATCH(INDEX(EquipmentTable,MATCH(C22,EquipmentList,0),5),SizeAbrList,0),3)+IF(OR(H22="Miniaturized",I22="Miniaturized"),-1,0)+IF(K22="Increased",1,0),SizeNumber,0),2),"")</f>
        <v/>
      </c>
      <c r="K22" s="1153"/>
      <c r="L22" s="29"/>
      <c r="M22" s="630" t="str">
        <f t="shared" ref="M22:M69" si="3">IF(C22&lt;&gt;"",IF(D22&lt;=1,INDEX(EquipmentTable,MATCH(C22,EquipmentList,0),6),D22&amp;" "&amp;INDEX(EquipmentTable,MATCH(C22,EquipmentList,0),7)),"")</f>
        <v/>
      </c>
      <c r="N22" s="630" t="str">
        <f>M22&amp;IF(OR(H22&lt;&gt;"",I22&lt;&gt;"")," ("&amp;IF(H22&lt;&gt;"",H22,"")&amp;IF(AND(H22&lt;&gt;"",I22&lt;&gt;""),", ","")&amp;IF(I22&lt;&gt;"",I22,"")&amp;")","")</f>
        <v/>
      </c>
      <c r="O22" s="673" t="str">
        <f>IF(N22&lt;&gt;"",N22&amp;";"&amp;O23,O23)</f>
        <v/>
      </c>
      <c r="P22" s="642" t="str">
        <f>IF(N22&lt;&gt;"",F22&amp;";"&amp;P23,P23)</f>
        <v/>
      </c>
      <c r="Q22" s="642" t="str">
        <f t="shared" ref="Q22:Q69" si="4">IF(N22&lt;&gt;"",IF(D22&lt;&gt;"",D22,1)&amp;";"&amp;Q23,Q23)</f>
        <v/>
      </c>
    </row>
    <row r="23" spans="2:17" s="642" customFormat="1">
      <c r="B23" s="26"/>
      <c r="C23" s="510"/>
      <c r="D23" s="36"/>
      <c r="E23" s="1157" t="str">
        <f t="shared" si="0"/>
        <v/>
      </c>
      <c r="F23" s="1267" t="str">
        <f t="shared" ref="F23:F69" si="5">IF(C23&lt;&gt;"",(INDEX(EquipmentTable,MATCH(C23,EquipmentList,0),4)/IF(H23="Miniaturized",2,1))*IF(D23&lt;&gt;"",D23,1),"")</f>
        <v/>
      </c>
      <c r="G23" s="1165" t="str">
        <f t="shared" si="1"/>
        <v/>
      </c>
      <c r="H23" s="1153"/>
      <c r="I23" s="1153"/>
      <c r="J23" s="1165" t="str">
        <f t="shared" si="2"/>
        <v/>
      </c>
      <c r="K23" s="1153"/>
      <c r="L23" s="29"/>
      <c r="M23" s="956" t="str">
        <f t="shared" si="3"/>
        <v/>
      </c>
      <c r="N23" s="956" t="str">
        <f t="shared" ref="N23:N69" si="6">M23&amp;IF(OR(H23&lt;&gt;"",I23&lt;&gt;"")," ("&amp;IF(H23&lt;&gt;"",H23,"")&amp;IF(AND(H23&lt;&gt;"",I23&lt;&gt;""),", ","")&amp;IF(I23&lt;&gt;"",I23,"")&amp;")","")</f>
        <v/>
      </c>
      <c r="O23" s="673" t="str">
        <f t="shared" ref="O23:O69" si="7">IF(N23&lt;&gt;"",N23&amp;";"&amp;O24,O24)</f>
        <v/>
      </c>
      <c r="P23" s="642" t="str">
        <f t="shared" ref="P23:P69" si="8">IF(N23&lt;&gt;"",F23&amp;";"&amp;P24,P24)</f>
        <v/>
      </c>
      <c r="Q23" s="642" t="str">
        <f t="shared" si="4"/>
        <v/>
      </c>
    </row>
    <row r="24" spans="2:17" s="642" customFormat="1">
      <c r="B24" s="26"/>
      <c r="C24" s="510"/>
      <c r="D24" s="36"/>
      <c r="E24" s="1157" t="str">
        <f t="shared" si="0"/>
        <v/>
      </c>
      <c r="F24" s="1267" t="str">
        <f t="shared" si="5"/>
        <v/>
      </c>
      <c r="G24" s="1165" t="str">
        <f t="shared" si="1"/>
        <v/>
      </c>
      <c r="H24" s="1153"/>
      <c r="I24" s="1153"/>
      <c r="J24" s="1165" t="str">
        <f t="shared" si="2"/>
        <v/>
      </c>
      <c r="K24" s="1153"/>
      <c r="L24" s="29"/>
      <c r="M24" s="956" t="str">
        <f t="shared" si="3"/>
        <v/>
      </c>
      <c r="N24" s="956" t="str">
        <f t="shared" si="6"/>
        <v/>
      </c>
      <c r="O24" s="673" t="str">
        <f t="shared" si="7"/>
        <v/>
      </c>
      <c r="P24" s="642" t="str">
        <f t="shared" si="8"/>
        <v/>
      </c>
      <c r="Q24" s="642" t="str">
        <f t="shared" si="4"/>
        <v/>
      </c>
    </row>
    <row r="25" spans="2:17" s="642" customFormat="1">
      <c r="B25" s="26"/>
      <c r="C25" s="510"/>
      <c r="D25" s="36"/>
      <c r="E25" s="1157" t="str">
        <f t="shared" si="0"/>
        <v/>
      </c>
      <c r="F25" s="1267" t="str">
        <f t="shared" si="5"/>
        <v/>
      </c>
      <c r="G25" s="1165" t="str">
        <f t="shared" si="1"/>
        <v/>
      </c>
      <c r="H25" s="1153"/>
      <c r="I25" s="1153"/>
      <c r="J25" s="1165" t="str">
        <f t="shared" si="2"/>
        <v/>
      </c>
      <c r="K25" s="1153"/>
      <c r="L25" s="29"/>
      <c r="M25" s="956" t="str">
        <f t="shared" si="3"/>
        <v/>
      </c>
      <c r="N25" s="956" t="str">
        <f t="shared" si="6"/>
        <v/>
      </c>
      <c r="O25" s="673" t="str">
        <f t="shared" si="7"/>
        <v/>
      </c>
      <c r="P25" s="642" t="str">
        <f t="shared" si="8"/>
        <v/>
      </c>
      <c r="Q25" s="642" t="str">
        <f t="shared" si="4"/>
        <v/>
      </c>
    </row>
    <row r="26" spans="2:17" s="642" customFormat="1">
      <c r="B26" s="26"/>
      <c r="C26" s="510"/>
      <c r="D26" s="36"/>
      <c r="E26" s="1157" t="str">
        <f t="shared" si="0"/>
        <v/>
      </c>
      <c r="F26" s="1267" t="str">
        <f t="shared" si="5"/>
        <v/>
      </c>
      <c r="G26" s="1165" t="str">
        <f t="shared" si="1"/>
        <v/>
      </c>
      <c r="H26" s="1153"/>
      <c r="I26" s="1153"/>
      <c r="J26" s="1165" t="str">
        <f t="shared" si="2"/>
        <v/>
      </c>
      <c r="K26" s="1153"/>
      <c r="L26" s="29"/>
      <c r="M26" s="956" t="str">
        <f t="shared" si="3"/>
        <v/>
      </c>
      <c r="N26" s="956" t="str">
        <f t="shared" si="6"/>
        <v/>
      </c>
      <c r="O26" s="673" t="str">
        <f t="shared" si="7"/>
        <v/>
      </c>
      <c r="P26" s="642" t="str">
        <f t="shared" si="8"/>
        <v/>
      </c>
      <c r="Q26" s="642" t="str">
        <f t="shared" si="4"/>
        <v/>
      </c>
    </row>
    <row r="27" spans="2:17" s="642" customFormat="1">
      <c r="B27" s="26"/>
      <c r="C27" s="510"/>
      <c r="D27" s="36"/>
      <c r="E27" s="1157" t="str">
        <f t="shared" si="0"/>
        <v/>
      </c>
      <c r="F27" s="1267" t="str">
        <f t="shared" si="5"/>
        <v/>
      </c>
      <c r="G27" s="1165" t="str">
        <f t="shared" si="1"/>
        <v/>
      </c>
      <c r="H27" s="1153"/>
      <c r="I27" s="1153"/>
      <c r="J27" s="1165" t="str">
        <f t="shared" si="2"/>
        <v/>
      </c>
      <c r="K27" s="1153"/>
      <c r="L27" s="29"/>
      <c r="M27" s="956" t="str">
        <f t="shared" si="3"/>
        <v/>
      </c>
      <c r="N27" s="956" t="str">
        <f t="shared" si="6"/>
        <v/>
      </c>
      <c r="O27" s="673" t="str">
        <f t="shared" si="7"/>
        <v/>
      </c>
      <c r="P27" s="642" t="str">
        <f t="shared" si="8"/>
        <v/>
      </c>
      <c r="Q27" s="642" t="str">
        <f t="shared" si="4"/>
        <v/>
      </c>
    </row>
    <row r="28" spans="2:17" s="642" customFormat="1">
      <c r="B28" s="26"/>
      <c r="C28" s="510"/>
      <c r="D28" s="36"/>
      <c r="E28" s="1157" t="str">
        <f t="shared" si="0"/>
        <v/>
      </c>
      <c r="F28" s="1267" t="str">
        <f t="shared" si="5"/>
        <v/>
      </c>
      <c r="G28" s="1165" t="str">
        <f t="shared" si="1"/>
        <v/>
      </c>
      <c r="H28" s="1153"/>
      <c r="I28" s="1153"/>
      <c r="J28" s="1165" t="str">
        <f t="shared" si="2"/>
        <v/>
      </c>
      <c r="K28" s="1153"/>
      <c r="L28" s="29"/>
      <c r="M28" s="956" t="str">
        <f t="shared" si="3"/>
        <v/>
      </c>
      <c r="N28" s="956" t="str">
        <f t="shared" si="6"/>
        <v/>
      </c>
      <c r="O28" s="673" t="str">
        <f t="shared" si="7"/>
        <v/>
      </c>
      <c r="P28" s="642" t="str">
        <f t="shared" si="8"/>
        <v/>
      </c>
      <c r="Q28" s="642" t="str">
        <f t="shared" si="4"/>
        <v/>
      </c>
    </row>
    <row r="29" spans="2:17" s="642" customFormat="1">
      <c r="B29" s="26"/>
      <c r="C29" s="510"/>
      <c r="D29" s="36"/>
      <c r="E29" s="1157" t="str">
        <f t="shared" si="0"/>
        <v/>
      </c>
      <c r="F29" s="1267" t="str">
        <f t="shared" si="5"/>
        <v/>
      </c>
      <c r="G29" s="1165" t="str">
        <f t="shared" si="1"/>
        <v/>
      </c>
      <c r="H29" s="1153"/>
      <c r="I29" s="1153"/>
      <c r="J29" s="1165" t="str">
        <f t="shared" si="2"/>
        <v/>
      </c>
      <c r="K29" s="1153"/>
      <c r="L29" s="29"/>
      <c r="M29" s="956" t="str">
        <f t="shared" si="3"/>
        <v/>
      </c>
      <c r="N29" s="956" t="str">
        <f t="shared" si="6"/>
        <v/>
      </c>
      <c r="O29" s="673" t="str">
        <f t="shared" si="7"/>
        <v/>
      </c>
      <c r="P29" s="642" t="str">
        <f t="shared" si="8"/>
        <v/>
      </c>
      <c r="Q29" s="642" t="str">
        <f t="shared" si="4"/>
        <v/>
      </c>
    </row>
    <row r="30" spans="2:17" s="642" customFormat="1">
      <c r="B30" s="26"/>
      <c r="C30" s="510"/>
      <c r="D30" s="36"/>
      <c r="E30" s="1157" t="str">
        <f t="shared" ref="E30:E69" si="9">IF(C30&lt;&gt;"",(INDEX(EquipmentTable,MATCH(C30,EquipmentList,0),3)*IF(K30&lt;&gt;"",2,1)+IF(H30&lt;&gt;"",INDEX(EquipmentAccessoriesTable,MATCH(H30,EquipmentAccessoriesList,0),3),0)+IF(I30&lt;&gt;"",INDEX(EquipmentAccessoriesTable,MATCH(I30,EquipmentAccessoriesList,0),3),0))*IF(D30&lt;&gt;"",D30,1),"")</f>
        <v/>
      </c>
      <c r="F30" s="1267" t="str">
        <f t="shared" si="5"/>
        <v/>
      </c>
      <c r="G30" s="1165" t="str">
        <f t="shared" si="1"/>
        <v/>
      </c>
      <c r="H30" s="1153"/>
      <c r="I30" s="1153"/>
      <c r="J30" s="1165" t="str">
        <f t="shared" si="2"/>
        <v/>
      </c>
      <c r="K30" s="1153"/>
      <c r="L30" s="29"/>
      <c r="M30" s="956" t="str">
        <f t="shared" si="3"/>
        <v/>
      </c>
      <c r="N30" s="956" t="str">
        <f t="shared" si="6"/>
        <v/>
      </c>
      <c r="O30" s="673" t="str">
        <f t="shared" si="7"/>
        <v/>
      </c>
      <c r="P30" s="642" t="str">
        <f t="shared" si="8"/>
        <v/>
      </c>
      <c r="Q30" s="642" t="str">
        <f t="shared" si="4"/>
        <v/>
      </c>
    </row>
    <row r="31" spans="2:17" s="642" customFormat="1">
      <c r="B31" s="26"/>
      <c r="C31" s="510"/>
      <c r="D31" s="36"/>
      <c r="E31" s="1157" t="str">
        <f t="shared" si="9"/>
        <v/>
      </c>
      <c r="F31" s="1267" t="str">
        <f t="shared" si="5"/>
        <v/>
      </c>
      <c r="G31" s="1165" t="str">
        <f t="shared" si="1"/>
        <v/>
      </c>
      <c r="H31" s="1153"/>
      <c r="I31" s="1153"/>
      <c r="J31" s="1165" t="str">
        <f t="shared" si="2"/>
        <v/>
      </c>
      <c r="K31" s="1153"/>
      <c r="L31" s="29"/>
      <c r="M31" s="956" t="str">
        <f t="shared" si="3"/>
        <v/>
      </c>
      <c r="N31" s="956" t="str">
        <f t="shared" si="6"/>
        <v/>
      </c>
      <c r="O31" s="673" t="str">
        <f t="shared" si="7"/>
        <v/>
      </c>
      <c r="P31" s="642" t="str">
        <f t="shared" si="8"/>
        <v/>
      </c>
      <c r="Q31" s="642" t="str">
        <f t="shared" si="4"/>
        <v/>
      </c>
    </row>
    <row r="32" spans="2:17" s="642" customFormat="1">
      <c r="B32" s="26"/>
      <c r="C32" s="510"/>
      <c r="D32" s="36"/>
      <c r="E32" s="1157" t="str">
        <f t="shared" si="9"/>
        <v/>
      </c>
      <c r="F32" s="1267" t="str">
        <f t="shared" si="5"/>
        <v/>
      </c>
      <c r="G32" s="1165" t="str">
        <f t="shared" si="1"/>
        <v/>
      </c>
      <c r="H32" s="1153"/>
      <c r="I32" s="1153"/>
      <c r="J32" s="1165" t="str">
        <f t="shared" si="2"/>
        <v/>
      </c>
      <c r="K32" s="1153"/>
      <c r="L32" s="29"/>
      <c r="M32" s="956" t="str">
        <f t="shared" si="3"/>
        <v/>
      </c>
      <c r="N32" s="956" t="str">
        <f t="shared" si="6"/>
        <v/>
      </c>
      <c r="O32" s="673" t="str">
        <f t="shared" si="7"/>
        <v/>
      </c>
      <c r="P32" s="642" t="str">
        <f t="shared" si="8"/>
        <v/>
      </c>
      <c r="Q32" s="642" t="str">
        <f t="shared" si="4"/>
        <v/>
      </c>
    </row>
    <row r="33" spans="2:17" s="642" customFormat="1">
      <c r="B33" s="26"/>
      <c r="C33" s="510"/>
      <c r="D33" s="36"/>
      <c r="E33" s="1157" t="str">
        <f t="shared" si="9"/>
        <v/>
      </c>
      <c r="F33" s="1267" t="str">
        <f t="shared" si="5"/>
        <v/>
      </c>
      <c r="G33" s="1165" t="str">
        <f t="shared" si="1"/>
        <v/>
      </c>
      <c r="H33" s="1153"/>
      <c r="I33" s="1153"/>
      <c r="J33" s="1165" t="str">
        <f t="shared" si="2"/>
        <v/>
      </c>
      <c r="K33" s="1153"/>
      <c r="L33" s="29"/>
      <c r="M33" s="956" t="str">
        <f t="shared" si="3"/>
        <v/>
      </c>
      <c r="N33" s="956" t="str">
        <f t="shared" si="6"/>
        <v/>
      </c>
      <c r="O33" s="673" t="str">
        <f t="shared" si="7"/>
        <v/>
      </c>
      <c r="P33" s="642" t="str">
        <f t="shared" si="8"/>
        <v/>
      </c>
      <c r="Q33" s="642" t="str">
        <f t="shared" si="4"/>
        <v/>
      </c>
    </row>
    <row r="34" spans="2:17" s="642" customFormat="1">
      <c r="B34" s="26"/>
      <c r="C34" s="510"/>
      <c r="D34" s="36"/>
      <c r="E34" s="1157" t="str">
        <f t="shared" si="9"/>
        <v/>
      </c>
      <c r="F34" s="1267" t="str">
        <f t="shared" si="5"/>
        <v/>
      </c>
      <c r="G34" s="1165" t="str">
        <f t="shared" si="1"/>
        <v/>
      </c>
      <c r="H34" s="1153"/>
      <c r="I34" s="1153"/>
      <c r="J34" s="1165" t="str">
        <f t="shared" si="2"/>
        <v/>
      </c>
      <c r="K34" s="1153"/>
      <c r="L34" s="29"/>
      <c r="M34" s="956" t="str">
        <f t="shared" si="3"/>
        <v/>
      </c>
      <c r="N34" s="956" t="str">
        <f t="shared" si="6"/>
        <v/>
      </c>
      <c r="O34" s="673" t="str">
        <f t="shared" si="7"/>
        <v/>
      </c>
      <c r="P34" s="642" t="str">
        <f t="shared" si="8"/>
        <v/>
      </c>
      <c r="Q34" s="642" t="str">
        <f t="shared" si="4"/>
        <v/>
      </c>
    </row>
    <row r="35" spans="2:17" s="642" customFormat="1">
      <c r="B35" s="26"/>
      <c r="C35" s="510"/>
      <c r="D35" s="36"/>
      <c r="E35" s="1157" t="str">
        <f t="shared" si="9"/>
        <v/>
      </c>
      <c r="F35" s="1267" t="str">
        <f t="shared" si="5"/>
        <v/>
      </c>
      <c r="G35" s="1165" t="str">
        <f t="shared" si="1"/>
        <v/>
      </c>
      <c r="H35" s="1153"/>
      <c r="I35" s="1153"/>
      <c r="J35" s="1165" t="str">
        <f t="shared" si="2"/>
        <v/>
      </c>
      <c r="K35" s="1153"/>
      <c r="L35" s="29"/>
      <c r="M35" s="956" t="str">
        <f t="shared" si="3"/>
        <v/>
      </c>
      <c r="N35" s="956" t="str">
        <f t="shared" si="6"/>
        <v/>
      </c>
      <c r="O35" s="673" t="str">
        <f t="shared" si="7"/>
        <v/>
      </c>
      <c r="P35" s="642" t="str">
        <f t="shared" si="8"/>
        <v/>
      </c>
      <c r="Q35" s="642" t="str">
        <f t="shared" si="4"/>
        <v/>
      </c>
    </row>
    <row r="36" spans="2:17" s="642" customFormat="1">
      <c r="B36" s="26"/>
      <c r="C36" s="510"/>
      <c r="D36" s="36"/>
      <c r="E36" s="1157" t="str">
        <f t="shared" si="9"/>
        <v/>
      </c>
      <c r="F36" s="1267" t="str">
        <f t="shared" si="5"/>
        <v/>
      </c>
      <c r="G36" s="1165" t="str">
        <f t="shared" si="1"/>
        <v/>
      </c>
      <c r="H36" s="1153"/>
      <c r="I36" s="1153"/>
      <c r="J36" s="1165" t="str">
        <f t="shared" si="2"/>
        <v/>
      </c>
      <c r="K36" s="1153"/>
      <c r="L36" s="29"/>
      <c r="M36" s="956" t="str">
        <f t="shared" si="3"/>
        <v/>
      </c>
      <c r="N36" s="956" t="str">
        <f t="shared" si="6"/>
        <v/>
      </c>
      <c r="O36" s="673" t="str">
        <f t="shared" si="7"/>
        <v/>
      </c>
      <c r="P36" s="642" t="str">
        <f t="shared" si="8"/>
        <v/>
      </c>
      <c r="Q36" s="642" t="str">
        <f t="shared" si="4"/>
        <v/>
      </c>
    </row>
    <row r="37" spans="2:17" s="642" customFormat="1">
      <c r="B37" s="26"/>
      <c r="C37" s="510"/>
      <c r="D37" s="36"/>
      <c r="E37" s="1157" t="str">
        <f t="shared" si="9"/>
        <v/>
      </c>
      <c r="F37" s="1267" t="str">
        <f t="shared" si="5"/>
        <v/>
      </c>
      <c r="G37" s="1165" t="str">
        <f t="shared" si="1"/>
        <v/>
      </c>
      <c r="H37" s="1153"/>
      <c r="I37" s="1153"/>
      <c r="J37" s="1165" t="str">
        <f t="shared" si="2"/>
        <v/>
      </c>
      <c r="K37" s="1153"/>
      <c r="L37" s="29"/>
      <c r="M37" s="956" t="str">
        <f t="shared" si="3"/>
        <v/>
      </c>
      <c r="N37" s="956" t="str">
        <f t="shared" si="6"/>
        <v/>
      </c>
      <c r="O37" s="673" t="str">
        <f t="shared" si="7"/>
        <v/>
      </c>
      <c r="P37" s="642" t="str">
        <f t="shared" si="8"/>
        <v/>
      </c>
      <c r="Q37" s="642" t="str">
        <f t="shared" si="4"/>
        <v/>
      </c>
    </row>
    <row r="38" spans="2:17" s="642" customFormat="1">
      <c r="B38" s="26"/>
      <c r="C38" s="510"/>
      <c r="D38" s="36"/>
      <c r="E38" s="1157" t="str">
        <f t="shared" si="9"/>
        <v/>
      </c>
      <c r="F38" s="1267" t="str">
        <f t="shared" si="5"/>
        <v/>
      </c>
      <c r="G38" s="1165" t="str">
        <f t="shared" si="1"/>
        <v/>
      </c>
      <c r="H38" s="1153"/>
      <c r="I38" s="1153"/>
      <c r="J38" s="1165" t="str">
        <f t="shared" si="2"/>
        <v/>
      </c>
      <c r="K38" s="1153"/>
      <c r="L38" s="29"/>
      <c r="M38" s="956" t="str">
        <f t="shared" si="3"/>
        <v/>
      </c>
      <c r="N38" s="956" t="str">
        <f t="shared" si="6"/>
        <v/>
      </c>
      <c r="O38" s="673" t="str">
        <f t="shared" si="7"/>
        <v/>
      </c>
      <c r="P38" s="642" t="str">
        <f t="shared" si="8"/>
        <v/>
      </c>
      <c r="Q38" s="642" t="str">
        <f t="shared" si="4"/>
        <v/>
      </c>
    </row>
    <row r="39" spans="2:17" s="642" customFormat="1">
      <c r="B39" s="26"/>
      <c r="C39" s="510"/>
      <c r="D39" s="36"/>
      <c r="E39" s="1157" t="str">
        <f t="shared" si="9"/>
        <v/>
      </c>
      <c r="F39" s="1267" t="str">
        <f t="shared" si="5"/>
        <v/>
      </c>
      <c r="G39" s="1165" t="str">
        <f t="shared" si="1"/>
        <v/>
      </c>
      <c r="H39" s="1153"/>
      <c r="I39" s="1153"/>
      <c r="J39" s="1165" t="str">
        <f t="shared" si="2"/>
        <v/>
      </c>
      <c r="K39" s="1153"/>
      <c r="L39" s="29"/>
      <c r="M39" s="956" t="str">
        <f t="shared" si="3"/>
        <v/>
      </c>
      <c r="N39" s="956" t="str">
        <f t="shared" si="6"/>
        <v/>
      </c>
      <c r="O39" s="673" t="str">
        <f t="shared" si="7"/>
        <v/>
      </c>
      <c r="P39" s="642" t="str">
        <f t="shared" si="8"/>
        <v/>
      </c>
      <c r="Q39" s="642" t="str">
        <f t="shared" si="4"/>
        <v/>
      </c>
    </row>
    <row r="40" spans="2:17" s="642" customFormat="1">
      <c r="B40" s="26"/>
      <c r="C40" s="510"/>
      <c r="D40" s="36"/>
      <c r="E40" s="1157" t="str">
        <f t="shared" si="9"/>
        <v/>
      </c>
      <c r="F40" s="1267" t="str">
        <f t="shared" si="5"/>
        <v/>
      </c>
      <c r="G40" s="1165" t="str">
        <f t="shared" si="1"/>
        <v/>
      </c>
      <c r="H40" s="1153"/>
      <c r="I40" s="1153"/>
      <c r="J40" s="1165" t="str">
        <f t="shared" si="2"/>
        <v/>
      </c>
      <c r="K40" s="1153"/>
      <c r="L40" s="29"/>
      <c r="M40" s="956" t="str">
        <f t="shared" si="3"/>
        <v/>
      </c>
      <c r="N40" s="956" t="str">
        <f t="shared" si="6"/>
        <v/>
      </c>
      <c r="O40" s="673" t="str">
        <f t="shared" si="7"/>
        <v/>
      </c>
      <c r="P40" s="642" t="str">
        <f t="shared" si="8"/>
        <v/>
      </c>
      <c r="Q40" s="642" t="str">
        <f t="shared" si="4"/>
        <v/>
      </c>
    </row>
    <row r="41" spans="2:17" s="642" customFormat="1">
      <c r="B41" s="26"/>
      <c r="C41" s="510"/>
      <c r="D41" s="36"/>
      <c r="E41" s="1157" t="str">
        <f t="shared" si="9"/>
        <v/>
      </c>
      <c r="F41" s="1267" t="str">
        <f t="shared" si="5"/>
        <v/>
      </c>
      <c r="G41" s="1165" t="str">
        <f t="shared" si="1"/>
        <v/>
      </c>
      <c r="H41" s="1153"/>
      <c r="I41" s="1153"/>
      <c r="J41" s="1165" t="str">
        <f t="shared" si="2"/>
        <v/>
      </c>
      <c r="K41" s="1153"/>
      <c r="L41" s="29"/>
      <c r="M41" s="956" t="str">
        <f t="shared" si="3"/>
        <v/>
      </c>
      <c r="N41" s="956" t="str">
        <f t="shared" si="6"/>
        <v/>
      </c>
      <c r="O41" s="673" t="str">
        <f t="shared" si="7"/>
        <v/>
      </c>
      <c r="P41" s="642" t="str">
        <f t="shared" si="8"/>
        <v/>
      </c>
      <c r="Q41" s="642" t="str">
        <f t="shared" si="4"/>
        <v/>
      </c>
    </row>
    <row r="42" spans="2:17" s="642" customFormat="1">
      <c r="B42" s="26"/>
      <c r="C42" s="510"/>
      <c r="D42" s="36"/>
      <c r="E42" s="1157" t="str">
        <f t="shared" si="9"/>
        <v/>
      </c>
      <c r="F42" s="1267" t="str">
        <f t="shared" si="5"/>
        <v/>
      </c>
      <c r="G42" s="1165" t="str">
        <f t="shared" si="1"/>
        <v/>
      </c>
      <c r="H42" s="1153"/>
      <c r="I42" s="1153"/>
      <c r="J42" s="1165" t="str">
        <f t="shared" si="2"/>
        <v/>
      </c>
      <c r="K42" s="1153"/>
      <c r="L42" s="29"/>
      <c r="M42" s="956" t="str">
        <f t="shared" si="3"/>
        <v/>
      </c>
      <c r="N42" s="956" t="str">
        <f t="shared" si="6"/>
        <v/>
      </c>
      <c r="O42" s="673" t="str">
        <f t="shared" si="7"/>
        <v/>
      </c>
      <c r="P42" s="642" t="str">
        <f t="shared" si="8"/>
        <v/>
      </c>
      <c r="Q42" s="642" t="str">
        <f t="shared" si="4"/>
        <v/>
      </c>
    </row>
    <row r="43" spans="2:17" s="642" customFormat="1">
      <c r="B43" s="26"/>
      <c r="C43" s="510"/>
      <c r="D43" s="36"/>
      <c r="E43" s="1157" t="str">
        <f t="shared" si="9"/>
        <v/>
      </c>
      <c r="F43" s="1267" t="str">
        <f t="shared" si="5"/>
        <v/>
      </c>
      <c r="G43" s="1165" t="str">
        <f t="shared" si="1"/>
        <v/>
      </c>
      <c r="H43" s="1153"/>
      <c r="I43" s="1153"/>
      <c r="J43" s="1165" t="str">
        <f t="shared" si="2"/>
        <v/>
      </c>
      <c r="K43" s="1153"/>
      <c r="L43" s="29"/>
      <c r="M43" s="956" t="str">
        <f t="shared" si="3"/>
        <v/>
      </c>
      <c r="N43" s="956" t="str">
        <f t="shared" si="6"/>
        <v/>
      </c>
      <c r="O43" s="673" t="str">
        <f t="shared" si="7"/>
        <v/>
      </c>
      <c r="P43" s="642" t="str">
        <f t="shared" si="8"/>
        <v/>
      </c>
      <c r="Q43" s="642" t="str">
        <f t="shared" si="4"/>
        <v/>
      </c>
    </row>
    <row r="44" spans="2:17" s="642" customFormat="1">
      <c r="B44" s="26"/>
      <c r="C44" s="510"/>
      <c r="D44" s="36"/>
      <c r="E44" s="1157" t="str">
        <f t="shared" si="9"/>
        <v/>
      </c>
      <c r="F44" s="1267" t="str">
        <f t="shared" si="5"/>
        <v/>
      </c>
      <c r="G44" s="1165" t="str">
        <f t="shared" si="1"/>
        <v/>
      </c>
      <c r="H44" s="1153"/>
      <c r="I44" s="1153"/>
      <c r="J44" s="1165" t="str">
        <f t="shared" si="2"/>
        <v/>
      </c>
      <c r="K44" s="1153"/>
      <c r="L44" s="29"/>
      <c r="M44" s="956" t="str">
        <f t="shared" si="3"/>
        <v/>
      </c>
      <c r="N44" s="956" t="str">
        <f t="shared" si="6"/>
        <v/>
      </c>
      <c r="O44" s="673" t="str">
        <f t="shared" si="7"/>
        <v/>
      </c>
      <c r="P44" s="642" t="str">
        <f t="shared" si="8"/>
        <v/>
      </c>
      <c r="Q44" s="642" t="str">
        <f t="shared" si="4"/>
        <v/>
      </c>
    </row>
    <row r="45" spans="2:17" s="642" customFormat="1">
      <c r="B45" s="26"/>
      <c r="C45" s="510"/>
      <c r="D45" s="36"/>
      <c r="E45" s="1157" t="str">
        <f t="shared" si="9"/>
        <v/>
      </c>
      <c r="F45" s="1267" t="str">
        <f t="shared" si="5"/>
        <v/>
      </c>
      <c r="G45" s="1165" t="str">
        <f t="shared" si="1"/>
        <v/>
      </c>
      <c r="H45" s="1153"/>
      <c r="I45" s="1153"/>
      <c r="J45" s="1165" t="str">
        <f t="shared" si="2"/>
        <v/>
      </c>
      <c r="K45" s="1153"/>
      <c r="L45" s="29"/>
      <c r="M45" s="956" t="str">
        <f t="shared" si="3"/>
        <v/>
      </c>
      <c r="N45" s="956" t="str">
        <f t="shared" si="6"/>
        <v/>
      </c>
      <c r="O45" s="673" t="str">
        <f t="shared" si="7"/>
        <v/>
      </c>
      <c r="P45" s="642" t="str">
        <f t="shared" si="8"/>
        <v/>
      </c>
      <c r="Q45" s="642" t="str">
        <f t="shared" si="4"/>
        <v/>
      </c>
    </row>
    <row r="46" spans="2:17" s="642" customFormat="1">
      <c r="B46" s="26"/>
      <c r="C46" s="510"/>
      <c r="D46" s="36"/>
      <c r="E46" s="1157" t="str">
        <f t="shared" si="9"/>
        <v/>
      </c>
      <c r="F46" s="1267" t="str">
        <f t="shared" si="5"/>
        <v/>
      </c>
      <c r="G46" s="1165" t="str">
        <f t="shared" si="1"/>
        <v/>
      </c>
      <c r="H46" s="1153"/>
      <c r="I46" s="1153"/>
      <c r="J46" s="1165" t="str">
        <f t="shared" si="2"/>
        <v/>
      </c>
      <c r="K46" s="1153"/>
      <c r="L46" s="29"/>
      <c r="M46" s="956" t="str">
        <f t="shared" si="3"/>
        <v/>
      </c>
      <c r="N46" s="956" t="str">
        <f t="shared" si="6"/>
        <v/>
      </c>
      <c r="O46" s="673" t="str">
        <f t="shared" si="7"/>
        <v/>
      </c>
      <c r="P46" s="642" t="str">
        <f t="shared" si="8"/>
        <v/>
      </c>
      <c r="Q46" s="642" t="str">
        <f t="shared" si="4"/>
        <v/>
      </c>
    </row>
    <row r="47" spans="2:17" s="642" customFormat="1">
      <c r="B47" s="26"/>
      <c r="C47" s="510"/>
      <c r="D47" s="36"/>
      <c r="E47" s="1157" t="str">
        <f t="shared" si="9"/>
        <v/>
      </c>
      <c r="F47" s="1267" t="str">
        <f t="shared" si="5"/>
        <v/>
      </c>
      <c r="G47" s="1165" t="str">
        <f t="shared" si="1"/>
        <v/>
      </c>
      <c r="H47" s="1153"/>
      <c r="I47" s="1153"/>
      <c r="J47" s="1165" t="str">
        <f t="shared" si="2"/>
        <v/>
      </c>
      <c r="K47" s="1153"/>
      <c r="L47" s="29"/>
      <c r="M47" s="956" t="str">
        <f t="shared" si="3"/>
        <v/>
      </c>
      <c r="N47" s="956" t="str">
        <f t="shared" si="6"/>
        <v/>
      </c>
      <c r="O47" s="673" t="str">
        <f t="shared" si="7"/>
        <v/>
      </c>
      <c r="P47" s="642" t="str">
        <f t="shared" si="8"/>
        <v/>
      </c>
      <c r="Q47" s="642" t="str">
        <f t="shared" si="4"/>
        <v/>
      </c>
    </row>
    <row r="48" spans="2:17" s="642" customFormat="1">
      <c r="B48" s="26"/>
      <c r="C48" s="510"/>
      <c r="D48" s="36"/>
      <c r="E48" s="1157" t="str">
        <f t="shared" si="9"/>
        <v/>
      </c>
      <c r="F48" s="1267" t="str">
        <f t="shared" si="5"/>
        <v/>
      </c>
      <c r="G48" s="1165" t="str">
        <f t="shared" si="1"/>
        <v/>
      </c>
      <c r="H48" s="1153"/>
      <c r="I48" s="1153"/>
      <c r="J48" s="1165" t="str">
        <f t="shared" si="2"/>
        <v/>
      </c>
      <c r="K48" s="1153"/>
      <c r="L48" s="29"/>
      <c r="M48" s="956" t="str">
        <f t="shared" si="3"/>
        <v/>
      </c>
      <c r="N48" s="956" t="str">
        <f t="shared" si="6"/>
        <v/>
      </c>
      <c r="O48" s="673" t="str">
        <f t="shared" si="7"/>
        <v/>
      </c>
      <c r="P48" s="642" t="str">
        <f t="shared" si="8"/>
        <v/>
      </c>
      <c r="Q48" s="642" t="str">
        <f t="shared" si="4"/>
        <v/>
      </c>
    </row>
    <row r="49" spans="2:17" s="642" customFormat="1">
      <c r="B49" s="26"/>
      <c r="C49" s="510"/>
      <c r="D49" s="36"/>
      <c r="E49" s="1157" t="str">
        <f t="shared" si="9"/>
        <v/>
      </c>
      <c r="F49" s="1267" t="str">
        <f t="shared" si="5"/>
        <v/>
      </c>
      <c r="G49" s="1165" t="str">
        <f t="shared" si="1"/>
        <v/>
      </c>
      <c r="H49" s="1153"/>
      <c r="I49" s="1153"/>
      <c r="J49" s="1165" t="str">
        <f t="shared" si="2"/>
        <v/>
      </c>
      <c r="K49" s="1153"/>
      <c r="L49" s="29"/>
      <c r="M49" s="956" t="str">
        <f t="shared" si="3"/>
        <v/>
      </c>
      <c r="N49" s="956" t="str">
        <f t="shared" si="6"/>
        <v/>
      </c>
      <c r="O49" s="673" t="str">
        <f t="shared" si="7"/>
        <v/>
      </c>
      <c r="P49" s="642" t="str">
        <f t="shared" si="8"/>
        <v/>
      </c>
      <c r="Q49" s="642" t="str">
        <f t="shared" si="4"/>
        <v/>
      </c>
    </row>
    <row r="50" spans="2:17" s="642" customFormat="1">
      <c r="B50" s="26"/>
      <c r="C50" s="510"/>
      <c r="D50" s="36"/>
      <c r="E50" s="1157" t="str">
        <f t="shared" si="9"/>
        <v/>
      </c>
      <c r="F50" s="1267" t="str">
        <f t="shared" si="5"/>
        <v/>
      </c>
      <c r="G50" s="1165" t="str">
        <f t="shared" si="1"/>
        <v/>
      </c>
      <c r="H50" s="1153"/>
      <c r="I50" s="1153"/>
      <c r="J50" s="1165" t="str">
        <f t="shared" si="2"/>
        <v/>
      </c>
      <c r="K50" s="1153"/>
      <c r="L50" s="29"/>
      <c r="M50" s="956" t="str">
        <f t="shared" si="3"/>
        <v/>
      </c>
      <c r="N50" s="956" t="str">
        <f t="shared" si="6"/>
        <v/>
      </c>
      <c r="O50" s="673" t="str">
        <f t="shared" si="7"/>
        <v/>
      </c>
      <c r="P50" s="642" t="str">
        <f t="shared" si="8"/>
        <v/>
      </c>
      <c r="Q50" s="642" t="str">
        <f t="shared" si="4"/>
        <v/>
      </c>
    </row>
    <row r="51" spans="2:17" s="642" customFormat="1">
      <c r="B51" s="26"/>
      <c r="C51" s="510"/>
      <c r="D51" s="36"/>
      <c r="E51" s="1157" t="str">
        <f t="shared" si="9"/>
        <v/>
      </c>
      <c r="F51" s="1267" t="str">
        <f t="shared" si="5"/>
        <v/>
      </c>
      <c r="G51" s="1165" t="str">
        <f t="shared" si="1"/>
        <v/>
      </c>
      <c r="H51" s="1153"/>
      <c r="I51" s="1153"/>
      <c r="J51" s="1165" t="str">
        <f t="shared" si="2"/>
        <v/>
      </c>
      <c r="K51" s="1153"/>
      <c r="L51" s="29"/>
      <c r="M51" s="956" t="str">
        <f t="shared" si="3"/>
        <v/>
      </c>
      <c r="N51" s="956" t="str">
        <f t="shared" si="6"/>
        <v/>
      </c>
      <c r="O51" s="673" t="str">
        <f t="shared" si="7"/>
        <v/>
      </c>
      <c r="P51" s="642" t="str">
        <f t="shared" si="8"/>
        <v/>
      </c>
      <c r="Q51" s="642" t="str">
        <f t="shared" si="4"/>
        <v/>
      </c>
    </row>
    <row r="52" spans="2:17" s="642" customFormat="1">
      <c r="B52" s="26"/>
      <c r="C52" s="510"/>
      <c r="D52" s="36"/>
      <c r="E52" s="1157" t="str">
        <f t="shared" si="9"/>
        <v/>
      </c>
      <c r="F52" s="1267" t="str">
        <f t="shared" si="5"/>
        <v/>
      </c>
      <c r="G52" s="1165" t="str">
        <f t="shared" si="1"/>
        <v/>
      </c>
      <c r="H52" s="1153"/>
      <c r="I52" s="1153"/>
      <c r="J52" s="1165" t="str">
        <f t="shared" si="2"/>
        <v/>
      </c>
      <c r="K52" s="1153"/>
      <c r="L52" s="29"/>
      <c r="M52" s="956" t="str">
        <f t="shared" si="3"/>
        <v/>
      </c>
      <c r="N52" s="956" t="str">
        <f t="shared" si="6"/>
        <v/>
      </c>
      <c r="O52" s="673" t="str">
        <f t="shared" si="7"/>
        <v/>
      </c>
      <c r="P52" s="642" t="str">
        <f t="shared" si="8"/>
        <v/>
      </c>
      <c r="Q52" s="642" t="str">
        <f t="shared" si="4"/>
        <v/>
      </c>
    </row>
    <row r="53" spans="2:17" s="642" customFormat="1">
      <c r="B53" s="26"/>
      <c r="C53" s="510"/>
      <c r="D53" s="36"/>
      <c r="E53" s="1157" t="str">
        <f t="shared" si="9"/>
        <v/>
      </c>
      <c r="F53" s="1267" t="str">
        <f t="shared" si="5"/>
        <v/>
      </c>
      <c r="G53" s="1165" t="str">
        <f t="shared" si="1"/>
        <v/>
      </c>
      <c r="H53" s="1153"/>
      <c r="I53" s="1153"/>
      <c r="J53" s="1165" t="str">
        <f t="shared" si="2"/>
        <v/>
      </c>
      <c r="K53" s="1153"/>
      <c r="L53" s="29"/>
      <c r="M53" s="956" t="str">
        <f t="shared" si="3"/>
        <v/>
      </c>
      <c r="N53" s="956" t="str">
        <f t="shared" si="6"/>
        <v/>
      </c>
      <c r="O53" s="673" t="str">
        <f t="shared" si="7"/>
        <v/>
      </c>
      <c r="P53" s="642" t="str">
        <f t="shared" si="8"/>
        <v/>
      </c>
      <c r="Q53" s="642" t="str">
        <f t="shared" si="4"/>
        <v/>
      </c>
    </row>
    <row r="54" spans="2:17" s="642" customFormat="1">
      <c r="B54" s="26"/>
      <c r="C54" s="510"/>
      <c r="D54" s="36"/>
      <c r="E54" s="1157" t="str">
        <f t="shared" si="9"/>
        <v/>
      </c>
      <c r="F54" s="1267" t="str">
        <f t="shared" si="5"/>
        <v/>
      </c>
      <c r="G54" s="1165" t="str">
        <f t="shared" si="1"/>
        <v/>
      </c>
      <c r="H54" s="1153"/>
      <c r="I54" s="1153"/>
      <c r="J54" s="1165" t="str">
        <f t="shared" si="2"/>
        <v/>
      </c>
      <c r="K54" s="1153"/>
      <c r="L54" s="29"/>
      <c r="M54" s="956" t="str">
        <f t="shared" si="3"/>
        <v/>
      </c>
      <c r="N54" s="956" t="str">
        <f t="shared" si="6"/>
        <v/>
      </c>
      <c r="O54" s="673" t="str">
        <f t="shared" si="7"/>
        <v/>
      </c>
      <c r="P54" s="642" t="str">
        <f t="shared" si="8"/>
        <v/>
      </c>
      <c r="Q54" s="642" t="str">
        <f t="shared" si="4"/>
        <v/>
      </c>
    </row>
    <row r="55" spans="2:17" s="642" customFormat="1">
      <c r="B55" s="26"/>
      <c r="C55" s="510"/>
      <c r="D55" s="36"/>
      <c r="E55" s="1157" t="str">
        <f t="shared" si="9"/>
        <v/>
      </c>
      <c r="F55" s="1267" t="str">
        <f t="shared" si="5"/>
        <v/>
      </c>
      <c r="G55" s="1165" t="str">
        <f t="shared" si="1"/>
        <v/>
      </c>
      <c r="H55" s="1153"/>
      <c r="I55" s="1153"/>
      <c r="J55" s="1165" t="str">
        <f t="shared" si="2"/>
        <v/>
      </c>
      <c r="K55" s="1153"/>
      <c r="L55" s="29"/>
      <c r="M55" s="956" t="str">
        <f t="shared" si="3"/>
        <v/>
      </c>
      <c r="N55" s="956" t="str">
        <f t="shared" si="6"/>
        <v/>
      </c>
      <c r="O55" s="673" t="str">
        <f t="shared" si="7"/>
        <v/>
      </c>
      <c r="P55" s="642" t="str">
        <f t="shared" si="8"/>
        <v/>
      </c>
      <c r="Q55" s="642" t="str">
        <f t="shared" si="4"/>
        <v/>
      </c>
    </row>
    <row r="56" spans="2:17" s="642" customFormat="1">
      <c r="B56" s="26"/>
      <c r="C56" s="510"/>
      <c r="D56" s="36"/>
      <c r="E56" s="1157" t="str">
        <f t="shared" si="9"/>
        <v/>
      </c>
      <c r="F56" s="1267" t="str">
        <f t="shared" si="5"/>
        <v/>
      </c>
      <c r="G56" s="1165" t="str">
        <f t="shared" si="1"/>
        <v/>
      </c>
      <c r="H56" s="1153"/>
      <c r="I56" s="1153"/>
      <c r="J56" s="1165" t="str">
        <f t="shared" si="2"/>
        <v/>
      </c>
      <c r="K56" s="1153"/>
      <c r="L56" s="29"/>
      <c r="M56" s="956" t="str">
        <f t="shared" si="3"/>
        <v/>
      </c>
      <c r="N56" s="956" t="str">
        <f t="shared" si="6"/>
        <v/>
      </c>
      <c r="O56" s="673" t="str">
        <f t="shared" si="7"/>
        <v/>
      </c>
      <c r="P56" s="642" t="str">
        <f t="shared" si="8"/>
        <v/>
      </c>
      <c r="Q56" s="642" t="str">
        <f t="shared" si="4"/>
        <v/>
      </c>
    </row>
    <row r="57" spans="2:17" s="642" customFormat="1">
      <c r="B57" s="26"/>
      <c r="C57" s="510"/>
      <c r="D57" s="36"/>
      <c r="E57" s="1157" t="str">
        <f t="shared" si="9"/>
        <v/>
      </c>
      <c r="F57" s="1267" t="str">
        <f t="shared" si="5"/>
        <v/>
      </c>
      <c r="G57" s="1165" t="str">
        <f t="shared" si="1"/>
        <v/>
      </c>
      <c r="H57" s="1153"/>
      <c r="I57" s="1153"/>
      <c r="J57" s="1165" t="str">
        <f t="shared" si="2"/>
        <v/>
      </c>
      <c r="K57" s="1153"/>
      <c r="L57" s="29"/>
      <c r="M57" s="956" t="str">
        <f t="shared" si="3"/>
        <v/>
      </c>
      <c r="N57" s="956" t="str">
        <f t="shared" si="6"/>
        <v/>
      </c>
      <c r="O57" s="673" t="str">
        <f t="shared" si="7"/>
        <v/>
      </c>
      <c r="P57" s="642" t="str">
        <f t="shared" si="8"/>
        <v/>
      </c>
      <c r="Q57" s="642" t="str">
        <f t="shared" si="4"/>
        <v/>
      </c>
    </row>
    <row r="58" spans="2:17" s="642" customFormat="1">
      <c r="B58" s="26"/>
      <c r="C58" s="510"/>
      <c r="D58" s="36"/>
      <c r="E58" s="1157" t="str">
        <f t="shared" si="9"/>
        <v/>
      </c>
      <c r="F58" s="1267" t="str">
        <f t="shared" si="5"/>
        <v/>
      </c>
      <c r="G58" s="1165" t="str">
        <f t="shared" si="1"/>
        <v/>
      </c>
      <c r="H58" s="1153"/>
      <c r="I58" s="1153"/>
      <c r="J58" s="1165" t="str">
        <f t="shared" si="2"/>
        <v/>
      </c>
      <c r="K58" s="1153"/>
      <c r="L58" s="29"/>
      <c r="M58" s="956" t="str">
        <f t="shared" si="3"/>
        <v/>
      </c>
      <c r="N58" s="956" t="str">
        <f t="shared" si="6"/>
        <v/>
      </c>
      <c r="O58" s="673" t="str">
        <f t="shared" si="7"/>
        <v/>
      </c>
      <c r="P58" s="642" t="str">
        <f t="shared" si="8"/>
        <v/>
      </c>
      <c r="Q58" s="642" t="str">
        <f t="shared" si="4"/>
        <v/>
      </c>
    </row>
    <row r="59" spans="2:17" s="642" customFormat="1">
      <c r="B59" s="26"/>
      <c r="C59" s="510"/>
      <c r="D59" s="36"/>
      <c r="E59" s="1157" t="str">
        <f t="shared" si="9"/>
        <v/>
      </c>
      <c r="F59" s="1267" t="str">
        <f t="shared" si="5"/>
        <v/>
      </c>
      <c r="G59" s="1165" t="str">
        <f t="shared" si="1"/>
        <v/>
      </c>
      <c r="H59" s="1153"/>
      <c r="I59" s="1153"/>
      <c r="J59" s="1165" t="str">
        <f t="shared" si="2"/>
        <v/>
      </c>
      <c r="K59" s="1153"/>
      <c r="L59" s="29"/>
      <c r="M59" s="956" t="str">
        <f t="shared" si="3"/>
        <v/>
      </c>
      <c r="N59" s="956" t="str">
        <f t="shared" si="6"/>
        <v/>
      </c>
      <c r="O59" s="673" t="str">
        <f t="shared" si="7"/>
        <v/>
      </c>
      <c r="P59" s="642" t="str">
        <f t="shared" si="8"/>
        <v/>
      </c>
      <c r="Q59" s="642" t="str">
        <f t="shared" si="4"/>
        <v/>
      </c>
    </row>
    <row r="60" spans="2:17" s="642" customFormat="1">
      <c r="B60" s="26"/>
      <c r="C60" s="510"/>
      <c r="D60" s="36"/>
      <c r="E60" s="1157" t="str">
        <f t="shared" si="9"/>
        <v/>
      </c>
      <c r="F60" s="1267" t="str">
        <f t="shared" si="5"/>
        <v/>
      </c>
      <c r="G60" s="1165" t="str">
        <f t="shared" si="1"/>
        <v/>
      </c>
      <c r="H60" s="1153"/>
      <c r="I60" s="1153"/>
      <c r="J60" s="1165" t="str">
        <f t="shared" si="2"/>
        <v/>
      </c>
      <c r="K60" s="1153"/>
      <c r="L60" s="29"/>
      <c r="M60" s="956" t="str">
        <f t="shared" si="3"/>
        <v/>
      </c>
      <c r="N60" s="956" t="str">
        <f t="shared" si="6"/>
        <v/>
      </c>
      <c r="O60" s="673" t="str">
        <f t="shared" si="7"/>
        <v/>
      </c>
      <c r="P60" s="642" t="str">
        <f t="shared" si="8"/>
        <v/>
      </c>
      <c r="Q60" s="642" t="str">
        <f t="shared" si="4"/>
        <v/>
      </c>
    </row>
    <row r="61" spans="2:17" s="642" customFormat="1">
      <c r="B61" s="26"/>
      <c r="C61" s="510"/>
      <c r="D61" s="36"/>
      <c r="E61" s="1157" t="str">
        <f t="shared" si="9"/>
        <v/>
      </c>
      <c r="F61" s="1267" t="str">
        <f t="shared" si="5"/>
        <v/>
      </c>
      <c r="G61" s="1165" t="str">
        <f t="shared" si="1"/>
        <v/>
      </c>
      <c r="H61" s="1153"/>
      <c r="I61" s="1153"/>
      <c r="J61" s="1165" t="str">
        <f t="shared" si="2"/>
        <v/>
      </c>
      <c r="K61" s="1153"/>
      <c r="L61" s="29"/>
      <c r="M61" s="956" t="str">
        <f t="shared" si="3"/>
        <v/>
      </c>
      <c r="N61" s="956" t="str">
        <f t="shared" si="6"/>
        <v/>
      </c>
      <c r="O61" s="673" t="str">
        <f t="shared" si="7"/>
        <v/>
      </c>
      <c r="P61" s="642" t="str">
        <f t="shared" si="8"/>
        <v/>
      </c>
      <c r="Q61" s="642" t="str">
        <f t="shared" si="4"/>
        <v/>
      </c>
    </row>
    <row r="62" spans="2:17" s="642" customFormat="1">
      <c r="B62" s="26"/>
      <c r="C62" s="510"/>
      <c r="D62" s="36"/>
      <c r="E62" s="1157" t="str">
        <f t="shared" si="9"/>
        <v/>
      </c>
      <c r="F62" s="1267" t="str">
        <f t="shared" si="5"/>
        <v/>
      </c>
      <c r="G62" s="1165" t="str">
        <f t="shared" si="1"/>
        <v/>
      </c>
      <c r="H62" s="1153"/>
      <c r="I62" s="1153"/>
      <c r="J62" s="1165" t="str">
        <f t="shared" si="2"/>
        <v/>
      </c>
      <c r="K62" s="1153"/>
      <c r="L62" s="29"/>
      <c r="M62" s="956" t="str">
        <f t="shared" si="3"/>
        <v/>
      </c>
      <c r="N62" s="956" t="str">
        <f t="shared" si="6"/>
        <v/>
      </c>
      <c r="O62" s="673" t="str">
        <f t="shared" si="7"/>
        <v/>
      </c>
      <c r="P62" s="642" t="str">
        <f t="shared" si="8"/>
        <v/>
      </c>
      <c r="Q62" s="642" t="str">
        <f t="shared" si="4"/>
        <v/>
      </c>
    </row>
    <row r="63" spans="2:17" s="642" customFormat="1">
      <c r="B63" s="26"/>
      <c r="C63" s="510"/>
      <c r="D63" s="36"/>
      <c r="E63" s="1157" t="str">
        <f t="shared" si="9"/>
        <v/>
      </c>
      <c r="F63" s="1267" t="str">
        <f t="shared" si="5"/>
        <v/>
      </c>
      <c r="G63" s="1165" t="str">
        <f t="shared" si="1"/>
        <v/>
      </c>
      <c r="H63" s="1153"/>
      <c r="I63" s="1153"/>
      <c r="J63" s="1165" t="str">
        <f t="shared" si="2"/>
        <v/>
      </c>
      <c r="K63" s="1153"/>
      <c r="L63" s="29"/>
      <c r="M63" s="956" t="str">
        <f t="shared" si="3"/>
        <v/>
      </c>
      <c r="N63" s="956" t="str">
        <f t="shared" si="6"/>
        <v/>
      </c>
      <c r="O63" s="673" t="str">
        <f t="shared" si="7"/>
        <v/>
      </c>
      <c r="P63" s="642" t="str">
        <f t="shared" si="8"/>
        <v/>
      </c>
      <c r="Q63" s="642" t="str">
        <f t="shared" si="4"/>
        <v/>
      </c>
    </row>
    <row r="64" spans="2:17" s="642" customFormat="1">
      <c r="B64" s="26"/>
      <c r="C64" s="510"/>
      <c r="D64" s="36"/>
      <c r="E64" s="1157" t="str">
        <f t="shared" si="9"/>
        <v/>
      </c>
      <c r="F64" s="1267" t="str">
        <f t="shared" si="5"/>
        <v/>
      </c>
      <c r="G64" s="1165" t="str">
        <f t="shared" si="1"/>
        <v/>
      </c>
      <c r="H64" s="1153"/>
      <c r="I64" s="1153"/>
      <c r="J64" s="1165" t="str">
        <f t="shared" si="2"/>
        <v/>
      </c>
      <c r="K64" s="1153"/>
      <c r="L64" s="29"/>
      <c r="M64" s="956" t="str">
        <f t="shared" si="3"/>
        <v/>
      </c>
      <c r="N64" s="956" t="str">
        <f t="shared" si="6"/>
        <v/>
      </c>
      <c r="O64" s="673" t="str">
        <f t="shared" si="7"/>
        <v/>
      </c>
      <c r="P64" s="642" t="str">
        <f t="shared" si="8"/>
        <v/>
      </c>
      <c r="Q64" s="642" t="str">
        <f t="shared" si="4"/>
        <v/>
      </c>
    </row>
    <row r="65" spans="2:17" s="642" customFormat="1">
      <c r="B65" s="26"/>
      <c r="C65" s="510"/>
      <c r="D65" s="36"/>
      <c r="E65" s="1157" t="str">
        <f t="shared" si="9"/>
        <v/>
      </c>
      <c r="F65" s="1267" t="str">
        <f t="shared" si="5"/>
        <v/>
      </c>
      <c r="G65" s="1165" t="str">
        <f t="shared" si="1"/>
        <v/>
      </c>
      <c r="H65" s="1153"/>
      <c r="I65" s="1153"/>
      <c r="J65" s="1165" t="str">
        <f t="shared" si="2"/>
        <v/>
      </c>
      <c r="K65" s="1153"/>
      <c r="L65" s="29"/>
      <c r="M65" s="956" t="str">
        <f t="shared" si="3"/>
        <v/>
      </c>
      <c r="N65" s="956" t="str">
        <f t="shared" si="6"/>
        <v/>
      </c>
      <c r="O65" s="673" t="str">
        <f t="shared" si="7"/>
        <v/>
      </c>
      <c r="P65" s="642" t="str">
        <f t="shared" si="8"/>
        <v/>
      </c>
      <c r="Q65" s="642" t="str">
        <f t="shared" si="4"/>
        <v/>
      </c>
    </row>
    <row r="66" spans="2:17" s="642" customFormat="1">
      <c r="B66" s="26"/>
      <c r="C66" s="510"/>
      <c r="D66" s="36"/>
      <c r="E66" s="1157" t="str">
        <f t="shared" si="9"/>
        <v/>
      </c>
      <c r="F66" s="1267" t="str">
        <f t="shared" si="5"/>
        <v/>
      </c>
      <c r="G66" s="1165" t="str">
        <f t="shared" si="1"/>
        <v/>
      </c>
      <c r="H66" s="1153"/>
      <c r="I66" s="1153"/>
      <c r="J66" s="1165" t="str">
        <f t="shared" si="2"/>
        <v/>
      </c>
      <c r="K66" s="1153"/>
      <c r="L66" s="29"/>
      <c r="M66" s="956" t="str">
        <f t="shared" si="3"/>
        <v/>
      </c>
      <c r="N66" s="956" t="str">
        <f t="shared" si="6"/>
        <v/>
      </c>
      <c r="O66" s="673" t="str">
        <f t="shared" si="7"/>
        <v/>
      </c>
      <c r="P66" s="642" t="str">
        <f t="shared" si="8"/>
        <v/>
      </c>
      <c r="Q66" s="642" t="str">
        <f t="shared" si="4"/>
        <v/>
      </c>
    </row>
    <row r="67" spans="2:17" s="642" customFormat="1">
      <c r="B67" s="26"/>
      <c r="C67" s="510"/>
      <c r="D67" s="36"/>
      <c r="E67" s="1157" t="str">
        <f t="shared" si="9"/>
        <v/>
      </c>
      <c r="F67" s="1267" t="str">
        <f t="shared" si="5"/>
        <v/>
      </c>
      <c r="G67" s="1165" t="str">
        <f t="shared" si="1"/>
        <v/>
      </c>
      <c r="H67" s="1153"/>
      <c r="I67" s="1153"/>
      <c r="J67" s="1165" t="str">
        <f t="shared" si="2"/>
        <v/>
      </c>
      <c r="K67" s="1153"/>
      <c r="L67" s="29"/>
      <c r="M67" s="956" t="str">
        <f t="shared" si="3"/>
        <v/>
      </c>
      <c r="N67" s="956" t="str">
        <f t="shared" si="6"/>
        <v/>
      </c>
      <c r="O67" s="673" t="str">
        <f t="shared" si="7"/>
        <v/>
      </c>
      <c r="P67" s="642" t="str">
        <f t="shared" si="8"/>
        <v/>
      </c>
      <c r="Q67" s="642" t="str">
        <f t="shared" si="4"/>
        <v/>
      </c>
    </row>
    <row r="68" spans="2:17" s="642" customFormat="1">
      <c r="B68" s="26"/>
      <c r="C68" s="510"/>
      <c r="D68" s="36"/>
      <c r="E68" s="1157" t="str">
        <f t="shared" si="9"/>
        <v/>
      </c>
      <c r="F68" s="1267" t="str">
        <f t="shared" si="5"/>
        <v/>
      </c>
      <c r="G68" s="1165" t="str">
        <f t="shared" si="1"/>
        <v/>
      </c>
      <c r="H68" s="1153"/>
      <c r="I68" s="1153"/>
      <c r="J68" s="1165" t="str">
        <f t="shared" si="2"/>
        <v/>
      </c>
      <c r="K68" s="1153"/>
      <c r="L68" s="29"/>
      <c r="M68" s="956" t="str">
        <f t="shared" si="3"/>
        <v/>
      </c>
      <c r="N68" s="956" t="str">
        <f t="shared" si="6"/>
        <v/>
      </c>
      <c r="O68" s="673" t="str">
        <f t="shared" si="7"/>
        <v/>
      </c>
      <c r="P68" s="642" t="str">
        <f t="shared" si="8"/>
        <v/>
      </c>
      <c r="Q68" s="642" t="str">
        <f t="shared" si="4"/>
        <v/>
      </c>
    </row>
    <row r="69" spans="2:17" s="642" customFormat="1">
      <c r="B69" s="26"/>
      <c r="C69" s="510"/>
      <c r="D69" s="36"/>
      <c r="E69" s="1157" t="str">
        <f t="shared" si="9"/>
        <v/>
      </c>
      <c r="F69" s="1267" t="str">
        <f t="shared" si="5"/>
        <v/>
      </c>
      <c r="G69" s="1165" t="str">
        <f t="shared" si="1"/>
        <v/>
      </c>
      <c r="H69" s="1153"/>
      <c r="I69" s="1153"/>
      <c r="J69" s="1165" t="str">
        <f t="shared" si="2"/>
        <v/>
      </c>
      <c r="K69" s="1153"/>
      <c r="L69" s="29"/>
      <c r="M69" s="956" t="str">
        <f t="shared" si="3"/>
        <v/>
      </c>
      <c r="N69" s="956" t="str">
        <f t="shared" si="6"/>
        <v/>
      </c>
      <c r="O69" s="673" t="str">
        <f t="shared" si="7"/>
        <v/>
      </c>
      <c r="P69" s="642" t="str">
        <f t="shared" si="8"/>
        <v/>
      </c>
      <c r="Q69" s="642" t="str">
        <f t="shared" si="4"/>
        <v/>
      </c>
    </row>
    <row r="70" spans="2:17" ht="15" thickBot="1">
      <c r="B70" s="32"/>
      <c r="C70" s="1162"/>
      <c r="D70" s="34"/>
      <c r="E70" s="34"/>
      <c r="F70" s="34"/>
      <c r="G70" s="34"/>
      <c r="H70" s="1162"/>
      <c r="I70" s="1162"/>
      <c r="J70" s="1162"/>
      <c r="K70" s="1162"/>
      <c r="L70" s="35"/>
      <c r="O70" s="383" t="s">
        <v>195</v>
      </c>
      <c r="P70" s="383" t="s">
        <v>195</v>
      </c>
      <c r="Q70" s="383" t="s">
        <v>195</v>
      </c>
    </row>
  </sheetData>
  <mergeCells count="1">
    <mergeCell ref="K20:K21"/>
  </mergeCells>
  <dataValidations count="5">
    <dataValidation type="list" allowBlank="1" showInputMessage="1" showErrorMessage="1" sqref="H22:I69" xr:uid="{00000000-0002-0000-1300-000000000000}">
      <formula1>EquipmentAccessoriesList</formula1>
    </dataValidation>
    <dataValidation type="list" allowBlank="1" showInputMessage="1" showErrorMessage="1" sqref="K22:K69" xr:uid="{00000000-0002-0000-1300-000001000000}">
      <formula1>"Increased"</formula1>
    </dataValidation>
    <dataValidation type="list" allowBlank="1" showInputMessage="1" showErrorMessage="1" sqref="C22:C69" xr:uid="{00000000-0002-0000-1300-000002000000}">
      <formula1>EquipmentList</formula1>
    </dataValidation>
    <dataValidation type="list" allowBlank="1" showInputMessage="1" showErrorMessage="1" sqref="C8:C12" xr:uid="{00000000-0002-0000-1300-000003000000}">
      <formula1>WeaponList</formula1>
    </dataValidation>
    <dataValidation type="list" allowBlank="1" showInputMessage="1" showErrorMessage="1" sqref="C15:C19" xr:uid="{00000000-0002-0000-1300-000004000000}">
      <formula1>ArmorList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8" r:id="rId3" name="Button 2">
              <controlPr defaultSize="0" print="0" autoFill="0" autoPict="0" macro="[0]!ClearEquipment">
                <anchor moveWithCells="1" sizeWithCells="1">
                  <from>
                    <xdr:col>9</xdr:col>
                    <xdr:colOff>260350</xdr:colOff>
                    <xdr:row>2</xdr:row>
                    <xdr:rowOff>0</xdr:rowOff>
                  </from>
                  <to>
                    <xdr:col>10</xdr:col>
                    <xdr:colOff>355600</xdr:colOff>
                    <xdr:row>3</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dimension ref="B1:Q56"/>
  <sheetViews>
    <sheetView showGridLines="0" showRowColHeaders="0" workbookViewId="0">
      <selection activeCell="F41" sqref="F41:F46"/>
    </sheetView>
  </sheetViews>
  <sheetFormatPr defaultColWidth="9.1796875" defaultRowHeight="14.5"/>
  <cols>
    <col min="1" max="1" width="3.453125" style="536" customWidth="1"/>
    <col min="2" max="2" width="4.54296875" style="536" customWidth="1"/>
    <col min="3" max="3" width="4.1796875" style="536" customWidth="1"/>
    <col min="4" max="4" width="25.81640625" style="536" customWidth="1"/>
    <col min="5" max="5" width="9.54296875" style="1388" customWidth="1"/>
    <col min="6" max="6" width="8" style="16" customWidth="1"/>
    <col min="7" max="8" width="6.81640625" style="16" customWidth="1"/>
    <col min="9" max="9" width="5.1796875" style="536" customWidth="1"/>
    <col min="10" max="10" width="3.7265625" style="536" customWidth="1"/>
    <col min="11" max="11" width="29.453125" style="536" customWidth="1"/>
    <col min="12" max="12" width="24.54296875" style="536" customWidth="1"/>
    <col min="13" max="13" width="3.1796875" style="536" customWidth="1"/>
    <col min="14" max="14" width="0" style="536" hidden="1" customWidth="1"/>
    <col min="15" max="17" width="9.1796875" style="536" hidden="1" customWidth="1"/>
    <col min="18" max="16384" width="9.1796875" style="536"/>
  </cols>
  <sheetData>
    <row r="1" spans="2:13" ht="15" thickBot="1"/>
    <row r="2" spans="2:13">
      <c r="B2" s="22"/>
      <c r="C2" s="544"/>
      <c r="D2" s="544"/>
      <c r="E2" s="1325"/>
      <c r="F2" s="1399"/>
      <c r="G2" s="1399"/>
      <c r="H2" s="24"/>
      <c r="I2" s="544"/>
      <c r="J2" s="544"/>
      <c r="K2" s="544"/>
      <c r="L2" s="544"/>
      <c r="M2" s="25"/>
    </row>
    <row r="3" spans="2:13" ht="21">
      <c r="B3" s="26"/>
      <c r="C3" s="547" t="s">
        <v>3694</v>
      </c>
      <c r="D3" s="546"/>
      <c r="E3" s="1384"/>
      <c r="F3" s="1391"/>
      <c r="G3" s="1391"/>
      <c r="H3" s="1391"/>
      <c r="I3" s="546"/>
      <c r="J3" s="546">
        <f>MAX((B24+F40)*-1,-5)</f>
        <v>0</v>
      </c>
      <c r="K3" s="690" t="s">
        <v>4088</v>
      </c>
      <c r="L3" s="708">
        <f>SUM(L7:L35)</f>
        <v>0</v>
      </c>
      <c r="M3" s="29"/>
    </row>
    <row r="4" spans="2:13" ht="15" thickBot="1">
      <c r="B4" s="32"/>
      <c r="C4" s="542"/>
      <c r="D4" s="542"/>
      <c r="E4" s="1389"/>
      <c r="F4" s="34"/>
      <c r="G4" s="34"/>
      <c r="H4" s="34"/>
      <c r="I4" s="542"/>
      <c r="J4" s="542"/>
      <c r="K4" s="542"/>
      <c r="L4" s="558"/>
      <c r="M4" s="35"/>
    </row>
    <row r="5" spans="2:13" s="543" customFormat="1" ht="15" thickBot="1">
      <c r="E5" s="1388"/>
      <c r="F5" s="16"/>
      <c r="G5" s="16"/>
      <c r="H5" s="16"/>
      <c r="L5" s="556"/>
    </row>
    <row r="6" spans="2:13" s="543" customFormat="1">
      <c r="B6" s="22"/>
      <c r="C6" s="544"/>
      <c r="D6" s="544"/>
      <c r="E6" s="1325"/>
      <c r="F6" s="1399"/>
      <c r="G6" s="1399"/>
      <c r="H6" s="24"/>
      <c r="I6" s="544"/>
      <c r="J6" s="544"/>
      <c r="K6" s="544"/>
      <c r="L6" s="559"/>
      <c r="M6" s="25"/>
    </row>
    <row r="7" spans="2:13" s="543" customFormat="1" ht="21">
      <c r="B7" s="26"/>
      <c r="C7" s="547" t="s">
        <v>3695</v>
      </c>
      <c r="D7" s="546"/>
      <c r="E7" s="1384"/>
      <c r="F7" s="1391"/>
      <c r="G7" s="1391"/>
      <c r="H7" s="1391"/>
      <c r="I7" s="546"/>
      <c r="J7" s="546"/>
      <c r="K7" s="546"/>
      <c r="L7" s="706" t="str">
        <f>IF(Bioimplant&lt;&gt;1,INDEX(ImplantCost,Bioimplant,1),"")</f>
        <v/>
      </c>
      <c r="M7" s="29"/>
    </row>
    <row r="8" spans="2:13" s="543" customFormat="1">
      <c r="B8" s="26"/>
      <c r="C8" s="546"/>
      <c r="D8" s="546"/>
      <c r="E8" s="1384"/>
      <c r="F8" s="1391"/>
      <c r="G8" s="1391"/>
      <c r="H8" s="1391"/>
      <c r="I8" s="546"/>
      <c r="J8" s="546"/>
      <c r="K8" s="546"/>
      <c r="L8" s="557"/>
      <c r="M8" s="29"/>
    </row>
    <row r="9" spans="2:13">
      <c r="B9" s="26"/>
      <c r="C9" s="49" t="s">
        <v>137</v>
      </c>
      <c r="D9" s="75"/>
      <c r="E9" s="75"/>
      <c r="F9" s="1392"/>
      <c r="G9" s="1392"/>
      <c r="H9" s="1392"/>
      <c r="I9" s="75"/>
      <c r="J9" s="75"/>
      <c r="K9" s="49" t="s">
        <v>3696</v>
      </c>
      <c r="L9" s="75"/>
      <c r="M9" s="29"/>
    </row>
    <row r="10" spans="2:13">
      <c r="B10" s="26"/>
      <c r="C10" s="546"/>
      <c r="D10" s="546"/>
      <c r="E10" s="1384"/>
      <c r="F10" s="1391"/>
      <c r="G10" s="1391"/>
      <c r="H10" s="1391"/>
      <c r="I10" s="512">
        <v>1</v>
      </c>
      <c r="J10" s="512" t="str">
        <f>IF(Bioimplant=1,"None","")</f>
        <v>None</v>
      </c>
      <c r="K10" s="546" t="str">
        <f>IF(Bioimplant&lt;&gt;1,IF(Feats!M148&gt;0,"No associated penalties","-2 penalty to Will Defense, move 2 steps instead of 1"),"")</f>
        <v/>
      </c>
      <c r="L10" s="546"/>
      <c r="M10" s="29"/>
    </row>
    <row r="11" spans="2:13">
      <c r="B11" s="26"/>
      <c r="C11" s="546"/>
      <c r="D11" s="546"/>
      <c r="E11" s="1384"/>
      <c r="F11" s="1391"/>
      <c r="G11" s="1391"/>
      <c r="H11" s="1391"/>
      <c r="I11" s="512">
        <v>1750</v>
      </c>
      <c r="J11" s="512" t="str">
        <f>IF(Bioimplant=2,"Immune to poison.","")</f>
        <v/>
      </c>
      <c r="K11" s="560" t="str">
        <f t="shared" ref="K11:K16" si="0">IF(J11&lt;&gt;"",J11,K12)</f>
        <v/>
      </c>
      <c r="L11" s="512"/>
      <c r="M11" s="29"/>
    </row>
    <row r="12" spans="2:13">
      <c r="B12" s="26"/>
      <c r="C12" s="546"/>
      <c r="D12" s="546"/>
      <c r="E12" s="1384"/>
      <c r="F12" s="1391"/>
      <c r="G12" s="1391"/>
      <c r="H12" s="1391"/>
      <c r="I12" s="512">
        <v>4000</v>
      </c>
      <c r="J12" s="512" t="str">
        <f>IF(Bioimplant=3,"+1 hit point per level.","")</f>
        <v/>
      </c>
      <c r="K12" s="512" t="str">
        <f t="shared" si="0"/>
        <v/>
      </c>
      <c r="L12" s="512"/>
      <c r="M12" s="29"/>
    </row>
    <row r="13" spans="2:13">
      <c r="B13" s="26"/>
      <c r="C13" s="546"/>
      <c r="D13" s="546"/>
      <c r="E13" s="1384"/>
      <c r="F13" s="1391"/>
      <c r="G13" s="1391"/>
      <c r="H13" s="1391"/>
      <c r="I13" s="512">
        <v>5000</v>
      </c>
      <c r="J13" s="512" t="str">
        <f>IF(Bioimplant=4,"Eliminates penalties for non-proficiency with weapons.","")</f>
        <v/>
      </c>
      <c r="K13" s="512" t="str">
        <f t="shared" si="0"/>
        <v/>
      </c>
      <c r="L13" s="512"/>
      <c r="M13" s="29"/>
    </row>
    <row r="14" spans="2:13">
      <c r="B14" s="26"/>
      <c r="C14" s="546"/>
      <c r="D14" s="546"/>
      <c r="E14" s="1384"/>
      <c r="F14" s="1391"/>
      <c r="G14" s="1391"/>
      <c r="H14" s="1391"/>
      <c r="I14" s="512">
        <v>2000</v>
      </c>
      <c r="J14" s="512" t="str">
        <f>IF(Bioimplant=5,"Reroll any Knowledge check, keeping the better result.","")</f>
        <v/>
      </c>
      <c r="K14" s="512" t="str">
        <f t="shared" si="0"/>
        <v/>
      </c>
      <c r="L14" s="512"/>
      <c r="M14" s="29"/>
    </row>
    <row r="15" spans="2:13">
      <c r="B15" s="26"/>
      <c r="C15" s="546"/>
      <c r="D15" s="546"/>
      <c r="E15" s="1384"/>
      <c r="F15" s="1391"/>
      <c r="G15" s="1391"/>
      <c r="H15" s="1391"/>
      <c r="I15" s="512">
        <v>5000</v>
      </c>
      <c r="J15" s="512" t="str">
        <f>IF(Bioimplant=6,"+5 equipment bonus to Damage Threshold against stun.","")</f>
        <v/>
      </c>
      <c r="K15" s="512" t="str">
        <f t="shared" si="0"/>
        <v/>
      </c>
      <c r="L15" s="512"/>
      <c r="M15" s="29"/>
    </row>
    <row r="16" spans="2:13">
      <c r="B16" s="26"/>
      <c r="C16" s="546"/>
      <c r="D16" s="546"/>
      <c r="E16" s="1384"/>
      <c r="F16" s="1391"/>
      <c r="G16" s="1391"/>
      <c r="H16" s="1391"/>
      <c r="I16" s="512">
        <v>4250</v>
      </c>
      <c r="J16" s="512" t="str">
        <f>IF(Bioimplant=7,"Recover twice as many hit points from natural healing.","")</f>
        <v/>
      </c>
      <c r="K16" s="512" t="str">
        <f t="shared" si="0"/>
        <v/>
      </c>
      <c r="L16" s="512"/>
      <c r="M16" s="29"/>
    </row>
    <row r="17" spans="2:13">
      <c r="B17" s="26"/>
      <c r="C17" s="546"/>
      <c r="D17" s="546"/>
      <c r="E17" s="1384"/>
      <c r="F17" s="1391"/>
      <c r="G17" s="1391"/>
      <c r="H17" s="1391"/>
      <c r="I17" s="512">
        <v>2500</v>
      </c>
      <c r="J17" s="512" t="str">
        <f>IF(Bioimplant=8,IF(COUNTIF('Character &amp; Species'!T9:T13,"Low-light vision")&lt;=0,"Low-light vision","Darkvision"),"")</f>
        <v/>
      </c>
      <c r="K17" s="512" t="str">
        <f>IF(J17&lt;&gt;"",J17,"")</f>
        <v/>
      </c>
      <c r="L17" s="512"/>
      <c r="M17" s="29"/>
    </row>
    <row r="18" spans="2:13" s="810" customFormat="1">
      <c r="B18" s="26"/>
      <c r="C18" s="809"/>
      <c r="D18" s="809"/>
      <c r="E18" s="1384"/>
      <c r="F18" s="1391"/>
      <c r="G18" s="1391"/>
      <c r="H18" s="1391"/>
      <c r="I18" s="512">
        <v>23000</v>
      </c>
      <c r="J18" s="512" t="str">
        <f>IF(Bioimplant=9,"May use Mind-Affecting Force powers on droids","")</f>
        <v/>
      </c>
      <c r="K18" s="811" t="str">
        <f>IF(J18&lt;&gt;"",J18,"")</f>
        <v/>
      </c>
      <c r="L18" s="512"/>
      <c r="M18" s="29"/>
    </row>
    <row r="19" spans="2:13" ht="15" thickBot="1">
      <c r="B19" s="32"/>
      <c r="C19" s="542"/>
      <c r="D19" s="542"/>
      <c r="E19" s="1389"/>
      <c r="F19" s="34"/>
      <c r="G19" s="34"/>
      <c r="H19" s="34"/>
      <c r="I19" s="542"/>
      <c r="J19" s="542"/>
      <c r="K19" s="542"/>
      <c r="L19" s="542"/>
      <c r="M19" s="35"/>
    </row>
    <row r="20" spans="2:13" ht="15" thickBot="1"/>
    <row r="21" spans="2:13">
      <c r="B21" s="22"/>
      <c r="C21" s="603"/>
      <c r="D21" s="603"/>
      <c r="E21" s="1325"/>
      <c r="F21" s="1399"/>
      <c r="G21" s="1399"/>
      <c r="H21" s="24"/>
      <c r="I21" s="603"/>
      <c r="J21" s="603"/>
      <c r="K21" s="603"/>
      <c r="L21" s="603"/>
      <c r="M21" s="25"/>
    </row>
    <row r="22" spans="2:13" ht="21">
      <c r="B22" s="26"/>
      <c r="C22" s="604" t="s">
        <v>4023</v>
      </c>
      <c r="D22" s="601"/>
      <c r="E22" s="1384"/>
      <c r="F22" s="1391"/>
      <c r="G22" s="1391"/>
      <c r="H22" s="1391"/>
      <c r="I22" s="601"/>
      <c r="J22" s="601"/>
      <c r="K22" s="601"/>
      <c r="L22" s="707" t="str">
        <f>IF(SUM(I25:I31)&lt;&gt;0,SUM(I25:I31),"")</f>
        <v/>
      </c>
      <c r="M22" s="29"/>
    </row>
    <row r="23" spans="2:13">
      <c r="B23" s="26"/>
      <c r="C23" s="601"/>
      <c r="D23" s="601"/>
      <c r="E23" s="1384"/>
      <c r="F23" s="1391"/>
      <c r="G23" s="1391"/>
      <c r="H23" s="1391"/>
      <c r="I23" s="601"/>
      <c r="J23" s="601"/>
      <c r="K23" s="601"/>
      <c r="L23" s="601"/>
      <c r="M23" s="29"/>
    </row>
    <row r="24" spans="2:13">
      <c r="B24" s="539">
        <f>COUNTIF(B25:B31,TRUE)</f>
        <v>0</v>
      </c>
      <c r="C24" s="49" t="s">
        <v>4024</v>
      </c>
      <c r="D24" s="49"/>
      <c r="E24" s="1387"/>
      <c r="F24" s="1385"/>
      <c r="G24" s="1385"/>
      <c r="H24" s="1385"/>
      <c r="I24" s="49"/>
      <c r="J24" s="49"/>
      <c r="K24" s="49" t="s">
        <v>4025</v>
      </c>
      <c r="L24" s="75"/>
      <c r="M24" s="29"/>
    </row>
    <row r="25" spans="2:13">
      <c r="B25" s="539" t="b">
        <v>0</v>
      </c>
      <c r="C25" s="512">
        <v>1400</v>
      </c>
      <c r="D25" s="601" t="s">
        <v>4027</v>
      </c>
      <c r="E25" s="1384"/>
      <c r="F25" s="1391"/>
      <c r="G25" s="1391"/>
      <c r="H25" s="1391"/>
      <c r="I25" s="512">
        <f t="shared" ref="I25:I30" si="1">IF(B25,C25,0)</f>
        <v>0</v>
      </c>
      <c r="J25" s="512" t="s">
        <v>4038</v>
      </c>
      <c r="K25" s="601" t="str">
        <f>IF(B25,J25,"")</f>
        <v/>
      </c>
      <c r="L25" s="601"/>
      <c r="M25" s="29"/>
    </row>
    <row r="26" spans="2:13">
      <c r="B26" s="539" t="b">
        <v>0</v>
      </c>
      <c r="C26" s="512">
        <v>200</v>
      </c>
      <c r="D26" s="601" t="s">
        <v>4026</v>
      </c>
      <c r="E26" s="1384"/>
      <c r="F26" s="1391"/>
      <c r="G26" s="1391"/>
      <c r="H26" s="1391"/>
      <c r="I26" s="512">
        <f t="shared" si="1"/>
        <v>0</v>
      </c>
      <c r="J26" s="512" t="s">
        <v>4033</v>
      </c>
      <c r="K26" s="629" t="str">
        <f t="shared" ref="K26:K31" si="2">IF(B26,J26,"")</f>
        <v/>
      </c>
      <c r="L26" s="601"/>
      <c r="M26" s="29"/>
    </row>
    <row r="27" spans="2:13">
      <c r="B27" s="539" t="b">
        <v>0</v>
      </c>
      <c r="C27" s="512">
        <v>1900</v>
      </c>
      <c r="D27" s="601" t="s">
        <v>4028</v>
      </c>
      <c r="E27" s="1384"/>
      <c r="F27" s="1391"/>
      <c r="G27" s="1391"/>
      <c r="H27" s="1391"/>
      <c r="I27" s="512">
        <f t="shared" si="1"/>
        <v>0</v>
      </c>
      <c r="J27" s="512" t="s">
        <v>517</v>
      </c>
      <c r="K27" s="629" t="str">
        <f t="shared" si="2"/>
        <v/>
      </c>
      <c r="L27" s="601"/>
      <c r="M27" s="29"/>
    </row>
    <row r="28" spans="2:13">
      <c r="B28" s="539" t="b">
        <v>0</v>
      </c>
      <c r="C28" s="512">
        <v>7000</v>
      </c>
      <c r="D28" s="601" t="s">
        <v>4029</v>
      </c>
      <c r="E28" s="1384"/>
      <c r="F28" s="1391"/>
      <c r="G28" s="1391"/>
      <c r="H28" s="1391"/>
      <c r="I28" s="512">
        <f t="shared" si="1"/>
        <v>0</v>
      </c>
      <c r="J28" s="644" t="s">
        <v>4034</v>
      </c>
      <c r="K28" s="629" t="str">
        <f t="shared" si="2"/>
        <v/>
      </c>
      <c r="L28" s="601"/>
      <c r="M28" s="29"/>
    </row>
    <row r="29" spans="2:13">
      <c r="B29" s="539" t="b">
        <v>0</v>
      </c>
      <c r="C29" s="512">
        <v>4000</v>
      </c>
      <c r="D29" s="601" t="s">
        <v>4030</v>
      </c>
      <c r="E29" s="1384"/>
      <c r="F29" s="1391"/>
      <c r="G29" s="1391"/>
      <c r="H29" s="1391"/>
      <c r="I29" s="512">
        <f t="shared" si="1"/>
        <v>0</v>
      </c>
      <c r="J29" s="512" t="s">
        <v>4035</v>
      </c>
      <c r="K29" s="629" t="str">
        <f t="shared" si="2"/>
        <v/>
      </c>
      <c r="L29" s="601"/>
      <c r="M29" s="29"/>
    </row>
    <row r="30" spans="2:13">
      <c r="B30" s="539" t="b">
        <v>0</v>
      </c>
      <c r="C30" s="512">
        <v>2500</v>
      </c>
      <c r="D30" s="601" t="s">
        <v>4031</v>
      </c>
      <c r="E30" s="1384"/>
      <c r="F30" s="1391"/>
      <c r="G30" s="1391"/>
      <c r="H30" s="1391"/>
      <c r="I30" s="512">
        <f t="shared" si="1"/>
        <v>0</v>
      </c>
      <c r="J30" s="644" t="s">
        <v>4036</v>
      </c>
      <c r="K30" s="629" t="str">
        <f t="shared" si="2"/>
        <v/>
      </c>
      <c r="L30" s="601"/>
      <c r="M30" s="29"/>
    </row>
    <row r="31" spans="2:13">
      <c r="B31" s="539" t="b">
        <v>0</v>
      </c>
      <c r="C31" s="512">
        <v>2000</v>
      </c>
      <c r="D31" s="601" t="s">
        <v>4032</v>
      </c>
      <c r="E31" s="1384"/>
      <c r="F31" s="1391"/>
      <c r="G31" s="1391"/>
      <c r="H31" s="1391"/>
      <c r="I31" s="512">
        <f>IF(B31,C31,0)</f>
        <v>0</v>
      </c>
      <c r="J31" s="512" t="s">
        <v>4037</v>
      </c>
      <c r="K31" s="629" t="str">
        <f t="shared" si="2"/>
        <v/>
      </c>
      <c r="L31" s="601"/>
      <c r="M31" s="29"/>
    </row>
    <row r="32" spans="2:13" ht="15" thickBot="1">
      <c r="B32" s="32"/>
      <c r="C32" s="602"/>
      <c r="D32" s="602"/>
      <c r="E32" s="1389"/>
      <c r="F32" s="34"/>
      <c r="G32" s="34"/>
      <c r="H32" s="34"/>
      <c r="I32" s="602"/>
      <c r="J32" s="602"/>
      <c r="K32" s="602"/>
      <c r="L32" s="602"/>
      <c r="M32" s="35"/>
    </row>
    <row r="33" spans="2:16" ht="15" thickBot="1"/>
    <row r="34" spans="2:16">
      <c r="B34" s="22"/>
      <c r="C34" s="692"/>
      <c r="D34" s="692"/>
      <c r="E34" s="1325"/>
      <c r="F34" s="1399"/>
      <c r="G34" s="1399"/>
      <c r="H34" s="24"/>
      <c r="I34" s="692"/>
      <c r="J34" s="692"/>
      <c r="K34" s="692"/>
      <c r="L34" s="692"/>
      <c r="M34" s="25"/>
    </row>
    <row r="35" spans="2:16" ht="21">
      <c r="B35" s="26"/>
      <c r="C35" s="693" t="s">
        <v>4087</v>
      </c>
      <c r="D35" s="690"/>
      <c r="E35" s="1384"/>
      <c r="F35" s="1391"/>
      <c r="G35" s="1391"/>
      <c r="H35" s="1391"/>
      <c r="I35" s="690"/>
      <c r="J35" s="690"/>
      <c r="K35" s="690"/>
      <c r="L35" s="707" t="str">
        <f>IF(F40&lt;&gt;0,F40*1500,"")</f>
        <v/>
      </c>
      <c r="M35" s="29"/>
    </row>
    <row r="36" spans="2:16">
      <c r="B36" s="26"/>
      <c r="C36" s="690"/>
      <c r="D36" s="690"/>
      <c r="E36" s="1384"/>
      <c r="F36" s="1391"/>
      <c r="G36" s="1391"/>
      <c r="H36" s="1391"/>
      <c r="I36" s="690"/>
      <c r="J36" s="690"/>
      <c r="K36" s="690"/>
      <c r="L36" s="690"/>
      <c r="M36" s="29"/>
    </row>
    <row r="37" spans="2:16">
      <c r="B37" s="26"/>
      <c r="C37" s="1387" t="s">
        <v>7209</v>
      </c>
      <c r="D37" s="75"/>
      <c r="E37" s="1385" t="s">
        <v>7208</v>
      </c>
      <c r="F37" s="1385" t="s">
        <v>4574</v>
      </c>
      <c r="G37" s="1385" t="s">
        <v>3691</v>
      </c>
      <c r="H37" s="1385" t="s">
        <v>7213</v>
      </c>
      <c r="I37" s="1387" t="s">
        <v>117</v>
      </c>
      <c r="J37" s="75"/>
      <c r="K37" s="1387" t="s">
        <v>7216</v>
      </c>
      <c r="L37" s="75"/>
      <c r="M37" s="29"/>
    </row>
    <row r="38" spans="2:16" s="1388" customFormat="1">
      <c r="B38" s="1327"/>
      <c r="C38" s="1384" t="s">
        <v>7201</v>
      </c>
      <c r="D38" s="1384"/>
      <c r="E38" s="1398">
        <v>14</v>
      </c>
      <c r="F38" s="1390"/>
      <c r="G38" s="1391" t="str">
        <f>IF(F38&lt;&gt;"",O38,"")</f>
        <v/>
      </c>
      <c r="H38" s="1391" t="str">
        <f>IF(G38&lt;&gt;"",P38,"")</f>
        <v/>
      </c>
      <c r="I38" s="1391" t="s">
        <v>204</v>
      </c>
      <c r="J38" s="1384"/>
      <c r="K38" s="1401" t="s">
        <v>7214</v>
      </c>
      <c r="L38" s="1384"/>
      <c r="M38" s="29"/>
      <c r="O38" s="1388">
        <v>80000</v>
      </c>
      <c r="P38" s="1388">
        <v>70000</v>
      </c>
    </row>
    <row r="39" spans="2:16" s="1388" customFormat="1">
      <c r="B39" s="1327"/>
      <c r="C39" s="1384" t="s">
        <v>7202</v>
      </c>
      <c r="D39" s="1384"/>
      <c r="E39" s="1398">
        <v>3</v>
      </c>
      <c r="F39" s="1390"/>
      <c r="G39" s="1391" t="str">
        <f t="shared" ref="G39:G52" si="3">IF(F39&lt;&gt;"",O39,"")</f>
        <v/>
      </c>
      <c r="H39" s="1391" t="str">
        <f t="shared" ref="H39:H52" si="4">IF(G39&lt;&gt;"",P39,"")</f>
        <v/>
      </c>
      <c r="I39" s="1391" t="s">
        <v>204</v>
      </c>
      <c r="J39" s="1384"/>
      <c r="K39" s="1384" t="s">
        <v>7215</v>
      </c>
      <c r="L39" s="1384"/>
      <c r="M39" s="29"/>
      <c r="O39" s="1388">
        <v>4000</v>
      </c>
      <c r="P39" s="1388">
        <v>3000</v>
      </c>
    </row>
    <row r="40" spans="2:16" s="1388" customFormat="1">
      <c r="B40" s="1327"/>
      <c r="C40" s="1384" t="s">
        <v>1228</v>
      </c>
      <c r="D40" s="1384"/>
      <c r="E40" s="1398">
        <v>0</v>
      </c>
      <c r="F40" s="1430">
        <f>IF(Cyborg,6,COUNTIF(F41:F46,"Yes"))</f>
        <v>0</v>
      </c>
      <c r="G40" s="1391"/>
      <c r="H40" s="1391" t="str">
        <f t="shared" si="4"/>
        <v/>
      </c>
      <c r="I40" s="511"/>
      <c r="J40" s="1384"/>
      <c r="K40" s="1384"/>
      <c r="L40" s="1384"/>
      <c r="M40" s="29"/>
    </row>
    <row r="41" spans="2:16" s="1388" customFormat="1">
      <c r="B41" s="1327"/>
      <c r="C41" s="1391">
        <v>1</v>
      </c>
      <c r="D41" s="1432"/>
      <c r="E41" s="1398">
        <v>0</v>
      </c>
      <c r="F41" s="1433"/>
      <c r="G41" s="1731" t="str">
        <f t="shared" ref="G41" si="5">IF(F41&lt;&gt;"",O41,"")</f>
        <v/>
      </c>
      <c r="H41" s="1731" t="str">
        <f t="shared" ref="H41" si="6">IF(G41&lt;&gt;"",P41,"")</f>
        <v/>
      </c>
      <c r="I41" s="645" t="s">
        <v>3718</v>
      </c>
      <c r="J41" s="1384"/>
      <c r="K41" s="1455"/>
      <c r="L41" s="1384"/>
      <c r="M41" s="29"/>
      <c r="N41" s="1388" t="str">
        <f>IF(K41&lt;&gt;"",INDEX(EquipmentAccessoriesTable,MATCH(K41,EquipmentAccessoriesList,0),3),"")</f>
        <v/>
      </c>
      <c r="O41" s="1388">
        <v>1500</v>
      </c>
      <c r="P41" s="1388">
        <v>500</v>
      </c>
    </row>
    <row r="42" spans="2:16" s="1388" customFormat="1">
      <c r="B42" s="1327"/>
      <c r="C42" s="1391">
        <v>2</v>
      </c>
      <c r="D42" s="1386"/>
      <c r="E42" s="1398">
        <v>0</v>
      </c>
      <c r="F42" s="1390"/>
      <c r="G42" s="1391" t="str">
        <f t="shared" si="3"/>
        <v/>
      </c>
      <c r="H42" s="1391" t="str">
        <f t="shared" si="4"/>
        <v/>
      </c>
      <c r="I42" s="645" t="s">
        <v>3718</v>
      </c>
      <c r="J42" s="1384"/>
      <c r="K42" s="1455"/>
      <c r="L42" s="1384"/>
      <c r="M42" s="29"/>
      <c r="O42" s="1388">
        <v>1500</v>
      </c>
      <c r="P42" s="1388">
        <v>500</v>
      </c>
    </row>
    <row r="43" spans="2:16" s="1388" customFormat="1">
      <c r="B43" s="1327"/>
      <c r="C43" s="1391">
        <v>3</v>
      </c>
      <c r="D43" s="1386"/>
      <c r="E43" s="1398">
        <v>0</v>
      </c>
      <c r="F43" s="1390"/>
      <c r="G43" s="1391" t="str">
        <f t="shared" si="3"/>
        <v/>
      </c>
      <c r="H43" s="1391" t="str">
        <f t="shared" si="4"/>
        <v/>
      </c>
      <c r="I43" s="645" t="s">
        <v>3718</v>
      </c>
      <c r="J43" s="1384"/>
      <c r="K43" s="1455"/>
      <c r="L43" s="1384"/>
      <c r="M43" s="29"/>
      <c r="O43" s="1388">
        <v>1500</v>
      </c>
      <c r="P43" s="1388">
        <v>500</v>
      </c>
    </row>
    <row r="44" spans="2:16" s="1388" customFormat="1">
      <c r="B44" s="1327"/>
      <c r="C44" s="1391">
        <v>4</v>
      </c>
      <c r="D44" s="1386"/>
      <c r="E44" s="1398">
        <v>0</v>
      </c>
      <c r="F44" s="1390"/>
      <c r="G44" s="1391" t="str">
        <f t="shared" si="3"/>
        <v/>
      </c>
      <c r="H44" s="1391" t="str">
        <f t="shared" si="4"/>
        <v/>
      </c>
      <c r="I44" s="645" t="s">
        <v>3718</v>
      </c>
      <c r="J44" s="1384"/>
      <c r="K44" s="1455"/>
      <c r="L44" s="1384"/>
      <c r="M44" s="29"/>
      <c r="O44" s="1388">
        <v>1500</v>
      </c>
      <c r="P44" s="1388">
        <v>500</v>
      </c>
    </row>
    <row r="45" spans="2:16" s="1388" customFormat="1">
      <c r="B45" s="1327"/>
      <c r="C45" s="1391">
        <v>5</v>
      </c>
      <c r="D45" s="1386"/>
      <c r="E45" s="1398">
        <v>0</v>
      </c>
      <c r="F45" s="1390"/>
      <c r="G45" s="1391" t="str">
        <f t="shared" si="3"/>
        <v/>
      </c>
      <c r="H45" s="1391" t="str">
        <f t="shared" si="4"/>
        <v/>
      </c>
      <c r="I45" s="645" t="s">
        <v>3718</v>
      </c>
      <c r="J45" s="1384"/>
      <c r="K45" s="1455"/>
      <c r="L45" s="1384"/>
      <c r="M45" s="29"/>
      <c r="O45" s="1388">
        <v>1500</v>
      </c>
      <c r="P45" s="1388">
        <v>500</v>
      </c>
    </row>
    <row r="46" spans="2:16" s="1388" customFormat="1">
      <c r="B46" s="1327"/>
      <c r="C46" s="1391">
        <v>6</v>
      </c>
      <c r="D46" s="1386"/>
      <c r="E46" s="1398">
        <v>0</v>
      </c>
      <c r="F46" s="1390"/>
      <c r="G46" s="1391" t="str">
        <f t="shared" si="3"/>
        <v/>
      </c>
      <c r="H46" s="1391" t="str">
        <f t="shared" si="4"/>
        <v/>
      </c>
      <c r="I46" s="645" t="s">
        <v>3718</v>
      </c>
      <c r="J46" s="1384"/>
      <c r="K46" s="1455"/>
      <c r="L46" s="1384"/>
      <c r="M46" s="29"/>
      <c r="O46" s="1388">
        <v>1500</v>
      </c>
      <c r="P46" s="1388">
        <v>500</v>
      </c>
    </row>
    <row r="47" spans="2:16" s="1388" customFormat="1">
      <c r="B47" s="1327"/>
      <c r="C47" s="1384" t="s">
        <v>7203</v>
      </c>
      <c r="D47" s="1384"/>
      <c r="E47" s="1398">
        <v>14</v>
      </c>
      <c r="F47" s="1390"/>
      <c r="G47" s="1391" t="str">
        <f t="shared" si="3"/>
        <v/>
      </c>
      <c r="H47" s="1391" t="str">
        <f t="shared" si="4"/>
        <v/>
      </c>
      <c r="I47" s="1391" t="s">
        <v>204</v>
      </c>
      <c r="J47" s="1384"/>
      <c r="K47" s="1384" t="s">
        <v>517</v>
      </c>
      <c r="L47" s="1384"/>
      <c r="M47" s="29"/>
      <c r="O47" s="1388">
        <v>300</v>
      </c>
      <c r="P47" s="1388">
        <v>2250</v>
      </c>
    </row>
    <row r="48" spans="2:16" s="1388" customFormat="1">
      <c r="B48" s="1327"/>
      <c r="C48" s="1384" t="s">
        <v>7207</v>
      </c>
      <c r="D48" s="1384"/>
      <c r="E48" s="1398">
        <v>16</v>
      </c>
      <c r="F48" s="1390"/>
      <c r="G48" s="1391" t="str">
        <f t="shared" si="3"/>
        <v/>
      </c>
      <c r="H48" s="1391" t="str">
        <f t="shared" si="4"/>
        <v/>
      </c>
      <c r="I48" s="1391" t="s">
        <v>160</v>
      </c>
      <c r="J48" s="1384"/>
      <c r="K48" s="1384" t="s">
        <v>284</v>
      </c>
      <c r="L48" s="1384"/>
      <c r="M48" s="29"/>
      <c r="O48" s="1388">
        <v>500</v>
      </c>
      <c r="P48" s="1388">
        <v>3750</v>
      </c>
    </row>
    <row r="49" spans="2:16" s="1388" customFormat="1">
      <c r="B49" s="1327"/>
      <c r="C49" s="1384" t="s">
        <v>7204</v>
      </c>
      <c r="D49" s="1384"/>
      <c r="E49" s="1398">
        <v>9</v>
      </c>
      <c r="F49" s="1390"/>
      <c r="G49" s="1391" t="str">
        <f t="shared" si="3"/>
        <v/>
      </c>
      <c r="H49" s="1391" t="str">
        <f t="shared" si="4"/>
        <v/>
      </c>
      <c r="I49" s="1391" t="s">
        <v>204</v>
      </c>
      <c r="J49" s="1384"/>
      <c r="K49" s="749" t="s">
        <v>7210</v>
      </c>
      <c r="L49" s="1384"/>
      <c r="M49" s="29"/>
      <c r="O49" s="1388">
        <v>500</v>
      </c>
      <c r="P49" s="1388">
        <v>3750</v>
      </c>
    </row>
    <row r="50" spans="2:16" s="1388" customFormat="1">
      <c r="B50" s="1327"/>
      <c r="C50" s="1384" t="s">
        <v>7211</v>
      </c>
      <c r="D50" s="1384"/>
      <c r="E50" s="1398">
        <v>12</v>
      </c>
      <c r="F50" s="1390"/>
      <c r="G50" s="1391" t="str">
        <f t="shared" si="3"/>
        <v/>
      </c>
      <c r="H50" s="1391" t="str">
        <f t="shared" si="4"/>
        <v/>
      </c>
      <c r="I50" s="1391" t="s">
        <v>204</v>
      </c>
      <c r="J50" s="1384"/>
      <c r="K50" s="1401" t="s">
        <v>7212</v>
      </c>
      <c r="L50" s="1384"/>
      <c r="M50" s="29"/>
      <c r="O50" s="1388">
        <v>10000</v>
      </c>
      <c r="P50" s="1388">
        <v>50000</v>
      </c>
    </row>
    <row r="51" spans="2:16" s="1388" customFormat="1">
      <c r="B51" s="1327"/>
      <c r="C51" s="1384" t="s">
        <v>7205</v>
      </c>
      <c r="D51" s="1384"/>
      <c r="E51" s="1398">
        <v>14</v>
      </c>
      <c r="F51" s="1390"/>
      <c r="G51" s="1391" t="str">
        <f t="shared" si="3"/>
        <v/>
      </c>
      <c r="H51" s="1391" t="str">
        <f t="shared" si="4"/>
        <v/>
      </c>
      <c r="I51" s="1391" t="s">
        <v>204</v>
      </c>
      <c r="J51" s="1384"/>
      <c r="K51" s="1384" t="s">
        <v>7217</v>
      </c>
      <c r="L51" s="1384"/>
      <c r="M51" s="29"/>
      <c r="O51" s="1388">
        <v>800</v>
      </c>
      <c r="P51" s="1388">
        <v>3000</v>
      </c>
    </row>
    <row r="52" spans="2:16" s="1388" customFormat="1">
      <c r="B52" s="1327"/>
      <c r="C52" s="1384" t="s">
        <v>7206</v>
      </c>
      <c r="D52" s="1384"/>
      <c r="E52" s="1398">
        <v>7</v>
      </c>
      <c r="F52" s="1390"/>
      <c r="G52" s="1391" t="str">
        <f t="shared" si="3"/>
        <v/>
      </c>
      <c r="H52" s="1391" t="str">
        <f t="shared" si="4"/>
        <v/>
      </c>
      <c r="I52" s="1391" t="s">
        <v>204</v>
      </c>
      <c r="J52" s="1384"/>
      <c r="K52" s="1384" t="s">
        <v>7218</v>
      </c>
      <c r="L52" s="1384"/>
      <c r="M52" s="29"/>
      <c r="O52" s="1388">
        <v>400</v>
      </c>
      <c r="P52" s="1388">
        <v>3750</v>
      </c>
    </row>
    <row r="53" spans="2:16" ht="15" thickBot="1">
      <c r="B53" s="32"/>
      <c r="C53" s="695"/>
      <c r="D53" s="695"/>
      <c r="E53" s="1389"/>
      <c r="F53" s="34"/>
      <c r="G53" s="34"/>
      <c r="H53" s="34"/>
      <c r="I53" s="695"/>
      <c r="J53" s="695"/>
      <c r="K53" s="695"/>
      <c r="L53" s="695"/>
      <c r="M53" s="35"/>
    </row>
    <row r="55" spans="2:16">
      <c r="C55" s="990" t="s">
        <v>5724</v>
      </c>
      <c r="D55" s="990"/>
      <c r="E55" s="990"/>
      <c r="F55" s="1400"/>
      <c r="G55" s="1400"/>
      <c r="H55" s="1400"/>
      <c r="I55" s="990"/>
      <c r="J55" s="990"/>
      <c r="K55" s="990" t="s">
        <v>5725</v>
      </c>
      <c r="L55" s="990"/>
    </row>
    <row r="56" spans="2:16">
      <c r="C56" s="990"/>
      <c r="D56" s="990"/>
      <c r="E56" s="990"/>
      <c r="F56" s="1400"/>
      <c r="G56" s="1400"/>
      <c r="H56" s="1400"/>
      <c r="I56" s="990"/>
      <c r="J56" s="990"/>
      <c r="K56" s="990"/>
      <c r="L56" s="990"/>
    </row>
  </sheetData>
  <dataValidations count="2">
    <dataValidation type="list" allowBlank="1" showInputMessage="1" showErrorMessage="1" sqref="F38:F39 F41:F52" xr:uid="{00000000-0002-0000-1400-000000000000}">
      <formula1>"Yes"</formula1>
    </dataValidation>
    <dataValidation type="list" allowBlank="1" showInputMessage="1" showErrorMessage="1" sqref="K41:K46" xr:uid="{00000000-0002-0000-1400-000001000000}">
      <formula1>"Cloaked, Dual gear, Environmental sealing, Extra power source, Ion-shielding, Secret compartment, Storage capacity"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Option Button 1">
              <controlPr defaultSize="0" autoFill="0" autoLine="0" autoPict="0">
                <anchor moveWithCells="1">
                  <from>
                    <xdr:col>2</xdr:col>
                    <xdr:colOff>12700</xdr:colOff>
                    <xdr:row>8</xdr:row>
                    <xdr:rowOff>127000</xdr:rowOff>
                  </from>
                  <to>
                    <xdr:col>3</xdr:col>
                    <xdr:colOff>1136650</xdr:colOff>
                    <xdr:row>10</xdr:row>
                    <xdr:rowOff>12700</xdr:rowOff>
                  </to>
                </anchor>
              </controlPr>
            </control>
          </mc:Choice>
        </mc:AlternateContent>
        <mc:AlternateContent xmlns:mc="http://schemas.openxmlformats.org/markup-compatibility/2006">
          <mc:Choice Requires="x14">
            <control shapeId="11267" r:id="rId4" name="Option Button 3">
              <controlPr defaultSize="0" autoFill="0" autoLine="0" autoPict="0">
                <anchor moveWithCells="1">
                  <from>
                    <xdr:col>2</xdr:col>
                    <xdr:colOff>12700</xdr:colOff>
                    <xdr:row>9</xdr:row>
                    <xdr:rowOff>127000</xdr:rowOff>
                  </from>
                  <to>
                    <xdr:col>3</xdr:col>
                    <xdr:colOff>1136650</xdr:colOff>
                    <xdr:row>11</xdr:row>
                    <xdr:rowOff>12700</xdr:rowOff>
                  </to>
                </anchor>
              </controlPr>
            </control>
          </mc:Choice>
        </mc:AlternateContent>
        <mc:AlternateContent xmlns:mc="http://schemas.openxmlformats.org/markup-compatibility/2006">
          <mc:Choice Requires="x14">
            <control shapeId="11268" r:id="rId5" name="Option Button 4">
              <controlPr defaultSize="0" autoFill="0" autoLine="0" autoPict="0">
                <anchor moveWithCells="1">
                  <from>
                    <xdr:col>2</xdr:col>
                    <xdr:colOff>12700</xdr:colOff>
                    <xdr:row>10</xdr:row>
                    <xdr:rowOff>127000</xdr:rowOff>
                  </from>
                  <to>
                    <xdr:col>3</xdr:col>
                    <xdr:colOff>1136650</xdr:colOff>
                    <xdr:row>12</xdr:row>
                    <xdr:rowOff>12700</xdr:rowOff>
                  </to>
                </anchor>
              </controlPr>
            </control>
          </mc:Choice>
        </mc:AlternateContent>
        <mc:AlternateContent xmlns:mc="http://schemas.openxmlformats.org/markup-compatibility/2006">
          <mc:Choice Requires="x14">
            <control shapeId="11269" r:id="rId6" name="Option Button 5">
              <controlPr defaultSize="0" autoFill="0" autoLine="0" autoPict="0">
                <anchor moveWithCells="1">
                  <from>
                    <xdr:col>2</xdr:col>
                    <xdr:colOff>12700</xdr:colOff>
                    <xdr:row>11</xdr:row>
                    <xdr:rowOff>127000</xdr:rowOff>
                  </from>
                  <to>
                    <xdr:col>3</xdr:col>
                    <xdr:colOff>1136650</xdr:colOff>
                    <xdr:row>13</xdr:row>
                    <xdr:rowOff>12700</xdr:rowOff>
                  </to>
                </anchor>
              </controlPr>
            </control>
          </mc:Choice>
        </mc:AlternateContent>
        <mc:AlternateContent xmlns:mc="http://schemas.openxmlformats.org/markup-compatibility/2006">
          <mc:Choice Requires="x14">
            <control shapeId="11270" r:id="rId7" name="Option Button 6">
              <controlPr defaultSize="0" autoFill="0" autoLine="0" autoPict="0">
                <anchor moveWithCells="1">
                  <from>
                    <xdr:col>2</xdr:col>
                    <xdr:colOff>12700</xdr:colOff>
                    <xdr:row>12</xdr:row>
                    <xdr:rowOff>127000</xdr:rowOff>
                  </from>
                  <to>
                    <xdr:col>3</xdr:col>
                    <xdr:colOff>1136650</xdr:colOff>
                    <xdr:row>14</xdr:row>
                    <xdr:rowOff>12700</xdr:rowOff>
                  </to>
                </anchor>
              </controlPr>
            </control>
          </mc:Choice>
        </mc:AlternateContent>
        <mc:AlternateContent xmlns:mc="http://schemas.openxmlformats.org/markup-compatibility/2006">
          <mc:Choice Requires="x14">
            <control shapeId="11271" r:id="rId8" name="Option Button 7">
              <controlPr defaultSize="0" autoFill="0" autoLine="0" autoPict="0">
                <anchor moveWithCells="1">
                  <from>
                    <xdr:col>2</xdr:col>
                    <xdr:colOff>12700</xdr:colOff>
                    <xdr:row>13</xdr:row>
                    <xdr:rowOff>127000</xdr:rowOff>
                  </from>
                  <to>
                    <xdr:col>3</xdr:col>
                    <xdr:colOff>1136650</xdr:colOff>
                    <xdr:row>15</xdr:row>
                    <xdr:rowOff>12700</xdr:rowOff>
                  </to>
                </anchor>
              </controlPr>
            </control>
          </mc:Choice>
        </mc:AlternateContent>
        <mc:AlternateContent xmlns:mc="http://schemas.openxmlformats.org/markup-compatibility/2006">
          <mc:Choice Requires="x14">
            <control shapeId="11272" r:id="rId9" name="Option Button 8">
              <controlPr defaultSize="0" autoFill="0" autoLine="0" autoPict="0">
                <anchor moveWithCells="1">
                  <from>
                    <xdr:col>2</xdr:col>
                    <xdr:colOff>12700</xdr:colOff>
                    <xdr:row>14</xdr:row>
                    <xdr:rowOff>127000</xdr:rowOff>
                  </from>
                  <to>
                    <xdr:col>3</xdr:col>
                    <xdr:colOff>1136650</xdr:colOff>
                    <xdr:row>16</xdr:row>
                    <xdr:rowOff>12700</xdr:rowOff>
                  </to>
                </anchor>
              </controlPr>
            </control>
          </mc:Choice>
        </mc:AlternateContent>
        <mc:AlternateContent xmlns:mc="http://schemas.openxmlformats.org/markup-compatibility/2006">
          <mc:Choice Requires="x14">
            <control shapeId="11273" r:id="rId10" name="Option Button 9">
              <controlPr defaultSize="0" autoFill="0" autoLine="0" autoPict="0">
                <anchor moveWithCells="1">
                  <from>
                    <xdr:col>2</xdr:col>
                    <xdr:colOff>12700</xdr:colOff>
                    <xdr:row>15</xdr:row>
                    <xdr:rowOff>127000</xdr:rowOff>
                  </from>
                  <to>
                    <xdr:col>3</xdr:col>
                    <xdr:colOff>1136650</xdr:colOff>
                    <xdr:row>17</xdr:row>
                    <xdr:rowOff>12700</xdr:rowOff>
                  </to>
                </anchor>
              </controlPr>
            </control>
          </mc:Choice>
        </mc:AlternateContent>
        <mc:AlternateContent xmlns:mc="http://schemas.openxmlformats.org/markup-compatibility/2006">
          <mc:Choice Requires="x14">
            <control shapeId="11274" r:id="rId11" name="Check Box 10">
              <controlPr defaultSize="0" autoFill="0" autoLine="0" autoPict="0">
                <anchor moveWithCells="1">
                  <from>
                    <xdr:col>2</xdr:col>
                    <xdr:colOff>12700</xdr:colOff>
                    <xdr:row>23</xdr:row>
                    <xdr:rowOff>127000</xdr:rowOff>
                  </from>
                  <to>
                    <xdr:col>3</xdr:col>
                    <xdr:colOff>31750</xdr:colOff>
                    <xdr:row>25</xdr:row>
                    <xdr:rowOff>12700</xdr:rowOff>
                  </to>
                </anchor>
              </controlPr>
            </control>
          </mc:Choice>
        </mc:AlternateContent>
        <mc:AlternateContent xmlns:mc="http://schemas.openxmlformats.org/markup-compatibility/2006">
          <mc:Choice Requires="x14">
            <control shapeId="11275" r:id="rId12" name="Check Box 11">
              <controlPr defaultSize="0" autoFill="0" autoLine="0" autoPict="0">
                <anchor moveWithCells="1">
                  <from>
                    <xdr:col>2</xdr:col>
                    <xdr:colOff>12700</xdr:colOff>
                    <xdr:row>24</xdr:row>
                    <xdr:rowOff>127000</xdr:rowOff>
                  </from>
                  <to>
                    <xdr:col>3</xdr:col>
                    <xdr:colOff>31750</xdr:colOff>
                    <xdr:row>26</xdr:row>
                    <xdr:rowOff>12700</xdr:rowOff>
                  </to>
                </anchor>
              </controlPr>
            </control>
          </mc:Choice>
        </mc:AlternateContent>
        <mc:AlternateContent xmlns:mc="http://schemas.openxmlformats.org/markup-compatibility/2006">
          <mc:Choice Requires="x14">
            <control shapeId="11276" r:id="rId13" name="Check Box 12">
              <controlPr defaultSize="0" autoFill="0" autoLine="0" autoPict="0">
                <anchor moveWithCells="1">
                  <from>
                    <xdr:col>2</xdr:col>
                    <xdr:colOff>12700</xdr:colOff>
                    <xdr:row>25</xdr:row>
                    <xdr:rowOff>127000</xdr:rowOff>
                  </from>
                  <to>
                    <xdr:col>3</xdr:col>
                    <xdr:colOff>31750</xdr:colOff>
                    <xdr:row>27</xdr:row>
                    <xdr:rowOff>12700</xdr:rowOff>
                  </to>
                </anchor>
              </controlPr>
            </control>
          </mc:Choice>
        </mc:AlternateContent>
        <mc:AlternateContent xmlns:mc="http://schemas.openxmlformats.org/markup-compatibility/2006">
          <mc:Choice Requires="x14">
            <control shapeId="11277" r:id="rId14" name="Check Box 13">
              <controlPr defaultSize="0" autoFill="0" autoLine="0" autoPict="0">
                <anchor moveWithCells="1">
                  <from>
                    <xdr:col>2</xdr:col>
                    <xdr:colOff>12700</xdr:colOff>
                    <xdr:row>26</xdr:row>
                    <xdr:rowOff>127000</xdr:rowOff>
                  </from>
                  <to>
                    <xdr:col>3</xdr:col>
                    <xdr:colOff>31750</xdr:colOff>
                    <xdr:row>28</xdr:row>
                    <xdr:rowOff>12700</xdr:rowOff>
                  </to>
                </anchor>
              </controlPr>
            </control>
          </mc:Choice>
        </mc:AlternateContent>
        <mc:AlternateContent xmlns:mc="http://schemas.openxmlformats.org/markup-compatibility/2006">
          <mc:Choice Requires="x14">
            <control shapeId="11278" r:id="rId15" name="Check Box 14">
              <controlPr defaultSize="0" autoFill="0" autoLine="0" autoPict="0">
                <anchor moveWithCells="1">
                  <from>
                    <xdr:col>2</xdr:col>
                    <xdr:colOff>12700</xdr:colOff>
                    <xdr:row>27</xdr:row>
                    <xdr:rowOff>127000</xdr:rowOff>
                  </from>
                  <to>
                    <xdr:col>3</xdr:col>
                    <xdr:colOff>31750</xdr:colOff>
                    <xdr:row>29</xdr:row>
                    <xdr:rowOff>12700</xdr:rowOff>
                  </to>
                </anchor>
              </controlPr>
            </control>
          </mc:Choice>
        </mc:AlternateContent>
        <mc:AlternateContent xmlns:mc="http://schemas.openxmlformats.org/markup-compatibility/2006">
          <mc:Choice Requires="x14">
            <control shapeId="11279" r:id="rId16" name="Check Box 15">
              <controlPr defaultSize="0" autoFill="0" autoLine="0" autoPict="0">
                <anchor moveWithCells="1">
                  <from>
                    <xdr:col>2</xdr:col>
                    <xdr:colOff>12700</xdr:colOff>
                    <xdr:row>28</xdr:row>
                    <xdr:rowOff>127000</xdr:rowOff>
                  </from>
                  <to>
                    <xdr:col>3</xdr:col>
                    <xdr:colOff>31750</xdr:colOff>
                    <xdr:row>30</xdr:row>
                    <xdr:rowOff>12700</xdr:rowOff>
                  </to>
                </anchor>
              </controlPr>
            </control>
          </mc:Choice>
        </mc:AlternateContent>
        <mc:AlternateContent xmlns:mc="http://schemas.openxmlformats.org/markup-compatibility/2006">
          <mc:Choice Requires="x14">
            <control shapeId="11280" r:id="rId17" name="Check Box 16">
              <controlPr defaultSize="0" autoFill="0" autoLine="0" autoPict="0">
                <anchor moveWithCells="1">
                  <from>
                    <xdr:col>2</xdr:col>
                    <xdr:colOff>12700</xdr:colOff>
                    <xdr:row>29</xdr:row>
                    <xdr:rowOff>127000</xdr:rowOff>
                  </from>
                  <to>
                    <xdr:col>3</xdr:col>
                    <xdr:colOff>31750</xdr:colOff>
                    <xdr:row>31</xdr:row>
                    <xdr:rowOff>12700</xdr:rowOff>
                  </to>
                </anchor>
              </controlPr>
            </control>
          </mc:Choice>
        </mc:AlternateContent>
        <mc:AlternateContent xmlns:mc="http://schemas.openxmlformats.org/markup-compatibility/2006">
          <mc:Choice Requires="x14">
            <control shapeId="11281" r:id="rId18" name="Option Button 17">
              <controlPr defaultSize="0" autoFill="0" autoLine="0" autoPict="0">
                <anchor moveWithCells="1">
                  <from>
                    <xdr:col>2</xdr:col>
                    <xdr:colOff>12700</xdr:colOff>
                    <xdr:row>16</xdr:row>
                    <xdr:rowOff>127000</xdr:rowOff>
                  </from>
                  <to>
                    <xdr:col>3</xdr:col>
                    <xdr:colOff>1136650</xdr:colOff>
                    <xdr:row>18</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S53"/>
  <sheetViews>
    <sheetView showGridLines="0" showRowColHeaders="0" workbookViewId="0">
      <selection activeCell="E5" sqref="E5"/>
    </sheetView>
  </sheetViews>
  <sheetFormatPr defaultColWidth="9.1796875" defaultRowHeight="14.5"/>
  <cols>
    <col min="1" max="2" width="2.81640625" style="747" customWidth="1"/>
    <col min="3" max="3" width="28.7265625" style="747" customWidth="1"/>
    <col min="4" max="4" width="9.1796875" style="16"/>
    <col min="5" max="9" width="12.81640625" style="16" customWidth="1"/>
    <col min="10" max="12" width="2.81640625" style="747" customWidth="1"/>
    <col min="13" max="13" width="9.1796875" style="747" customWidth="1"/>
    <col min="14" max="16384" width="9.1796875" style="747"/>
  </cols>
  <sheetData>
    <row r="1" spans="2:19" ht="15" thickBot="1"/>
    <row r="2" spans="2:19">
      <c r="B2" s="22"/>
      <c r="C2" s="1069"/>
      <c r="D2" s="24"/>
      <c r="E2" s="24"/>
      <c r="F2" s="24"/>
      <c r="G2" s="24"/>
      <c r="H2" s="24"/>
      <c r="I2" s="24"/>
      <c r="J2" s="25"/>
    </row>
    <row r="3" spans="2:19" ht="21">
      <c r="B3" s="26"/>
      <c r="C3" s="1072" t="s">
        <v>4205</v>
      </c>
      <c r="D3" s="1073" t="s">
        <v>4206</v>
      </c>
      <c r="E3" s="1073" t="s">
        <v>6129</v>
      </c>
      <c r="F3" s="1073" t="s">
        <v>2517</v>
      </c>
      <c r="G3" s="1073" t="s">
        <v>4208</v>
      </c>
      <c r="H3" s="1073" t="s">
        <v>4211</v>
      </c>
      <c r="I3" s="1073" t="s">
        <v>4207</v>
      </c>
      <c r="J3" s="768"/>
      <c r="N3" s="1070"/>
      <c r="O3" s="1070"/>
      <c r="P3" s="1070"/>
      <c r="Q3" s="1070"/>
      <c r="R3" s="1070"/>
      <c r="S3" s="1070"/>
    </row>
    <row r="4" spans="2:19">
      <c r="B4" s="26"/>
      <c r="C4" s="1063"/>
      <c r="D4" s="1075"/>
      <c r="E4" s="1075"/>
      <c r="F4" s="1075"/>
      <c r="G4" s="1075"/>
      <c r="H4" s="1075"/>
      <c r="I4" s="1075"/>
      <c r="J4" s="29"/>
      <c r="M4" s="1070"/>
    </row>
    <row r="5" spans="2:19">
      <c r="B5" s="26"/>
      <c r="C5" s="1067" t="s">
        <v>2098</v>
      </c>
      <c r="D5" s="38">
        <f t="shared" ref="D5:D10" si="0">SUM(E5:I5)</f>
        <v>0</v>
      </c>
      <c r="E5" s="795"/>
      <c r="F5" s="795"/>
      <c r="G5" s="795"/>
      <c r="H5" s="795"/>
      <c r="I5" s="795"/>
      <c r="J5" s="29"/>
      <c r="M5" s="1070"/>
    </row>
    <row r="6" spans="2:19">
      <c r="B6" s="26"/>
      <c r="C6" s="1067" t="s">
        <v>2099</v>
      </c>
      <c r="D6" s="38">
        <f t="shared" si="0"/>
        <v>0</v>
      </c>
      <c r="E6" s="795"/>
      <c r="F6" s="795"/>
      <c r="G6" s="795"/>
      <c r="H6" s="795"/>
      <c r="I6" s="795"/>
      <c r="J6" s="29"/>
      <c r="M6" s="1070"/>
    </row>
    <row r="7" spans="2:19">
      <c r="B7" s="26"/>
      <c r="C7" s="1067" t="s">
        <v>2100</v>
      </c>
      <c r="D7" s="38">
        <f t="shared" si="0"/>
        <v>0</v>
      </c>
      <c r="E7" s="795"/>
      <c r="F7" s="795"/>
      <c r="G7" s="795"/>
      <c r="H7" s="795"/>
      <c r="I7" s="795"/>
      <c r="J7" s="29"/>
      <c r="M7" s="1070"/>
    </row>
    <row r="8" spans="2:19">
      <c r="B8" s="26"/>
      <c r="C8" s="1067" t="s">
        <v>2101</v>
      </c>
      <c r="D8" s="38">
        <f t="shared" si="0"/>
        <v>0</v>
      </c>
      <c r="E8" s="795"/>
      <c r="F8" s="795"/>
      <c r="G8" s="795"/>
      <c r="H8" s="795"/>
      <c r="I8" s="795"/>
      <c r="J8" s="29"/>
      <c r="M8" s="1070"/>
    </row>
    <row r="9" spans="2:19">
      <c r="B9" s="26"/>
      <c r="C9" s="1067" t="s">
        <v>2102</v>
      </c>
      <c r="D9" s="38">
        <f t="shared" si="0"/>
        <v>0</v>
      </c>
      <c r="E9" s="795"/>
      <c r="F9" s="795"/>
      <c r="G9" s="795"/>
      <c r="H9" s="795"/>
      <c r="I9" s="795"/>
      <c r="J9" s="29"/>
      <c r="M9" s="1070"/>
    </row>
    <row r="10" spans="2:19">
      <c r="B10" s="26"/>
      <c r="C10" s="1067" t="s">
        <v>2103</v>
      </c>
      <c r="D10" s="38">
        <f t="shared" si="0"/>
        <v>0</v>
      </c>
      <c r="E10" s="795"/>
      <c r="F10" s="795"/>
      <c r="G10" s="795"/>
      <c r="H10" s="795"/>
      <c r="I10" s="795"/>
      <c r="J10" s="29"/>
      <c r="M10" s="1070"/>
    </row>
    <row r="11" spans="2:19">
      <c r="B11" s="26"/>
      <c r="C11" s="1067"/>
      <c r="D11" s="38"/>
      <c r="E11" s="38"/>
      <c r="F11" s="38"/>
      <c r="G11" s="38"/>
      <c r="H11" s="38"/>
      <c r="I11" s="38"/>
      <c r="J11" s="29"/>
      <c r="M11" s="1070"/>
    </row>
    <row r="12" spans="2:19">
      <c r="B12" s="26"/>
      <c r="C12" s="1067" t="s">
        <v>3720</v>
      </c>
      <c r="D12" s="38">
        <f>SUM(E12:I12)+IF(NPCType=2,4,0)</f>
        <v>0</v>
      </c>
      <c r="E12" s="795"/>
      <c r="F12" s="795"/>
      <c r="G12" s="795"/>
      <c r="H12" s="795"/>
      <c r="I12" s="795"/>
      <c r="J12" s="29"/>
      <c r="M12" s="1070"/>
    </row>
    <row r="13" spans="2:19">
      <c r="B13" s="26"/>
      <c r="C13" s="1067" t="s">
        <v>3721</v>
      </c>
      <c r="D13" s="38">
        <f>SUM(E13:I13)</f>
        <v>0</v>
      </c>
      <c r="E13" s="795"/>
      <c r="F13" s="795"/>
      <c r="G13" s="795"/>
      <c r="H13" s="795"/>
      <c r="I13" s="795"/>
      <c r="J13" s="29"/>
      <c r="M13" s="1070"/>
    </row>
    <row r="14" spans="2:19">
      <c r="B14" s="26"/>
      <c r="C14" s="1067"/>
      <c r="D14" s="38"/>
      <c r="E14" s="38"/>
      <c r="F14" s="38"/>
      <c r="G14" s="38"/>
      <c r="H14" s="38"/>
      <c r="I14" s="38"/>
      <c r="J14" s="29"/>
      <c r="M14" s="1070"/>
    </row>
    <row r="15" spans="2:19">
      <c r="B15" s="26"/>
      <c r="C15" s="1067" t="s">
        <v>3657</v>
      </c>
      <c r="D15" s="38">
        <f>SUM(E15:I15)</f>
        <v>0</v>
      </c>
      <c r="E15" s="795"/>
      <c r="F15" s="795"/>
      <c r="G15" s="795"/>
      <c r="H15" s="795"/>
      <c r="I15" s="795"/>
      <c r="J15" s="29"/>
      <c r="M15" s="1070"/>
    </row>
    <row r="16" spans="2:19">
      <c r="B16" s="26"/>
      <c r="C16" s="1067" t="s">
        <v>3685</v>
      </c>
      <c r="D16" s="38">
        <f>SUM(E16:I16)</f>
        <v>0</v>
      </c>
      <c r="E16" s="795"/>
      <c r="F16" s="795"/>
      <c r="G16" s="795"/>
      <c r="H16" s="795"/>
      <c r="I16" s="795"/>
      <c r="J16" s="29"/>
      <c r="M16" s="1070"/>
    </row>
    <row r="17" spans="2:13">
      <c r="B17" s="26"/>
      <c r="C17" s="1067" t="s">
        <v>3697</v>
      </c>
      <c r="D17" s="38">
        <f>SUM(E17:I17)</f>
        <v>0</v>
      </c>
      <c r="E17" s="795"/>
      <c r="F17" s="795"/>
      <c r="G17" s="795"/>
      <c r="H17" s="795"/>
      <c r="I17" s="795"/>
      <c r="J17" s="29"/>
      <c r="M17" s="1070"/>
    </row>
    <row r="18" spans="2:13">
      <c r="B18" s="26"/>
      <c r="C18" s="1067"/>
      <c r="D18" s="1075"/>
      <c r="E18" s="1075"/>
      <c r="F18" s="1075"/>
      <c r="G18" s="1075"/>
      <c r="H18" s="1075"/>
      <c r="I18" s="1075"/>
      <c r="J18" s="29"/>
      <c r="M18" s="1070"/>
    </row>
    <row r="19" spans="2:13">
      <c r="B19" s="26"/>
      <c r="C19" s="1067" t="s">
        <v>4209</v>
      </c>
      <c r="D19" s="795"/>
      <c r="E19" s="1075"/>
      <c r="F19" s="1075"/>
      <c r="G19" s="1075"/>
      <c r="H19" s="1075"/>
      <c r="I19" s="1075"/>
      <c r="J19" s="29"/>
      <c r="M19" s="1070"/>
    </row>
    <row r="20" spans="2:13">
      <c r="B20" s="26"/>
      <c r="C20" s="1067" t="s">
        <v>4210</v>
      </c>
      <c r="D20" s="795"/>
      <c r="E20" s="1075"/>
      <c r="F20" s="1075"/>
      <c r="G20" s="1075"/>
      <c r="H20" s="1075"/>
      <c r="I20" s="1075"/>
      <c r="J20" s="29"/>
      <c r="M20" s="1070"/>
    </row>
    <row r="21" spans="2:13">
      <c r="B21" s="26"/>
      <c r="C21" s="1067"/>
      <c r="D21" s="38"/>
      <c r="E21" s="1075"/>
      <c r="F21" s="1075"/>
      <c r="G21" s="1075"/>
      <c r="H21" s="1075"/>
      <c r="I21" s="1075"/>
      <c r="J21" s="29"/>
      <c r="M21" s="1070"/>
    </row>
    <row r="22" spans="2:13">
      <c r="B22" s="26"/>
      <c r="C22" s="1067" t="s">
        <v>81</v>
      </c>
      <c r="D22" s="795"/>
      <c r="E22" s="1075"/>
      <c r="F22" s="1075"/>
      <c r="G22" s="1075"/>
      <c r="H22" s="1075"/>
      <c r="I22" s="1075"/>
      <c r="J22" s="29"/>
      <c r="M22" s="1070"/>
    </row>
    <row r="23" spans="2:13">
      <c r="B23" s="26"/>
      <c r="C23" s="1067"/>
      <c r="D23" s="38"/>
      <c r="E23" s="1075"/>
      <c r="F23" s="1075"/>
      <c r="G23" s="1075"/>
      <c r="H23" s="1075"/>
      <c r="I23" s="1075"/>
      <c r="J23" s="29"/>
      <c r="M23" s="1070"/>
    </row>
    <row r="24" spans="2:13">
      <c r="B24" s="26"/>
      <c r="C24" s="1067" t="s">
        <v>3806</v>
      </c>
      <c r="D24" s="795"/>
      <c r="E24" s="1075"/>
      <c r="F24" s="1075"/>
      <c r="G24" s="1075"/>
      <c r="H24" s="1075"/>
      <c r="I24" s="1075"/>
      <c r="J24" s="29"/>
      <c r="M24" s="1070"/>
    </row>
    <row r="25" spans="2:13">
      <c r="B25" s="26"/>
      <c r="C25" s="1067" t="s">
        <v>82</v>
      </c>
      <c r="D25" s="795"/>
      <c r="E25" s="1075"/>
      <c r="F25" s="1075"/>
      <c r="G25" s="1075"/>
      <c r="H25" s="1075"/>
      <c r="I25" s="1075"/>
      <c r="J25" s="29"/>
      <c r="M25" s="1070"/>
    </row>
    <row r="26" spans="2:13">
      <c r="B26" s="26"/>
      <c r="C26" s="1067" t="s">
        <v>83</v>
      </c>
      <c r="D26" s="795"/>
      <c r="E26" s="1075"/>
      <c r="F26" s="1075"/>
      <c r="G26" s="1075"/>
      <c r="H26" s="1075"/>
      <c r="I26" s="1075"/>
      <c r="J26" s="29"/>
      <c r="M26" s="1070"/>
    </row>
    <row r="27" spans="2:13">
      <c r="B27" s="26"/>
      <c r="C27" s="1063"/>
      <c r="D27" s="1075"/>
      <c r="E27" s="1075"/>
      <c r="F27" s="1075"/>
      <c r="G27" s="1075"/>
      <c r="H27" s="1075"/>
      <c r="I27" s="1075"/>
      <c r="J27" s="29"/>
      <c r="M27" s="1070"/>
    </row>
    <row r="28" spans="2:13">
      <c r="B28" s="26"/>
      <c r="C28" s="1067" t="s">
        <v>185</v>
      </c>
      <c r="D28" s="38">
        <f t="shared" ref="D28:D52" si="1">SUM(E28:I28)</f>
        <v>0</v>
      </c>
      <c r="E28" s="795"/>
      <c r="F28" s="795"/>
      <c r="G28" s="795"/>
      <c r="H28" s="795"/>
      <c r="I28" s="795"/>
      <c r="J28" s="29"/>
      <c r="M28" s="1070"/>
    </row>
    <row r="29" spans="2:13">
      <c r="B29" s="26"/>
      <c r="C29" s="1067" t="s">
        <v>228</v>
      </c>
      <c r="D29" s="38">
        <f t="shared" si="1"/>
        <v>0</v>
      </c>
      <c r="E29" s="795"/>
      <c r="F29" s="795"/>
      <c r="G29" s="795"/>
      <c r="H29" s="795"/>
      <c r="I29" s="795"/>
      <c r="J29" s="29"/>
    </row>
    <row r="30" spans="2:13">
      <c r="B30" s="26"/>
      <c r="C30" s="1067" t="s">
        <v>268</v>
      </c>
      <c r="D30" s="38">
        <f t="shared" si="1"/>
        <v>0</v>
      </c>
      <c r="E30" s="795"/>
      <c r="F30" s="795"/>
      <c r="G30" s="795"/>
      <c r="H30" s="795"/>
      <c r="I30" s="795"/>
      <c r="J30" s="29"/>
    </row>
    <row r="31" spans="2:13">
      <c r="B31" s="26"/>
      <c r="C31" s="1067" t="s">
        <v>306</v>
      </c>
      <c r="D31" s="38">
        <f t="shared" si="1"/>
        <v>0</v>
      </c>
      <c r="E31" s="795"/>
      <c r="F31" s="795"/>
      <c r="G31" s="795"/>
      <c r="H31" s="795"/>
      <c r="I31" s="795"/>
      <c r="J31" s="29"/>
    </row>
    <row r="32" spans="2:13">
      <c r="B32" s="26"/>
      <c r="C32" s="1067" t="s">
        <v>342</v>
      </c>
      <c r="D32" s="38">
        <f t="shared" si="1"/>
        <v>0</v>
      </c>
      <c r="E32" s="795"/>
      <c r="F32" s="795"/>
      <c r="G32" s="795"/>
      <c r="H32" s="795"/>
      <c r="I32" s="795"/>
      <c r="J32" s="29"/>
    </row>
    <row r="33" spans="2:10">
      <c r="B33" s="26"/>
      <c r="C33" s="1067" t="s">
        <v>375</v>
      </c>
      <c r="D33" s="38">
        <f t="shared" si="1"/>
        <v>0</v>
      </c>
      <c r="E33" s="795"/>
      <c r="F33" s="795"/>
      <c r="G33" s="795"/>
      <c r="H33" s="795"/>
      <c r="I33" s="795"/>
      <c r="J33" s="29"/>
    </row>
    <row r="34" spans="2:10">
      <c r="B34" s="26"/>
      <c r="C34" s="1067" t="s">
        <v>407</v>
      </c>
      <c r="D34" s="38">
        <f t="shared" si="1"/>
        <v>0</v>
      </c>
      <c r="E34" s="795"/>
      <c r="F34" s="795"/>
      <c r="G34" s="795"/>
      <c r="H34" s="795"/>
      <c r="I34" s="795"/>
      <c r="J34" s="29"/>
    </row>
    <row r="35" spans="2:10">
      <c r="B35" s="26"/>
      <c r="C35" s="1067" t="s">
        <v>443</v>
      </c>
      <c r="D35" s="38">
        <f t="shared" si="1"/>
        <v>0</v>
      </c>
      <c r="E35" s="795"/>
      <c r="F35" s="795"/>
      <c r="G35" s="795"/>
      <c r="H35" s="795"/>
      <c r="I35" s="795"/>
      <c r="J35" s="29"/>
    </row>
    <row r="36" spans="2:10">
      <c r="B36" s="26"/>
      <c r="C36" s="1067" t="s">
        <v>346</v>
      </c>
      <c r="D36" s="38">
        <f t="shared" si="1"/>
        <v>0</v>
      </c>
      <c r="E36" s="795"/>
      <c r="F36" s="795"/>
      <c r="G36" s="795"/>
      <c r="H36" s="795"/>
      <c r="I36" s="795"/>
      <c r="J36" s="29"/>
    </row>
    <row r="37" spans="2:10">
      <c r="B37" s="26"/>
      <c r="C37" s="1067" t="s">
        <v>516</v>
      </c>
      <c r="D37" s="38">
        <f t="shared" si="1"/>
        <v>0</v>
      </c>
      <c r="E37" s="795"/>
      <c r="F37" s="795"/>
      <c r="G37" s="795"/>
      <c r="H37" s="795"/>
      <c r="I37" s="795"/>
      <c r="J37" s="29"/>
    </row>
    <row r="38" spans="2:10">
      <c r="B38" s="26"/>
      <c r="C38" s="1067" t="s">
        <v>2544</v>
      </c>
      <c r="D38" s="38">
        <f t="shared" si="1"/>
        <v>0</v>
      </c>
      <c r="E38" s="795"/>
      <c r="F38" s="795"/>
      <c r="G38" s="795"/>
      <c r="H38" s="795"/>
      <c r="I38" s="795"/>
      <c r="J38" s="29"/>
    </row>
    <row r="39" spans="2:10">
      <c r="B39" s="26"/>
      <c r="C39" s="1067" t="s">
        <v>579</v>
      </c>
      <c r="D39" s="38">
        <f t="shared" si="1"/>
        <v>0</v>
      </c>
      <c r="E39" s="795"/>
      <c r="F39" s="795"/>
      <c r="G39" s="795"/>
      <c r="H39" s="795"/>
      <c r="I39" s="795"/>
      <c r="J39" s="29"/>
    </row>
    <row r="40" spans="2:10">
      <c r="B40" s="26"/>
      <c r="C40" s="1067" t="s">
        <v>600</v>
      </c>
      <c r="D40" s="38">
        <f t="shared" si="1"/>
        <v>0</v>
      </c>
      <c r="E40" s="795"/>
      <c r="F40" s="795"/>
      <c r="G40" s="795"/>
      <c r="H40" s="795"/>
      <c r="I40" s="795"/>
      <c r="J40" s="29"/>
    </row>
    <row r="41" spans="2:10">
      <c r="B41" s="26"/>
      <c r="C41" s="1067" t="s">
        <v>627</v>
      </c>
      <c r="D41" s="38">
        <f t="shared" si="1"/>
        <v>0</v>
      </c>
      <c r="E41" s="795"/>
      <c r="F41" s="795"/>
      <c r="G41" s="795"/>
      <c r="H41" s="795"/>
      <c r="I41" s="795"/>
      <c r="J41" s="29"/>
    </row>
    <row r="42" spans="2:10">
      <c r="B42" s="26"/>
      <c r="C42" s="1067" t="s">
        <v>550</v>
      </c>
      <c r="D42" s="38">
        <f t="shared" si="1"/>
        <v>0</v>
      </c>
      <c r="E42" s="795"/>
      <c r="F42" s="795"/>
      <c r="G42" s="795"/>
      <c r="H42" s="795"/>
      <c r="I42" s="795"/>
      <c r="J42" s="29"/>
    </row>
    <row r="43" spans="2:10">
      <c r="B43" s="26"/>
      <c r="C43" s="1067" t="s">
        <v>190</v>
      </c>
      <c r="D43" s="38">
        <f t="shared" si="1"/>
        <v>0</v>
      </c>
      <c r="E43" s="795"/>
      <c r="F43" s="795"/>
      <c r="G43" s="795"/>
      <c r="H43" s="795"/>
      <c r="I43" s="795"/>
      <c r="J43" s="29"/>
    </row>
    <row r="44" spans="2:10">
      <c r="B44" s="26"/>
      <c r="C44" s="1067" t="s">
        <v>347</v>
      </c>
      <c r="D44" s="38">
        <f t="shared" si="1"/>
        <v>0</v>
      </c>
      <c r="E44" s="795"/>
      <c r="F44" s="795"/>
      <c r="G44" s="795"/>
      <c r="H44" s="795"/>
      <c r="I44" s="795"/>
      <c r="J44" s="29"/>
    </row>
    <row r="45" spans="2:10">
      <c r="B45" s="26"/>
      <c r="C45" s="1067" t="s">
        <v>731</v>
      </c>
      <c r="D45" s="38">
        <f t="shared" si="1"/>
        <v>0</v>
      </c>
      <c r="E45" s="795"/>
      <c r="F45" s="795"/>
      <c r="G45" s="795"/>
      <c r="H45" s="795"/>
      <c r="I45" s="795"/>
      <c r="J45" s="29"/>
    </row>
    <row r="46" spans="2:10">
      <c r="B46" s="26"/>
      <c r="C46" s="1067" t="s">
        <v>751</v>
      </c>
      <c r="D46" s="38">
        <f t="shared" si="1"/>
        <v>0</v>
      </c>
      <c r="E46" s="795"/>
      <c r="F46" s="795"/>
      <c r="G46" s="795"/>
      <c r="H46" s="795"/>
      <c r="I46" s="795"/>
      <c r="J46" s="29"/>
    </row>
    <row r="47" spans="2:10">
      <c r="B47" s="26"/>
      <c r="C47" s="1067" t="s">
        <v>559</v>
      </c>
      <c r="D47" s="38">
        <f t="shared" si="1"/>
        <v>0</v>
      </c>
      <c r="E47" s="795"/>
      <c r="F47" s="795"/>
      <c r="G47" s="795"/>
      <c r="H47" s="795"/>
      <c r="I47" s="795"/>
      <c r="J47" s="29"/>
    </row>
    <row r="48" spans="2:10">
      <c r="B48" s="26"/>
      <c r="C48" s="1067" t="s">
        <v>795</v>
      </c>
      <c r="D48" s="38">
        <f t="shared" si="1"/>
        <v>0</v>
      </c>
      <c r="E48" s="795"/>
      <c r="F48" s="795"/>
      <c r="G48" s="795"/>
      <c r="H48" s="795"/>
      <c r="I48" s="795"/>
      <c r="J48" s="29"/>
    </row>
    <row r="49" spans="2:10">
      <c r="B49" s="26"/>
      <c r="C49" s="1067" t="s">
        <v>816</v>
      </c>
      <c r="D49" s="38">
        <f t="shared" si="1"/>
        <v>0</v>
      </c>
      <c r="E49" s="795"/>
      <c r="F49" s="795"/>
      <c r="G49" s="795"/>
      <c r="H49" s="795"/>
      <c r="I49" s="795"/>
      <c r="J49" s="29"/>
    </row>
    <row r="50" spans="2:10">
      <c r="B50" s="26"/>
      <c r="C50" s="1067" t="s">
        <v>836</v>
      </c>
      <c r="D50" s="38">
        <f t="shared" si="1"/>
        <v>0</v>
      </c>
      <c r="E50" s="795"/>
      <c r="F50" s="795"/>
      <c r="G50" s="795"/>
      <c r="H50" s="795"/>
      <c r="I50" s="795"/>
      <c r="J50" s="29"/>
    </row>
    <row r="51" spans="2:10">
      <c r="B51" s="26"/>
      <c r="C51" s="1067" t="s">
        <v>857</v>
      </c>
      <c r="D51" s="38">
        <f t="shared" si="1"/>
        <v>0</v>
      </c>
      <c r="E51" s="795"/>
      <c r="F51" s="795"/>
      <c r="G51" s="795"/>
      <c r="H51" s="795"/>
      <c r="I51" s="795"/>
      <c r="J51" s="29"/>
    </row>
    <row r="52" spans="2:10">
      <c r="B52" s="26"/>
      <c r="C52" s="1067" t="s">
        <v>876</v>
      </c>
      <c r="D52" s="38">
        <f t="shared" si="1"/>
        <v>0</v>
      </c>
      <c r="E52" s="795"/>
      <c r="F52" s="795"/>
      <c r="G52" s="795"/>
      <c r="H52" s="795"/>
      <c r="I52" s="795"/>
      <c r="J52" s="29"/>
    </row>
    <row r="53" spans="2:10" ht="15" thickBot="1">
      <c r="B53" s="32"/>
      <c r="C53" s="1071"/>
      <c r="D53" s="34"/>
      <c r="E53" s="34"/>
      <c r="F53" s="34"/>
      <c r="G53" s="34"/>
      <c r="H53" s="34"/>
      <c r="I53" s="34"/>
      <c r="J53" s="3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ClearBonuses">
                <anchor moveWithCells="1" sizeWithCells="1">
                  <from>
                    <xdr:col>7</xdr:col>
                    <xdr:colOff>165100</xdr:colOff>
                    <xdr:row>24</xdr:row>
                    <xdr:rowOff>38100</xdr:rowOff>
                  </from>
                  <to>
                    <xdr:col>8</xdr:col>
                    <xdr:colOff>342900</xdr:colOff>
                    <xdr:row>25</xdr:row>
                    <xdr:rowOff>127000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B1:G9"/>
  <sheetViews>
    <sheetView showGridLines="0" showRowColHeaders="0" workbookViewId="0">
      <selection activeCell="C4" sqref="C4"/>
    </sheetView>
  </sheetViews>
  <sheetFormatPr defaultColWidth="9.1796875" defaultRowHeight="14.5"/>
  <cols>
    <col min="1" max="2" width="2.81640625" style="1355" customWidth="1"/>
    <col min="3" max="3" width="33.7265625" style="1355" customWidth="1"/>
    <col min="4" max="5" width="2.81640625" style="1355" customWidth="1"/>
    <col min="6" max="16384" width="9.1796875" style="1355"/>
  </cols>
  <sheetData>
    <row r="1" spans="2:7" ht="15" thickBot="1"/>
    <row r="2" spans="2:7">
      <c r="B2" s="1324"/>
      <c r="C2" s="1325"/>
      <c r="D2" s="1326"/>
    </row>
    <row r="3" spans="2:7" ht="21">
      <c r="B3" s="1327"/>
      <c r="C3" s="1354" t="s">
        <v>6629</v>
      </c>
      <c r="D3" s="29"/>
      <c r="F3" s="1355" t="str">
        <f>IF(COUNTIF(C4:C8,"")&lt;5,"* "&amp;CharacterName&amp;" is considered to have completed "&amp;IF(COUNTIF(C4:C8,"")&lt;4,"both ","")&amp;G4&amp;IF(COUNTIF(C4:C8,"")&lt;4," destinies"," destiny"),"")</f>
        <v/>
      </c>
    </row>
    <row r="4" spans="2:7">
      <c r="B4" s="1327"/>
      <c r="C4" s="1353"/>
      <c r="D4" s="29"/>
      <c r="F4" s="1355" t="str">
        <f>IF(C4&lt;&gt;"",C4,"")</f>
        <v/>
      </c>
      <c r="G4" s="1355" t="str">
        <f>IF(F4&lt;&gt;"","the "&amp;F4&amp;IF(AND(G5&lt;&gt;"",COUNTIF(C4:C8,"")&lt;3),", "&amp;G5,IF(G5&lt;&gt;""," and "&amp;G5,"")),G5)</f>
        <v/>
      </c>
    </row>
    <row r="5" spans="2:7">
      <c r="B5" s="1327"/>
      <c r="C5" s="1353"/>
      <c r="D5" s="29"/>
      <c r="F5" s="1355" t="str">
        <f>IF(C5&lt;&gt;"",C5,"")</f>
        <v/>
      </c>
      <c r="G5" s="1355" t="str">
        <f>IF(F5&lt;&gt;"","the "&amp;F5&amp;IF(AND(G6&lt;&gt;"",COUNTIF(C5:C9,"")&lt;3),", "&amp;G6,IF(G6&lt;&gt;""," and "&amp;G6,"")),G6)</f>
        <v/>
      </c>
    </row>
    <row r="6" spans="2:7">
      <c r="B6" s="1327"/>
      <c r="C6" s="1353"/>
      <c r="D6" s="29"/>
      <c r="F6" s="1355" t="str">
        <f>IF(C6&lt;&gt;"",C6,"")</f>
        <v/>
      </c>
      <c r="G6" s="1355" t="str">
        <f>IF(F6&lt;&gt;"","the "&amp;F6&amp;IF(AND(G7&lt;&gt;"",COUNTIF(C6:C10,"")&lt;3),", "&amp;G7,IF(G7&lt;&gt;""," and "&amp;G7,"")),G7)</f>
        <v/>
      </c>
    </row>
    <row r="7" spans="2:7">
      <c r="B7" s="1327"/>
      <c r="C7" s="1353"/>
      <c r="D7" s="29"/>
      <c r="F7" s="1355" t="str">
        <f>IF(C7&lt;&gt;"",C7,"")</f>
        <v/>
      </c>
      <c r="G7" s="1355" t="str">
        <f>IF(F7&lt;&gt;"","the "&amp;F7&amp;IF(AND(G8&lt;&gt;"",COUNTIF(C7:C11,"")&lt;3),", "&amp;G8,IF(G8&lt;&gt;""," and "&amp;G8,"")),G8)</f>
        <v/>
      </c>
    </row>
    <row r="8" spans="2:7">
      <c r="B8" s="1327"/>
      <c r="C8" s="1353"/>
      <c r="D8" s="29"/>
      <c r="F8" s="1355" t="str">
        <f>IF(C8&lt;&gt;"",C8,"")</f>
        <v/>
      </c>
      <c r="G8" s="1355" t="str">
        <f>IF(F8&lt;&gt;"","the "&amp;F8&amp;IF(AND(G9&lt;&gt;"",COUNTIF(C8:C12,"")&lt;3),", "&amp;G9,IF(G9&lt;&gt;""," and "&amp;G9,"")),G9)</f>
        <v/>
      </c>
    </row>
    <row r="9" spans="2:7" ht="15" thickBot="1">
      <c r="B9" s="32"/>
      <c r="C9" s="1356"/>
      <c r="D9" s="35"/>
      <c r="G9" s="383" t="s">
        <v>195</v>
      </c>
    </row>
  </sheetData>
  <dataValidations count="1">
    <dataValidation type="list" allowBlank="1" showInputMessage="1" showErrorMessage="1" sqref="C4:C8" xr:uid="{00000000-0002-0000-1600-000000000000}">
      <formula1>DestinyList</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GZ267"/>
  <sheetViews>
    <sheetView showGridLines="0" showRowColHeaders="0" zoomScale="50" zoomScaleNormal="50" workbookViewId="0">
      <selection activeCell="BL39" sqref="BL39:BQ42"/>
    </sheetView>
  </sheetViews>
  <sheetFormatPr defaultRowHeight="14.5"/>
  <cols>
    <col min="1" max="158" width="1.7265625" customWidth="1"/>
    <col min="159" max="161" width="1.7265625" style="817" hidden="1" customWidth="1"/>
    <col min="162" max="162" width="23.54296875" style="817" hidden="1" customWidth="1"/>
    <col min="163" max="208" width="1.7265625" style="817" hidden="1" customWidth="1"/>
  </cols>
  <sheetData>
    <row r="1" spans="1:158" ht="9" customHeight="1">
      <c r="A1" s="87"/>
      <c r="B1" s="87"/>
      <c r="C1" s="87"/>
      <c r="D1" s="87"/>
      <c r="E1" s="87"/>
      <c r="F1" s="88"/>
      <c r="G1" s="88"/>
      <c r="H1" s="88"/>
      <c r="I1" s="88"/>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row>
    <row r="2" spans="1:158" ht="9" customHeight="1">
      <c r="A2" s="87"/>
      <c r="B2" s="87"/>
      <c r="C2" s="87"/>
      <c r="D2" s="87"/>
      <c r="E2" s="87"/>
      <c r="F2" s="88"/>
      <c r="G2" s="88"/>
      <c r="H2" s="88"/>
      <c r="I2" s="88"/>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1580"/>
      <c r="DK2" s="597"/>
      <c r="DL2" s="597"/>
      <c r="DM2" s="597"/>
      <c r="DN2" s="597"/>
      <c r="DO2" s="597"/>
      <c r="DP2" s="597"/>
      <c r="DQ2" s="597"/>
      <c r="DR2" s="597"/>
      <c r="DS2" s="597"/>
      <c r="DT2" s="597"/>
      <c r="DU2" s="597"/>
      <c r="DV2" s="597"/>
      <c r="DW2" s="597"/>
      <c r="DX2" s="597"/>
      <c r="DY2" s="597"/>
      <c r="DZ2" s="597"/>
      <c r="EA2" s="597"/>
      <c r="EB2" s="597"/>
      <c r="EC2" s="597"/>
      <c r="ED2" s="597"/>
      <c r="EE2" s="597"/>
      <c r="EF2" s="597"/>
      <c r="EG2" s="597"/>
      <c r="EH2" s="597"/>
      <c r="EI2" s="597"/>
      <c r="EJ2" s="597"/>
      <c r="EK2" s="597"/>
      <c r="EL2" s="597"/>
      <c r="EM2" s="597"/>
      <c r="EN2" s="597"/>
      <c r="EO2" s="597"/>
      <c r="EP2" s="597"/>
      <c r="EQ2" s="597"/>
      <c r="ER2" s="597"/>
      <c r="ES2" s="597"/>
      <c r="ET2" s="597"/>
      <c r="EU2" s="597"/>
      <c r="EV2" s="87"/>
      <c r="EW2" s="87"/>
      <c r="EX2" s="87"/>
      <c r="EY2" s="87"/>
      <c r="EZ2" s="87"/>
      <c r="FA2" s="87"/>
      <c r="FB2" s="87"/>
    </row>
    <row r="3" spans="1:158" ht="9" customHeight="1">
      <c r="A3" s="87"/>
      <c r="B3" s="87"/>
      <c r="C3" s="87"/>
      <c r="D3" s="87"/>
      <c r="E3" s="87"/>
      <c r="F3" s="88"/>
      <c r="G3" s="88"/>
      <c r="H3" s="88"/>
      <c r="I3" s="88"/>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597"/>
      <c r="DK3" s="597"/>
      <c r="DL3" s="597"/>
      <c r="DM3" s="597"/>
      <c r="DN3" s="597"/>
      <c r="DO3" s="597"/>
      <c r="DP3" s="597"/>
      <c r="DQ3" s="597"/>
      <c r="DR3" s="597"/>
      <c r="DS3" s="597"/>
      <c r="DT3" s="597"/>
      <c r="DU3" s="597"/>
      <c r="DV3" s="597"/>
      <c r="DW3" s="597"/>
      <c r="DX3" s="597"/>
      <c r="DY3" s="597"/>
      <c r="DZ3" s="109"/>
      <c r="EA3" s="3"/>
      <c r="EB3" s="3"/>
      <c r="EC3" s="3"/>
      <c r="ED3" s="3"/>
      <c r="EE3" s="3"/>
      <c r="EF3" s="3"/>
      <c r="EG3" s="3"/>
      <c r="EH3" s="3"/>
      <c r="EI3" s="3"/>
      <c r="EJ3" s="3"/>
      <c r="EK3" s="3"/>
      <c r="EL3" s="3"/>
      <c r="EM3" s="3"/>
      <c r="EN3" s="3"/>
      <c r="EO3" s="3"/>
      <c r="EP3" s="3"/>
      <c r="EQ3" s="3"/>
      <c r="ER3" s="3"/>
      <c r="ES3" s="3"/>
      <c r="ET3" s="3"/>
      <c r="EU3" s="3"/>
      <c r="EV3" s="3"/>
      <c r="EW3" s="3"/>
      <c r="EX3" s="3"/>
      <c r="EY3" s="109"/>
      <c r="EZ3" s="109"/>
      <c r="FA3" s="87"/>
      <c r="FB3" s="87"/>
    </row>
    <row r="4" spans="1:158" ht="9" customHeight="1">
      <c r="A4" s="87"/>
      <c r="B4" s="87"/>
      <c r="C4" s="87"/>
      <c r="D4" s="87"/>
      <c r="E4" s="87"/>
      <c r="F4" s="88"/>
      <c r="G4" s="88"/>
      <c r="H4" s="88"/>
      <c r="I4" s="88"/>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597"/>
      <c r="DK4" s="597"/>
      <c r="DL4" s="597"/>
      <c r="DM4" s="597"/>
      <c r="DN4" s="597"/>
      <c r="DO4" s="597"/>
      <c r="DP4" s="597"/>
      <c r="DQ4" s="597"/>
      <c r="DR4" s="597"/>
      <c r="DS4" s="597"/>
      <c r="DT4" s="597"/>
      <c r="DU4" s="597"/>
      <c r="DV4" s="597"/>
      <c r="DW4" s="597"/>
      <c r="DX4" s="597"/>
      <c r="DY4" s="597"/>
      <c r="DZ4" s="301"/>
      <c r="EA4" s="3"/>
      <c r="EB4" s="3"/>
      <c r="EC4" s="3"/>
      <c r="ED4" s="3"/>
      <c r="EE4" s="3"/>
      <c r="EF4" s="3"/>
      <c r="EG4" s="3"/>
      <c r="EH4" s="3"/>
      <c r="EI4" s="3"/>
      <c r="EJ4" s="3"/>
      <c r="EK4" s="3"/>
      <c r="EL4" s="3"/>
      <c r="EM4" s="3"/>
      <c r="EN4" s="3"/>
      <c r="EO4" s="3"/>
      <c r="EP4" s="3"/>
      <c r="EQ4" s="3"/>
      <c r="ER4" s="3"/>
      <c r="ES4" s="3"/>
      <c r="ET4" s="3"/>
      <c r="EU4" s="3"/>
      <c r="EV4" s="3"/>
      <c r="EW4" s="3"/>
      <c r="EX4" s="3"/>
      <c r="EY4" s="301"/>
      <c r="EZ4" s="109"/>
      <c r="FA4" s="87"/>
      <c r="FB4" s="87"/>
    </row>
    <row r="5" spans="1:158" ht="9" customHeight="1">
      <c r="A5" s="87"/>
      <c r="B5" s="87"/>
      <c r="C5" s="87"/>
      <c r="D5" s="87"/>
      <c r="E5" s="87"/>
      <c r="F5" s="88"/>
      <c r="G5" s="88"/>
      <c r="H5" s="88"/>
      <c r="I5" s="88"/>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597"/>
      <c r="DK5" s="597"/>
      <c r="DL5" s="597"/>
      <c r="DM5" s="597"/>
      <c r="DN5" s="597"/>
      <c r="DO5" s="597"/>
      <c r="DP5" s="597"/>
      <c r="DQ5" s="597"/>
      <c r="DR5" s="597"/>
      <c r="DS5" s="597"/>
      <c r="DT5" s="597"/>
      <c r="DU5" s="597"/>
      <c r="DV5" s="597"/>
      <c r="DW5" s="597"/>
      <c r="DX5" s="597"/>
      <c r="DY5" s="597"/>
      <c r="DZ5" s="109"/>
      <c r="EA5" s="3"/>
      <c r="EB5" s="3"/>
      <c r="EC5" s="3"/>
      <c r="ED5" s="3"/>
      <c r="EE5" s="3"/>
      <c r="EF5" s="3"/>
      <c r="EG5" s="3"/>
      <c r="EH5" s="3"/>
      <c r="EI5" s="3"/>
      <c r="EJ5" s="3"/>
      <c r="EK5" s="3"/>
      <c r="EL5" s="3"/>
      <c r="EM5" s="3"/>
      <c r="EN5" s="3"/>
      <c r="EO5" s="3"/>
      <c r="EP5" s="3"/>
      <c r="EQ5" s="3"/>
      <c r="ER5" s="3"/>
      <c r="ES5" s="3"/>
      <c r="ET5" s="3"/>
      <c r="EU5" s="3"/>
      <c r="EV5" s="3"/>
      <c r="EW5" s="3"/>
      <c r="EX5" s="3"/>
      <c r="EY5" s="109"/>
      <c r="EZ5" s="109"/>
      <c r="FA5" s="87"/>
      <c r="FB5" s="87"/>
    </row>
    <row r="6" spans="1:158" ht="9" customHeight="1">
      <c r="A6" s="87"/>
      <c r="B6" s="87"/>
      <c r="C6" s="87"/>
      <c r="D6" s="87"/>
      <c r="E6" s="87"/>
      <c r="F6" s="88"/>
      <c r="G6" s="88"/>
      <c r="H6" s="88"/>
      <c r="I6" s="88"/>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c r="BT6" s="87"/>
      <c r="BU6" s="87"/>
      <c r="BV6" s="87"/>
      <c r="BW6" s="87"/>
      <c r="BX6" s="87"/>
      <c r="BY6" s="87"/>
      <c r="BZ6" s="87"/>
      <c r="CA6" s="87"/>
      <c r="CB6" s="87"/>
      <c r="CC6" s="87"/>
      <c r="CD6" s="87"/>
      <c r="CE6" s="87"/>
      <c r="CF6" s="87"/>
      <c r="CG6" s="87"/>
      <c r="CH6" s="87"/>
      <c r="CI6" s="87"/>
      <c r="CJ6" s="87"/>
      <c r="CK6" s="87"/>
      <c r="CL6" s="87"/>
      <c r="CM6" s="87"/>
      <c r="CN6" s="87"/>
      <c r="CO6" s="87"/>
      <c r="CP6" s="87"/>
      <c r="CQ6" s="87"/>
      <c r="CR6" s="87"/>
      <c r="CS6" s="87"/>
      <c r="CT6" s="87"/>
      <c r="CU6" s="87"/>
      <c r="CV6" s="87"/>
      <c r="CW6" s="87"/>
      <c r="CX6" s="87"/>
      <c r="CY6" s="87"/>
      <c r="CZ6" s="87"/>
      <c r="DA6" s="87"/>
      <c r="DB6" s="87"/>
      <c r="DC6" s="87"/>
      <c r="DD6" s="87"/>
      <c r="DE6" s="87"/>
      <c r="DF6" s="87"/>
      <c r="DG6" s="87"/>
      <c r="DH6" s="87"/>
      <c r="DI6" s="87"/>
      <c r="DJ6" s="597"/>
      <c r="DK6" s="597"/>
      <c r="DL6" s="597"/>
      <c r="DM6" s="597"/>
      <c r="DN6" s="597"/>
      <c r="DO6" s="597"/>
      <c r="DP6" s="597"/>
      <c r="DQ6" s="597"/>
      <c r="DR6" s="597"/>
      <c r="DS6" s="597"/>
      <c r="DT6" s="3"/>
      <c r="DU6" s="3"/>
      <c r="DV6" s="3"/>
      <c r="DW6" s="3"/>
      <c r="DX6" s="3"/>
      <c r="DY6" s="3"/>
      <c r="DZ6" s="109"/>
      <c r="EA6" s="3"/>
      <c r="EB6" s="3"/>
      <c r="EC6" s="3"/>
      <c r="ED6" s="3"/>
      <c r="EE6" s="3"/>
      <c r="EF6" s="3"/>
      <c r="EG6" s="3"/>
      <c r="EH6" s="3"/>
      <c r="EI6" s="3"/>
      <c r="EJ6" s="3"/>
      <c r="EK6" s="3"/>
      <c r="EL6" s="3"/>
      <c r="EM6" s="3"/>
      <c r="EN6" s="3"/>
      <c r="EO6" s="3"/>
      <c r="EP6" s="3"/>
      <c r="EQ6" s="3"/>
      <c r="ER6" s="3"/>
      <c r="ES6" s="3"/>
      <c r="ET6" s="3"/>
      <c r="EU6" s="3"/>
      <c r="EV6" s="3"/>
      <c r="EW6" s="3"/>
      <c r="EX6" s="3"/>
      <c r="EY6" s="109"/>
      <c r="EZ6" s="109"/>
      <c r="FA6" s="87"/>
      <c r="FB6" s="87"/>
    </row>
    <row r="7" spans="1:158" ht="9" customHeight="1">
      <c r="A7" s="87"/>
      <c r="B7" s="87"/>
      <c r="C7" s="87"/>
      <c r="D7" s="87"/>
      <c r="E7" s="87"/>
      <c r="F7" s="88"/>
      <c r="G7" s="88"/>
      <c r="H7" s="88"/>
      <c r="I7" s="88"/>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c r="CK7" s="87"/>
      <c r="CL7" s="87"/>
      <c r="CM7" s="87"/>
      <c r="CN7" s="87"/>
      <c r="CO7" s="87"/>
      <c r="CP7" s="87"/>
      <c r="CQ7" s="87"/>
      <c r="CR7" s="87"/>
      <c r="CS7" s="87"/>
      <c r="CT7" s="87"/>
      <c r="CU7" s="87"/>
      <c r="CV7" s="87"/>
      <c r="CW7" s="87"/>
      <c r="CX7" s="87"/>
      <c r="CY7" s="87"/>
      <c r="CZ7" s="87"/>
      <c r="DA7" s="87"/>
      <c r="DB7" s="87"/>
      <c r="DC7" s="87"/>
      <c r="DD7" s="87"/>
      <c r="DE7" s="87"/>
      <c r="DF7" s="87"/>
      <c r="DG7" s="87"/>
      <c r="DH7" s="87"/>
      <c r="DI7" s="87"/>
      <c r="DJ7" s="597"/>
      <c r="DK7" s="597"/>
      <c r="DL7" s="597"/>
      <c r="DM7" s="597"/>
      <c r="DN7" s="597"/>
      <c r="DO7" s="597"/>
      <c r="DP7" s="597"/>
      <c r="DQ7" s="597"/>
      <c r="DR7" s="597"/>
      <c r="DS7" s="597"/>
      <c r="DT7" s="3"/>
      <c r="DU7" s="3"/>
      <c r="DV7" s="3"/>
      <c r="DW7" s="3"/>
      <c r="DX7" s="3"/>
      <c r="DY7" s="3"/>
      <c r="DZ7" s="3"/>
      <c r="EA7" s="3"/>
      <c r="EB7" s="597"/>
      <c r="EC7" s="597"/>
      <c r="ED7" s="597"/>
      <c r="EE7" s="597"/>
      <c r="EF7" s="597"/>
      <c r="EG7" s="597"/>
      <c r="EH7" s="597"/>
      <c r="EI7" s="597"/>
      <c r="EJ7" s="597"/>
      <c r="EK7" s="597"/>
      <c r="EL7" s="597"/>
      <c r="EM7" s="597"/>
      <c r="EN7" s="597"/>
      <c r="EO7" s="597"/>
      <c r="EP7" s="597"/>
      <c r="EQ7" s="597"/>
      <c r="ER7" s="597"/>
      <c r="ES7" s="597"/>
      <c r="ET7" s="597"/>
      <c r="EU7" s="597"/>
      <c r="EV7" s="597"/>
      <c r="EW7" s="597"/>
      <c r="EX7" s="109"/>
      <c r="EY7" s="109"/>
      <c r="EZ7" s="109"/>
      <c r="FA7" s="87"/>
      <c r="FB7" s="87"/>
    </row>
    <row r="8" spans="1:158" ht="9" customHeight="1">
      <c r="A8" s="87"/>
      <c r="B8" s="87"/>
      <c r="C8" s="87"/>
      <c r="D8" s="87"/>
      <c r="E8" s="87"/>
      <c r="F8" s="88"/>
      <c r="G8" s="88"/>
      <c r="H8" s="88"/>
      <c r="I8" s="88"/>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c r="CK8" s="87"/>
      <c r="CL8" s="87"/>
      <c r="CM8" s="87"/>
      <c r="CN8" s="87"/>
      <c r="CO8" s="87"/>
      <c r="CP8" s="87"/>
      <c r="CQ8" s="87"/>
      <c r="CR8" s="87"/>
      <c r="CS8" s="87"/>
      <c r="CT8" s="87"/>
      <c r="CU8" s="87"/>
      <c r="CV8" s="87"/>
      <c r="CW8" s="87"/>
      <c r="CX8" s="87"/>
      <c r="CY8" s="87"/>
      <c r="CZ8" s="87"/>
      <c r="DA8" s="87"/>
      <c r="DB8" s="87"/>
      <c r="DC8" s="87"/>
      <c r="DD8" s="87"/>
      <c r="DE8" s="87"/>
      <c r="DF8" s="87"/>
      <c r="DG8" s="87"/>
      <c r="DH8" s="87"/>
      <c r="DI8" s="87"/>
      <c r="DJ8" s="597"/>
      <c r="DK8" s="597"/>
      <c r="DL8" s="597"/>
      <c r="DM8" s="597"/>
      <c r="DN8" s="597"/>
      <c r="DO8" s="597"/>
      <c r="DP8" s="597"/>
      <c r="DQ8" s="597"/>
      <c r="DR8" s="597"/>
      <c r="DS8" s="597"/>
      <c r="DT8" s="3"/>
      <c r="DU8" s="3"/>
      <c r="DV8" s="3"/>
      <c r="DW8" s="3"/>
      <c r="DX8" s="3"/>
      <c r="DY8" s="3"/>
      <c r="DZ8" s="3"/>
      <c r="EA8" s="3"/>
      <c r="EB8" s="597"/>
      <c r="EC8" s="597"/>
      <c r="ED8" s="3"/>
      <c r="EE8" s="3"/>
      <c r="EF8" s="3"/>
      <c r="EG8" s="3"/>
      <c r="EH8" s="3"/>
      <c r="EI8" s="3"/>
      <c r="EJ8" s="3"/>
      <c r="EK8" s="3"/>
      <c r="EL8" s="3"/>
      <c r="EM8" s="3"/>
      <c r="EN8" s="3"/>
      <c r="EO8" s="3"/>
      <c r="EP8" s="3"/>
      <c r="EQ8" s="3"/>
      <c r="ER8" s="3"/>
      <c r="ES8" s="3"/>
      <c r="ET8" s="3"/>
      <c r="EU8" s="3"/>
      <c r="EV8" s="3"/>
      <c r="EW8" s="3"/>
      <c r="EX8" s="109"/>
      <c r="EY8" s="109"/>
      <c r="EZ8" s="109"/>
      <c r="FA8" s="87"/>
      <c r="FB8" s="87"/>
    </row>
    <row r="9" spans="1:158" ht="9" customHeight="1">
      <c r="A9" s="87"/>
      <c r="B9" s="87"/>
      <c r="C9" s="87"/>
      <c r="D9" s="87"/>
      <c r="E9" s="87"/>
      <c r="F9" s="88"/>
      <c r="G9" s="88"/>
      <c r="H9" s="88"/>
      <c r="I9" s="88"/>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c r="CK9" s="87"/>
      <c r="CL9" s="87"/>
      <c r="CM9" s="87"/>
      <c r="CN9" s="87"/>
      <c r="CO9" s="87"/>
      <c r="CP9" s="87"/>
      <c r="CQ9" s="87"/>
      <c r="CR9" s="87"/>
      <c r="CS9" s="87"/>
      <c r="CT9" s="87"/>
      <c r="CU9" s="87"/>
      <c r="CV9" s="87"/>
      <c r="CW9" s="87"/>
      <c r="CX9" s="87"/>
      <c r="CY9" s="87"/>
      <c r="CZ9" s="87"/>
      <c r="DA9" s="87"/>
      <c r="DB9" s="87"/>
      <c r="DC9" s="87"/>
      <c r="DD9" s="87"/>
      <c r="DE9" s="87"/>
      <c r="DF9" s="87"/>
      <c r="DG9" s="87"/>
      <c r="DH9" s="87"/>
      <c r="DI9" s="87"/>
      <c r="DJ9" s="597"/>
      <c r="DK9" s="597"/>
      <c r="DL9" s="597"/>
      <c r="DM9" s="597"/>
      <c r="DN9" s="597"/>
      <c r="DO9" s="597"/>
      <c r="DP9" s="597"/>
      <c r="DQ9" s="597"/>
      <c r="DR9" s="597"/>
      <c r="DS9" s="597"/>
      <c r="DT9" s="3"/>
      <c r="DU9" s="3"/>
      <c r="DV9" s="3"/>
      <c r="DW9" s="3"/>
      <c r="DX9" s="3"/>
      <c r="DY9" s="3"/>
      <c r="DZ9" s="3"/>
      <c r="EA9" s="3"/>
      <c r="EB9" s="597"/>
      <c r="EC9" s="597"/>
      <c r="ED9" s="3"/>
      <c r="EE9" s="3"/>
      <c r="EF9" s="3"/>
      <c r="EG9" s="3"/>
      <c r="EH9" s="3"/>
      <c r="EI9" s="3"/>
      <c r="EJ9" s="3"/>
      <c r="EK9" s="3"/>
      <c r="EL9" s="3"/>
      <c r="EM9" s="3"/>
      <c r="EN9" s="3"/>
      <c r="EO9" s="3"/>
      <c r="EP9" s="3"/>
      <c r="EQ9" s="3"/>
      <c r="ER9" s="3"/>
      <c r="ES9" s="3"/>
      <c r="ET9" s="3"/>
      <c r="EU9" s="3"/>
      <c r="EV9" s="3"/>
      <c r="EW9" s="3"/>
      <c r="EX9" s="109"/>
      <c r="EY9" s="109"/>
      <c r="EZ9" s="109"/>
      <c r="FA9" s="87"/>
      <c r="FB9" s="87"/>
    </row>
    <row r="10" spans="1:158" ht="9" customHeight="1">
      <c r="A10" s="87"/>
      <c r="B10" s="87"/>
      <c r="C10" s="87"/>
      <c r="D10" s="87"/>
      <c r="E10" s="87"/>
      <c r="F10" s="88"/>
      <c r="G10" s="88"/>
      <c r="H10" s="88"/>
      <c r="I10" s="88"/>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c r="CK10" s="87"/>
      <c r="CL10" s="87"/>
      <c r="CM10" s="87"/>
      <c r="CN10" s="87"/>
      <c r="CO10" s="87"/>
      <c r="CP10" s="87"/>
      <c r="CQ10" s="87"/>
      <c r="CR10" s="87"/>
      <c r="CS10" s="87"/>
      <c r="CT10" s="87"/>
      <c r="CU10" s="87"/>
      <c r="CV10" s="87"/>
      <c r="CW10" s="87"/>
      <c r="CX10" s="87"/>
      <c r="CY10" s="87"/>
      <c r="CZ10" s="87"/>
      <c r="DA10" s="87"/>
      <c r="DB10" s="87"/>
      <c r="DC10" s="87"/>
      <c r="DD10" s="87"/>
      <c r="DE10" s="87"/>
      <c r="DF10" s="87"/>
      <c r="DG10" s="87"/>
      <c r="DH10" s="87"/>
      <c r="DI10" s="87"/>
      <c r="DJ10" s="597"/>
      <c r="DK10" s="597"/>
      <c r="DL10" s="597"/>
      <c r="DM10" s="597"/>
      <c r="DN10" s="597"/>
      <c r="DO10" s="597"/>
      <c r="DP10" s="597"/>
      <c r="DQ10" s="597"/>
      <c r="DR10" s="597"/>
      <c r="DS10" s="597"/>
      <c r="DT10" s="3"/>
      <c r="DU10" s="3"/>
      <c r="DV10" s="3"/>
      <c r="DW10" s="3"/>
      <c r="DX10" s="3"/>
      <c r="DY10" s="3"/>
      <c r="DZ10" s="3"/>
      <c r="EA10" s="3"/>
      <c r="EB10" s="597"/>
      <c r="EC10" s="597"/>
      <c r="ED10" s="3"/>
      <c r="EE10" s="3"/>
      <c r="EF10" s="3"/>
      <c r="EG10" s="3"/>
      <c r="EH10" s="3"/>
      <c r="EI10" s="3"/>
      <c r="EJ10" s="3"/>
      <c r="EK10" s="3"/>
      <c r="EL10" s="3"/>
      <c r="EM10" s="3"/>
      <c r="EN10" s="3"/>
      <c r="EO10" s="3"/>
      <c r="EP10" s="3"/>
      <c r="EQ10" s="3"/>
      <c r="ER10" s="3"/>
      <c r="ES10" s="3"/>
      <c r="ET10" s="3"/>
      <c r="EU10" s="3"/>
      <c r="EV10" s="3"/>
      <c r="EW10" s="3"/>
      <c r="EX10" s="109"/>
      <c r="EY10" s="109"/>
      <c r="EZ10" s="109"/>
      <c r="FA10" s="87"/>
      <c r="FB10" s="87"/>
    </row>
    <row r="11" spans="1:158" ht="9" customHeight="1">
      <c r="A11" s="87"/>
      <c r="B11" s="87"/>
      <c r="C11" s="87"/>
      <c r="D11" s="87"/>
      <c r="E11" s="87"/>
      <c r="F11" s="88"/>
      <c r="G11" s="88"/>
      <c r="H11" s="88"/>
      <c r="I11" s="88"/>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597"/>
      <c r="DK11" s="597"/>
      <c r="DL11" s="597"/>
      <c r="DM11" s="597"/>
      <c r="DN11" s="597"/>
      <c r="DO11" s="597"/>
      <c r="DP11" s="597"/>
      <c r="DQ11" s="597"/>
      <c r="DR11" s="597"/>
      <c r="DS11" s="597"/>
      <c r="DT11" s="3"/>
      <c r="DU11" s="3"/>
      <c r="DV11" s="3"/>
      <c r="DW11" s="3"/>
      <c r="DX11" s="3"/>
      <c r="DY11" s="3"/>
      <c r="DZ11" s="3"/>
      <c r="EA11" s="3"/>
      <c r="EB11" s="597"/>
      <c r="EC11" s="597"/>
      <c r="ED11" s="3"/>
      <c r="EE11" s="3"/>
      <c r="EF11" s="3"/>
      <c r="EG11" s="3"/>
      <c r="EH11" s="3"/>
      <c r="EI11" s="3"/>
      <c r="EJ11" s="3"/>
      <c r="EK11" s="3"/>
      <c r="EL11" s="3"/>
      <c r="EM11" s="3"/>
      <c r="EN11" s="3"/>
      <c r="EO11" s="3"/>
      <c r="EP11" s="3"/>
      <c r="EQ11" s="3"/>
      <c r="ER11" s="3"/>
      <c r="ES11" s="3"/>
      <c r="ET11" s="3"/>
      <c r="EU11" s="3"/>
      <c r="EV11" s="3"/>
      <c r="EW11" s="3"/>
      <c r="EX11" s="109"/>
      <c r="EY11" s="109"/>
      <c r="EZ11" s="109"/>
      <c r="FA11" s="87"/>
      <c r="FB11" s="87"/>
    </row>
    <row r="12" spans="1:158" ht="9" customHeight="1">
      <c r="A12" s="87"/>
      <c r="B12" s="87"/>
      <c r="C12" s="87"/>
      <c r="D12" s="87"/>
      <c r="E12" s="87"/>
      <c r="F12" s="88"/>
      <c r="G12" s="88"/>
      <c r="H12" s="88"/>
      <c r="I12" s="88"/>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c r="BT12" s="87"/>
      <c r="BU12" s="87"/>
      <c r="BV12" s="87"/>
      <c r="BW12" s="87"/>
      <c r="BX12" s="87"/>
      <c r="BY12" s="87"/>
      <c r="BZ12" s="87"/>
      <c r="CA12" s="87"/>
      <c r="CB12" s="87"/>
      <c r="CC12" s="87"/>
      <c r="CD12" s="87"/>
      <c r="CE12" s="87"/>
      <c r="CF12" s="87"/>
      <c r="CG12" s="87"/>
      <c r="CH12" s="87"/>
      <c r="CI12" s="87"/>
      <c r="CJ12" s="87"/>
      <c r="CK12" s="87"/>
      <c r="CL12" s="87"/>
      <c r="CM12" s="87"/>
      <c r="CN12" s="87"/>
      <c r="CO12" s="87"/>
      <c r="CP12" s="87"/>
      <c r="CQ12" s="87"/>
      <c r="CR12" s="87"/>
      <c r="CS12" s="87"/>
      <c r="CT12" s="87"/>
      <c r="CU12" s="87"/>
      <c r="CV12" s="87"/>
      <c r="CW12" s="87"/>
      <c r="CX12" s="87"/>
      <c r="CY12" s="87"/>
      <c r="CZ12" s="87"/>
      <c r="DA12" s="87"/>
      <c r="DB12" s="87"/>
      <c r="DC12" s="87"/>
      <c r="DD12" s="87"/>
      <c r="DE12" s="87"/>
      <c r="DF12" s="87"/>
      <c r="DG12" s="87"/>
      <c r="DH12" s="87"/>
      <c r="DI12" s="87"/>
      <c r="DJ12" s="597"/>
      <c r="DK12" s="597"/>
      <c r="DL12" s="597"/>
      <c r="DM12" s="597"/>
      <c r="DN12" s="597"/>
      <c r="DO12" s="597"/>
      <c r="DP12" s="597"/>
      <c r="DQ12" s="597"/>
      <c r="DR12" s="597"/>
      <c r="DS12" s="597"/>
      <c r="EB12" s="597"/>
      <c r="EC12" s="456"/>
      <c r="EX12" s="87"/>
      <c r="EY12" s="87"/>
      <c r="EZ12" s="87"/>
      <c r="FA12" s="87"/>
      <c r="FB12" s="87"/>
    </row>
    <row r="13" spans="1:158" ht="9" customHeight="1">
      <c r="A13" s="87"/>
      <c r="B13" s="87"/>
      <c r="C13" s="87"/>
      <c r="D13" s="87"/>
      <c r="E13" s="87"/>
      <c r="F13" s="88"/>
      <c r="G13" s="88"/>
      <c r="H13" s="88"/>
      <c r="I13" s="88"/>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597"/>
      <c r="DK13" s="597"/>
      <c r="DL13" s="597"/>
      <c r="DM13" s="597"/>
      <c r="DN13" s="597"/>
      <c r="DO13" s="597"/>
      <c r="DP13" s="597"/>
      <c r="DQ13" s="597"/>
      <c r="DR13" s="597"/>
      <c r="DS13" s="597"/>
      <c r="EB13" s="597"/>
      <c r="EC13" s="456"/>
      <c r="EX13" s="87"/>
      <c r="EY13" s="87"/>
      <c r="EZ13" s="87"/>
      <c r="FA13" s="87"/>
      <c r="FB13" s="87"/>
    </row>
    <row r="14" spans="1:158" ht="9" customHeight="1">
      <c r="A14" s="87"/>
      <c r="B14" s="87"/>
      <c r="C14" s="87"/>
      <c r="D14" s="87"/>
      <c r="E14" s="87"/>
      <c r="F14" s="88"/>
      <c r="G14" s="88"/>
      <c r="H14" s="88"/>
      <c r="I14" s="88"/>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597"/>
      <c r="DK14" s="597"/>
      <c r="DL14" s="597"/>
      <c r="DM14" s="597"/>
      <c r="DN14" s="597"/>
      <c r="DO14" s="597"/>
      <c r="DP14" s="597"/>
      <c r="DQ14" s="597"/>
      <c r="DR14" s="597"/>
      <c r="DS14" s="597"/>
      <c r="EB14" s="597"/>
      <c r="EC14" s="456"/>
      <c r="EX14" s="87"/>
      <c r="EY14" s="87"/>
      <c r="EZ14" s="87"/>
      <c r="FA14" s="87"/>
      <c r="FB14" s="87"/>
    </row>
    <row r="15" spans="1:158" ht="9" customHeight="1">
      <c r="A15" s="87"/>
      <c r="B15" s="87"/>
      <c r="C15" s="87"/>
      <c r="D15" s="87"/>
      <c r="E15" s="87"/>
      <c r="F15" s="88"/>
      <c r="G15" s="88"/>
      <c r="H15" s="88"/>
      <c r="I15" s="88"/>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597"/>
      <c r="DK15" s="597"/>
      <c r="DL15" s="597"/>
      <c r="DM15" s="597"/>
      <c r="DN15" s="597"/>
      <c r="DO15" s="597"/>
      <c r="DP15" s="597"/>
      <c r="DQ15" s="597"/>
      <c r="DR15" s="597"/>
      <c r="DS15" s="597"/>
      <c r="EB15" s="597"/>
      <c r="EC15" s="456"/>
      <c r="EX15" s="87"/>
      <c r="EY15" s="87"/>
      <c r="EZ15" s="87"/>
      <c r="FA15" s="87"/>
      <c r="FB15" s="87"/>
    </row>
    <row r="16" spans="1:158" ht="9" customHeight="1">
      <c r="A16" s="87"/>
      <c r="B16" s="87"/>
      <c r="C16" s="87"/>
      <c r="D16" s="87"/>
      <c r="E16" s="87"/>
      <c r="F16" s="88"/>
      <c r="G16" s="88"/>
      <c r="H16" s="88"/>
      <c r="I16" s="88"/>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597"/>
      <c r="DK16" s="597"/>
      <c r="DL16" s="597"/>
      <c r="DM16" s="597"/>
      <c r="DN16" s="597"/>
      <c r="DO16" s="597"/>
      <c r="DP16" s="597"/>
      <c r="DQ16" s="597"/>
      <c r="DR16" s="597"/>
      <c r="DS16" s="597"/>
      <c r="EB16" s="597"/>
      <c r="EC16" s="456"/>
      <c r="EX16" s="87"/>
      <c r="EY16" s="87"/>
      <c r="EZ16" s="87"/>
      <c r="FA16" s="87"/>
      <c r="FB16" s="87"/>
    </row>
    <row r="17" spans="1:208" ht="9" customHeight="1">
      <c r="A17" s="87"/>
      <c r="B17" s="87"/>
      <c r="C17" s="87"/>
      <c r="D17" s="87"/>
      <c r="E17" s="87"/>
      <c r="F17" s="88"/>
      <c r="G17" s="88"/>
      <c r="H17" s="88"/>
      <c r="I17" s="88"/>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597"/>
      <c r="DK17" s="597"/>
      <c r="DL17" s="597"/>
      <c r="DM17" s="597"/>
      <c r="DN17" s="597"/>
      <c r="DO17" s="597"/>
      <c r="DP17" s="597"/>
      <c r="DQ17" s="597"/>
      <c r="DR17" s="597"/>
      <c r="DS17" s="597"/>
      <c r="EB17" s="597"/>
      <c r="EC17" s="456"/>
      <c r="EX17" s="87"/>
      <c r="EY17" s="87"/>
      <c r="EZ17" s="87"/>
      <c r="FA17" s="87"/>
      <c r="FB17" s="87"/>
    </row>
    <row r="18" spans="1:208" ht="9" customHeight="1">
      <c r="A18" s="87"/>
      <c r="B18" s="87"/>
      <c r="C18" s="87"/>
      <c r="D18" s="87"/>
      <c r="E18" s="87"/>
      <c r="F18" s="88"/>
      <c r="G18" s="88"/>
      <c r="H18" s="88"/>
      <c r="I18" s="88"/>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597"/>
      <c r="DK18" s="597"/>
      <c r="DL18" s="597"/>
      <c r="DM18" s="597"/>
      <c r="DN18" s="597"/>
      <c r="DO18" s="597"/>
      <c r="DP18" s="597"/>
      <c r="DQ18" s="597"/>
      <c r="DR18" s="597"/>
      <c r="DS18" s="597"/>
      <c r="EB18" s="252"/>
      <c r="EC18" s="456"/>
      <c r="EX18" s="87"/>
      <c r="EY18" s="87"/>
      <c r="EZ18" s="87"/>
      <c r="FA18" s="87"/>
      <c r="FB18" s="87"/>
    </row>
    <row r="19" spans="1:208" ht="9" customHeight="1">
      <c r="A19" s="87"/>
      <c r="B19" s="87"/>
      <c r="C19" s="87"/>
      <c r="D19" s="87"/>
      <c r="E19" s="87"/>
      <c r="F19" s="88"/>
      <c r="G19" s="88"/>
      <c r="H19" s="88"/>
      <c r="I19" s="88"/>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597"/>
      <c r="DK19" s="597"/>
      <c r="DL19" s="597"/>
      <c r="DM19" s="597"/>
      <c r="DN19" s="597"/>
      <c r="DO19" s="597"/>
      <c r="DP19" s="597"/>
      <c r="DQ19" s="597"/>
      <c r="DR19" s="597"/>
      <c r="EX19" s="87"/>
      <c r="EY19" s="87"/>
      <c r="EZ19" s="87"/>
      <c r="FA19" s="87"/>
      <c r="FB19" s="87"/>
    </row>
    <row r="20" spans="1:208" ht="9" customHeight="1">
      <c r="A20" s="87"/>
      <c r="B20" s="87"/>
      <c r="C20" s="87"/>
      <c r="D20" s="87"/>
      <c r="E20" s="87"/>
      <c r="F20" s="88"/>
      <c r="G20" s="88"/>
      <c r="H20" s="88"/>
      <c r="I20" s="88"/>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597"/>
      <c r="DK20" s="597"/>
      <c r="DL20" s="597"/>
      <c r="DM20" s="597"/>
      <c r="DN20" s="597"/>
      <c r="DO20" s="597"/>
      <c r="DP20" s="597"/>
      <c r="DQ20" s="597"/>
      <c r="DR20" s="597"/>
      <c r="EX20" s="87"/>
      <c r="EY20" s="87"/>
      <c r="EZ20" s="87"/>
      <c r="FA20" s="87"/>
      <c r="FB20" s="87"/>
    </row>
    <row r="21" spans="1:208" ht="9" customHeight="1">
      <c r="A21" s="87"/>
      <c r="B21" s="87"/>
      <c r="C21" s="87"/>
      <c r="D21" s="87"/>
      <c r="E21" s="87"/>
      <c r="F21" s="88"/>
      <c r="G21" s="88"/>
      <c r="H21" s="88"/>
      <c r="I21" s="88"/>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597"/>
      <c r="DK21" s="597"/>
      <c r="DL21" s="597"/>
      <c r="DM21" s="597"/>
      <c r="DN21" s="597"/>
      <c r="DO21" s="597"/>
      <c r="DP21" s="597"/>
      <c r="DQ21" s="597"/>
      <c r="DR21" s="597"/>
      <c r="EX21" s="87"/>
      <c r="EY21" s="87"/>
      <c r="EZ21" s="87"/>
      <c r="FA21" s="87"/>
      <c r="FB21" s="87"/>
    </row>
    <row r="22" spans="1:208" ht="9" customHeight="1" thickBot="1">
      <c r="A22" s="87"/>
      <c r="B22" s="87"/>
      <c r="C22" s="87"/>
      <c r="D22" s="87"/>
      <c r="E22" s="87"/>
      <c r="F22" s="88"/>
      <c r="G22" s="88"/>
      <c r="H22" s="88"/>
      <c r="I22" s="88"/>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597"/>
      <c r="DK22" s="597"/>
      <c r="DL22" s="597"/>
      <c r="DM22" s="597"/>
      <c r="DN22" s="597"/>
      <c r="DO22" s="597"/>
      <c r="DP22" s="597"/>
      <c r="DQ22" s="597"/>
      <c r="DR22" s="597"/>
      <c r="EX22" s="87"/>
      <c r="EY22" s="87"/>
      <c r="EZ22" s="87"/>
      <c r="FA22" s="87"/>
      <c r="FB22" s="87"/>
    </row>
    <row r="23" spans="1:208" ht="9" customHeight="1" thickTop="1">
      <c r="A23" s="87"/>
      <c r="B23" s="87"/>
      <c r="C23" s="87"/>
      <c r="D23" s="87"/>
      <c r="E23" s="87"/>
      <c r="F23" s="88"/>
      <c r="G23" s="88"/>
      <c r="H23" s="88"/>
      <c r="I23" s="88"/>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c r="CX23" s="87"/>
      <c r="CY23" s="87"/>
      <c r="CZ23" s="87"/>
      <c r="DA23" s="87"/>
      <c r="DB23" s="87"/>
      <c r="DC23" s="87"/>
      <c r="DD23" s="87"/>
      <c r="DE23" s="87"/>
      <c r="DF23" s="87"/>
      <c r="DG23" s="87"/>
      <c r="DH23" s="87"/>
      <c r="DI23" s="87"/>
      <c r="DJ23" s="597"/>
      <c r="DK23" s="597"/>
      <c r="DL23" s="597"/>
      <c r="DM23" s="597"/>
      <c r="DN23" s="597"/>
      <c r="DO23" s="597"/>
      <c r="DP23" s="153"/>
      <c r="DQ23" s="1884" t="s">
        <v>8681</v>
      </c>
      <c r="DR23" s="1884"/>
      <c r="DS23" s="1884"/>
      <c r="DT23" s="1884"/>
      <c r="DU23" s="1884"/>
      <c r="DV23" s="1884"/>
      <c r="DW23" s="1884"/>
      <c r="DX23" s="1884"/>
      <c r="DY23" s="1884"/>
      <c r="DZ23" s="1884"/>
      <c r="EA23" s="1884"/>
      <c r="EB23" s="1884"/>
      <c r="EC23" s="1884"/>
      <c r="ED23" s="1884"/>
      <c r="EE23" s="1884"/>
      <c r="EF23" s="1884"/>
      <c r="EG23" s="1884"/>
      <c r="EH23" s="1884"/>
      <c r="EI23" s="1884"/>
      <c r="EJ23" s="1884"/>
      <c r="EK23" s="1884"/>
      <c r="EL23" s="1884"/>
      <c r="EM23" s="154"/>
      <c r="EN23" s="597"/>
      <c r="EO23" s="597"/>
      <c r="EP23" s="597"/>
      <c r="EQ23" s="597"/>
      <c r="EU23" s="597"/>
      <c r="EV23" s="87"/>
      <c r="EW23" s="87"/>
      <c r="EX23" s="87"/>
      <c r="EY23" s="87"/>
      <c r="EZ23" s="87"/>
      <c r="FA23" s="87"/>
      <c r="FB23" s="87"/>
    </row>
    <row r="24" spans="1:208" ht="9" customHeight="1">
      <c r="A24" s="87"/>
      <c r="B24" s="87"/>
      <c r="C24" s="87"/>
      <c r="D24" s="87"/>
      <c r="E24" s="87"/>
      <c r="F24" s="88"/>
      <c r="G24" s="88"/>
      <c r="H24" s="88"/>
      <c r="I24" s="88"/>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c r="CX24" s="87"/>
      <c r="CY24" s="87"/>
      <c r="CZ24" s="87"/>
      <c r="DA24" s="87"/>
      <c r="DB24" s="87"/>
      <c r="DC24" s="87"/>
      <c r="DD24" s="87"/>
      <c r="DE24" s="87"/>
      <c r="DF24" s="87"/>
      <c r="DG24" s="87"/>
      <c r="DH24" s="87"/>
      <c r="DI24" s="87"/>
      <c r="DJ24" s="597"/>
      <c r="DK24" s="597"/>
      <c r="DL24" s="597"/>
      <c r="DM24" s="597"/>
      <c r="DN24" s="597"/>
      <c r="DO24" s="597"/>
      <c r="DP24" s="162"/>
      <c r="DQ24" s="1885"/>
      <c r="DR24" s="1885"/>
      <c r="DS24" s="1885"/>
      <c r="DT24" s="1885"/>
      <c r="DU24" s="1885"/>
      <c r="DV24" s="1885"/>
      <c r="DW24" s="1885"/>
      <c r="DX24" s="1885"/>
      <c r="DY24" s="1885"/>
      <c r="DZ24" s="1885"/>
      <c r="EA24" s="1885"/>
      <c r="EB24" s="1885"/>
      <c r="EC24" s="1885"/>
      <c r="ED24" s="1885"/>
      <c r="EE24" s="1885"/>
      <c r="EF24" s="1885"/>
      <c r="EG24" s="1885"/>
      <c r="EH24" s="1885"/>
      <c r="EI24" s="1885"/>
      <c r="EJ24" s="1885"/>
      <c r="EK24" s="1885"/>
      <c r="EL24" s="1885"/>
      <c r="EM24" s="163"/>
      <c r="EN24" s="597"/>
      <c r="EO24" s="597"/>
      <c r="EP24" s="597"/>
      <c r="EQ24" s="597"/>
      <c r="EU24" s="597"/>
      <c r="EV24" s="87"/>
      <c r="EW24" s="87"/>
      <c r="EX24" s="87"/>
      <c r="EY24" s="87"/>
      <c r="EZ24" s="87"/>
      <c r="FA24" s="87"/>
      <c r="FB24" s="87"/>
    </row>
    <row r="25" spans="1:208" ht="9" customHeight="1">
      <c r="A25" s="87"/>
      <c r="B25" s="87"/>
      <c r="C25" s="87"/>
      <c r="D25" s="87"/>
      <c r="E25" s="87"/>
      <c r="F25" s="88"/>
      <c r="G25" s="88"/>
      <c r="H25" s="88"/>
      <c r="I25" s="88"/>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597"/>
      <c r="DK25" s="597"/>
      <c r="DL25" s="597"/>
      <c r="DM25" s="597"/>
      <c r="DN25" s="597"/>
      <c r="DO25" s="597"/>
      <c r="DP25" s="162"/>
      <c r="DQ25" s="1885"/>
      <c r="DR25" s="1885"/>
      <c r="DS25" s="1885"/>
      <c r="DT25" s="1885"/>
      <c r="DU25" s="1885"/>
      <c r="DV25" s="1885"/>
      <c r="DW25" s="1885"/>
      <c r="DX25" s="1885"/>
      <c r="DY25" s="1885"/>
      <c r="DZ25" s="1885"/>
      <c r="EA25" s="1885"/>
      <c r="EB25" s="1885"/>
      <c r="EC25" s="1885"/>
      <c r="ED25" s="1885"/>
      <c r="EE25" s="1885"/>
      <c r="EF25" s="1885"/>
      <c r="EG25" s="1885"/>
      <c r="EH25" s="1885"/>
      <c r="EI25" s="1885"/>
      <c r="EJ25" s="1885"/>
      <c r="EK25" s="1885"/>
      <c r="EL25" s="1885"/>
      <c r="EM25" s="163"/>
      <c r="EN25" s="597"/>
      <c r="EO25" s="597"/>
      <c r="EP25" s="597"/>
      <c r="EQ25" s="597"/>
      <c r="EU25" s="597"/>
      <c r="EV25" s="87"/>
      <c r="EW25" s="87"/>
      <c r="EX25" s="87"/>
      <c r="EY25" s="87"/>
      <c r="EZ25" s="87"/>
      <c r="FA25" s="87"/>
      <c r="FB25" s="87"/>
    </row>
    <row r="26" spans="1:208" ht="9" customHeight="1" thickBot="1">
      <c r="A26" s="87"/>
      <c r="B26" s="87"/>
      <c r="C26" s="87"/>
      <c r="D26" s="87"/>
      <c r="E26" s="87"/>
      <c r="F26" s="88"/>
      <c r="G26" s="88"/>
      <c r="H26" s="88"/>
      <c r="I26" s="88"/>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c r="CX26" s="87"/>
      <c r="CY26" s="87"/>
      <c r="CZ26" s="87"/>
      <c r="DA26" s="87"/>
      <c r="DB26" s="87"/>
      <c r="DC26" s="87"/>
      <c r="DD26" s="87"/>
      <c r="DE26" s="87"/>
      <c r="DF26" s="87"/>
      <c r="DG26" s="87"/>
      <c r="DH26" s="87"/>
      <c r="DI26" s="87"/>
      <c r="DJ26" s="597"/>
      <c r="DK26" s="597"/>
      <c r="DL26" s="597"/>
      <c r="DM26" s="597"/>
      <c r="DN26" s="597"/>
      <c r="DO26" s="597"/>
      <c r="DP26" s="154"/>
      <c r="DQ26" s="1886"/>
      <c r="DR26" s="1886"/>
      <c r="DS26" s="1886"/>
      <c r="DT26" s="1886"/>
      <c r="DU26" s="1886"/>
      <c r="DV26" s="1886"/>
      <c r="DW26" s="1886"/>
      <c r="DX26" s="1886"/>
      <c r="DY26" s="1886"/>
      <c r="DZ26" s="1886"/>
      <c r="EA26" s="1886"/>
      <c r="EB26" s="1886"/>
      <c r="EC26" s="1886"/>
      <c r="ED26" s="1886"/>
      <c r="EE26" s="1886"/>
      <c r="EF26" s="1886"/>
      <c r="EG26" s="1886"/>
      <c r="EH26" s="1886"/>
      <c r="EI26" s="1886"/>
      <c r="EJ26" s="1886"/>
      <c r="EK26" s="1886"/>
      <c r="EL26" s="1886"/>
      <c r="EM26" s="153"/>
      <c r="EN26" s="597"/>
      <c r="EO26" s="597"/>
      <c r="EP26" s="597"/>
      <c r="EQ26" s="597"/>
      <c r="EU26" s="597"/>
      <c r="EV26" s="87"/>
      <c r="EW26" s="87"/>
      <c r="EX26" s="87"/>
      <c r="EY26" s="87"/>
      <c r="EZ26" s="87"/>
      <c r="FA26" s="87"/>
      <c r="FB26" s="87"/>
    </row>
    <row r="27" spans="1:208" ht="9" customHeight="1" thickTop="1">
      <c r="A27" s="87"/>
      <c r="B27" s="87"/>
      <c r="C27" s="87"/>
      <c r="D27" s="87"/>
      <c r="E27" s="87"/>
      <c r="F27" s="88"/>
      <c r="G27" s="88"/>
      <c r="H27" s="88"/>
      <c r="I27" s="88"/>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c r="CX27" s="87"/>
      <c r="CY27" s="87"/>
      <c r="CZ27" s="87"/>
      <c r="DA27" s="87"/>
      <c r="DB27" s="87"/>
      <c r="DC27" s="87"/>
      <c r="DD27" s="87"/>
      <c r="DE27" s="87"/>
      <c r="DF27" s="87"/>
      <c r="DG27" s="87"/>
      <c r="DH27" s="87"/>
      <c r="DI27" s="87"/>
      <c r="DJ27" s="597"/>
      <c r="DK27" s="597"/>
      <c r="DL27" s="597"/>
      <c r="DM27" s="597"/>
      <c r="DN27" s="597"/>
      <c r="DO27" s="597"/>
      <c r="DP27" s="3"/>
      <c r="DQ27" s="3"/>
      <c r="DR27" s="3"/>
      <c r="DS27" s="3"/>
      <c r="DT27" s="3"/>
      <c r="DU27" s="3"/>
      <c r="DV27" s="3"/>
      <c r="DW27" s="3"/>
      <c r="DX27" s="3"/>
      <c r="DY27" s="3"/>
      <c r="DZ27" s="3"/>
      <c r="EA27" s="3"/>
      <c r="EB27" s="3"/>
      <c r="EC27" s="3"/>
      <c r="ED27" s="3"/>
      <c r="EE27" s="3"/>
      <c r="EF27" s="3"/>
      <c r="EG27" s="3"/>
      <c r="EH27" s="3"/>
      <c r="EI27" s="252"/>
      <c r="EJ27" s="252"/>
      <c r="EK27" s="252"/>
      <c r="EL27" s="252"/>
      <c r="EM27" s="252"/>
      <c r="EN27" s="252"/>
      <c r="EO27" s="252"/>
      <c r="EP27" s="252"/>
      <c r="EQ27" s="3"/>
      <c r="EU27" s="597"/>
      <c r="EV27" s="87"/>
      <c r="EW27" s="87"/>
      <c r="EX27" s="87"/>
      <c r="EY27" s="87"/>
      <c r="EZ27" s="87"/>
      <c r="FA27" s="87"/>
      <c r="FB27" s="87"/>
    </row>
    <row r="28" spans="1:208" ht="9" customHeight="1" thickBot="1">
      <c r="A28" s="87"/>
      <c r="B28" s="87"/>
      <c r="C28" s="87"/>
      <c r="D28" s="87"/>
      <c r="E28" s="87"/>
      <c r="F28" s="88"/>
      <c r="G28" s="88"/>
      <c r="H28" s="88"/>
      <c r="I28" s="88"/>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c r="DB28" s="87"/>
      <c r="DC28" s="87"/>
      <c r="DD28" s="87"/>
      <c r="DE28" s="87"/>
      <c r="DF28" s="87"/>
      <c r="DG28" s="87"/>
      <c r="DH28" s="87"/>
      <c r="DI28" s="1581"/>
      <c r="DJ28" s="597"/>
      <c r="DK28" s="597"/>
      <c r="DL28" s="597"/>
      <c r="DM28" s="597"/>
      <c r="DN28" s="597"/>
      <c r="DO28" s="597"/>
      <c r="DP28" s="109"/>
      <c r="DQ28" s="109"/>
      <c r="DR28" s="109"/>
      <c r="DS28" s="1890" t="s">
        <v>8681</v>
      </c>
      <c r="DT28" s="1890"/>
      <c r="DU28" s="1890"/>
      <c r="DV28" s="1890"/>
      <c r="DW28" s="1890"/>
      <c r="DX28" s="1890"/>
      <c r="DY28" s="1890"/>
      <c r="DZ28" s="1890"/>
      <c r="EA28" s="1890"/>
      <c r="EB28" s="1890"/>
      <c r="EC28" s="1890"/>
      <c r="ED28" s="1890"/>
      <c r="EE28" s="1589"/>
      <c r="EF28" s="109"/>
      <c r="EG28" s="109"/>
      <c r="EH28" s="109"/>
      <c r="EI28" s="1890" t="s">
        <v>8682</v>
      </c>
      <c r="EJ28" s="1891"/>
      <c r="EK28" s="1891"/>
      <c r="EL28" s="1891"/>
      <c r="EM28" s="1891"/>
      <c r="EN28" s="1589"/>
      <c r="EO28" s="1589"/>
      <c r="EP28" s="1589"/>
      <c r="EQ28" s="1589"/>
      <c r="EU28" s="597"/>
      <c r="EV28" s="252"/>
      <c r="EW28" s="252"/>
      <c r="EX28" s="87"/>
      <c r="EY28" s="87"/>
      <c r="EZ28" s="87"/>
      <c r="FA28" s="87"/>
      <c r="FB28" s="87"/>
    </row>
    <row r="29" spans="1:208" ht="9" customHeight="1" thickTop="1" thickBot="1">
      <c r="A29" s="87"/>
      <c r="B29" s="87"/>
      <c r="C29" s="87"/>
      <c r="D29" s="87"/>
      <c r="E29" s="87"/>
      <c r="F29" s="88"/>
      <c r="G29" s="88"/>
      <c r="H29" s="88"/>
      <c r="I29" s="88"/>
      <c r="J29" s="87"/>
      <c r="K29" s="87"/>
      <c r="L29" s="87"/>
      <c r="M29" s="87"/>
      <c r="N29" s="87"/>
      <c r="O29" s="87"/>
      <c r="P29" s="87"/>
      <c r="Q29" s="87"/>
      <c r="R29" s="87"/>
      <c r="S29" s="89"/>
      <c r="T29" s="89"/>
      <c r="U29" s="89"/>
      <c r="V29" s="89"/>
      <c r="W29" s="90"/>
      <c r="X29" s="1865" t="s">
        <v>3566</v>
      </c>
      <c r="Y29" s="1865"/>
      <c r="Z29" s="1865"/>
      <c r="AA29" s="1865"/>
      <c r="AB29" s="1865"/>
      <c r="AC29" s="1865"/>
      <c r="AD29" s="1865"/>
      <c r="AE29" s="2050" t="str">
        <f>IF(CharacterName &lt;&gt; "", CharacterName, "")</f>
        <v/>
      </c>
      <c r="AF29" s="2050"/>
      <c r="AG29" s="2050"/>
      <c r="AH29" s="2050"/>
      <c r="AI29" s="2050"/>
      <c r="AJ29" s="2050"/>
      <c r="AK29" s="2050"/>
      <c r="AL29" s="2050"/>
      <c r="AM29" s="2050"/>
      <c r="AN29" s="2050"/>
      <c r="AO29" s="2050"/>
      <c r="AP29" s="2050"/>
      <c r="AQ29" s="2050"/>
      <c r="AR29" s="2050"/>
      <c r="AS29" s="2050"/>
      <c r="AT29" s="2050"/>
      <c r="AU29" s="2050"/>
      <c r="AV29" s="2050"/>
      <c r="AW29" s="2050"/>
      <c r="AX29" s="2050"/>
      <c r="AY29" s="2050"/>
      <c r="AZ29" s="2050"/>
      <c r="BA29" s="2050"/>
      <c r="BB29" s="2050"/>
      <c r="BC29" s="2050"/>
      <c r="BD29" s="2050"/>
      <c r="BE29" s="2050"/>
      <c r="BF29" s="2050"/>
      <c r="BG29" s="2050"/>
      <c r="BH29" s="2050"/>
      <c r="BI29" s="2050"/>
      <c r="BJ29" s="2050"/>
      <c r="BK29" s="2050"/>
      <c r="BL29" s="2050"/>
      <c r="BM29" s="2050"/>
      <c r="BN29" s="2050"/>
      <c r="BO29" s="2050"/>
      <c r="BP29" s="2050"/>
      <c r="BQ29" s="2050"/>
      <c r="BR29" s="2050"/>
      <c r="BS29" s="2050"/>
      <c r="BT29" s="91"/>
      <c r="BU29" s="92"/>
      <c r="BV29" s="92"/>
      <c r="BW29" s="93"/>
      <c r="BX29" s="1865" t="s">
        <v>3567</v>
      </c>
      <c r="BY29" s="1865"/>
      <c r="BZ29" s="1865"/>
      <c r="CA29" s="1865"/>
      <c r="CB29" s="1865"/>
      <c r="CC29" s="1865"/>
      <c r="CD29" s="1865"/>
      <c r="CE29" s="1865"/>
      <c r="CF29" s="2050"/>
      <c r="CG29" s="2050"/>
      <c r="CH29" s="2050"/>
      <c r="CI29" s="2050"/>
      <c r="CJ29" s="2050"/>
      <c r="CK29" s="2050"/>
      <c r="CL29" s="2050"/>
      <c r="CM29" s="2050"/>
      <c r="CN29" s="2050"/>
      <c r="CO29" s="2050"/>
      <c r="CP29" s="2050"/>
      <c r="CQ29" s="2050"/>
      <c r="CR29" s="2050"/>
      <c r="CS29" s="2050"/>
      <c r="CT29" s="2050"/>
      <c r="CU29" s="2050"/>
      <c r="CV29" s="2050"/>
      <c r="CW29" s="2050"/>
      <c r="CX29" s="2050"/>
      <c r="CY29" s="2050"/>
      <c r="CZ29" s="2050"/>
      <c r="DA29" s="2050"/>
      <c r="DB29" s="2050"/>
      <c r="DC29" s="2050"/>
      <c r="DD29" s="2050"/>
      <c r="DE29" s="2050"/>
      <c r="DF29" s="2050"/>
      <c r="DG29" s="94"/>
      <c r="DH29" s="95"/>
      <c r="DI29" s="111"/>
      <c r="DJ29" s="111"/>
      <c r="DK29" s="87"/>
      <c r="DL29" s="87"/>
      <c r="DM29" s="1600"/>
      <c r="DN29" s="1600"/>
      <c r="DO29" s="1600"/>
      <c r="DP29" s="109"/>
      <c r="DQ29" s="109"/>
      <c r="DR29" s="109"/>
      <c r="DS29" s="1890"/>
      <c r="DT29" s="1890"/>
      <c r="DU29" s="1890"/>
      <c r="DV29" s="1890"/>
      <c r="DW29" s="1890"/>
      <c r="DX29" s="1890"/>
      <c r="DY29" s="1890"/>
      <c r="DZ29" s="1890"/>
      <c r="EA29" s="1890"/>
      <c r="EB29" s="1890"/>
      <c r="EC29" s="1890"/>
      <c r="ED29" s="1890"/>
      <c r="EE29" s="1589"/>
      <c r="EF29" s="109"/>
      <c r="EG29" s="109"/>
      <c r="EH29" s="109"/>
      <c r="EI29" s="1892"/>
      <c r="EJ29" s="1892"/>
      <c r="EK29" s="1892"/>
      <c r="EL29" s="1892"/>
      <c r="EM29" s="1892"/>
      <c r="EN29" s="1599"/>
      <c r="EO29" s="1589"/>
      <c r="EP29" s="1589"/>
      <c r="EQ29" s="1589"/>
      <c r="EU29" s="597"/>
      <c r="EV29" s="252"/>
      <c r="EW29" s="252"/>
      <c r="EX29" s="87"/>
      <c r="EY29" s="87"/>
      <c r="EZ29" s="87"/>
      <c r="FA29" s="87"/>
      <c r="FB29" s="87"/>
    </row>
    <row r="30" spans="1:208" ht="9" customHeight="1" thickBot="1">
      <c r="A30" s="87"/>
      <c r="B30" s="87"/>
      <c r="C30" s="87"/>
      <c r="D30" s="87"/>
      <c r="E30" s="87"/>
      <c r="F30" s="88"/>
      <c r="G30" s="88"/>
      <c r="H30" s="88"/>
      <c r="I30" s="88"/>
      <c r="J30" s="87"/>
      <c r="K30" s="87"/>
      <c r="L30" s="87"/>
      <c r="M30" s="87"/>
      <c r="N30" s="87"/>
      <c r="O30" s="87"/>
      <c r="P30" s="87"/>
      <c r="Q30" s="87"/>
      <c r="R30" s="87"/>
      <c r="S30" s="89"/>
      <c r="T30" s="89"/>
      <c r="U30" s="96"/>
      <c r="V30" s="97"/>
      <c r="W30" s="98"/>
      <c r="X30" s="1866"/>
      <c r="Y30" s="1866"/>
      <c r="Z30" s="1866"/>
      <c r="AA30" s="1866"/>
      <c r="AB30" s="1866"/>
      <c r="AC30" s="1866"/>
      <c r="AD30" s="1866"/>
      <c r="AE30" s="2051"/>
      <c r="AF30" s="2051"/>
      <c r="AG30" s="2051"/>
      <c r="AH30" s="2051"/>
      <c r="AI30" s="2051"/>
      <c r="AJ30" s="2051"/>
      <c r="AK30" s="2051"/>
      <c r="AL30" s="2051"/>
      <c r="AM30" s="2051"/>
      <c r="AN30" s="2051"/>
      <c r="AO30" s="2051"/>
      <c r="AP30" s="2051"/>
      <c r="AQ30" s="2051"/>
      <c r="AR30" s="2051"/>
      <c r="AS30" s="2051"/>
      <c r="AT30" s="2051"/>
      <c r="AU30" s="2051"/>
      <c r="AV30" s="2051"/>
      <c r="AW30" s="2051"/>
      <c r="AX30" s="2051"/>
      <c r="AY30" s="2051"/>
      <c r="AZ30" s="2051"/>
      <c r="BA30" s="2051"/>
      <c r="BB30" s="2051"/>
      <c r="BC30" s="2051"/>
      <c r="BD30" s="2051"/>
      <c r="BE30" s="2051"/>
      <c r="BF30" s="2051"/>
      <c r="BG30" s="2051"/>
      <c r="BH30" s="2051"/>
      <c r="BI30" s="2051"/>
      <c r="BJ30" s="2051"/>
      <c r="BK30" s="2051"/>
      <c r="BL30" s="2051"/>
      <c r="BM30" s="2051"/>
      <c r="BN30" s="2051"/>
      <c r="BO30" s="2051"/>
      <c r="BP30" s="2051"/>
      <c r="BQ30" s="2051"/>
      <c r="BR30" s="2051"/>
      <c r="BS30" s="2051"/>
      <c r="BT30" s="100"/>
      <c r="BU30" s="101"/>
      <c r="BV30" s="92"/>
      <c r="BW30" s="102"/>
      <c r="BX30" s="1866"/>
      <c r="BY30" s="1866"/>
      <c r="BZ30" s="1866"/>
      <c r="CA30" s="1866"/>
      <c r="CB30" s="1866"/>
      <c r="CC30" s="1866"/>
      <c r="CD30" s="1866"/>
      <c r="CE30" s="1866"/>
      <c r="CF30" s="2051"/>
      <c r="CG30" s="2051"/>
      <c r="CH30" s="2051"/>
      <c r="CI30" s="2051"/>
      <c r="CJ30" s="2051"/>
      <c r="CK30" s="2051"/>
      <c r="CL30" s="2051"/>
      <c r="CM30" s="2051"/>
      <c r="CN30" s="2051"/>
      <c r="CO30" s="2051"/>
      <c r="CP30" s="2051"/>
      <c r="CQ30" s="2051"/>
      <c r="CR30" s="2051"/>
      <c r="CS30" s="2051"/>
      <c r="CT30" s="2051"/>
      <c r="CU30" s="2051"/>
      <c r="CV30" s="2051"/>
      <c r="CW30" s="2051"/>
      <c r="CX30" s="2051"/>
      <c r="CY30" s="2051"/>
      <c r="CZ30" s="2051"/>
      <c r="DA30" s="2051"/>
      <c r="DB30" s="2051"/>
      <c r="DC30" s="2051"/>
      <c r="DD30" s="2051"/>
      <c r="DE30" s="2051"/>
      <c r="DF30" s="2051"/>
      <c r="DG30" s="103"/>
      <c r="DH30" s="104"/>
      <c r="DI30" s="122"/>
      <c r="DJ30" s="118"/>
      <c r="DK30" s="109"/>
      <c r="DL30" s="109"/>
      <c r="DM30" s="1601"/>
      <c r="DN30" s="1600"/>
      <c r="DO30" s="1601"/>
      <c r="DP30" s="109"/>
      <c r="DQ30" s="109"/>
      <c r="DR30" s="158"/>
      <c r="DS30" s="1893">
        <f ca="1">(ROUNDDOWN(MAX((CD56/4),AD101),0))</f>
        <v>10</v>
      </c>
      <c r="DT30" s="1894"/>
      <c r="DU30" s="1894"/>
      <c r="DV30" s="1894"/>
      <c r="DW30" s="1894"/>
      <c r="DX30" s="1894"/>
      <c r="DY30" s="1894"/>
      <c r="DZ30" s="1894"/>
      <c r="EA30" s="160"/>
      <c r="EB30" s="109"/>
      <c r="EC30" s="109"/>
      <c r="ED30" s="109"/>
      <c r="EE30" s="109"/>
      <c r="EF30" s="109"/>
      <c r="EG30" s="109"/>
      <c r="EH30" s="158"/>
      <c r="EI30" s="2055">
        <f>1+Feats!H106+ToughAsNails</f>
        <v>1</v>
      </c>
      <c r="EJ30" s="2056"/>
      <c r="EK30" s="2056"/>
      <c r="EL30" s="2056"/>
      <c r="EM30" s="2056"/>
      <c r="EN30" s="2056"/>
      <c r="EO30" s="2056"/>
      <c r="EP30" s="2056"/>
      <c r="EQ30" s="160"/>
      <c r="EU30" s="3"/>
      <c r="EV30" s="3"/>
      <c r="EW30" s="3"/>
      <c r="EX30" s="87"/>
      <c r="EY30" s="87"/>
      <c r="EZ30" s="87"/>
      <c r="FA30" s="87"/>
      <c r="FB30" s="87"/>
    </row>
    <row r="31" spans="1:208" ht="9" customHeight="1" thickTop="1">
      <c r="A31" s="87"/>
      <c r="B31" s="87"/>
      <c r="C31" s="87"/>
      <c r="D31" s="87"/>
      <c r="E31" s="87"/>
      <c r="F31" s="88"/>
      <c r="G31" s="88"/>
      <c r="H31" s="88"/>
      <c r="I31" s="88"/>
      <c r="J31" s="87"/>
      <c r="K31" s="87"/>
      <c r="L31" s="87"/>
      <c r="M31" s="87"/>
      <c r="N31" s="87"/>
      <c r="O31" s="87"/>
      <c r="P31" s="87"/>
      <c r="Q31" s="87"/>
      <c r="R31" s="87"/>
      <c r="S31" s="2070"/>
      <c r="T31" s="2070"/>
      <c r="U31" s="89"/>
      <c r="V31" s="89"/>
      <c r="W31" s="98"/>
      <c r="X31" s="105"/>
      <c r="Y31" s="105"/>
      <c r="Z31" s="105"/>
      <c r="AA31" s="105"/>
      <c r="AB31" s="105"/>
      <c r="AC31" s="105"/>
      <c r="AD31" s="105"/>
      <c r="AE31" s="2051"/>
      <c r="AF31" s="2051"/>
      <c r="AG31" s="2051"/>
      <c r="AH31" s="2051"/>
      <c r="AI31" s="2051"/>
      <c r="AJ31" s="2051"/>
      <c r="AK31" s="2051"/>
      <c r="AL31" s="2051"/>
      <c r="AM31" s="2051"/>
      <c r="AN31" s="2051"/>
      <c r="AO31" s="2051"/>
      <c r="AP31" s="2051"/>
      <c r="AQ31" s="2051"/>
      <c r="AR31" s="2051"/>
      <c r="AS31" s="2051"/>
      <c r="AT31" s="2051"/>
      <c r="AU31" s="2051"/>
      <c r="AV31" s="2051"/>
      <c r="AW31" s="2051"/>
      <c r="AX31" s="2051"/>
      <c r="AY31" s="2051"/>
      <c r="AZ31" s="2051"/>
      <c r="BA31" s="2051"/>
      <c r="BB31" s="2051"/>
      <c r="BC31" s="2051"/>
      <c r="BD31" s="2051"/>
      <c r="BE31" s="2051"/>
      <c r="BF31" s="2051"/>
      <c r="BG31" s="2051"/>
      <c r="BH31" s="2051"/>
      <c r="BI31" s="2051"/>
      <c r="BJ31" s="2051"/>
      <c r="BK31" s="2051"/>
      <c r="BL31" s="2051"/>
      <c r="BM31" s="2051"/>
      <c r="BN31" s="2051"/>
      <c r="BO31" s="2051"/>
      <c r="BP31" s="2051"/>
      <c r="BQ31" s="2051"/>
      <c r="BR31" s="2051"/>
      <c r="BS31" s="2051"/>
      <c r="BT31" s="100"/>
      <c r="BU31" s="92"/>
      <c r="BV31" s="106"/>
      <c r="BW31" s="102"/>
      <c r="BX31" s="105"/>
      <c r="BY31" s="105"/>
      <c r="BZ31" s="105"/>
      <c r="CA31" s="105"/>
      <c r="CB31" s="105"/>
      <c r="CC31" s="105"/>
      <c r="CD31" s="105"/>
      <c r="CE31" s="105"/>
      <c r="CF31" s="2051"/>
      <c r="CG31" s="2051"/>
      <c r="CH31" s="2051"/>
      <c r="CI31" s="2051"/>
      <c r="CJ31" s="2051"/>
      <c r="CK31" s="2051"/>
      <c r="CL31" s="2051"/>
      <c r="CM31" s="2051"/>
      <c r="CN31" s="2051"/>
      <c r="CO31" s="2051"/>
      <c r="CP31" s="2051"/>
      <c r="CQ31" s="2051"/>
      <c r="CR31" s="2051"/>
      <c r="CS31" s="2051"/>
      <c r="CT31" s="2051"/>
      <c r="CU31" s="2051"/>
      <c r="CV31" s="2051"/>
      <c r="CW31" s="2051"/>
      <c r="CX31" s="2051"/>
      <c r="CY31" s="2051"/>
      <c r="CZ31" s="2051"/>
      <c r="DA31" s="2051"/>
      <c r="DB31" s="2051"/>
      <c r="DC31" s="2051"/>
      <c r="DD31" s="2051"/>
      <c r="DE31" s="2051"/>
      <c r="DF31" s="2051"/>
      <c r="DG31" s="103"/>
      <c r="DH31" s="95"/>
      <c r="DI31" s="111"/>
      <c r="DJ31" s="1888"/>
      <c r="DK31" s="1889"/>
      <c r="DL31" s="109"/>
      <c r="DM31" s="1602"/>
      <c r="DN31" s="1602"/>
      <c r="DO31" s="1601"/>
      <c r="DP31" s="153"/>
      <c r="DQ31" s="190"/>
      <c r="DR31" s="191"/>
      <c r="DS31" s="1895"/>
      <c r="DT31" s="1895"/>
      <c r="DU31" s="1895"/>
      <c r="DV31" s="1895"/>
      <c r="DW31" s="1895"/>
      <c r="DX31" s="1895"/>
      <c r="DY31" s="1895"/>
      <c r="DZ31" s="1895"/>
      <c r="EA31" s="167"/>
      <c r="EB31" s="109"/>
      <c r="EC31" s="109"/>
      <c r="ED31" s="109"/>
      <c r="EE31" s="109"/>
      <c r="EF31" s="153"/>
      <c r="EG31" s="190"/>
      <c r="EH31" s="191"/>
      <c r="EI31" s="2057"/>
      <c r="EJ31" s="2057"/>
      <c r="EK31" s="2057"/>
      <c r="EL31" s="2057"/>
      <c r="EM31" s="2057"/>
      <c r="EN31" s="2057"/>
      <c r="EO31" s="2057"/>
      <c r="EP31" s="2057"/>
      <c r="EQ31" s="167"/>
      <c r="ER31" s="1590"/>
      <c r="ES31" s="1590"/>
      <c r="EU31" s="1589"/>
      <c r="EV31" s="1589"/>
      <c r="EW31" s="1589"/>
      <c r="EX31" s="87"/>
      <c r="EY31" s="87"/>
      <c r="EZ31" s="87"/>
      <c r="FA31" s="87"/>
      <c r="FB31" s="87"/>
      <c r="GU31" s="1587"/>
      <c r="GV31" s="1587"/>
      <c r="GW31" s="1587"/>
      <c r="GX31" s="1587"/>
      <c r="GY31" s="1587"/>
      <c r="GZ31" s="1587"/>
    </row>
    <row r="32" spans="1:208" ht="9" customHeight="1" thickBot="1">
      <c r="A32" s="87"/>
      <c r="B32" s="87"/>
      <c r="C32" s="87"/>
      <c r="D32" s="87"/>
      <c r="E32" s="87"/>
      <c r="F32" s="88"/>
      <c r="G32" s="88"/>
      <c r="H32" s="88"/>
      <c r="I32" s="88"/>
      <c r="J32" s="87"/>
      <c r="K32" s="87"/>
      <c r="L32" s="87"/>
      <c r="M32" s="87"/>
      <c r="N32" s="87"/>
      <c r="O32" s="87"/>
      <c r="P32" s="87"/>
      <c r="Q32" s="87"/>
      <c r="R32" s="87"/>
      <c r="S32" s="2070"/>
      <c r="T32" s="2070"/>
      <c r="U32" s="89"/>
      <c r="V32" s="89"/>
      <c r="W32" s="94"/>
      <c r="X32" s="108"/>
      <c r="Y32" s="108"/>
      <c r="Z32" s="108"/>
      <c r="AA32" s="108"/>
      <c r="AB32" s="108"/>
      <c r="AC32" s="108"/>
      <c r="AD32" s="108"/>
      <c r="AE32" s="2052"/>
      <c r="AF32" s="2052"/>
      <c r="AG32" s="2052"/>
      <c r="AH32" s="2052"/>
      <c r="AI32" s="2052"/>
      <c r="AJ32" s="2052"/>
      <c r="AK32" s="2052"/>
      <c r="AL32" s="2052"/>
      <c r="AM32" s="2052"/>
      <c r="AN32" s="2052"/>
      <c r="AO32" s="2052"/>
      <c r="AP32" s="2052"/>
      <c r="AQ32" s="2052"/>
      <c r="AR32" s="2052"/>
      <c r="AS32" s="2052"/>
      <c r="AT32" s="2052"/>
      <c r="AU32" s="2052"/>
      <c r="AV32" s="2052"/>
      <c r="AW32" s="2052"/>
      <c r="AX32" s="2052"/>
      <c r="AY32" s="2052"/>
      <c r="AZ32" s="2052"/>
      <c r="BA32" s="2052"/>
      <c r="BB32" s="2052"/>
      <c r="BC32" s="2052"/>
      <c r="BD32" s="2052"/>
      <c r="BE32" s="2052"/>
      <c r="BF32" s="2052"/>
      <c r="BG32" s="2052"/>
      <c r="BH32" s="2052"/>
      <c r="BI32" s="2052"/>
      <c r="BJ32" s="2052"/>
      <c r="BK32" s="2052"/>
      <c r="BL32" s="2052"/>
      <c r="BM32" s="2052"/>
      <c r="BN32" s="2052"/>
      <c r="BO32" s="2052"/>
      <c r="BP32" s="2052"/>
      <c r="BQ32" s="2052"/>
      <c r="BR32" s="2052"/>
      <c r="BS32" s="2052"/>
      <c r="BT32" s="93"/>
      <c r="BU32" s="92"/>
      <c r="BV32" s="92"/>
      <c r="BW32" s="91"/>
      <c r="BX32" s="108"/>
      <c r="BY32" s="108"/>
      <c r="BZ32" s="108"/>
      <c r="CA32" s="108"/>
      <c r="CB32" s="108"/>
      <c r="CC32" s="108"/>
      <c r="CD32" s="108"/>
      <c r="CE32" s="108"/>
      <c r="CF32" s="2052"/>
      <c r="CG32" s="2052"/>
      <c r="CH32" s="2052"/>
      <c r="CI32" s="2052"/>
      <c r="CJ32" s="2052"/>
      <c r="CK32" s="2052"/>
      <c r="CL32" s="2052"/>
      <c r="CM32" s="2052"/>
      <c r="CN32" s="2052"/>
      <c r="CO32" s="2052"/>
      <c r="CP32" s="2052"/>
      <c r="CQ32" s="2052"/>
      <c r="CR32" s="2052"/>
      <c r="CS32" s="2052"/>
      <c r="CT32" s="2052"/>
      <c r="CU32" s="2052"/>
      <c r="CV32" s="2052"/>
      <c r="CW32" s="2052"/>
      <c r="CX32" s="2052"/>
      <c r="CY32" s="2052"/>
      <c r="CZ32" s="2052"/>
      <c r="DA32" s="2052"/>
      <c r="DB32" s="2052"/>
      <c r="DC32" s="2052"/>
      <c r="DD32" s="2052"/>
      <c r="DE32" s="2052"/>
      <c r="DF32" s="2052"/>
      <c r="DG32" s="90"/>
      <c r="DH32" s="95"/>
      <c r="DI32" s="118"/>
      <c r="DJ32" s="1889"/>
      <c r="DK32" s="1889"/>
      <c r="DL32" s="109"/>
      <c r="DM32" s="1602"/>
      <c r="DN32" s="1602"/>
      <c r="DO32" s="1601"/>
      <c r="DP32" s="196"/>
      <c r="DQ32" s="109"/>
      <c r="DR32" s="197"/>
      <c r="DS32" s="1895"/>
      <c r="DT32" s="1895"/>
      <c r="DU32" s="1895"/>
      <c r="DV32" s="1895"/>
      <c r="DW32" s="1895"/>
      <c r="DX32" s="1895"/>
      <c r="DY32" s="1895"/>
      <c r="DZ32" s="1895"/>
      <c r="EA32" s="167"/>
      <c r="EB32" s="109"/>
      <c r="EC32" s="109"/>
      <c r="ED32" s="109"/>
      <c r="EE32" s="109"/>
      <c r="EF32" s="196"/>
      <c r="EG32" s="109"/>
      <c r="EH32" s="197"/>
      <c r="EI32" s="2057"/>
      <c r="EJ32" s="2057"/>
      <c r="EK32" s="2057"/>
      <c r="EL32" s="2057"/>
      <c r="EM32" s="2057"/>
      <c r="EN32" s="2057"/>
      <c r="EO32" s="2057"/>
      <c r="EP32" s="2057"/>
      <c r="EQ32" s="167"/>
      <c r="ER32" s="1590"/>
      <c r="ES32" s="1590"/>
      <c r="EU32" s="1589"/>
      <c r="EV32" s="1589"/>
      <c r="EW32" s="1589"/>
      <c r="EX32" s="87"/>
      <c r="EY32" s="87"/>
      <c r="EZ32" s="87"/>
      <c r="FA32" s="87"/>
      <c r="FB32" s="87"/>
      <c r="GU32" s="1587"/>
      <c r="GV32" s="1587"/>
      <c r="GW32" s="1587"/>
      <c r="GX32" s="1587"/>
      <c r="GY32" s="1587"/>
      <c r="GZ32" s="1587"/>
    </row>
    <row r="33" spans="1:208" ht="9" customHeight="1" thickTop="1" thickBot="1">
      <c r="A33" s="87"/>
      <c r="B33" s="87"/>
      <c r="C33" s="87"/>
      <c r="D33" s="87"/>
      <c r="E33" s="87"/>
      <c r="F33" s="88"/>
      <c r="G33" s="88"/>
      <c r="H33" s="88"/>
      <c r="I33" s="88"/>
      <c r="J33" s="87"/>
      <c r="K33" s="87"/>
      <c r="L33" s="87"/>
      <c r="M33" s="87"/>
      <c r="N33" s="87"/>
      <c r="O33" s="87"/>
      <c r="P33" s="87"/>
      <c r="Q33" s="87"/>
      <c r="R33" s="87"/>
      <c r="S33" s="110"/>
      <c r="T33" s="89"/>
      <c r="U33" s="89"/>
      <c r="V33" s="89"/>
      <c r="W33" s="89"/>
      <c r="X33" s="92"/>
      <c r="Y33" s="92"/>
      <c r="Z33" s="92"/>
      <c r="AA33" s="92"/>
      <c r="AB33" s="92"/>
      <c r="AC33" s="92"/>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2"/>
      <c r="BL33" s="92"/>
      <c r="BM33" s="92"/>
      <c r="BN33" s="92"/>
      <c r="BO33" s="92"/>
      <c r="BP33" s="92"/>
      <c r="BQ33" s="92"/>
      <c r="BR33" s="92"/>
      <c r="BS33" s="92"/>
      <c r="BT33" s="92"/>
      <c r="BU33" s="92"/>
      <c r="BV33" s="92"/>
      <c r="BW33" s="92"/>
      <c r="BX33" s="92"/>
      <c r="BY33" s="92"/>
      <c r="BZ33" s="92"/>
      <c r="CA33" s="92"/>
      <c r="CB33" s="92"/>
      <c r="CC33" s="92"/>
      <c r="CD33" s="92"/>
      <c r="CE33" s="92"/>
      <c r="CF33" s="92"/>
      <c r="CG33" s="92"/>
      <c r="CH33" s="92"/>
      <c r="CI33" s="92"/>
      <c r="CJ33" s="92"/>
      <c r="CK33" s="92"/>
      <c r="CL33" s="92"/>
      <c r="CM33" s="92"/>
      <c r="CN33" s="92"/>
      <c r="CO33" s="92"/>
      <c r="CP33" s="92"/>
      <c r="CQ33" s="92"/>
      <c r="CR33" s="92"/>
      <c r="CS33" s="92"/>
      <c r="CT33" s="92"/>
      <c r="CU33" s="92"/>
      <c r="CV33" s="92"/>
      <c r="CW33" s="111"/>
      <c r="CX33" s="111"/>
      <c r="CY33" s="111"/>
      <c r="CZ33" s="111"/>
      <c r="DA33" s="111"/>
      <c r="DB33" s="111"/>
      <c r="DC33" s="111"/>
      <c r="DD33" s="111"/>
      <c r="DE33" s="111"/>
      <c r="DF33" s="111"/>
      <c r="DG33" s="87"/>
      <c r="DH33" s="87"/>
      <c r="DI33" s="596"/>
      <c r="DJ33" s="87"/>
      <c r="DK33" s="87"/>
      <c r="DL33" s="110"/>
      <c r="DM33" s="89"/>
      <c r="DN33" s="89"/>
      <c r="DO33" s="1601"/>
      <c r="DP33" s="154"/>
      <c r="DQ33" s="201"/>
      <c r="DR33" s="202"/>
      <c r="DS33" s="1895"/>
      <c r="DT33" s="1895"/>
      <c r="DU33" s="1895"/>
      <c r="DV33" s="1895"/>
      <c r="DW33" s="1895"/>
      <c r="DX33" s="1895"/>
      <c r="DY33" s="1895"/>
      <c r="DZ33" s="1895"/>
      <c r="EA33" s="167"/>
      <c r="EB33" s="109"/>
      <c r="EC33" s="109"/>
      <c r="ED33" s="109"/>
      <c r="EE33" s="109"/>
      <c r="EF33" s="154"/>
      <c r="EG33" s="201"/>
      <c r="EH33" s="202"/>
      <c r="EI33" s="2057"/>
      <c r="EJ33" s="2057"/>
      <c r="EK33" s="2057"/>
      <c r="EL33" s="2057"/>
      <c r="EM33" s="2057"/>
      <c r="EN33" s="2057"/>
      <c r="EO33" s="2057"/>
      <c r="EP33" s="2057"/>
      <c r="EQ33" s="167"/>
      <c r="ER33" s="1590"/>
      <c r="ES33" s="1590"/>
      <c r="EU33" s="109"/>
      <c r="EV33" s="109"/>
      <c r="EW33" s="109"/>
      <c r="EX33" s="87"/>
      <c r="EY33" s="87"/>
      <c r="EZ33" s="87"/>
      <c r="FA33" s="87"/>
      <c r="FB33" s="87"/>
      <c r="GU33" s="1587"/>
      <c r="GV33" s="1587"/>
      <c r="GW33" s="1587"/>
      <c r="GX33" s="1587"/>
      <c r="GY33" s="1587"/>
      <c r="GZ33" s="1587"/>
    </row>
    <row r="34" spans="1:208" ht="9" customHeight="1" thickTop="1" thickBot="1">
      <c r="A34" s="87"/>
      <c r="B34" s="87"/>
      <c r="C34" s="87"/>
      <c r="D34" s="87"/>
      <c r="E34" s="87"/>
      <c r="F34" s="88"/>
      <c r="G34" s="88"/>
      <c r="H34" s="88"/>
      <c r="I34" s="88"/>
      <c r="J34" s="87"/>
      <c r="K34" s="87"/>
      <c r="L34" s="87"/>
      <c r="M34" s="87"/>
      <c r="N34" s="87"/>
      <c r="O34" s="87"/>
      <c r="P34" s="87"/>
      <c r="Q34" s="87"/>
      <c r="R34" s="87"/>
      <c r="S34" s="110"/>
      <c r="T34" s="89"/>
      <c r="U34" s="89"/>
      <c r="V34" s="89"/>
      <c r="W34" s="90"/>
      <c r="X34" s="1865" t="s">
        <v>3568</v>
      </c>
      <c r="Y34" s="1865"/>
      <c r="Z34" s="1865"/>
      <c r="AA34" s="1865"/>
      <c r="AB34" s="1865"/>
      <c r="AC34" s="1865"/>
      <c r="AD34" s="1865"/>
      <c r="AE34" s="1865"/>
      <c r="AF34" s="2050" t="str">
        <f>IF(LevelsTaken&lt;&gt;"",LevelsTaken,"")</f>
        <v/>
      </c>
      <c r="AG34" s="2050"/>
      <c r="AH34" s="2050"/>
      <c r="AI34" s="2050"/>
      <c r="AJ34" s="2050"/>
      <c r="AK34" s="2050"/>
      <c r="AL34" s="2050"/>
      <c r="AM34" s="2050"/>
      <c r="AN34" s="2050"/>
      <c r="AO34" s="2050"/>
      <c r="AP34" s="2050"/>
      <c r="AQ34" s="2050"/>
      <c r="AR34" s="2050"/>
      <c r="AS34" s="2050"/>
      <c r="AT34" s="2050"/>
      <c r="AU34" s="2050"/>
      <c r="AV34" s="2050"/>
      <c r="AW34" s="2050"/>
      <c r="AX34" s="2050"/>
      <c r="AY34" s="2050"/>
      <c r="AZ34" s="2050"/>
      <c r="BA34" s="2050"/>
      <c r="BB34" s="2050"/>
      <c r="BC34" s="2050"/>
      <c r="BD34" s="2050"/>
      <c r="BE34" s="2050"/>
      <c r="BF34" s="2050"/>
      <c r="BG34" s="2050"/>
      <c r="BH34" s="2050"/>
      <c r="BI34" s="2050"/>
      <c r="BJ34" s="2050"/>
      <c r="BK34" s="2050"/>
      <c r="BL34" s="2050"/>
      <c r="BM34" s="2050"/>
      <c r="BN34" s="113"/>
      <c r="BO34" s="87"/>
      <c r="BP34" s="87"/>
      <c r="BQ34" s="93"/>
      <c r="BR34" s="1865" t="s">
        <v>3569</v>
      </c>
      <c r="BS34" s="1865"/>
      <c r="BT34" s="1865"/>
      <c r="BU34" s="1865"/>
      <c r="BV34" s="1865"/>
      <c r="BW34" s="1865"/>
      <c r="BX34" s="1865"/>
      <c r="BY34" s="1865"/>
      <c r="BZ34" s="2050" t="str">
        <f>IF(Race&lt;&gt;"",Species, "")</f>
        <v/>
      </c>
      <c r="CA34" s="2050"/>
      <c r="CB34" s="2050"/>
      <c r="CC34" s="2050"/>
      <c r="CD34" s="2050"/>
      <c r="CE34" s="2050"/>
      <c r="CF34" s="2050"/>
      <c r="CG34" s="2050"/>
      <c r="CH34" s="2050"/>
      <c r="CI34" s="2050"/>
      <c r="CJ34" s="2050"/>
      <c r="CK34" s="2050"/>
      <c r="CL34" s="2050"/>
      <c r="CM34" s="2050"/>
      <c r="CN34" s="2050"/>
      <c r="CO34" s="2050"/>
      <c r="CP34" s="2050"/>
      <c r="CQ34" s="113"/>
      <c r="CR34" s="92"/>
      <c r="CS34" s="92"/>
      <c r="CT34" s="93"/>
      <c r="CU34" s="1865" t="s">
        <v>3570</v>
      </c>
      <c r="CV34" s="1865"/>
      <c r="CW34" s="1865"/>
      <c r="CX34" s="1865"/>
      <c r="CY34" s="1865"/>
      <c r="CZ34" s="1865"/>
      <c r="DA34" s="2050" t="str">
        <f>IF(CharacterLevel&lt;&gt;0,CharacterLevel,"")</f>
        <v/>
      </c>
      <c r="DB34" s="2050"/>
      <c r="DC34" s="2050"/>
      <c r="DD34" s="2050"/>
      <c r="DE34" s="2050"/>
      <c r="DF34" s="2050"/>
      <c r="DG34" s="94"/>
      <c r="DH34" s="87"/>
      <c r="DI34" s="597"/>
      <c r="DJ34" s="87"/>
      <c r="DK34" s="87"/>
      <c r="DL34" s="110"/>
      <c r="DM34" s="89"/>
      <c r="DN34" s="89"/>
      <c r="DO34" s="1601"/>
      <c r="DP34" s="109"/>
      <c r="DQ34" s="109"/>
      <c r="DR34" s="203"/>
      <c r="DS34" s="1896"/>
      <c r="DT34" s="1896"/>
      <c r="DU34" s="1896"/>
      <c r="DV34" s="1896"/>
      <c r="DW34" s="1896"/>
      <c r="DX34" s="1896"/>
      <c r="DY34" s="1896"/>
      <c r="DZ34" s="1896"/>
      <c r="EA34" s="158"/>
      <c r="EB34" s="109"/>
      <c r="EC34" s="109"/>
      <c r="ED34" s="109"/>
      <c r="EE34" s="109"/>
      <c r="EF34" s="109"/>
      <c r="EG34" s="109"/>
      <c r="EH34" s="203"/>
      <c r="EI34" s="2058"/>
      <c r="EJ34" s="2058"/>
      <c r="EK34" s="2058"/>
      <c r="EL34" s="2058"/>
      <c r="EM34" s="2058"/>
      <c r="EN34" s="2058"/>
      <c r="EO34" s="2058"/>
      <c r="EP34" s="2058"/>
      <c r="EQ34" s="158"/>
      <c r="ER34" s="1590"/>
      <c r="ES34" s="1590"/>
      <c r="EU34" s="109"/>
      <c r="EV34" s="109"/>
      <c r="EW34" s="109"/>
      <c r="EX34" s="87"/>
      <c r="EY34" s="87"/>
      <c r="EZ34" s="87"/>
      <c r="FA34" s="87"/>
      <c r="FB34" s="87"/>
      <c r="GU34" s="1587"/>
      <c r="GV34" s="1587"/>
      <c r="GW34" s="1587"/>
      <c r="GX34" s="1587"/>
      <c r="GY34" s="1587"/>
      <c r="GZ34" s="1587"/>
    </row>
    <row r="35" spans="1:208" ht="9" customHeight="1">
      <c r="A35" s="87"/>
      <c r="B35" s="87"/>
      <c r="C35" s="87"/>
      <c r="D35" s="87"/>
      <c r="E35" s="87"/>
      <c r="F35" s="88"/>
      <c r="G35" s="88"/>
      <c r="H35" s="88"/>
      <c r="I35" s="88"/>
      <c r="J35" s="87"/>
      <c r="K35" s="87"/>
      <c r="L35" s="87"/>
      <c r="M35" s="87"/>
      <c r="N35" s="87"/>
      <c r="O35" s="87"/>
      <c r="P35" s="87"/>
      <c r="Q35" s="87"/>
      <c r="R35" s="87"/>
      <c r="S35" s="110"/>
      <c r="T35" s="89"/>
      <c r="U35" s="89"/>
      <c r="V35" s="89"/>
      <c r="W35" s="98"/>
      <c r="X35" s="1866"/>
      <c r="Y35" s="1866"/>
      <c r="Z35" s="1866"/>
      <c r="AA35" s="1866"/>
      <c r="AB35" s="1866"/>
      <c r="AC35" s="1866"/>
      <c r="AD35" s="1866"/>
      <c r="AE35" s="1866"/>
      <c r="AF35" s="2051"/>
      <c r="AG35" s="2051"/>
      <c r="AH35" s="2051"/>
      <c r="AI35" s="2051"/>
      <c r="AJ35" s="2051"/>
      <c r="AK35" s="2051"/>
      <c r="AL35" s="2051"/>
      <c r="AM35" s="2051"/>
      <c r="AN35" s="2051"/>
      <c r="AO35" s="2051"/>
      <c r="AP35" s="2051"/>
      <c r="AQ35" s="2051"/>
      <c r="AR35" s="2051"/>
      <c r="AS35" s="2051"/>
      <c r="AT35" s="2051"/>
      <c r="AU35" s="2051"/>
      <c r="AV35" s="2051"/>
      <c r="AW35" s="2051"/>
      <c r="AX35" s="2051"/>
      <c r="AY35" s="2051"/>
      <c r="AZ35" s="2051"/>
      <c r="BA35" s="2051"/>
      <c r="BB35" s="2051"/>
      <c r="BC35" s="2051"/>
      <c r="BD35" s="2051"/>
      <c r="BE35" s="2051"/>
      <c r="BF35" s="2051"/>
      <c r="BG35" s="2051"/>
      <c r="BH35" s="2051"/>
      <c r="BI35" s="2051"/>
      <c r="BJ35" s="2051"/>
      <c r="BK35" s="2051"/>
      <c r="BL35" s="2051"/>
      <c r="BM35" s="2051"/>
      <c r="BN35" s="100"/>
      <c r="BO35" s="87"/>
      <c r="BP35" s="87"/>
      <c r="BQ35" s="102"/>
      <c r="BR35" s="1866"/>
      <c r="BS35" s="1866"/>
      <c r="BT35" s="1866"/>
      <c r="BU35" s="1866"/>
      <c r="BV35" s="1866"/>
      <c r="BW35" s="1866"/>
      <c r="BX35" s="1866"/>
      <c r="BY35" s="1866"/>
      <c r="BZ35" s="2051"/>
      <c r="CA35" s="2051"/>
      <c r="CB35" s="2051"/>
      <c r="CC35" s="2051"/>
      <c r="CD35" s="2051"/>
      <c r="CE35" s="2051"/>
      <c r="CF35" s="2051"/>
      <c r="CG35" s="2051"/>
      <c r="CH35" s="2051"/>
      <c r="CI35" s="2051"/>
      <c r="CJ35" s="2051"/>
      <c r="CK35" s="2051"/>
      <c r="CL35" s="2051"/>
      <c r="CM35" s="2051"/>
      <c r="CN35" s="2051"/>
      <c r="CO35" s="2051"/>
      <c r="CP35" s="2051"/>
      <c r="CQ35" s="100"/>
      <c r="CR35" s="92"/>
      <c r="CS35" s="92"/>
      <c r="CT35" s="102"/>
      <c r="CU35" s="1866"/>
      <c r="CV35" s="1866"/>
      <c r="CW35" s="1866"/>
      <c r="CX35" s="1866"/>
      <c r="CY35" s="1866"/>
      <c r="CZ35" s="1866"/>
      <c r="DA35" s="2051"/>
      <c r="DB35" s="2051"/>
      <c r="DC35" s="2051"/>
      <c r="DD35" s="2051"/>
      <c r="DE35" s="2051"/>
      <c r="DF35" s="2051"/>
      <c r="DG35" s="103"/>
      <c r="DH35" s="87"/>
      <c r="DI35" s="597"/>
      <c r="DJ35" s="87"/>
      <c r="DK35" s="87"/>
      <c r="DL35" s="1887"/>
      <c r="DM35" s="1887"/>
      <c r="DN35" s="89"/>
      <c r="DO35" s="1602"/>
      <c r="DP35" s="1602"/>
      <c r="DQ35" s="1600"/>
      <c r="DR35" s="1600"/>
      <c r="EU35" s="109"/>
      <c r="EV35" s="109"/>
      <c r="EW35" s="109"/>
      <c r="EX35" s="87"/>
      <c r="EY35" s="87"/>
      <c r="EZ35" s="87"/>
      <c r="FA35" s="87"/>
      <c r="FB35" s="87"/>
      <c r="GU35" s="1587"/>
      <c r="GV35" s="1587"/>
      <c r="GW35" s="1587"/>
      <c r="GX35" s="1587"/>
      <c r="GY35" s="1587"/>
      <c r="GZ35" s="1587"/>
    </row>
    <row r="36" spans="1:208" ht="9" customHeight="1" thickBot="1">
      <c r="A36" s="87"/>
      <c r="B36" s="87"/>
      <c r="C36" s="114"/>
      <c r="D36" s="114"/>
      <c r="E36" s="114"/>
      <c r="F36" s="115"/>
      <c r="G36" s="115"/>
      <c r="H36" s="115"/>
      <c r="I36" s="115"/>
      <c r="J36" s="116"/>
      <c r="K36" s="116"/>
      <c r="L36" s="116"/>
      <c r="M36" s="116"/>
      <c r="N36" s="87"/>
      <c r="O36" s="117"/>
      <c r="P36" s="117"/>
      <c r="Q36" s="117"/>
      <c r="R36" s="117"/>
      <c r="S36" s="110"/>
      <c r="T36" s="89"/>
      <c r="U36" s="89"/>
      <c r="V36" s="89"/>
      <c r="W36" s="98"/>
      <c r="X36" s="105"/>
      <c r="Y36" s="105"/>
      <c r="Z36" s="105"/>
      <c r="AA36" s="105"/>
      <c r="AB36" s="105"/>
      <c r="AC36" s="105"/>
      <c r="AD36" s="105"/>
      <c r="AE36" s="105"/>
      <c r="AF36" s="2051"/>
      <c r="AG36" s="2051"/>
      <c r="AH36" s="2051"/>
      <c r="AI36" s="2051"/>
      <c r="AJ36" s="2051"/>
      <c r="AK36" s="2051"/>
      <c r="AL36" s="2051"/>
      <c r="AM36" s="2051"/>
      <c r="AN36" s="2051"/>
      <c r="AO36" s="2051"/>
      <c r="AP36" s="2051"/>
      <c r="AQ36" s="2051"/>
      <c r="AR36" s="2051"/>
      <c r="AS36" s="2051"/>
      <c r="AT36" s="2051"/>
      <c r="AU36" s="2051"/>
      <c r="AV36" s="2051"/>
      <c r="AW36" s="2051"/>
      <c r="AX36" s="2051"/>
      <c r="AY36" s="2051"/>
      <c r="AZ36" s="2051"/>
      <c r="BA36" s="2051"/>
      <c r="BB36" s="2051"/>
      <c r="BC36" s="2051"/>
      <c r="BD36" s="2051"/>
      <c r="BE36" s="2051"/>
      <c r="BF36" s="2051"/>
      <c r="BG36" s="2051"/>
      <c r="BH36" s="2051"/>
      <c r="BI36" s="2051"/>
      <c r="BJ36" s="2051"/>
      <c r="BK36" s="2051"/>
      <c r="BL36" s="2051"/>
      <c r="BM36" s="2051"/>
      <c r="BN36" s="100"/>
      <c r="BO36" s="87"/>
      <c r="BP36" s="87"/>
      <c r="BQ36" s="102"/>
      <c r="BR36" s="105"/>
      <c r="BS36" s="105"/>
      <c r="BT36" s="105"/>
      <c r="BU36" s="105"/>
      <c r="BV36" s="105"/>
      <c r="BW36" s="105"/>
      <c r="BX36" s="118"/>
      <c r="BY36" s="118"/>
      <c r="BZ36" s="2051"/>
      <c r="CA36" s="2051"/>
      <c r="CB36" s="2051"/>
      <c r="CC36" s="2051"/>
      <c r="CD36" s="2051"/>
      <c r="CE36" s="2051"/>
      <c r="CF36" s="2051"/>
      <c r="CG36" s="2051"/>
      <c r="CH36" s="2051"/>
      <c r="CI36" s="2051"/>
      <c r="CJ36" s="2051"/>
      <c r="CK36" s="2051"/>
      <c r="CL36" s="2051"/>
      <c r="CM36" s="2051"/>
      <c r="CN36" s="2051"/>
      <c r="CO36" s="2051"/>
      <c r="CP36" s="2051"/>
      <c r="CQ36" s="100"/>
      <c r="CR36" s="92"/>
      <c r="CS36" s="92"/>
      <c r="CT36" s="102"/>
      <c r="CU36" s="105"/>
      <c r="CV36" s="105"/>
      <c r="CW36" s="105"/>
      <c r="CX36" s="105"/>
      <c r="CY36" s="105"/>
      <c r="CZ36" s="105"/>
      <c r="DA36" s="2051"/>
      <c r="DB36" s="2051"/>
      <c r="DC36" s="2051"/>
      <c r="DD36" s="2051"/>
      <c r="DE36" s="2051"/>
      <c r="DF36" s="2051"/>
      <c r="DG36" s="103"/>
      <c r="DH36" s="87"/>
      <c r="DI36" s="597"/>
      <c r="DJ36" s="87"/>
      <c r="DK36" s="87"/>
      <c r="DL36" s="1887"/>
      <c r="DM36" s="1887"/>
      <c r="DN36" s="145"/>
      <c r="DO36" s="145"/>
      <c r="DP36" s="145"/>
      <c r="DQ36" s="145"/>
      <c r="DR36" s="145"/>
      <c r="DS36" s="145"/>
      <c r="DT36" s="145"/>
      <c r="DU36" s="145"/>
      <c r="DV36" s="145"/>
      <c r="DW36" s="145"/>
      <c r="DX36" s="145"/>
      <c r="DY36" s="145"/>
      <c r="DZ36" s="145"/>
      <c r="EA36" s="145"/>
      <c r="EB36" s="145"/>
      <c r="EC36" s="145"/>
      <c r="ED36" s="145"/>
      <c r="EE36" s="145"/>
      <c r="EF36" s="145"/>
      <c r="EG36" s="145"/>
      <c r="EH36" s="145"/>
      <c r="EI36" s="145"/>
      <c r="EJ36" s="145"/>
      <c r="EK36" s="118"/>
      <c r="EL36" s="109"/>
      <c r="EM36" s="109"/>
      <c r="EU36" s="109"/>
      <c r="EV36" s="109"/>
      <c r="EW36" s="109"/>
      <c r="EX36" s="87"/>
      <c r="EY36" s="87"/>
      <c r="EZ36" s="87"/>
      <c r="FA36" s="87"/>
      <c r="FB36" s="87"/>
      <c r="GU36" s="1587"/>
      <c r="GV36" s="1587"/>
      <c r="GW36" s="1587"/>
      <c r="GX36" s="1587"/>
      <c r="GY36" s="1587"/>
      <c r="GZ36" s="1587"/>
    </row>
    <row r="37" spans="1:208" ht="9" customHeight="1" thickTop="1" thickBot="1">
      <c r="A37" s="87"/>
      <c r="B37" s="87"/>
      <c r="C37" s="114"/>
      <c r="D37" s="119"/>
      <c r="E37" s="120"/>
      <c r="F37" s="2069"/>
      <c r="G37" s="2069"/>
      <c r="H37" s="2069"/>
      <c r="I37" s="2069"/>
      <c r="J37" s="114"/>
      <c r="K37" s="114"/>
      <c r="L37" s="114"/>
      <c r="M37" s="121"/>
      <c r="N37" s="87"/>
      <c r="O37" s="117"/>
      <c r="P37" s="87"/>
      <c r="Q37" s="87"/>
      <c r="R37" s="87"/>
      <c r="S37" s="110"/>
      <c r="T37" s="89"/>
      <c r="U37" s="89"/>
      <c r="V37" s="89"/>
      <c r="W37" s="94"/>
      <c r="X37" s="108"/>
      <c r="Y37" s="108"/>
      <c r="Z37" s="108"/>
      <c r="AA37" s="108"/>
      <c r="AB37" s="108"/>
      <c r="AC37" s="108"/>
      <c r="AD37" s="108"/>
      <c r="AE37" s="108"/>
      <c r="AF37" s="2052"/>
      <c r="AG37" s="2052"/>
      <c r="AH37" s="2052"/>
      <c r="AI37" s="2052"/>
      <c r="AJ37" s="2052"/>
      <c r="AK37" s="2052"/>
      <c r="AL37" s="2052"/>
      <c r="AM37" s="2052"/>
      <c r="AN37" s="2052"/>
      <c r="AO37" s="2052"/>
      <c r="AP37" s="2052"/>
      <c r="AQ37" s="2052"/>
      <c r="AR37" s="2052"/>
      <c r="AS37" s="2052"/>
      <c r="AT37" s="2052"/>
      <c r="AU37" s="2052"/>
      <c r="AV37" s="2052"/>
      <c r="AW37" s="2052"/>
      <c r="AX37" s="2052"/>
      <c r="AY37" s="2052"/>
      <c r="AZ37" s="2052"/>
      <c r="BA37" s="2052"/>
      <c r="BB37" s="2052"/>
      <c r="BC37" s="2052"/>
      <c r="BD37" s="2052"/>
      <c r="BE37" s="2052"/>
      <c r="BF37" s="2052"/>
      <c r="BG37" s="2052"/>
      <c r="BH37" s="2052"/>
      <c r="BI37" s="2052"/>
      <c r="BJ37" s="2052"/>
      <c r="BK37" s="2052"/>
      <c r="BL37" s="2052"/>
      <c r="BM37" s="2052"/>
      <c r="BN37" s="93"/>
      <c r="BO37" s="87"/>
      <c r="BP37" s="87"/>
      <c r="BQ37" s="91"/>
      <c r="BR37" s="108"/>
      <c r="BS37" s="108"/>
      <c r="BT37" s="108"/>
      <c r="BU37" s="108"/>
      <c r="BV37" s="108"/>
      <c r="BW37" s="108"/>
      <c r="BX37" s="122"/>
      <c r="BY37" s="122"/>
      <c r="BZ37" s="2052"/>
      <c r="CA37" s="2052"/>
      <c r="CB37" s="2052"/>
      <c r="CC37" s="2052"/>
      <c r="CD37" s="2052"/>
      <c r="CE37" s="2052"/>
      <c r="CF37" s="2052"/>
      <c r="CG37" s="2052"/>
      <c r="CH37" s="2052"/>
      <c r="CI37" s="2052"/>
      <c r="CJ37" s="2052"/>
      <c r="CK37" s="2052"/>
      <c r="CL37" s="2052"/>
      <c r="CM37" s="2052"/>
      <c r="CN37" s="2052"/>
      <c r="CO37" s="2052"/>
      <c r="CP37" s="2052"/>
      <c r="CQ37" s="93"/>
      <c r="CR37" s="92"/>
      <c r="CS37" s="92"/>
      <c r="CT37" s="91"/>
      <c r="CU37" s="108"/>
      <c r="CV37" s="108"/>
      <c r="CW37" s="108"/>
      <c r="CX37" s="108"/>
      <c r="CY37" s="108"/>
      <c r="CZ37" s="108"/>
      <c r="DA37" s="2052"/>
      <c r="DB37" s="2052"/>
      <c r="DC37" s="2052"/>
      <c r="DD37" s="2052"/>
      <c r="DE37" s="2052"/>
      <c r="DF37" s="2052"/>
      <c r="DG37" s="90"/>
      <c r="DH37" s="87"/>
      <c r="DI37" s="597"/>
      <c r="DJ37" s="87"/>
      <c r="DK37" s="87"/>
      <c r="DL37" s="87"/>
      <c r="DM37" s="87"/>
      <c r="DN37" s="87"/>
      <c r="DO37" s="1581"/>
      <c r="DP37" s="1590"/>
      <c r="DQ37" s="1590"/>
      <c r="DR37" s="1581"/>
      <c r="DS37" s="1590"/>
      <c r="DT37" s="1590"/>
      <c r="DU37" s="1590"/>
      <c r="DV37" s="1590"/>
      <c r="DW37" s="1590"/>
      <c r="DX37" s="1590"/>
      <c r="DY37" s="1590"/>
      <c r="DZ37" s="1590"/>
      <c r="EA37" s="1590"/>
      <c r="EB37" s="1590"/>
      <c r="EC37" s="1590"/>
      <c r="ED37" s="1590"/>
      <c r="EE37" s="1590"/>
      <c r="EF37" s="1590"/>
      <c r="EG37" s="1590"/>
      <c r="EH37" s="1590"/>
      <c r="EI37" s="1590"/>
      <c r="EJ37" s="1590"/>
      <c r="EK37" s="1888"/>
      <c r="EL37" s="1889"/>
      <c r="EM37" s="109"/>
      <c r="EU37" s="109"/>
      <c r="EV37" s="109"/>
      <c r="EW37" s="109"/>
      <c r="EX37" s="87"/>
      <c r="EY37" s="87"/>
      <c r="EZ37" s="87"/>
      <c r="FA37" s="87"/>
      <c r="FB37" s="87"/>
      <c r="GU37" s="1587"/>
      <c r="GV37" s="1587"/>
      <c r="GW37" s="1587"/>
      <c r="GX37" s="1587"/>
      <c r="GY37" s="1587"/>
      <c r="GZ37" s="1587"/>
    </row>
    <row r="38" spans="1:208" ht="9" customHeight="1" thickTop="1" thickBot="1">
      <c r="A38" s="87"/>
      <c r="B38" s="87"/>
      <c r="C38" s="2065"/>
      <c r="D38" s="2065"/>
      <c r="E38" s="123"/>
      <c r="F38" s="124"/>
      <c r="G38" s="115"/>
      <c r="H38" s="115"/>
      <c r="I38" s="115"/>
      <c r="J38" s="114"/>
      <c r="K38" s="114"/>
      <c r="L38" s="114"/>
      <c r="M38" s="121"/>
      <c r="N38" s="87"/>
      <c r="O38" s="117"/>
      <c r="P38" s="87"/>
      <c r="Q38" s="87"/>
      <c r="R38" s="87"/>
      <c r="S38" s="110"/>
      <c r="T38" s="89"/>
      <c r="U38" s="89"/>
      <c r="V38" s="89"/>
      <c r="W38" s="89"/>
      <c r="X38" s="92"/>
      <c r="Y38" s="92"/>
      <c r="Z38" s="92"/>
      <c r="AA38" s="92"/>
      <c r="AB38" s="92"/>
      <c r="AC38" s="92"/>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2"/>
      <c r="BL38" s="92"/>
      <c r="BM38" s="92"/>
      <c r="BN38" s="92"/>
      <c r="BO38" s="92"/>
      <c r="BP38" s="92"/>
      <c r="BQ38" s="92"/>
      <c r="BR38" s="92"/>
      <c r="BS38" s="92"/>
      <c r="BT38" s="92"/>
      <c r="BU38" s="92"/>
      <c r="BV38" s="92"/>
      <c r="BW38" s="92"/>
      <c r="BX38" s="92"/>
      <c r="BY38" s="92"/>
      <c r="BZ38" s="92"/>
      <c r="CA38" s="92"/>
      <c r="CB38" s="92"/>
      <c r="CC38" s="92"/>
      <c r="CD38" s="92"/>
      <c r="CE38" s="92"/>
      <c r="CF38" s="92"/>
      <c r="CG38" s="92"/>
      <c r="CH38" s="92"/>
      <c r="CI38" s="92"/>
      <c r="CJ38" s="92"/>
      <c r="CK38" s="92"/>
      <c r="CL38" s="111"/>
      <c r="CM38" s="111"/>
      <c r="CN38" s="111"/>
      <c r="CO38" s="111"/>
      <c r="CP38" s="111"/>
      <c r="CQ38" s="111"/>
      <c r="CR38" s="111"/>
      <c r="CS38" s="111"/>
      <c r="CT38" s="111"/>
      <c r="CU38" s="111"/>
      <c r="CV38" s="92"/>
      <c r="CW38" s="111"/>
      <c r="CX38" s="111"/>
      <c r="CY38" s="111"/>
      <c r="CZ38" s="111"/>
      <c r="DA38" s="111"/>
      <c r="DB38" s="111"/>
      <c r="DC38" s="111"/>
      <c r="DD38" s="111"/>
      <c r="DE38" s="111"/>
      <c r="DF38" s="111"/>
      <c r="DG38" s="87"/>
      <c r="DH38" s="87"/>
      <c r="DI38" s="597"/>
      <c r="DJ38" s="1600"/>
      <c r="DK38" s="1601"/>
      <c r="DL38" s="1601"/>
      <c r="DM38" s="1601"/>
      <c r="DN38" s="1600"/>
      <c r="DO38" s="1600"/>
      <c r="DP38" s="1600"/>
      <c r="DQ38" s="1600"/>
      <c r="DR38" s="1600"/>
      <c r="DS38" s="109"/>
      <c r="DT38" s="109"/>
      <c r="DU38" s="109"/>
      <c r="DV38" s="109"/>
      <c r="DW38" s="109"/>
      <c r="DX38" s="109"/>
      <c r="DY38" s="109"/>
      <c r="DZ38" s="109"/>
      <c r="EA38" s="109"/>
      <c r="EB38" s="109"/>
      <c r="EC38" s="109"/>
      <c r="ED38" s="109"/>
      <c r="EE38" s="109"/>
      <c r="EF38" s="109"/>
      <c r="EG38" s="109"/>
      <c r="EH38" s="109"/>
      <c r="EI38" s="109"/>
      <c r="EJ38" s="118"/>
      <c r="EK38" s="1889"/>
      <c r="EL38" s="1889"/>
      <c r="EM38" s="109"/>
      <c r="EN38" s="597"/>
      <c r="EO38" s="597"/>
      <c r="EP38" s="3"/>
      <c r="EQ38" s="3"/>
      <c r="ER38" s="3"/>
      <c r="ES38" s="3"/>
      <c r="ET38" s="3"/>
      <c r="EU38" s="3"/>
      <c r="EV38" s="3"/>
      <c r="EW38" s="1581"/>
      <c r="EX38" s="87"/>
      <c r="EY38" s="87"/>
      <c r="EZ38" s="87"/>
      <c r="FA38" s="87"/>
      <c r="FB38" s="87"/>
      <c r="GU38" s="1587"/>
      <c r="GV38" s="1587"/>
      <c r="GW38" s="1587"/>
      <c r="GX38" s="1587"/>
      <c r="GY38" s="1587"/>
      <c r="GZ38" s="1587"/>
    </row>
    <row r="39" spans="1:208" ht="9" customHeight="1" thickTop="1">
      <c r="A39" s="87"/>
      <c r="B39" s="87"/>
      <c r="C39" s="87"/>
      <c r="D39" s="123"/>
      <c r="E39" s="125"/>
      <c r="F39" s="125"/>
      <c r="G39" s="126"/>
      <c r="H39" s="126"/>
      <c r="I39" s="126"/>
      <c r="J39" s="126"/>
      <c r="K39" s="126"/>
      <c r="L39" s="126"/>
      <c r="M39" s="127"/>
      <c r="N39" s="128"/>
      <c r="O39" s="117"/>
      <c r="P39" s="87"/>
      <c r="Q39" s="128"/>
      <c r="R39" s="128"/>
      <c r="S39" s="129"/>
      <c r="T39" s="130"/>
      <c r="U39" s="130"/>
      <c r="V39" s="130"/>
      <c r="W39" s="90"/>
      <c r="X39" s="1865" t="s">
        <v>3571</v>
      </c>
      <c r="Y39" s="1865"/>
      <c r="Z39" s="1865"/>
      <c r="AA39" s="1865"/>
      <c r="AB39" s="2066" t="str">
        <f>IF(CharacterAge&lt;&gt;"",CharacterAge,"")</f>
        <v/>
      </c>
      <c r="AC39" s="2066"/>
      <c r="AD39" s="2066"/>
      <c r="AE39" s="2066"/>
      <c r="AF39" s="2066"/>
      <c r="AG39" s="113"/>
      <c r="AH39" s="131"/>
      <c r="AI39" s="131"/>
      <c r="AJ39" s="93"/>
      <c r="AK39" s="1865" t="s">
        <v>3572</v>
      </c>
      <c r="AL39" s="1865"/>
      <c r="AM39" s="1865"/>
      <c r="AN39" s="1865"/>
      <c r="AO39" s="1865"/>
      <c r="AP39" s="1865"/>
      <c r="AQ39" s="1865"/>
      <c r="AR39" s="1865"/>
      <c r="AS39" s="2050" t="str">
        <f>IF(CharacterGender&lt;&gt;"",CharacterGender,"")</f>
        <v/>
      </c>
      <c r="AT39" s="2050"/>
      <c r="AU39" s="2050"/>
      <c r="AV39" s="2050"/>
      <c r="AW39" s="2050"/>
      <c r="AX39" s="2050"/>
      <c r="AY39" s="2050"/>
      <c r="AZ39" s="2050"/>
      <c r="BA39" s="113"/>
      <c r="BB39" s="111"/>
      <c r="BC39" s="111"/>
      <c r="BD39" s="93"/>
      <c r="BE39" s="1865" t="s">
        <v>3573</v>
      </c>
      <c r="BF39" s="1865"/>
      <c r="BG39" s="1865"/>
      <c r="BH39" s="1865"/>
      <c r="BI39" s="1865"/>
      <c r="BJ39" s="1865"/>
      <c r="BK39" s="1865"/>
      <c r="BL39" s="2071" t="str">
        <f>IF(CharacterHeight&lt;&gt;"",CharacterHeight,"")</f>
        <v/>
      </c>
      <c r="BM39" s="2071"/>
      <c r="BN39" s="2071"/>
      <c r="BO39" s="2071"/>
      <c r="BP39" s="2071"/>
      <c r="BQ39" s="2071"/>
      <c r="BR39" s="113"/>
      <c r="BS39" s="111"/>
      <c r="BT39" s="111"/>
      <c r="BU39" s="93"/>
      <c r="BV39" s="1865" t="s">
        <v>3574</v>
      </c>
      <c r="BW39" s="1865"/>
      <c r="BX39" s="1865"/>
      <c r="BY39" s="1865"/>
      <c r="BZ39" s="1865"/>
      <c r="CA39" s="1865"/>
      <c r="CB39" s="1865"/>
      <c r="CC39" s="2074" t="str">
        <f>IF(CharacterWeight&lt;&gt;"",CharacterWeight,"")</f>
        <v/>
      </c>
      <c r="CD39" s="2074"/>
      <c r="CE39" s="2074"/>
      <c r="CF39" s="2074"/>
      <c r="CG39" s="2074"/>
      <c r="CH39" s="2074"/>
      <c r="CI39" s="113"/>
      <c r="CJ39" s="131"/>
      <c r="CK39" s="92"/>
      <c r="CL39" s="93"/>
      <c r="CM39" s="1865" t="s">
        <v>3575</v>
      </c>
      <c r="CN39" s="1865"/>
      <c r="CO39" s="1865"/>
      <c r="CP39" s="1865"/>
      <c r="CQ39" s="1865"/>
      <c r="CR39" s="1865"/>
      <c r="CS39" s="1865"/>
      <c r="CT39" s="1865"/>
      <c r="CU39" s="2077" t="str">
        <f>IF(CurrentDestiny&lt;&gt;"",CurrentDestiny,"")</f>
        <v/>
      </c>
      <c r="CV39" s="2077"/>
      <c r="CW39" s="2077"/>
      <c r="CX39" s="2077"/>
      <c r="CY39" s="2077"/>
      <c r="CZ39" s="2077"/>
      <c r="DA39" s="2077"/>
      <c r="DB39" s="2077"/>
      <c r="DC39" s="2077"/>
      <c r="DD39" s="2077"/>
      <c r="DE39" s="2077"/>
      <c r="DF39" s="2077"/>
      <c r="DG39" s="132"/>
      <c r="DH39" s="87"/>
      <c r="DI39" s="92"/>
      <c r="DJ39" s="1591"/>
      <c r="DK39" s="2059" t="s">
        <v>8724</v>
      </c>
      <c r="DL39" s="2060"/>
      <c r="DM39" s="2060"/>
      <c r="DN39" s="2060"/>
      <c r="DO39" s="2060"/>
      <c r="DP39" s="2060"/>
      <c r="DQ39" s="2060"/>
      <c r="DR39" s="2060"/>
      <c r="DS39" s="2060"/>
      <c r="DT39" s="2060"/>
      <c r="DU39" s="2060"/>
      <c r="DV39" s="1598"/>
      <c r="DW39" s="2062" t="str">
        <f>IF(Background&lt;&gt;"",Background,"")</f>
        <v>None</v>
      </c>
      <c r="DX39" s="2062"/>
      <c r="DY39" s="2062"/>
      <c r="DZ39" s="2062"/>
      <c r="EA39" s="2062"/>
      <c r="EB39" s="2062"/>
      <c r="EC39" s="2062"/>
      <c r="ED39" s="2062"/>
      <c r="EE39" s="2062"/>
      <c r="EF39" s="2062"/>
      <c r="EG39" s="2062"/>
      <c r="EH39" s="2062"/>
      <c r="EI39" s="132"/>
      <c r="EJ39" s="596"/>
      <c r="EK39" s="87"/>
      <c r="EL39" s="87"/>
      <c r="EM39" s="110"/>
      <c r="EN39" s="597"/>
      <c r="EO39" s="597"/>
      <c r="EP39" s="597"/>
      <c r="EQ39" s="597"/>
      <c r="ER39" s="597"/>
      <c r="ES39" s="597"/>
      <c r="ET39" s="3"/>
      <c r="EU39" s="3"/>
      <c r="EV39" s="3"/>
      <c r="EW39" s="3"/>
      <c r="EX39" s="87"/>
      <c r="EY39" s="87"/>
      <c r="EZ39" s="87"/>
      <c r="FA39" s="87"/>
      <c r="FB39" s="87"/>
      <c r="GU39" s="1587"/>
      <c r="GV39" s="1587"/>
      <c r="GW39" s="1587"/>
      <c r="GX39" s="1587"/>
      <c r="GY39" s="1587"/>
      <c r="GZ39" s="1587"/>
    </row>
    <row r="40" spans="1:208" ht="9" customHeight="1">
      <c r="A40" s="87"/>
      <c r="B40" s="87"/>
      <c r="C40" s="2069"/>
      <c r="D40" s="133"/>
      <c r="E40" s="125"/>
      <c r="F40" s="87"/>
      <c r="G40" s="126"/>
      <c r="H40" s="126"/>
      <c r="I40" s="126"/>
      <c r="J40" s="126"/>
      <c r="K40" s="126"/>
      <c r="L40" s="126"/>
      <c r="M40" s="127"/>
      <c r="N40" s="128"/>
      <c r="O40" s="117"/>
      <c r="P40" s="87"/>
      <c r="Q40" s="87"/>
      <c r="R40" s="87"/>
      <c r="S40" s="110"/>
      <c r="T40" s="89"/>
      <c r="U40" s="89"/>
      <c r="V40" s="89"/>
      <c r="W40" s="98"/>
      <c r="X40" s="1866"/>
      <c r="Y40" s="1866"/>
      <c r="Z40" s="1866"/>
      <c r="AA40" s="1866"/>
      <c r="AB40" s="2067"/>
      <c r="AC40" s="2067"/>
      <c r="AD40" s="2067"/>
      <c r="AE40" s="2067"/>
      <c r="AF40" s="2067"/>
      <c r="AG40" s="100"/>
      <c r="AH40" s="131"/>
      <c r="AI40" s="131"/>
      <c r="AJ40" s="102"/>
      <c r="AK40" s="1866"/>
      <c r="AL40" s="1866"/>
      <c r="AM40" s="1866"/>
      <c r="AN40" s="1866"/>
      <c r="AO40" s="1866"/>
      <c r="AP40" s="1866"/>
      <c r="AQ40" s="1866"/>
      <c r="AR40" s="1866"/>
      <c r="AS40" s="2051"/>
      <c r="AT40" s="2051"/>
      <c r="AU40" s="2051"/>
      <c r="AV40" s="2051"/>
      <c r="AW40" s="2051"/>
      <c r="AX40" s="2051"/>
      <c r="AY40" s="2051"/>
      <c r="AZ40" s="2051"/>
      <c r="BA40" s="100"/>
      <c r="BB40" s="111"/>
      <c r="BC40" s="111"/>
      <c r="BD40" s="102"/>
      <c r="BE40" s="1866"/>
      <c r="BF40" s="1866"/>
      <c r="BG40" s="1866"/>
      <c r="BH40" s="1866"/>
      <c r="BI40" s="1866"/>
      <c r="BJ40" s="1866"/>
      <c r="BK40" s="1866"/>
      <c r="BL40" s="2072"/>
      <c r="BM40" s="2072"/>
      <c r="BN40" s="2072"/>
      <c r="BO40" s="2072"/>
      <c r="BP40" s="2072"/>
      <c r="BQ40" s="2072"/>
      <c r="BR40" s="100"/>
      <c r="BS40" s="111"/>
      <c r="BT40" s="111"/>
      <c r="BU40" s="102"/>
      <c r="BV40" s="1866"/>
      <c r="BW40" s="1866"/>
      <c r="BX40" s="1866"/>
      <c r="BY40" s="1866"/>
      <c r="BZ40" s="1866"/>
      <c r="CA40" s="1866"/>
      <c r="CB40" s="1866"/>
      <c r="CC40" s="2075"/>
      <c r="CD40" s="2075"/>
      <c r="CE40" s="2075"/>
      <c r="CF40" s="2075"/>
      <c r="CG40" s="2075"/>
      <c r="CH40" s="2075"/>
      <c r="CI40" s="100"/>
      <c r="CJ40" s="131"/>
      <c r="CK40" s="92"/>
      <c r="CL40" s="102"/>
      <c r="CM40" s="1866"/>
      <c r="CN40" s="1866"/>
      <c r="CO40" s="1866"/>
      <c r="CP40" s="1866"/>
      <c r="CQ40" s="1866"/>
      <c r="CR40" s="1866"/>
      <c r="CS40" s="1866"/>
      <c r="CT40" s="1866"/>
      <c r="CU40" s="2078"/>
      <c r="CV40" s="2078"/>
      <c r="CW40" s="2078"/>
      <c r="CX40" s="2078"/>
      <c r="CY40" s="2078"/>
      <c r="CZ40" s="2078"/>
      <c r="DA40" s="2078"/>
      <c r="DB40" s="2078"/>
      <c r="DC40" s="2078"/>
      <c r="DD40" s="2078"/>
      <c r="DE40" s="2078"/>
      <c r="DF40" s="2078"/>
      <c r="DG40" s="103"/>
      <c r="DH40" s="87"/>
      <c r="DI40" s="92"/>
      <c r="DJ40" s="98"/>
      <c r="DK40" s="2061"/>
      <c r="DL40" s="2061"/>
      <c r="DM40" s="2061"/>
      <c r="DN40" s="2061"/>
      <c r="DO40" s="2061"/>
      <c r="DP40" s="2061"/>
      <c r="DQ40" s="2061"/>
      <c r="DR40" s="2061"/>
      <c r="DS40" s="2061"/>
      <c r="DT40" s="2061"/>
      <c r="DU40" s="2061"/>
      <c r="DV40" s="456"/>
      <c r="DW40" s="2063"/>
      <c r="DX40" s="2063"/>
      <c r="DY40" s="2063"/>
      <c r="DZ40" s="2063"/>
      <c r="EA40" s="2063"/>
      <c r="EB40" s="2063"/>
      <c r="EC40" s="2063"/>
      <c r="ED40" s="2063"/>
      <c r="EE40" s="2063"/>
      <c r="EF40" s="2063"/>
      <c r="EG40" s="2063"/>
      <c r="EH40" s="2063"/>
      <c r="EI40" s="103"/>
      <c r="EL40" s="1583"/>
      <c r="EM40" s="1581"/>
      <c r="EN40" s="597"/>
      <c r="EO40" s="597"/>
      <c r="EP40" s="597"/>
      <c r="EQ40" s="597"/>
      <c r="ER40" s="597"/>
      <c r="ES40" s="597"/>
      <c r="ET40" s="3"/>
      <c r="EU40" s="3"/>
      <c r="EV40" s="3"/>
      <c r="EW40" s="3"/>
      <c r="EX40" s="87"/>
      <c r="EY40" s="87"/>
      <c r="EZ40" s="87"/>
      <c r="FA40" s="87"/>
      <c r="FB40" s="87"/>
      <c r="GU40" s="1587"/>
      <c r="GV40" s="1587"/>
      <c r="GW40" s="1587"/>
      <c r="GX40" s="1587"/>
      <c r="GY40" s="1587"/>
      <c r="GZ40" s="1587"/>
    </row>
    <row r="41" spans="1:208" ht="9" customHeight="1">
      <c r="A41" s="87"/>
      <c r="B41" s="87"/>
      <c r="C41" s="2069"/>
      <c r="D41" s="133"/>
      <c r="E41" s="134"/>
      <c r="F41" s="709"/>
      <c r="G41" s="135"/>
      <c r="H41" s="135"/>
      <c r="I41" s="135"/>
      <c r="J41" s="135"/>
      <c r="K41" s="135"/>
      <c r="L41" s="135"/>
      <c r="M41" s="136"/>
      <c r="N41" s="137"/>
      <c r="O41" s="117"/>
      <c r="P41" s="87"/>
      <c r="Q41" s="87"/>
      <c r="R41" s="87"/>
      <c r="S41" s="110"/>
      <c r="T41" s="89"/>
      <c r="U41" s="89"/>
      <c r="V41" s="89"/>
      <c r="W41" s="98"/>
      <c r="X41" s="105"/>
      <c r="Y41" s="105"/>
      <c r="Z41" s="105"/>
      <c r="AA41" s="105"/>
      <c r="AB41" s="2067"/>
      <c r="AC41" s="2067"/>
      <c r="AD41" s="2067"/>
      <c r="AE41" s="2067"/>
      <c r="AF41" s="2067"/>
      <c r="AG41" s="100"/>
      <c r="AH41" s="105"/>
      <c r="AI41" s="105"/>
      <c r="AJ41" s="102"/>
      <c r="AK41" s="105"/>
      <c r="AL41" s="105"/>
      <c r="AM41" s="105"/>
      <c r="AN41" s="105"/>
      <c r="AO41" s="105"/>
      <c r="AP41" s="105"/>
      <c r="AQ41" s="118"/>
      <c r="AR41" s="118"/>
      <c r="AS41" s="2051"/>
      <c r="AT41" s="2051"/>
      <c r="AU41" s="2051"/>
      <c r="AV41" s="2051"/>
      <c r="AW41" s="2051"/>
      <c r="AX41" s="2051"/>
      <c r="AY41" s="2051"/>
      <c r="AZ41" s="2051"/>
      <c r="BA41" s="100"/>
      <c r="BB41" s="111"/>
      <c r="BC41" s="111"/>
      <c r="BD41" s="102"/>
      <c r="BE41" s="105"/>
      <c r="BF41" s="105"/>
      <c r="BG41" s="105"/>
      <c r="BH41" s="105"/>
      <c r="BI41" s="105"/>
      <c r="BJ41" s="105"/>
      <c r="BK41" s="118"/>
      <c r="BL41" s="2072"/>
      <c r="BM41" s="2072"/>
      <c r="BN41" s="2072"/>
      <c r="BO41" s="2072"/>
      <c r="BP41" s="2072"/>
      <c r="BQ41" s="2072"/>
      <c r="BR41" s="100"/>
      <c r="BS41" s="111"/>
      <c r="BT41" s="111"/>
      <c r="BU41" s="102"/>
      <c r="BV41" s="105"/>
      <c r="BW41" s="105"/>
      <c r="BX41" s="105"/>
      <c r="BY41" s="105"/>
      <c r="BZ41" s="105"/>
      <c r="CA41" s="105"/>
      <c r="CB41" s="118"/>
      <c r="CC41" s="2075"/>
      <c r="CD41" s="2075"/>
      <c r="CE41" s="2075"/>
      <c r="CF41" s="2075"/>
      <c r="CG41" s="2075"/>
      <c r="CH41" s="2075"/>
      <c r="CI41" s="100"/>
      <c r="CJ41" s="105"/>
      <c r="CK41" s="92"/>
      <c r="CL41" s="102"/>
      <c r="CM41" s="138"/>
      <c r="CN41" s="105"/>
      <c r="CO41" s="105"/>
      <c r="CP41" s="105"/>
      <c r="CQ41" s="105"/>
      <c r="CR41" s="105"/>
      <c r="CS41" s="105"/>
      <c r="CT41" s="118"/>
      <c r="CU41" s="2078"/>
      <c r="CV41" s="2078"/>
      <c r="CW41" s="2078"/>
      <c r="CX41" s="2078"/>
      <c r="CY41" s="2078"/>
      <c r="CZ41" s="2078"/>
      <c r="DA41" s="2078"/>
      <c r="DB41" s="2078"/>
      <c r="DC41" s="2078"/>
      <c r="DD41" s="2078"/>
      <c r="DE41" s="2078"/>
      <c r="DF41" s="2078"/>
      <c r="DG41" s="103"/>
      <c r="DH41" s="87"/>
      <c r="DI41" s="92"/>
      <c r="DJ41" s="98"/>
      <c r="DK41" s="1593"/>
      <c r="DL41" s="384"/>
      <c r="DM41" s="384"/>
      <c r="DN41" s="384"/>
      <c r="DO41" s="384"/>
      <c r="DP41" s="384"/>
      <c r="DQ41" s="384"/>
      <c r="DR41" s="252"/>
      <c r="DS41" s="1592"/>
      <c r="DT41" s="1592"/>
      <c r="DU41" s="1592"/>
      <c r="DV41" s="1592"/>
      <c r="DW41" s="2063"/>
      <c r="DX41" s="2063"/>
      <c r="DY41" s="2063"/>
      <c r="DZ41" s="2063"/>
      <c r="EA41" s="2063"/>
      <c r="EB41" s="2063"/>
      <c r="EC41" s="2063"/>
      <c r="ED41" s="2063"/>
      <c r="EE41" s="2063"/>
      <c r="EF41" s="2063"/>
      <c r="EG41" s="2063"/>
      <c r="EH41" s="2063"/>
      <c r="EI41" s="103"/>
      <c r="EL41" s="1583"/>
      <c r="EM41" s="1581"/>
      <c r="EN41" s="597"/>
      <c r="EO41" s="597"/>
      <c r="EP41" s="597"/>
      <c r="EQ41" s="597"/>
      <c r="ER41" s="597"/>
      <c r="ES41" s="597"/>
      <c r="ET41" s="3"/>
      <c r="EU41" s="3"/>
      <c r="EV41" s="3"/>
      <c r="EW41" s="3"/>
      <c r="EX41" s="87"/>
      <c r="EY41" s="87"/>
      <c r="EZ41" s="87"/>
      <c r="FA41" s="87"/>
      <c r="FB41" s="87"/>
      <c r="GU41" s="1587"/>
      <c r="GV41" s="1587"/>
      <c r="GW41" s="1587"/>
      <c r="GX41" s="1587"/>
      <c r="GY41" s="1587"/>
      <c r="GZ41" s="1587"/>
    </row>
    <row r="42" spans="1:208" ht="9" customHeight="1" thickBot="1">
      <c r="A42" s="87"/>
      <c r="B42" s="109"/>
      <c r="C42" s="2069"/>
      <c r="D42" s="133"/>
      <c r="E42" s="133"/>
      <c r="F42" s="87"/>
      <c r="G42" s="115"/>
      <c r="H42" s="115"/>
      <c r="I42" s="115"/>
      <c r="J42" s="114"/>
      <c r="K42" s="114"/>
      <c r="L42" s="114"/>
      <c r="M42" s="121"/>
      <c r="N42" s="87"/>
      <c r="O42" s="117"/>
      <c r="P42" s="87"/>
      <c r="Q42" s="87"/>
      <c r="R42" s="87"/>
      <c r="S42" s="110"/>
      <c r="T42" s="89"/>
      <c r="U42" s="89"/>
      <c r="V42" s="89"/>
      <c r="W42" s="94"/>
      <c r="X42" s="108"/>
      <c r="Y42" s="108"/>
      <c r="Z42" s="108"/>
      <c r="AA42" s="108"/>
      <c r="AB42" s="2068"/>
      <c r="AC42" s="2068"/>
      <c r="AD42" s="2068"/>
      <c r="AE42" s="2068"/>
      <c r="AF42" s="2068"/>
      <c r="AG42" s="93"/>
      <c r="AH42" s="105"/>
      <c r="AI42" s="105"/>
      <c r="AJ42" s="91"/>
      <c r="AK42" s="108"/>
      <c r="AL42" s="108"/>
      <c r="AM42" s="108"/>
      <c r="AN42" s="108"/>
      <c r="AO42" s="108"/>
      <c r="AP42" s="108"/>
      <c r="AQ42" s="122"/>
      <c r="AR42" s="122"/>
      <c r="AS42" s="2052"/>
      <c r="AT42" s="2052"/>
      <c r="AU42" s="2052"/>
      <c r="AV42" s="2052"/>
      <c r="AW42" s="2052"/>
      <c r="AX42" s="2052"/>
      <c r="AY42" s="2052"/>
      <c r="AZ42" s="2052"/>
      <c r="BA42" s="93"/>
      <c r="BB42" s="111"/>
      <c r="BC42" s="111"/>
      <c r="BD42" s="91"/>
      <c r="BE42" s="108"/>
      <c r="BF42" s="108"/>
      <c r="BG42" s="108"/>
      <c r="BH42" s="108"/>
      <c r="BI42" s="108"/>
      <c r="BJ42" s="108"/>
      <c r="BK42" s="122"/>
      <c r="BL42" s="2073"/>
      <c r="BM42" s="2073"/>
      <c r="BN42" s="2073"/>
      <c r="BO42" s="2073"/>
      <c r="BP42" s="2073"/>
      <c r="BQ42" s="2073"/>
      <c r="BR42" s="93"/>
      <c r="BS42" s="111"/>
      <c r="BT42" s="111"/>
      <c r="BU42" s="91"/>
      <c r="BV42" s="108"/>
      <c r="BW42" s="108"/>
      <c r="BX42" s="108"/>
      <c r="BY42" s="108"/>
      <c r="BZ42" s="108"/>
      <c r="CA42" s="108"/>
      <c r="CB42" s="122"/>
      <c r="CC42" s="2076"/>
      <c r="CD42" s="2076"/>
      <c r="CE42" s="2076"/>
      <c r="CF42" s="2076"/>
      <c r="CG42" s="2076"/>
      <c r="CH42" s="2076"/>
      <c r="CI42" s="93"/>
      <c r="CJ42" s="105"/>
      <c r="CK42" s="92"/>
      <c r="CL42" s="91"/>
      <c r="CM42" s="139"/>
      <c r="CN42" s="108"/>
      <c r="CO42" s="108"/>
      <c r="CP42" s="108"/>
      <c r="CQ42" s="108"/>
      <c r="CR42" s="108"/>
      <c r="CS42" s="108"/>
      <c r="CT42" s="122"/>
      <c r="CU42" s="2079"/>
      <c r="CV42" s="2079"/>
      <c r="CW42" s="2079"/>
      <c r="CX42" s="2079"/>
      <c r="CY42" s="2079"/>
      <c r="CZ42" s="2079"/>
      <c r="DA42" s="2079"/>
      <c r="DB42" s="2079"/>
      <c r="DC42" s="2079"/>
      <c r="DD42" s="2079"/>
      <c r="DE42" s="2079"/>
      <c r="DF42" s="2079"/>
      <c r="DG42" s="90"/>
      <c r="DH42" s="87"/>
      <c r="DI42" s="92"/>
      <c r="DJ42" s="1594"/>
      <c r="DK42" s="1595"/>
      <c r="DL42" s="1596"/>
      <c r="DM42" s="1596"/>
      <c r="DN42" s="1596"/>
      <c r="DO42" s="1596"/>
      <c r="DP42" s="1596"/>
      <c r="DQ42" s="1596"/>
      <c r="DR42" s="1582"/>
      <c r="DS42" s="1597"/>
      <c r="DT42" s="1597"/>
      <c r="DU42" s="1597"/>
      <c r="DV42" s="1597"/>
      <c r="DW42" s="2064"/>
      <c r="DX42" s="2064"/>
      <c r="DY42" s="2064"/>
      <c r="DZ42" s="2064"/>
      <c r="EA42" s="2064"/>
      <c r="EB42" s="2064"/>
      <c r="EC42" s="2064"/>
      <c r="ED42" s="2064"/>
      <c r="EE42" s="2064"/>
      <c r="EF42" s="2064"/>
      <c r="EG42" s="2064"/>
      <c r="EH42" s="2064"/>
      <c r="EI42" s="90"/>
      <c r="EJ42" s="596"/>
      <c r="EK42" s="87"/>
      <c r="EL42" s="112"/>
      <c r="EM42" s="118"/>
      <c r="EN42" s="109"/>
      <c r="EO42" s="109"/>
      <c r="EP42" s="597"/>
      <c r="EQ42" s="597"/>
      <c r="ER42" s="597"/>
      <c r="ES42" s="597"/>
      <c r="ET42" s="3"/>
      <c r="EU42" s="3"/>
      <c r="EV42" s="3"/>
      <c r="EW42" s="3"/>
      <c r="EX42" s="87"/>
      <c r="EY42" s="87"/>
      <c r="EZ42" s="87"/>
      <c r="FA42" s="87"/>
      <c r="FB42" s="87"/>
      <c r="GU42" s="1587"/>
      <c r="GV42" s="1587"/>
      <c r="GW42" s="1587"/>
      <c r="GX42" s="1587"/>
      <c r="GY42" s="1587"/>
      <c r="GZ42" s="1587"/>
    </row>
    <row r="43" spans="1:208" ht="9" customHeight="1" thickTop="1" thickBot="1">
      <c r="A43" s="87"/>
      <c r="B43" s="112"/>
      <c r="C43" s="116"/>
      <c r="D43" s="140"/>
      <c r="E43" s="140"/>
      <c r="F43" s="141"/>
      <c r="G43" s="142"/>
      <c r="H43" s="142"/>
      <c r="I43" s="142"/>
      <c r="J43" s="116"/>
      <c r="K43" s="116"/>
      <c r="L43" s="116"/>
      <c r="M43" s="143"/>
      <c r="N43" s="87"/>
      <c r="O43" s="117"/>
      <c r="P43" s="87"/>
      <c r="Q43" s="87"/>
      <c r="R43" s="87"/>
      <c r="S43" s="1887"/>
      <c r="T43" s="1887"/>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89"/>
      <c r="BH43" s="89"/>
      <c r="BI43" s="89"/>
      <c r="BJ43" s="89"/>
      <c r="BK43" s="89"/>
      <c r="BL43" s="89"/>
      <c r="BM43" s="89"/>
      <c r="BN43" s="89"/>
      <c r="BO43" s="89"/>
      <c r="BP43" s="89"/>
      <c r="BQ43" s="89"/>
      <c r="BR43" s="89"/>
      <c r="BS43" s="89"/>
      <c r="BT43" s="89"/>
      <c r="BU43" s="89"/>
      <c r="BV43" s="89"/>
      <c r="BW43" s="89"/>
      <c r="BX43" s="89"/>
      <c r="BY43" s="89"/>
      <c r="BZ43" s="89"/>
      <c r="CA43" s="89"/>
      <c r="CB43" s="89"/>
      <c r="CC43" s="89"/>
      <c r="CD43" s="89"/>
      <c r="CE43" s="89"/>
      <c r="CF43" s="89"/>
      <c r="CG43" s="89"/>
      <c r="CH43" s="89"/>
      <c r="CI43" s="89"/>
      <c r="CJ43" s="89"/>
      <c r="CK43" s="89"/>
      <c r="CL43" s="89"/>
      <c r="CM43" s="89"/>
      <c r="CN43" s="89"/>
      <c r="CO43" s="89"/>
      <c r="CP43" s="89"/>
      <c r="CQ43" s="89"/>
      <c r="CR43" s="89"/>
      <c r="CS43" s="89"/>
      <c r="CT43" s="89"/>
      <c r="CU43" s="89"/>
      <c r="CV43" s="89"/>
      <c r="CW43" s="87"/>
      <c r="CX43" s="87"/>
      <c r="CY43" s="87"/>
      <c r="CZ43" s="87"/>
      <c r="DA43" s="87"/>
      <c r="DB43" s="87"/>
      <c r="DC43" s="87"/>
      <c r="DD43" s="87"/>
      <c r="DE43" s="87"/>
      <c r="DF43" s="87"/>
      <c r="DG43" s="87"/>
      <c r="DH43" s="87"/>
      <c r="DI43" s="597"/>
      <c r="DJ43" s="597"/>
      <c r="DK43" s="252"/>
      <c r="DL43" s="252"/>
      <c r="DM43" s="1581"/>
      <c r="DN43" s="252"/>
      <c r="DO43" s="1581"/>
      <c r="DZ43" s="1590"/>
      <c r="EA43" s="1590"/>
      <c r="EB43" s="1590"/>
      <c r="EC43" s="1590"/>
      <c r="ED43" s="1590"/>
      <c r="EE43" s="1590"/>
      <c r="EF43" s="1590"/>
      <c r="EG43" s="1590"/>
      <c r="EH43" s="1590"/>
      <c r="EI43" s="1590"/>
      <c r="EJ43" s="118"/>
      <c r="EK43" s="109"/>
      <c r="EL43" s="144"/>
      <c r="EM43" s="109"/>
      <c r="EN43" s="118"/>
      <c r="EO43" s="109"/>
      <c r="EP43" s="597"/>
      <c r="EQ43" s="597"/>
      <c r="ER43" s="597"/>
      <c r="ES43" s="597"/>
      <c r="ET43" s="3"/>
      <c r="EU43" s="3"/>
      <c r="EV43" s="3"/>
      <c r="EW43" s="3"/>
      <c r="EX43" s="3"/>
      <c r="EY43" s="3"/>
      <c r="EZ43" s="3"/>
      <c r="FA43" s="1581"/>
      <c r="FB43" s="1581"/>
    </row>
    <row r="44" spans="1:208" ht="9" customHeight="1" thickTop="1" thickBot="1">
      <c r="A44" s="87"/>
      <c r="B44" s="87"/>
      <c r="C44" s="87"/>
      <c r="D44" s="87"/>
      <c r="E44" s="87"/>
      <c r="F44" s="88"/>
      <c r="G44" s="88"/>
      <c r="H44" s="88"/>
      <c r="I44" s="88"/>
      <c r="J44" s="87"/>
      <c r="K44" s="87"/>
      <c r="L44" s="87"/>
      <c r="M44" s="87"/>
      <c r="N44" s="87"/>
      <c r="O44" s="117"/>
      <c r="P44" s="87"/>
      <c r="Q44" s="87"/>
      <c r="R44" s="87"/>
      <c r="S44" s="1887"/>
      <c r="T44" s="1887"/>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45"/>
      <c r="AZ44" s="145"/>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c r="BX44" s="145"/>
      <c r="BY44" s="145"/>
      <c r="BZ44" s="145"/>
      <c r="CA44" s="145"/>
      <c r="CB44" s="145"/>
      <c r="CC44" s="145"/>
      <c r="CD44" s="145"/>
      <c r="CE44" s="145"/>
      <c r="CF44" s="145"/>
      <c r="CG44" s="145"/>
      <c r="CH44" s="145"/>
      <c r="CI44" s="145"/>
      <c r="CJ44" s="145"/>
      <c r="CK44" s="145"/>
      <c r="CL44" s="145"/>
      <c r="CM44" s="145"/>
      <c r="CN44" s="145"/>
      <c r="CO44" s="145"/>
      <c r="CP44" s="145"/>
      <c r="CQ44" s="145"/>
      <c r="CR44" s="145"/>
      <c r="CS44" s="145"/>
      <c r="CT44" s="145"/>
      <c r="CU44" s="145"/>
      <c r="CV44" s="145"/>
      <c r="CW44" s="145"/>
      <c r="CX44" s="145"/>
      <c r="CY44" s="145"/>
      <c r="CZ44" s="145"/>
      <c r="DA44" s="145"/>
      <c r="DB44" s="145"/>
      <c r="DC44" s="145"/>
      <c r="DD44" s="145"/>
      <c r="DE44" s="145"/>
      <c r="DF44" s="145"/>
      <c r="DG44" s="145"/>
      <c r="DH44" s="145"/>
      <c r="DI44" s="1582"/>
      <c r="DJ44" s="1582"/>
      <c r="DK44" s="1582"/>
      <c r="DL44" s="1582"/>
      <c r="DM44" s="145"/>
      <c r="DN44" s="145"/>
      <c r="DO44" s="145"/>
      <c r="DP44" s="145"/>
      <c r="DQ44" s="145"/>
      <c r="DR44" s="145"/>
      <c r="DS44" s="145"/>
      <c r="DT44" s="145"/>
      <c r="DU44" s="145"/>
      <c r="DV44" s="145"/>
      <c r="DW44" s="145"/>
      <c r="DX44" s="145"/>
      <c r="DY44" s="145"/>
      <c r="DZ44" s="145"/>
      <c r="EA44" s="145"/>
      <c r="EB44" s="145"/>
      <c r="EC44" s="145"/>
      <c r="ED44" s="145"/>
      <c r="EE44" s="145"/>
      <c r="EF44" s="145"/>
      <c r="EG44" s="145"/>
      <c r="EH44" s="145"/>
      <c r="EI44" s="145"/>
      <c r="EJ44" s="122"/>
      <c r="EK44" s="144"/>
      <c r="EL44" s="118"/>
      <c r="EM44" s="118"/>
      <c r="EN44" s="109"/>
      <c r="EO44" s="109"/>
      <c r="EP44" s="252"/>
      <c r="EQ44" s="252"/>
      <c r="ER44" s="252"/>
      <c r="ES44" s="252"/>
      <c r="ET44" s="3"/>
      <c r="EU44" s="3"/>
      <c r="EV44" s="3"/>
      <c r="EW44" s="3"/>
      <c r="EX44" s="3"/>
      <c r="EY44" s="3"/>
      <c r="EZ44" s="3"/>
      <c r="FA44" s="1581"/>
      <c r="FB44" s="1581"/>
    </row>
    <row r="45" spans="1:208" ht="9" customHeight="1" thickTop="1">
      <c r="A45" s="87"/>
      <c r="B45" s="117"/>
      <c r="C45" s="117"/>
      <c r="D45" s="117"/>
      <c r="E45" s="117"/>
      <c r="F45" s="146"/>
      <c r="G45" s="146"/>
      <c r="H45" s="146"/>
      <c r="I45" s="146"/>
      <c r="J45" s="117"/>
      <c r="K45" s="117"/>
      <c r="L45" s="117"/>
      <c r="M45" s="117"/>
      <c r="N45" s="117"/>
      <c r="O45" s="11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c r="CX45" s="87"/>
      <c r="CY45" s="87"/>
      <c r="CZ45" s="87"/>
      <c r="DA45" s="87"/>
      <c r="DB45" s="87"/>
      <c r="DC45" s="87"/>
      <c r="DD45" s="87"/>
      <c r="DE45" s="87"/>
      <c r="DF45" s="87"/>
      <c r="DG45" s="87"/>
      <c r="DH45" s="87"/>
      <c r="DI45" s="597"/>
      <c r="DJ45" s="597"/>
      <c r="DK45" s="1581"/>
      <c r="DL45" s="1581"/>
      <c r="DM45" s="1581"/>
      <c r="DN45" s="1581"/>
      <c r="DO45" s="1581"/>
      <c r="EJ45" s="596"/>
      <c r="EK45" s="301"/>
      <c r="EL45" s="109"/>
      <c r="EM45" s="109"/>
      <c r="EN45" s="109"/>
      <c r="EO45" s="109"/>
      <c r="EP45" s="597"/>
      <c r="EQ45" s="597"/>
      <c r="ER45" s="597"/>
      <c r="ES45" s="597"/>
      <c r="ET45" s="3"/>
      <c r="EU45" s="3"/>
      <c r="EV45" s="3"/>
      <c r="EW45" s="3"/>
      <c r="EX45" s="3"/>
      <c r="EY45" s="3"/>
      <c r="EZ45" s="3"/>
      <c r="FA45" s="1581"/>
      <c r="FB45" s="1581"/>
    </row>
    <row r="46" spans="1:208" ht="9" customHeight="1">
      <c r="A46" s="87"/>
      <c r="B46" s="117"/>
      <c r="C46" s="87"/>
      <c r="D46" s="87"/>
      <c r="E46" s="87"/>
      <c r="F46" s="88"/>
      <c r="G46" s="88"/>
      <c r="H46" s="88"/>
      <c r="I46" s="88"/>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109"/>
      <c r="BN46" s="109"/>
      <c r="BO46" s="109"/>
      <c r="BP46" s="87"/>
      <c r="BQ46" s="87"/>
      <c r="BR46" s="109"/>
      <c r="BS46" s="109"/>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1581"/>
      <c r="DJ46" s="597"/>
      <c r="DK46" s="597"/>
      <c r="DL46" s="597"/>
      <c r="DM46" s="597"/>
      <c r="DN46" s="597"/>
      <c r="DO46" s="597"/>
      <c r="DP46" s="3"/>
      <c r="DQ46" s="3"/>
      <c r="DR46" s="3"/>
      <c r="EG46" s="3"/>
      <c r="EH46" s="3"/>
      <c r="EI46" s="3"/>
      <c r="EJ46" s="118"/>
      <c r="EK46" s="118"/>
      <c r="EL46" s="109"/>
      <c r="EM46" s="109"/>
      <c r="EN46" s="109"/>
      <c r="EO46" s="109"/>
      <c r="EP46" s="597"/>
      <c r="EQ46" s="597"/>
      <c r="ER46" s="597"/>
      <c r="ES46" s="597"/>
      <c r="ET46" s="597"/>
      <c r="EU46" s="597"/>
      <c r="EV46" s="252"/>
      <c r="EW46" s="252"/>
      <c r="EX46" s="252"/>
      <c r="EY46" s="252"/>
      <c r="EZ46" s="252"/>
      <c r="FA46" s="1581"/>
      <c r="FB46" s="1581"/>
    </row>
    <row r="47" spans="1:208" ht="9" customHeight="1">
      <c r="A47" s="87"/>
      <c r="B47" s="117"/>
      <c r="C47" s="87"/>
      <c r="D47" s="2080"/>
      <c r="E47" s="2080"/>
      <c r="F47" s="147"/>
      <c r="G47" s="147"/>
      <c r="H47" s="88"/>
      <c r="I47" s="148"/>
      <c r="J47" s="149"/>
      <c r="K47" s="89"/>
      <c r="L47" s="87"/>
      <c r="M47" s="87"/>
      <c r="N47" s="87"/>
      <c r="O47" s="87"/>
      <c r="P47" s="87"/>
      <c r="Q47" s="87"/>
      <c r="R47" s="87"/>
      <c r="S47" s="87"/>
      <c r="T47" s="87"/>
      <c r="U47" s="87"/>
      <c r="V47" s="87"/>
      <c r="W47" s="87"/>
      <c r="X47" s="87"/>
      <c r="Y47" s="87"/>
      <c r="Z47" s="87"/>
      <c r="AA47" s="87"/>
      <c r="AB47" s="87"/>
      <c r="AC47" s="87"/>
      <c r="AD47" s="87"/>
      <c r="AE47" s="87"/>
      <c r="AF47" s="87"/>
      <c r="AG47" s="87"/>
      <c r="AH47" s="87"/>
      <c r="AI47" s="1281"/>
      <c r="AJ47" s="1281"/>
      <c r="AK47" s="1281"/>
      <c r="AL47" s="1281"/>
      <c r="AM47" s="1281"/>
      <c r="AN47" s="1281"/>
      <c r="AO47" s="1281"/>
      <c r="AP47" s="1281"/>
      <c r="AQ47" s="1281"/>
      <c r="AR47" s="1281"/>
      <c r="AS47" s="1281"/>
      <c r="AT47" s="1281"/>
      <c r="AU47" s="1281"/>
      <c r="AV47" s="1281"/>
      <c r="AW47" s="1281"/>
      <c r="AX47" s="1281"/>
      <c r="AY47" s="1281"/>
      <c r="AZ47" s="1281"/>
      <c r="BA47" s="1231"/>
      <c r="BB47" s="1281"/>
      <c r="BC47" s="1281"/>
      <c r="BD47" s="1281"/>
      <c r="BE47" s="1281"/>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c r="CX47" s="87"/>
      <c r="CY47" s="87"/>
      <c r="CZ47" s="87"/>
      <c r="DA47" s="87"/>
      <c r="DB47" s="87"/>
      <c r="DC47" s="87"/>
      <c r="DD47" s="87"/>
      <c r="DE47" s="87"/>
      <c r="DF47" s="87"/>
      <c r="DG47" s="87"/>
      <c r="DH47" s="87"/>
      <c r="DI47" s="1581"/>
      <c r="DJ47" s="252"/>
      <c r="DK47" s="252"/>
      <c r="DL47" s="252"/>
      <c r="DM47" s="252"/>
      <c r="DN47" s="252"/>
      <c r="DO47" s="252"/>
      <c r="DP47" s="3"/>
      <c r="DQ47" s="3"/>
      <c r="DR47" s="3"/>
      <c r="EG47" s="3"/>
      <c r="EH47" s="3"/>
      <c r="EI47" s="3"/>
      <c r="EJ47" s="3"/>
      <c r="EK47" s="3"/>
      <c r="EL47" s="252"/>
      <c r="EM47" s="252"/>
      <c r="EN47" s="252"/>
      <c r="EO47" s="252"/>
      <c r="EP47" s="252"/>
      <c r="EQ47" s="252"/>
      <c r="ER47" s="252"/>
      <c r="ES47" s="252"/>
      <c r="ET47" s="252"/>
      <c r="EU47" s="252"/>
      <c r="EV47" s="252"/>
      <c r="EW47" s="252"/>
      <c r="EX47" s="252"/>
      <c r="EY47" s="252"/>
      <c r="EZ47" s="252"/>
      <c r="FA47" s="1581"/>
      <c r="FB47" s="1581"/>
    </row>
    <row r="48" spans="1:208" ht="9" customHeight="1" thickBot="1">
      <c r="A48" s="87"/>
      <c r="B48" s="117"/>
      <c r="C48" s="87"/>
      <c r="D48" s="2080"/>
      <c r="E48" s="2080"/>
      <c r="F48" s="147"/>
      <c r="G48" s="147"/>
      <c r="H48" s="88"/>
      <c r="I48" s="148"/>
      <c r="J48" s="149"/>
      <c r="K48" s="89"/>
      <c r="L48" s="87"/>
      <c r="M48" s="87"/>
      <c r="N48" s="87"/>
      <c r="O48" s="87"/>
      <c r="P48" s="87"/>
      <c r="Q48" s="87"/>
      <c r="R48" s="87"/>
      <c r="S48" s="87"/>
      <c r="T48" s="87"/>
      <c r="U48" s="87"/>
      <c r="V48" s="87"/>
      <c r="W48" s="87"/>
      <c r="X48" s="87"/>
      <c r="Y48" s="87"/>
      <c r="Z48" s="87"/>
      <c r="AA48" s="87"/>
      <c r="AB48" s="87"/>
      <c r="AC48" s="87"/>
      <c r="AD48" s="87"/>
      <c r="AE48" s="87"/>
      <c r="AF48" s="87"/>
      <c r="AG48" s="87"/>
      <c r="AH48" s="87"/>
      <c r="AI48" s="2025" t="s">
        <v>3576</v>
      </c>
      <c r="AJ48" s="2025"/>
      <c r="AK48" s="2025"/>
      <c r="AL48" s="2025"/>
      <c r="AM48" s="2025"/>
      <c r="AN48" s="2025"/>
      <c r="AO48" s="2025"/>
      <c r="AP48" s="2025"/>
      <c r="AQ48" s="2025"/>
      <c r="AR48" s="2025"/>
      <c r="AS48" s="1282"/>
      <c r="AT48" s="1282"/>
      <c r="AU48" s="1282"/>
      <c r="AV48" s="2025" t="s">
        <v>3577</v>
      </c>
      <c r="AW48" s="2025"/>
      <c r="AX48" s="2025"/>
      <c r="AY48" s="2025"/>
      <c r="AZ48" s="2025"/>
      <c r="BA48" s="2025"/>
      <c r="BB48" s="2025"/>
      <c r="BC48" s="2025"/>
      <c r="BD48" s="2025"/>
      <c r="BE48" s="2025"/>
      <c r="BF48" s="87"/>
      <c r="BG48" s="87"/>
      <c r="BH48" s="87"/>
      <c r="BI48" s="87"/>
      <c r="BJ48" s="87"/>
      <c r="BK48" s="87"/>
      <c r="BL48" s="87"/>
      <c r="BM48" s="87"/>
      <c r="BN48" s="87"/>
      <c r="BO48" s="109"/>
      <c r="BP48" s="109"/>
      <c r="BQ48" s="109"/>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c r="CX48" s="87"/>
      <c r="CY48" s="87"/>
      <c r="CZ48" s="87"/>
      <c r="DA48" s="87"/>
      <c r="DB48" s="87"/>
      <c r="DC48" s="87"/>
      <c r="DD48" s="87"/>
      <c r="DE48" s="87"/>
      <c r="DF48" s="87"/>
      <c r="DG48" s="87"/>
      <c r="DH48" s="87"/>
      <c r="DI48" s="1581"/>
      <c r="DJ48" s="252"/>
      <c r="DK48" s="252"/>
      <c r="DL48" s="252"/>
      <c r="DM48" s="252"/>
      <c r="DN48" s="252"/>
      <c r="DO48" s="252"/>
      <c r="DP48" s="3"/>
      <c r="DQ48" s="3"/>
      <c r="DR48" s="3"/>
      <c r="EL48" s="1581"/>
      <c r="EM48" s="1581"/>
      <c r="EN48" s="1581"/>
      <c r="EO48" s="1581"/>
      <c r="EP48" s="1581"/>
      <c r="EQ48" s="1581"/>
      <c r="ER48" s="1581"/>
      <c r="ES48" s="1581"/>
      <c r="ET48" s="1581"/>
      <c r="EU48" s="1581"/>
      <c r="EV48" s="1581"/>
      <c r="EW48" s="1581"/>
      <c r="EX48" s="1581"/>
      <c r="EY48" s="1581"/>
      <c r="EZ48" s="1581"/>
      <c r="FA48" s="1581"/>
      <c r="FB48" s="1581"/>
    </row>
    <row r="49" spans="1:158" ht="9" customHeight="1" thickTop="1" thickBot="1">
      <c r="A49" s="87"/>
      <c r="B49" s="117"/>
      <c r="C49" s="87"/>
      <c r="D49" s="2080"/>
      <c r="E49" s="2080"/>
      <c r="F49" s="147"/>
      <c r="G49" s="147"/>
      <c r="H49" s="88"/>
      <c r="I49" s="148"/>
      <c r="J49" s="149"/>
      <c r="K49" s="89"/>
      <c r="L49" s="87"/>
      <c r="M49" s="87"/>
      <c r="N49" s="87"/>
      <c r="O49" s="87"/>
      <c r="P49" s="87"/>
      <c r="Q49" s="87"/>
      <c r="R49" s="87"/>
      <c r="S49" s="87"/>
      <c r="T49" s="87"/>
      <c r="U49" s="87"/>
      <c r="V49" s="87"/>
      <c r="W49" s="87"/>
      <c r="X49" s="87"/>
      <c r="Y49" s="87"/>
      <c r="Z49" s="87"/>
      <c r="AA49" s="87"/>
      <c r="AB49" s="87"/>
      <c r="AC49" s="87"/>
      <c r="AD49" s="87"/>
      <c r="AE49" s="87"/>
      <c r="AF49" s="87"/>
      <c r="AG49" s="87"/>
      <c r="AH49" s="87"/>
      <c r="AI49" s="2025"/>
      <c r="AJ49" s="2025"/>
      <c r="AK49" s="2025"/>
      <c r="AL49" s="2025"/>
      <c r="AM49" s="2025"/>
      <c r="AN49" s="2025"/>
      <c r="AO49" s="2025"/>
      <c r="AP49" s="2025"/>
      <c r="AQ49" s="2025"/>
      <c r="AR49" s="2025"/>
      <c r="AS49" s="1282"/>
      <c r="AT49" s="1282"/>
      <c r="AU49" s="1282"/>
      <c r="AV49" s="2025"/>
      <c r="AW49" s="2025"/>
      <c r="AX49" s="2025"/>
      <c r="AY49" s="2025"/>
      <c r="AZ49" s="2025"/>
      <c r="BA49" s="2025"/>
      <c r="BB49" s="2025"/>
      <c r="BC49" s="2025"/>
      <c r="BD49" s="2025"/>
      <c r="BE49" s="2025"/>
      <c r="BF49" s="87"/>
      <c r="BG49" s="87"/>
      <c r="BH49" s="87"/>
      <c r="BI49" s="87"/>
      <c r="BJ49" s="150"/>
      <c r="BK49" s="151"/>
      <c r="BL49" s="152"/>
      <c r="BM49" s="152"/>
      <c r="BN49" s="152"/>
      <c r="BO49" s="2082"/>
      <c r="BP49" s="2082"/>
      <c r="BQ49" s="2082"/>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c r="CX49" s="87"/>
      <c r="CY49" s="87"/>
      <c r="CZ49" s="87"/>
      <c r="DA49" s="87"/>
      <c r="DB49" s="87"/>
      <c r="DC49" s="87"/>
      <c r="DD49" s="87"/>
      <c r="DE49" s="87"/>
      <c r="DF49" s="87"/>
      <c r="DG49" s="87"/>
      <c r="DH49" s="87"/>
      <c r="DI49" s="1581"/>
      <c r="DJ49" s="1581"/>
      <c r="DK49" s="1581"/>
      <c r="DL49" s="1581"/>
      <c r="DM49" s="1581"/>
      <c r="DN49" s="1581"/>
      <c r="DO49" s="1581"/>
      <c r="DP49" s="1581"/>
      <c r="DQ49" s="1581"/>
      <c r="DR49" s="1581"/>
      <c r="DS49" s="1581"/>
      <c r="DT49" s="1581"/>
      <c r="DU49" s="1581"/>
      <c r="DV49" s="1581"/>
      <c r="DW49" s="1581"/>
      <c r="DX49" s="1581"/>
      <c r="DY49" s="1581"/>
      <c r="DZ49" s="1581"/>
      <c r="EA49" s="1581"/>
      <c r="EB49" s="1581"/>
      <c r="EC49" s="1581"/>
      <c r="ED49" s="1581"/>
      <c r="EE49" s="1581"/>
      <c r="EF49" s="1581"/>
      <c r="EG49" s="1581"/>
      <c r="EH49" s="1581"/>
      <c r="EI49" s="1581"/>
      <c r="EJ49" s="1581"/>
      <c r="EK49" s="1581"/>
      <c r="EL49" s="1581"/>
      <c r="EM49" s="1581"/>
      <c r="EN49" s="1581"/>
      <c r="EO49" s="1581"/>
      <c r="EP49" s="1581"/>
      <c r="EQ49" s="1581"/>
      <c r="ER49" s="1581"/>
      <c r="ES49" s="1581"/>
      <c r="ET49" s="1581"/>
      <c r="EU49" s="1581"/>
      <c r="EV49" s="1581"/>
      <c r="EW49" s="1581"/>
      <c r="EX49" s="1581"/>
      <c r="EY49" s="1581"/>
      <c r="EZ49" s="1581"/>
      <c r="FA49" s="1581"/>
      <c r="FB49" s="1581"/>
    </row>
    <row r="50" spans="1:158" ht="9" customHeight="1" thickTop="1" thickBot="1">
      <c r="A50" s="87"/>
      <c r="B50" s="117"/>
      <c r="C50" s="87"/>
      <c r="D50" s="2080"/>
      <c r="E50" s="2080"/>
      <c r="F50" s="147"/>
      <c r="G50" s="147"/>
      <c r="H50" s="88"/>
      <c r="I50" s="148"/>
      <c r="J50" s="149"/>
      <c r="K50" s="89"/>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152"/>
      <c r="BK50" s="152"/>
      <c r="BL50" s="2082"/>
      <c r="BM50" s="2082"/>
      <c r="BN50" s="2082"/>
      <c r="BO50" s="2082"/>
      <c r="BP50" s="2082"/>
      <c r="BQ50" s="2082"/>
      <c r="BR50" s="87"/>
      <c r="BS50" s="87"/>
      <c r="BT50" s="87"/>
      <c r="BU50" s="87"/>
      <c r="BV50" s="153"/>
      <c r="BW50" s="1918" t="s">
        <v>3578</v>
      </c>
      <c r="BX50" s="1918"/>
      <c r="BY50" s="1918"/>
      <c r="BZ50" s="1918"/>
      <c r="CA50" s="1918"/>
      <c r="CB50" s="1918"/>
      <c r="CC50" s="1918"/>
      <c r="CD50" s="1918"/>
      <c r="CE50" s="1918"/>
      <c r="CF50" s="1918"/>
      <c r="CG50" s="1918"/>
      <c r="CH50" s="1918"/>
      <c r="CI50" s="1918"/>
      <c r="CJ50" s="1918"/>
      <c r="CK50" s="1918"/>
      <c r="CL50" s="1918"/>
      <c r="CM50" s="1918"/>
      <c r="CN50" s="1918"/>
      <c r="CO50" s="1918"/>
      <c r="CP50" s="1918"/>
      <c r="CQ50" s="1918"/>
      <c r="CR50" s="1918"/>
      <c r="CS50" s="154"/>
      <c r="CT50" s="87"/>
      <c r="CU50" s="87"/>
      <c r="CV50" s="87"/>
      <c r="CW50" s="87"/>
      <c r="CX50" s="87"/>
      <c r="CY50" s="87"/>
      <c r="CZ50" s="87"/>
      <c r="DA50" s="87"/>
      <c r="DB50" s="87"/>
      <c r="DC50" s="87"/>
      <c r="DD50" s="87"/>
      <c r="DE50" s="87"/>
      <c r="DF50" s="87"/>
      <c r="DG50" s="87"/>
      <c r="DH50" s="87"/>
      <c r="DI50" s="87"/>
      <c r="DJ50" s="87"/>
      <c r="DK50" s="87"/>
      <c r="DL50" s="87"/>
      <c r="DM50" s="87"/>
      <c r="DN50" s="87"/>
      <c r="DO50" s="87"/>
      <c r="DP50" s="153"/>
      <c r="DQ50" s="1918" t="s">
        <v>3579</v>
      </c>
      <c r="DR50" s="1918"/>
      <c r="DS50" s="1918"/>
      <c r="DT50" s="1918"/>
      <c r="DU50" s="1918"/>
      <c r="DV50" s="1918"/>
      <c r="DW50" s="1918"/>
      <c r="DX50" s="1918"/>
      <c r="DY50" s="1918"/>
      <c r="DZ50" s="1918"/>
      <c r="EA50" s="1918"/>
      <c r="EB50" s="1918"/>
      <c r="EC50" s="1918"/>
      <c r="ED50" s="1918"/>
      <c r="EE50" s="1918"/>
      <c r="EF50" s="1918"/>
      <c r="EG50" s="1918"/>
      <c r="EH50" s="1918"/>
      <c r="EI50" s="1918"/>
      <c r="EJ50" s="1918"/>
      <c r="EK50" s="1918"/>
      <c r="EL50" s="1918"/>
      <c r="EM50" s="154"/>
      <c r="EN50" s="87"/>
      <c r="EO50" s="87"/>
      <c r="EP50" s="87"/>
      <c r="EQ50" s="87"/>
      <c r="ER50" s="87"/>
      <c r="ES50" s="87"/>
      <c r="ET50" s="87"/>
      <c r="EU50" s="87"/>
      <c r="EV50" s="87"/>
      <c r="EW50" s="87"/>
      <c r="EX50" s="87"/>
      <c r="EY50" s="87"/>
      <c r="EZ50" s="87"/>
      <c r="FA50" s="87"/>
      <c r="FB50" s="87"/>
    </row>
    <row r="51" spans="1:158" ht="9" customHeight="1" thickTop="1">
      <c r="A51" s="87"/>
      <c r="B51" s="117"/>
      <c r="C51" s="87"/>
      <c r="D51" s="2080"/>
      <c r="E51" s="2080"/>
      <c r="F51" s="155"/>
      <c r="G51" s="156"/>
      <c r="H51" s="156"/>
      <c r="I51" s="156"/>
      <c r="J51" s="156"/>
      <c r="K51" s="156"/>
      <c r="L51" s="156"/>
      <c r="M51" s="156"/>
      <c r="N51" s="156"/>
      <c r="O51" s="157"/>
      <c r="P51" s="157"/>
      <c r="Q51" s="157"/>
      <c r="R51" s="157"/>
      <c r="S51" s="157"/>
      <c r="T51" s="157"/>
      <c r="U51" s="157"/>
      <c r="V51" s="157"/>
      <c r="W51" s="157"/>
      <c r="X51" s="157"/>
      <c r="Y51" s="157"/>
      <c r="Z51" s="157"/>
      <c r="AA51" s="157"/>
      <c r="AB51" s="157"/>
      <c r="AC51" s="157"/>
      <c r="AD51" s="157"/>
      <c r="AE51" s="154"/>
      <c r="AF51" s="87"/>
      <c r="AG51" s="87"/>
      <c r="AH51" s="87"/>
      <c r="AI51" s="158"/>
      <c r="AJ51" s="159"/>
      <c r="AK51" s="159"/>
      <c r="AL51" s="159"/>
      <c r="AM51" s="159"/>
      <c r="AN51" s="159"/>
      <c r="AO51" s="159"/>
      <c r="AP51" s="159"/>
      <c r="AQ51" s="159"/>
      <c r="AR51" s="160"/>
      <c r="AS51" s="109"/>
      <c r="AT51" s="87"/>
      <c r="AU51" s="87"/>
      <c r="AV51" s="158"/>
      <c r="AW51" s="159"/>
      <c r="AX51" s="159"/>
      <c r="AY51" s="159"/>
      <c r="AZ51" s="159"/>
      <c r="BA51" s="159"/>
      <c r="BB51" s="159"/>
      <c r="BC51" s="159"/>
      <c r="BD51" s="159"/>
      <c r="BE51" s="160"/>
      <c r="BF51" s="87"/>
      <c r="BG51" s="87"/>
      <c r="BH51" s="87"/>
      <c r="BI51" s="87"/>
      <c r="BJ51" s="87"/>
      <c r="BK51" s="87"/>
      <c r="BL51" s="2082"/>
      <c r="BM51" s="2082"/>
      <c r="BN51" s="2082"/>
      <c r="BO51" s="2082"/>
      <c r="BP51" s="2082"/>
      <c r="BQ51" s="2082"/>
      <c r="BR51" s="161"/>
      <c r="BS51" s="161"/>
      <c r="BT51" s="161"/>
      <c r="BU51" s="161"/>
      <c r="BV51" s="162"/>
      <c r="BW51" s="1919"/>
      <c r="BX51" s="1919"/>
      <c r="BY51" s="1919"/>
      <c r="BZ51" s="1919"/>
      <c r="CA51" s="1919"/>
      <c r="CB51" s="1919"/>
      <c r="CC51" s="1919"/>
      <c r="CD51" s="1919"/>
      <c r="CE51" s="1919"/>
      <c r="CF51" s="1919"/>
      <c r="CG51" s="1919"/>
      <c r="CH51" s="1919"/>
      <c r="CI51" s="1919"/>
      <c r="CJ51" s="1919"/>
      <c r="CK51" s="1919"/>
      <c r="CL51" s="1919"/>
      <c r="CM51" s="1919"/>
      <c r="CN51" s="1919"/>
      <c r="CO51" s="1919"/>
      <c r="CP51" s="1919"/>
      <c r="CQ51" s="1919"/>
      <c r="CR51" s="1919"/>
      <c r="CS51" s="163"/>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2"/>
      <c r="DQ51" s="1919"/>
      <c r="DR51" s="1919"/>
      <c r="DS51" s="1919"/>
      <c r="DT51" s="1919"/>
      <c r="DU51" s="1919"/>
      <c r="DV51" s="1919"/>
      <c r="DW51" s="1919"/>
      <c r="DX51" s="1919"/>
      <c r="DY51" s="1919"/>
      <c r="DZ51" s="1919"/>
      <c r="EA51" s="1919"/>
      <c r="EB51" s="1919"/>
      <c r="EC51" s="1919"/>
      <c r="ED51" s="1919"/>
      <c r="EE51" s="1919"/>
      <c r="EF51" s="1919"/>
      <c r="EG51" s="1919"/>
      <c r="EH51" s="1919"/>
      <c r="EI51" s="1919"/>
      <c r="EJ51" s="1919"/>
      <c r="EK51" s="1919"/>
      <c r="EL51" s="1919"/>
      <c r="EM51" s="163"/>
      <c r="EN51" s="161"/>
      <c r="EO51" s="161"/>
      <c r="EP51" s="161"/>
      <c r="EQ51" s="161"/>
      <c r="ER51" s="161"/>
      <c r="ES51" s="161"/>
      <c r="ET51" s="161"/>
      <c r="EU51" s="164"/>
      <c r="EV51" s="87"/>
      <c r="EW51" s="87"/>
      <c r="EX51" s="87"/>
      <c r="EY51" s="87"/>
      <c r="EZ51" s="87"/>
      <c r="FA51" s="87"/>
      <c r="FB51" s="87"/>
    </row>
    <row r="52" spans="1:158" ht="9" customHeight="1" thickBot="1">
      <c r="A52" s="87"/>
      <c r="B52" s="117"/>
      <c r="C52" s="87"/>
      <c r="D52" s="2080"/>
      <c r="E52" s="2080"/>
      <c r="F52" s="165"/>
      <c r="G52" s="2041" t="s">
        <v>1</v>
      </c>
      <c r="H52" s="2041"/>
      <c r="I52" s="2041"/>
      <c r="J52" s="2041"/>
      <c r="K52" s="2041"/>
      <c r="L52" s="2041"/>
      <c r="M52" s="2041"/>
      <c r="N52" s="2041"/>
      <c r="O52" s="2042" t="s">
        <v>3580</v>
      </c>
      <c r="P52" s="2042"/>
      <c r="Q52" s="2042"/>
      <c r="R52" s="2042"/>
      <c r="S52" s="2042"/>
      <c r="T52" s="2042"/>
      <c r="U52" s="2042"/>
      <c r="V52" s="2042"/>
      <c r="W52" s="2042"/>
      <c r="X52" s="2042"/>
      <c r="Y52" s="2042"/>
      <c r="Z52" s="2042"/>
      <c r="AA52" s="2042"/>
      <c r="AB52" s="2042"/>
      <c r="AC52" s="2042"/>
      <c r="AD52" s="2042"/>
      <c r="AE52" s="163"/>
      <c r="AF52" s="87"/>
      <c r="AG52" s="87"/>
      <c r="AH52" s="87"/>
      <c r="AI52" s="166"/>
      <c r="AJ52" s="2023" t="str">
        <f>Strength</f>
        <v/>
      </c>
      <c r="AK52" s="2023"/>
      <c r="AL52" s="2023"/>
      <c r="AM52" s="2023"/>
      <c r="AN52" s="2023"/>
      <c r="AO52" s="2023"/>
      <c r="AP52" s="2023"/>
      <c r="AQ52" s="2023"/>
      <c r="AR52" s="167"/>
      <c r="AS52" s="109"/>
      <c r="AT52" s="87"/>
      <c r="AU52" s="87"/>
      <c r="AV52" s="166"/>
      <c r="AW52" s="2020" t="str">
        <f>StrMod</f>
        <v/>
      </c>
      <c r="AX52" s="2020"/>
      <c r="AY52" s="2020"/>
      <c r="AZ52" s="2020"/>
      <c r="BA52" s="2020"/>
      <c r="BB52" s="2020"/>
      <c r="BC52" s="2020"/>
      <c r="BD52" s="2020"/>
      <c r="BE52" s="167"/>
      <c r="BF52" s="87"/>
      <c r="BG52" s="87"/>
      <c r="BH52" s="87"/>
      <c r="BI52" s="87"/>
      <c r="BJ52" s="87"/>
      <c r="BK52" s="87"/>
      <c r="BL52" s="2082"/>
      <c r="BM52" s="2082"/>
      <c r="BN52" s="2082"/>
      <c r="BO52" s="2082"/>
      <c r="BP52" s="2082"/>
      <c r="BQ52" s="2082"/>
      <c r="BR52" s="168"/>
      <c r="BS52" s="168"/>
      <c r="BT52" s="168"/>
      <c r="BU52" s="87"/>
      <c r="BV52" s="162"/>
      <c r="BW52" s="1919"/>
      <c r="BX52" s="1919"/>
      <c r="BY52" s="1919"/>
      <c r="BZ52" s="1919"/>
      <c r="CA52" s="1919"/>
      <c r="CB52" s="1919"/>
      <c r="CC52" s="1919"/>
      <c r="CD52" s="1919"/>
      <c r="CE52" s="1919"/>
      <c r="CF52" s="1919"/>
      <c r="CG52" s="1919"/>
      <c r="CH52" s="1919"/>
      <c r="CI52" s="1919"/>
      <c r="CJ52" s="1919"/>
      <c r="CK52" s="1919"/>
      <c r="CL52" s="1919"/>
      <c r="CM52" s="1919"/>
      <c r="CN52" s="1919"/>
      <c r="CO52" s="1919"/>
      <c r="CP52" s="1919"/>
      <c r="CQ52" s="1919"/>
      <c r="CR52" s="1919"/>
      <c r="CS52" s="163"/>
      <c r="CT52" s="87"/>
      <c r="CU52" s="87"/>
      <c r="CV52" s="87"/>
      <c r="CW52" s="87"/>
      <c r="CX52" s="87"/>
      <c r="CY52" s="87"/>
      <c r="CZ52" s="87"/>
      <c r="DA52" s="87"/>
      <c r="DB52" s="87"/>
      <c r="DC52" s="87"/>
      <c r="DD52" s="87"/>
      <c r="DE52" s="87"/>
      <c r="DF52" s="87"/>
      <c r="DG52" s="87"/>
      <c r="DH52" s="87"/>
      <c r="DI52" s="87"/>
      <c r="DJ52" s="87"/>
      <c r="DK52" s="87"/>
      <c r="DL52" s="87"/>
      <c r="DM52" s="87"/>
      <c r="DN52" s="87"/>
      <c r="DO52" s="87"/>
      <c r="DP52" s="162"/>
      <c r="DQ52" s="1919"/>
      <c r="DR52" s="1919"/>
      <c r="DS52" s="1919"/>
      <c r="DT52" s="1919"/>
      <c r="DU52" s="1919"/>
      <c r="DV52" s="1919"/>
      <c r="DW52" s="1919"/>
      <c r="DX52" s="1919"/>
      <c r="DY52" s="1919"/>
      <c r="DZ52" s="1919"/>
      <c r="EA52" s="1919"/>
      <c r="EB52" s="1919"/>
      <c r="EC52" s="1919"/>
      <c r="ED52" s="1919"/>
      <c r="EE52" s="1919"/>
      <c r="EF52" s="1919"/>
      <c r="EG52" s="1919"/>
      <c r="EH52" s="1919"/>
      <c r="EI52" s="1919"/>
      <c r="EJ52" s="1919"/>
      <c r="EK52" s="1919"/>
      <c r="EL52" s="1919"/>
      <c r="EM52" s="163"/>
      <c r="EN52" s="87"/>
      <c r="EO52" s="87"/>
      <c r="EP52" s="87"/>
      <c r="EQ52" s="87"/>
      <c r="ER52" s="87"/>
      <c r="ES52" s="87"/>
      <c r="ET52" s="87"/>
      <c r="EU52" s="112"/>
      <c r="EV52" s="87"/>
      <c r="EW52" s="87"/>
      <c r="EX52" s="87"/>
      <c r="EY52" s="87"/>
      <c r="EZ52" s="87"/>
      <c r="FA52" s="87"/>
      <c r="FB52" s="87"/>
    </row>
    <row r="53" spans="1:158" ht="9" customHeight="1" thickTop="1" thickBot="1">
      <c r="A53" s="87"/>
      <c r="B53" s="117"/>
      <c r="C53" s="87"/>
      <c r="D53" s="2080"/>
      <c r="E53" s="2080"/>
      <c r="F53" s="165"/>
      <c r="G53" s="2041"/>
      <c r="H53" s="2041"/>
      <c r="I53" s="2041"/>
      <c r="J53" s="2041"/>
      <c r="K53" s="2041"/>
      <c r="L53" s="2041"/>
      <c r="M53" s="2041"/>
      <c r="N53" s="2041"/>
      <c r="O53" s="2042"/>
      <c r="P53" s="2042"/>
      <c r="Q53" s="2042"/>
      <c r="R53" s="2042"/>
      <c r="S53" s="2042"/>
      <c r="T53" s="2042"/>
      <c r="U53" s="2042"/>
      <c r="V53" s="2042"/>
      <c r="W53" s="2042"/>
      <c r="X53" s="2042"/>
      <c r="Y53" s="2042"/>
      <c r="Z53" s="2042"/>
      <c r="AA53" s="2042"/>
      <c r="AB53" s="2042"/>
      <c r="AC53" s="2042"/>
      <c r="AD53" s="2042"/>
      <c r="AE53" s="163"/>
      <c r="AF53" s="87"/>
      <c r="AG53" s="87"/>
      <c r="AH53" s="87"/>
      <c r="AI53" s="166"/>
      <c r="AJ53" s="2023"/>
      <c r="AK53" s="2023"/>
      <c r="AL53" s="2023"/>
      <c r="AM53" s="2023"/>
      <c r="AN53" s="2023"/>
      <c r="AO53" s="2023"/>
      <c r="AP53" s="2023"/>
      <c r="AQ53" s="2023"/>
      <c r="AR53" s="167"/>
      <c r="AS53" s="109"/>
      <c r="AT53" s="87"/>
      <c r="AU53" s="87"/>
      <c r="AV53" s="166"/>
      <c r="AW53" s="2020"/>
      <c r="AX53" s="2020"/>
      <c r="AY53" s="2020"/>
      <c r="AZ53" s="2020"/>
      <c r="BA53" s="2020"/>
      <c r="BB53" s="2020"/>
      <c r="BC53" s="2020"/>
      <c r="BD53" s="2020"/>
      <c r="BE53" s="167"/>
      <c r="BF53" s="87"/>
      <c r="BG53" s="87"/>
      <c r="BH53" s="87"/>
      <c r="BI53" s="87"/>
      <c r="BJ53" s="87"/>
      <c r="BK53" s="87"/>
      <c r="BL53" s="2082"/>
      <c r="BM53" s="2082"/>
      <c r="BN53" s="2082"/>
      <c r="BO53" s="87"/>
      <c r="BP53" s="87"/>
      <c r="BQ53" s="87"/>
      <c r="BR53" s="152"/>
      <c r="BS53" s="152"/>
      <c r="BT53" s="152"/>
      <c r="BU53" s="152"/>
      <c r="BV53" s="154"/>
      <c r="BW53" s="1920"/>
      <c r="BX53" s="1920"/>
      <c r="BY53" s="1920"/>
      <c r="BZ53" s="1920"/>
      <c r="CA53" s="1920"/>
      <c r="CB53" s="1920"/>
      <c r="CC53" s="1920"/>
      <c r="CD53" s="1920"/>
      <c r="CE53" s="1920"/>
      <c r="CF53" s="1920"/>
      <c r="CG53" s="1920"/>
      <c r="CH53" s="1920"/>
      <c r="CI53" s="1920"/>
      <c r="CJ53" s="1920"/>
      <c r="CK53" s="1920"/>
      <c r="CL53" s="1920"/>
      <c r="CM53" s="1920"/>
      <c r="CN53" s="1920"/>
      <c r="CO53" s="1920"/>
      <c r="CP53" s="1920"/>
      <c r="CQ53" s="1920"/>
      <c r="CR53" s="1920"/>
      <c r="CS53" s="153"/>
      <c r="CT53" s="107"/>
      <c r="CU53" s="152"/>
      <c r="CV53" s="152"/>
      <c r="CW53" s="152"/>
      <c r="CX53" s="152"/>
      <c r="CY53" s="152"/>
      <c r="CZ53" s="152"/>
      <c r="DA53" s="152"/>
      <c r="DB53" s="152"/>
      <c r="DC53" s="152"/>
      <c r="DD53" s="152"/>
      <c r="DE53" s="152"/>
      <c r="DF53" s="152"/>
      <c r="DG53" s="152"/>
      <c r="DH53" s="152"/>
      <c r="DI53" s="152"/>
      <c r="DJ53" s="152"/>
      <c r="DK53" s="152"/>
      <c r="DL53" s="152"/>
      <c r="DM53" s="152"/>
      <c r="DN53" s="152"/>
      <c r="DO53" s="152"/>
      <c r="DP53" s="154"/>
      <c r="DQ53" s="1920"/>
      <c r="DR53" s="1920"/>
      <c r="DS53" s="1920"/>
      <c r="DT53" s="1920"/>
      <c r="DU53" s="1920"/>
      <c r="DV53" s="1920"/>
      <c r="DW53" s="1920"/>
      <c r="DX53" s="1920"/>
      <c r="DY53" s="1920"/>
      <c r="DZ53" s="1920"/>
      <c r="EA53" s="1920"/>
      <c r="EB53" s="1920"/>
      <c r="EC53" s="1920"/>
      <c r="ED53" s="1920"/>
      <c r="EE53" s="1920"/>
      <c r="EF53" s="1920"/>
      <c r="EG53" s="1920"/>
      <c r="EH53" s="1920"/>
      <c r="EI53" s="1920"/>
      <c r="EJ53" s="1920"/>
      <c r="EK53" s="1920"/>
      <c r="EL53" s="1920"/>
      <c r="EM53" s="153"/>
      <c r="EN53" s="107"/>
      <c r="EO53" s="107"/>
      <c r="EP53" s="107"/>
      <c r="EQ53" s="107"/>
      <c r="ER53" s="107"/>
      <c r="ES53" s="107"/>
      <c r="ET53" s="169"/>
      <c r="EU53" s="112"/>
      <c r="EV53" s="87"/>
      <c r="EW53" s="87"/>
      <c r="EX53" s="87"/>
      <c r="EY53" s="87"/>
      <c r="EZ53" s="87"/>
      <c r="FA53" s="87"/>
      <c r="FB53" s="87"/>
    </row>
    <row r="54" spans="1:158" ht="9" customHeight="1" thickTop="1" thickBot="1">
      <c r="A54" s="87"/>
      <c r="B54" s="117"/>
      <c r="C54" s="87"/>
      <c r="D54" s="2080"/>
      <c r="E54" s="2080"/>
      <c r="F54" s="165"/>
      <c r="G54" s="2041"/>
      <c r="H54" s="2041"/>
      <c r="I54" s="2041"/>
      <c r="J54" s="2041"/>
      <c r="K54" s="2041"/>
      <c r="L54" s="2041"/>
      <c r="M54" s="2041"/>
      <c r="N54" s="2041"/>
      <c r="O54" s="2042"/>
      <c r="P54" s="2042"/>
      <c r="Q54" s="2042"/>
      <c r="R54" s="2042"/>
      <c r="S54" s="2042"/>
      <c r="T54" s="2042"/>
      <c r="U54" s="2042"/>
      <c r="V54" s="2042"/>
      <c r="W54" s="2042"/>
      <c r="X54" s="2042"/>
      <c r="Y54" s="2042"/>
      <c r="Z54" s="2042"/>
      <c r="AA54" s="2042"/>
      <c r="AB54" s="2042"/>
      <c r="AC54" s="2042"/>
      <c r="AD54" s="2042"/>
      <c r="AE54" s="163"/>
      <c r="AF54" s="87"/>
      <c r="AG54" s="87"/>
      <c r="AH54" s="87"/>
      <c r="AI54" s="166"/>
      <c r="AJ54" s="2023"/>
      <c r="AK54" s="2023"/>
      <c r="AL54" s="2023"/>
      <c r="AM54" s="2023"/>
      <c r="AN54" s="2023"/>
      <c r="AO54" s="2023"/>
      <c r="AP54" s="2023"/>
      <c r="AQ54" s="2023"/>
      <c r="AR54" s="167"/>
      <c r="AS54" s="109"/>
      <c r="AT54" s="87"/>
      <c r="AU54" s="87"/>
      <c r="AV54" s="166"/>
      <c r="AW54" s="2020"/>
      <c r="AX54" s="2020"/>
      <c r="AY54" s="2020"/>
      <c r="AZ54" s="2020"/>
      <c r="BA54" s="2020"/>
      <c r="BB54" s="2020"/>
      <c r="BC54" s="2020"/>
      <c r="BD54" s="2020"/>
      <c r="BE54" s="167"/>
      <c r="BF54" s="87"/>
      <c r="BG54" s="87"/>
      <c r="BH54" s="87"/>
      <c r="BI54" s="87"/>
      <c r="BJ54" s="87"/>
      <c r="BK54" s="87"/>
      <c r="BL54" s="2082"/>
      <c r="BM54" s="2082"/>
      <c r="BN54" s="2082"/>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c r="CX54" s="87"/>
      <c r="CY54" s="87"/>
      <c r="CZ54" s="87"/>
      <c r="DA54" s="87"/>
      <c r="DB54" s="87"/>
      <c r="DC54" s="87"/>
      <c r="DD54" s="87"/>
      <c r="DE54" s="87"/>
      <c r="DF54" s="87"/>
      <c r="DG54" s="87"/>
      <c r="DH54" s="87"/>
      <c r="DI54" s="87"/>
      <c r="DJ54" s="87"/>
      <c r="DK54" s="87"/>
      <c r="DL54" s="87"/>
      <c r="DM54" s="87"/>
      <c r="DN54" s="87"/>
      <c r="DO54" s="87"/>
      <c r="DP54" s="109"/>
      <c r="DQ54" s="109"/>
      <c r="DR54" s="109"/>
      <c r="DS54" s="170"/>
      <c r="DT54" s="171"/>
      <c r="DU54" s="172"/>
      <c r="DV54" s="2043" t="s">
        <v>3581</v>
      </c>
      <c r="DW54" s="2044"/>
      <c r="DX54" s="2044"/>
      <c r="DY54" s="2044"/>
      <c r="DZ54" s="2044"/>
      <c r="EA54" s="2044"/>
      <c r="EB54" s="2044"/>
      <c r="EC54" s="2044"/>
      <c r="ED54" s="2044"/>
      <c r="EE54" s="2044"/>
      <c r="EF54" s="2044"/>
      <c r="EG54" s="2044"/>
      <c r="EH54" s="2044"/>
      <c r="EI54" s="109"/>
      <c r="EJ54" s="109"/>
      <c r="EK54" s="109"/>
      <c r="EL54" s="109"/>
      <c r="EM54" s="109"/>
      <c r="EN54" s="109"/>
      <c r="EO54" s="109"/>
      <c r="EP54" s="109"/>
      <c r="EQ54" s="109"/>
      <c r="ER54" s="109"/>
      <c r="ES54" s="109"/>
      <c r="ET54" s="112"/>
      <c r="EU54" s="112"/>
      <c r="EV54" s="87"/>
      <c r="EW54" s="87"/>
      <c r="EX54" s="87"/>
      <c r="EY54" s="87"/>
      <c r="EZ54" s="87"/>
      <c r="FA54" s="87"/>
      <c r="FB54" s="87"/>
    </row>
    <row r="55" spans="1:158" ht="9" customHeight="1" thickTop="1" thickBot="1">
      <c r="A55" s="87"/>
      <c r="B55" s="117"/>
      <c r="C55" s="87"/>
      <c r="D55" s="2080"/>
      <c r="E55" s="2080"/>
      <c r="F55" s="173"/>
      <c r="G55" s="1240"/>
      <c r="H55" s="1240"/>
      <c r="I55" s="1240"/>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53"/>
      <c r="AF55" s="87"/>
      <c r="AG55" s="87"/>
      <c r="AH55" s="87"/>
      <c r="AI55" s="160"/>
      <c r="AJ55" s="175"/>
      <c r="AK55" s="175"/>
      <c r="AL55" s="175"/>
      <c r="AM55" s="175"/>
      <c r="AN55" s="175"/>
      <c r="AO55" s="175"/>
      <c r="AP55" s="175"/>
      <c r="AQ55" s="175"/>
      <c r="AR55" s="158"/>
      <c r="AS55" s="109"/>
      <c r="AT55" s="87"/>
      <c r="AU55" s="87"/>
      <c r="AV55" s="160"/>
      <c r="AW55" s="175"/>
      <c r="AX55" s="175"/>
      <c r="AY55" s="175"/>
      <c r="AZ55" s="175"/>
      <c r="BA55" s="175"/>
      <c r="BB55" s="175"/>
      <c r="BC55" s="175"/>
      <c r="BD55" s="175"/>
      <c r="BE55" s="158"/>
      <c r="BF55" s="87"/>
      <c r="BG55" s="87"/>
      <c r="BH55" s="87"/>
      <c r="BI55" s="87"/>
      <c r="BJ55" s="87"/>
      <c r="BK55" s="87"/>
      <c r="BL55" s="2082"/>
      <c r="BM55" s="2082"/>
      <c r="BN55" s="2082"/>
      <c r="BO55" s="168"/>
      <c r="BP55" s="168"/>
      <c r="BQ55" s="168"/>
      <c r="BR55" s="168"/>
      <c r="BS55" s="168"/>
      <c r="BT55" s="168"/>
      <c r="BU55" s="168"/>
      <c r="BV55" s="168"/>
      <c r="BW55" s="168"/>
      <c r="BX55" s="168"/>
      <c r="BY55" s="168"/>
      <c r="BZ55" s="168"/>
      <c r="CA55" s="168"/>
      <c r="CB55" s="168"/>
      <c r="CC55" s="153"/>
      <c r="CD55" s="176"/>
      <c r="CE55" s="176"/>
      <c r="CF55" s="176"/>
      <c r="CG55" s="176"/>
      <c r="CH55" s="176"/>
      <c r="CI55" s="176"/>
      <c r="CJ55" s="176"/>
      <c r="CK55" s="176"/>
      <c r="CL55" s="176"/>
      <c r="CM55" s="154"/>
      <c r="CN55" s="168"/>
      <c r="CO55" s="168"/>
      <c r="CP55" s="168"/>
      <c r="CQ55" s="168"/>
      <c r="CR55" s="168"/>
      <c r="CS55" s="168"/>
      <c r="CT55" s="168"/>
      <c r="CU55" s="168"/>
      <c r="CV55" s="168"/>
      <c r="CW55" s="168"/>
      <c r="CX55" s="168"/>
      <c r="CY55" s="168"/>
      <c r="CZ55" s="168"/>
      <c r="DA55" s="168"/>
      <c r="DB55" s="168"/>
      <c r="DC55" s="168"/>
      <c r="DD55" s="168"/>
      <c r="DE55" s="168"/>
      <c r="DF55" s="168"/>
      <c r="DG55" s="168"/>
      <c r="DH55" s="168"/>
      <c r="DI55" s="168"/>
      <c r="DJ55" s="168"/>
      <c r="DK55" s="168"/>
      <c r="DL55" s="168"/>
      <c r="DM55" s="168"/>
      <c r="DN55" s="168"/>
      <c r="DO55" s="168"/>
      <c r="DP55" s="168"/>
      <c r="DQ55" s="168"/>
      <c r="DR55" s="168"/>
      <c r="DS55" s="177"/>
      <c r="DT55" s="112"/>
      <c r="DU55" s="178"/>
      <c r="DV55" s="2045"/>
      <c r="DW55" s="2046"/>
      <c r="DX55" s="2046"/>
      <c r="DY55" s="2046"/>
      <c r="DZ55" s="2046"/>
      <c r="EA55" s="2046"/>
      <c r="EB55" s="2046"/>
      <c r="EC55" s="2046"/>
      <c r="ED55" s="2046"/>
      <c r="EE55" s="2046"/>
      <c r="EF55" s="2046"/>
      <c r="EG55" s="2046"/>
      <c r="EH55" s="2046"/>
      <c r="EI55" s="109"/>
      <c r="EJ55" s="109"/>
      <c r="EK55" s="109"/>
      <c r="EL55" s="109"/>
      <c r="EM55" s="109"/>
      <c r="EN55" s="109"/>
      <c r="EO55" s="109"/>
      <c r="EP55" s="109"/>
      <c r="EQ55" s="109"/>
      <c r="ER55" s="109"/>
      <c r="ES55" s="109"/>
      <c r="ET55" s="2008"/>
      <c r="EU55" s="2009"/>
      <c r="EV55" s="2009"/>
      <c r="EW55" s="2009"/>
      <c r="EX55" s="2009"/>
      <c r="EY55" s="2014"/>
      <c r="EZ55" s="2014"/>
      <c r="FA55" s="87"/>
      <c r="FB55" s="87"/>
    </row>
    <row r="56" spans="1:158" ht="9" customHeight="1" thickTop="1">
      <c r="A56" s="87"/>
      <c r="B56" s="117"/>
      <c r="C56" s="87"/>
      <c r="D56" s="2080"/>
      <c r="E56" s="2080"/>
      <c r="F56" s="147"/>
      <c r="G56" s="1242"/>
      <c r="H56" s="1243"/>
      <c r="I56" s="1244"/>
      <c r="J56" s="1244"/>
      <c r="K56" s="1245"/>
      <c r="L56" s="1243"/>
      <c r="M56" s="1243"/>
      <c r="N56" s="1243"/>
      <c r="O56" s="1192"/>
      <c r="P56" s="1192"/>
      <c r="Q56" s="1192"/>
      <c r="R56" s="1192"/>
      <c r="S56" s="1192"/>
      <c r="T56" s="1192"/>
      <c r="U56" s="1192"/>
      <c r="V56" s="1192"/>
      <c r="W56" s="1192"/>
      <c r="X56" s="1192"/>
      <c r="Y56" s="1192"/>
      <c r="Z56" s="1192"/>
      <c r="AA56" s="1192"/>
      <c r="AB56" s="1192"/>
      <c r="AC56" s="1192"/>
      <c r="AD56" s="1192"/>
      <c r="AE56" s="87"/>
      <c r="AF56" s="87"/>
      <c r="AG56" s="87"/>
      <c r="AH56" s="87"/>
      <c r="AI56" s="87"/>
      <c r="AJ56" s="179"/>
      <c r="AK56" s="179"/>
      <c r="AL56" s="179"/>
      <c r="AM56" s="179"/>
      <c r="AN56" s="179"/>
      <c r="AO56" s="179"/>
      <c r="AP56" s="179"/>
      <c r="AQ56" s="179"/>
      <c r="AR56" s="87"/>
      <c r="AS56" s="87"/>
      <c r="AT56" s="87"/>
      <c r="AU56" s="87"/>
      <c r="AV56" s="87"/>
      <c r="AW56" s="179"/>
      <c r="AX56" s="179"/>
      <c r="AY56" s="179"/>
      <c r="AZ56" s="179"/>
      <c r="BA56" s="179"/>
      <c r="BB56" s="179"/>
      <c r="BC56" s="179"/>
      <c r="BD56" s="179"/>
      <c r="BE56" s="87"/>
      <c r="BF56" s="87"/>
      <c r="BG56" s="87"/>
      <c r="BH56" s="87"/>
      <c r="BI56" s="87"/>
      <c r="BJ56" s="87"/>
      <c r="BK56" s="87"/>
      <c r="BL56" s="87"/>
      <c r="BM56" s="87"/>
      <c r="BN56" s="87"/>
      <c r="BO56" s="87"/>
      <c r="BP56" s="2047" t="s">
        <v>3582</v>
      </c>
      <c r="BQ56" s="2047"/>
      <c r="BR56" s="2047"/>
      <c r="BS56" s="2047"/>
      <c r="BT56" s="2047"/>
      <c r="BU56" s="2047"/>
      <c r="BV56" s="2047"/>
      <c r="BW56" s="2047"/>
      <c r="BX56" s="2047"/>
      <c r="BY56" s="2047"/>
      <c r="BZ56" s="2047"/>
      <c r="CA56" s="2047"/>
      <c r="CB56" s="87"/>
      <c r="CC56" s="162"/>
      <c r="CD56" s="2023">
        <f>HitPoints</f>
        <v>0</v>
      </c>
      <c r="CE56" s="2023"/>
      <c r="CF56" s="2023"/>
      <c r="CG56" s="2023"/>
      <c r="CH56" s="2023"/>
      <c r="CI56" s="2023"/>
      <c r="CJ56" s="2023"/>
      <c r="CK56" s="2023"/>
      <c r="CL56" s="2023"/>
      <c r="CM56" s="180"/>
      <c r="CN56" s="87"/>
      <c r="CO56" s="87"/>
      <c r="CP56" s="87"/>
      <c r="CQ56" s="87"/>
      <c r="CR56" s="87"/>
      <c r="CS56" s="87"/>
      <c r="CT56" s="87"/>
      <c r="CU56" s="87"/>
      <c r="CV56" s="87"/>
      <c r="CW56" s="87"/>
      <c r="CX56" s="87"/>
      <c r="CY56" s="87"/>
      <c r="CZ56" s="87"/>
      <c r="DA56" s="87"/>
      <c r="DB56" s="87"/>
      <c r="DC56" s="87"/>
      <c r="DD56" s="87"/>
      <c r="DE56" s="87"/>
      <c r="DF56" s="87"/>
      <c r="DG56" s="87"/>
      <c r="DH56" s="87"/>
      <c r="DI56" s="87"/>
      <c r="DJ56" s="87"/>
      <c r="DK56" s="87"/>
      <c r="DL56" s="87"/>
      <c r="DM56" s="87"/>
      <c r="DN56" s="87"/>
      <c r="DO56" s="87"/>
      <c r="DP56" s="87"/>
      <c r="DQ56" s="87"/>
      <c r="DR56" s="87"/>
      <c r="DS56" s="87"/>
      <c r="DT56" s="112"/>
      <c r="DU56" s="178"/>
      <c r="DV56" s="2045"/>
      <c r="DW56" s="2046"/>
      <c r="DX56" s="2046"/>
      <c r="DY56" s="2046"/>
      <c r="DZ56" s="2046"/>
      <c r="EA56" s="2046"/>
      <c r="EB56" s="2046"/>
      <c r="EC56" s="2046"/>
      <c r="ED56" s="2046"/>
      <c r="EE56" s="2046"/>
      <c r="EF56" s="2046"/>
      <c r="EG56" s="2046"/>
      <c r="EH56" s="2046"/>
      <c r="EI56" s="109"/>
      <c r="EJ56" s="109"/>
      <c r="EK56" s="109"/>
      <c r="EL56" s="109"/>
      <c r="EM56" s="109"/>
      <c r="EN56" s="109"/>
      <c r="EO56" s="109"/>
      <c r="EP56" s="109"/>
      <c r="EQ56" s="109"/>
      <c r="ER56" s="109"/>
      <c r="ES56" s="109"/>
      <c r="ET56" s="2010"/>
      <c r="EU56" s="2011"/>
      <c r="EV56" s="2011"/>
      <c r="EW56" s="2011"/>
      <c r="EX56" s="2011"/>
      <c r="EY56" s="2015"/>
      <c r="EZ56" s="2015"/>
      <c r="FA56" s="87"/>
      <c r="FB56" s="87"/>
    </row>
    <row r="57" spans="1:158" ht="9" customHeight="1" thickBot="1">
      <c r="A57" s="87"/>
      <c r="B57" s="117"/>
      <c r="C57" s="87"/>
      <c r="D57" s="2080"/>
      <c r="E57" s="2080"/>
      <c r="F57" s="147"/>
      <c r="G57" s="1242"/>
      <c r="H57" s="1243"/>
      <c r="I57" s="1244"/>
      <c r="J57" s="1244"/>
      <c r="K57" s="1245"/>
      <c r="L57" s="1243"/>
      <c r="M57" s="1243"/>
      <c r="N57" s="1243"/>
      <c r="O57" s="1192"/>
      <c r="P57" s="1192"/>
      <c r="Q57" s="1192"/>
      <c r="R57" s="1192"/>
      <c r="S57" s="1192"/>
      <c r="T57" s="1192"/>
      <c r="U57" s="1192"/>
      <c r="V57" s="1192"/>
      <c r="W57" s="1192"/>
      <c r="X57" s="1192"/>
      <c r="Y57" s="1192"/>
      <c r="Z57" s="1192"/>
      <c r="AA57" s="1192"/>
      <c r="AB57" s="1192"/>
      <c r="AC57" s="1192"/>
      <c r="AD57" s="1192"/>
      <c r="AE57" s="87"/>
      <c r="AF57" s="87"/>
      <c r="AG57" s="87"/>
      <c r="AH57" s="87"/>
      <c r="AI57" s="87"/>
      <c r="AJ57" s="179"/>
      <c r="AK57" s="179"/>
      <c r="AL57" s="179"/>
      <c r="AM57" s="179"/>
      <c r="AN57" s="179"/>
      <c r="AO57" s="179"/>
      <c r="AP57" s="179"/>
      <c r="AQ57" s="179"/>
      <c r="AR57" s="87"/>
      <c r="AS57" s="87"/>
      <c r="AT57" s="87"/>
      <c r="AU57" s="87"/>
      <c r="AV57" s="87"/>
      <c r="AW57" s="179"/>
      <c r="AX57" s="179"/>
      <c r="AY57" s="179"/>
      <c r="AZ57" s="179"/>
      <c r="BA57" s="179"/>
      <c r="BB57" s="179"/>
      <c r="BC57" s="179"/>
      <c r="BD57" s="179"/>
      <c r="BE57" s="87"/>
      <c r="BF57" s="87"/>
      <c r="BG57" s="87"/>
      <c r="BH57" s="87"/>
      <c r="BI57" s="87"/>
      <c r="BJ57" s="87"/>
      <c r="BK57" s="87"/>
      <c r="BL57" s="87"/>
      <c r="BM57" s="87"/>
      <c r="BN57" s="87"/>
      <c r="BO57" s="87"/>
      <c r="BP57" s="2048"/>
      <c r="BQ57" s="2048"/>
      <c r="BR57" s="2048"/>
      <c r="BS57" s="2048"/>
      <c r="BT57" s="2048"/>
      <c r="BU57" s="2048"/>
      <c r="BV57" s="2048"/>
      <c r="BW57" s="2048"/>
      <c r="BX57" s="2048"/>
      <c r="BY57" s="2048"/>
      <c r="BZ57" s="2048"/>
      <c r="CA57" s="2048"/>
      <c r="CB57" s="87"/>
      <c r="CC57" s="162"/>
      <c r="CD57" s="2023"/>
      <c r="CE57" s="2023"/>
      <c r="CF57" s="2023"/>
      <c r="CG57" s="2023"/>
      <c r="CH57" s="2023"/>
      <c r="CI57" s="2023"/>
      <c r="CJ57" s="2023"/>
      <c r="CK57" s="2023"/>
      <c r="CL57" s="2023"/>
      <c r="CM57" s="180"/>
      <c r="CN57" s="89"/>
      <c r="CO57" s="182"/>
      <c r="CP57" s="182"/>
      <c r="CQ57" s="182"/>
      <c r="CR57" s="182"/>
      <c r="CS57" s="182"/>
      <c r="CT57" s="182"/>
      <c r="CU57" s="182"/>
      <c r="CV57" s="182"/>
      <c r="CW57" s="87"/>
      <c r="CX57" s="87"/>
      <c r="CY57" s="87"/>
      <c r="CZ57" s="87"/>
      <c r="DA57" s="87"/>
      <c r="DB57" s="87"/>
      <c r="DC57" s="87"/>
      <c r="DD57" s="87"/>
      <c r="DE57" s="87"/>
      <c r="DF57" s="87"/>
      <c r="DG57" s="87"/>
      <c r="DH57" s="87"/>
      <c r="DI57" s="87"/>
      <c r="DJ57" s="87"/>
      <c r="DK57" s="87"/>
      <c r="DL57" s="87"/>
      <c r="DM57" s="87"/>
      <c r="DN57" s="87"/>
      <c r="DO57" s="87"/>
      <c r="DP57" s="87"/>
      <c r="DQ57" s="87"/>
      <c r="DR57" s="87"/>
      <c r="DS57" s="87"/>
      <c r="DT57" s="112"/>
      <c r="DU57" s="178"/>
      <c r="DV57" s="183"/>
      <c r="DW57" s="109"/>
      <c r="DX57" s="109"/>
      <c r="DY57" s="109"/>
      <c r="DZ57" s="109"/>
      <c r="EA57" s="87"/>
      <c r="EB57" s="87"/>
      <c r="EC57" s="87"/>
      <c r="ED57" s="87"/>
      <c r="EE57" s="87"/>
      <c r="EF57" s="87"/>
      <c r="EG57" s="87"/>
      <c r="EH57" s="87"/>
      <c r="EI57" s="87"/>
      <c r="EJ57" s="87"/>
      <c r="EK57" s="87"/>
      <c r="EL57" s="87"/>
      <c r="EM57" s="87"/>
      <c r="EN57" s="109"/>
      <c r="EO57" s="109"/>
      <c r="EP57" s="109"/>
      <c r="EQ57" s="109"/>
      <c r="ER57" s="109"/>
      <c r="ES57" s="109"/>
      <c r="ET57" s="2012"/>
      <c r="EU57" s="2013"/>
      <c r="EV57" s="2013"/>
      <c r="EW57" s="2013"/>
      <c r="EX57" s="2013"/>
      <c r="EY57" s="2015"/>
      <c r="EZ57" s="2015"/>
      <c r="FA57" s="87"/>
      <c r="FB57" s="87"/>
    </row>
    <row r="58" spans="1:158" ht="9" customHeight="1" thickTop="1">
      <c r="A58" s="87"/>
      <c r="B58" s="117"/>
      <c r="C58" s="87"/>
      <c r="D58" s="2080"/>
      <c r="E58" s="2080"/>
      <c r="F58" s="155"/>
      <c r="G58" s="1246"/>
      <c r="H58" s="1246"/>
      <c r="I58" s="1246"/>
      <c r="J58" s="1246"/>
      <c r="K58" s="1246"/>
      <c r="L58" s="1246"/>
      <c r="M58" s="1246"/>
      <c r="N58" s="1246"/>
      <c r="O58" s="1247"/>
      <c r="P58" s="1247"/>
      <c r="Q58" s="1247"/>
      <c r="R58" s="1247"/>
      <c r="S58" s="1247"/>
      <c r="T58" s="1247"/>
      <c r="U58" s="1247"/>
      <c r="V58" s="1247"/>
      <c r="W58" s="1247"/>
      <c r="X58" s="1247"/>
      <c r="Y58" s="1247"/>
      <c r="Z58" s="1247"/>
      <c r="AA58" s="1247"/>
      <c r="AB58" s="1247"/>
      <c r="AC58" s="1247"/>
      <c r="AD58" s="1247"/>
      <c r="AE58" s="154"/>
      <c r="AF58" s="87"/>
      <c r="AG58" s="87"/>
      <c r="AH58" s="87"/>
      <c r="AI58" s="158"/>
      <c r="AJ58" s="184"/>
      <c r="AK58" s="184"/>
      <c r="AL58" s="184"/>
      <c r="AM58" s="184"/>
      <c r="AN58" s="184"/>
      <c r="AO58" s="184"/>
      <c r="AP58" s="184"/>
      <c r="AQ58" s="184"/>
      <c r="AR58" s="160"/>
      <c r="AS58" s="109"/>
      <c r="AT58" s="87"/>
      <c r="AU58" s="87"/>
      <c r="AV58" s="158"/>
      <c r="AW58" s="184"/>
      <c r="AX58" s="184"/>
      <c r="AY58" s="184"/>
      <c r="AZ58" s="184"/>
      <c r="BA58" s="184"/>
      <c r="BB58" s="184"/>
      <c r="BC58" s="184"/>
      <c r="BD58" s="184"/>
      <c r="BE58" s="160"/>
      <c r="BF58" s="87"/>
      <c r="BG58" s="87"/>
      <c r="BH58" s="87"/>
      <c r="BI58" s="87"/>
      <c r="BJ58" s="87"/>
      <c r="BK58" s="87"/>
      <c r="BL58" s="87"/>
      <c r="BM58" s="87"/>
      <c r="BN58" s="87"/>
      <c r="BO58" s="87"/>
      <c r="BP58" s="2048"/>
      <c r="BQ58" s="2048"/>
      <c r="BR58" s="2048"/>
      <c r="BS58" s="2048"/>
      <c r="BT58" s="2048"/>
      <c r="BU58" s="2048"/>
      <c r="BV58" s="2048"/>
      <c r="BW58" s="2048"/>
      <c r="BX58" s="2048"/>
      <c r="BY58" s="2048"/>
      <c r="BZ58" s="2048"/>
      <c r="CA58" s="2048"/>
      <c r="CB58" s="87"/>
      <c r="CC58" s="162"/>
      <c r="CD58" s="2023"/>
      <c r="CE58" s="2023"/>
      <c r="CF58" s="2023"/>
      <c r="CG58" s="2023"/>
      <c r="CH58" s="2023"/>
      <c r="CI58" s="2023"/>
      <c r="CJ58" s="2023"/>
      <c r="CK58" s="2023"/>
      <c r="CL58" s="2023"/>
      <c r="CM58" s="180"/>
      <c r="CN58" s="89"/>
      <c r="CO58" s="87"/>
      <c r="CP58" s="87"/>
      <c r="CQ58" s="87"/>
      <c r="CR58" s="87"/>
      <c r="CS58" s="87"/>
      <c r="CT58" s="87"/>
      <c r="CU58" s="87"/>
      <c r="CV58" s="87"/>
      <c r="CW58" s="87"/>
      <c r="CX58" s="87"/>
      <c r="CY58" s="87"/>
      <c r="CZ58" s="87"/>
      <c r="DA58" s="87"/>
      <c r="DB58" s="87"/>
      <c r="DC58" s="87"/>
      <c r="DD58" s="87"/>
      <c r="DE58" s="87"/>
      <c r="DF58" s="87"/>
      <c r="DG58" s="87"/>
      <c r="DH58" s="87"/>
      <c r="DI58" s="87"/>
      <c r="DJ58" s="87"/>
      <c r="DK58" s="87"/>
      <c r="DL58" s="87"/>
      <c r="DM58" s="87"/>
      <c r="DN58" s="87"/>
      <c r="DO58" s="87"/>
      <c r="DP58" s="87"/>
      <c r="DQ58" s="87"/>
      <c r="DR58" s="87"/>
      <c r="DS58" s="87"/>
      <c r="DT58" s="112"/>
      <c r="DU58" s="178"/>
      <c r="DV58" s="183"/>
      <c r="DW58" s="109"/>
      <c r="DX58" s="109"/>
      <c r="DY58" s="109"/>
      <c r="DZ58" s="109"/>
      <c r="EA58" s="87"/>
      <c r="EB58" s="87"/>
      <c r="EC58" s="87"/>
      <c r="ED58" s="87"/>
      <c r="EE58" s="87"/>
      <c r="EF58" s="87"/>
      <c r="EG58" s="87"/>
      <c r="EH58" s="87"/>
      <c r="EI58" s="87"/>
      <c r="EJ58" s="87"/>
      <c r="EK58" s="87"/>
      <c r="EL58" s="87"/>
      <c r="EM58" s="87"/>
      <c r="EN58" s="109"/>
      <c r="EO58" s="109"/>
      <c r="EP58" s="109"/>
      <c r="EQ58" s="109"/>
      <c r="ER58" s="109"/>
      <c r="ES58" s="109"/>
      <c r="ET58" s="112"/>
      <c r="EU58" s="112"/>
      <c r="EV58" s="87"/>
      <c r="EW58" s="87"/>
      <c r="EX58" s="87"/>
      <c r="EY58" s="87"/>
      <c r="EZ58" s="87"/>
      <c r="FA58" s="87"/>
      <c r="FB58" s="87"/>
    </row>
    <row r="59" spans="1:158" ht="9" customHeight="1" thickBot="1">
      <c r="A59" s="87"/>
      <c r="B59" s="117"/>
      <c r="C59" s="87"/>
      <c r="D59" s="2080"/>
      <c r="E59" s="2080"/>
      <c r="F59" s="165"/>
      <c r="G59" s="2041" t="s">
        <v>2</v>
      </c>
      <c r="H59" s="2041"/>
      <c r="I59" s="2041"/>
      <c r="J59" s="2041"/>
      <c r="K59" s="2041"/>
      <c r="L59" s="2041"/>
      <c r="M59" s="2041"/>
      <c r="N59" s="2041"/>
      <c r="O59" s="2042" t="s">
        <v>3583</v>
      </c>
      <c r="P59" s="2042"/>
      <c r="Q59" s="2042"/>
      <c r="R59" s="2042"/>
      <c r="S59" s="2042"/>
      <c r="T59" s="2042"/>
      <c r="U59" s="2042"/>
      <c r="V59" s="2042"/>
      <c r="W59" s="2042"/>
      <c r="X59" s="2042"/>
      <c r="Y59" s="2042"/>
      <c r="Z59" s="2042"/>
      <c r="AA59" s="2042"/>
      <c r="AB59" s="2042"/>
      <c r="AC59" s="2042"/>
      <c r="AD59" s="2042"/>
      <c r="AE59" s="163"/>
      <c r="AF59" s="87"/>
      <c r="AG59" s="87"/>
      <c r="AH59" s="87"/>
      <c r="AI59" s="166"/>
      <c r="AJ59" s="2023" t="str">
        <f>Dexterity</f>
        <v/>
      </c>
      <c r="AK59" s="2023"/>
      <c r="AL59" s="2023"/>
      <c r="AM59" s="2023"/>
      <c r="AN59" s="2023"/>
      <c r="AO59" s="2023"/>
      <c r="AP59" s="2023"/>
      <c r="AQ59" s="2023"/>
      <c r="AR59" s="167"/>
      <c r="AS59" s="109"/>
      <c r="AT59" s="87"/>
      <c r="AU59" s="87"/>
      <c r="AV59" s="166"/>
      <c r="AW59" s="2020" t="str">
        <f>DexMod</f>
        <v/>
      </c>
      <c r="AX59" s="2020"/>
      <c r="AY59" s="2020"/>
      <c r="AZ59" s="2020"/>
      <c r="BA59" s="2020"/>
      <c r="BB59" s="2020"/>
      <c r="BC59" s="2020"/>
      <c r="BD59" s="2020"/>
      <c r="BE59" s="16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154"/>
      <c r="CD59" s="185"/>
      <c r="CE59" s="185"/>
      <c r="CF59" s="185"/>
      <c r="CG59" s="185"/>
      <c r="CH59" s="185"/>
      <c r="CI59" s="185"/>
      <c r="CJ59" s="185"/>
      <c r="CK59" s="185"/>
      <c r="CL59" s="185"/>
      <c r="CM59" s="153"/>
      <c r="CN59" s="89"/>
      <c r="CO59" s="117"/>
      <c r="CP59" s="117"/>
      <c r="CQ59" s="117"/>
      <c r="CR59" s="117"/>
      <c r="CS59" s="117"/>
      <c r="CT59" s="117"/>
      <c r="CU59" s="117"/>
      <c r="CV59" s="117"/>
      <c r="CW59" s="87"/>
      <c r="CY59" s="87"/>
      <c r="CZ59" s="87"/>
      <c r="DA59" s="87"/>
      <c r="DB59" s="2024" t="s">
        <v>3584</v>
      </c>
      <c r="DC59" s="2024"/>
      <c r="DD59" s="2024"/>
      <c r="DE59" s="2024"/>
      <c r="DF59" s="2024"/>
      <c r="DG59" s="2024"/>
      <c r="DH59" s="2024"/>
      <c r="DI59" s="2024"/>
      <c r="DJ59" s="2024"/>
      <c r="DK59" s="2024"/>
      <c r="DL59" s="2024"/>
      <c r="DM59" s="2024"/>
      <c r="DN59" s="2024"/>
      <c r="DO59" s="2024"/>
      <c r="DP59" s="2024"/>
      <c r="DQ59" s="2024"/>
      <c r="DR59" s="2024"/>
      <c r="DS59" s="87"/>
      <c r="DT59" s="112"/>
      <c r="DU59" s="178"/>
      <c r="DV59" s="186"/>
      <c r="DW59" s="145"/>
      <c r="DX59" s="145"/>
      <c r="DY59" s="145"/>
      <c r="DZ59" s="145"/>
      <c r="EA59" s="145"/>
      <c r="EB59" s="145"/>
      <c r="EC59" s="145"/>
      <c r="ED59" s="145"/>
      <c r="EE59" s="145"/>
      <c r="EF59" s="145"/>
      <c r="EG59" s="145"/>
      <c r="EH59" s="145"/>
      <c r="EI59" s="145"/>
      <c r="EJ59" s="145"/>
      <c r="EK59" s="145"/>
      <c r="EL59" s="145"/>
      <c r="EM59" s="145"/>
      <c r="EN59" s="145"/>
      <c r="EO59" s="145"/>
      <c r="EP59" s="145"/>
      <c r="EQ59" s="145"/>
      <c r="ER59" s="145"/>
      <c r="ES59" s="145"/>
      <c r="ET59" s="187"/>
      <c r="EU59" s="112"/>
      <c r="EV59" s="87"/>
      <c r="EW59" s="87"/>
      <c r="EX59" s="87"/>
      <c r="EY59" s="87"/>
      <c r="EZ59" s="87"/>
      <c r="FA59" s="87"/>
      <c r="FB59" s="87"/>
    </row>
    <row r="60" spans="1:158" ht="9" customHeight="1" thickTop="1" thickBot="1">
      <c r="A60" s="87"/>
      <c r="B60" s="117"/>
      <c r="C60" s="87"/>
      <c r="D60" s="2080"/>
      <c r="E60" s="2080"/>
      <c r="F60" s="165"/>
      <c r="G60" s="2041"/>
      <c r="H60" s="2041"/>
      <c r="I60" s="2041"/>
      <c r="J60" s="2041"/>
      <c r="K60" s="2041"/>
      <c r="L60" s="2041"/>
      <c r="M60" s="2041"/>
      <c r="N60" s="2041"/>
      <c r="O60" s="2042"/>
      <c r="P60" s="2042"/>
      <c r="Q60" s="2042"/>
      <c r="R60" s="2042"/>
      <c r="S60" s="2042"/>
      <c r="T60" s="2042"/>
      <c r="U60" s="2042"/>
      <c r="V60" s="2042"/>
      <c r="W60" s="2042"/>
      <c r="X60" s="2042"/>
      <c r="Y60" s="2042"/>
      <c r="Z60" s="2042"/>
      <c r="AA60" s="2042"/>
      <c r="AB60" s="2042"/>
      <c r="AC60" s="2042"/>
      <c r="AD60" s="2042"/>
      <c r="AE60" s="163"/>
      <c r="AF60" s="87"/>
      <c r="AG60" s="87"/>
      <c r="AH60" s="87"/>
      <c r="AI60" s="166"/>
      <c r="AJ60" s="2023"/>
      <c r="AK60" s="2023"/>
      <c r="AL60" s="2023"/>
      <c r="AM60" s="2023"/>
      <c r="AN60" s="2023"/>
      <c r="AO60" s="2023"/>
      <c r="AP60" s="2023"/>
      <c r="AQ60" s="2023"/>
      <c r="AR60" s="167"/>
      <c r="AS60" s="109"/>
      <c r="AT60" s="87"/>
      <c r="AU60" s="87"/>
      <c r="AV60" s="166"/>
      <c r="AW60" s="2020"/>
      <c r="AX60" s="2020"/>
      <c r="AY60" s="2020"/>
      <c r="AZ60" s="2020"/>
      <c r="BA60" s="2020"/>
      <c r="BB60" s="2020"/>
      <c r="BC60" s="2020"/>
      <c r="BD60" s="2020"/>
      <c r="BE60" s="167"/>
      <c r="BF60" s="87"/>
      <c r="BG60" s="87"/>
      <c r="BH60" s="87"/>
      <c r="BI60" s="87"/>
      <c r="BJ60" s="188"/>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9"/>
      <c r="CO60" s="87"/>
      <c r="CP60" s="87"/>
      <c r="CQ60" s="87"/>
      <c r="CR60" s="87"/>
      <c r="CS60" s="87"/>
      <c r="CT60" s="87"/>
      <c r="CU60" s="87"/>
      <c r="CV60" s="87"/>
      <c r="CW60" s="87"/>
      <c r="CY60" s="87"/>
      <c r="CZ60" s="87"/>
      <c r="DA60" s="87"/>
      <c r="DB60" s="2024"/>
      <c r="DC60" s="2024"/>
      <c r="DD60" s="2024"/>
      <c r="DE60" s="2024"/>
      <c r="DF60" s="2024"/>
      <c r="DG60" s="2024"/>
      <c r="DH60" s="2024"/>
      <c r="DI60" s="2024"/>
      <c r="DJ60" s="2024"/>
      <c r="DK60" s="2024"/>
      <c r="DL60" s="2024"/>
      <c r="DM60" s="2024"/>
      <c r="DN60" s="2024"/>
      <c r="DO60" s="2024"/>
      <c r="DP60" s="2024"/>
      <c r="DQ60" s="2024"/>
      <c r="DR60" s="2024"/>
      <c r="DS60" s="87"/>
      <c r="DT60" s="112"/>
      <c r="DU60" s="183"/>
      <c r="DV60" s="109"/>
      <c r="DW60" s="109"/>
      <c r="DX60" s="109"/>
      <c r="DY60" s="109"/>
      <c r="DZ60" s="109"/>
      <c r="EA60" s="109"/>
      <c r="EB60" s="109"/>
      <c r="EC60" s="109"/>
      <c r="ED60" s="109"/>
      <c r="EE60" s="109"/>
      <c r="EF60" s="109"/>
      <c r="EG60" s="109"/>
      <c r="EH60" s="109"/>
      <c r="EI60" s="109"/>
      <c r="EJ60" s="87"/>
      <c r="EK60" s="87"/>
      <c r="EL60" s="87"/>
      <c r="EM60" s="87"/>
      <c r="EN60" s="87"/>
      <c r="EO60" s="87"/>
      <c r="EP60" s="87"/>
      <c r="EQ60" s="87"/>
      <c r="ER60" s="87"/>
      <c r="ES60" s="87"/>
      <c r="ET60" s="87"/>
      <c r="EU60" s="187"/>
      <c r="EV60" s="87"/>
      <c r="EW60" s="87"/>
      <c r="EX60" s="87"/>
      <c r="EY60" s="87"/>
      <c r="EZ60" s="87"/>
      <c r="FA60" s="87"/>
      <c r="FB60" s="87"/>
    </row>
    <row r="61" spans="1:158" ht="9" customHeight="1" thickTop="1" thickBot="1">
      <c r="A61" s="87"/>
      <c r="B61" s="117"/>
      <c r="C61" s="87"/>
      <c r="D61" s="2080"/>
      <c r="E61" s="2080"/>
      <c r="F61" s="165"/>
      <c r="G61" s="2041"/>
      <c r="H61" s="2041"/>
      <c r="I61" s="2041"/>
      <c r="J61" s="2041"/>
      <c r="K61" s="2041"/>
      <c r="L61" s="2041"/>
      <c r="M61" s="2041"/>
      <c r="N61" s="2041"/>
      <c r="O61" s="2042"/>
      <c r="P61" s="2042"/>
      <c r="Q61" s="2042"/>
      <c r="R61" s="2042"/>
      <c r="S61" s="2042"/>
      <c r="T61" s="2042"/>
      <c r="U61" s="2042"/>
      <c r="V61" s="2042"/>
      <c r="W61" s="2042"/>
      <c r="X61" s="2042"/>
      <c r="Y61" s="2042"/>
      <c r="Z61" s="2042"/>
      <c r="AA61" s="2042"/>
      <c r="AB61" s="2042"/>
      <c r="AC61" s="2042"/>
      <c r="AD61" s="2042"/>
      <c r="AE61" s="163"/>
      <c r="AF61" s="87"/>
      <c r="AG61" s="87"/>
      <c r="AH61" s="87"/>
      <c r="AI61" s="166"/>
      <c r="AJ61" s="2023"/>
      <c r="AK61" s="2023"/>
      <c r="AL61" s="2023"/>
      <c r="AM61" s="2023"/>
      <c r="AN61" s="2023"/>
      <c r="AO61" s="2023"/>
      <c r="AP61" s="2023"/>
      <c r="AQ61" s="2023"/>
      <c r="AR61" s="167"/>
      <c r="AS61" s="109"/>
      <c r="AT61" s="87"/>
      <c r="AU61" s="87"/>
      <c r="AV61" s="166"/>
      <c r="AW61" s="2020"/>
      <c r="AX61" s="2020"/>
      <c r="AY61" s="2020"/>
      <c r="AZ61" s="2020"/>
      <c r="BA61" s="2020"/>
      <c r="BB61" s="2020"/>
      <c r="BC61" s="2020"/>
      <c r="BD61" s="2020"/>
      <c r="BE61" s="16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9"/>
      <c r="CO61" s="117"/>
      <c r="CP61" s="117"/>
      <c r="CQ61" s="117"/>
      <c r="CR61" s="117"/>
      <c r="CS61" s="117"/>
      <c r="CT61" s="117"/>
      <c r="CU61" s="117"/>
      <c r="CV61" s="117"/>
      <c r="CW61" s="87"/>
      <c r="CY61" s="87"/>
      <c r="CZ61" s="87"/>
      <c r="DA61" s="158"/>
      <c r="DB61" s="159"/>
      <c r="DC61" s="159"/>
      <c r="DD61" s="159"/>
      <c r="DE61" s="159"/>
      <c r="DF61" s="159"/>
      <c r="DG61" s="159"/>
      <c r="DH61" s="159"/>
      <c r="DI61" s="159"/>
      <c r="DJ61" s="160"/>
      <c r="DK61" s="87"/>
      <c r="DL61" s="87"/>
      <c r="DM61" s="87"/>
      <c r="DN61" s="87"/>
      <c r="DO61" s="87"/>
      <c r="DP61" s="87"/>
      <c r="DQ61" s="87"/>
      <c r="DR61" s="87"/>
      <c r="DS61" s="87"/>
      <c r="DT61" s="109"/>
      <c r="DU61" s="189"/>
      <c r="DV61" s="107"/>
      <c r="DW61" s="107"/>
      <c r="DX61" s="107"/>
      <c r="DY61" s="107"/>
      <c r="DZ61" s="107"/>
      <c r="EA61" s="107"/>
      <c r="EB61" s="107"/>
      <c r="EC61" s="107"/>
      <c r="ED61" s="107"/>
      <c r="EE61" s="107"/>
      <c r="EF61" s="107"/>
      <c r="EG61" s="107"/>
      <c r="EH61" s="107"/>
      <c r="EI61" s="107"/>
      <c r="EJ61" s="107"/>
      <c r="EK61" s="107"/>
      <c r="EL61" s="107"/>
      <c r="EM61" s="107"/>
      <c r="EN61" s="107"/>
      <c r="EO61" s="107"/>
      <c r="EP61" s="107"/>
      <c r="EQ61" s="107"/>
      <c r="ER61" s="107"/>
      <c r="ES61" s="107"/>
      <c r="ET61" s="107"/>
      <c r="EU61" s="169"/>
      <c r="EV61" s="87"/>
      <c r="EW61" s="87"/>
      <c r="EX61" s="87"/>
      <c r="EY61" s="87"/>
      <c r="EZ61" s="87"/>
      <c r="FA61" s="87"/>
      <c r="FB61" s="87"/>
    </row>
    <row r="62" spans="1:158" ht="9" customHeight="1" thickTop="1" thickBot="1">
      <c r="A62" s="87"/>
      <c r="B62" s="117"/>
      <c r="C62" s="87"/>
      <c r="D62" s="2080"/>
      <c r="E62" s="2080"/>
      <c r="F62" s="173"/>
      <c r="G62" s="1240"/>
      <c r="H62" s="1240"/>
      <c r="I62" s="1240"/>
      <c r="J62" s="1241"/>
      <c r="K62" s="1241"/>
      <c r="L62" s="1241"/>
      <c r="M62" s="1241"/>
      <c r="N62" s="1241"/>
      <c r="O62" s="1241"/>
      <c r="P62" s="1241"/>
      <c r="Q62" s="1241"/>
      <c r="R62" s="1241"/>
      <c r="S62" s="1241"/>
      <c r="T62" s="1241"/>
      <c r="U62" s="1241"/>
      <c r="V62" s="1241"/>
      <c r="W62" s="1241"/>
      <c r="X62" s="1241"/>
      <c r="Y62" s="1241"/>
      <c r="Z62" s="1241"/>
      <c r="AA62" s="1241"/>
      <c r="AB62" s="1241"/>
      <c r="AC62" s="1241"/>
      <c r="AD62" s="1241"/>
      <c r="AE62" s="153"/>
      <c r="AF62" s="87"/>
      <c r="AG62" s="87"/>
      <c r="AH62" s="87"/>
      <c r="AI62" s="160"/>
      <c r="AJ62" s="175"/>
      <c r="AK62" s="175"/>
      <c r="AL62" s="175"/>
      <c r="AM62" s="175"/>
      <c r="AN62" s="175"/>
      <c r="AO62" s="175"/>
      <c r="AP62" s="175"/>
      <c r="AQ62" s="175"/>
      <c r="AR62" s="158"/>
      <c r="AS62" s="109"/>
      <c r="AT62" s="87"/>
      <c r="AU62" s="87"/>
      <c r="AV62" s="160"/>
      <c r="AW62" s="175"/>
      <c r="AX62" s="175"/>
      <c r="AY62" s="175"/>
      <c r="AZ62" s="175"/>
      <c r="BA62" s="175"/>
      <c r="BB62" s="175"/>
      <c r="BC62" s="175"/>
      <c r="BD62" s="175"/>
      <c r="BE62" s="158"/>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153"/>
      <c r="CI62" s="176"/>
      <c r="CJ62" s="176"/>
      <c r="CK62" s="176"/>
      <c r="CL62" s="176"/>
      <c r="CM62" s="176"/>
      <c r="CN62" s="176"/>
      <c r="CO62" s="176"/>
      <c r="CP62" s="176"/>
      <c r="CQ62" s="176"/>
      <c r="CR62" s="176"/>
      <c r="CS62" s="176"/>
      <c r="CT62" s="176"/>
      <c r="CU62" s="154"/>
      <c r="CV62" s="87"/>
      <c r="CW62" s="87"/>
      <c r="CY62" s="153"/>
      <c r="CZ62" s="190"/>
      <c r="DA62" s="191"/>
      <c r="DB62" s="2021" t="str">
        <f>Speed</f>
        <v/>
      </c>
      <c r="DC62" s="2021"/>
      <c r="DD62" s="2021"/>
      <c r="DE62" s="2021"/>
      <c r="DF62" s="2021"/>
      <c r="DG62" s="2021"/>
      <c r="DH62" s="2021"/>
      <c r="DI62" s="2021"/>
      <c r="DJ62" s="167"/>
      <c r="DK62" s="87"/>
      <c r="DL62" s="87"/>
      <c r="DM62" s="87"/>
      <c r="DN62" s="87"/>
      <c r="DO62" s="87"/>
      <c r="DP62" s="87"/>
      <c r="DQ62" s="87"/>
      <c r="DR62" s="87"/>
      <c r="DS62" s="87"/>
      <c r="DT62" s="109"/>
      <c r="DU62" s="183"/>
      <c r="DV62" s="192"/>
      <c r="DW62" s="193"/>
      <c r="DX62" s="193"/>
      <c r="DY62" s="193"/>
      <c r="DZ62" s="193"/>
      <c r="EA62" s="193"/>
      <c r="EB62" s="193"/>
      <c r="EC62" s="2036" t="s">
        <v>6115</v>
      </c>
      <c r="ED62" s="2036"/>
      <c r="EE62" s="2036"/>
      <c r="EF62" s="2036"/>
      <c r="EG62" s="2036"/>
      <c r="EH62" s="2036"/>
      <c r="EI62" s="2036"/>
      <c r="EJ62" s="2036"/>
      <c r="EK62" s="2036"/>
      <c r="EL62" s="2036"/>
      <c r="EM62" s="2036"/>
      <c r="EN62" s="2036"/>
      <c r="EO62" s="2036"/>
      <c r="EP62" s="2036"/>
      <c r="EQ62" s="2036"/>
      <c r="ER62" s="2036"/>
      <c r="ES62" s="2036"/>
      <c r="ET62" s="194"/>
      <c r="EU62" s="112"/>
      <c r="EV62" s="87"/>
      <c r="EW62" s="87"/>
      <c r="EX62" s="87"/>
      <c r="EY62" s="87"/>
      <c r="EZ62" s="87"/>
      <c r="FA62" s="87"/>
      <c r="FB62" s="87"/>
    </row>
    <row r="63" spans="1:158" ht="9" customHeight="1" thickTop="1" thickBot="1">
      <c r="A63" s="87"/>
      <c r="B63" s="117"/>
      <c r="C63" s="87"/>
      <c r="D63" s="2080"/>
      <c r="E63" s="2080"/>
      <c r="F63" s="147"/>
      <c r="G63" s="1242"/>
      <c r="H63" s="1243"/>
      <c r="I63" s="1244"/>
      <c r="J63" s="1244"/>
      <c r="K63" s="1245"/>
      <c r="L63" s="1243"/>
      <c r="M63" s="1243"/>
      <c r="N63" s="1243"/>
      <c r="O63" s="1192"/>
      <c r="P63" s="1192"/>
      <c r="Q63" s="1192"/>
      <c r="R63" s="1192"/>
      <c r="S63" s="1192"/>
      <c r="T63" s="1192"/>
      <c r="U63" s="1192"/>
      <c r="V63" s="1192"/>
      <c r="W63" s="1192"/>
      <c r="X63" s="1192"/>
      <c r="Y63" s="1192"/>
      <c r="Z63" s="1192"/>
      <c r="AA63" s="1192"/>
      <c r="AB63" s="1192"/>
      <c r="AC63" s="1192"/>
      <c r="AD63" s="1192"/>
      <c r="AE63" s="87"/>
      <c r="AF63" s="87"/>
      <c r="AG63" s="87"/>
      <c r="AH63" s="87"/>
      <c r="AI63" s="87"/>
      <c r="AJ63" s="179"/>
      <c r="AK63" s="179"/>
      <c r="AL63" s="179"/>
      <c r="AM63" s="179"/>
      <c r="AN63" s="179"/>
      <c r="AO63" s="179"/>
      <c r="AP63" s="179"/>
      <c r="AQ63" s="179"/>
      <c r="AR63" s="87"/>
      <c r="AS63" s="87"/>
      <c r="AT63" s="87"/>
      <c r="AU63" s="87"/>
      <c r="AV63" s="87"/>
      <c r="AW63" s="179"/>
      <c r="AX63" s="179"/>
      <c r="AY63" s="179"/>
      <c r="AZ63" s="179"/>
      <c r="BA63" s="179"/>
      <c r="BB63" s="179"/>
      <c r="BC63" s="179"/>
      <c r="BD63" s="179"/>
      <c r="BE63" s="87"/>
      <c r="BF63" s="87"/>
      <c r="BG63" s="87"/>
      <c r="BH63" s="87"/>
      <c r="BI63" s="87"/>
      <c r="BJ63" s="87"/>
      <c r="BK63" s="87"/>
      <c r="BL63" s="87"/>
      <c r="BM63" s="87"/>
      <c r="BN63" s="87"/>
      <c r="BO63" s="87"/>
      <c r="BP63" s="87"/>
      <c r="BQ63" s="87"/>
      <c r="BR63" s="87"/>
      <c r="BS63" s="2039" t="s">
        <v>3585</v>
      </c>
      <c r="BT63" s="2039"/>
      <c r="BU63" s="2039"/>
      <c r="BV63" s="2039"/>
      <c r="BW63" s="2039"/>
      <c r="BX63" s="2039"/>
      <c r="BY63" s="2039"/>
      <c r="BZ63" s="2039"/>
      <c r="CA63" s="2039"/>
      <c r="CB63" s="2039"/>
      <c r="CC63" s="2039"/>
      <c r="CD63" s="2039"/>
      <c r="CE63" s="2039"/>
      <c r="CF63" s="2039"/>
      <c r="CG63" s="87"/>
      <c r="CH63" s="162"/>
      <c r="CI63" s="195"/>
      <c r="CJ63" s="195"/>
      <c r="CK63" s="195"/>
      <c r="CL63" s="195"/>
      <c r="CM63" s="195"/>
      <c r="CN63" s="195"/>
      <c r="CO63" s="195"/>
      <c r="CP63" s="195"/>
      <c r="CQ63" s="195"/>
      <c r="CR63" s="195"/>
      <c r="CS63" s="195"/>
      <c r="CT63" s="195"/>
      <c r="CU63" s="180"/>
      <c r="CV63" s="161"/>
      <c r="CW63" s="87"/>
      <c r="CY63" s="196"/>
      <c r="CZ63" s="109"/>
      <c r="DA63" s="197"/>
      <c r="DB63" s="2021"/>
      <c r="DC63" s="2021"/>
      <c r="DD63" s="2021"/>
      <c r="DE63" s="2021"/>
      <c r="DF63" s="2021"/>
      <c r="DG63" s="2021"/>
      <c r="DH63" s="2021"/>
      <c r="DI63" s="2021"/>
      <c r="DJ63" s="167"/>
      <c r="DK63" s="87"/>
      <c r="DL63" s="87"/>
      <c r="DM63" s="87"/>
      <c r="DN63" s="87"/>
      <c r="DO63" s="87"/>
      <c r="DP63" s="87"/>
      <c r="DQ63" s="87"/>
      <c r="DR63" s="87"/>
      <c r="DS63" s="87"/>
      <c r="DT63" s="109"/>
      <c r="DU63" s="183"/>
      <c r="DV63" s="198"/>
      <c r="DW63" s="1903">
        <v>-1</v>
      </c>
      <c r="DX63" s="1903"/>
      <c r="DY63" s="1903"/>
      <c r="DZ63" s="1903"/>
      <c r="EA63" s="1903"/>
      <c r="EB63" s="199"/>
      <c r="EC63" s="2037"/>
      <c r="ED63" s="2037"/>
      <c r="EE63" s="2037"/>
      <c r="EF63" s="2037"/>
      <c r="EG63" s="2037"/>
      <c r="EH63" s="2037"/>
      <c r="EI63" s="2037"/>
      <c r="EJ63" s="2037"/>
      <c r="EK63" s="2037"/>
      <c r="EL63" s="2037"/>
      <c r="EM63" s="2037"/>
      <c r="EN63" s="2037"/>
      <c r="EO63" s="2037"/>
      <c r="EP63" s="2037"/>
      <c r="EQ63" s="2037"/>
      <c r="ER63" s="2037"/>
      <c r="ES63" s="2037"/>
      <c r="ET63" s="200"/>
      <c r="EU63" s="112"/>
      <c r="EV63" s="87"/>
      <c r="EW63" s="87"/>
      <c r="EX63" s="87"/>
      <c r="EY63" s="87"/>
      <c r="EZ63" s="87"/>
      <c r="FA63" s="87"/>
      <c r="FB63" s="87"/>
    </row>
    <row r="64" spans="1:158" ht="9" customHeight="1" thickTop="1" thickBot="1">
      <c r="A64" s="87"/>
      <c r="B64" s="117"/>
      <c r="C64" s="87"/>
      <c r="D64" s="2080"/>
      <c r="E64" s="2080"/>
      <c r="F64" s="147"/>
      <c r="G64" s="1242"/>
      <c r="H64" s="1243"/>
      <c r="I64" s="1244"/>
      <c r="J64" s="1244"/>
      <c r="K64" s="1245"/>
      <c r="L64" s="1243"/>
      <c r="M64" s="1243"/>
      <c r="N64" s="1243"/>
      <c r="O64" s="1192"/>
      <c r="P64" s="1192"/>
      <c r="Q64" s="1192"/>
      <c r="R64" s="1192"/>
      <c r="S64" s="1192"/>
      <c r="T64" s="1192"/>
      <c r="U64" s="1192"/>
      <c r="V64" s="1192"/>
      <c r="W64" s="1192"/>
      <c r="X64" s="1192"/>
      <c r="Y64" s="1192"/>
      <c r="Z64" s="1192"/>
      <c r="AA64" s="1192"/>
      <c r="AB64" s="1192"/>
      <c r="AC64" s="1192"/>
      <c r="AD64" s="1192"/>
      <c r="AE64" s="87"/>
      <c r="AF64" s="87"/>
      <c r="AG64" s="87"/>
      <c r="AH64" s="87"/>
      <c r="AI64" s="87"/>
      <c r="AJ64" s="179"/>
      <c r="AK64" s="179"/>
      <c r="AL64" s="179"/>
      <c r="AM64" s="179"/>
      <c r="AN64" s="179"/>
      <c r="AO64" s="179"/>
      <c r="AP64" s="179"/>
      <c r="AQ64" s="179"/>
      <c r="AR64" s="87"/>
      <c r="AS64" s="87"/>
      <c r="AT64" s="87"/>
      <c r="AU64" s="87"/>
      <c r="AV64" s="87"/>
      <c r="AW64" s="179"/>
      <c r="AX64" s="179"/>
      <c r="AY64" s="179"/>
      <c r="AZ64" s="179"/>
      <c r="BA64" s="179"/>
      <c r="BB64" s="179"/>
      <c r="BC64" s="179"/>
      <c r="BD64" s="179"/>
      <c r="BE64" s="87"/>
      <c r="BF64" s="87"/>
      <c r="BG64" s="87"/>
      <c r="BH64" s="87"/>
      <c r="BI64" s="87"/>
      <c r="BJ64" s="87"/>
      <c r="BK64" s="87"/>
      <c r="BL64" s="87"/>
      <c r="BM64" s="87"/>
      <c r="BN64" s="87"/>
      <c r="BO64" s="87"/>
      <c r="BP64" s="87"/>
      <c r="BQ64" s="87"/>
      <c r="BR64" s="87"/>
      <c r="BS64" s="2039"/>
      <c r="BT64" s="2039"/>
      <c r="BU64" s="2039"/>
      <c r="BV64" s="2039"/>
      <c r="BW64" s="2039"/>
      <c r="BX64" s="2039"/>
      <c r="BY64" s="2039"/>
      <c r="BZ64" s="2039"/>
      <c r="CA64" s="2039"/>
      <c r="CB64" s="2039"/>
      <c r="CC64" s="2039"/>
      <c r="CD64" s="2039"/>
      <c r="CE64" s="2039"/>
      <c r="CF64" s="2039"/>
      <c r="CG64" s="87"/>
      <c r="CH64" s="162"/>
      <c r="CI64" s="195"/>
      <c r="CJ64" s="195"/>
      <c r="CK64" s="195"/>
      <c r="CL64" s="195"/>
      <c r="CM64" s="195"/>
      <c r="CN64" s="195"/>
      <c r="CO64" s="195"/>
      <c r="CP64" s="195"/>
      <c r="CQ64" s="195"/>
      <c r="CR64" s="195"/>
      <c r="CS64" s="195"/>
      <c r="CT64" s="195"/>
      <c r="CU64" s="180"/>
      <c r="CV64" s="87"/>
      <c r="CW64" s="87"/>
      <c r="CY64" s="154"/>
      <c r="CZ64" s="201"/>
      <c r="DA64" s="202"/>
      <c r="DB64" s="2021"/>
      <c r="DC64" s="2021"/>
      <c r="DD64" s="2021"/>
      <c r="DE64" s="2021"/>
      <c r="DF64" s="2021"/>
      <c r="DG64" s="2021"/>
      <c r="DH64" s="2021"/>
      <c r="DI64" s="2021"/>
      <c r="DJ64" s="167"/>
      <c r="DK64" s="87"/>
      <c r="DL64" s="87"/>
      <c r="DM64" s="87"/>
      <c r="DN64" s="87"/>
      <c r="DO64" s="87"/>
      <c r="DP64" s="87"/>
      <c r="DQ64" s="87"/>
      <c r="DR64" s="87"/>
      <c r="DS64" s="87"/>
      <c r="DT64" s="109"/>
      <c r="DU64" s="183"/>
      <c r="DV64" s="198"/>
      <c r="DW64" s="1903"/>
      <c r="DX64" s="1903"/>
      <c r="DY64" s="1903"/>
      <c r="DZ64" s="1903"/>
      <c r="EA64" s="1903"/>
      <c r="EB64" s="199"/>
      <c r="EC64" s="2037"/>
      <c r="ED64" s="2037"/>
      <c r="EE64" s="2037"/>
      <c r="EF64" s="2037"/>
      <c r="EG64" s="2037"/>
      <c r="EH64" s="2037"/>
      <c r="EI64" s="2037"/>
      <c r="EJ64" s="2037"/>
      <c r="EK64" s="2037"/>
      <c r="EL64" s="2037"/>
      <c r="EM64" s="2037"/>
      <c r="EN64" s="2037"/>
      <c r="EO64" s="2037"/>
      <c r="EP64" s="2037"/>
      <c r="EQ64" s="2037"/>
      <c r="ER64" s="2037"/>
      <c r="ES64" s="2037"/>
      <c r="ET64" s="2008"/>
      <c r="EU64" s="2009"/>
      <c r="EV64" s="2009"/>
      <c r="EW64" s="2009"/>
      <c r="EX64" s="2009"/>
      <c r="EY64" s="2014"/>
      <c r="EZ64" s="2014"/>
      <c r="FA64" s="87"/>
      <c r="FB64" s="87"/>
    </row>
    <row r="65" spans="1:158" ht="9" customHeight="1" thickTop="1" thickBot="1">
      <c r="A65" s="87"/>
      <c r="B65" s="117"/>
      <c r="C65" s="87"/>
      <c r="D65" s="2080"/>
      <c r="E65" s="2080"/>
      <c r="F65" s="155"/>
      <c r="G65" s="1246"/>
      <c r="H65" s="1246"/>
      <c r="I65" s="1246"/>
      <c r="J65" s="1246"/>
      <c r="K65" s="1246"/>
      <c r="L65" s="1246"/>
      <c r="M65" s="1246"/>
      <c r="N65" s="1246"/>
      <c r="O65" s="1247"/>
      <c r="P65" s="1247"/>
      <c r="Q65" s="1247"/>
      <c r="R65" s="1247"/>
      <c r="S65" s="1247"/>
      <c r="T65" s="1247"/>
      <c r="U65" s="1247"/>
      <c r="V65" s="1247"/>
      <c r="W65" s="1247"/>
      <c r="X65" s="1247"/>
      <c r="Y65" s="1247"/>
      <c r="Z65" s="1247"/>
      <c r="AA65" s="1247"/>
      <c r="AB65" s="1247"/>
      <c r="AC65" s="1247"/>
      <c r="AD65" s="1247"/>
      <c r="AE65" s="154"/>
      <c r="AF65" s="87"/>
      <c r="AG65" s="87"/>
      <c r="AH65" s="87"/>
      <c r="AI65" s="158"/>
      <c r="AJ65" s="184"/>
      <c r="AK65" s="184"/>
      <c r="AL65" s="184"/>
      <c r="AM65" s="184"/>
      <c r="AN65" s="184"/>
      <c r="AO65" s="184"/>
      <c r="AP65" s="184"/>
      <c r="AQ65" s="184"/>
      <c r="AR65" s="160"/>
      <c r="AS65" s="109"/>
      <c r="AT65" s="87"/>
      <c r="AU65" s="87"/>
      <c r="AV65" s="158"/>
      <c r="AW65" s="184"/>
      <c r="AX65" s="184"/>
      <c r="AY65" s="184"/>
      <c r="AZ65" s="184"/>
      <c r="BA65" s="184"/>
      <c r="BB65" s="184"/>
      <c r="BC65" s="184"/>
      <c r="BD65" s="184"/>
      <c r="BE65" s="160"/>
      <c r="BF65" s="87"/>
      <c r="BG65" s="87"/>
      <c r="BH65" s="87"/>
      <c r="BI65" s="87"/>
      <c r="BJ65" s="87"/>
      <c r="BK65" s="87"/>
      <c r="BL65" s="87"/>
      <c r="BM65" s="87"/>
      <c r="BN65" s="87"/>
      <c r="BO65" s="87"/>
      <c r="BP65" s="87"/>
      <c r="BQ65" s="87"/>
      <c r="BR65" s="87"/>
      <c r="BS65" s="2040"/>
      <c r="BT65" s="2040"/>
      <c r="BU65" s="2040"/>
      <c r="BV65" s="2040"/>
      <c r="BW65" s="2040"/>
      <c r="BX65" s="2040"/>
      <c r="BY65" s="2040"/>
      <c r="BZ65" s="2040"/>
      <c r="CA65" s="2040"/>
      <c r="CB65" s="2040"/>
      <c r="CC65" s="2040"/>
      <c r="CD65" s="2040"/>
      <c r="CE65" s="2040"/>
      <c r="CF65" s="2040"/>
      <c r="CG65" s="168"/>
      <c r="CH65" s="162"/>
      <c r="CI65" s="195"/>
      <c r="CJ65" s="195"/>
      <c r="CK65" s="195"/>
      <c r="CL65" s="195"/>
      <c r="CM65" s="195"/>
      <c r="CN65" s="195"/>
      <c r="CO65" s="195"/>
      <c r="CP65" s="195"/>
      <c r="CQ65" s="195"/>
      <c r="CR65" s="195"/>
      <c r="CS65" s="195"/>
      <c r="CT65" s="195"/>
      <c r="CU65" s="180"/>
      <c r="CV65" s="161"/>
      <c r="CW65" s="87"/>
      <c r="CY65" s="87"/>
      <c r="CZ65" s="87"/>
      <c r="DA65" s="203"/>
      <c r="DB65" s="204"/>
      <c r="DC65" s="204"/>
      <c r="DD65" s="204"/>
      <c r="DE65" s="204"/>
      <c r="DF65" s="204"/>
      <c r="DG65" s="204"/>
      <c r="DH65" s="204"/>
      <c r="DI65" s="204"/>
      <c r="DJ65" s="158"/>
      <c r="DK65" s="87"/>
      <c r="DL65" s="87"/>
      <c r="DM65" s="87"/>
      <c r="DN65" s="87"/>
      <c r="DO65" s="87"/>
      <c r="DP65" s="87"/>
      <c r="DQ65" s="87"/>
      <c r="DR65" s="87"/>
      <c r="DS65" s="87"/>
      <c r="DT65" s="109"/>
      <c r="DU65" s="183"/>
      <c r="DV65" s="198"/>
      <c r="DW65" s="1903"/>
      <c r="DX65" s="1903"/>
      <c r="DY65" s="1903"/>
      <c r="DZ65" s="1903"/>
      <c r="EA65" s="1903"/>
      <c r="EB65" s="199"/>
      <c r="EC65" s="2037"/>
      <c r="ED65" s="2037"/>
      <c r="EE65" s="2037"/>
      <c r="EF65" s="2037"/>
      <c r="EG65" s="2037"/>
      <c r="EH65" s="2037"/>
      <c r="EI65" s="2037"/>
      <c r="EJ65" s="2037"/>
      <c r="EK65" s="2037"/>
      <c r="EL65" s="2037"/>
      <c r="EM65" s="2037"/>
      <c r="EN65" s="2037"/>
      <c r="EO65" s="2037"/>
      <c r="EP65" s="2037"/>
      <c r="EQ65" s="2037"/>
      <c r="ER65" s="2037"/>
      <c r="ES65" s="2037"/>
      <c r="ET65" s="2010"/>
      <c r="EU65" s="2011"/>
      <c r="EV65" s="2011"/>
      <c r="EW65" s="2011"/>
      <c r="EX65" s="2011"/>
      <c r="EY65" s="2015"/>
      <c r="EZ65" s="2015"/>
      <c r="FA65" s="87"/>
      <c r="FB65" s="87"/>
    </row>
    <row r="66" spans="1:158" ht="9" customHeight="1" thickTop="1" thickBot="1">
      <c r="A66" s="87"/>
      <c r="B66" s="117"/>
      <c r="C66" s="87"/>
      <c r="D66" s="2080"/>
      <c r="E66" s="2080"/>
      <c r="F66" s="165"/>
      <c r="G66" s="2041" t="s">
        <v>3</v>
      </c>
      <c r="H66" s="2041"/>
      <c r="I66" s="2041"/>
      <c r="J66" s="2041"/>
      <c r="K66" s="2041"/>
      <c r="L66" s="2041"/>
      <c r="M66" s="2041"/>
      <c r="N66" s="2041"/>
      <c r="O66" s="2042" t="s">
        <v>3586</v>
      </c>
      <c r="P66" s="2042"/>
      <c r="Q66" s="2042"/>
      <c r="R66" s="2042"/>
      <c r="S66" s="2042"/>
      <c r="T66" s="2042"/>
      <c r="U66" s="2042"/>
      <c r="V66" s="2042"/>
      <c r="W66" s="2042"/>
      <c r="X66" s="2042"/>
      <c r="Y66" s="2042"/>
      <c r="Z66" s="2042"/>
      <c r="AA66" s="2042"/>
      <c r="AB66" s="2042"/>
      <c r="AC66" s="2042"/>
      <c r="AD66" s="2042"/>
      <c r="AE66" s="163"/>
      <c r="AF66" s="87"/>
      <c r="AG66" s="87"/>
      <c r="AH66" s="87"/>
      <c r="AI66" s="166"/>
      <c r="AJ66" s="2023" t="str">
        <f>Constitution</f>
        <v/>
      </c>
      <c r="AK66" s="2023"/>
      <c r="AL66" s="2023"/>
      <c r="AM66" s="2023"/>
      <c r="AN66" s="2023"/>
      <c r="AO66" s="2023"/>
      <c r="AP66" s="2023"/>
      <c r="AQ66" s="2023"/>
      <c r="AR66" s="167"/>
      <c r="AS66" s="109"/>
      <c r="AT66" s="87"/>
      <c r="AU66" s="87"/>
      <c r="AV66" s="166"/>
      <c r="AW66" s="1991" t="str">
        <f>ConMod</f>
        <v/>
      </c>
      <c r="AX66" s="1991"/>
      <c r="AY66" s="1991"/>
      <c r="AZ66" s="1991"/>
      <c r="BA66" s="1991"/>
      <c r="BB66" s="1991"/>
      <c r="BC66" s="1991"/>
      <c r="BD66" s="1991"/>
      <c r="BE66" s="167"/>
      <c r="BF66" s="87"/>
      <c r="BG66" s="87"/>
      <c r="BH66" s="87"/>
      <c r="BI66" s="87"/>
      <c r="BJ66" s="87"/>
      <c r="BK66" s="87"/>
      <c r="BL66" s="87"/>
      <c r="BM66" s="87"/>
      <c r="BN66" s="87"/>
      <c r="BO66" s="87"/>
      <c r="BP66" s="87"/>
      <c r="BQ66" s="2049"/>
      <c r="BR66" s="2049"/>
      <c r="BS66" s="87"/>
      <c r="BT66" s="87"/>
      <c r="BU66" s="87"/>
      <c r="BV66" s="87"/>
      <c r="BW66" s="87"/>
      <c r="BX66" s="87"/>
      <c r="BY66" s="87"/>
      <c r="BZ66" s="87"/>
      <c r="CA66" s="87"/>
      <c r="CB66" s="87"/>
      <c r="CC66" s="87"/>
      <c r="CD66" s="87"/>
      <c r="CE66" s="87"/>
      <c r="CF66" s="87"/>
      <c r="CG66" s="87"/>
      <c r="CH66" s="154"/>
      <c r="CI66" s="185"/>
      <c r="CJ66" s="185"/>
      <c r="CK66" s="185"/>
      <c r="CL66" s="185"/>
      <c r="CM66" s="185"/>
      <c r="CN66" s="185"/>
      <c r="CO66" s="185"/>
      <c r="CP66" s="185"/>
      <c r="CQ66" s="185"/>
      <c r="CR66" s="185"/>
      <c r="CS66" s="185"/>
      <c r="CT66" s="185"/>
      <c r="CU66" s="153"/>
      <c r="CV66" s="87"/>
      <c r="CW66" s="87"/>
      <c r="CY66" s="87"/>
      <c r="CZ66" s="87"/>
      <c r="DA66" s="87"/>
      <c r="DB66" s="87"/>
      <c r="DC66" s="87"/>
      <c r="DD66" s="87"/>
      <c r="DE66" s="87"/>
      <c r="DF66" s="87"/>
      <c r="DG66" s="87"/>
      <c r="DH66" s="87"/>
      <c r="DI66" s="87"/>
      <c r="DJ66" s="87"/>
      <c r="DK66" s="87"/>
      <c r="DL66" s="87"/>
      <c r="DM66" s="87"/>
      <c r="DN66" s="87"/>
      <c r="DO66" s="87"/>
      <c r="DP66" s="87"/>
      <c r="DQ66" s="87"/>
      <c r="DR66" s="87"/>
      <c r="DS66" s="87"/>
      <c r="DT66" s="109"/>
      <c r="DU66" s="183"/>
      <c r="DV66" s="198"/>
      <c r="DW66" s="1903"/>
      <c r="DX66" s="1903"/>
      <c r="DY66" s="1903"/>
      <c r="DZ66" s="1903"/>
      <c r="EA66" s="1903"/>
      <c r="EB66" s="199"/>
      <c r="EC66" s="2037"/>
      <c r="ED66" s="2037"/>
      <c r="EE66" s="2037"/>
      <c r="EF66" s="2037"/>
      <c r="EG66" s="2037"/>
      <c r="EH66" s="2037"/>
      <c r="EI66" s="2037"/>
      <c r="EJ66" s="2037"/>
      <c r="EK66" s="2037"/>
      <c r="EL66" s="2037"/>
      <c r="EM66" s="2037"/>
      <c r="EN66" s="2037"/>
      <c r="EO66" s="2037"/>
      <c r="EP66" s="2037"/>
      <c r="EQ66" s="2037"/>
      <c r="ER66" s="2037"/>
      <c r="ES66" s="2037"/>
      <c r="ET66" s="2012"/>
      <c r="EU66" s="2013"/>
      <c r="EV66" s="2013"/>
      <c r="EW66" s="2013"/>
      <c r="EX66" s="2013"/>
      <c r="EY66" s="2015"/>
      <c r="EZ66" s="2015"/>
      <c r="FA66" s="87"/>
      <c r="FB66" s="87"/>
    </row>
    <row r="67" spans="1:158" ht="9" customHeight="1" thickTop="1" thickBot="1">
      <c r="A67" s="87"/>
      <c r="B67" s="117"/>
      <c r="C67" s="87"/>
      <c r="D67" s="2080"/>
      <c r="E67" s="2080"/>
      <c r="F67" s="165"/>
      <c r="G67" s="2041"/>
      <c r="H67" s="2041"/>
      <c r="I67" s="2041"/>
      <c r="J67" s="2041"/>
      <c r="K67" s="2041"/>
      <c r="L67" s="2041"/>
      <c r="M67" s="2041"/>
      <c r="N67" s="2041"/>
      <c r="O67" s="2042"/>
      <c r="P67" s="2042"/>
      <c r="Q67" s="2042"/>
      <c r="R67" s="2042"/>
      <c r="S67" s="2042"/>
      <c r="T67" s="2042"/>
      <c r="U67" s="2042"/>
      <c r="V67" s="2042"/>
      <c r="W67" s="2042"/>
      <c r="X67" s="2042"/>
      <c r="Y67" s="2042"/>
      <c r="Z67" s="2042"/>
      <c r="AA67" s="2042"/>
      <c r="AB67" s="2042"/>
      <c r="AC67" s="2042"/>
      <c r="AD67" s="2042"/>
      <c r="AE67" s="163"/>
      <c r="AF67" s="87"/>
      <c r="AG67" s="87"/>
      <c r="AH67" s="87"/>
      <c r="AI67" s="166"/>
      <c r="AJ67" s="2023"/>
      <c r="AK67" s="2023"/>
      <c r="AL67" s="2023"/>
      <c r="AM67" s="2023"/>
      <c r="AN67" s="2023"/>
      <c r="AO67" s="2023"/>
      <c r="AP67" s="2023"/>
      <c r="AQ67" s="2023"/>
      <c r="AR67" s="167"/>
      <c r="AS67" s="109"/>
      <c r="AT67" s="87"/>
      <c r="AU67" s="87"/>
      <c r="AV67" s="166"/>
      <c r="AW67" s="1991"/>
      <c r="AX67" s="1991"/>
      <c r="AY67" s="1991"/>
      <c r="AZ67" s="1991"/>
      <c r="BA67" s="1991"/>
      <c r="BB67" s="1991"/>
      <c r="BC67" s="1991"/>
      <c r="BD67" s="1991"/>
      <c r="BE67" s="167"/>
      <c r="BF67" s="87"/>
      <c r="BG67" s="87"/>
      <c r="BH67" s="87"/>
      <c r="BI67" s="87"/>
      <c r="BJ67" s="87"/>
      <c r="BK67" s="87"/>
      <c r="BL67" s="87"/>
      <c r="BM67" s="87"/>
      <c r="BN67" s="87"/>
      <c r="BO67" s="87"/>
      <c r="BP67" s="87"/>
      <c r="BQ67" s="2049"/>
      <c r="BR67" s="2049"/>
      <c r="BS67" s="87"/>
      <c r="BT67" s="87"/>
      <c r="BU67" s="87"/>
      <c r="BV67" s="109"/>
      <c r="BW67" s="168"/>
      <c r="BX67" s="168"/>
      <c r="BY67" s="168"/>
      <c r="BZ67" s="168"/>
      <c r="CA67" s="168"/>
      <c r="CB67" s="168"/>
      <c r="CC67" s="168"/>
      <c r="CD67" s="168"/>
      <c r="CE67" s="168"/>
      <c r="CF67" s="168"/>
      <c r="CG67" s="168"/>
      <c r="CH67" s="168"/>
      <c r="CI67" s="168"/>
      <c r="CJ67" s="168"/>
      <c r="CK67" s="168"/>
      <c r="CL67" s="168"/>
      <c r="CM67" s="205"/>
      <c r="CN67" s="87"/>
      <c r="CO67" s="87"/>
      <c r="CP67" s="87"/>
      <c r="CQ67" s="87"/>
      <c r="CR67" s="87"/>
      <c r="CS67" s="87"/>
      <c r="CT67" s="87"/>
      <c r="CU67" s="87"/>
      <c r="CV67" s="87"/>
      <c r="CW67" s="87"/>
      <c r="CY67" s="87"/>
      <c r="CZ67" s="87"/>
      <c r="DA67" s="87"/>
      <c r="DB67" s="2024" t="s">
        <v>3587</v>
      </c>
      <c r="DC67" s="2024"/>
      <c r="DD67" s="2024"/>
      <c r="DE67" s="2024"/>
      <c r="DF67" s="2024"/>
      <c r="DG67" s="2024"/>
      <c r="DH67" s="2024"/>
      <c r="DI67" s="2024"/>
      <c r="DJ67" s="2024"/>
      <c r="DK67" s="2024"/>
      <c r="DL67" s="2024"/>
      <c r="DM67" s="2024"/>
      <c r="DN67" s="2024"/>
      <c r="DO67" s="2024"/>
      <c r="DP67" s="2024"/>
      <c r="DQ67" s="2024"/>
      <c r="DR67" s="87"/>
      <c r="DS67" s="87"/>
      <c r="DT67" s="109"/>
      <c r="DU67" s="183"/>
      <c r="DV67" s="198"/>
      <c r="DW67" s="1255"/>
      <c r="DX67" s="1255"/>
      <c r="DY67" s="1255"/>
      <c r="DZ67" s="1255"/>
      <c r="EA67" s="1255"/>
      <c r="EB67" s="199"/>
      <c r="EC67" s="2037"/>
      <c r="ED67" s="2037"/>
      <c r="EE67" s="2037"/>
      <c r="EF67" s="2037"/>
      <c r="EG67" s="2037"/>
      <c r="EH67" s="2037"/>
      <c r="EI67" s="2037"/>
      <c r="EJ67" s="2037"/>
      <c r="EK67" s="2037"/>
      <c r="EL67" s="2037"/>
      <c r="EM67" s="2037"/>
      <c r="EN67" s="2037"/>
      <c r="EO67" s="2037"/>
      <c r="EP67" s="2037"/>
      <c r="EQ67" s="2037"/>
      <c r="ER67" s="2037"/>
      <c r="ES67" s="2037"/>
      <c r="ET67" s="200"/>
      <c r="EU67" s="112"/>
      <c r="EV67" s="87"/>
      <c r="EW67" s="87"/>
      <c r="EX67" s="87"/>
      <c r="EY67" s="87"/>
      <c r="EZ67" s="87"/>
      <c r="FA67" s="87"/>
      <c r="FB67" s="87"/>
    </row>
    <row r="68" spans="1:158" ht="9" customHeight="1" thickTop="1" thickBot="1">
      <c r="A68" s="87"/>
      <c r="B68" s="117"/>
      <c r="C68" s="87"/>
      <c r="D68" s="2080"/>
      <c r="E68" s="2080"/>
      <c r="F68" s="165"/>
      <c r="G68" s="2041"/>
      <c r="H68" s="2041"/>
      <c r="I68" s="2041"/>
      <c r="J68" s="2041"/>
      <c r="K68" s="2041"/>
      <c r="L68" s="2041"/>
      <c r="M68" s="2041"/>
      <c r="N68" s="2041"/>
      <c r="O68" s="2042"/>
      <c r="P68" s="2042"/>
      <c r="Q68" s="2042"/>
      <c r="R68" s="2042"/>
      <c r="S68" s="2042"/>
      <c r="T68" s="2042"/>
      <c r="U68" s="2042"/>
      <c r="V68" s="2042"/>
      <c r="W68" s="2042"/>
      <c r="X68" s="2042"/>
      <c r="Y68" s="2042"/>
      <c r="Z68" s="2042"/>
      <c r="AA68" s="2042"/>
      <c r="AB68" s="2042"/>
      <c r="AC68" s="2042"/>
      <c r="AD68" s="2042"/>
      <c r="AE68" s="163"/>
      <c r="AF68" s="87"/>
      <c r="AG68" s="87"/>
      <c r="AH68" s="87"/>
      <c r="AI68" s="166"/>
      <c r="AJ68" s="2023"/>
      <c r="AK68" s="2023"/>
      <c r="AL68" s="2023"/>
      <c r="AM68" s="2023"/>
      <c r="AN68" s="2023"/>
      <c r="AO68" s="2023"/>
      <c r="AP68" s="2023"/>
      <c r="AQ68" s="2023"/>
      <c r="AR68" s="167"/>
      <c r="AS68" s="109"/>
      <c r="AT68" s="87"/>
      <c r="AU68" s="87"/>
      <c r="AV68" s="166"/>
      <c r="AW68" s="1991"/>
      <c r="AX68" s="1991"/>
      <c r="AY68" s="1991"/>
      <c r="AZ68" s="1991"/>
      <c r="BA68" s="1991"/>
      <c r="BB68" s="1991"/>
      <c r="BC68" s="1991"/>
      <c r="BD68" s="1991"/>
      <c r="BE68" s="167"/>
      <c r="BF68" s="87"/>
      <c r="BG68" s="87"/>
      <c r="BH68" s="87"/>
      <c r="BI68" s="87"/>
      <c r="BJ68" s="87"/>
      <c r="BK68" s="87"/>
      <c r="BL68" s="87"/>
      <c r="BM68" s="87"/>
      <c r="BN68" s="87"/>
      <c r="BO68" s="87"/>
      <c r="BP68" s="87"/>
      <c r="BQ68" s="2049"/>
      <c r="BR68" s="2049"/>
      <c r="BS68" s="87"/>
      <c r="BT68" s="2049"/>
      <c r="BU68" s="152"/>
      <c r="BV68" s="152"/>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c r="CY68" s="87"/>
      <c r="CZ68" s="87"/>
      <c r="DA68" s="87"/>
      <c r="DB68" s="2024"/>
      <c r="DC68" s="2024"/>
      <c r="DD68" s="2024"/>
      <c r="DE68" s="2024"/>
      <c r="DF68" s="2024"/>
      <c r="DG68" s="2024"/>
      <c r="DH68" s="2024"/>
      <c r="DI68" s="2024"/>
      <c r="DJ68" s="2024"/>
      <c r="DK68" s="2024"/>
      <c r="DL68" s="2024"/>
      <c r="DM68" s="2024"/>
      <c r="DN68" s="2024"/>
      <c r="DO68" s="2024"/>
      <c r="DP68" s="2024"/>
      <c r="DQ68" s="2024"/>
      <c r="DR68" s="87"/>
      <c r="DS68" s="87"/>
      <c r="DT68" s="109"/>
      <c r="DU68" s="183"/>
      <c r="DV68" s="206"/>
      <c r="DW68" s="1256"/>
      <c r="DX68" s="1256"/>
      <c r="DY68" s="1256"/>
      <c r="DZ68" s="1256"/>
      <c r="EA68" s="1256"/>
      <c r="EB68" s="207"/>
      <c r="EC68" s="2038"/>
      <c r="ED68" s="2038"/>
      <c r="EE68" s="2038"/>
      <c r="EF68" s="2038"/>
      <c r="EG68" s="2038"/>
      <c r="EH68" s="2038"/>
      <c r="EI68" s="2038"/>
      <c r="EJ68" s="2038"/>
      <c r="EK68" s="2038"/>
      <c r="EL68" s="2038"/>
      <c r="EM68" s="2038"/>
      <c r="EN68" s="2038"/>
      <c r="EO68" s="2038"/>
      <c r="EP68" s="2038"/>
      <c r="EQ68" s="2038"/>
      <c r="ER68" s="2038"/>
      <c r="ES68" s="2038"/>
      <c r="ET68" s="208"/>
      <c r="EU68" s="112"/>
      <c r="EV68" s="87"/>
      <c r="EW68" s="87"/>
      <c r="EX68" s="87"/>
      <c r="EY68" s="87"/>
      <c r="EZ68" s="87"/>
      <c r="FA68" s="87"/>
      <c r="FB68" s="87"/>
    </row>
    <row r="69" spans="1:158" ht="9" customHeight="1" thickBot="1">
      <c r="A69" s="87"/>
      <c r="B69" s="117"/>
      <c r="C69" s="87"/>
      <c r="D69" s="2080"/>
      <c r="E69" s="2080"/>
      <c r="F69" s="173"/>
      <c r="G69" s="1240"/>
      <c r="H69" s="1240"/>
      <c r="I69" s="1240"/>
      <c r="J69" s="1241"/>
      <c r="K69" s="1241"/>
      <c r="L69" s="1241"/>
      <c r="M69" s="1241"/>
      <c r="N69" s="1241"/>
      <c r="O69" s="1241"/>
      <c r="P69" s="1241"/>
      <c r="Q69" s="1241"/>
      <c r="R69" s="1241"/>
      <c r="S69" s="1241"/>
      <c r="T69" s="1241"/>
      <c r="U69" s="1241"/>
      <c r="V69" s="1241"/>
      <c r="W69" s="1241"/>
      <c r="X69" s="1241"/>
      <c r="Y69" s="1241"/>
      <c r="Z69" s="1241"/>
      <c r="AA69" s="1241"/>
      <c r="AB69" s="1241"/>
      <c r="AC69" s="1241"/>
      <c r="AD69" s="1241"/>
      <c r="AE69" s="153"/>
      <c r="AF69" s="87"/>
      <c r="AG69" s="87"/>
      <c r="AH69" s="87"/>
      <c r="AI69" s="160"/>
      <c r="AJ69" s="175"/>
      <c r="AK69" s="175"/>
      <c r="AL69" s="175"/>
      <c r="AM69" s="175"/>
      <c r="AN69" s="175"/>
      <c r="AO69" s="175"/>
      <c r="AP69" s="175"/>
      <c r="AQ69" s="175"/>
      <c r="AR69" s="158"/>
      <c r="AS69" s="109"/>
      <c r="AT69" s="87"/>
      <c r="AU69" s="87"/>
      <c r="AV69" s="160"/>
      <c r="AW69" s="175"/>
      <c r="AX69" s="175"/>
      <c r="AY69" s="175"/>
      <c r="AZ69" s="175"/>
      <c r="BA69" s="175"/>
      <c r="BB69" s="175"/>
      <c r="BC69" s="175"/>
      <c r="BD69" s="175"/>
      <c r="BE69" s="158"/>
      <c r="BF69" s="87"/>
      <c r="BG69" s="87"/>
      <c r="BH69" s="87"/>
      <c r="BI69" s="87"/>
      <c r="BJ69" s="87"/>
      <c r="BK69" s="87"/>
      <c r="BL69" s="87"/>
      <c r="BM69" s="87"/>
      <c r="BN69" s="87"/>
      <c r="BO69" s="87"/>
      <c r="BP69" s="87"/>
      <c r="BQ69" s="2049"/>
      <c r="BR69" s="2049"/>
      <c r="BS69" s="87"/>
      <c r="BT69" s="2049"/>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c r="CY69" s="87"/>
      <c r="CZ69" s="87"/>
      <c r="DA69" s="158"/>
      <c r="DB69" s="159"/>
      <c r="DC69" s="159"/>
      <c r="DD69" s="159"/>
      <c r="DE69" s="159"/>
      <c r="DF69" s="159"/>
      <c r="DG69" s="159"/>
      <c r="DH69" s="159"/>
      <c r="DI69" s="159"/>
      <c r="DJ69" s="160"/>
      <c r="DK69" s="87"/>
      <c r="DL69" s="87"/>
      <c r="DM69" s="87"/>
      <c r="DN69" s="87"/>
      <c r="DO69" s="87"/>
      <c r="DP69" s="87"/>
      <c r="DQ69" s="87"/>
      <c r="DR69" s="87"/>
      <c r="DS69" s="87"/>
      <c r="DT69" s="109"/>
      <c r="DU69" s="186"/>
      <c r="DV69" s="145"/>
      <c r="DW69" s="1257"/>
      <c r="DX69" s="1257"/>
      <c r="DY69" s="1257"/>
      <c r="DZ69" s="1257"/>
      <c r="EA69" s="1257"/>
      <c r="EB69" s="145"/>
      <c r="EC69" s="145"/>
      <c r="ED69" s="145"/>
      <c r="EE69" s="145"/>
      <c r="EF69" s="145"/>
      <c r="EG69" s="145"/>
      <c r="EH69" s="145"/>
      <c r="EI69" s="145"/>
      <c r="EJ69" s="145"/>
      <c r="EK69" s="145"/>
      <c r="EL69" s="145"/>
      <c r="EM69" s="145"/>
      <c r="EN69" s="145"/>
      <c r="EO69" s="145"/>
      <c r="EP69" s="145"/>
      <c r="EQ69" s="145"/>
      <c r="ER69" s="145"/>
      <c r="ES69" s="145"/>
      <c r="ET69" s="145"/>
      <c r="EU69" s="187"/>
      <c r="EV69" s="87"/>
      <c r="EW69" s="87"/>
      <c r="EX69" s="87"/>
      <c r="EY69" s="87"/>
      <c r="EZ69" s="87"/>
      <c r="FA69" s="87"/>
      <c r="FB69" s="87"/>
    </row>
    <row r="70" spans="1:158" ht="9" customHeight="1" thickTop="1" thickBot="1">
      <c r="A70" s="87"/>
      <c r="B70" s="117"/>
      <c r="C70" s="87"/>
      <c r="D70" s="2080"/>
      <c r="E70" s="2080"/>
      <c r="F70" s="147"/>
      <c r="G70" s="1242"/>
      <c r="H70" s="1243"/>
      <c r="I70" s="1244"/>
      <c r="J70" s="1244"/>
      <c r="K70" s="1245"/>
      <c r="L70" s="1243"/>
      <c r="M70" s="1243"/>
      <c r="N70" s="1243"/>
      <c r="O70" s="1192"/>
      <c r="P70" s="1192"/>
      <c r="Q70" s="1192"/>
      <c r="R70" s="1192"/>
      <c r="S70" s="1192"/>
      <c r="T70" s="1192"/>
      <c r="U70" s="1192"/>
      <c r="V70" s="1192"/>
      <c r="W70" s="1192"/>
      <c r="X70" s="1192"/>
      <c r="Y70" s="1192"/>
      <c r="Z70" s="1192"/>
      <c r="AA70" s="1192"/>
      <c r="AB70" s="1192"/>
      <c r="AC70" s="1192"/>
      <c r="AD70" s="1192"/>
      <c r="AE70" s="87"/>
      <c r="AF70" s="87"/>
      <c r="AG70" s="87"/>
      <c r="AH70" s="87"/>
      <c r="AI70" s="87"/>
      <c r="AJ70" s="179"/>
      <c r="AK70" s="179"/>
      <c r="AL70" s="179"/>
      <c r="AM70" s="179"/>
      <c r="AN70" s="179"/>
      <c r="AO70" s="179"/>
      <c r="AP70" s="179"/>
      <c r="AQ70" s="179"/>
      <c r="AR70" s="87"/>
      <c r="AS70" s="87"/>
      <c r="AT70" s="87"/>
      <c r="AU70" s="87"/>
      <c r="AV70" s="87"/>
      <c r="AW70" s="179"/>
      <c r="AX70" s="179"/>
      <c r="AY70" s="179"/>
      <c r="AZ70" s="179"/>
      <c r="BA70" s="179"/>
      <c r="BB70" s="179"/>
      <c r="BC70" s="179"/>
      <c r="BD70" s="179"/>
      <c r="BE70" s="87"/>
      <c r="BF70" s="87"/>
      <c r="BG70" s="87"/>
      <c r="BH70" s="87"/>
      <c r="BI70" s="87"/>
      <c r="BJ70" s="87"/>
      <c r="BK70" s="87"/>
      <c r="BL70" s="87"/>
      <c r="BM70" s="87"/>
      <c r="BN70" s="87"/>
      <c r="BO70" s="168"/>
      <c r="BP70" s="168"/>
      <c r="BQ70" s="2049"/>
      <c r="BR70" s="2049"/>
      <c r="BS70" s="2049"/>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c r="CY70" s="153"/>
      <c r="CZ70" s="190"/>
      <c r="DA70" s="191"/>
      <c r="DB70" s="2032">
        <f ca="1">'Character Sheet 2'!CV46</f>
        <v>0</v>
      </c>
      <c r="DC70" s="2032"/>
      <c r="DD70" s="2032"/>
      <c r="DE70" s="2032"/>
      <c r="DF70" s="2032"/>
      <c r="DG70" s="2032"/>
      <c r="DH70" s="2032"/>
      <c r="DI70" s="2032"/>
      <c r="DJ70" s="167"/>
      <c r="DK70" s="87"/>
      <c r="DL70" s="87"/>
      <c r="DM70" s="87"/>
      <c r="DN70" s="87"/>
      <c r="DO70" s="87"/>
      <c r="DP70" s="87"/>
      <c r="DQ70" s="87"/>
      <c r="DR70" s="87"/>
      <c r="DS70" s="87"/>
      <c r="DT70" s="109"/>
      <c r="DU70" s="189"/>
      <c r="DV70" s="107"/>
      <c r="DW70" s="1258"/>
      <c r="DX70" s="1258"/>
      <c r="DY70" s="1258"/>
      <c r="DZ70" s="1258"/>
      <c r="EA70" s="1258"/>
      <c r="EB70" s="107"/>
      <c r="EC70" s="107"/>
      <c r="ED70" s="107"/>
      <c r="EE70" s="107"/>
      <c r="EF70" s="107"/>
      <c r="EG70" s="107"/>
      <c r="EH70" s="107"/>
      <c r="EI70" s="107"/>
      <c r="EJ70" s="107"/>
      <c r="EK70" s="107"/>
      <c r="EL70" s="107"/>
      <c r="EM70" s="107"/>
      <c r="EN70" s="107"/>
      <c r="EO70" s="107"/>
      <c r="EP70" s="107"/>
      <c r="EQ70" s="107"/>
      <c r="ER70" s="107"/>
      <c r="ES70" s="107"/>
      <c r="ET70" s="107"/>
      <c r="EU70" s="169"/>
      <c r="EV70" s="87"/>
      <c r="EW70" s="87"/>
      <c r="EX70" s="87"/>
      <c r="EY70" s="87"/>
      <c r="EZ70" s="87"/>
      <c r="FA70" s="87"/>
      <c r="FB70" s="87"/>
    </row>
    <row r="71" spans="1:158" ht="9" customHeight="1" thickTop="1" thickBot="1">
      <c r="A71" s="87"/>
      <c r="B71" s="117"/>
      <c r="C71" s="87"/>
      <c r="D71" s="2080"/>
      <c r="E71" s="2080"/>
      <c r="F71" s="147"/>
      <c r="G71" s="1242"/>
      <c r="H71" s="1243"/>
      <c r="I71" s="1244"/>
      <c r="J71" s="1244"/>
      <c r="K71" s="1245"/>
      <c r="L71" s="1243"/>
      <c r="M71" s="1243"/>
      <c r="N71" s="1243"/>
      <c r="O71" s="1192"/>
      <c r="P71" s="1192"/>
      <c r="Q71" s="1192"/>
      <c r="R71" s="1192"/>
      <c r="S71" s="1192"/>
      <c r="T71" s="1192"/>
      <c r="U71" s="1192"/>
      <c r="V71" s="1192"/>
      <c r="W71" s="1192"/>
      <c r="X71" s="1192"/>
      <c r="Y71" s="1192"/>
      <c r="Z71" s="1192"/>
      <c r="AA71" s="1192"/>
      <c r="AB71" s="1192"/>
      <c r="AC71" s="1192"/>
      <c r="AD71" s="1192"/>
      <c r="AE71" s="87"/>
      <c r="AF71" s="87"/>
      <c r="AG71" s="87"/>
      <c r="AH71" s="87"/>
      <c r="AI71" s="87"/>
      <c r="AJ71" s="179"/>
      <c r="AK71" s="179"/>
      <c r="AL71" s="179"/>
      <c r="AM71" s="179"/>
      <c r="AN71" s="179"/>
      <c r="AO71" s="179"/>
      <c r="AP71" s="179"/>
      <c r="AQ71" s="179"/>
      <c r="AR71" s="87"/>
      <c r="AS71" s="87"/>
      <c r="AT71" s="87"/>
      <c r="AU71" s="87"/>
      <c r="AV71" s="87"/>
      <c r="AW71" s="179"/>
      <c r="AX71" s="179"/>
      <c r="AY71" s="179"/>
      <c r="AZ71" s="179"/>
      <c r="BA71" s="179"/>
      <c r="BB71" s="179"/>
      <c r="BC71" s="179"/>
      <c r="BD71" s="179"/>
      <c r="BE71" s="87"/>
      <c r="BF71" s="87"/>
      <c r="BG71" s="87"/>
      <c r="BH71" s="87"/>
      <c r="BI71" s="87"/>
      <c r="BJ71" s="87"/>
      <c r="BK71" s="87"/>
      <c r="BL71" s="87"/>
      <c r="BM71" s="87"/>
      <c r="BN71" s="170"/>
      <c r="BO71" s="168"/>
      <c r="BP71" s="168"/>
      <c r="BQ71" s="168"/>
      <c r="BR71" s="168"/>
      <c r="BS71" s="2049"/>
      <c r="BT71" s="87"/>
      <c r="BU71" s="87"/>
      <c r="BV71" s="87"/>
      <c r="BW71" s="87"/>
      <c r="BX71" s="209"/>
      <c r="BY71" s="210"/>
      <c r="BZ71" s="210"/>
      <c r="CA71" s="210"/>
      <c r="CB71" s="210"/>
      <c r="CC71" s="210"/>
      <c r="CD71" s="210"/>
      <c r="CE71" s="210"/>
      <c r="CF71" s="210"/>
      <c r="CG71" s="210"/>
      <c r="CH71" s="211"/>
      <c r="CI71" s="87"/>
      <c r="CJ71" s="212"/>
      <c r="CK71" s="2054" t="str">
        <f ca="1">IF(Feats!M111&gt;0,"WIIL","FORT")&amp;"
DEFENSE"</f>
        <v>FORT
DEFENSE</v>
      </c>
      <c r="CL71" s="2054"/>
      <c r="CM71" s="2054"/>
      <c r="CN71" s="2054"/>
      <c r="CO71" s="2054"/>
      <c r="CP71" s="2054"/>
      <c r="CQ71" s="2054"/>
      <c r="CR71" s="2054"/>
      <c r="CS71" s="2054"/>
      <c r="CT71" s="2054"/>
      <c r="CU71" s="1192"/>
      <c r="CV71" s="1192"/>
      <c r="CW71" s="87"/>
      <c r="CY71" s="196"/>
      <c r="CZ71" s="109"/>
      <c r="DA71" s="197"/>
      <c r="DB71" s="2032"/>
      <c r="DC71" s="2032"/>
      <c r="DD71" s="2032"/>
      <c r="DE71" s="2032"/>
      <c r="DF71" s="2032"/>
      <c r="DG71" s="2032"/>
      <c r="DH71" s="2032"/>
      <c r="DI71" s="2032"/>
      <c r="DJ71" s="167"/>
      <c r="DK71" s="87"/>
      <c r="DL71" s="87"/>
      <c r="DM71" s="87"/>
      <c r="DN71" s="87"/>
      <c r="DO71" s="87"/>
      <c r="DP71" s="87"/>
      <c r="DQ71" s="87"/>
      <c r="DR71" s="87"/>
      <c r="DS71" s="87"/>
      <c r="DT71" s="109"/>
      <c r="DU71" s="183"/>
      <c r="DV71" s="213"/>
      <c r="DW71" s="1259"/>
      <c r="DX71" s="1259"/>
      <c r="DY71" s="1259"/>
      <c r="DZ71" s="1259"/>
      <c r="EA71" s="1259"/>
      <c r="EB71" s="214"/>
      <c r="EC71" s="2029" t="s">
        <v>6115</v>
      </c>
      <c r="ED71" s="2029"/>
      <c r="EE71" s="2029"/>
      <c r="EF71" s="2029"/>
      <c r="EG71" s="2029"/>
      <c r="EH71" s="2029"/>
      <c r="EI71" s="2029"/>
      <c r="EJ71" s="2029"/>
      <c r="EK71" s="2029"/>
      <c r="EL71" s="2029"/>
      <c r="EM71" s="2029"/>
      <c r="EN71" s="2029"/>
      <c r="EO71" s="2029"/>
      <c r="EP71" s="2029"/>
      <c r="EQ71" s="2029"/>
      <c r="ER71" s="2029"/>
      <c r="ES71" s="2029"/>
      <c r="ET71" s="215"/>
      <c r="EU71" s="112"/>
      <c r="EV71" s="87"/>
      <c r="EW71" s="87"/>
      <c r="EX71" s="87"/>
      <c r="EY71" s="87"/>
      <c r="EZ71" s="87"/>
      <c r="FA71" s="87"/>
      <c r="FB71" s="87"/>
    </row>
    <row r="72" spans="1:158" ht="9" customHeight="1" thickTop="1" thickBot="1">
      <c r="A72" s="87"/>
      <c r="B72" s="117"/>
      <c r="C72" s="87"/>
      <c r="D72" s="2080"/>
      <c r="E72" s="2080"/>
      <c r="F72" s="155"/>
      <c r="G72" s="1246"/>
      <c r="H72" s="1246"/>
      <c r="I72" s="1246"/>
      <c r="J72" s="1246"/>
      <c r="K72" s="1246"/>
      <c r="L72" s="1246"/>
      <c r="M72" s="1246"/>
      <c r="N72" s="1246"/>
      <c r="O72" s="1247"/>
      <c r="P72" s="1247"/>
      <c r="Q72" s="1247"/>
      <c r="R72" s="1247"/>
      <c r="S72" s="1247"/>
      <c r="T72" s="1247"/>
      <c r="U72" s="1247"/>
      <c r="V72" s="1247"/>
      <c r="W72" s="1247"/>
      <c r="X72" s="1247"/>
      <c r="Y72" s="1247"/>
      <c r="Z72" s="1247"/>
      <c r="AA72" s="1247"/>
      <c r="AB72" s="1247"/>
      <c r="AC72" s="1247"/>
      <c r="AD72" s="1247"/>
      <c r="AE72" s="154"/>
      <c r="AF72" s="87"/>
      <c r="AG72" s="87"/>
      <c r="AH72" s="87"/>
      <c r="AI72" s="158"/>
      <c r="AJ72" s="184"/>
      <c r="AK72" s="184"/>
      <c r="AL72" s="184"/>
      <c r="AM72" s="184"/>
      <c r="AN72" s="184"/>
      <c r="AO72" s="184"/>
      <c r="AP72" s="184"/>
      <c r="AQ72" s="184"/>
      <c r="AR72" s="160"/>
      <c r="AS72" s="109"/>
      <c r="AT72" s="87"/>
      <c r="AU72" s="87"/>
      <c r="AV72" s="158"/>
      <c r="AW72" s="184"/>
      <c r="AX72" s="184"/>
      <c r="AY72" s="184"/>
      <c r="AZ72" s="184"/>
      <c r="BA72" s="184"/>
      <c r="BB72" s="184"/>
      <c r="BC72" s="184"/>
      <c r="BD72" s="184"/>
      <c r="BE72" s="160"/>
      <c r="BF72" s="87"/>
      <c r="BG72" s="87"/>
      <c r="BH72" s="87"/>
      <c r="BI72" s="87"/>
      <c r="BJ72" s="87"/>
      <c r="BK72" s="87"/>
      <c r="BL72" s="87"/>
      <c r="BM72" s="87"/>
      <c r="BN72" s="87"/>
      <c r="BO72" s="87"/>
      <c r="BP72" s="87"/>
      <c r="BQ72" s="87"/>
      <c r="BR72" s="87"/>
      <c r="BS72" s="87"/>
      <c r="BT72" s="87"/>
      <c r="BU72" s="87"/>
      <c r="BV72" s="87"/>
      <c r="BW72" s="87"/>
      <c r="BX72" s="216"/>
      <c r="BY72" s="2081">
        <f ca="1">IF(Feats!M111&gt;0,AD115,AD101)</f>
        <v>10</v>
      </c>
      <c r="BZ72" s="2081"/>
      <c r="CA72" s="2081"/>
      <c r="CB72" s="2081"/>
      <c r="CC72" s="2081"/>
      <c r="CD72" s="2081"/>
      <c r="CE72" s="2081"/>
      <c r="CF72" s="2081"/>
      <c r="CG72" s="2081"/>
      <c r="CH72" s="217"/>
      <c r="CI72" s="87"/>
      <c r="CJ72" s="212"/>
      <c r="CK72" s="2054"/>
      <c r="CL72" s="2054"/>
      <c r="CM72" s="2054"/>
      <c r="CN72" s="2054"/>
      <c r="CO72" s="2054"/>
      <c r="CP72" s="2054"/>
      <c r="CQ72" s="2054"/>
      <c r="CR72" s="2054"/>
      <c r="CS72" s="2054"/>
      <c r="CT72" s="2054"/>
      <c r="CU72" s="1253"/>
      <c r="CV72" s="1192"/>
      <c r="CW72" s="87"/>
      <c r="CY72" s="154"/>
      <c r="CZ72" s="201"/>
      <c r="DA72" s="202"/>
      <c r="DB72" s="2032"/>
      <c r="DC72" s="2032"/>
      <c r="DD72" s="2032"/>
      <c r="DE72" s="2032"/>
      <c r="DF72" s="2032"/>
      <c r="DG72" s="2032"/>
      <c r="DH72" s="2032"/>
      <c r="DI72" s="2032"/>
      <c r="DJ72" s="167"/>
      <c r="DK72" s="87"/>
      <c r="DL72" s="87"/>
      <c r="DM72" s="87"/>
      <c r="DN72" s="87"/>
      <c r="DO72" s="87"/>
      <c r="DP72" s="87"/>
      <c r="DQ72" s="87"/>
      <c r="DR72" s="87"/>
      <c r="DS72" s="87"/>
      <c r="DT72" s="109"/>
      <c r="DU72" s="183"/>
      <c r="DV72" s="218"/>
      <c r="DW72" s="1903">
        <v>-2</v>
      </c>
      <c r="DX72" s="1903"/>
      <c r="DY72" s="1903"/>
      <c r="DZ72" s="1903"/>
      <c r="EA72" s="1903"/>
      <c r="EB72" s="219"/>
      <c r="EC72" s="2030"/>
      <c r="ED72" s="2030"/>
      <c r="EE72" s="2030"/>
      <c r="EF72" s="2030"/>
      <c r="EG72" s="2030"/>
      <c r="EH72" s="2030"/>
      <c r="EI72" s="2030"/>
      <c r="EJ72" s="2030"/>
      <c r="EK72" s="2030"/>
      <c r="EL72" s="2030"/>
      <c r="EM72" s="2030"/>
      <c r="EN72" s="2030"/>
      <c r="EO72" s="2030"/>
      <c r="EP72" s="2030"/>
      <c r="EQ72" s="2030"/>
      <c r="ER72" s="2030"/>
      <c r="ES72" s="2030"/>
      <c r="ET72" s="220"/>
      <c r="EU72" s="112"/>
      <c r="EV72" s="87"/>
      <c r="EW72" s="87"/>
      <c r="EX72" s="87"/>
      <c r="EY72" s="87"/>
      <c r="EZ72" s="87"/>
      <c r="FA72" s="87"/>
      <c r="FB72" s="87"/>
    </row>
    <row r="73" spans="1:158" ht="9" customHeight="1" thickTop="1" thickBot="1">
      <c r="A73" s="87"/>
      <c r="B73" s="117"/>
      <c r="C73" s="87"/>
      <c r="D73" s="2080"/>
      <c r="E73" s="2080"/>
      <c r="F73" s="165"/>
      <c r="G73" s="2041" t="s">
        <v>4</v>
      </c>
      <c r="H73" s="2041"/>
      <c r="I73" s="2041"/>
      <c r="J73" s="2041"/>
      <c r="K73" s="2041"/>
      <c r="L73" s="2041"/>
      <c r="M73" s="2041"/>
      <c r="N73" s="2041"/>
      <c r="O73" s="2042" t="s">
        <v>3588</v>
      </c>
      <c r="P73" s="2042"/>
      <c r="Q73" s="2042"/>
      <c r="R73" s="2042"/>
      <c r="S73" s="2042"/>
      <c r="T73" s="2042"/>
      <c r="U73" s="2042"/>
      <c r="V73" s="2042"/>
      <c r="W73" s="2042"/>
      <c r="X73" s="2042"/>
      <c r="Y73" s="2042"/>
      <c r="Z73" s="2042"/>
      <c r="AA73" s="2042"/>
      <c r="AB73" s="2042"/>
      <c r="AC73" s="2042"/>
      <c r="AD73" s="2042"/>
      <c r="AE73" s="163"/>
      <c r="AF73" s="87"/>
      <c r="AG73" s="87"/>
      <c r="AH73" s="87"/>
      <c r="AI73" s="166"/>
      <c r="AJ73" s="2023" t="str">
        <f>Intelligence</f>
        <v/>
      </c>
      <c r="AK73" s="2023"/>
      <c r="AL73" s="2023"/>
      <c r="AM73" s="2023"/>
      <c r="AN73" s="2023"/>
      <c r="AO73" s="2023"/>
      <c r="AP73" s="2023"/>
      <c r="AQ73" s="2023"/>
      <c r="AR73" s="167"/>
      <c r="AS73" s="109"/>
      <c r="AT73" s="87"/>
      <c r="AU73" s="87"/>
      <c r="AV73" s="166"/>
      <c r="AW73" s="2020" t="str">
        <f>IntMod</f>
        <v/>
      </c>
      <c r="AX73" s="2020"/>
      <c r="AY73" s="2020"/>
      <c r="AZ73" s="2020"/>
      <c r="BA73" s="2020"/>
      <c r="BB73" s="2020"/>
      <c r="BC73" s="2020"/>
      <c r="BD73" s="2020"/>
      <c r="BE73" s="167"/>
      <c r="BF73" s="87"/>
      <c r="BG73" s="87"/>
      <c r="BH73" s="87"/>
      <c r="BI73" s="87"/>
      <c r="BJ73" s="87"/>
      <c r="BK73" s="87"/>
      <c r="BL73" s="87"/>
      <c r="BM73" s="87"/>
      <c r="BN73" s="87"/>
      <c r="BO73" s="161"/>
      <c r="BP73" s="161"/>
      <c r="BQ73" s="161"/>
      <c r="BR73" s="161"/>
      <c r="BS73" s="161"/>
      <c r="BT73" s="161"/>
      <c r="BU73" s="161"/>
      <c r="BV73" s="161"/>
      <c r="BW73" s="161"/>
      <c r="BX73" s="216"/>
      <c r="BY73" s="2081"/>
      <c r="BZ73" s="2081"/>
      <c r="CA73" s="2081"/>
      <c r="CB73" s="2081"/>
      <c r="CC73" s="2081"/>
      <c r="CD73" s="2081"/>
      <c r="CE73" s="2081"/>
      <c r="CF73" s="2081"/>
      <c r="CG73" s="2081"/>
      <c r="CH73" s="217"/>
      <c r="CI73" s="161"/>
      <c r="CJ73" s="212"/>
      <c r="CK73" s="2054"/>
      <c r="CL73" s="2054"/>
      <c r="CM73" s="2054"/>
      <c r="CN73" s="2054"/>
      <c r="CO73" s="2054"/>
      <c r="CP73" s="2054"/>
      <c r="CQ73" s="2054"/>
      <c r="CR73" s="2054"/>
      <c r="CS73" s="2054"/>
      <c r="CT73" s="2054"/>
      <c r="CU73" s="1253"/>
      <c r="CV73" s="1192"/>
      <c r="CW73" s="87"/>
      <c r="CY73" s="87"/>
      <c r="CZ73" s="87"/>
      <c r="DA73" s="203"/>
      <c r="DB73" s="204"/>
      <c r="DC73" s="204"/>
      <c r="DD73" s="204"/>
      <c r="DE73" s="204"/>
      <c r="DF73" s="204"/>
      <c r="DG73" s="204"/>
      <c r="DH73" s="204"/>
      <c r="DI73" s="204"/>
      <c r="DJ73" s="158"/>
      <c r="DK73" s="87"/>
      <c r="DL73" s="87"/>
      <c r="DM73" s="87"/>
      <c r="DN73" s="87"/>
      <c r="DO73" s="87"/>
      <c r="DP73" s="87"/>
      <c r="DQ73" s="87"/>
      <c r="DR73" s="87"/>
      <c r="DS73" s="87"/>
      <c r="DT73" s="109"/>
      <c r="DU73" s="183"/>
      <c r="DV73" s="218"/>
      <c r="DW73" s="1903"/>
      <c r="DX73" s="1903"/>
      <c r="DY73" s="1903"/>
      <c r="DZ73" s="1903"/>
      <c r="EA73" s="1903"/>
      <c r="EB73" s="219"/>
      <c r="EC73" s="2030"/>
      <c r="ED73" s="2030"/>
      <c r="EE73" s="2030"/>
      <c r="EF73" s="2030"/>
      <c r="EG73" s="2030"/>
      <c r="EH73" s="2030"/>
      <c r="EI73" s="2030"/>
      <c r="EJ73" s="2030"/>
      <c r="EK73" s="2030"/>
      <c r="EL73" s="2030"/>
      <c r="EM73" s="2030"/>
      <c r="EN73" s="2030"/>
      <c r="EO73" s="2030"/>
      <c r="EP73" s="2030"/>
      <c r="EQ73" s="2030"/>
      <c r="ER73" s="2030"/>
      <c r="ES73" s="2030"/>
      <c r="ET73" s="2008"/>
      <c r="EU73" s="2009"/>
      <c r="EV73" s="2009"/>
      <c r="EW73" s="2009"/>
      <c r="EX73" s="2009"/>
      <c r="EY73" s="2014"/>
      <c r="EZ73" s="2014"/>
      <c r="FA73" s="87"/>
      <c r="FB73" s="87"/>
    </row>
    <row r="74" spans="1:158" ht="9" customHeight="1" thickBot="1">
      <c r="A74" s="87"/>
      <c r="B74" s="117"/>
      <c r="C74" s="87"/>
      <c r="D74" s="2080"/>
      <c r="E74" s="2080"/>
      <c r="F74" s="165"/>
      <c r="G74" s="2041"/>
      <c r="H74" s="2041"/>
      <c r="I74" s="2041"/>
      <c r="J74" s="2041"/>
      <c r="K74" s="2041"/>
      <c r="L74" s="2041"/>
      <c r="M74" s="2041"/>
      <c r="N74" s="2041"/>
      <c r="O74" s="2042"/>
      <c r="P74" s="2042"/>
      <c r="Q74" s="2042"/>
      <c r="R74" s="2042"/>
      <c r="S74" s="2042"/>
      <c r="T74" s="2042"/>
      <c r="U74" s="2042"/>
      <c r="V74" s="2042"/>
      <c r="W74" s="2042"/>
      <c r="X74" s="2042"/>
      <c r="Y74" s="2042"/>
      <c r="Z74" s="2042"/>
      <c r="AA74" s="2042"/>
      <c r="AB74" s="2042"/>
      <c r="AC74" s="2042"/>
      <c r="AD74" s="2042"/>
      <c r="AE74" s="163"/>
      <c r="AF74" s="87"/>
      <c r="AG74" s="87"/>
      <c r="AH74" s="87"/>
      <c r="AI74" s="166"/>
      <c r="AJ74" s="2023"/>
      <c r="AK74" s="2023"/>
      <c r="AL74" s="2023"/>
      <c r="AM74" s="2023"/>
      <c r="AN74" s="2023"/>
      <c r="AO74" s="2023"/>
      <c r="AP74" s="2023"/>
      <c r="AQ74" s="2023"/>
      <c r="AR74" s="167"/>
      <c r="AS74" s="109"/>
      <c r="AT74" s="87"/>
      <c r="AU74" s="87"/>
      <c r="AV74" s="166"/>
      <c r="AW74" s="2020"/>
      <c r="AX74" s="2020"/>
      <c r="AY74" s="2020"/>
      <c r="AZ74" s="2020"/>
      <c r="BA74" s="2020"/>
      <c r="BB74" s="2020"/>
      <c r="BC74" s="2020"/>
      <c r="BD74" s="2020"/>
      <c r="BE74" s="167"/>
      <c r="BF74" s="87"/>
      <c r="BG74" s="87"/>
      <c r="BH74" s="87"/>
      <c r="BI74" s="87"/>
      <c r="BJ74" s="87"/>
      <c r="BK74" s="87"/>
      <c r="BL74" s="87"/>
      <c r="BM74" s="87"/>
      <c r="BN74" s="87"/>
      <c r="BO74" s="145"/>
      <c r="BP74" s="145"/>
      <c r="BQ74" s="145"/>
      <c r="BR74" s="145"/>
      <c r="BS74" s="145"/>
      <c r="BT74" s="145"/>
      <c r="BU74" s="145"/>
      <c r="BV74" s="145"/>
      <c r="BW74" s="221"/>
      <c r="BX74" s="216"/>
      <c r="BY74" s="2081"/>
      <c r="BZ74" s="2081"/>
      <c r="CA74" s="2081"/>
      <c r="CB74" s="2081"/>
      <c r="CC74" s="2081"/>
      <c r="CD74" s="2081"/>
      <c r="CE74" s="2081"/>
      <c r="CF74" s="2081"/>
      <c r="CG74" s="2081"/>
      <c r="CH74" s="217"/>
      <c r="CI74" s="222"/>
      <c r="CJ74" s="212"/>
      <c r="CK74" s="2054"/>
      <c r="CL74" s="2054"/>
      <c r="CM74" s="2054"/>
      <c r="CN74" s="2054"/>
      <c r="CO74" s="2054"/>
      <c r="CP74" s="2054"/>
      <c r="CQ74" s="2054"/>
      <c r="CR74" s="2054"/>
      <c r="CS74" s="2054"/>
      <c r="CT74" s="2054"/>
      <c r="CU74" s="1253"/>
      <c r="CV74" s="1192"/>
      <c r="CW74" s="87"/>
      <c r="CY74" s="87"/>
      <c r="CZ74" s="87"/>
      <c r="DA74" s="87"/>
      <c r="DB74" s="87"/>
      <c r="DC74" s="87"/>
      <c r="DD74" s="87"/>
      <c r="DE74" s="87"/>
      <c r="DF74" s="87"/>
      <c r="DG74" s="87"/>
      <c r="DH74" s="87"/>
      <c r="DI74" s="87"/>
      <c r="DJ74" s="87"/>
      <c r="DK74" s="87"/>
      <c r="DL74" s="87"/>
      <c r="DM74" s="87"/>
      <c r="DN74" s="87"/>
      <c r="DO74" s="87"/>
      <c r="DP74" s="87"/>
      <c r="DQ74" s="87"/>
      <c r="DR74" s="87"/>
      <c r="DS74" s="87"/>
      <c r="DT74" s="109"/>
      <c r="DU74" s="183"/>
      <c r="DV74" s="218"/>
      <c r="DW74" s="1903"/>
      <c r="DX74" s="1903"/>
      <c r="DY74" s="1903"/>
      <c r="DZ74" s="1903"/>
      <c r="EA74" s="1903"/>
      <c r="EB74" s="219"/>
      <c r="EC74" s="2030"/>
      <c r="ED74" s="2030"/>
      <c r="EE74" s="2030"/>
      <c r="EF74" s="2030"/>
      <c r="EG74" s="2030"/>
      <c r="EH74" s="2030"/>
      <c r="EI74" s="2030"/>
      <c r="EJ74" s="2030"/>
      <c r="EK74" s="2030"/>
      <c r="EL74" s="2030"/>
      <c r="EM74" s="2030"/>
      <c r="EN74" s="2030"/>
      <c r="EO74" s="2030"/>
      <c r="EP74" s="2030"/>
      <c r="EQ74" s="2030"/>
      <c r="ER74" s="2030"/>
      <c r="ES74" s="2030"/>
      <c r="ET74" s="2010"/>
      <c r="EU74" s="2011"/>
      <c r="EV74" s="2011"/>
      <c r="EW74" s="2011"/>
      <c r="EX74" s="2011"/>
      <c r="EY74" s="2015"/>
      <c r="EZ74" s="2015"/>
      <c r="FA74" s="87"/>
      <c r="FB74" s="87"/>
    </row>
    <row r="75" spans="1:158" ht="9" customHeight="1" thickTop="1" thickBot="1">
      <c r="A75" s="87"/>
      <c r="B75" s="117"/>
      <c r="C75" s="87"/>
      <c r="D75" s="2080"/>
      <c r="E75" s="2080"/>
      <c r="F75" s="165"/>
      <c r="G75" s="2041"/>
      <c r="H75" s="2041"/>
      <c r="I75" s="2041"/>
      <c r="J75" s="2041"/>
      <c r="K75" s="2041"/>
      <c r="L75" s="2041"/>
      <c r="M75" s="2041"/>
      <c r="N75" s="2041"/>
      <c r="O75" s="2042"/>
      <c r="P75" s="2042"/>
      <c r="Q75" s="2042"/>
      <c r="R75" s="2042"/>
      <c r="S75" s="2042"/>
      <c r="T75" s="2042"/>
      <c r="U75" s="2042"/>
      <c r="V75" s="2042"/>
      <c r="W75" s="2042"/>
      <c r="X75" s="2042"/>
      <c r="Y75" s="2042"/>
      <c r="Z75" s="2042"/>
      <c r="AA75" s="2042"/>
      <c r="AB75" s="2042"/>
      <c r="AC75" s="2042"/>
      <c r="AD75" s="2042"/>
      <c r="AE75" s="163"/>
      <c r="AF75" s="87"/>
      <c r="AG75" s="87"/>
      <c r="AH75" s="87"/>
      <c r="AI75" s="166"/>
      <c r="AJ75" s="2023"/>
      <c r="AK75" s="2023"/>
      <c r="AL75" s="2023"/>
      <c r="AM75" s="2023"/>
      <c r="AN75" s="2023"/>
      <c r="AO75" s="2023"/>
      <c r="AP75" s="2023"/>
      <c r="AQ75" s="2023"/>
      <c r="AR75" s="167"/>
      <c r="AS75" s="109"/>
      <c r="AT75" s="87"/>
      <c r="AU75" s="87"/>
      <c r="AV75" s="166"/>
      <c r="AW75" s="2020"/>
      <c r="AX75" s="2020"/>
      <c r="AY75" s="2020"/>
      <c r="AZ75" s="2020"/>
      <c r="BA75" s="2020"/>
      <c r="BB75" s="2020"/>
      <c r="BC75" s="2020"/>
      <c r="BD75" s="2020"/>
      <c r="BE75" s="167"/>
      <c r="BF75" s="87"/>
      <c r="BG75" s="87"/>
      <c r="BH75" s="87"/>
      <c r="BI75" s="87"/>
      <c r="BJ75" s="87"/>
      <c r="BK75" s="87"/>
      <c r="BL75" s="87"/>
      <c r="BM75" s="87"/>
      <c r="BN75" s="112"/>
      <c r="BO75" s="87"/>
      <c r="BP75" s="87"/>
      <c r="BQ75" s="87"/>
      <c r="BR75" s="87"/>
      <c r="BS75" s="87"/>
      <c r="BT75" s="87"/>
      <c r="BU75" s="87"/>
      <c r="BV75" s="87"/>
      <c r="BW75" s="87"/>
      <c r="BX75" s="211"/>
      <c r="BY75" s="223"/>
      <c r="BZ75" s="223"/>
      <c r="CA75" s="223"/>
      <c r="CB75" s="223"/>
      <c r="CC75" s="223"/>
      <c r="CD75" s="223"/>
      <c r="CE75" s="223"/>
      <c r="CF75" s="223"/>
      <c r="CG75" s="223"/>
      <c r="CH75" s="209"/>
      <c r="CI75" s="169"/>
      <c r="CJ75" s="212"/>
      <c r="CK75" s="2054"/>
      <c r="CL75" s="2054"/>
      <c r="CM75" s="2054"/>
      <c r="CN75" s="2054"/>
      <c r="CO75" s="2054"/>
      <c r="CP75" s="2054"/>
      <c r="CQ75" s="2054"/>
      <c r="CR75" s="2054"/>
      <c r="CS75" s="2054"/>
      <c r="CT75" s="2054"/>
      <c r="CU75" s="1192"/>
      <c r="CV75" s="1192"/>
      <c r="CW75" s="87"/>
      <c r="CY75" s="87"/>
      <c r="CZ75" s="87"/>
      <c r="DA75" s="87"/>
      <c r="DB75" s="2024" t="s">
        <v>3589</v>
      </c>
      <c r="DC75" s="2024"/>
      <c r="DD75" s="2024"/>
      <c r="DE75" s="2024"/>
      <c r="DF75" s="2024"/>
      <c r="DG75" s="2024"/>
      <c r="DH75" s="2024"/>
      <c r="DI75" s="2024"/>
      <c r="DJ75" s="2024"/>
      <c r="DK75" s="2024"/>
      <c r="DL75" s="2024"/>
      <c r="DM75" s="2024"/>
      <c r="DN75" s="2024"/>
      <c r="DO75" s="2024"/>
      <c r="DP75" s="2024"/>
      <c r="DQ75" s="2024"/>
      <c r="DR75" s="2024"/>
      <c r="DS75" s="87"/>
      <c r="DT75" s="109"/>
      <c r="DU75" s="183"/>
      <c r="DV75" s="218"/>
      <c r="DW75" s="1903"/>
      <c r="DX75" s="1903"/>
      <c r="DY75" s="1903"/>
      <c r="DZ75" s="1903"/>
      <c r="EA75" s="1903"/>
      <c r="EB75" s="219"/>
      <c r="EC75" s="2030"/>
      <c r="ED75" s="2030"/>
      <c r="EE75" s="2030"/>
      <c r="EF75" s="2030"/>
      <c r="EG75" s="2030"/>
      <c r="EH75" s="2030"/>
      <c r="EI75" s="2030"/>
      <c r="EJ75" s="2030"/>
      <c r="EK75" s="2030"/>
      <c r="EL75" s="2030"/>
      <c r="EM75" s="2030"/>
      <c r="EN75" s="2030"/>
      <c r="EO75" s="2030"/>
      <c r="EP75" s="2030"/>
      <c r="EQ75" s="2030"/>
      <c r="ER75" s="2030"/>
      <c r="ES75" s="2030"/>
      <c r="ET75" s="2012"/>
      <c r="EU75" s="2013"/>
      <c r="EV75" s="2013"/>
      <c r="EW75" s="2013"/>
      <c r="EX75" s="2013"/>
      <c r="EY75" s="2015"/>
      <c r="EZ75" s="2015"/>
      <c r="FA75" s="87"/>
      <c r="FB75" s="87"/>
    </row>
    <row r="76" spans="1:158" ht="9" customHeight="1" thickBot="1">
      <c r="A76" s="87"/>
      <c r="B76" s="117"/>
      <c r="C76" s="87"/>
      <c r="D76" s="2080"/>
      <c r="E76" s="2080"/>
      <c r="F76" s="173"/>
      <c r="G76" s="1240"/>
      <c r="H76" s="1240"/>
      <c r="I76" s="1240"/>
      <c r="J76" s="1241"/>
      <c r="K76" s="1241"/>
      <c r="L76" s="1241"/>
      <c r="M76" s="1241"/>
      <c r="N76" s="1241"/>
      <c r="O76" s="1241"/>
      <c r="P76" s="1241"/>
      <c r="Q76" s="1241"/>
      <c r="R76" s="1241"/>
      <c r="S76" s="1241"/>
      <c r="T76" s="1241"/>
      <c r="U76" s="1241"/>
      <c r="V76" s="1241"/>
      <c r="W76" s="1241"/>
      <c r="X76" s="1241"/>
      <c r="Y76" s="1241"/>
      <c r="Z76" s="1241"/>
      <c r="AA76" s="1241"/>
      <c r="AB76" s="1241"/>
      <c r="AC76" s="1241"/>
      <c r="AD76" s="1241"/>
      <c r="AE76" s="153"/>
      <c r="AF76" s="87"/>
      <c r="AG76" s="87"/>
      <c r="AH76" s="87"/>
      <c r="AI76" s="160"/>
      <c r="AJ76" s="175"/>
      <c r="AK76" s="175"/>
      <c r="AL76" s="175"/>
      <c r="AM76" s="175"/>
      <c r="AN76" s="175"/>
      <c r="AO76" s="175"/>
      <c r="AP76" s="175"/>
      <c r="AQ76" s="175"/>
      <c r="AR76" s="158"/>
      <c r="AS76" s="109"/>
      <c r="AT76" s="87"/>
      <c r="AU76" s="87"/>
      <c r="AV76" s="160"/>
      <c r="AW76" s="175"/>
      <c r="AX76" s="175"/>
      <c r="AY76" s="175"/>
      <c r="AZ76" s="175"/>
      <c r="BA76" s="175"/>
      <c r="BB76" s="175"/>
      <c r="BC76" s="175"/>
      <c r="BD76" s="175"/>
      <c r="BE76" s="158"/>
      <c r="BF76" s="87"/>
      <c r="BG76" s="87"/>
      <c r="BH76" s="87"/>
      <c r="BI76" s="87"/>
      <c r="BJ76" s="87"/>
      <c r="BK76" s="87"/>
      <c r="BL76" s="87"/>
      <c r="BM76" s="87"/>
      <c r="BN76" s="112"/>
      <c r="BO76" s="87"/>
      <c r="BP76" s="87"/>
      <c r="BQ76" s="87"/>
      <c r="BR76" s="87"/>
      <c r="BS76" s="87"/>
      <c r="BT76" s="87"/>
      <c r="BU76" s="87"/>
      <c r="BV76" s="87"/>
      <c r="BW76" s="87"/>
      <c r="BX76" s="87"/>
      <c r="BY76" s="87"/>
      <c r="BZ76" s="87"/>
      <c r="CA76" s="87"/>
      <c r="CB76" s="224"/>
      <c r="CC76" s="225"/>
      <c r="CD76" s="224"/>
      <c r="CE76" s="87"/>
      <c r="CF76" s="87"/>
      <c r="CG76" s="87"/>
      <c r="CH76" s="87"/>
      <c r="CI76" s="112"/>
      <c r="CJ76" s="87"/>
      <c r="CK76" s="1230"/>
      <c r="CL76" s="1230"/>
      <c r="CM76" s="1230"/>
      <c r="CN76" s="1230"/>
      <c r="CO76" s="1230"/>
      <c r="CP76" s="1230"/>
      <c r="CQ76" s="1230"/>
      <c r="CR76" s="1230"/>
      <c r="CS76" s="1230"/>
      <c r="CT76" s="1230"/>
      <c r="CU76" s="1192"/>
      <c r="CV76" s="1192"/>
      <c r="CW76" s="87"/>
      <c r="CY76" s="87"/>
      <c r="CZ76" s="87"/>
      <c r="DA76" s="87"/>
      <c r="DB76" s="2024"/>
      <c r="DC76" s="2024"/>
      <c r="DD76" s="2024"/>
      <c r="DE76" s="2024"/>
      <c r="DF76" s="2024"/>
      <c r="DG76" s="2024"/>
      <c r="DH76" s="2024"/>
      <c r="DI76" s="2024"/>
      <c r="DJ76" s="2024"/>
      <c r="DK76" s="2024"/>
      <c r="DL76" s="2024"/>
      <c r="DM76" s="2024"/>
      <c r="DN76" s="2024"/>
      <c r="DO76" s="2024"/>
      <c r="DP76" s="2024"/>
      <c r="DQ76" s="2024"/>
      <c r="DR76" s="2024"/>
      <c r="DS76" s="87"/>
      <c r="DT76" s="109"/>
      <c r="DU76" s="183"/>
      <c r="DV76" s="218"/>
      <c r="DW76" s="1260"/>
      <c r="DX76" s="1260"/>
      <c r="DY76" s="1260"/>
      <c r="DZ76" s="1260"/>
      <c r="EA76" s="1260"/>
      <c r="EB76" s="219"/>
      <c r="EC76" s="2030"/>
      <c r="ED76" s="2030"/>
      <c r="EE76" s="2030"/>
      <c r="EF76" s="2030"/>
      <c r="EG76" s="2030"/>
      <c r="EH76" s="2030"/>
      <c r="EI76" s="2030"/>
      <c r="EJ76" s="2030"/>
      <c r="EK76" s="2030"/>
      <c r="EL76" s="2030"/>
      <c r="EM76" s="2030"/>
      <c r="EN76" s="2030"/>
      <c r="EO76" s="2030"/>
      <c r="EP76" s="2030"/>
      <c r="EQ76" s="2030"/>
      <c r="ER76" s="2030"/>
      <c r="ES76" s="2030"/>
      <c r="ET76" s="220"/>
      <c r="EU76" s="112"/>
      <c r="EV76" s="87"/>
      <c r="EW76" s="87"/>
      <c r="EX76" s="87"/>
      <c r="EY76" s="87"/>
      <c r="EZ76" s="87"/>
      <c r="FA76" s="87"/>
      <c r="FB76" s="87"/>
    </row>
    <row r="77" spans="1:158" ht="9" customHeight="1" thickTop="1" thickBot="1">
      <c r="A77" s="87"/>
      <c r="B77" s="117"/>
      <c r="C77" s="87"/>
      <c r="D77" s="2080"/>
      <c r="E77" s="2080"/>
      <c r="F77" s="147"/>
      <c r="G77" s="1242"/>
      <c r="H77" s="1243"/>
      <c r="I77" s="1244"/>
      <c r="J77" s="1244"/>
      <c r="K77" s="1245"/>
      <c r="L77" s="1243"/>
      <c r="M77" s="1243"/>
      <c r="N77" s="1243"/>
      <c r="O77" s="1192"/>
      <c r="P77" s="1192"/>
      <c r="Q77" s="1192"/>
      <c r="R77" s="1192"/>
      <c r="S77" s="1192"/>
      <c r="T77" s="1192"/>
      <c r="U77" s="1192"/>
      <c r="V77" s="1192"/>
      <c r="W77" s="1192"/>
      <c r="X77" s="1192"/>
      <c r="Y77" s="1192"/>
      <c r="Z77" s="1192"/>
      <c r="AA77" s="1192"/>
      <c r="AB77" s="1192"/>
      <c r="AC77" s="1192"/>
      <c r="AD77" s="1192"/>
      <c r="AE77" s="87"/>
      <c r="AF77" s="87"/>
      <c r="AG77" s="87"/>
      <c r="AH77" s="87"/>
      <c r="AI77" s="87"/>
      <c r="AJ77" s="179"/>
      <c r="AK77" s="179"/>
      <c r="AL77" s="179"/>
      <c r="AM77" s="179"/>
      <c r="AN77" s="179"/>
      <c r="AO77" s="179"/>
      <c r="AP77" s="179"/>
      <c r="AQ77" s="179"/>
      <c r="AR77" s="87"/>
      <c r="AS77" s="87"/>
      <c r="AT77" s="87"/>
      <c r="AU77" s="87"/>
      <c r="AV77" s="87"/>
      <c r="AW77" s="179"/>
      <c r="AX77" s="179"/>
      <c r="AY77" s="179"/>
      <c r="AZ77" s="179"/>
      <c r="BA77" s="179"/>
      <c r="BB77" s="179"/>
      <c r="BC77" s="179"/>
      <c r="BD77" s="179"/>
      <c r="BE77" s="87"/>
      <c r="BF77" s="87"/>
      <c r="BG77" s="87"/>
      <c r="BH77" s="87"/>
      <c r="BI77" s="87"/>
      <c r="BJ77" s="87"/>
      <c r="BK77" s="87"/>
      <c r="BL77" s="87"/>
      <c r="BM77" s="87"/>
      <c r="BN77" s="112"/>
      <c r="BO77" s="87"/>
      <c r="BP77" s="87"/>
      <c r="BQ77" s="87"/>
      <c r="BR77" s="87"/>
      <c r="BS77" s="87"/>
      <c r="BT77" s="87"/>
      <c r="BU77" s="87"/>
      <c r="BV77" s="87"/>
      <c r="BW77" s="87"/>
      <c r="BX77" s="87"/>
      <c r="BY77" s="87"/>
      <c r="BZ77" s="87"/>
      <c r="CA77" s="87"/>
      <c r="CB77" s="226"/>
      <c r="CC77" s="226"/>
      <c r="CD77" s="226"/>
      <c r="CE77" s="87"/>
      <c r="CF77" s="87"/>
      <c r="CG77" s="87"/>
      <c r="CH77" s="87"/>
      <c r="CI77" s="112"/>
      <c r="CJ77" s="87"/>
      <c r="CK77" s="1230"/>
      <c r="CL77" s="1230"/>
      <c r="CM77" s="1230"/>
      <c r="CN77" s="1230"/>
      <c r="CO77" s="1230"/>
      <c r="CP77" s="1230"/>
      <c r="CQ77" s="1230"/>
      <c r="CR77" s="1230"/>
      <c r="CS77" s="1230"/>
      <c r="CT77" s="1230"/>
      <c r="CU77" s="1192"/>
      <c r="CV77" s="1192"/>
      <c r="CW77" s="87"/>
      <c r="CY77" s="87"/>
      <c r="CZ77" s="87"/>
      <c r="DA77" s="158"/>
      <c r="DB77" s="159"/>
      <c r="DC77" s="159"/>
      <c r="DD77" s="159"/>
      <c r="DE77" s="159"/>
      <c r="DF77" s="159"/>
      <c r="DG77" s="159"/>
      <c r="DH77" s="159"/>
      <c r="DI77" s="159"/>
      <c r="DJ77" s="160"/>
      <c r="DK77" s="87"/>
      <c r="DL77" s="87"/>
      <c r="DM77" s="87"/>
      <c r="DN77" s="87"/>
      <c r="DO77" s="87"/>
      <c r="DP77" s="87"/>
      <c r="DQ77" s="87"/>
      <c r="DR77" s="87"/>
      <c r="DS77" s="87"/>
      <c r="DT77" s="109"/>
      <c r="DU77" s="183"/>
      <c r="DV77" s="227"/>
      <c r="DW77" s="1261"/>
      <c r="DX77" s="1261"/>
      <c r="DY77" s="1261"/>
      <c r="DZ77" s="1261"/>
      <c r="EA77" s="1261"/>
      <c r="EB77" s="228"/>
      <c r="EC77" s="2031"/>
      <c r="ED77" s="2031"/>
      <c r="EE77" s="2031"/>
      <c r="EF77" s="2031"/>
      <c r="EG77" s="2031"/>
      <c r="EH77" s="2031"/>
      <c r="EI77" s="2031"/>
      <c r="EJ77" s="2031"/>
      <c r="EK77" s="2031"/>
      <c r="EL77" s="2031"/>
      <c r="EM77" s="2031"/>
      <c r="EN77" s="2031"/>
      <c r="EO77" s="2031"/>
      <c r="EP77" s="2031"/>
      <c r="EQ77" s="2031"/>
      <c r="ER77" s="2031"/>
      <c r="ES77" s="2031"/>
      <c r="ET77" s="229"/>
      <c r="EU77" s="112"/>
      <c r="EV77" s="87"/>
      <c r="EW77" s="87"/>
      <c r="EX77" s="87"/>
      <c r="EY77" s="87"/>
      <c r="EZ77" s="87"/>
      <c r="FA77" s="87"/>
      <c r="FB77" s="87"/>
    </row>
    <row r="78" spans="1:158" ht="9" customHeight="1" thickTop="1" thickBot="1">
      <c r="A78" s="87"/>
      <c r="B78" s="117"/>
      <c r="C78" s="87"/>
      <c r="D78" s="2080"/>
      <c r="E78" s="2080"/>
      <c r="F78" s="147"/>
      <c r="G78" s="1242"/>
      <c r="H78" s="1243"/>
      <c r="I78" s="1244"/>
      <c r="J78" s="1244"/>
      <c r="K78" s="1245"/>
      <c r="L78" s="1243"/>
      <c r="M78" s="1243"/>
      <c r="N78" s="1243"/>
      <c r="O78" s="1192"/>
      <c r="P78" s="1192"/>
      <c r="Q78" s="1192"/>
      <c r="R78" s="1192"/>
      <c r="S78" s="1192"/>
      <c r="T78" s="1192"/>
      <c r="U78" s="1192"/>
      <c r="V78" s="1192"/>
      <c r="W78" s="1192"/>
      <c r="X78" s="1192"/>
      <c r="Y78" s="1192"/>
      <c r="Z78" s="1192"/>
      <c r="AA78" s="1192"/>
      <c r="AB78" s="1192"/>
      <c r="AC78" s="1192"/>
      <c r="AD78" s="1192"/>
      <c r="AE78" s="87"/>
      <c r="AF78" s="87"/>
      <c r="AG78" s="87"/>
      <c r="AH78" s="87"/>
      <c r="AI78" s="87"/>
      <c r="AJ78" s="179"/>
      <c r="AK78" s="179"/>
      <c r="AL78" s="179"/>
      <c r="AM78" s="179"/>
      <c r="AN78" s="179"/>
      <c r="AO78" s="179"/>
      <c r="AP78" s="179"/>
      <c r="AQ78" s="179"/>
      <c r="AR78" s="87"/>
      <c r="AS78" s="87"/>
      <c r="AT78" s="87"/>
      <c r="AU78" s="87"/>
      <c r="AV78" s="87"/>
      <c r="AW78" s="179"/>
      <c r="AX78" s="179"/>
      <c r="AY78" s="179"/>
      <c r="AZ78" s="179"/>
      <c r="BA78" s="179"/>
      <c r="BB78" s="179"/>
      <c r="BC78" s="179"/>
      <c r="BD78" s="179"/>
      <c r="BE78" s="87"/>
      <c r="BF78" s="87"/>
      <c r="BG78" s="87"/>
      <c r="BH78" s="87"/>
      <c r="BI78" s="87"/>
      <c r="BJ78" s="87"/>
      <c r="BK78" s="87"/>
      <c r="BL78" s="87"/>
      <c r="BM78" s="87"/>
      <c r="BN78" s="112"/>
      <c r="BO78" s="87"/>
      <c r="BP78" s="87"/>
      <c r="BQ78" s="87"/>
      <c r="BR78" s="87"/>
      <c r="BS78" s="87"/>
      <c r="BT78" s="87"/>
      <c r="BU78" s="87"/>
      <c r="BV78" s="87"/>
      <c r="BW78" s="87"/>
      <c r="BX78" s="87"/>
      <c r="BY78" s="87"/>
      <c r="BZ78" s="87"/>
      <c r="CA78" s="87"/>
      <c r="CB78" s="230"/>
      <c r="CC78" s="231"/>
      <c r="CD78" s="230"/>
      <c r="CE78" s="87"/>
      <c r="CF78" s="87"/>
      <c r="CG78" s="87"/>
      <c r="CH78" s="87"/>
      <c r="CI78" s="112"/>
      <c r="CJ78" s="87"/>
      <c r="CK78" s="1230"/>
      <c r="CL78" s="1230"/>
      <c r="CM78" s="1230"/>
      <c r="CN78" s="1230"/>
      <c r="CO78" s="1230"/>
      <c r="CP78" s="1230"/>
      <c r="CQ78" s="1230"/>
      <c r="CR78" s="1230"/>
      <c r="CS78" s="1230"/>
      <c r="CT78" s="1230"/>
      <c r="CU78" s="1192"/>
      <c r="CV78" s="1192"/>
      <c r="CW78" s="87"/>
      <c r="CY78" s="153"/>
      <c r="CZ78" s="190"/>
      <c r="DA78" s="191"/>
      <c r="DB78" s="2032">
        <f ca="1">'Character Sheet 2'!CV106</f>
        <v>0</v>
      </c>
      <c r="DC78" s="2032"/>
      <c r="DD78" s="2032"/>
      <c r="DE78" s="2032"/>
      <c r="DF78" s="2032"/>
      <c r="DG78" s="2032"/>
      <c r="DH78" s="2032"/>
      <c r="DI78" s="2032"/>
      <c r="DJ78" s="167"/>
      <c r="DK78" s="87"/>
      <c r="DL78" s="87"/>
      <c r="DM78" s="87"/>
      <c r="DN78" s="87"/>
      <c r="DO78" s="87"/>
      <c r="DP78" s="87"/>
      <c r="DQ78" s="87"/>
      <c r="DR78" s="87"/>
      <c r="DS78" s="87"/>
      <c r="DT78" s="109"/>
      <c r="DU78" s="186"/>
      <c r="DV78" s="145"/>
      <c r="DW78" s="1257"/>
      <c r="DX78" s="1257"/>
      <c r="DY78" s="1257"/>
      <c r="DZ78" s="1257"/>
      <c r="EA78" s="1257"/>
      <c r="EB78" s="145"/>
      <c r="EC78" s="145"/>
      <c r="ED78" s="145"/>
      <c r="EE78" s="145"/>
      <c r="EF78" s="145"/>
      <c r="EG78" s="145"/>
      <c r="EH78" s="145"/>
      <c r="EI78" s="145"/>
      <c r="EJ78" s="145"/>
      <c r="EK78" s="145"/>
      <c r="EL78" s="145"/>
      <c r="EM78" s="145"/>
      <c r="EN78" s="145"/>
      <c r="EO78" s="145"/>
      <c r="EP78" s="145"/>
      <c r="EQ78" s="145"/>
      <c r="ER78" s="145"/>
      <c r="ES78" s="145"/>
      <c r="ET78" s="145"/>
      <c r="EU78" s="187"/>
      <c r="EV78" s="87"/>
      <c r="EW78" s="87"/>
      <c r="EX78" s="87"/>
      <c r="EY78" s="87"/>
      <c r="EZ78" s="87"/>
      <c r="FA78" s="87"/>
      <c r="FB78" s="87"/>
    </row>
    <row r="79" spans="1:158" ht="9" customHeight="1" thickTop="1" thickBot="1">
      <c r="A79" s="87"/>
      <c r="B79" s="117"/>
      <c r="C79" s="87"/>
      <c r="D79" s="2080"/>
      <c r="E79" s="2080"/>
      <c r="F79" s="155"/>
      <c r="G79" s="1246"/>
      <c r="H79" s="1246"/>
      <c r="I79" s="1246"/>
      <c r="J79" s="1246"/>
      <c r="K79" s="1246"/>
      <c r="L79" s="1246"/>
      <c r="M79" s="1246"/>
      <c r="N79" s="1246"/>
      <c r="O79" s="1247"/>
      <c r="P79" s="1247"/>
      <c r="Q79" s="1247"/>
      <c r="R79" s="1247"/>
      <c r="S79" s="1247"/>
      <c r="T79" s="1247"/>
      <c r="U79" s="1247"/>
      <c r="V79" s="1247"/>
      <c r="W79" s="1247"/>
      <c r="X79" s="1247"/>
      <c r="Y79" s="1247"/>
      <c r="Z79" s="1247"/>
      <c r="AA79" s="1247"/>
      <c r="AB79" s="1247"/>
      <c r="AC79" s="1247"/>
      <c r="AD79" s="1247"/>
      <c r="AE79" s="154"/>
      <c r="AF79" s="87"/>
      <c r="AG79" s="87"/>
      <c r="AH79" s="87"/>
      <c r="AI79" s="158"/>
      <c r="AJ79" s="184"/>
      <c r="AK79" s="184"/>
      <c r="AL79" s="184"/>
      <c r="AM79" s="184"/>
      <c r="AN79" s="184"/>
      <c r="AO79" s="184"/>
      <c r="AP79" s="184"/>
      <c r="AQ79" s="184"/>
      <c r="AR79" s="160"/>
      <c r="AS79" s="109"/>
      <c r="AT79" s="87"/>
      <c r="AU79" s="87"/>
      <c r="AV79" s="158"/>
      <c r="AW79" s="184"/>
      <c r="AX79" s="184"/>
      <c r="AY79" s="184"/>
      <c r="AZ79" s="184"/>
      <c r="BA79" s="184"/>
      <c r="BB79" s="184"/>
      <c r="BC79" s="184"/>
      <c r="BD79" s="184"/>
      <c r="BE79" s="160"/>
      <c r="BF79" s="87"/>
      <c r="BG79" s="87"/>
      <c r="BH79" s="87"/>
      <c r="BI79" s="87"/>
      <c r="BJ79" s="87"/>
      <c r="BK79" s="87"/>
      <c r="BL79" s="87"/>
      <c r="BM79" s="87"/>
      <c r="BN79" s="112"/>
      <c r="BO79" s="87"/>
      <c r="BP79" s="87"/>
      <c r="BQ79" s="87"/>
      <c r="BR79" s="87"/>
      <c r="BS79" s="87"/>
      <c r="BT79" s="87"/>
      <c r="BU79" s="87"/>
      <c r="BV79" s="87"/>
      <c r="BW79" s="87"/>
      <c r="BX79" s="209"/>
      <c r="BY79" s="210"/>
      <c r="BZ79" s="210"/>
      <c r="CA79" s="210"/>
      <c r="CB79" s="210"/>
      <c r="CC79" s="210"/>
      <c r="CD79" s="210"/>
      <c r="CE79" s="210"/>
      <c r="CF79" s="210"/>
      <c r="CG79" s="210"/>
      <c r="CH79" s="211"/>
      <c r="CI79" s="112"/>
      <c r="CJ79" s="232"/>
      <c r="CK79" s="2054" t="s">
        <v>3590</v>
      </c>
      <c r="CL79" s="2054"/>
      <c r="CM79" s="2054"/>
      <c r="CN79" s="2054"/>
      <c r="CO79" s="2054"/>
      <c r="CP79" s="2054"/>
      <c r="CQ79" s="2054"/>
      <c r="CR79" s="2054"/>
      <c r="CS79" s="2054"/>
      <c r="CT79" s="2054"/>
      <c r="CU79" s="1192"/>
      <c r="CV79" s="1192"/>
      <c r="CW79" s="87"/>
      <c r="CY79" s="196"/>
      <c r="CZ79" s="109"/>
      <c r="DA79" s="197"/>
      <c r="DB79" s="2032"/>
      <c r="DC79" s="2032"/>
      <c r="DD79" s="2032"/>
      <c r="DE79" s="2032"/>
      <c r="DF79" s="2032"/>
      <c r="DG79" s="2032"/>
      <c r="DH79" s="2032"/>
      <c r="DI79" s="2032"/>
      <c r="DJ79" s="167"/>
      <c r="DK79" s="87"/>
      <c r="DL79" s="87"/>
      <c r="DM79" s="87"/>
      <c r="DN79" s="87"/>
      <c r="DO79" s="87"/>
      <c r="DP79" s="87"/>
      <c r="DQ79" s="87"/>
      <c r="DR79" s="87"/>
      <c r="DS79" s="87"/>
      <c r="DT79" s="109"/>
      <c r="DU79" s="189"/>
      <c r="DV79" s="107"/>
      <c r="DW79" s="1258"/>
      <c r="DX79" s="1258"/>
      <c r="DY79" s="1258"/>
      <c r="DZ79" s="1258"/>
      <c r="EA79" s="1258"/>
      <c r="EB79" s="107"/>
      <c r="EC79" s="107"/>
      <c r="ED79" s="107"/>
      <c r="EE79" s="107"/>
      <c r="EF79" s="107"/>
      <c r="EG79" s="107"/>
      <c r="EH79" s="107"/>
      <c r="EI79" s="107"/>
      <c r="EJ79" s="107"/>
      <c r="EK79" s="107"/>
      <c r="EL79" s="107"/>
      <c r="EM79" s="107"/>
      <c r="EN79" s="107"/>
      <c r="EO79" s="107"/>
      <c r="EP79" s="107"/>
      <c r="EQ79" s="107"/>
      <c r="ER79" s="107"/>
      <c r="ES79" s="107"/>
      <c r="ET79" s="107"/>
      <c r="EU79" s="169"/>
      <c r="EV79" s="87"/>
      <c r="EW79" s="87"/>
      <c r="EX79" s="87"/>
      <c r="EY79" s="87"/>
      <c r="EZ79" s="87"/>
      <c r="FA79" s="87"/>
      <c r="FB79" s="87"/>
    </row>
    <row r="80" spans="1:158" ht="9" customHeight="1" thickBot="1">
      <c r="A80" s="87"/>
      <c r="B80" s="117"/>
      <c r="C80" s="87"/>
      <c r="D80" s="2080"/>
      <c r="E80" s="2080"/>
      <c r="F80" s="165"/>
      <c r="G80" s="2041" t="s">
        <v>5</v>
      </c>
      <c r="H80" s="2041"/>
      <c r="I80" s="2041"/>
      <c r="J80" s="2041"/>
      <c r="K80" s="2041"/>
      <c r="L80" s="2041"/>
      <c r="M80" s="2041"/>
      <c r="N80" s="2041"/>
      <c r="O80" s="2042" t="s">
        <v>3591</v>
      </c>
      <c r="P80" s="2042"/>
      <c r="Q80" s="2042"/>
      <c r="R80" s="2042"/>
      <c r="S80" s="2042"/>
      <c r="T80" s="2042"/>
      <c r="U80" s="2042"/>
      <c r="V80" s="2042"/>
      <c r="W80" s="2042"/>
      <c r="X80" s="2042"/>
      <c r="Y80" s="2042"/>
      <c r="Z80" s="2042"/>
      <c r="AA80" s="2042"/>
      <c r="AB80" s="2042"/>
      <c r="AC80" s="2042"/>
      <c r="AD80" s="2042"/>
      <c r="AE80" s="163"/>
      <c r="AF80" s="87"/>
      <c r="AG80" s="87"/>
      <c r="AH80" s="87"/>
      <c r="AI80" s="166"/>
      <c r="AJ80" s="2023" t="str">
        <f>Wisdom</f>
        <v/>
      </c>
      <c r="AK80" s="2023"/>
      <c r="AL80" s="2023"/>
      <c r="AM80" s="2023"/>
      <c r="AN80" s="2023"/>
      <c r="AO80" s="2023"/>
      <c r="AP80" s="2023"/>
      <c r="AQ80" s="2023"/>
      <c r="AR80" s="167"/>
      <c r="AS80" s="109"/>
      <c r="AT80" s="87"/>
      <c r="AU80" s="87"/>
      <c r="AV80" s="166"/>
      <c r="AW80" s="2020" t="str">
        <f>WisMod</f>
        <v/>
      </c>
      <c r="AX80" s="2020"/>
      <c r="AY80" s="2020"/>
      <c r="AZ80" s="2020"/>
      <c r="BA80" s="2020"/>
      <c r="BB80" s="2020"/>
      <c r="BC80" s="2020"/>
      <c r="BD80" s="2020"/>
      <c r="BE80" s="167"/>
      <c r="BF80" s="87"/>
      <c r="BG80" s="87"/>
      <c r="BH80" s="87"/>
      <c r="BI80" s="87"/>
      <c r="BJ80" s="87"/>
      <c r="BK80" s="87"/>
      <c r="BL80" s="87"/>
      <c r="BM80" s="87"/>
      <c r="BN80" s="112"/>
      <c r="BO80" s="87"/>
      <c r="BP80" s="87"/>
      <c r="BQ80" s="87"/>
      <c r="BR80" s="87"/>
      <c r="BS80" s="87"/>
      <c r="BT80" s="87"/>
      <c r="BU80" s="87"/>
      <c r="BV80" s="87"/>
      <c r="BW80" s="87"/>
      <c r="BX80" s="216"/>
      <c r="BY80" s="2053">
        <f ca="1">IF(Feats!M151&gt;0,5,0)+IF('Cybernetics and Biotech'!F50="Yes",2,0)+SquadBonus+IF(Race&lt;&gt;"",INDEX(SizeTable,MATCH(OutputSize,SizeList,0),8),0)+IF(OR(Cyborg,NOT(ISERROR(FIND("Droid",Race,1)))),IF(DroidSize="Large",5,0),0)</f>
        <v>0</v>
      </c>
      <c r="BZ80" s="2053"/>
      <c r="CA80" s="2053"/>
      <c r="CB80" s="2053"/>
      <c r="CC80" s="2053"/>
      <c r="CD80" s="2053"/>
      <c r="CE80" s="2053"/>
      <c r="CF80" s="2053"/>
      <c r="CG80" s="2053"/>
      <c r="CH80" s="217"/>
      <c r="CI80" s="112"/>
      <c r="CJ80" s="232"/>
      <c r="CK80" s="2054"/>
      <c r="CL80" s="2054"/>
      <c r="CM80" s="2054"/>
      <c r="CN80" s="2054"/>
      <c r="CO80" s="2054"/>
      <c r="CP80" s="2054"/>
      <c r="CQ80" s="2054"/>
      <c r="CR80" s="2054"/>
      <c r="CS80" s="2054"/>
      <c r="CT80" s="2054"/>
      <c r="CU80" s="1192"/>
      <c r="CV80" s="1192"/>
      <c r="CW80" s="87"/>
      <c r="CY80" s="154"/>
      <c r="CZ80" s="201"/>
      <c r="DA80" s="202"/>
      <c r="DB80" s="2032"/>
      <c r="DC80" s="2032"/>
      <c r="DD80" s="2032"/>
      <c r="DE80" s="2032"/>
      <c r="DF80" s="2032"/>
      <c r="DG80" s="2032"/>
      <c r="DH80" s="2032"/>
      <c r="DI80" s="2032"/>
      <c r="DJ80" s="167"/>
      <c r="DK80" s="87"/>
      <c r="DL80" s="87"/>
      <c r="DM80" s="87"/>
      <c r="DN80" s="87"/>
      <c r="DO80" s="87"/>
      <c r="DP80" s="87"/>
      <c r="DQ80" s="87"/>
      <c r="DR80" s="87"/>
      <c r="DS80" s="87"/>
      <c r="DT80" s="109"/>
      <c r="DU80" s="183"/>
      <c r="DV80" s="213"/>
      <c r="DW80" s="1259"/>
      <c r="DX80" s="1259"/>
      <c r="DY80" s="1259"/>
      <c r="DZ80" s="1259"/>
      <c r="EA80" s="1259"/>
      <c r="EB80" s="214"/>
      <c r="EC80" s="2029" t="s">
        <v>6115</v>
      </c>
      <c r="ED80" s="2029"/>
      <c r="EE80" s="2029"/>
      <c r="EF80" s="2029"/>
      <c r="EG80" s="2029"/>
      <c r="EH80" s="2029"/>
      <c r="EI80" s="2029"/>
      <c r="EJ80" s="2029"/>
      <c r="EK80" s="2029"/>
      <c r="EL80" s="2029"/>
      <c r="EM80" s="2029"/>
      <c r="EN80" s="2029"/>
      <c r="EO80" s="2029"/>
      <c r="EP80" s="2029"/>
      <c r="EQ80" s="2029"/>
      <c r="ER80" s="2029"/>
      <c r="ES80" s="2029"/>
      <c r="ET80" s="215"/>
      <c r="EU80" s="112"/>
      <c r="EV80" s="87"/>
      <c r="EW80" s="87"/>
      <c r="EX80" s="87"/>
      <c r="EY80" s="87"/>
      <c r="EZ80" s="87"/>
      <c r="FA80" s="87"/>
      <c r="FB80" s="87"/>
    </row>
    <row r="81" spans="1:158" ht="9" customHeight="1" thickTop="1" thickBot="1">
      <c r="A81" s="87"/>
      <c r="B81" s="117"/>
      <c r="C81" s="87"/>
      <c r="D81" s="2080"/>
      <c r="E81" s="2080"/>
      <c r="F81" s="165"/>
      <c r="G81" s="2041"/>
      <c r="H81" s="2041"/>
      <c r="I81" s="2041"/>
      <c r="J81" s="2041"/>
      <c r="K81" s="2041"/>
      <c r="L81" s="2041"/>
      <c r="M81" s="2041"/>
      <c r="N81" s="2041"/>
      <c r="O81" s="2042"/>
      <c r="P81" s="2042"/>
      <c r="Q81" s="2042"/>
      <c r="R81" s="2042"/>
      <c r="S81" s="2042"/>
      <c r="T81" s="2042"/>
      <c r="U81" s="2042"/>
      <c r="V81" s="2042"/>
      <c r="W81" s="2042"/>
      <c r="X81" s="2042"/>
      <c r="Y81" s="2042"/>
      <c r="Z81" s="2042"/>
      <c r="AA81" s="2042"/>
      <c r="AB81" s="2042"/>
      <c r="AC81" s="2042"/>
      <c r="AD81" s="2042"/>
      <c r="AE81" s="163"/>
      <c r="AF81" s="87"/>
      <c r="AG81" s="87"/>
      <c r="AH81" s="87"/>
      <c r="AI81" s="166"/>
      <c r="AJ81" s="2023"/>
      <c r="AK81" s="2023"/>
      <c r="AL81" s="2023"/>
      <c r="AM81" s="2023"/>
      <c r="AN81" s="2023"/>
      <c r="AO81" s="2023"/>
      <c r="AP81" s="2023"/>
      <c r="AQ81" s="2023"/>
      <c r="AR81" s="167"/>
      <c r="AS81" s="109"/>
      <c r="AT81" s="87"/>
      <c r="AU81" s="87"/>
      <c r="AV81" s="166"/>
      <c r="AW81" s="2020"/>
      <c r="AX81" s="2020"/>
      <c r="AY81" s="2020"/>
      <c r="AZ81" s="2020"/>
      <c r="BA81" s="2020"/>
      <c r="BB81" s="2020"/>
      <c r="BC81" s="2020"/>
      <c r="BD81" s="2020"/>
      <c r="BE81" s="167"/>
      <c r="BF81" s="87"/>
      <c r="BG81" s="87"/>
      <c r="BH81" s="87"/>
      <c r="BI81" s="87"/>
      <c r="BJ81" s="87"/>
      <c r="BK81" s="87"/>
      <c r="BL81" s="87"/>
      <c r="BM81" s="87"/>
      <c r="BN81" s="112"/>
      <c r="BO81" s="87"/>
      <c r="BP81" s="87"/>
      <c r="BQ81" s="87"/>
      <c r="BR81" s="87"/>
      <c r="BS81" s="87"/>
      <c r="BT81" s="87"/>
      <c r="BU81" s="87"/>
      <c r="BV81" s="87"/>
      <c r="BW81" s="87"/>
      <c r="BX81" s="216"/>
      <c r="BY81" s="2053"/>
      <c r="BZ81" s="2053"/>
      <c r="CA81" s="2053"/>
      <c r="CB81" s="2053"/>
      <c r="CC81" s="2053"/>
      <c r="CD81" s="2053"/>
      <c r="CE81" s="2053"/>
      <c r="CF81" s="2053"/>
      <c r="CG81" s="2053"/>
      <c r="CH81" s="217"/>
      <c r="CI81" s="112"/>
      <c r="CJ81" s="232"/>
      <c r="CK81" s="2054"/>
      <c r="CL81" s="2054"/>
      <c r="CM81" s="2054"/>
      <c r="CN81" s="2054"/>
      <c r="CO81" s="2054"/>
      <c r="CP81" s="2054"/>
      <c r="CQ81" s="2054"/>
      <c r="CR81" s="2054"/>
      <c r="CS81" s="2054"/>
      <c r="CT81" s="2054"/>
      <c r="CU81" s="1192"/>
      <c r="CV81" s="1192"/>
      <c r="CW81" s="87"/>
      <c r="CY81" s="87"/>
      <c r="CZ81" s="87"/>
      <c r="DA81" s="203"/>
      <c r="DB81" s="204"/>
      <c r="DC81" s="204"/>
      <c r="DD81" s="204"/>
      <c r="DE81" s="204"/>
      <c r="DF81" s="204"/>
      <c r="DG81" s="204"/>
      <c r="DH81" s="204"/>
      <c r="DI81" s="204"/>
      <c r="DJ81" s="158"/>
      <c r="DK81" s="87"/>
      <c r="DL81" s="87"/>
      <c r="DM81" s="87"/>
      <c r="DN81" s="87"/>
      <c r="DO81" s="87"/>
      <c r="DP81" s="87"/>
      <c r="DQ81" s="87"/>
      <c r="DR81" s="87"/>
      <c r="DS81" s="87"/>
      <c r="DT81" s="109"/>
      <c r="DU81" s="183"/>
      <c r="DV81" s="218"/>
      <c r="DW81" s="1903">
        <v>-5</v>
      </c>
      <c r="DX81" s="1903"/>
      <c r="DY81" s="1903"/>
      <c r="DZ81" s="1903"/>
      <c r="EA81" s="1903"/>
      <c r="EB81" s="219"/>
      <c r="EC81" s="2030"/>
      <c r="ED81" s="2030"/>
      <c r="EE81" s="2030"/>
      <c r="EF81" s="2030"/>
      <c r="EG81" s="2030"/>
      <c r="EH81" s="2030"/>
      <c r="EI81" s="2030"/>
      <c r="EJ81" s="2030"/>
      <c r="EK81" s="2030"/>
      <c r="EL81" s="2030"/>
      <c r="EM81" s="2030"/>
      <c r="EN81" s="2030"/>
      <c r="EO81" s="2030"/>
      <c r="EP81" s="2030"/>
      <c r="EQ81" s="2030"/>
      <c r="ER81" s="2030"/>
      <c r="ES81" s="2030"/>
      <c r="ET81" s="220"/>
      <c r="EU81" s="112"/>
      <c r="EV81" s="87"/>
      <c r="EW81" s="87"/>
      <c r="EX81" s="87"/>
      <c r="EY81" s="87"/>
      <c r="EZ81" s="87"/>
      <c r="FA81" s="87"/>
      <c r="FB81" s="87"/>
    </row>
    <row r="82" spans="1:158" ht="9" customHeight="1" thickTop="1">
      <c r="A82" s="87"/>
      <c r="B82" s="117"/>
      <c r="C82" s="87"/>
      <c r="D82" s="2080"/>
      <c r="E82" s="2080"/>
      <c r="F82" s="165"/>
      <c r="G82" s="2041"/>
      <c r="H82" s="2041"/>
      <c r="I82" s="2041"/>
      <c r="J82" s="2041"/>
      <c r="K82" s="2041"/>
      <c r="L82" s="2041"/>
      <c r="M82" s="2041"/>
      <c r="N82" s="2041"/>
      <c r="O82" s="2042"/>
      <c r="P82" s="2042"/>
      <c r="Q82" s="2042"/>
      <c r="R82" s="2042"/>
      <c r="S82" s="2042"/>
      <c r="T82" s="2042"/>
      <c r="U82" s="2042"/>
      <c r="V82" s="2042"/>
      <c r="W82" s="2042"/>
      <c r="X82" s="2042"/>
      <c r="Y82" s="2042"/>
      <c r="Z82" s="2042"/>
      <c r="AA82" s="2042"/>
      <c r="AB82" s="2042"/>
      <c r="AC82" s="2042"/>
      <c r="AD82" s="2042"/>
      <c r="AE82" s="163"/>
      <c r="AF82" s="87"/>
      <c r="AG82" s="87"/>
      <c r="AH82" s="87"/>
      <c r="AI82" s="166"/>
      <c r="AJ82" s="2023"/>
      <c r="AK82" s="2023"/>
      <c r="AL82" s="2023"/>
      <c r="AM82" s="2023"/>
      <c r="AN82" s="2023"/>
      <c r="AO82" s="2023"/>
      <c r="AP82" s="2023"/>
      <c r="AQ82" s="2023"/>
      <c r="AR82" s="167"/>
      <c r="AS82" s="109"/>
      <c r="AT82" s="87"/>
      <c r="AU82" s="87"/>
      <c r="AV82" s="166"/>
      <c r="AW82" s="2020"/>
      <c r="AX82" s="2020"/>
      <c r="AY82" s="2020"/>
      <c r="AZ82" s="2020"/>
      <c r="BA82" s="2020"/>
      <c r="BB82" s="2020"/>
      <c r="BC82" s="2020"/>
      <c r="BD82" s="2020"/>
      <c r="BE82" s="167"/>
      <c r="BF82" s="87"/>
      <c r="BG82" s="87"/>
      <c r="BH82" s="87"/>
      <c r="BI82" s="87"/>
      <c r="BJ82" s="87"/>
      <c r="BK82" s="87"/>
      <c r="BL82" s="87"/>
      <c r="BM82" s="87"/>
      <c r="BN82" s="112"/>
      <c r="BO82" s="87"/>
      <c r="BP82" s="87"/>
      <c r="BQ82" s="87"/>
      <c r="BR82" s="87"/>
      <c r="BS82" s="87"/>
      <c r="BT82" s="87"/>
      <c r="BU82" s="87"/>
      <c r="BV82" s="87"/>
      <c r="BW82" s="87"/>
      <c r="BX82" s="216"/>
      <c r="BY82" s="2053"/>
      <c r="BZ82" s="2053"/>
      <c r="CA82" s="2053"/>
      <c r="CB82" s="2053"/>
      <c r="CC82" s="2053"/>
      <c r="CD82" s="2053"/>
      <c r="CE82" s="2053"/>
      <c r="CF82" s="2053"/>
      <c r="CG82" s="2053"/>
      <c r="CH82" s="217"/>
      <c r="CI82" s="112"/>
      <c r="CJ82" s="232"/>
      <c r="CK82" s="2054"/>
      <c r="CL82" s="2054"/>
      <c r="CM82" s="2054"/>
      <c r="CN82" s="2054"/>
      <c r="CO82" s="2054"/>
      <c r="CP82" s="2054"/>
      <c r="CQ82" s="2054"/>
      <c r="CR82" s="2054"/>
      <c r="CS82" s="2054"/>
      <c r="CT82" s="2054"/>
      <c r="CU82" s="1192"/>
      <c r="CV82" s="1192"/>
      <c r="CW82" s="87"/>
      <c r="CY82" s="87"/>
      <c r="CZ82" s="87"/>
      <c r="DA82" s="87"/>
      <c r="DB82" s="87"/>
      <c r="DC82" s="87"/>
      <c r="DD82" s="87"/>
      <c r="DE82" s="87"/>
      <c r="DF82" s="87"/>
      <c r="DG82" s="87"/>
      <c r="DH82" s="87"/>
      <c r="DI82" s="87"/>
      <c r="DJ82" s="87"/>
      <c r="DK82" s="87"/>
      <c r="DL82" s="87"/>
      <c r="DM82" s="87"/>
      <c r="DN82" s="87"/>
      <c r="DO82" s="87"/>
      <c r="DP82" s="87"/>
      <c r="DQ82" s="87"/>
      <c r="DR82" s="87"/>
      <c r="DS82" s="87"/>
      <c r="DT82" s="109"/>
      <c r="DU82" s="183"/>
      <c r="DV82" s="218"/>
      <c r="DW82" s="1903"/>
      <c r="DX82" s="1903"/>
      <c r="DY82" s="1903"/>
      <c r="DZ82" s="1903"/>
      <c r="EA82" s="1903"/>
      <c r="EB82" s="219"/>
      <c r="EC82" s="2030"/>
      <c r="ED82" s="2030"/>
      <c r="EE82" s="2030"/>
      <c r="EF82" s="2030"/>
      <c r="EG82" s="2030"/>
      <c r="EH82" s="2030"/>
      <c r="EI82" s="2030"/>
      <c r="EJ82" s="2030"/>
      <c r="EK82" s="2030"/>
      <c r="EL82" s="2030"/>
      <c r="EM82" s="2030"/>
      <c r="EN82" s="2030"/>
      <c r="EO82" s="2030"/>
      <c r="EP82" s="2030"/>
      <c r="EQ82" s="2030"/>
      <c r="ER82" s="2030"/>
      <c r="ES82" s="2030"/>
      <c r="ET82" s="2008"/>
      <c r="EU82" s="2009"/>
      <c r="EV82" s="2009"/>
      <c r="EW82" s="2009"/>
      <c r="EX82" s="2009"/>
      <c r="EY82" s="2014"/>
      <c r="EZ82" s="2014"/>
      <c r="FA82" s="87"/>
      <c r="FB82" s="87"/>
    </row>
    <row r="83" spans="1:158" ht="9" customHeight="1" thickBot="1">
      <c r="A83" s="87"/>
      <c r="B83" s="117"/>
      <c r="C83" s="87"/>
      <c r="D83" s="2080"/>
      <c r="E83" s="2080"/>
      <c r="F83" s="173"/>
      <c r="G83" s="1240"/>
      <c r="H83" s="1240"/>
      <c r="I83" s="1240"/>
      <c r="J83" s="1241"/>
      <c r="K83" s="1241"/>
      <c r="L83" s="1241"/>
      <c r="M83" s="1241"/>
      <c r="N83" s="1241"/>
      <c r="O83" s="1241"/>
      <c r="P83" s="1241"/>
      <c r="Q83" s="1241"/>
      <c r="R83" s="1241"/>
      <c r="S83" s="1241"/>
      <c r="T83" s="1241"/>
      <c r="U83" s="1241"/>
      <c r="V83" s="1241"/>
      <c r="W83" s="1241"/>
      <c r="X83" s="1241"/>
      <c r="Y83" s="1241"/>
      <c r="Z83" s="1241"/>
      <c r="AA83" s="1241"/>
      <c r="AB83" s="1241"/>
      <c r="AC83" s="1241"/>
      <c r="AD83" s="1241"/>
      <c r="AE83" s="153"/>
      <c r="AF83" s="87"/>
      <c r="AG83" s="87"/>
      <c r="AH83" s="87"/>
      <c r="AI83" s="160"/>
      <c r="AJ83" s="175"/>
      <c r="AK83" s="175"/>
      <c r="AL83" s="175"/>
      <c r="AM83" s="175"/>
      <c r="AN83" s="175"/>
      <c r="AO83" s="175"/>
      <c r="AP83" s="175"/>
      <c r="AQ83" s="175"/>
      <c r="AR83" s="158"/>
      <c r="AS83" s="109"/>
      <c r="AT83" s="87"/>
      <c r="AU83" s="87"/>
      <c r="AV83" s="160"/>
      <c r="AW83" s="175"/>
      <c r="AX83" s="175"/>
      <c r="AY83" s="175"/>
      <c r="AZ83" s="175"/>
      <c r="BA83" s="175"/>
      <c r="BB83" s="175"/>
      <c r="BC83" s="175"/>
      <c r="BD83" s="175"/>
      <c r="BE83" s="158"/>
      <c r="BF83" s="87"/>
      <c r="BG83" s="87"/>
      <c r="BH83" s="87"/>
      <c r="BI83" s="87"/>
      <c r="BJ83" s="87"/>
      <c r="BK83" s="87"/>
      <c r="BL83" s="87"/>
      <c r="BM83" s="87"/>
      <c r="BN83" s="112"/>
      <c r="BO83" s="87"/>
      <c r="BP83" s="87"/>
      <c r="BQ83" s="87"/>
      <c r="BR83" s="87"/>
      <c r="BS83" s="87"/>
      <c r="BT83" s="87"/>
      <c r="BU83" s="87"/>
      <c r="BV83" s="87"/>
      <c r="BW83" s="87"/>
      <c r="BX83" s="211"/>
      <c r="BY83" s="223"/>
      <c r="BZ83" s="223"/>
      <c r="CA83" s="223"/>
      <c r="CB83" s="223"/>
      <c r="CC83" s="223"/>
      <c r="CD83" s="223"/>
      <c r="CE83" s="223"/>
      <c r="CF83" s="223"/>
      <c r="CG83" s="223"/>
      <c r="CH83" s="209"/>
      <c r="CI83" s="112"/>
      <c r="CJ83" s="232"/>
      <c r="CK83" s="2054"/>
      <c r="CL83" s="2054"/>
      <c r="CM83" s="2054"/>
      <c r="CN83" s="2054"/>
      <c r="CO83" s="2054"/>
      <c r="CP83" s="2054"/>
      <c r="CQ83" s="2054"/>
      <c r="CR83" s="2054"/>
      <c r="CS83" s="2054"/>
      <c r="CT83" s="2054"/>
      <c r="CU83" s="1192"/>
      <c r="CV83" s="1192"/>
      <c r="CW83" s="87"/>
      <c r="CY83" s="87"/>
      <c r="CZ83" s="87"/>
      <c r="DA83" s="87"/>
      <c r="DB83" s="2024" t="s">
        <v>3592</v>
      </c>
      <c r="DC83" s="2024"/>
      <c r="DD83" s="2024"/>
      <c r="DE83" s="2024"/>
      <c r="DF83" s="2024"/>
      <c r="DG83" s="2024"/>
      <c r="DH83" s="2024"/>
      <c r="DI83" s="2024"/>
      <c r="DJ83" s="2024"/>
      <c r="DK83" s="2024"/>
      <c r="DL83" s="2024"/>
      <c r="DM83" s="2024"/>
      <c r="DN83" s="2024"/>
      <c r="DO83" s="2024"/>
      <c r="DP83" s="2024"/>
      <c r="DQ83" s="2024"/>
      <c r="DR83" s="87"/>
      <c r="DS83" s="87"/>
      <c r="DT83" s="109"/>
      <c r="DU83" s="183"/>
      <c r="DV83" s="218"/>
      <c r="DW83" s="1903"/>
      <c r="DX83" s="1903"/>
      <c r="DY83" s="1903"/>
      <c r="DZ83" s="1903"/>
      <c r="EA83" s="1903"/>
      <c r="EB83" s="219"/>
      <c r="EC83" s="2030"/>
      <c r="ED83" s="2030"/>
      <c r="EE83" s="2030"/>
      <c r="EF83" s="2030"/>
      <c r="EG83" s="2030"/>
      <c r="EH83" s="2030"/>
      <c r="EI83" s="2030"/>
      <c r="EJ83" s="2030"/>
      <c r="EK83" s="2030"/>
      <c r="EL83" s="2030"/>
      <c r="EM83" s="2030"/>
      <c r="EN83" s="2030"/>
      <c r="EO83" s="2030"/>
      <c r="EP83" s="2030"/>
      <c r="EQ83" s="2030"/>
      <c r="ER83" s="2030"/>
      <c r="ES83" s="2030"/>
      <c r="ET83" s="2010"/>
      <c r="EU83" s="2011"/>
      <c r="EV83" s="2011"/>
      <c r="EW83" s="2011"/>
      <c r="EX83" s="2011"/>
      <c r="EY83" s="2015"/>
      <c r="EZ83" s="2015"/>
      <c r="FA83" s="87"/>
      <c r="FB83" s="87"/>
    </row>
    <row r="84" spans="1:158" ht="9" customHeight="1" thickTop="1" thickBot="1">
      <c r="A84" s="87"/>
      <c r="B84" s="117"/>
      <c r="C84" s="87"/>
      <c r="D84" s="2080"/>
      <c r="E84" s="2080"/>
      <c r="F84" s="147"/>
      <c r="G84" s="1242"/>
      <c r="H84" s="1243"/>
      <c r="I84" s="1244"/>
      <c r="J84" s="1244"/>
      <c r="K84" s="1245"/>
      <c r="L84" s="1243"/>
      <c r="M84" s="1243"/>
      <c r="N84" s="1243"/>
      <c r="O84" s="1192"/>
      <c r="P84" s="1192"/>
      <c r="Q84" s="1192"/>
      <c r="R84" s="1192"/>
      <c r="S84" s="1192"/>
      <c r="T84" s="1192"/>
      <c r="U84" s="1192"/>
      <c r="V84" s="1192"/>
      <c r="W84" s="1192"/>
      <c r="X84" s="1192"/>
      <c r="Y84" s="1192"/>
      <c r="Z84" s="1192"/>
      <c r="AA84" s="1192"/>
      <c r="AB84" s="1192"/>
      <c r="AC84" s="1192"/>
      <c r="AD84" s="1192"/>
      <c r="AE84" s="87"/>
      <c r="AF84" s="87"/>
      <c r="AG84" s="87"/>
      <c r="AH84" s="87"/>
      <c r="AI84" s="87"/>
      <c r="AJ84" s="179"/>
      <c r="AK84" s="179"/>
      <c r="AL84" s="179"/>
      <c r="AM84" s="179"/>
      <c r="AN84" s="179"/>
      <c r="AO84" s="179"/>
      <c r="AP84" s="179"/>
      <c r="AQ84" s="179"/>
      <c r="AR84" s="87"/>
      <c r="AS84" s="87"/>
      <c r="AT84" s="87"/>
      <c r="AU84" s="87"/>
      <c r="AV84" s="87"/>
      <c r="AW84" s="179"/>
      <c r="AX84" s="179"/>
      <c r="AY84" s="179"/>
      <c r="AZ84" s="179"/>
      <c r="BA84" s="179"/>
      <c r="BB84" s="179"/>
      <c r="BC84" s="179"/>
      <c r="BD84" s="179"/>
      <c r="BE84" s="87"/>
      <c r="BF84" s="87"/>
      <c r="BG84" s="87"/>
      <c r="BH84" s="87"/>
      <c r="BI84" s="87"/>
      <c r="BJ84" s="87"/>
      <c r="BK84" s="87"/>
      <c r="BL84" s="87"/>
      <c r="BM84" s="87"/>
      <c r="BN84" s="112"/>
      <c r="BO84" s="87"/>
      <c r="BP84" s="87"/>
      <c r="BQ84" s="87"/>
      <c r="BR84" s="87"/>
      <c r="BS84" s="87"/>
      <c r="BT84" s="87"/>
      <c r="BU84" s="87"/>
      <c r="BV84" s="87"/>
      <c r="BW84" s="87"/>
      <c r="BX84" s="87"/>
      <c r="BY84" s="87"/>
      <c r="BZ84" s="87"/>
      <c r="CA84" s="87"/>
      <c r="CB84" s="161"/>
      <c r="CC84" s="87"/>
      <c r="CD84" s="161"/>
      <c r="CE84" s="87"/>
      <c r="CF84" s="87"/>
      <c r="CG84" s="87"/>
      <c r="CH84" s="87"/>
      <c r="CI84" s="112"/>
      <c r="CJ84" s="87"/>
      <c r="CK84" s="1192"/>
      <c r="CL84" s="1192"/>
      <c r="CM84" s="1192"/>
      <c r="CN84" s="1192"/>
      <c r="CO84" s="1192"/>
      <c r="CP84" s="1192"/>
      <c r="CQ84" s="1192"/>
      <c r="CR84" s="1192"/>
      <c r="CS84" s="1192"/>
      <c r="CT84" s="1192"/>
      <c r="CU84" s="1192"/>
      <c r="CV84" s="1192"/>
      <c r="CW84" s="87"/>
      <c r="CY84" s="87"/>
      <c r="CZ84" s="87"/>
      <c r="DA84" s="87"/>
      <c r="DB84" s="2024"/>
      <c r="DC84" s="2024"/>
      <c r="DD84" s="2024"/>
      <c r="DE84" s="2024"/>
      <c r="DF84" s="2024"/>
      <c r="DG84" s="2024"/>
      <c r="DH84" s="2024"/>
      <c r="DI84" s="2024"/>
      <c r="DJ84" s="2024"/>
      <c r="DK84" s="2024"/>
      <c r="DL84" s="2024"/>
      <c r="DM84" s="2024"/>
      <c r="DN84" s="2024"/>
      <c r="DO84" s="2024"/>
      <c r="DP84" s="2024"/>
      <c r="DQ84" s="2024"/>
      <c r="DR84" s="87"/>
      <c r="DS84" s="87"/>
      <c r="DT84" s="109"/>
      <c r="DU84" s="183"/>
      <c r="DV84" s="218"/>
      <c r="DW84" s="1903"/>
      <c r="DX84" s="1903"/>
      <c r="DY84" s="1903"/>
      <c r="DZ84" s="1903"/>
      <c r="EA84" s="1903"/>
      <c r="EB84" s="219"/>
      <c r="EC84" s="2030"/>
      <c r="ED84" s="2030"/>
      <c r="EE84" s="2030"/>
      <c r="EF84" s="2030"/>
      <c r="EG84" s="2030"/>
      <c r="EH84" s="2030"/>
      <c r="EI84" s="2030"/>
      <c r="EJ84" s="2030"/>
      <c r="EK84" s="2030"/>
      <c r="EL84" s="2030"/>
      <c r="EM84" s="2030"/>
      <c r="EN84" s="2030"/>
      <c r="EO84" s="2030"/>
      <c r="EP84" s="2030"/>
      <c r="EQ84" s="2030"/>
      <c r="ER84" s="2030"/>
      <c r="ES84" s="2030"/>
      <c r="ET84" s="2012"/>
      <c r="EU84" s="2013"/>
      <c r="EV84" s="2013"/>
      <c r="EW84" s="2013"/>
      <c r="EX84" s="2013"/>
      <c r="EY84" s="2015"/>
      <c r="EZ84" s="2015"/>
      <c r="FA84" s="87"/>
      <c r="FB84" s="87"/>
    </row>
    <row r="85" spans="1:158" ht="9" customHeight="1" thickTop="1" thickBot="1">
      <c r="A85" s="87"/>
      <c r="B85" s="117"/>
      <c r="C85" s="87"/>
      <c r="D85" s="2080"/>
      <c r="E85" s="2080"/>
      <c r="F85" s="147"/>
      <c r="G85" s="1242"/>
      <c r="H85" s="1243"/>
      <c r="I85" s="1244"/>
      <c r="J85" s="1244"/>
      <c r="K85" s="1245"/>
      <c r="L85" s="1243"/>
      <c r="M85" s="1243"/>
      <c r="N85" s="1243"/>
      <c r="O85" s="1192"/>
      <c r="P85" s="1192"/>
      <c r="Q85" s="1192"/>
      <c r="R85" s="1192"/>
      <c r="S85" s="1192"/>
      <c r="T85" s="1192"/>
      <c r="U85" s="1192"/>
      <c r="V85" s="1192"/>
      <c r="W85" s="1192"/>
      <c r="X85" s="1192"/>
      <c r="Y85" s="1192"/>
      <c r="Z85" s="1192"/>
      <c r="AA85" s="1192"/>
      <c r="AB85" s="1192"/>
      <c r="AC85" s="1192"/>
      <c r="AD85" s="1192"/>
      <c r="AE85" s="87"/>
      <c r="AF85" s="87"/>
      <c r="AG85" s="87"/>
      <c r="AH85" s="87"/>
      <c r="AI85" s="87"/>
      <c r="AJ85" s="179"/>
      <c r="AK85" s="179"/>
      <c r="AL85" s="179"/>
      <c r="AM85" s="179"/>
      <c r="AN85" s="179"/>
      <c r="AO85" s="179"/>
      <c r="AP85" s="179"/>
      <c r="AQ85" s="179"/>
      <c r="AR85" s="87"/>
      <c r="AS85" s="87"/>
      <c r="AT85" s="87"/>
      <c r="AU85" s="87"/>
      <c r="AV85" s="87"/>
      <c r="AW85" s="179"/>
      <c r="AX85" s="179"/>
      <c r="AY85" s="179"/>
      <c r="AZ85" s="179"/>
      <c r="BA85" s="179"/>
      <c r="BB85" s="179"/>
      <c r="BC85" s="179"/>
      <c r="BD85" s="179"/>
      <c r="BE85" s="87"/>
      <c r="BF85" s="87"/>
      <c r="BG85" s="87"/>
      <c r="BH85" s="87"/>
      <c r="BI85" s="87"/>
      <c r="BJ85" s="87"/>
      <c r="BK85" s="87"/>
      <c r="BL85" s="87"/>
      <c r="BM85" s="87"/>
      <c r="BN85" s="112"/>
      <c r="BO85" s="87"/>
      <c r="BP85" s="87"/>
      <c r="BQ85" s="87"/>
      <c r="BR85" s="87"/>
      <c r="BS85" s="87"/>
      <c r="BT85" s="87"/>
      <c r="BU85" s="87"/>
      <c r="BV85" s="87"/>
      <c r="BW85" s="87"/>
      <c r="BX85" s="87"/>
      <c r="BY85" s="87"/>
      <c r="BZ85" s="87"/>
      <c r="CA85" s="87"/>
      <c r="CB85" s="161"/>
      <c r="CC85" s="87"/>
      <c r="CD85" s="161"/>
      <c r="CE85" s="87"/>
      <c r="CF85" s="87"/>
      <c r="CG85" s="87"/>
      <c r="CH85" s="87"/>
      <c r="CI85" s="112"/>
      <c r="CJ85" s="87"/>
      <c r="CK85" s="1192"/>
      <c r="CL85" s="1192"/>
      <c r="CM85" s="1192"/>
      <c r="CN85" s="1192"/>
      <c r="CO85" s="1192"/>
      <c r="CP85" s="1192"/>
      <c r="CQ85" s="1192"/>
      <c r="CR85" s="1192"/>
      <c r="CS85" s="1192"/>
      <c r="CT85" s="1192"/>
      <c r="CU85" s="1192"/>
      <c r="CV85" s="1192"/>
      <c r="CW85" s="87"/>
      <c r="CY85" s="87"/>
      <c r="CZ85" s="87"/>
      <c r="DA85" s="158"/>
      <c r="DB85" s="159"/>
      <c r="DC85" s="159"/>
      <c r="DD85" s="159"/>
      <c r="DE85" s="159"/>
      <c r="DF85" s="159"/>
      <c r="DG85" s="159"/>
      <c r="DH85" s="159"/>
      <c r="DI85" s="159"/>
      <c r="DJ85" s="160"/>
      <c r="DK85" s="87"/>
      <c r="DL85" s="87"/>
      <c r="DM85" s="87"/>
      <c r="DN85" s="87"/>
      <c r="DO85" s="87"/>
      <c r="DP85" s="87"/>
      <c r="DQ85" s="87"/>
      <c r="DR85" s="87"/>
      <c r="DS85" s="87"/>
      <c r="DT85" s="109"/>
      <c r="DU85" s="183"/>
      <c r="DV85" s="218"/>
      <c r="DW85" s="1260"/>
      <c r="DX85" s="1260"/>
      <c r="DY85" s="1260"/>
      <c r="DZ85" s="1260"/>
      <c r="EA85" s="1260"/>
      <c r="EB85" s="219"/>
      <c r="EC85" s="2030"/>
      <c r="ED85" s="2030"/>
      <c r="EE85" s="2030"/>
      <c r="EF85" s="2030"/>
      <c r="EG85" s="2030"/>
      <c r="EH85" s="2030"/>
      <c r="EI85" s="2030"/>
      <c r="EJ85" s="2030"/>
      <c r="EK85" s="2030"/>
      <c r="EL85" s="2030"/>
      <c r="EM85" s="2030"/>
      <c r="EN85" s="2030"/>
      <c r="EO85" s="2030"/>
      <c r="EP85" s="2030"/>
      <c r="EQ85" s="2030"/>
      <c r="ER85" s="2030"/>
      <c r="ES85" s="2030"/>
      <c r="ET85" s="220"/>
      <c r="EU85" s="112"/>
      <c r="EV85" s="87"/>
      <c r="EW85" s="87"/>
      <c r="EX85" s="87"/>
      <c r="EY85" s="87"/>
      <c r="EZ85" s="87"/>
      <c r="FA85" s="87"/>
      <c r="FB85" s="87"/>
    </row>
    <row r="86" spans="1:158" ht="9" customHeight="1" thickTop="1" thickBot="1">
      <c r="A86" s="87"/>
      <c r="B86" s="117"/>
      <c r="C86" s="87"/>
      <c r="D86" s="2080"/>
      <c r="E86" s="2080"/>
      <c r="F86" s="155"/>
      <c r="G86" s="1246"/>
      <c r="H86" s="1246"/>
      <c r="I86" s="1246"/>
      <c r="J86" s="1246"/>
      <c r="K86" s="1246"/>
      <c r="L86" s="1246"/>
      <c r="M86" s="1246"/>
      <c r="N86" s="1246"/>
      <c r="O86" s="1247"/>
      <c r="P86" s="1247"/>
      <c r="Q86" s="1247"/>
      <c r="R86" s="1247"/>
      <c r="S86" s="1247"/>
      <c r="T86" s="1247"/>
      <c r="U86" s="1247"/>
      <c r="V86" s="1247"/>
      <c r="W86" s="1247"/>
      <c r="X86" s="1247"/>
      <c r="Y86" s="1247"/>
      <c r="Z86" s="1247"/>
      <c r="AA86" s="1247"/>
      <c r="AB86" s="1247"/>
      <c r="AC86" s="1247"/>
      <c r="AD86" s="1247"/>
      <c r="AE86" s="154"/>
      <c r="AF86" s="87"/>
      <c r="AG86" s="87"/>
      <c r="AH86" s="87"/>
      <c r="AI86" s="158"/>
      <c r="AJ86" s="184"/>
      <c r="AK86" s="184"/>
      <c r="AL86" s="184"/>
      <c r="AM86" s="184"/>
      <c r="AN86" s="184"/>
      <c r="AO86" s="184"/>
      <c r="AP86" s="184"/>
      <c r="AQ86" s="184"/>
      <c r="AR86" s="160"/>
      <c r="AS86" s="109"/>
      <c r="AT86" s="87"/>
      <c r="AU86" s="87"/>
      <c r="AV86" s="158"/>
      <c r="AW86" s="184"/>
      <c r="AX86" s="184"/>
      <c r="AY86" s="184"/>
      <c r="AZ86" s="184"/>
      <c r="BA86" s="184"/>
      <c r="BB86" s="184"/>
      <c r="BC86" s="184"/>
      <c r="BD86" s="184"/>
      <c r="BE86" s="160"/>
      <c r="BF86" s="87"/>
      <c r="BG86" s="87"/>
      <c r="BH86" s="87"/>
      <c r="BI86" s="87"/>
      <c r="BJ86" s="87"/>
      <c r="BK86" s="87"/>
      <c r="BL86" s="87"/>
      <c r="BM86" s="87"/>
      <c r="BN86" s="109"/>
      <c r="BO86" s="2022"/>
      <c r="BP86" s="87"/>
      <c r="BQ86" s="87"/>
      <c r="BR86" s="87"/>
      <c r="BS86" s="87"/>
      <c r="BT86" s="87"/>
      <c r="BU86" s="87"/>
      <c r="BV86" s="87"/>
      <c r="BW86" s="87"/>
      <c r="BX86" s="87"/>
      <c r="BY86" s="87"/>
      <c r="BZ86" s="87"/>
      <c r="CA86" s="87"/>
      <c r="CB86" s="161"/>
      <c r="CC86" s="87"/>
      <c r="CD86" s="161"/>
      <c r="CE86" s="87"/>
      <c r="CF86" s="87"/>
      <c r="CG86" s="87"/>
      <c r="CH86" s="87"/>
      <c r="CI86" s="112"/>
      <c r="CJ86" s="87"/>
      <c r="CK86" s="1254"/>
      <c r="CL86" s="1254"/>
      <c r="CM86" s="1254"/>
      <c r="CN86" s="1254"/>
      <c r="CO86" s="1254"/>
      <c r="CP86" s="1254"/>
      <c r="CQ86" s="1254"/>
      <c r="CR86" s="1254"/>
      <c r="CS86" s="1254"/>
      <c r="CT86" s="1254"/>
      <c r="CU86" s="1254"/>
      <c r="CV86" s="1254"/>
      <c r="CW86" s="87"/>
      <c r="CY86" s="153"/>
      <c r="CZ86" s="190"/>
      <c r="DA86" s="191"/>
      <c r="DB86" s="2032">
        <f>BAB</f>
        <v>0</v>
      </c>
      <c r="DC86" s="2032"/>
      <c r="DD86" s="2032"/>
      <c r="DE86" s="2032"/>
      <c r="DF86" s="2032"/>
      <c r="DG86" s="2032"/>
      <c r="DH86" s="2032"/>
      <c r="DI86" s="2032"/>
      <c r="DJ86" s="167"/>
      <c r="DK86" s="87"/>
      <c r="DL86" s="87"/>
      <c r="DM86" s="87"/>
      <c r="DN86" s="87"/>
      <c r="DO86" s="87"/>
      <c r="DP86" s="87"/>
      <c r="DQ86" s="87"/>
      <c r="DR86" s="87"/>
      <c r="DS86" s="87"/>
      <c r="DT86" s="109"/>
      <c r="DU86" s="183"/>
      <c r="DV86" s="227"/>
      <c r="DW86" s="1261"/>
      <c r="DX86" s="1261"/>
      <c r="DY86" s="1261"/>
      <c r="DZ86" s="1261"/>
      <c r="EA86" s="1261"/>
      <c r="EB86" s="228"/>
      <c r="EC86" s="2031"/>
      <c r="ED86" s="2031"/>
      <c r="EE86" s="2031"/>
      <c r="EF86" s="2031"/>
      <c r="EG86" s="2031"/>
      <c r="EH86" s="2031"/>
      <c r="EI86" s="2031"/>
      <c r="EJ86" s="2031"/>
      <c r="EK86" s="2031"/>
      <c r="EL86" s="2031"/>
      <c r="EM86" s="2031"/>
      <c r="EN86" s="2031"/>
      <c r="EO86" s="2031"/>
      <c r="EP86" s="2031"/>
      <c r="EQ86" s="2031"/>
      <c r="ER86" s="2031"/>
      <c r="ES86" s="2031"/>
      <c r="ET86" s="229"/>
      <c r="EU86" s="112"/>
      <c r="EV86" s="87"/>
      <c r="EW86" s="87"/>
      <c r="EX86" s="87"/>
      <c r="EY86" s="87"/>
      <c r="EZ86" s="87"/>
      <c r="FA86" s="87"/>
      <c r="FB86" s="87"/>
    </row>
    <row r="87" spans="1:158" ht="9" customHeight="1" thickTop="1" thickBot="1">
      <c r="A87" s="87"/>
      <c r="B87" s="117"/>
      <c r="C87" s="87"/>
      <c r="D87" s="2080"/>
      <c r="E87" s="2080"/>
      <c r="F87" s="165"/>
      <c r="G87" s="2041" t="s">
        <v>6</v>
      </c>
      <c r="H87" s="2041"/>
      <c r="I87" s="2041"/>
      <c r="J87" s="2041"/>
      <c r="K87" s="2041"/>
      <c r="L87" s="2041"/>
      <c r="M87" s="2041"/>
      <c r="N87" s="2041"/>
      <c r="O87" s="2042" t="s">
        <v>3593</v>
      </c>
      <c r="P87" s="2042"/>
      <c r="Q87" s="2042"/>
      <c r="R87" s="2042"/>
      <c r="S87" s="2042"/>
      <c r="T87" s="2042"/>
      <c r="U87" s="2042"/>
      <c r="V87" s="2042"/>
      <c r="W87" s="2042"/>
      <c r="X87" s="2042"/>
      <c r="Y87" s="2042"/>
      <c r="Z87" s="2042"/>
      <c r="AA87" s="2042"/>
      <c r="AB87" s="2042"/>
      <c r="AC87" s="2042"/>
      <c r="AD87" s="2042"/>
      <c r="AE87" s="163"/>
      <c r="AF87" s="87"/>
      <c r="AG87" s="87"/>
      <c r="AH87" s="87"/>
      <c r="AI87" s="166"/>
      <c r="AJ87" s="2023" t="str">
        <f>Charisma</f>
        <v/>
      </c>
      <c r="AK87" s="2023"/>
      <c r="AL87" s="2023"/>
      <c r="AM87" s="2023"/>
      <c r="AN87" s="2023"/>
      <c r="AO87" s="2023"/>
      <c r="AP87" s="2023"/>
      <c r="AQ87" s="2023"/>
      <c r="AR87" s="167"/>
      <c r="AS87" s="109"/>
      <c r="AT87" s="87"/>
      <c r="AU87" s="87"/>
      <c r="AV87" s="166"/>
      <c r="AW87" s="2020" t="str">
        <f>ChaMod</f>
        <v/>
      </c>
      <c r="AX87" s="2020"/>
      <c r="AY87" s="2020"/>
      <c r="AZ87" s="2020"/>
      <c r="BA87" s="2020"/>
      <c r="BB87" s="2020"/>
      <c r="BC87" s="2020"/>
      <c r="BD87" s="2020"/>
      <c r="BE87" s="167"/>
      <c r="BF87" s="87"/>
      <c r="BG87" s="87"/>
      <c r="BH87" s="87"/>
      <c r="BI87" s="87"/>
      <c r="BJ87" s="87"/>
      <c r="BK87" s="87"/>
      <c r="BL87" s="87"/>
      <c r="BM87" s="87"/>
      <c r="BN87" s="109"/>
      <c r="BO87" s="2022"/>
      <c r="BP87" s="87"/>
      <c r="BQ87" s="87"/>
      <c r="BR87" s="87"/>
      <c r="BS87" s="87"/>
      <c r="BT87" s="87"/>
      <c r="BU87" s="87"/>
      <c r="BV87" s="87"/>
      <c r="BW87" s="87"/>
      <c r="BX87" s="153"/>
      <c r="BY87" s="233"/>
      <c r="BZ87" s="233"/>
      <c r="CA87" s="233"/>
      <c r="CB87" s="233"/>
      <c r="CC87" s="233"/>
      <c r="CD87" s="233"/>
      <c r="CE87" s="233"/>
      <c r="CF87" s="233"/>
      <c r="CG87" s="233"/>
      <c r="CH87" s="154"/>
      <c r="CI87" s="112"/>
      <c r="CJ87" s="234"/>
      <c r="CK87" s="2028" t="s">
        <v>3594</v>
      </c>
      <c r="CL87" s="2028"/>
      <c r="CM87" s="2028"/>
      <c r="CN87" s="2028"/>
      <c r="CO87" s="2028"/>
      <c r="CP87" s="2028"/>
      <c r="CQ87" s="2028"/>
      <c r="CR87" s="2028"/>
      <c r="CS87" s="2028"/>
      <c r="CT87" s="2028"/>
      <c r="CU87" s="2028"/>
      <c r="CV87" s="2028"/>
      <c r="CW87" s="2028"/>
      <c r="CY87" s="196"/>
      <c r="CZ87" s="109"/>
      <c r="DA87" s="197"/>
      <c r="DB87" s="2032"/>
      <c r="DC87" s="2032"/>
      <c r="DD87" s="2032"/>
      <c r="DE87" s="2032"/>
      <c r="DF87" s="2032"/>
      <c r="DG87" s="2032"/>
      <c r="DH87" s="2032"/>
      <c r="DI87" s="2032"/>
      <c r="DJ87" s="167"/>
      <c r="DK87" s="87"/>
      <c r="DL87" s="87"/>
      <c r="DM87" s="87"/>
      <c r="DN87" s="87"/>
      <c r="DO87" s="87"/>
      <c r="DP87" s="87"/>
      <c r="DQ87" s="87"/>
      <c r="DR87" s="87"/>
      <c r="DS87" s="87"/>
      <c r="DT87" s="109"/>
      <c r="DU87" s="183"/>
      <c r="DV87" s="109"/>
      <c r="DW87" s="1262"/>
      <c r="DX87" s="1262"/>
      <c r="DY87" s="1262"/>
      <c r="DZ87" s="1262"/>
      <c r="EA87" s="1262"/>
      <c r="EB87" s="109"/>
      <c r="EC87" s="109"/>
      <c r="ED87" s="109"/>
      <c r="EE87" s="109"/>
      <c r="EF87" s="109"/>
      <c r="EG87" s="109"/>
      <c r="EH87" s="109"/>
      <c r="EI87" s="109"/>
      <c r="EJ87" s="109"/>
      <c r="EK87" s="109"/>
      <c r="EL87" s="109"/>
      <c r="EM87" s="109"/>
      <c r="EN87" s="109"/>
      <c r="EO87" s="109"/>
      <c r="EP87" s="109"/>
      <c r="EQ87" s="109"/>
      <c r="ER87" s="109"/>
      <c r="ES87" s="109"/>
      <c r="ET87" s="109"/>
      <c r="EU87" s="112"/>
      <c r="EV87" s="87"/>
      <c r="EW87" s="87"/>
      <c r="EX87" s="87"/>
      <c r="EY87" s="87"/>
      <c r="EZ87" s="87"/>
      <c r="FA87" s="87"/>
      <c r="FB87" s="87"/>
    </row>
    <row r="88" spans="1:158" ht="9" customHeight="1" thickTop="1" thickBot="1">
      <c r="A88" s="87"/>
      <c r="B88" s="117"/>
      <c r="C88" s="87"/>
      <c r="D88" s="2080"/>
      <c r="E88" s="2080"/>
      <c r="F88" s="165"/>
      <c r="G88" s="2041"/>
      <c r="H88" s="2041"/>
      <c r="I88" s="2041"/>
      <c r="J88" s="2041"/>
      <c r="K88" s="2041"/>
      <c r="L88" s="2041"/>
      <c r="M88" s="2041"/>
      <c r="N88" s="2041"/>
      <c r="O88" s="2042"/>
      <c r="P88" s="2042"/>
      <c r="Q88" s="2042"/>
      <c r="R88" s="2042"/>
      <c r="S88" s="2042"/>
      <c r="T88" s="2042"/>
      <c r="U88" s="2042"/>
      <c r="V88" s="2042"/>
      <c r="W88" s="2042"/>
      <c r="X88" s="2042"/>
      <c r="Y88" s="2042"/>
      <c r="Z88" s="2042"/>
      <c r="AA88" s="2042"/>
      <c r="AB88" s="2042"/>
      <c r="AC88" s="2042"/>
      <c r="AD88" s="2042"/>
      <c r="AE88" s="163"/>
      <c r="AF88" s="87"/>
      <c r="AG88" s="87"/>
      <c r="AH88" s="87"/>
      <c r="AI88" s="166"/>
      <c r="AJ88" s="2023"/>
      <c r="AK88" s="2023"/>
      <c r="AL88" s="2023"/>
      <c r="AM88" s="2023"/>
      <c r="AN88" s="2023"/>
      <c r="AO88" s="2023"/>
      <c r="AP88" s="2023"/>
      <c r="AQ88" s="2023"/>
      <c r="AR88" s="167"/>
      <c r="AS88" s="109"/>
      <c r="AT88" s="87"/>
      <c r="AU88" s="87"/>
      <c r="AV88" s="166"/>
      <c r="AW88" s="2020"/>
      <c r="AX88" s="2020"/>
      <c r="AY88" s="2020"/>
      <c r="AZ88" s="2020"/>
      <c r="BA88" s="2020"/>
      <c r="BB88" s="2020"/>
      <c r="BC88" s="2020"/>
      <c r="BD88" s="2020"/>
      <c r="BE88" s="167"/>
      <c r="BF88" s="87"/>
      <c r="BG88" s="87"/>
      <c r="BH88" s="87"/>
      <c r="BI88" s="87"/>
      <c r="BJ88" s="87"/>
      <c r="BK88" s="87"/>
      <c r="BL88" s="87"/>
      <c r="BM88" s="87"/>
      <c r="BN88" s="87"/>
      <c r="BO88" s="87"/>
      <c r="BP88" s="2022"/>
      <c r="BQ88" s="2022"/>
      <c r="BR88" s="87"/>
      <c r="BS88" s="87"/>
      <c r="BT88" s="87"/>
      <c r="BU88" s="87"/>
      <c r="BV88" s="87"/>
      <c r="BW88" s="87"/>
      <c r="BX88" s="162"/>
      <c r="BY88" s="2023">
        <f ca="1">BY72+BY80</f>
        <v>10</v>
      </c>
      <c r="BZ88" s="2023"/>
      <c r="CA88" s="2023"/>
      <c r="CB88" s="2023"/>
      <c r="CC88" s="2023"/>
      <c r="CD88" s="2023"/>
      <c r="CE88" s="2023"/>
      <c r="CF88" s="2023"/>
      <c r="CG88" s="2023"/>
      <c r="CH88" s="235"/>
      <c r="CI88" s="112"/>
      <c r="CJ88" s="234"/>
      <c r="CK88" s="2028"/>
      <c r="CL88" s="2028"/>
      <c r="CM88" s="2028"/>
      <c r="CN88" s="2028"/>
      <c r="CO88" s="2028"/>
      <c r="CP88" s="2028"/>
      <c r="CQ88" s="2028"/>
      <c r="CR88" s="2028"/>
      <c r="CS88" s="2028"/>
      <c r="CT88" s="2028"/>
      <c r="CU88" s="2028"/>
      <c r="CV88" s="2028"/>
      <c r="CW88" s="2028"/>
      <c r="CY88" s="154"/>
      <c r="CZ88" s="201"/>
      <c r="DA88" s="202"/>
      <c r="DB88" s="2032"/>
      <c r="DC88" s="2032"/>
      <c r="DD88" s="2032"/>
      <c r="DE88" s="2032"/>
      <c r="DF88" s="2032"/>
      <c r="DG88" s="2032"/>
      <c r="DH88" s="2032"/>
      <c r="DI88" s="2032"/>
      <c r="DJ88" s="167"/>
      <c r="DK88" s="87"/>
      <c r="DL88" s="87"/>
      <c r="DM88" s="87"/>
      <c r="DN88" s="87"/>
      <c r="DO88" s="87"/>
      <c r="DP88" s="87"/>
      <c r="DQ88" s="87"/>
      <c r="DR88" s="87"/>
      <c r="DS88" s="87"/>
      <c r="DT88" s="109"/>
      <c r="DU88" s="189"/>
      <c r="DV88" s="107"/>
      <c r="DW88" s="1258"/>
      <c r="DX88" s="1258"/>
      <c r="DY88" s="1258"/>
      <c r="DZ88" s="1258"/>
      <c r="EA88" s="1258"/>
      <c r="EB88" s="107"/>
      <c r="EC88" s="107"/>
      <c r="ED88" s="107"/>
      <c r="EE88" s="107"/>
      <c r="EF88" s="107"/>
      <c r="EG88" s="107"/>
      <c r="EH88" s="107"/>
      <c r="EI88" s="107"/>
      <c r="EJ88" s="107"/>
      <c r="EK88" s="107"/>
      <c r="EL88" s="107"/>
      <c r="EM88" s="107"/>
      <c r="EN88" s="107"/>
      <c r="EO88" s="107"/>
      <c r="EP88" s="107"/>
      <c r="EQ88" s="107"/>
      <c r="ER88" s="107"/>
      <c r="ES88" s="107"/>
      <c r="ET88" s="107"/>
      <c r="EU88" s="169"/>
      <c r="EV88" s="87"/>
      <c r="EW88" s="87"/>
      <c r="EX88" s="87"/>
      <c r="EY88" s="87"/>
      <c r="EZ88" s="87"/>
      <c r="FA88" s="87"/>
      <c r="FB88" s="87"/>
    </row>
    <row r="89" spans="1:158" ht="9" customHeight="1" thickTop="1" thickBot="1">
      <c r="A89" s="87"/>
      <c r="B89" s="117"/>
      <c r="C89" s="87"/>
      <c r="D89" s="2080"/>
      <c r="E89" s="2080"/>
      <c r="F89" s="165"/>
      <c r="G89" s="2041"/>
      <c r="H89" s="2041"/>
      <c r="I89" s="2041"/>
      <c r="J89" s="2041"/>
      <c r="K89" s="2041"/>
      <c r="L89" s="2041"/>
      <c r="M89" s="2041"/>
      <c r="N89" s="2041"/>
      <c r="O89" s="2042"/>
      <c r="P89" s="2042"/>
      <c r="Q89" s="2042"/>
      <c r="R89" s="2042"/>
      <c r="S89" s="2042"/>
      <c r="T89" s="2042"/>
      <c r="U89" s="2042"/>
      <c r="V89" s="2042"/>
      <c r="W89" s="2042"/>
      <c r="X89" s="2042"/>
      <c r="Y89" s="2042"/>
      <c r="Z89" s="2042"/>
      <c r="AA89" s="2042"/>
      <c r="AB89" s="2042"/>
      <c r="AC89" s="2042"/>
      <c r="AD89" s="2042"/>
      <c r="AE89" s="163"/>
      <c r="AF89" s="87"/>
      <c r="AG89" s="87"/>
      <c r="AH89" s="87"/>
      <c r="AI89" s="166"/>
      <c r="AJ89" s="2023"/>
      <c r="AK89" s="2023"/>
      <c r="AL89" s="2023"/>
      <c r="AM89" s="2023"/>
      <c r="AN89" s="2023"/>
      <c r="AO89" s="2023"/>
      <c r="AP89" s="2023"/>
      <c r="AQ89" s="2023"/>
      <c r="AR89" s="167"/>
      <c r="AS89" s="109"/>
      <c r="AT89" s="87"/>
      <c r="AU89" s="87"/>
      <c r="AV89" s="166"/>
      <c r="AW89" s="2020"/>
      <c r="AX89" s="2020"/>
      <c r="AY89" s="2020"/>
      <c r="AZ89" s="2020"/>
      <c r="BA89" s="2020"/>
      <c r="BB89" s="2020"/>
      <c r="BC89" s="2020"/>
      <c r="BD89" s="2020"/>
      <c r="BE89" s="167"/>
      <c r="BF89" s="87"/>
      <c r="BG89" s="87"/>
      <c r="BH89" s="87"/>
      <c r="BI89" s="87"/>
      <c r="BJ89" s="87"/>
      <c r="BK89" s="87"/>
      <c r="BL89" s="87"/>
      <c r="BM89" s="87"/>
      <c r="BN89" s="87"/>
      <c r="BO89" s="87"/>
      <c r="BP89" s="2022"/>
      <c r="BQ89" s="2022"/>
      <c r="BR89" s="87"/>
      <c r="BS89" s="87"/>
      <c r="BT89" s="87"/>
      <c r="BU89" s="87"/>
      <c r="BV89" s="87"/>
      <c r="BW89" s="87"/>
      <c r="BX89" s="162"/>
      <c r="BY89" s="2023"/>
      <c r="BZ89" s="2023"/>
      <c r="CA89" s="2023"/>
      <c r="CB89" s="2023"/>
      <c r="CC89" s="2023"/>
      <c r="CD89" s="2023"/>
      <c r="CE89" s="2023"/>
      <c r="CF89" s="2023"/>
      <c r="CG89" s="2023"/>
      <c r="CH89" s="235"/>
      <c r="CI89" s="112"/>
      <c r="CJ89" s="234"/>
      <c r="CK89" s="2028"/>
      <c r="CL89" s="2028"/>
      <c r="CM89" s="2028"/>
      <c r="CN89" s="2028"/>
      <c r="CO89" s="2028"/>
      <c r="CP89" s="2028"/>
      <c r="CQ89" s="2028"/>
      <c r="CR89" s="2028"/>
      <c r="CS89" s="2028"/>
      <c r="CT89" s="2028"/>
      <c r="CU89" s="2028"/>
      <c r="CV89" s="2028"/>
      <c r="CW89" s="2028"/>
      <c r="CY89" s="87"/>
      <c r="CZ89" s="87"/>
      <c r="DA89" s="203"/>
      <c r="DB89" s="204"/>
      <c r="DC89" s="204"/>
      <c r="DD89" s="204"/>
      <c r="DE89" s="204"/>
      <c r="DF89" s="204"/>
      <c r="DG89" s="204"/>
      <c r="DH89" s="204"/>
      <c r="DI89" s="204"/>
      <c r="DJ89" s="158"/>
      <c r="DK89" s="87"/>
      <c r="DL89" s="87"/>
      <c r="DM89" s="87"/>
      <c r="DN89" s="87"/>
      <c r="DO89" s="87"/>
      <c r="DP89" s="87"/>
      <c r="DQ89" s="87"/>
      <c r="DR89" s="87"/>
      <c r="DS89" s="87"/>
      <c r="DT89" s="109"/>
      <c r="DU89" s="183"/>
      <c r="DV89" s="236"/>
      <c r="DW89" s="1263"/>
      <c r="DX89" s="1263"/>
      <c r="DY89" s="1263"/>
      <c r="DZ89" s="1263"/>
      <c r="EA89" s="1263"/>
      <c r="EB89" s="237"/>
      <c r="EC89" s="2033" t="s">
        <v>6115</v>
      </c>
      <c r="ED89" s="2033"/>
      <c r="EE89" s="2033"/>
      <c r="EF89" s="2033"/>
      <c r="EG89" s="2033"/>
      <c r="EH89" s="2033"/>
      <c r="EI89" s="2033"/>
      <c r="EJ89" s="2033"/>
      <c r="EK89" s="2033"/>
      <c r="EL89" s="2033"/>
      <c r="EM89" s="2033"/>
      <c r="EN89" s="2033"/>
      <c r="EO89" s="2033"/>
      <c r="EP89" s="2033"/>
      <c r="EQ89" s="2033"/>
      <c r="ER89" s="2033"/>
      <c r="ES89" s="2033"/>
      <c r="ET89" s="238"/>
      <c r="EU89" s="112"/>
      <c r="EV89" s="87"/>
      <c r="EW89" s="87"/>
      <c r="EX89" s="87"/>
      <c r="EY89" s="87"/>
      <c r="EZ89" s="87"/>
      <c r="FA89" s="87"/>
      <c r="FB89" s="87"/>
    </row>
    <row r="90" spans="1:158" ht="9" customHeight="1" thickBot="1">
      <c r="A90" s="87"/>
      <c r="B90" s="117"/>
      <c r="C90" s="87"/>
      <c r="D90" s="2080"/>
      <c r="E90" s="2080"/>
      <c r="F90" s="173"/>
      <c r="G90" s="239"/>
      <c r="H90" s="239"/>
      <c r="I90" s="239"/>
      <c r="J90" s="174"/>
      <c r="K90" s="174"/>
      <c r="L90" s="174"/>
      <c r="M90" s="174"/>
      <c r="N90" s="174"/>
      <c r="O90" s="174"/>
      <c r="P90" s="174"/>
      <c r="Q90" s="174"/>
      <c r="R90" s="174"/>
      <c r="S90" s="174"/>
      <c r="T90" s="174"/>
      <c r="U90" s="174"/>
      <c r="V90" s="174"/>
      <c r="W90" s="174"/>
      <c r="X90" s="174"/>
      <c r="Y90" s="174"/>
      <c r="Z90" s="174"/>
      <c r="AA90" s="174"/>
      <c r="AB90" s="174"/>
      <c r="AC90" s="174"/>
      <c r="AD90" s="174"/>
      <c r="AE90" s="153"/>
      <c r="AF90" s="87"/>
      <c r="AG90" s="87"/>
      <c r="AH90" s="87"/>
      <c r="AI90" s="160"/>
      <c r="AJ90" s="240"/>
      <c r="AK90" s="240"/>
      <c r="AL90" s="240"/>
      <c r="AM90" s="240"/>
      <c r="AN90" s="240"/>
      <c r="AO90" s="240"/>
      <c r="AP90" s="240"/>
      <c r="AQ90" s="240"/>
      <c r="AR90" s="158"/>
      <c r="AS90" s="109"/>
      <c r="AT90" s="87"/>
      <c r="AU90" s="87"/>
      <c r="AV90" s="160"/>
      <c r="AW90" s="240"/>
      <c r="AX90" s="240"/>
      <c r="AY90" s="240"/>
      <c r="AZ90" s="240"/>
      <c r="BA90" s="240"/>
      <c r="BB90" s="240"/>
      <c r="BC90" s="240"/>
      <c r="BD90" s="240"/>
      <c r="BE90" s="158"/>
      <c r="BF90" s="87"/>
      <c r="BG90" s="87"/>
      <c r="BH90" s="87"/>
      <c r="BI90" s="87"/>
      <c r="BJ90" s="87"/>
      <c r="BK90" s="87"/>
      <c r="BL90" s="87"/>
      <c r="BM90" s="87"/>
      <c r="BN90" s="87"/>
      <c r="BO90" s="87"/>
      <c r="BP90" s="87"/>
      <c r="BQ90" s="87"/>
      <c r="BR90" s="2022"/>
      <c r="BS90" s="2022"/>
      <c r="BT90" s="2022"/>
      <c r="BU90" s="2022"/>
      <c r="BV90" s="2022"/>
      <c r="BW90" s="241"/>
      <c r="BX90" s="162"/>
      <c r="BY90" s="2023"/>
      <c r="BZ90" s="2023"/>
      <c r="CA90" s="2023"/>
      <c r="CB90" s="2023"/>
      <c r="CC90" s="2023"/>
      <c r="CD90" s="2023"/>
      <c r="CE90" s="2023"/>
      <c r="CF90" s="2023"/>
      <c r="CG90" s="2023"/>
      <c r="CH90" s="235"/>
      <c r="CI90" s="187"/>
      <c r="CJ90" s="234"/>
      <c r="CK90" s="2028"/>
      <c r="CL90" s="2028"/>
      <c r="CM90" s="2028"/>
      <c r="CN90" s="2028"/>
      <c r="CO90" s="2028"/>
      <c r="CP90" s="2028"/>
      <c r="CQ90" s="2028"/>
      <c r="CR90" s="2028"/>
      <c r="CS90" s="2028"/>
      <c r="CT90" s="2028"/>
      <c r="CU90" s="2028"/>
      <c r="CV90" s="2028"/>
      <c r="CW90" s="2028"/>
      <c r="CY90" s="87"/>
      <c r="CZ90" s="87"/>
      <c r="DA90" s="87"/>
      <c r="DB90" s="87"/>
      <c r="DC90" s="87"/>
      <c r="DD90" s="87"/>
      <c r="DE90" s="87"/>
      <c r="DF90" s="87"/>
      <c r="DG90" s="87"/>
      <c r="DH90" s="87"/>
      <c r="DI90" s="87"/>
      <c r="DJ90" s="87"/>
      <c r="DK90" s="87"/>
      <c r="DL90" s="87"/>
      <c r="DM90" s="87"/>
      <c r="DN90" s="87"/>
      <c r="DO90" s="87"/>
      <c r="DP90" s="87"/>
      <c r="DQ90" s="87"/>
      <c r="DR90" s="87"/>
      <c r="DS90" s="87"/>
      <c r="DT90" s="109"/>
      <c r="DU90" s="183"/>
      <c r="DV90" s="242"/>
      <c r="DW90" s="1903">
        <v>-10</v>
      </c>
      <c r="DX90" s="1903"/>
      <c r="DY90" s="1903"/>
      <c r="DZ90" s="1903"/>
      <c r="EA90" s="1903"/>
      <c r="EB90" s="243"/>
      <c r="EC90" s="2034"/>
      <c r="ED90" s="2034"/>
      <c r="EE90" s="2034"/>
      <c r="EF90" s="2034"/>
      <c r="EG90" s="2034"/>
      <c r="EH90" s="2034"/>
      <c r="EI90" s="2034"/>
      <c r="EJ90" s="2034"/>
      <c r="EK90" s="2034"/>
      <c r="EL90" s="2034"/>
      <c r="EM90" s="2034"/>
      <c r="EN90" s="2034"/>
      <c r="EO90" s="2034"/>
      <c r="EP90" s="2034"/>
      <c r="EQ90" s="2034"/>
      <c r="ER90" s="2034"/>
      <c r="ES90" s="2034"/>
      <c r="ET90" s="244"/>
      <c r="EU90" s="112"/>
      <c r="EV90" s="87"/>
      <c r="EW90" s="87"/>
      <c r="EX90" s="87"/>
      <c r="EY90" s="87"/>
      <c r="EZ90" s="87"/>
      <c r="FA90" s="87"/>
      <c r="FB90" s="87"/>
    </row>
    <row r="91" spans="1:158" ht="9" customHeight="1" thickTop="1" thickBot="1">
      <c r="A91" s="87"/>
      <c r="B91" s="117"/>
      <c r="C91" s="87"/>
      <c r="D91" s="2080"/>
      <c r="E91" s="2080"/>
      <c r="F91" s="147"/>
      <c r="G91" s="147"/>
      <c r="H91" s="245"/>
      <c r="I91" s="148"/>
      <c r="J91" s="246"/>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154"/>
      <c r="BY91" s="185"/>
      <c r="BZ91" s="185"/>
      <c r="CA91" s="185"/>
      <c r="CB91" s="185"/>
      <c r="CC91" s="185"/>
      <c r="CD91" s="185"/>
      <c r="CE91" s="185"/>
      <c r="CF91" s="185"/>
      <c r="CG91" s="185"/>
      <c r="CH91" s="153"/>
      <c r="CI91" s="87"/>
      <c r="CJ91" s="234"/>
      <c r="CK91" s="2028"/>
      <c r="CL91" s="2028"/>
      <c r="CM91" s="2028"/>
      <c r="CN91" s="2028"/>
      <c r="CO91" s="2028"/>
      <c r="CP91" s="2028"/>
      <c r="CQ91" s="2028"/>
      <c r="CR91" s="2028"/>
      <c r="CS91" s="2028"/>
      <c r="CT91" s="2028"/>
      <c r="CU91" s="2028"/>
      <c r="CV91" s="2028"/>
      <c r="CW91" s="2028"/>
      <c r="CY91" s="87"/>
      <c r="CZ91" s="87"/>
      <c r="DA91" s="87"/>
      <c r="DB91" s="2024" t="s">
        <v>3596</v>
      </c>
      <c r="DC91" s="2024"/>
      <c r="DD91" s="2024"/>
      <c r="DE91" s="2024"/>
      <c r="DF91" s="2024"/>
      <c r="DG91" s="2024"/>
      <c r="DH91" s="2024"/>
      <c r="DI91" s="2024"/>
      <c r="DJ91" s="2024"/>
      <c r="DK91" s="2024"/>
      <c r="DL91" s="2024"/>
      <c r="DM91" s="2024"/>
      <c r="DN91" s="2024"/>
      <c r="DO91" s="2024"/>
      <c r="DP91" s="2024"/>
      <c r="DQ91" s="2024"/>
      <c r="DR91" s="87"/>
      <c r="DS91" s="87"/>
      <c r="DT91" s="109"/>
      <c r="DU91" s="183"/>
      <c r="DV91" s="242"/>
      <c r="DW91" s="1903"/>
      <c r="DX91" s="1903"/>
      <c r="DY91" s="1903"/>
      <c r="DZ91" s="1903"/>
      <c r="EA91" s="1903"/>
      <c r="EB91" s="243"/>
      <c r="EC91" s="2034"/>
      <c r="ED91" s="2034"/>
      <c r="EE91" s="2034"/>
      <c r="EF91" s="2034"/>
      <c r="EG91" s="2034"/>
      <c r="EH91" s="2034"/>
      <c r="EI91" s="2034"/>
      <c r="EJ91" s="2034"/>
      <c r="EK91" s="2034"/>
      <c r="EL91" s="2034"/>
      <c r="EM91" s="2034"/>
      <c r="EN91" s="2034"/>
      <c r="EO91" s="2034"/>
      <c r="EP91" s="2034"/>
      <c r="EQ91" s="2034"/>
      <c r="ER91" s="2034"/>
      <c r="ES91" s="2034"/>
      <c r="ET91" s="2008"/>
      <c r="EU91" s="2009"/>
      <c r="EV91" s="2009"/>
      <c r="EW91" s="2009"/>
      <c r="EX91" s="2009"/>
      <c r="EY91" s="2014"/>
      <c r="EZ91" s="2014"/>
      <c r="FA91" s="87"/>
      <c r="FB91" s="87"/>
    </row>
    <row r="92" spans="1:158" ht="9" customHeight="1" thickTop="1" thickBot="1">
      <c r="A92" s="87"/>
      <c r="B92" s="117"/>
      <c r="C92" s="87"/>
      <c r="D92" s="2080"/>
      <c r="E92" s="2080"/>
      <c r="F92" s="147"/>
      <c r="G92" s="147"/>
      <c r="H92" s="247"/>
      <c r="I92" s="148"/>
      <c r="J92" s="248"/>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c r="CY92" s="87"/>
      <c r="CZ92" s="87"/>
      <c r="DA92" s="87"/>
      <c r="DB92" s="2024"/>
      <c r="DC92" s="2024"/>
      <c r="DD92" s="2024"/>
      <c r="DE92" s="2024"/>
      <c r="DF92" s="2024"/>
      <c r="DG92" s="2024"/>
      <c r="DH92" s="2024"/>
      <c r="DI92" s="2024"/>
      <c r="DJ92" s="2024"/>
      <c r="DK92" s="2024"/>
      <c r="DL92" s="2024"/>
      <c r="DM92" s="2024"/>
      <c r="DN92" s="2024"/>
      <c r="DO92" s="2024"/>
      <c r="DP92" s="2024"/>
      <c r="DQ92" s="2024"/>
      <c r="DR92" s="87"/>
      <c r="DS92" s="87"/>
      <c r="DT92" s="109"/>
      <c r="DU92" s="183"/>
      <c r="DV92" s="242"/>
      <c r="DW92" s="1903"/>
      <c r="DX92" s="1903"/>
      <c r="DY92" s="1903"/>
      <c r="DZ92" s="1903"/>
      <c r="EA92" s="1903"/>
      <c r="EB92" s="243"/>
      <c r="EC92" s="2034"/>
      <c r="ED92" s="2034"/>
      <c r="EE92" s="2034"/>
      <c r="EF92" s="2034"/>
      <c r="EG92" s="2034"/>
      <c r="EH92" s="2034"/>
      <c r="EI92" s="2034"/>
      <c r="EJ92" s="2034"/>
      <c r="EK92" s="2034"/>
      <c r="EL92" s="2034"/>
      <c r="EM92" s="2034"/>
      <c r="EN92" s="2034"/>
      <c r="EO92" s="2034"/>
      <c r="EP92" s="2034"/>
      <c r="EQ92" s="2034"/>
      <c r="ER92" s="2034"/>
      <c r="ES92" s="2034"/>
      <c r="ET92" s="2010"/>
      <c r="EU92" s="2011"/>
      <c r="EV92" s="2011"/>
      <c r="EW92" s="2011"/>
      <c r="EX92" s="2011"/>
      <c r="EY92" s="2015"/>
      <c r="EZ92" s="2015"/>
      <c r="FA92" s="87"/>
      <c r="FB92" s="87"/>
    </row>
    <row r="93" spans="1:158" ht="9" customHeight="1" thickTop="1" thickBot="1">
      <c r="A93" s="87"/>
      <c r="B93" s="117"/>
      <c r="C93" s="87"/>
      <c r="D93" s="87"/>
      <c r="E93" s="87"/>
      <c r="F93" s="88"/>
      <c r="G93" s="88"/>
      <c r="H93" s="249"/>
      <c r="I93" s="250"/>
      <c r="J93" s="251"/>
      <c r="K93" s="87"/>
      <c r="L93" s="87"/>
      <c r="M93" s="87"/>
      <c r="N93" s="87"/>
      <c r="O93" s="153"/>
      <c r="P93" s="1918" t="s">
        <v>3595</v>
      </c>
      <c r="Q93" s="1918"/>
      <c r="R93" s="1918"/>
      <c r="S93" s="1918"/>
      <c r="T93" s="1918"/>
      <c r="U93" s="1918"/>
      <c r="V93" s="1918"/>
      <c r="W93" s="1918"/>
      <c r="X93" s="1918"/>
      <c r="Y93" s="1918"/>
      <c r="Z93" s="1918"/>
      <c r="AA93" s="1918"/>
      <c r="AB93" s="1918"/>
      <c r="AC93" s="1918"/>
      <c r="AD93" s="1918"/>
      <c r="AE93" s="1918"/>
      <c r="AF93" s="1918"/>
      <c r="AG93" s="1918"/>
      <c r="AH93" s="1918"/>
      <c r="AI93" s="1918"/>
      <c r="AJ93" s="1918"/>
      <c r="AK93" s="1918"/>
      <c r="AL93" s="154"/>
      <c r="AM93" s="109"/>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c r="CY93" s="87"/>
      <c r="CZ93" s="87"/>
      <c r="DA93" s="158"/>
      <c r="DB93" s="159"/>
      <c r="DC93" s="159"/>
      <c r="DD93" s="159"/>
      <c r="DE93" s="159"/>
      <c r="DF93" s="159"/>
      <c r="DG93" s="159"/>
      <c r="DH93" s="159"/>
      <c r="DI93" s="159"/>
      <c r="DJ93" s="160"/>
      <c r="DK93" s="87"/>
      <c r="DL93" s="252"/>
      <c r="DM93" s="252"/>
      <c r="DN93" s="252"/>
      <c r="DO93" s="252"/>
      <c r="DP93" s="252"/>
      <c r="DQ93" s="252"/>
      <c r="DR93" s="87"/>
      <c r="DS93" s="87"/>
      <c r="DT93" s="109"/>
      <c r="DU93" s="183"/>
      <c r="DV93" s="242"/>
      <c r="DW93" s="1903"/>
      <c r="DX93" s="1903"/>
      <c r="DY93" s="1903"/>
      <c r="DZ93" s="1903"/>
      <c r="EA93" s="1903"/>
      <c r="EB93" s="243"/>
      <c r="EC93" s="2034"/>
      <c r="ED93" s="2034"/>
      <c r="EE93" s="2034"/>
      <c r="EF93" s="2034"/>
      <c r="EG93" s="2034"/>
      <c r="EH93" s="2034"/>
      <c r="EI93" s="2034"/>
      <c r="EJ93" s="2034"/>
      <c r="EK93" s="2034"/>
      <c r="EL93" s="2034"/>
      <c r="EM93" s="2034"/>
      <c r="EN93" s="2034"/>
      <c r="EO93" s="2034"/>
      <c r="EP93" s="2034"/>
      <c r="EQ93" s="2034"/>
      <c r="ER93" s="2034"/>
      <c r="ES93" s="2034"/>
      <c r="ET93" s="2012"/>
      <c r="EU93" s="2013"/>
      <c r="EV93" s="2013"/>
      <c r="EW93" s="2013"/>
      <c r="EX93" s="2013"/>
      <c r="EY93" s="2015"/>
      <c r="EZ93" s="2015"/>
      <c r="FA93" s="87"/>
      <c r="FB93" s="87"/>
    </row>
    <row r="94" spans="1:158" ht="9" customHeight="1" thickTop="1">
      <c r="A94" s="87"/>
      <c r="B94" s="117"/>
      <c r="C94" s="117"/>
      <c r="D94" s="117"/>
      <c r="E94" s="117"/>
      <c r="F94" s="146"/>
      <c r="G94" s="146"/>
      <c r="H94" s="249"/>
      <c r="I94" s="250"/>
      <c r="J94" s="251"/>
      <c r="K94" s="87"/>
      <c r="L94" s="87"/>
      <c r="M94" s="87"/>
      <c r="N94" s="87"/>
      <c r="O94" s="162"/>
      <c r="P94" s="1919"/>
      <c r="Q94" s="1919"/>
      <c r="R94" s="1919"/>
      <c r="S94" s="1919"/>
      <c r="T94" s="1919"/>
      <c r="U94" s="1919"/>
      <c r="V94" s="1919"/>
      <c r="W94" s="1919"/>
      <c r="X94" s="1919"/>
      <c r="Y94" s="1919"/>
      <c r="Z94" s="1919"/>
      <c r="AA94" s="1919"/>
      <c r="AB94" s="1919"/>
      <c r="AC94" s="1919"/>
      <c r="AD94" s="1919"/>
      <c r="AE94" s="1919"/>
      <c r="AF94" s="1919"/>
      <c r="AG94" s="1919"/>
      <c r="AH94" s="1919"/>
      <c r="AI94" s="1919"/>
      <c r="AJ94" s="1919"/>
      <c r="AK94" s="1919"/>
      <c r="AL94" s="163"/>
      <c r="AM94" s="109"/>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c r="CY94" s="153"/>
      <c r="CZ94" s="190"/>
      <c r="DA94" s="191"/>
      <c r="DB94" s="2021">
        <f>ForcePoints</f>
        <v>0</v>
      </c>
      <c r="DC94" s="2021"/>
      <c r="DD94" s="2021"/>
      <c r="DE94" s="2021"/>
      <c r="DF94" s="2021"/>
      <c r="DG94" s="2021"/>
      <c r="DH94" s="2021"/>
      <c r="DI94" s="2021"/>
      <c r="DJ94" s="167"/>
      <c r="DK94" s="87"/>
      <c r="DL94" s="252"/>
      <c r="DM94" s="252"/>
      <c r="DN94" s="252"/>
      <c r="DO94" s="252"/>
      <c r="DP94" s="252"/>
      <c r="DQ94" s="252"/>
      <c r="DR94" s="87"/>
      <c r="DS94" s="87"/>
      <c r="DT94" s="109"/>
      <c r="DU94" s="183"/>
      <c r="DV94" s="242"/>
      <c r="DW94" s="243"/>
      <c r="DX94" s="243"/>
      <c r="DY94" s="243"/>
      <c r="DZ94" s="243"/>
      <c r="EA94" s="243"/>
      <c r="EB94" s="243"/>
      <c r="EC94" s="2034"/>
      <c r="ED94" s="2034"/>
      <c r="EE94" s="2034"/>
      <c r="EF94" s="2034"/>
      <c r="EG94" s="2034"/>
      <c r="EH94" s="2034"/>
      <c r="EI94" s="2034"/>
      <c r="EJ94" s="2034"/>
      <c r="EK94" s="2034"/>
      <c r="EL94" s="2034"/>
      <c r="EM94" s="2034"/>
      <c r="EN94" s="2034"/>
      <c r="EO94" s="2034"/>
      <c r="EP94" s="2034"/>
      <c r="EQ94" s="2034"/>
      <c r="ER94" s="2034"/>
      <c r="ES94" s="2034"/>
      <c r="ET94" s="244"/>
      <c r="EU94" s="112"/>
      <c r="EV94" s="87"/>
      <c r="EW94" s="87"/>
      <c r="EX94" s="87"/>
      <c r="EY94" s="87"/>
      <c r="EZ94" s="87"/>
      <c r="FA94" s="87"/>
      <c r="FB94" s="87"/>
    </row>
    <row r="95" spans="1:158" ht="9" customHeight="1" thickBot="1">
      <c r="A95" s="87"/>
      <c r="B95" s="87"/>
      <c r="C95" s="145"/>
      <c r="D95" s="145"/>
      <c r="E95" s="145"/>
      <c r="F95" s="88"/>
      <c r="G95" s="146"/>
      <c r="H95" s="249"/>
      <c r="I95" s="250"/>
      <c r="J95" s="251"/>
      <c r="K95" s="87"/>
      <c r="L95" s="87"/>
      <c r="M95" s="87"/>
      <c r="N95" s="87"/>
      <c r="O95" s="162"/>
      <c r="P95" s="1919"/>
      <c r="Q95" s="1919"/>
      <c r="R95" s="1919"/>
      <c r="S95" s="1919"/>
      <c r="T95" s="1919"/>
      <c r="U95" s="1919"/>
      <c r="V95" s="1919"/>
      <c r="W95" s="1919"/>
      <c r="X95" s="1919"/>
      <c r="Y95" s="1919"/>
      <c r="Z95" s="1919"/>
      <c r="AA95" s="1919"/>
      <c r="AB95" s="1919"/>
      <c r="AC95" s="1919"/>
      <c r="AD95" s="1919"/>
      <c r="AE95" s="1919"/>
      <c r="AF95" s="1919"/>
      <c r="AG95" s="1919"/>
      <c r="AH95" s="1919"/>
      <c r="AI95" s="1919"/>
      <c r="AJ95" s="1919"/>
      <c r="AK95" s="1919"/>
      <c r="AL95" s="163"/>
      <c r="AM95" s="109"/>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c r="CY95" s="196"/>
      <c r="CZ95" s="109"/>
      <c r="DA95" s="197"/>
      <c r="DB95" s="2021"/>
      <c r="DC95" s="2021"/>
      <c r="DD95" s="2021"/>
      <c r="DE95" s="2021"/>
      <c r="DF95" s="2021"/>
      <c r="DG95" s="2021"/>
      <c r="DH95" s="2021"/>
      <c r="DI95" s="2021"/>
      <c r="DJ95" s="167"/>
      <c r="DK95" s="87"/>
      <c r="DL95" s="252"/>
      <c r="DM95" s="252"/>
      <c r="DN95" s="252"/>
      <c r="DO95" s="252"/>
      <c r="DP95" s="252"/>
      <c r="DQ95" s="252"/>
      <c r="DR95" s="252"/>
      <c r="DS95" s="87"/>
      <c r="DT95" s="109"/>
      <c r="DU95" s="183"/>
      <c r="DV95" s="253"/>
      <c r="DW95" s="254"/>
      <c r="DX95" s="254"/>
      <c r="DY95" s="254"/>
      <c r="DZ95" s="254"/>
      <c r="EA95" s="254"/>
      <c r="EB95" s="254"/>
      <c r="EC95" s="2035"/>
      <c r="ED95" s="2035"/>
      <c r="EE95" s="2035"/>
      <c r="EF95" s="2035"/>
      <c r="EG95" s="2035"/>
      <c r="EH95" s="2035"/>
      <c r="EI95" s="2035"/>
      <c r="EJ95" s="2035"/>
      <c r="EK95" s="2035"/>
      <c r="EL95" s="2035"/>
      <c r="EM95" s="2035"/>
      <c r="EN95" s="2035"/>
      <c r="EO95" s="2035"/>
      <c r="EP95" s="2035"/>
      <c r="EQ95" s="2035"/>
      <c r="ER95" s="2035"/>
      <c r="ES95" s="2035"/>
      <c r="ET95" s="255"/>
      <c r="EU95" s="112"/>
      <c r="EV95" s="87"/>
      <c r="EW95" s="87"/>
      <c r="EX95" s="87"/>
      <c r="EY95" s="87"/>
      <c r="EZ95" s="87"/>
      <c r="FA95" s="87"/>
      <c r="FB95" s="87"/>
    </row>
    <row r="96" spans="1:158" ht="9" customHeight="1" thickTop="1" thickBot="1">
      <c r="A96" s="87"/>
      <c r="B96" s="112"/>
      <c r="C96" s="87"/>
      <c r="D96" s="87"/>
      <c r="E96" s="169"/>
      <c r="F96" s="88"/>
      <c r="G96" s="146"/>
      <c r="H96" s="249"/>
      <c r="I96" s="250"/>
      <c r="J96" s="251"/>
      <c r="K96" s="87"/>
      <c r="L96" s="87"/>
      <c r="M96" s="87"/>
      <c r="N96" s="87"/>
      <c r="O96" s="154"/>
      <c r="P96" s="1920"/>
      <c r="Q96" s="1920"/>
      <c r="R96" s="1920"/>
      <c r="S96" s="1920"/>
      <c r="T96" s="1920"/>
      <c r="U96" s="1920"/>
      <c r="V96" s="1920"/>
      <c r="W96" s="1920"/>
      <c r="X96" s="1920"/>
      <c r="Y96" s="1920"/>
      <c r="Z96" s="1920"/>
      <c r="AA96" s="1920"/>
      <c r="AB96" s="1920"/>
      <c r="AC96" s="1920"/>
      <c r="AD96" s="1920"/>
      <c r="AE96" s="1920"/>
      <c r="AF96" s="1920"/>
      <c r="AG96" s="1920"/>
      <c r="AH96" s="1920"/>
      <c r="AI96" s="1920"/>
      <c r="AJ96" s="1920"/>
      <c r="AK96" s="1920"/>
      <c r="AL96" s="153"/>
      <c r="AM96" s="109"/>
      <c r="AN96" s="87"/>
      <c r="AO96" s="87"/>
      <c r="AP96" s="87"/>
      <c r="AQ96" s="87"/>
      <c r="AR96" s="87"/>
      <c r="AS96" s="87"/>
      <c r="AT96" s="87"/>
      <c r="AU96" s="87"/>
      <c r="AV96" s="87"/>
      <c r="AW96" s="2025" t="s">
        <v>3597</v>
      </c>
      <c r="AX96" s="2025"/>
      <c r="AY96" s="2025"/>
      <c r="AZ96" s="2025"/>
      <c r="BA96" s="2025"/>
      <c r="BB96" s="2025"/>
      <c r="BC96" s="2025"/>
      <c r="BD96" s="2025"/>
      <c r="BE96" s="2025"/>
      <c r="BF96" s="2025"/>
      <c r="BG96" s="1231"/>
      <c r="BH96" s="1231"/>
      <c r="BI96" s="1231"/>
      <c r="BJ96" s="2025" t="s">
        <v>3568</v>
      </c>
      <c r="BK96" s="2025"/>
      <c r="BL96" s="2025"/>
      <c r="BM96" s="2025"/>
      <c r="BN96" s="2025"/>
      <c r="BO96" s="2025"/>
      <c r="BP96" s="2025"/>
      <c r="BQ96" s="2025"/>
      <c r="BR96" s="2025"/>
      <c r="BS96" s="2025"/>
      <c r="BT96" s="1231"/>
      <c r="BU96" s="1231"/>
      <c r="BV96" s="1231"/>
      <c r="BW96" s="2025" t="s">
        <v>3598</v>
      </c>
      <c r="BX96" s="2025"/>
      <c r="BY96" s="2025"/>
      <c r="BZ96" s="2025"/>
      <c r="CA96" s="2025"/>
      <c r="CB96" s="2025"/>
      <c r="CC96" s="2025"/>
      <c r="CD96" s="2025"/>
      <c r="CE96" s="2025"/>
      <c r="CF96" s="2025"/>
      <c r="CG96" s="1231"/>
      <c r="CH96" s="1231"/>
      <c r="CI96" s="1231"/>
      <c r="CJ96" s="1231"/>
      <c r="CK96" s="1231"/>
      <c r="CL96" s="1231"/>
      <c r="CM96" s="1231"/>
      <c r="CN96" s="1231"/>
      <c r="CO96" s="1231"/>
      <c r="CP96" s="1231"/>
      <c r="CQ96" s="1231"/>
      <c r="CR96" s="1231"/>
      <c r="CS96" s="1231"/>
      <c r="CT96" s="87"/>
      <c r="CU96" s="87"/>
      <c r="CV96" s="87"/>
      <c r="CW96" s="87"/>
      <c r="CY96" s="154"/>
      <c r="CZ96" s="201"/>
      <c r="DA96" s="202"/>
      <c r="DB96" s="2021"/>
      <c r="DC96" s="2021"/>
      <c r="DD96" s="2021"/>
      <c r="DE96" s="2021"/>
      <c r="DF96" s="2021"/>
      <c r="DG96" s="2021"/>
      <c r="DH96" s="2021"/>
      <c r="DI96" s="2021"/>
      <c r="DJ96" s="167"/>
      <c r="DK96" s="87"/>
      <c r="DL96" s="252"/>
      <c r="DM96" s="252"/>
      <c r="DN96" s="252"/>
      <c r="DO96" s="252"/>
      <c r="DP96" s="252"/>
      <c r="DQ96" s="252"/>
      <c r="DR96" s="252"/>
      <c r="DS96" s="87"/>
      <c r="DT96" s="87"/>
      <c r="DU96" s="186"/>
      <c r="DV96" s="145"/>
      <c r="DW96" s="145"/>
      <c r="DX96" s="145"/>
      <c r="DY96" s="145"/>
      <c r="DZ96" s="145"/>
      <c r="EA96" s="145"/>
      <c r="EB96" s="145"/>
      <c r="EC96" s="145"/>
      <c r="ED96" s="145"/>
      <c r="EE96" s="145"/>
      <c r="EF96" s="145"/>
      <c r="EG96" s="145"/>
      <c r="EH96" s="145"/>
      <c r="EI96" s="145"/>
      <c r="EJ96" s="145"/>
      <c r="EK96" s="145"/>
      <c r="EL96" s="145"/>
      <c r="EM96" s="145"/>
      <c r="EN96" s="145"/>
      <c r="EO96" s="145"/>
      <c r="EP96" s="145"/>
      <c r="EQ96" s="145"/>
      <c r="ER96" s="145"/>
      <c r="ES96" s="145"/>
      <c r="ET96" s="145"/>
      <c r="EU96" s="187"/>
      <c r="EV96" s="87"/>
      <c r="EW96" s="87"/>
      <c r="EX96" s="87"/>
      <c r="EY96" s="87"/>
      <c r="EZ96" s="87"/>
      <c r="FA96" s="87"/>
      <c r="FB96" s="87"/>
    </row>
    <row r="97" spans="1:158" ht="9" customHeight="1" thickTop="1" thickBot="1">
      <c r="A97" s="87"/>
      <c r="B97" s="87"/>
      <c r="C97" s="256"/>
      <c r="D97" s="87"/>
      <c r="E97" s="112"/>
      <c r="F97" s="88"/>
      <c r="G97" s="146"/>
      <c r="H97" s="249"/>
      <c r="I97" s="250"/>
      <c r="J97" s="251"/>
      <c r="K97" s="87"/>
      <c r="L97" s="87"/>
      <c r="M97" s="87"/>
      <c r="N97" s="87"/>
      <c r="O97" s="87"/>
      <c r="P97" s="87"/>
      <c r="Q97" s="87"/>
      <c r="R97" s="87"/>
      <c r="S97" s="87"/>
      <c r="T97" s="87"/>
      <c r="U97" s="87"/>
      <c r="V97" s="87"/>
      <c r="W97" s="87"/>
      <c r="X97" s="87"/>
      <c r="Y97" s="87"/>
      <c r="Z97" s="87"/>
      <c r="AA97" s="87"/>
      <c r="AB97" s="87"/>
      <c r="AC97" s="2026" t="s">
        <v>3582</v>
      </c>
      <c r="AD97" s="2026"/>
      <c r="AE97" s="2026"/>
      <c r="AF97" s="2026"/>
      <c r="AG97" s="2026"/>
      <c r="AH97" s="2026"/>
      <c r="AI97" s="2026"/>
      <c r="AJ97" s="2026"/>
      <c r="AK97" s="2026"/>
      <c r="AL97" s="2026"/>
      <c r="AM97" s="87"/>
      <c r="AN97" s="87"/>
      <c r="AO97" s="87"/>
      <c r="AP97" s="87"/>
      <c r="AQ97" s="87"/>
      <c r="AR97" s="87"/>
      <c r="AS97" s="87"/>
      <c r="AT97" s="87"/>
      <c r="AU97" s="87"/>
      <c r="AV97" s="87"/>
      <c r="AW97" s="2025"/>
      <c r="AX97" s="2025"/>
      <c r="AY97" s="2025"/>
      <c r="AZ97" s="2025"/>
      <c r="BA97" s="2025"/>
      <c r="BB97" s="2025"/>
      <c r="BC97" s="2025"/>
      <c r="BD97" s="2025"/>
      <c r="BE97" s="2025"/>
      <c r="BF97" s="2025"/>
      <c r="BG97" s="1231"/>
      <c r="BH97" s="1231"/>
      <c r="BI97" s="1231"/>
      <c r="BJ97" s="2025"/>
      <c r="BK97" s="2025"/>
      <c r="BL97" s="2025"/>
      <c r="BM97" s="2025"/>
      <c r="BN97" s="2025"/>
      <c r="BO97" s="2025"/>
      <c r="BP97" s="2025"/>
      <c r="BQ97" s="2025"/>
      <c r="BR97" s="2025"/>
      <c r="BS97" s="2025"/>
      <c r="BT97" s="1231"/>
      <c r="BU97" s="1231"/>
      <c r="BV97" s="1231"/>
      <c r="BW97" s="2025"/>
      <c r="BX97" s="2025"/>
      <c r="BY97" s="2025"/>
      <c r="BZ97" s="2025"/>
      <c r="CA97" s="2025"/>
      <c r="CB97" s="2025"/>
      <c r="CC97" s="2025"/>
      <c r="CD97" s="2025"/>
      <c r="CE97" s="2025"/>
      <c r="CF97" s="2025"/>
      <c r="CG97" s="1231"/>
      <c r="CH97" s="1231"/>
      <c r="CI97" s="1231"/>
      <c r="CJ97" s="1231"/>
      <c r="CK97" s="1231"/>
      <c r="CL97" s="1231"/>
      <c r="CM97" s="1231"/>
      <c r="CN97" s="1231"/>
      <c r="CO97" s="1231"/>
      <c r="CP97" s="1231"/>
      <c r="CQ97" s="1231"/>
      <c r="CR97" s="1231"/>
      <c r="CS97" s="1231"/>
      <c r="CT97" s="87"/>
      <c r="CU97" s="87"/>
      <c r="CV97" s="87"/>
      <c r="CW97" s="87"/>
      <c r="CY97" s="87"/>
      <c r="CZ97" s="87"/>
      <c r="DA97" s="203"/>
      <c r="DB97" s="204"/>
      <c r="DC97" s="204"/>
      <c r="DD97" s="204"/>
      <c r="DE97" s="204"/>
      <c r="DF97" s="204"/>
      <c r="DG97" s="204"/>
      <c r="DH97" s="204"/>
      <c r="DI97" s="204"/>
      <c r="DJ97" s="158"/>
      <c r="DK97" s="87"/>
      <c r="DL97" s="252"/>
      <c r="DM97" s="252"/>
      <c r="DN97" s="252"/>
      <c r="DO97" s="252"/>
      <c r="DP97" s="252"/>
      <c r="DQ97" s="252"/>
      <c r="DR97" s="252"/>
      <c r="DS97" s="87"/>
      <c r="DT97" s="112"/>
      <c r="DU97" s="87"/>
      <c r="DV97" s="257"/>
      <c r="DW97" s="257"/>
      <c r="DX97" s="257"/>
      <c r="DY97" s="257"/>
      <c r="DZ97" s="257"/>
      <c r="EA97" s="257"/>
      <c r="EB97" s="257"/>
      <c r="EC97" s="257"/>
      <c r="ED97" s="257"/>
      <c r="EE97" s="257"/>
      <c r="EF97" s="257"/>
      <c r="EG97" s="257"/>
      <c r="EH97" s="257"/>
      <c r="EI97" s="257"/>
      <c r="EJ97" s="257"/>
      <c r="EK97" s="257"/>
      <c r="EL97" s="257"/>
      <c r="EM97" s="257"/>
      <c r="EN97" s="257"/>
      <c r="EO97" s="257"/>
      <c r="EP97" s="257"/>
      <c r="EQ97" s="257"/>
      <c r="ER97" s="257"/>
      <c r="ES97" s="257"/>
      <c r="ET97" s="257"/>
      <c r="EU97" s="87"/>
      <c r="EV97" s="183"/>
      <c r="EW97" s="87"/>
      <c r="EX97" s="87"/>
      <c r="EY97" s="87"/>
      <c r="EZ97" s="87"/>
      <c r="FA97" s="87"/>
      <c r="FB97" s="87"/>
    </row>
    <row r="98" spans="1:158" ht="9" customHeight="1" thickTop="1">
      <c r="A98" s="87"/>
      <c r="B98" s="112"/>
      <c r="C98" s="256"/>
      <c r="D98" s="256"/>
      <c r="E98" s="112"/>
      <c r="F98" s="88"/>
      <c r="G98" s="146"/>
      <c r="H98" s="249"/>
      <c r="I98" s="250"/>
      <c r="J98" s="251"/>
      <c r="K98" s="87"/>
      <c r="L98" s="87"/>
      <c r="M98" s="87"/>
      <c r="N98" s="87"/>
      <c r="O98" s="87"/>
      <c r="P98" s="87"/>
      <c r="Q98" s="87"/>
      <c r="R98" s="87"/>
      <c r="S98" s="87"/>
      <c r="T98" s="87"/>
      <c r="U98" s="87"/>
      <c r="V98" s="87"/>
      <c r="W98" s="87"/>
      <c r="X98" s="87"/>
      <c r="Y98" s="87"/>
      <c r="Z98" s="87"/>
      <c r="AA98" s="87"/>
      <c r="AB98" s="87"/>
      <c r="AC98" s="2026"/>
      <c r="AD98" s="2026"/>
      <c r="AE98" s="2026"/>
      <c r="AF98" s="2026"/>
      <c r="AG98" s="2026"/>
      <c r="AH98" s="2026"/>
      <c r="AI98" s="2026"/>
      <c r="AJ98" s="2026"/>
      <c r="AK98" s="2026"/>
      <c r="AL98" s="2026"/>
      <c r="AM98" s="87"/>
      <c r="AN98" s="87"/>
      <c r="AO98" s="87"/>
      <c r="AP98" s="87"/>
      <c r="AQ98" s="87"/>
      <c r="AR98" s="87"/>
      <c r="AS98" s="87"/>
      <c r="AT98" s="87"/>
      <c r="AU98" s="87"/>
      <c r="AV98" s="87"/>
      <c r="AW98" s="2027" t="s">
        <v>3599</v>
      </c>
      <c r="AX98" s="2027"/>
      <c r="AY98" s="2027"/>
      <c r="AZ98" s="2027"/>
      <c r="BA98" s="2027"/>
      <c r="BB98" s="2027"/>
      <c r="BC98" s="2027"/>
      <c r="BD98" s="2027"/>
      <c r="BE98" s="2027"/>
      <c r="BF98" s="2027"/>
      <c r="BG98" s="1231"/>
      <c r="BH98" s="1231"/>
      <c r="BI98" s="1231"/>
      <c r="BJ98" s="2027" t="s">
        <v>3600</v>
      </c>
      <c r="BK98" s="2027"/>
      <c r="BL98" s="2027"/>
      <c r="BM98" s="2027"/>
      <c r="BN98" s="2027"/>
      <c r="BO98" s="2027"/>
      <c r="BP98" s="2027"/>
      <c r="BQ98" s="2027"/>
      <c r="BR98" s="2027"/>
      <c r="BS98" s="2027"/>
      <c r="BT98" s="1231"/>
      <c r="BU98" s="1231"/>
      <c r="BV98" s="1231"/>
      <c r="BW98" s="2027" t="s">
        <v>3601</v>
      </c>
      <c r="BX98" s="2027"/>
      <c r="BY98" s="2027"/>
      <c r="BZ98" s="2027"/>
      <c r="CA98" s="2027"/>
      <c r="CB98" s="2027"/>
      <c r="CC98" s="2027"/>
      <c r="CD98" s="2027"/>
      <c r="CE98" s="2027"/>
      <c r="CF98" s="2027"/>
      <c r="CG98" s="1231"/>
      <c r="CH98" s="1231"/>
      <c r="CI98" s="1231"/>
      <c r="CJ98" s="2027" t="s">
        <v>3602</v>
      </c>
      <c r="CK98" s="2027"/>
      <c r="CL98" s="2027"/>
      <c r="CM98" s="2027"/>
      <c r="CN98" s="2027"/>
      <c r="CO98" s="2027"/>
      <c r="CP98" s="2027"/>
      <c r="CQ98" s="2027"/>
      <c r="CR98" s="2027"/>
      <c r="CS98" s="2027"/>
      <c r="CT98" s="87"/>
      <c r="CU98" s="87"/>
      <c r="CV98" s="87"/>
      <c r="CW98" s="87"/>
      <c r="CY98" s="87"/>
      <c r="CZ98" s="87"/>
      <c r="DA98" s="87"/>
      <c r="DB98" s="87"/>
      <c r="DC98" s="87"/>
      <c r="DD98" s="87"/>
      <c r="DE98" s="87"/>
      <c r="DF98" s="87"/>
      <c r="DG98" s="87"/>
      <c r="DH98" s="87"/>
      <c r="DI98" s="87"/>
      <c r="DJ98" s="87"/>
      <c r="DK98" s="87"/>
      <c r="DL98" s="87"/>
      <c r="DM98" s="87"/>
      <c r="DN98" s="87"/>
      <c r="DO98" s="87"/>
      <c r="DP98" s="87"/>
      <c r="DQ98" s="87"/>
      <c r="DR98" s="252"/>
      <c r="DS98" s="87"/>
      <c r="DT98" s="112"/>
      <c r="DU98" s="109"/>
      <c r="DV98" s="2004" t="s">
        <v>3603</v>
      </c>
      <c r="DW98" s="2005"/>
      <c r="DX98" s="2005"/>
      <c r="DY98" s="2005"/>
      <c r="DZ98" s="2005"/>
      <c r="EA98" s="2005"/>
      <c r="EB98" s="2005"/>
      <c r="EC98" s="2005"/>
      <c r="ED98" s="2005"/>
      <c r="EE98" s="2005"/>
      <c r="EF98" s="2005"/>
      <c r="EG98" s="2005"/>
      <c r="EH98" s="2005"/>
      <c r="EI98" s="258"/>
      <c r="EJ98" s="258"/>
      <c r="EK98" s="258"/>
      <c r="EL98" s="258"/>
      <c r="EM98" s="258"/>
      <c r="EN98" s="258"/>
      <c r="EO98" s="258"/>
      <c r="EP98" s="258"/>
      <c r="EQ98" s="258"/>
      <c r="ER98" s="258"/>
      <c r="ES98" s="258"/>
      <c r="ET98" s="238"/>
      <c r="EU98" s="178"/>
      <c r="EV98" s="183"/>
      <c r="EW98" s="87"/>
      <c r="EX98" s="87"/>
      <c r="EY98" s="87"/>
      <c r="EZ98" s="87"/>
      <c r="FA98" s="87"/>
      <c r="FB98" s="87"/>
    </row>
    <row r="99" spans="1:158" ht="9" customHeight="1" thickBot="1">
      <c r="A99" s="87"/>
      <c r="B99" s="112"/>
      <c r="C99" s="87"/>
      <c r="D99" s="256"/>
      <c r="E99" s="259"/>
      <c r="F99" s="88"/>
      <c r="G99" s="146"/>
      <c r="H99" s="249"/>
      <c r="I99" s="250"/>
      <c r="J99" s="251"/>
      <c r="K99" s="87"/>
      <c r="L99" s="87"/>
      <c r="M99" s="87"/>
      <c r="N99" s="87"/>
      <c r="O99" s="87"/>
      <c r="P99" s="87"/>
      <c r="Q99" s="87"/>
      <c r="R99" s="87"/>
      <c r="S99" s="87"/>
      <c r="T99" s="87"/>
      <c r="U99" s="87"/>
      <c r="V99" s="87"/>
      <c r="W99" s="87"/>
      <c r="X99" s="87"/>
      <c r="Y99" s="87"/>
      <c r="Z99" s="87"/>
      <c r="AA99" s="87"/>
      <c r="AB99" s="87"/>
      <c r="AC99" s="2026"/>
      <c r="AD99" s="2026"/>
      <c r="AE99" s="2026"/>
      <c r="AF99" s="2026"/>
      <c r="AG99" s="2026"/>
      <c r="AH99" s="2026"/>
      <c r="AI99" s="2026"/>
      <c r="AJ99" s="2026"/>
      <c r="AK99" s="2026"/>
      <c r="AL99" s="2026"/>
      <c r="AM99" s="87"/>
      <c r="AN99" s="87"/>
      <c r="AO99" s="87"/>
      <c r="AP99" s="87"/>
      <c r="AQ99" s="87"/>
      <c r="AR99" s="87"/>
      <c r="AS99" s="87"/>
      <c r="AT99" s="87"/>
      <c r="AU99" s="87"/>
      <c r="AV99" s="87"/>
      <c r="AW99" s="2027"/>
      <c r="AX99" s="2027"/>
      <c r="AY99" s="2027"/>
      <c r="AZ99" s="2027"/>
      <c r="BA99" s="2027"/>
      <c r="BB99" s="2027"/>
      <c r="BC99" s="2027"/>
      <c r="BD99" s="2027"/>
      <c r="BE99" s="2027"/>
      <c r="BF99" s="2027"/>
      <c r="BG99" s="1231"/>
      <c r="BH99" s="1231"/>
      <c r="BI99" s="1231"/>
      <c r="BJ99" s="2027"/>
      <c r="BK99" s="2027"/>
      <c r="BL99" s="2027"/>
      <c r="BM99" s="2027"/>
      <c r="BN99" s="2027"/>
      <c r="BO99" s="2027"/>
      <c r="BP99" s="2027"/>
      <c r="BQ99" s="2027"/>
      <c r="BR99" s="2027"/>
      <c r="BS99" s="2027"/>
      <c r="BT99" s="1231"/>
      <c r="BU99" s="1231"/>
      <c r="BV99" s="1231"/>
      <c r="BW99" s="2027"/>
      <c r="BX99" s="2027"/>
      <c r="BY99" s="2027"/>
      <c r="BZ99" s="2027"/>
      <c r="CA99" s="2027"/>
      <c r="CB99" s="2027"/>
      <c r="CC99" s="2027"/>
      <c r="CD99" s="2027"/>
      <c r="CE99" s="2027"/>
      <c r="CF99" s="2027"/>
      <c r="CG99" s="1231"/>
      <c r="CH99" s="1231"/>
      <c r="CI99" s="1231"/>
      <c r="CJ99" s="2027"/>
      <c r="CK99" s="2027"/>
      <c r="CL99" s="2027"/>
      <c r="CM99" s="2027"/>
      <c r="CN99" s="2027"/>
      <c r="CO99" s="2027"/>
      <c r="CP99" s="2027"/>
      <c r="CQ99" s="2027"/>
      <c r="CR99" s="2027"/>
      <c r="CS99" s="2027"/>
      <c r="CT99" s="87"/>
      <c r="CU99" s="87"/>
      <c r="CV99" s="87"/>
      <c r="CW99" s="87"/>
      <c r="CY99" s="87"/>
      <c r="CZ99" s="87"/>
      <c r="DA99" s="87"/>
      <c r="DB99" s="2024" t="s">
        <v>3607</v>
      </c>
      <c r="DC99" s="2024"/>
      <c r="DD99" s="2024"/>
      <c r="DE99" s="2024"/>
      <c r="DF99" s="2024"/>
      <c r="DG99" s="2024"/>
      <c r="DH99" s="2024"/>
      <c r="DI99" s="2024"/>
      <c r="DJ99" s="2024"/>
      <c r="DK99" s="2024"/>
      <c r="DL99" s="2024"/>
      <c r="DM99" s="2024"/>
      <c r="DN99" s="2024"/>
      <c r="DO99" s="2024"/>
      <c r="DP99" s="2024"/>
      <c r="DQ99" s="2024"/>
      <c r="DR99" s="2024"/>
      <c r="DS99" s="2024"/>
      <c r="DT99" s="112"/>
      <c r="DU99" s="109"/>
      <c r="DV99" s="2006"/>
      <c r="DW99" s="2007"/>
      <c r="DX99" s="2007"/>
      <c r="DY99" s="2007"/>
      <c r="DZ99" s="2007"/>
      <c r="EA99" s="2007"/>
      <c r="EB99" s="2007"/>
      <c r="EC99" s="2007"/>
      <c r="ED99" s="2007"/>
      <c r="EE99" s="2007"/>
      <c r="EF99" s="2007"/>
      <c r="EG99" s="2007"/>
      <c r="EH99" s="2007"/>
      <c r="EI99" s="260"/>
      <c r="EJ99" s="260"/>
      <c r="EK99" s="260"/>
      <c r="EL99" s="260"/>
      <c r="EM99" s="260"/>
      <c r="EN99" s="260"/>
      <c r="EO99" s="260"/>
      <c r="EP99" s="260"/>
      <c r="EQ99" s="260"/>
      <c r="ER99" s="260"/>
      <c r="ES99" s="260"/>
      <c r="ET99" s="244"/>
      <c r="EU99" s="261"/>
      <c r="EV99" s="262"/>
      <c r="EW99" s="87"/>
      <c r="EX99" s="87"/>
      <c r="EY99" s="87"/>
      <c r="EZ99" s="87"/>
      <c r="FA99" s="87"/>
      <c r="FB99" s="87"/>
    </row>
    <row r="100" spans="1:158" ht="9" customHeight="1" thickTop="1" thickBot="1">
      <c r="A100" s="87"/>
      <c r="B100" s="112"/>
      <c r="C100" s="87"/>
      <c r="D100" s="87"/>
      <c r="E100" s="256"/>
      <c r="F100" s="88"/>
      <c r="G100" s="146"/>
      <c r="H100" s="249"/>
      <c r="I100" s="250"/>
      <c r="J100" s="251"/>
      <c r="K100" s="87"/>
      <c r="L100" s="87"/>
      <c r="M100" s="87"/>
      <c r="N100" s="87"/>
      <c r="O100" s="153"/>
      <c r="P100" s="176"/>
      <c r="Q100" s="176"/>
      <c r="R100" s="176"/>
      <c r="S100" s="176"/>
      <c r="T100" s="176"/>
      <c r="U100" s="176"/>
      <c r="V100" s="176"/>
      <c r="W100" s="176"/>
      <c r="X100" s="176"/>
      <c r="Y100" s="154"/>
      <c r="Z100" s="87"/>
      <c r="AA100" s="87"/>
      <c r="AB100" s="87"/>
      <c r="AC100" s="158"/>
      <c r="AD100" s="159"/>
      <c r="AE100" s="159"/>
      <c r="AF100" s="159"/>
      <c r="AG100" s="159"/>
      <c r="AH100" s="159"/>
      <c r="AI100" s="159"/>
      <c r="AJ100" s="159"/>
      <c r="AK100" s="159"/>
      <c r="AL100" s="160"/>
      <c r="AM100" s="109"/>
      <c r="AN100" s="87"/>
      <c r="AO100" s="87"/>
      <c r="AP100" s="87"/>
      <c r="AQ100" s="87"/>
      <c r="AR100" s="87"/>
      <c r="AS100" s="87"/>
      <c r="AT100" s="87"/>
      <c r="AU100" s="87"/>
      <c r="AV100" s="87"/>
      <c r="AW100" s="158" t="e">
        <f>HeroicLvl+ArmourFort</f>
        <v>#NAME?</v>
      </c>
      <c r="AX100" s="159"/>
      <c r="AY100" s="159"/>
      <c r="AZ100" s="159"/>
      <c r="BA100" s="159"/>
      <c r="BB100" s="159"/>
      <c r="BC100" s="159"/>
      <c r="BD100" s="159"/>
      <c r="BE100" s="159"/>
      <c r="BF100" s="160"/>
      <c r="BG100" s="87"/>
      <c r="BH100" s="87"/>
      <c r="BI100" s="87"/>
      <c r="BJ100" s="158"/>
      <c r="BK100" s="159"/>
      <c r="BL100" s="159"/>
      <c r="BM100" s="159"/>
      <c r="BN100" s="159"/>
      <c r="BO100" s="159"/>
      <c r="BP100" s="159"/>
      <c r="BQ100" s="159"/>
      <c r="BR100" s="159"/>
      <c r="BS100" s="160"/>
      <c r="BT100" s="87"/>
      <c r="BU100" s="87"/>
      <c r="BV100" s="87"/>
      <c r="BW100" s="158"/>
      <c r="BX100" s="184"/>
      <c r="BY100" s="184"/>
      <c r="BZ100" s="184"/>
      <c r="CA100" s="184"/>
      <c r="CB100" s="184"/>
      <c r="CC100" s="184"/>
      <c r="CD100" s="184"/>
      <c r="CE100" s="184"/>
      <c r="CF100" s="160"/>
      <c r="CG100" s="87"/>
      <c r="CH100" s="87"/>
      <c r="CI100" s="87"/>
      <c r="CJ100" s="158"/>
      <c r="CK100" s="159"/>
      <c r="CL100" s="159"/>
      <c r="CM100" s="159"/>
      <c r="CN100" s="159"/>
      <c r="CO100" s="159"/>
      <c r="CP100" s="159"/>
      <c r="CQ100" s="159"/>
      <c r="CR100" s="159"/>
      <c r="CS100" s="160"/>
      <c r="CT100" s="87"/>
      <c r="CU100" s="87"/>
      <c r="CV100" s="87"/>
      <c r="CW100" s="87"/>
      <c r="CY100" s="87"/>
      <c r="CZ100" s="87"/>
      <c r="DA100" s="87"/>
      <c r="DB100" s="2024"/>
      <c r="DC100" s="2024"/>
      <c r="DD100" s="2024"/>
      <c r="DE100" s="2024"/>
      <c r="DF100" s="2024"/>
      <c r="DG100" s="2024"/>
      <c r="DH100" s="2024"/>
      <c r="DI100" s="2024"/>
      <c r="DJ100" s="2024"/>
      <c r="DK100" s="2024"/>
      <c r="DL100" s="2024"/>
      <c r="DM100" s="2024"/>
      <c r="DN100" s="2024"/>
      <c r="DO100" s="2024"/>
      <c r="DP100" s="2024"/>
      <c r="DQ100" s="2024"/>
      <c r="DR100" s="2024"/>
      <c r="DS100" s="2024"/>
      <c r="DT100" s="109"/>
      <c r="DU100" s="183"/>
      <c r="DV100" s="2006"/>
      <c r="DW100" s="2007"/>
      <c r="DX100" s="2007"/>
      <c r="DY100" s="2007"/>
      <c r="DZ100" s="2007"/>
      <c r="EA100" s="2007"/>
      <c r="EB100" s="2007"/>
      <c r="EC100" s="2007"/>
      <c r="ED100" s="2007"/>
      <c r="EE100" s="2007"/>
      <c r="EF100" s="2007"/>
      <c r="EG100" s="2007"/>
      <c r="EH100" s="2007"/>
      <c r="EI100" s="263"/>
      <c r="EJ100" s="263"/>
      <c r="EK100" s="263"/>
      <c r="EL100" s="263"/>
      <c r="EM100" s="263"/>
      <c r="EN100" s="263"/>
      <c r="EO100" s="263"/>
      <c r="EP100" s="263"/>
      <c r="EQ100" s="263"/>
      <c r="ER100" s="263"/>
      <c r="ES100" s="260"/>
      <c r="ET100" s="2008"/>
      <c r="EU100" s="2009"/>
      <c r="EV100" s="2009"/>
      <c r="EW100" s="2009"/>
      <c r="EX100" s="2009"/>
      <c r="EY100" s="2014"/>
      <c r="EZ100" s="2014"/>
      <c r="FA100" s="87"/>
      <c r="FB100" s="87"/>
    </row>
    <row r="101" spans="1:158" ht="9" customHeight="1" thickBot="1">
      <c r="A101" s="87"/>
      <c r="B101" s="87"/>
      <c r="C101" s="256"/>
      <c r="D101" s="87"/>
      <c r="E101" s="112"/>
      <c r="F101" s="88"/>
      <c r="G101" s="146"/>
      <c r="H101" s="249"/>
      <c r="I101" s="250"/>
      <c r="J101" s="251"/>
      <c r="K101" s="87"/>
      <c r="L101" s="87"/>
      <c r="M101" s="87"/>
      <c r="N101" s="87"/>
      <c r="O101" s="162"/>
      <c r="P101" s="2000" t="s">
        <v>3604</v>
      </c>
      <c r="Q101" s="2000"/>
      <c r="R101" s="2000"/>
      <c r="S101" s="2000"/>
      <c r="T101" s="2000"/>
      <c r="U101" s="2000"/>
      <c r="V101" s="2000"/>
      <c r="W101" s="2000"/>
      <c r="X101" s="2000"/>
      <c r="Y101" s="2001"/>
      <c r="Z101" s="87"/>
      <c r="AA101" s="87"/>
      <c r="AB101" s="87"/>
      <c r="AC101" s="166"/>
      <c r="AD101" s="2002">
        <f ca="1">FortDefense</f>
        <v>10</v>
      </c>
      <c r="AE101" s="2002"/>
      <c r="AF101" s="2002"/>
      <c r="AG101" s="2002"/>
      <c r="AH101" s="2002"/>
      <c r="AI101" s="2002"/>
      <c r="AJ101" s="2002"/>
      <c r="AK101" s="2002"/>
      <c r="AL101" s="167"/>
      <c r="AM101" s="109"/>
      <c r="AN101" s="117"/>
      <c r="AO101" s="117"/>
      <c r="AP101" s="117"/>
      <c r="AQ101" s="87"/>
      <c r="AR101" s="2003" t="s">
        <v>3605</v>
      </c>
      <c r="AS101" s="2003"/>
      <c r="AT101" s="2003"/>
      <c r="AU101" s="2003"/>
      <c r="AV101" s="87"/>
      <c r="AW101" s="166"/>
      <c r="AX101" s="1991">
        <f>CharacterLevel+IF(ArmorFortBonus&lt;&gt;"",ArmorFortBonus,0)</f>
        <v>0</v>
      </c>
      <c r="AY101" s="1991"/>
      <c r="AZ101" s="1991"/>
      <c r="BA101" s="1991"/>
      <c r="BB101" s="1991"/>
      <c r="BC101" s="1991"/>
      <c r="BD101" s="1991"/>
      <c r="BE101" s="1991"/>
      <c r="BF101" s="167"/>
      <c r="BG101" s="87"/>
      <c r="BH101" s="87"/>
      <c r="BI101" s="87"/>
      <c r="BJ101" s="166"/>
      <c r="BK101" s="1991">
        <f>ClassFort</f>
        <v>0</v>
      </c>
      <c r="BL101" s="1991"/>
      <c r="BM101" s="1991"/>
      <c r="BN101" s="1991"/>
      <c r="BO101" s="1991"/>
      <c r="BP101" s="1991"/>
      <c r="BQ101" s="1991"/>
      <c r="BR101" s="1991"/>
      <c r="BS101" s="167"/>
      <c r="BT101" s="87"/>
      <c r="BU101" s="87"/>
      <c r="BV101" s="87"/>
      <c r="BW101" s="166"/>
      <c r="BX101" s="1991" t="str">
        <f>'Armor and Defenses'!R6</f>
        <v/>
      </c>
      <c r="BY101" s="1991"/>
      <c r="BZ101" s="1991"/>
      <c r="CA101" s="1991"/>
      <c r="CB101" s="1991"/>
      <c r="CC101" s="1991"/>
      <c r="CD101" s="1991"/>
      <c r="CE101" s="1991"/>
      <c r="CF101" s="264"/>
      <c r="CG101" s="265"/>
      <c r="CH101" s="265"/>
      <c r="CI101" s="265"/>
      <c r="CJ101" s="266"/>
      <c r="CK101" s="1991">
        <f ca="1">'Armor and Defenses'!R10+'Armor and Defenses'!R16</f>
        <v>0</v>
      </c>
      <c r="CL101" s="1991"/>
      <c r="CM101" s="1991"/>
      <c r="CN101" s="1991"/>
      <c r="CO101" s="1991"/>
      <c r="CP101" s="1991"/>
      <c r="CQ101" s="1991"/>
      <c r="CR101" s="1991"/>
      <c r="CS101" s="167"/>
      <c r="CT101" s="87"/>
      <c r="CU101" s="87"/>
      <c r="CV101" s="87"/>
      <c r="CW101" s="87"/>
      <c r="CY101" s="87"/>
      <c r="CZ101" s="87"/>
      <c r="DA101" s="158"/>
      <c r="DB101" s="159"/>
      <c r="DC101" s="159"/>
      <c r="DD101" s="159"/>
      <c r="DE101" s="159"/>
      <c r="DF101" s="159"/>
      <c r="DG101" s="159"/>
      <c r="DH101" s="159"/>
      <c r="DI101" s="159"/>
      <c r="DJ101" s="160"/>
      <c r="DK101" s="87"/>
      <c r="DL101" s="87"/>
      <c r="DM101" s="87"/>
      <c r="DN101" s="87"/>
      <c r="DO101" s="87"/>
      <c r="DP101" s="87"/>
      <c r="DQ101" s="87"/>
      <c r="DR101" s="252"/>
      <c r="DS101" s="87"/>
      <c r="DT101" s="87"/>
      <c r="DU101" s="267"/>
      <c r="DV101" s="268"/>
      <c r="DW101" s="260"/>
      <c r="DX101" s="260"/>
      <c r="DY101" s="260"/>
      <c r="DZ101" s="260"/>
      <c r="EA101" s="260"/>
      <c r="EB101" s="260"/>
      <c r="EC101" s="2016" t="s">
        <v>3606</v>
      </c>
      <c r="ED101" s="2016"/>
      <c r="EE101" s="2016"/>
      <c r="EF101" s="2016"/>
      <c r="EG101" s="2016"/>
      <c r="EH101" s="2016"/>
      <c r="EI101" s="2016"/>
      <c r="EJ101" s="2016"/>
      <c r="EK101" s="2016"/>
      <c r="EL101" s="2016"/>
      <c r="EM101" s="2016"/>
      <c r="EN101" s="2016"/>
      <c r="EO101" s="2016"/>
      <c r="EP101" s="2016"/>
      <c r="EQ101" s="2016"/>
      <c r="ER101" s="2016"/>
      <c r="ES101" s="2016"/>
      <c r="ET101" s="2010"/>
      <c r="EU101" s="2011"/>
      <c r="EV101" s="2011"/>
      <c r="EW101" s="2011"/>
      <c r="EX101" s="2011"/>
      <c r="EY101" s="2015"/>
      <c r="EZ101" s="2015"/>
      <c r="FA101" s="87"/>
      <c r="FB101" s="87"/>
    </row>
    <row r="102" spans="1:158" ht="9" customHeight="1" thickTop="1" thickBot="1">
      <c r="A102" s="87"/>
      <c r="B102" s="112"/>
      <c r="C102" s="256"/>
      <c r="D102" s="256"/>
      <c r="E102" s="112"/>
      <c r="F102" s="88"/>
      <c r="G102" s="146"/>
      <c r="H102" s="269"/>
      <c r="I102" s="270"/>
      <c r="J102" s="271"/>
      <c r="K102" s="182"/>
      <c r="L102" s="182"/>
      <c r="M102" s="182"/>
      <c r="N102" s="182"/>
      <c r="O102" s="162"/>
      <c r="P102" s="2000"/>
      <c r="Q102" s="2000"/>
      <c r="R102" s="2000"/>
      <c r="S102" s="2000"/>
      <c r="T102" s="2000"/>
      <c r="U102" s="2000"/>
      <c r="V102" s="2000"/>
      <c r="W102" s="2000"/>
      <c r="X102" s="2000"/>
      <c r="Y102" s="2001"/>
      <c r="Z102" s="272"/>
      <c r="AA102" s="272"/>
      <c r="AB102" s="272"/>
      <c r="AC102" s="166"/>
      <c r="AD102" s="2002"/>
      <c r="AE102" s="2002"/>
      <c r="AF102" s="2002"/>
      <c r="AG102" s="2002"/>
      <c r="AH102" s="2002"/>
      <c r="AI102" s="2002"/>
      <c r="AJ102" s="2002"/>
      <c r="AK102" s="2002"/>
      <c r="AL102" s="167"/>
      <c r="AM102" s="109"/>
      <c r="AN102" s="87"/>
      <c r="AO102" s="87"/>
      <c r="AP102" s="87"/>
      <c r="AQ102" s="87"/>
      <c r="AR102" s="2003"/>
      <c r="AS102" s="2003"/>
      <c r="AT102" s="2003"/>
      <c r="AU102" s="2003"/>
      <c r="AV102" s="87"/>
      <c r="AW102" s="166"/>
      <c r="AX102" s="1991"/>
      <c r="AY102" s="1991"/>
      <c r="AZ102" s="1991"/>
      <c r="BA102" s="1991"/>
      <c r="BB102" s="1991"/>
      <c r="BC102" s="1991"/>
      <c r="BD102" s="1991"/>
      <c r="BE102" s="1991"/>
      <c r="BF102" s="167"/>
      <c r="BG102" s="117"/>
      <c r="BH102" s="117"/>
      <c r="BI102" s="117"/>
      <c r="BJ102" s="166"/>
      <c r="BK102" s="1991"/>
      <c r="BL102" s="1991"/>
      <c r="BM102" s="1991"/>
      <c r="BN102" s="1991"/>
      <c r="BO102" s="1991"/>
      <c r="BP102" s="1991"/>
      <c r="BQ102" s="1991"/>
      <c r="BR102" s="1991"/>
      <c r="BS102" s="167"/>
      <c r="BT102" s="117"/>
      <c r="BU102" s="117"/>
      <c r="BV102" s="117"/>
      <c r="BW102" s="166"/>
      <c r="BX102" s="1991"/>
      <c r="BY102" s="1991"/>
      <c r="BZ102" s="1991"/>
      <c r="CA102" s="1991"/>
      <c r="CB102" s="1991"/>
      <c r="CC102" s="1991"/>
      <c r="CD102" s="1991"/>
      <c r="CE102" s="1991"/>
      <c r="CF102" s="264"/>
      <c r="CG102" s="117"/>
      <c r="CH102" s="117"/>
      <c r="CI102" s="117"/>
      <c r="CJ102" s="266"/>
      <c r="CK102" s="1991"/>
      <c r="CL102" s="1991"/>
      <c r="CM102" s="1991"/>
      <c r="CN102" s="1991"/>
      <c r="CO102" s="1991"/>
      <c r="CP102" s="1991"/>
      <c r="CQ102" s="1991"/>
      <c r="CR102" s="1991"/>
      <c r="CS102" s="167"/>
      <c r="CT102" s="87"/>
      <c r="CU102" s="87"/>
      <c r="CV102" s="87"/>
      <c r="CW102" s="87"/>
      <c r="CY102" s="153"/>
      <c r="CZ102" s="190"/>
      <c r="DA102" s="191"/>
      <c r="DB102" s="2021">
        <f>DestinyPoints</f>
        <v>0</v>
      </c>
      <c r="DC102" s="2021"/>
      <c r="DD102" s="2021"/>
      <c r="DE102" s="2021"/>
      <c r="DF102" s="2021"/>
      <c r="DG102" s="2021"/>
      <c r="DH102" s="2021"/>
      <c r="DI102" s="2021"/>
      <c r="DJ102" s="167"/>
      <c r="DK102" s="87"/>
      <c r="DL102" s="87"/>
      <c r="DM102" s="87"/>
      <c r="DN102" s="87"/>
      <c r="DO102" s="87"/>
      <c r="DP102" s="87"/>
      <c r="DQ102" s="87"/>
      <c r="DR102" s="252"/>
      <c r="DS102" s="87"/>
      <c r="DT102" s="87"/>
      <c r="DU102" s="267"/>
      <c r="DV102" s="268"/>
      <c r="DW102" s="260"/>
      <c r="DX102" s="260"/>
      <c r="DY102" s="260"/>
      <c r="DZ102" s="260"/>
      <c r="EA102" s="260"/>
      <c r="EB102" s="260"/>
      <c r="EC102" s="2016"/>
      <c r="ED102" s="2016"/>
      <c r="EE102" s="2016"/>
      <c r="EF102" s="2016"/>
      <c r="EG102" s="2016"/>
      <c r="EH102" s="2016"/>
      <c r="EI102" s="2016"/>
      <c r="EJ102" s="2016"/>
      <c r="EK102" s="2016"/>
      <c r="EL102" s="2016"/>
      <c r="EM102" s="2016"/>
      <c r="EN102" s="2016"/>
      <c r="EO102" s="2016"/>
      <c r="EP102" s="2016"/>
      <c r="EQ102" s="2016"/>
      <c r="ER102" s="2016"/>
      <c r="ES102" s="2016"/>
      <c r="ET102" s="2012"/>
      <c r="EU102" s="2013"/>
      <c r="EV102" s="2013"/>
      <c r="EW102" s="2013"/>
      <c r="EX102" s="2013"/>
      <c r="EY102" s="2015"/>
      <c r="EZ102" s="2015"/>
      <c r="FA102" s="87"/>
      <c r="FB102" s="87"/>
    </row>
    <row r="103" spans="1:158" ht="9" customHeight="1" thickTop="1">
      <c r="A103" s="87"/>
      <c r="B103" s="112"/>
      <c r="C103" s="87"/>
      <c r="D103" s="256"/>
      <c r="E103" s="259"/>
      <c r="F103" s="88"/>
      <c r="G103" s="146"/>
      <c r="H103" s="249"/>
      <c r="I103" s="250"/>
      <c r="J103" s="251"/>
      <c r="K103" s="87"/>
      <c r="L103" s="87"/>
      <c r="M103" s="87"/>
      <c r="N103" s="87"/>
      <c r="O103" s="162"/>
      <c r="P103" s="2000"/>
      <c r="Q103" s="2000"/>
      <c r="R103" s="2000"/>
      <c r="S103" s="2000"/>
      <c r="T103" s="2000"/>
      <c r="U103" s="2000"/>
      <c r="V103" s="2000"/>
      <c r="W103" s="2000"/>
      <c r="X103" s="2000"/>
      <c r="Y103" s="2001"/>
      <c r="Z103" s="87"/>
      <c r="AA103" s="87"/>
      <c r="AB103" s="87"/>
      <c r="AC103" s="166"/>
      <c r="AD103" s="2002"/>
      <c r="AE103" s="2002"/>
      <c r="AF103" s="2002"/>
      <c r="AG103" s="2002"/>
      <c r="AH103" s="2002"/>
      <c r="AI103" s="2002"/>
      <c r="AJ103" s="2002"/>
      <c r="AK103" s="2002"/>
      <c r="AL103" s="167"/>
      <c r="AM103" s="109"/>
      <c r="AN103" s="117"/>
      <c r="AO103" s="117"/>
      <c r="AP103" s="117"/>
      <c r="AQ103" s="87"/>
      <c r="AR103" s="2003"/>
      <c r="AS103" s="2003"/>
      <c r="AT103" s="2003"/>
      <c r="AU103" s="2003"/>
      <c r="AV103" s="87"/>
      <c r="AW103" s="166"/>
      <c r="AX103" s="1991"/>
      <c r="AY103" s="1991"/>
      <c r="AZ103" s="1991"/>
      <c r="BA103" s="1991"/>
      <c r="BB103" s="1991"/>
      <c r="BC103" s="1991"/>
      <c r="BD103" s="1991"/>
      <c r="BE103" s="1991"/>
      <c r="BF103" s="167"/>
      <c r="BG103" s="87"/>
      <c r="BH103" s="87"/>
      <c r="BI103" s="87"/>
      <c r="BJ103" s="166"/>
      <c r="BK103" s="1991"/>
      <c r="BL103" s="1991"/>
      <c r="BM103" s="1991"/>
      <c r="BN103" s="1991"/>
      <c r="BO103" s="1991"/>
      <c r="BP103" s="1991"/>
      <c r="BQ103" s="1991"/>
      <c r="BR103" s="1991"/>
      <c r="BS103" s="167"/>
      <c r="BT103" s="87"/>
      <c r="BU103" s="87"/>
      <c r="BV103" s="87"/>
      <c r="BW103" s="166"/>
      <c r="BX103" s="1991"/>
      <c r="BY103" s="1991"/>
      <c r="BZ103" s="1991"/>
      <c r="CA103" s="1991"/>
      <c r="CB103" s="1991"/>
      <c r="CC103" s="1991"/>
      <c r="CD103" s="1991"/>
      <c r="CE103" s="1991"/>
      <c r="CF103" s="264"/>
      <c r="CG103" s="87"/>
      <c r="CH103" s="87"/>
      <c r="CI103" s="87"/>
      <c r="CJ103" s="266"/>
      <c r="CK103" s="1991"/>
      <c r="CL103" s="1991"/>
      <c r="CM103" s="1991"/>
      <c r="CN103" s="1991"/>
      <c r="CO103" s="1991"/>
      <c r="CP103" s="1991"/>
      <c r="CQ103" s="1991"/>
      <c r="CR103" s="1991"/>
      <c r="CS103" s="167"/>
      <c r="CT103" s="87"/>
      <c r="CU103" s="87"/>
      <c r="CV103" s="87"/>
      <c r="CW103" s="87"/>
      <c r="CY103" s="196"/>
      <c r="CZ103" s="109"/>
      <c r="DA103" s="197"/>
      <c r="DB103" s="2021"/>
      <c r="DC103" s="2021"/>
      <c r="DD103" s="2021"/>
      <c r="DE103" s="2021"/>
      <c r="DF103" s="2021"/>
      <c r="DG103" s="2021"/>
      <c r="DH103" s="2021"/>
      <c r="DI103" s="2021"/>
      <c r="DJ103" s="167"/>
      <c r="DK103" s="87"/>
      <c r="DL103" s="87"/>
      <c r="DM103" s="87"/>
      <c r="DN103" s="87"/>
      <c r="DO103" s="87"/>
      <c r="DP103" s="87"/>
      <c r="DQ103" s="87"/>
      <c r="DR103" s="87"/>
      <c r="DS103" s="87"/>
      <c r="DT103" s="87"/>
      <c r="DU103" s="183"/>
      <c r="DV103" s="268"/>
      <c r="DW103" s="260"/>
      <c r="DX103" s="260"/>
      <c r="DY103" s="260"/>
      <c r="DZ103" s="260"/>
      <c r="EA103" s="260"/>
      <c r="EB103" s="260"/>
      <c r="EC103" s="2016"/>
      <c r="ED103" s="2016"/>
      <c r="EE103" s="2016"/>
      <c r="EF103" s="2016"/>
      <c r="EG103" s="2016"/>
      <c r="EH103" s="2016"/>
      <c r="EI103" s="2016"/>
      <c r="EJ103" s="2016"/>
      <c r="EK103" s="2016"/>
      <c r="EL103" s="2016"/>
      <c r="EM103" s="2016"/>
      <c r="EN103" s="2016"/>
      <c r="EO103" s="2016"/>
      <c r="EP103" s="2016"/>
      <c r="EQ103" s="2016"/>
      <c r="ER103" s="2016"/>
      <c r="ES103" s="2016"/>
      <c r="ET103" s="244"/>
      <c r="EU103" s="273"/>
      <c r="EV103" s="87"/>
      <c r="EW103" s="87"/>
      <c r="EX103" s="87"/>
      <c r="EY103" s="87"/>
      <c r="EZ103" s="87"/>
      <c r="FA103" s="87"/>
      <c r="FB103" s="87"/>
    </row>
    <row r="104" spans="1:158" ht="9" customHeight="1" thickBot="1">
      <c r="A104" s="87"/>
      <c r="B104" s="112"/>
      <c r="C104" s="87"/>
      <c r="D104" s="87"/>
      <c r="E104" s="256"/>
      <c r="F104" s="88"/>
      <c r="G104" s="146"/>
      <c r="H104" s="249"/>
      <c r="I104" s="250"/>
      <c r="J104" s="251"/>
      <c r="K104" s="87"/>
      <c r="L104" s="87"/>
      <c r="M104" s="87"/>
      <c r="N104" s="87"/>
      <c r="O104" s="154"/>
      <c r="P104" s="1248"/>
      <c r="Q104" s="1248"/>
      <c r="R104" s="1248"/>
      <c r="S104" s="1248"/>
      <c r="T104" s="1248"/>
      <c r="U104" s="1248"/>
      <c r="V104" s="1248"/>
      <c r="W104" s="1248"/>
      <c r="X104" s="1248"/>
      <c r="Y104" s="1249"/>
      <c r="Z104" s="87"/>
      <c r="AA104" s="87"/>
      <c r="AB104" s="87"/>
      <c r="AC104" s="160"/>
      <c r="AD104" s="240"/>
      <c r="AE104" s="240"/>
      <c r="AF104" s="240"/>
      <c r="AG104" s="240"/>
      <c r="AH104" s="240"/>
      <c r="AI104" s="240"/>
      <c r="AJ104" s="240"/>
      <c r="AK104" s="240"/>
      <c r="AL104" s="158"/>
      <c r="AM104" s="109"/>
      <c r="AN104" s="87"/>
      <c r="AO104" s="87"/>
      <c r="AP104" s="87"/>
      <c r="AQ104" s="87"/>
      <c r="AR104" s="87"/>
      <c r="AS104" s="87"/>
      <c r="AT104" s="87"/>
      <c r="AU104" s="87"/>
      <c r="AV104" s="87"/>
      <c r="AW104" s="160"/>
      <c r="AX104" s="240"/>
      <c r="AY104" s="240"/>
      <c r="AZ104" s="240"/>
      <c r="BA104" s="240"/>
      <c r="BB104" s="240"/>
      <c r="BC104" s="240"/>
      <c r="BD104" s="240"/>
      <c r="BE104" s="240"/>
      <c r="BF104" s="158"/>
      <c r="BG104" s="87"/>
      <c r="BH104" s="87"/>
      <c r="BI104" s="87"/>
      <c r="BJ104" s="160"/>
      <c r="BK104" s="240"/>
      <c r="BL104" s="240"/>
      <c r="BM104" s="240"/>
      <c r="BN104" s="240"/>
      <c r="BO104" s="240"/>
      <c r="BP104" s="240"/>
      <c r="BQ104" s="240"/>
      <c r="BR104" s="240"/>
      <c r="BS104" s="158"/>
      <c r="BT104" s="87"/>
      <c r="BU104" s="87"/>
      <c r="BV104" s="87"/>
      <c r="BW104" s="160"/>
      <c r="BX104" s="204"/>
      <c r="BY104" s="204"/>
      <c r="BZ104" s="204"/>
      <c r="CA104" s="204"/>
      <c r="CB104" s="204"/>
      <c r="CC104" s="204"/>
      <c r="CD104" s="204"/>
      <c r="CE104" s="204"/>
      <c r="CF104" s="274"/>
      <c r="CG104" s="87"/>
      <c r="CH104" s="87"/>
      <c r="CI104" s="87"/>
      <c r="CJ104" s="203"/>
      <c r="CK104" s="204"/>
      <c r="CL104" s="204"/>
      <c r="CM104" s="204"/>
      <c r="CN104" s="204"/>
      <c r="CO104" s="204"/>
      <c r="CP104" s="204"/>
      <c r="CQ104" s="204"/>
      <c r="CR104" s="204"/>
      <c r="CS104" s="158"/>
      <c r="CT104" s="87"/>
      <c r="CU104" s="87"/>
      <c r="CV104" s="87"/>
      <c r="CW104" s="87"/>
      <c r="CY104" s="154"/>
      <c r="CZ104" s="201"/>
      <c r="DA104" s="202"/>
      <c r="DB104" s="2021"/>
      <c r="DC104" s="2021"/>
      <c r="DD104" s="2021"/>
      <c r="DE104" s="2021"/>
      <c r="DF104" s="2021"/>
      <c r="DG104" s="2021"/>
      <c r="DH104" s="2021"/>
      <c r="DI104" s="2021"/>
      <c r="DJ104" s="167"/>
      <c r="DK104" s="87"/>
      <c r="DL104" s="87"/>
      <c r="DM104" s="87"/>
      <c r="DN104" s="87"/>
      <c r="DO104" s="87"/>
      <c r="DP104" s="87"/>
      <c r="DQ104" s="87"/>
      <c r="DR104" s="87"/>
      <c r="DS104" s="87"/>
      <c r="DT104" s="87"/>
      <c r="DU104" s="183"/>
      <c r="DV104" s="275"/>
      <c r="DW104" s="276"/>
      <c r="DX104" s="276"/>
      <c r="DY104" s="276"/>
      <c r="DZ104" s="276"/>
      <c r="EA104" s="276"/>
      <c r="EB104" s="276"/>
      <c r="EC104" s="2017"/>
      <c r="ED104" s="2017"/>
      <c r="EE104" s="2017"/>
      <c r="EF104" s="2017"/>
      <c r="EG104" s="2017"/>
      <c r="EH104" s="2017"/>
      <c r="EI104" s="2017"/>
      <c r="EJ104" s="2017"/>
      <c r="EK104" s="2017"/>
      <c r="EL104" s="2017"/>
      <c r="EM104" s="2017"/>
      <c r="EN104" s="2017"/>
      <c r="EO104" s="2017"/>
      <c r="EP104" s="2017"/>
      <c r="EQ104" s="2017"/>
      <c r="ER104" s="2017"/>
      <c r="ES104" s="2017"/>
      <c r="ET104" s="255"/>
      <c r="EU104" s="112"/>
      <c r="EV104" s="87"/>
      <c r="EW104" s="87"/>
      <c r="EX104" s="87"/>
      <c r="EY104" s="87"/>
      <c r="EZ104" s="87"/>
      <c r="FA104" s="87"/>
      <c r="FB104" s="87"/>
    </row>
    <row r="105" spans="1:158" ht="9" customHeight="1" thickTop="1" thickBot="1">
      <c r="A105" s="87"/>
      <c r="B105" s="87"/>
      <c r="C105" s="256"/>
      <c r="D105" s="87"/>
      <c r="E105" s="112"/>
      <c r="F105" s="88"/>
      <c r="G105" s="146"/>
      <c r="H105" s="249"/>
      <c r="I105" s="250"/>
      <c r="J105" s="251"/>
      <c r="K105" s="87"/>
      <c r="L105" s="87"/>
      <c r="M105" s="87"/>
      <c r="N105" s="87"/>
      <c r="O105" s="87"/>
      <c r="P105" s="1250"/>
      <c r="Q105" s="1250"/>
      <c r="R105" s="1250"/>
      <c r="S105" s="1250"/>
      <c r="T105" s="1250"/>
      <c r="U105" s="1250"/>
      <c r="V105" s="1250"/>
      <c r="W105" s="1250"/>
      <c r="X105" s="1250"/>
      <c r="Y105" s="1250"/>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265"/>
      <c r="BY105" s="265"/>
      <c r="BZ105" s="265"/>
      <c r="CA105" s="265"/>
      <c r="CB105" s="265"/>
      <c r="CC105" s="265"/>
      <c r="CD105" s="265"/>
      <c r="CE105" s="265"/>
      <c r="CF105" s="265"/>
      <c r="CG105" s="87"/>
      <c r="CH105" s="87"/>
      <c r="CI105" s="87"/>
      <c r="CJ105" s="265"/>
      <c r="CK105" s="265"/>
      <c r="CL105" s="265"/>
      <c r="CM105" s="265"/>
      <c r="CN105" s="265"/>
      <c r="CO105" s="265"/>
      <c r="CP105" s="265"/>
      <c r="CQ105" s="265"/>
      <c r="CR105" s="265"/>
      <c r="CS105" s="87"/>
      <c r="CT105" s="87"/>
      <c r="CU105" s="87"/>
      <c r="CV105" s="87"/>
      <c r="CW105" s="87"/>
      <c r="CY105" s="87"/>
      <c r="CZ105" s="87"/>
      <c r="DA105" s="203"/>
      <c r="DB105" s="204"/>
      <c r="DC105" s="204"/>
      <c r="DD105" s="204"/>
      <c r="DE105" s="204"/>
      <c r="DF105" s="204"/>
      <c r="DG105" s="204"/>
      <c r="DH105" s="204"/>
      <c r="DI105" s="204"/>
      <c r="DJ105" s="158"/>
      <c r="DK105" s="87"/>
      <c r="DL105" s="87"/>
      <c r="DM105" s="87"/>
      <c r="DN105" s="87"/>
      <c r="DO105" s="87"/>
      <c r="DP105" s="87"/>
      <c r="DQ105" s="87"/>
      <c r="DR105" s="87"/>
      <c r="DS105" s="87"/>
      <c r="DT105" s="87"/>
      <c r="DU105" s="186"/>
      <c r="DV105" s="145"/>
      <c r="DW105" s="145"/>
      <c r="DX105" s="277"/>
      <c r="DY105" s="277"/>
      <c r="DZ105" s="145"/>
      <c r="EA105" s="145"/>
      <c r="EB105" s="145"/>
      <c r="EC105" s="145"/>
      <c r="ED105" s="145"/>
      <c r="EE105" s="145"/>
      <c r="EF105" s="145"/>
      <c r="EG105" s="145"/>
      <c r="EH105" s="145"/>
      <c r="EI105" s="145"/>
      <c r="EJ105" s="145"/>
      <c r="EK105" s="145"/>
      <c r="EL105" s="145"/>
      <c r="EM105" s="145"/>
      <c r="EN105" s="145"/>
      <c r="EO105" s="145"/>
      <c r="EP105" s="145"/>
      <c r="EQ105" s="145"/>
      <c r="ER105" s="278"/>
      <c r="ES105" s="278"/>
      <c r="ET105" s="145"/>
      <c r="EU105" s="187"/>
      <c r="EV105" s="87"/>
      <c r="EW105" s="87"/>
      <c r="EX105" s="87"/>
      <c r="EY105" s="87"/>
      <c r="EZ105" s="87"/>
      <c r="FA105" s="87"/>
      <c r="FB105" s="87"/>
    </row>
    <row r="106" spans="1:158" ht="9" customHeight="1" thickTop="1" thickBot="1">
      <c r="A106" s="87"/>
      <c r="B106" s="112"/>
      <c r="C106" s="256"/>
      <c r="D106" s="256"/>
      <c r="E106" s="112"/>
      <c r="F106" s="88"/>
      <c r="G106" s="146"/>
      <c r="H106" s="249"/>
      <c r="I106" s="250"/>
      <c r="J106" s="251"/>
      <c r="K106" s="87"/>
      <c r="L106" s="87"/>
      <c r="M106" s="87"/>
      <c r="N106" s="87"/>
      <c r="O106" s="87"/>
      <c r="P106" s="1250"/>
      <c r="Q106" s="1250"/>
      <c r="R106" s="1250"/>
      <c r="S106" s="1250"/>
      <c r="T106" s="1250"/>
      <c r="U106" s="1250"/>
      <c r="V106" s="1250"/>
      <c r="W106" s="1250"/>
      <c r="X106" s="1250"/>
      <c r="Y106" s="1250"/>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265"/>
      <c r="BY106" s="265"/>
      <c r="BZ106" s="265"/>
      <c r="CA106" s="265"/>
      <c r="CB106" s="265"/>
      <c r="CC106" s="265"/>
      <c r="CD106" s="265"/>
      <c r="CE106" s="265"/>
      <c r="CF106" s="265"/>
      <c r="CG106" s="87"/>
      <c r="CH106" s="87"/>
      <c r="CI106" s="87"/>
      <c r="CJ106" s="265"/>
      <c r="CK106" s="265"/>
      <c r="CL106" s="265"/>
      <c r="CM106" s="265"/>
      <c r="CN106" s="265"/>
      <c r="CO106" s="265"/>
      <c r="CP106" s="265"/>
      <c r="CQ106" s="265"/>
      <c r="CR106" s="265"/>
      <c r="CS106" s="87"/>
      <c r="CT106" s="87"/>
      <c r="CU106" s="87"/>
      <c r="CV106" s="87"/>
      <c r="CW106" s="87"/>
      <c r="DR106" s="87"/>
      <c r="DS106" s="87"/>
      <c r="DT106" s="87"/>
      <c r="DU106" s="87"/>
      <c r="DV106" s="87"/>
      <c r="DW106" s="87"/>
      <c r="DX106" s="87"/>
      <c r="DY106" s="87"/>
      <c r="DZ106" s="87"/>
      <c r="EA106" s="87"/>
      <c r="EB106" s="87"/>
      <c r="EC106" s="87"/>
      <c r="ED106" s="87"/>
      <c r="EE106" s="87"/>
      <c r="EF106" s="87"/>
      <c r="EG106" s="87"/>
      <c r="EH106" s="87"/>
      <c r="EI106" s="87"/>
      <c r="EJ106" s="87"/>
      <c r="EK106" s="87"/>
      <c r="EL106" s="87"/>
      <c r="EM106" s="87"/>
      <c r="EN106" s="169"/>
      <c r="EO106" s="1899"/>
      <c r="EP106" s="1900"/>
      <c r="EQ106" s="279"/>
      <c r="ER106" s="1985"/>
      <c r="ES106" s="1986"/>
      <c r="ET106" s="87"/>
      <c r="EU106" s="87"/>
      <c r="EV106" s="87"/>
      <c r="EW106" s="87"/>
      <c r="EX106" s="87"/>
      <c r="EY106" s="87"/>
      <c r="EZ106" s="87"/>
      <c r="FA106" s="87"/>
      <c r="FB106" s="87"/>
    </row>
    <row r="107" spans="1:158" ht="9" customHeight="1" thickTop="1" thickBot="1">
      <c r="A107" s="87"/>
      <c r="B107" s="112"/>
      <c r="C107" s="87"/>
      <c r="D107" s="256"/>
      <c r="E107" s="259"/>
      <c r="F107" s="88"/>
      <c r="G107" s="146"/>
      <c r="H107" s="249"/>
      <c r="I107" s="250"/>
      <c r="J107" s="251"/>
      <c r="K107" s="87"/>
      <c r="L107" s="87"/>
      <c r="M107" s="87"/>
      <c r="N107" s="87"/>
      <c r="O107" s="153"/>
      <c r="P107" s="1251"/>
      <c r="Q107" s="1251"/>
      <c r="R107" s="1251"/>
      <c r="S107" s="1251"/>
      <c r="T107" s="1251"/>
      <c r="U107" s="1251"/>
      <c r="V107" s="1251"/>
      <c r="W107" s="1251"/>
      <c r="X107" s="1251"/>
      <c r="Y107" s="1252"/>
      <c r="Z107" s="87"/>
      <c r="AA107" s="87"/>
      <c r="AB107" s="87"/>
      <c r="AC107" s="158"/>
      <c r="AD107" s="159"/>
      <c r="AE107" s="159"/>
      <c r="AF107" s="159"/>
      <c r="AG107" s="159"/>
      <c r="AH107" s="159"/>
      <c r="AI107" s="159"/>
      <c r="AJ107" s="159"/>
      <c r="AK107" s="159"/>
      <c r="AL107" s="160"/>
      <c r="AM107" s="87"/>
      <c r="AN107" s="87"/>
      <c r="AO107" s="87"/>
      <c r="AP107" s="87"/>
      <c r="AQ107" s="87"/>
      <c r="AR107" s="87"/>
      <c r="AS107" s="87"/>
      <c r="AT107" s="87"/>
      <c r="AU107" s="87"/>
      <c r="AV107" s="87"/>
      <c r="AW107" s="158" t="e">
        <f>HeroicLvl+ArmourFort</f>
        <v>#NAME?</v>
      </c>
      <c r="AX107" s="159"/>
      <c r="AY107" s="159"/>
      <c r="AZ107" s="159"/>
      <c r="BA107" s="159"/>
      <c r="BB107" s="159"/>
      <c r="BC107" s="159"/>
      <c r="BD107" s="159"/>
      <c r="BE107" s="159"/>
      <c r="BF107" s="160"/>
      <c r="BG107" s="87"/>
      <c r="BH107" s="87"/>
      <c r="BI107" s="87"/>
      <c r="BJ107" s="158"/>
      <c r="BK107" s="159"/>
      <c r="BL107" s="159"/>
      <c r="BM107" s="159"/>
      <c r="BN107" s="159"/>
      <c r="BO107" s="159"/>
      <c r="BP107" s="159"/>
      <c r="BQ107" s="159"/>
      <c r="BR107" s="159"/>
      <c r="BS107" s="160"/>
      <c r="BT107" s="87"/>
      <c r="BU107" s="87"/>
      <c r="BV107" s="87"/>
      <c r="BW107" s="158"/>
      <c r="BX107" s="280"/>
      <c r="BY107" s="280"/>
      <c r="BZ107" s="280"/>
      <c r="CA107" s="280"/>
      <c r="CB107" s="280"/>
      <c r="CC107" s="280"/>
      <c r="CD107" s="280"/>
      <c r="CE107" s="280"/>
      <c r="CF107" s="203"/>
      <c r="CG107" s="87"/>
      <c r="CH107" s="87"/>
      <c r="CI107" s="87"/>
      <c r="CJ107" s="274"/>
      <c r="CK107" s="280"/>
      <c r="CL107" s="280"/>
      <c r="CM107" s="280"/>
      <c r="CN107" s="280"/>
      <c r="CO107" s="280"/>
      <c r="CP107" s="280"/>
      <c r="CQ107" s="280"/>
      <c r="CR107" s="280"/>
      <c r="CS107" s="160"/>
      <c r="CT107" s="87"/>
      <c r="CU107" s="87"/>
      <c r="CV107" s="87"/>
      <c r="CW107" s="87"/>
      <c r="DR107" s="87"/>
      <c r="DS107" s="87"/>
      <c r="DT107" s="87"/>
      <c r="DU107" s="87"/>
      <c r="DV107" s="87"/>
      <c r="DW107" s="87"/>
      <c r="DX107" s="87"/>
      <c r="DY107" s="87"/>
      <c r="DZ107" s="87"/>
      <c r="EA107" s="87"/>
      <c r="EB107" s="87"/>
      <c r="EC107" s="87"/>
      <c r="ED107" s="87"/>
      <c r="EE107" s="87"/>
      <c r="EF107" s="87"/>
      <c r="EG107" s="87"/>
      <c r="EH107" s="87"/>
      <c r="EI107" s="87"/>
      <c r="EJ107" s="87"/>
      <c r="EK107" s="87"/>
      <c r="EL107" s="87"/>
      <c r="EM107" s="87"/>
      <c r="EN107" s="281"/>
      <c r="EO107" s="1901"/>
      <c r="EP107" s="1902"/>
      <c r="EQ107" s="170"/>
      <c r="ER107" s="1987"/>
      <c r="ES107" s="1988"/>
      <c r="ET107" s="87"/>
      <c r="EU107" s="87"/>
      <c r="EV107" s="87"/>
      <c r="EW107" s="87"/>
      <c r="EX107" s="87"/>
      <c r="EY107" s="87"/>
    </row>
    <row r="108" spans="1:158" ht="9" customHeight="1" thickTop="1" thickBot="1">
      <c r="A108" s="87"/>
      <c r="B108" s="112"/>
      <c r="C108" s="87"/>
      <c r="D108" s="87"/>
      <c r="E108" s="256"/>
      <c r="F108" s="88"/>
      <c r="G108" s="146"/>
      <c r="H108" s="249"/>
      <c r="I108" s="250"/>
      <c r="J108" s="251"/>
      <c r="K108" s="87"/>
      <c r="L108" s="87"/>
      <c r="M108" s="87"/>
      <c r="N108" s="87"/>
      <c r="O108" s="162"/>
      <c r="P108" s="2000" t="s">
        <v>3608</v>
      </c>
      <c r="Q108" s="2000"/>
      <c r="R108" s="2000"/>
      <c r="S108" s="2000"/>
      <c r="T108" s="2000"/>
      <c r="U108" s="2000"/>
      <c r="V108" s="2000"/>
      <c r="W108" s="2000"/>
      <c r="X108" s="2000"/>
      <c r="Y108" s="2001"/>
      <c r="Z108" s="87"/>
      <c r="AA108" s="87"/>
      <c r="AB108" s="87"/>
      <c r="AC108" s="166"/>
      <c r="AD108" s="2002">
        <f ca="1">RefDefense</f>
        <v>10</v>
      </c>
      <c r="AE108" s="2002"/>
      <c r="AF108" s="2002"/>
      <c r="AG108" s="2002"/>
      <c r="AH108" s="2002"/>
      <c r="AI108" s="2002"/>
      <c r="AJ108" s="2002"/>
      <c r="AK108" s="2002"/>
      <c r="AL108" s="167"/>
      <c r="AM108" s="87"/>
      <c r="AN108" s="117"/>
      <c r="AO108" s="117"/>
      <c r="AP108" s="117"/>
      <c r="AQ108" s="87"/>
      <c r="AR108" s="2003" t="s">
        <v>3605</v>
      </c>
      <c r="AS108" s="2003"/>
      <c r="AT108" s="2003"/>
      <c r="AU108" s="2003"/>
      <c r="AV108" s="87"/>
      <c r="AW108" s="166"/>
      <c r="AX108" s="1991">
        <f>IF(OR(Talents!M1047&gt;0,Talents!M517&gt;0),MAX(HeroicLevel+RefTalents+RefNA,RefArmor+RefNA),IF(Talents!M515&gt;0,MAX(HeroicLevel+RefNA,RefArmor+RefNA),IF(RefArmor&gt;0,RefArmor,HeroicLevel)))</f>
        <v>0</v>
      </c>
      <c r="AY108" s="1991"/>
      <c r="AZ108" s="1991"/>
      <c r="BA108" s="1991"/>
      <c r="BB108" s="1991"/>
      <c r="BC108" s="1991"/>
      <c r="BD108" s="1991"/>
      <c r="BE108" s="1991"/>
      <c r="BF108" s="167"/>
      <c r="BG108" s="87"/>
      <c r="BH108" s="87"/>
      <c r="BI108" s="87"/>
      <c r="BJ108" s="166"/>
      <c r="BK108" s="1991">
        <f>ClassRef</f>
        <v>0</v>
      </c>
      <c r="BL108" s="1991"/>
      <c r="BM108" s="1991"/>
      <c r="BN108" s="1991"/>
      <c r="BO108" s="1991"/>
      <c r="BP108" s="1991"/>
      <c r="BQ108" s="1991"/>
      <c r="BR108" s="1991"/>
      <c r="BS108" s="167"/>
      <c r="BT108" s="87"/>
      <c r="BU108" s="87"/>
      <c r="BV108" s="87"/>
      <c r="BW108" s="166"/>
      <c r="BX108" s="2020">
        <f>MIN(DexMod,RefMaxDex)</f>
        <v>0</v>
      </c>
      <c r="BY108" s="2020"/>
      <c r="BZ108" s="2020"/>
      <c r="CA108" s="2020"/>
      <c r="CB108" s="2020"/>
      <c r="CC108" s="2020"/>
      <c r="CD108" s="2020"/>
      <c r="CE108" s="2020"/>
      <c r="CF108" s="264"/>
      <c r="CG108" s="87"/>
      <c r="CH108" s="87"/>
      <c r="CI108" s="87"/>
      <c r="CJ108" s="266"/>
      <c r="CK108" s="1991">
        <f ca="1">RefSpecies+RefDodge+RefSize+RefBonus+RefNA</f>
        <v>0</v>
      </c>
      <c r="CL108" s="1991"/>
      <c r="CM108" s="1991"/>
      <c r="CN108" s="1991"/>
      <c r="CO108" s="1991"/>
      <c r="CP108" s="1991"/>
      <c r="CQ108" s="1991"/>
      <c r="CR108" s="1991"/>
      <c r="CS108" s="167"/>
      <c r="CT108" s="87"/>
      <c r="CU108" s="87"/>
      <c r="CV108" s="87"/>
      <c r="CW108" s="87"/>
      <c r="DA108" s="153"/>
      <c r="DB108" s="1918" t="s">
        <v>32</v>
      </c>
      <c r="DC108" s="1918"/>
      <c r="DD108" s="1918"/>
      <c r="DE108" s="1918"/>
      <c r="DF108" s="1918"/>
      <c r="DG108" s="1918"/>
      <c r="DH108" s="1918"/>
      <c r="DI108" s="1918"/>
      <c r="DJ108" s="1918"/>
      <c r="DK108" s="1918"/>
      <c r="DL108" s="1918"/>
      <c r="DM108" s="1918"/>
      <c r="DN108" s="1918"/>
      <c r="DO108" s="1918"/>
      <c r="DP108" s="1918"/>
      <c r="DQ108" s="154"/>
      <c r="DR108" s="87"/>
      <c r="DS108" s="87"/>
      <c r="DT108" s="87"/>
      <c r="DU108" s="87"/>
      <c r="DV108" s="87"/>
      <c r="DW108" s="153"/>
      <c r="DX108" s="1918" t="s">
        <v>3609</v>
      </c>
      <c r="DY108" s="1918"/>
      <c r="DZ108" s="1918"/>
      <c r="EA108" s="1918"/>
      <c r="EB108" s="1918"/>
      <c r="EC108" s="1918"/>
      <c r="ED108" s="1918"/>
      <c r="EE108" s="1918"/>
      <c r="EF108" s="1918"/>
      <c r="EG108" s="1918"/>
      <c r="EH108" s="1918"/>
      <c r="EI108" s="1918"/>
      <c r="EJ108" s="1918"/>
      <c r="EK108" s="1918"/>
      <c r="EL108" s="1918"/>
      <c r="EM108" s="154"/>
      <c r="EN108" s="281"/>
      <c r="EO108" s="1901"/>
      <c r="EP108" s="1902"/>
      <c r="EQ108" s="170"/>
      <c r="ER108" s="1987"/>
      <c r="ES108" s="1988"/>
      <c r="ET108" s="87"/>
      <c r="EU108" s="87"/>
      <c r="EV108" s="87"/>
      <c r="EW108" s="87"/>
      <c r="EX108" s="87"/>
      <c r="EY108" s="87"/>
    </row>
    <row r="109" spans="1:158" ht="9" customHeight="1" thickTop="1" thickBot="1">
      <c r="A109" s="87"/>
      <c r="B109" s="112"/>
      <c r="C109" s="87"/>
      <c r="D109" s="87"/>
      <c r="E109" s="112"/>
      <c r="F109" s="88"/>
      <c r="G109" s="146"/>
      <c r="H109" s="269"/>
      <c r="I109" s="270"/>
      <c r="J109" s="271"/>
      <c r="K109" s="182"/>
      <c r="L109" s="182"/>
      <c r="M109" s="182"/>
      <c r="N109" s="182"/>
      <c r="O109" s="162"/>
      <c r="P109" s="2000"/>
      <c r="Q109" s="2000"/>
      <c r="R109" s="2000"/>
      <c r="S109" s="2000"/>
      <c r="T109" s="2000"/>
      <c r="U109" s="2000"/>
      <c r="V109" s="2000"/>
      <c r="W109" s="2000"/>
      <c r="X109" s="2000"/>
      <c r="Y109" s="2001"/>
      <c r="Z109" s="272"/>
      <c r="AA109" s="272"/>
      <c r="AB109" s="272"/>
      <c r="AC109" s="166"/>
      <c r="AD109" s="2002"/>
      <c r="AE109" s="2002"/>
      <c r="AF109" s="2002"/>
      <c r="AG109" s="2002"/>
      <c r="AH109" s="2002"/>
      <c r="AI109" s="2002"/>
      <c r="AJ109" s="2002"/>
      <c r="AK109" s="2002"/>
      <c r="AL109" s="167"/>
      <c r="AM109" s="87"/>
      <c r="AN109" s="87"/>
      <c r="AO109" s="87"/>
      <c r="AP109" s="87"/>
      <c r="AQ109" s="87"/>
      <c r="AR109" s="2003"/>
      <c r="AS109" s="2003"/>
      <c r="AT109" s="2003"/>
      <c r="AU109" s="2003"/>
      <c r="AV109" s="87"/>
      <c r="AW109" s="166"/>
      <c r="AX109" s="1991"/>
      <c r="AY109" s="1991"/>
      <c r="AZ109" s="1991"/>
      <c r="BA109" s="1991"/>
      <c r="BB109" s="1991"/>
      <c r="BC109" s="1991"/>
      <c r="BD109" s="1991"/>
      <c r="BE109" s="1991"/>
      <c r="BF109" s="167"/>
      <c r="BG109" s="117"/>
      <c r="BH109" s="117"/>
      <c r="BI109" s="117"/>
      <c r="BJ109" s="166"/>
      <c r="BK109" s="1991"/>
      <c r="BL109" s="1991"/>
      <c r="BM109" s="1991"/>
      <c r="BN109" s="1991"/>
      <c r="BO109" s="1991"/>
      <c r="BP109" s="1991"/>
      <c r="BQ109" s="1991"/>
      <c r="BR109" s="1991"/>
      <c r="BS109" s="167"/>
      <c r="BT109" s="117"/>
      <c r="BU109" s="117"/>
      <c r="BV109" s="117"/>
      <c r="BW109" s="166"/>
      <c r="BX109" s="2020"/>
      <c r="BY109" s="2020"/>
      <c r="BZ109" s="2020"/>
      <c r="CA109" s="2020"/>
      <c r="CB109" s="2020"/>
      <c r="CC109" s="2020"/>
      <c r="CD109" s="2020"/>
      <c r="CE109" s="2020"/>
      <c r="CF109" s="264"/>
      <c r="CG109" s="117"/>
      <c r="CH109" s="117"/>
      <c r="CI109" s="117"/>
      <c r="CJ109" s="266"/>
      <c r="CK109" s="1991"/>
      <c r="CL109" s="1991"/>
      <c r="CM109" s="1991"/>
      <c r="CN109" s="1991"/>
      <c r="CO109" s="1991"/>
      <c r="CP109" s="1991"/>
      <c r="CQ109" s="1991"/>
      <c r="CR109" s="1991"/>
      <c r="CS109" s="167"/>
      <c r="CT109" s="87"/>
      <c r="CU109" s="87"/>
      <c r="CV109" s="87"/>
      <c r="CW109" s="87"/>
      <c r="DA109" s="162"/>
      <c r="DB109" s="1919"/>
      <c r="DC109" s="1919"/>
      <c r="DD109" s="1919"/>
      <c r="DE109" s="1919"/>
      <c r="DF109" s="1919"/>
      <c r="DG109" s="1919"/>
      <c r="DH109" s="1919"/>
      <c r="DI109" s="1919"/>
      <c r="DJ109" s="1919"/>
      <c r="DK109" s="1919"/>
      <c r="DL109" s="1919"/>
      <c r="DM109" s="1919"/>
      <c r="DN109" s="1919"/>
      <c r="DO109" s="1919"/>
      <c r="DP109" s="1919"/>
      <c r="DQ109" s="163"/>
      <c r="DR109" s="87"/>
      <c r="DS109" s="87"/>
      <c r="DT109" s="87"/>
      <c r="DU109" s="87"/>
      <c r="DV109" s="87"/>
      <c r="DW109" s="162"/>
      <c r="DX109" s="1919"/>
      <c r="DY109" s="1919"/>
      <c r="DZ109" s="1919"/>
      <c r="EA109" s="1919"/>
      <c r="EB109" s="1919"/>
      <c r="EC109" s="1919"/>
      <c r="ED109" s="1919"/>
      <c r="EE109" s="1919"/>
      <c r="EF109" s="1919"/>
      <c r="EG109" s="1919"/>
      <c r="EH109" s="1919"/>
      <c r="EI109" s="1919"/>
      <c r="EJ109" s="1919"/>
      <c r="EK109" s="1919"/>
      <c r="EL109" s="1919"/>
      <c r="EM109" s="163"/>
      <c r="EN109" s="281"/>
      <c r="EO109" s="1901"/>
      <c r="EP109" s="1902"/>
      <c r="EQ109" s="170"/>
      <c r="ER109" s="1987"/>
      <c r="ES109" s="1988"/>
      <c r="ET109" s="87"/>
      <c r="EU109" s="87"/>
      <c r="EV109" s="87"/>
      <c r="EW109" s="87"/>
      <c r="EX109" s="87"/>
      <c r="EY109" s="87"/>
    </row>
    <row r="110" spans="1:158" ht="9" customHeight="1" thickTop="1">
      <c r="A110" s="87"/>
      <c r="B110" s="112"/>
      <c r="C110" s="87"/>
      <c r="D110" s="87"/>
      <c r="E110" s="112"/>
      <c r="F110" s="88"/>
      <c r="G110" s="146"/>
      <c r="H110" s="249"/>
      <c r="I110" s="250"/>
      <c r="J110" s="251"/>
      <c r="K110" s="87"/>
      <c r="L110" s="87"/>
      <c r="M110" s="87"/>
      <c r="N110" s="87"/>
      <c r="O110" s="162"/>
      <c r="P110" s="2000"/>
      <c r="Q110" s="2000"/>
      <c r="R110" s="2000"/>
      <c r="S110" s="2000"/>
      <c r="T110" s="2000"/>
      <c r="U110" s="2000"/>
      <c r="V110" s="2000"/>
      <c r="W110" s="2000"/>
      <c r="X110" s="2000"/>
      <c r="Y110" s="2001"/>
      <c r="Z110" s="87"/>
      <c r="AA110" s="87"/>
      <c r="AB110" s="87"/>
      <c r="AC110" s="166"/>
      <c r="AD110" s="2002"/>
      <c r="AE110" s="2002"/>
      <c r="AF110" s="2002"/>
      <c r="AG110" s="2002"/>
      <c r="AH110" s="2002"/>
      <c r="AI110" s="2002"/>
      <c r="AJ110" s="2002"/>
      <c r="AK110" s="2002"/>
      <c r="AL110" s="167"/>
      <c r="AM110" s="87"/>
      <c r="AN110" s="117"/>
      <c r="AO110" s="117"/>
      <c r="AP110" s="117"/>
      <c r="AQ110" s="87"/>
      <c r="AR110" s="2003"/>
      <c r="AS110" s="2003"/>
      <c r="AT110" s="2003"/>
      <c r="AU110" s="2003"/>
      <c r="AV110" s="87"/>
      <c r="AW110" s="166"/>
      <c r="AX110" s="1991"/>
      <c r="AY110" s="1991"/>
      <c r="AZ110" s="1991"/>
      <c r="BA110" s="1991"/>
      <c r="BB110" s="1991"/>
      <c r="BC110" s="1991"/>
      <c r="BD110" s="1991"/>
      <c r="BE110" s="1991"/>
      <c r="BF110" s="167"/>
      <c r="BG110" s="87"/>
      <c r="BH110" s="87"/>
      <c r="BI110" s="87"/>
      <c r="BJ110" s="166"/>
      <c r="BK110" s="1991"/>
      <c r="BL110" s="1991"/>
      <c r="BM110" s="1991"/>
      <c r="BN110" s="1991"/>
      <c r="BO110" s="1991"/>
      <c r="BP110" s="1991"/>
      <c r="BQ110" s="1991"/>
      <c r="BR110" s="1991"/>
      <c r="BS110" s="167"/>
      <c r="BT110" s="87"/>
      <c r="BU110" s="87"/>
      <c r="BV110" s="87"/>
      <c r="BW110" s="166"/>
      <c r="BX110" s="2020"/>
      <c r="BY110" s="2020"/>
      <c r="BZ110" s="2020"/>
      <c r="CA110" s="2020"/>
      <c r="CB110" s="2020"/>
      <c r="CC110" s="2020"/>
      <c r="CD110" s="2020"/>
      <c r="CE110" s="2020"/>
      <c r="CF110" s="264"/>
      <c r="CG110" s="87"/>
      <c r="CH110" s="87"/>
      <c r="CI110" s="87"/>
      <c r="CJ110" s="266"/>
      <c r="CK110" s="1991"/>
      <c r="CL110" s="1991"/>
      <c r="CM110" s="1991"/>
      <c r="CN110" s="1991"/>
      <c r="CO110" s="1991"/>
      <c r="CP110" s="1991"/>
      <c r="CQ110" s="1991"/>
      <c r="CR110" s="1991"/>
      <c r="CS110" s="167"/>
      <c r="CT110" s="87"/>
      <c r="CU110" s="87"/>
      <c r="CV110" s="87"/>
      <c r="CW110" s="87"/>
      <c r="DA110" s="162"/>
      <c r="DB110" s="1919"/>
      <c r="DC110" s="1919"/>
      <c r="DD110" s="1919"/>
      <c r="DE110" s="1919"/>
      <c r="DF110" s="1919"/>
      <c r="DG110" s="1919"/>
      <c r="DH110" s="1919"/>
      <c r="DI110" s="1919"/>
      <c r="DJ110" s="1919"/>
      <c r="DK110" s="1919"/>
      <c r="DL110" s="1919"/>
      <c r="DM110" s="1919"/>
      <c r="DN110" s="1919"/>
      <c r="DO110" s="1919"/>
      <c r="DP110" s="1919"/>
      <c r="DQ110" s="163"/>
      <c r="DR110" s="87"/>
      <c r="DS110" s="87"/>
      <c r="DT110" s="87"/>
      <c r="DU110" s="87"/>
      <c r="DV110" s="87"/>
      <c r="DW110" s="162"/>
      <c r="DX110" s="1919"/>
      <c r="DY110" s="1919"/>
      <c r="DZ110" s="1919"/>
      <c r="EA110" s="1919"/>
      <c r="EB110" s="1919"/>
      <c r="EC110" s="1919"/>
      <c r="ED110" s="1919"/>
      <c r="EE110" s="1919"/>
      <c r="EF110" s="1919"/>
      <c r="EG110" s="1919"/>
      <c r="EH110" s="1919"/>
      <c r="EI110" s="1919"/>
      <c r="EJ110" s="1919"/>
      <c r="EK110" s="1919"/>
      <c r="EL110" s="1919"/>
      <c r="EM110" s="163"/>
      <c r="EN110" s="281"/>
      <c r="EO110" s="1901"/>
      <c r="EP110" s="1902"/>
      <c r="EQ110" s="170"/>
      <c r="ER110" s="1987"/>
      <c r="ES110" s="1988"/>
      <c r="ET110" s="87"/>
      <c r="EU110" s="87"/>
      <c r="EV110" s="87"/>
      <c r="EW110" s="87"/>
      <c r="EX110" s="87"/>
      <c r="EY110" s="87"/>
    </row>
    <row r="111" spans="1:158" ht="9" customHeight="1" thickBot="1">
      <c r="A111" s="87"/>
      <c r="B111" s="112"/>
      <c r="C111" s="87"/>
      <c r="D111" s="87"/>
      <c r="E111" s="112"/>
      <c r="F111" s="88"/>
      <c r="G111" s="146"/>
      <c r="H111" s="249"/>
      <c r="I111" s="250"/>
      <c r="J111" s="251"/>
      <c r="K111" s="87"/>
      <c r="L111" s="87"/>
      <c r="M111" s="87"/>
      <c r="N111" s="87"/>
      <c r="O111" s="154"/>
      <c r="P111" s="1248"/>
      <c r="Q111" s="1248"/>
      <c r="R111" s="1248"/>
      <c r="S111" s="1248"/>
      <c r="T111" s="1248"/>
      <c r="U111" s="1248"/>
      <c r="V111" s="1248"/>
      <c r="W111" s="1248"/>
      <c r="X111" s="1248"/>
      <c r="Y111" s="1249"/>
      <c r="Z111" s="87"/>
      <c r="AA111" s="87"/>
      <c r="AB111" s="87"/>
      <c r="AC111" s="160"/>
      <c r="AD111" s="240"/>
      <c r="AE111" s="240"/>
      <c r="AF111" s="240"/>
      <c r="AG111" s="240"/>
      <c r="AH111" s="240"/>
      <c r="AI111" s="240"/>
      <c r="AJ111" s="240"/>
      <c r="AK111" s="240"/>
      <c r="AL111" s="158"/>
      <c r="AM111" s="87"/>
      <c r="AN111" s="87"/>
      <c r="AO111" s="87"/>
      <c r="AP111" s="87"/>
      <c r="AQ111" s="87"/>
      <c r="AR111" s="87"/>
      <c r="AS111" s="87"/>
      <c r="AT111" s="87"/>
      <c r="AU111" s="87"/>
      <c r="AV111" s="87"/>
      <c r="AW111" s="160"/>
      <c r="AX111" s="240"/>
      <c r="AY111" s="240"/>
      <c r="AZ111" s="240"/>
      <c r="BA111" s="240"/>
      <c r="BB111" s="240"/>
      <c r="BC111" s="240"/>
      <c r="BD111" s="240"/>
      <c r="BE111" s="240"/>
      <c r="BF111" s="158"/>
      <c r="BG111" s="87"/>
      <c r="BH111" s="87"/>
      <c r="BI111" s="87"/>
      <c r="BJ111" s="160"/>
      <c r="BK111" s="240"/>
      <c r="BL111" s="240"/>
      <c r="BM111" s="240"/>
      <c r="BN111" s="240"/>
      <c r="BO111" s="240"/>
      <c r="BP111" s="240"/>
      <c r="BQ111" s="240"/>
      <c r="BR111" s="240"/>
      <c r="BS111" s="158"/>
      <c r="BT111" s="87"/>
      <c r="BU111" s="87"/>
      <c r="BV111" s="87"/>
      <c r="BW111" s="160"/>
      <c r="BX111" s="204"/>
      <c r="BY111" s="204"/>
      <c r="BZ111" s="204"/>
      <c r="CA111" s="204"/>
      <c r="CB111" s="204"/>
      <c r="CC111" s="204"/>
      <c r="CD111" s="204"/>
      <c r="CE111" s="204"/>
      <c r="CF111" s="274"/>
      <c r="CG111" s="87"/>
      <c r="CH111" s="87"/>
      <c r="CI111" s="87"/>
      <c r="CJ111" s="203"/>
      <c r="CK111" s="204"/>
      <c r="CL111" s="204"/>
      <c r="CM111" s="204"/>
      <c r="CN111" s="204"/>
      <c r="CO111" s="204"/>
      <c r="CP111" s="204"/>
      <c r="CQ111" s="204"/>
      <c r="CR111" s="204"/>
      <c r="CS111" s="158"/>
      <c r="CT111" s="87"/>
      <c r="CU111" s="87"/>
      <c r="CV111" s="87"/>
      <c r="CW111" s="87"/>
      <c r="DA111" s="154"/>
      <c r="DB111" s="1920"/>
      <c r="DC111" s="1920"/>
      <c r="DD111" s="1920"/>
      <c r="DE111" s="1920"/>
      <c r="DF111" s="1920"/>
      <c r="DG111" s="1920"/>
      <c r="DH111" s="1920"/>
      <c r="DI111" s="1920"/>
      <c r="DJ111" s="1920"/>
      <c r="DK111" s="1920"/>
      <c r="DL111" s="1920"/>
      <c r="DM111" s="1920"/>
      <c r="DN111" s="1920"/>
      <c r="DO111" s="1920"/>
      <c r="DP111" s="1920"/>
      <c r="DQ111" s="153"/>
      <c r="DR111" s="87"/>
      <c r="DS111" s="87"/>
      <c r="DT111" s="87"/>
      <c r="DU111" s="87"/>
      <c r="DV111" s="87"/>
      <c r="DW111" s="154"/>
      <c r="DX111" s="1920"/>
      <c r="DY111" s="1920"/>
      <c r="DZ111" s="1920"/>
      <c r="EA111" s="1920"/>
      <c r="EB111" s="1920"/>
      <c r="EC111" s="1920"/>
      <c r="ED111" s="1920"/>
      <c r="EE111" s="1920"/>
      <c r="EF111" s="1920"/>
      <c r="EG111" s="1920"/>
      <c r="EH111" s="1920"/>
      <c r="EI111" s="1920"/>
      <c r="EJ111" s="1920"/>
      <c r="EK111" s="1920"/>
      <c r="EL111" s="1920"/>
      <c r="EM111" s="153"/>
      <c r="EN111" s="112"/>
      <c r="EO111" s="1901"/>
      <c r="EP111" s="1902"/>
      <c r="EQ111" s="170"/>
      <c r="ER111" s="1987"/>
      <c r="ES111" s="1988"/>
      <c r="ET111" s="87"/>
      <c r="EU111" s="87"/>
      <c r="EV111" s="87"/>
      <c r="EW111" s="87"/>
      <c r="EX111" s="87"/>
      <c r="EY111" s="87"/>
    </row>
    <row r="112" spans="1:158" ht="9" customHeight="1" thickTop="1" thickBot="1">
      <c r="A112" s="87"/>
      <c r="B112" s="112"/>
      <c r="C112" s="87"/>
      <c r="D112" s="87"/>
      <c r="E112" s="112"/>
      <c r="F112" s="88"/>
      <c r="G112" s="146"/>
      <c r="H112" s="249"/>
      <c r="I112" s="250"/>
      <c r="J112" s="251"/>
      <c r="K112" s="87"/>
      <c r="L112" s="87"/>
      <c r="M112" s="87"/>
      <c r="N112" s="87"/>
      <c r="O112" s="87"/>
      <c r="P112" s="1250"/>
      <c r="Q112" s="1250"/>
      <c r="R112" s="1250"/>
      <c r="S112" s="1250"/>
      <c r="T112" s="1250"/>
      <c r="U112" s="1250"/>
      <c r="V112" s="1250"/>
      <c r="W112" s="1250"/>
      <c r="X112" s="1250"/>
      <c r="Y112" s="1250"/>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265"/>
      <c r="BY112" s="265"/>
      <c r="BZ112" s="265"/>
      <c r="CA112" s="265"/>
      <c r="CB112" s="265"/>
      <c r="CC112" s="265"/>
      <c r="CD112" s="265"/>
      <c r="CE112" s="265"/>
      <c r="CF112" s="265"/>
      <c r="CG112" s="87"/>
      <c r="CH112" s="87"/>
      <c r="CI112" s="87"/>
      <c r="CJ112" s="265"/>
      <c r="CK112" s="265"/>
      <c r="CL112" s="265"/>
      <c r="CM112" s="265"/>
      <c r="CN112" s="265"/>
      <c r="CO112" s="265"/>
      <c r="CP112" s="265"/>
      <c r="CQ112" s="265"/>
      <c r="CR112" s="265"/>
      <c r="CS112" s="87"/>
      <c r="CT112" s="87"/>
      <c r="CU112" s="87"/>
      <c r="CV112" s="87"/>
      <c r="CW112" s="87"/>
      <c r="DA112" s="87"/>
      <c r="DB112" s="87"/>
      <c r="DC112" s="87"/>
      <c r="DD112" s="87"/>
      <c r="DE112" s="87"/>
      <c r="DF112" s="87"/>
      <c r="DG112" s="87"/>
      <c r="DH112" s="87"/>
      <c r="DI112" s="87"/>
      <c r="DJ112" s="87"/>
      <c r="DK112" s="87"/>
      <c r="DL112" s="87"/>
      <c r="DM112" s="87"/>
      <c r="DN112" s="87"/>
      <c r="DO112" s="87"/>
      <c r="DP112" s="87"/>
      <c r="DQ112" s="87"/>
      <c r="DR112" s="87"/>
      <c r="DS112" s="87"/>
      <c r="DT112" s="87"/>
      <c r="DU112" s="87"/>
      <c r="DV112" s="87"/>
      <c r="DW112" s="87"/>
      <c r="DX112" s="87"/>
      <c r="DY112" s="87"/>
      <c r="DZ112" s="87"/>
      <c r="EA112" s="87"/>
      <c r="EB112" s="87"/>
      <c r="EC112" s="87"/>
      <c r="ED112" s="87"/>
      <c r="EE112" s="87"/>
      <c r="EM112" s="87"/>
      <c r="EN112" s="112"/>
      <c r="EO112" s="1901"/>
      <c r="EP112" s="1902"/>
      <c r="EQ112" s="170"/>
      <c r="ER112" s="1987"/>
      <c r="ES112" s="1988"/>
      <c r="ET112" s="87"/>
      <c r="EU112" s="87"/>
      <c r="EV112" s="87"/>
      <c r="EW112" s="87"/>
      <c r="EX112" s="87"/>
      <c r="EY112" s="87"/>
    </row>
    <row r="113" spans="1:158" ht="9" customHeight="1" thickBot="1">
      <c r="A113" s="87"/>
      <c r="B113" s="87"/>
      <c r="C113" s="256"/>
      <c r="D113" s="87"/>
      <c r="E113" s="112"/>
      <c r="F113" s="88"/>
      <c r="G113" s="146"/>
      <c r="H113" s="249"/>
      <c r="I113" s="250"/>
      <c r="J113" s="251"/>
      <c r="K113" s="87"/>
      <c r="L113" s="87"/>
      <c r="M113" s="87"/>
      <c r="N113" s="87"/>
      <c r="O113" s="87"/>
      <c r="P113" s="1250"/>
      <c r="Q113" s="1250"/>
      <c r="R113" s="1250"/>
      <c r="S113" s="1250"/>
      <c r="T113" s="1250"/>
      <c r="U113" s="1250"/>
      <c r="V113" s="1250"/>
      <c r="W113" s="1250"/>
      <c r="X113" s="1250"/>
      <c r="Y113" s="1250"/>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265"/>
      <c r="BY113" s="265"/>
      <c r="BZ113" s="265"/>
      <c r="CA113" s="265"/>
      <c r="CB113" s="265"/>
      <c r="CC113" s="265"/>
      <c r="CD113" s="265"/>
      <c r="CE113" s="265"/>
      <c r="CF113" s="265"/>
      <c r="CG113" s="87"/>
      <c r="CH113" s="87"/>
      <c r="CI113" s="87"/>
      <c r="CJ113" s="265"/>
      <c r="CK113" s="265"/>
      <c r="CL113" s="265"/>
      <c r="CM113" s="265"/>
      <c r="CN113" s="265"/>
      <c r="CO113" s="265"/>
      <c r="CP113" s="265"/>
      <c r="CQ113" s="265"/>
      <c r="CR113" s="265"/>
      <c r="CS113" s="87"/>
      <c r="CT113" s="87"/>
      <c r="CU113" s="87"/>
      <c r="CV113" s="87"/>
      <c r="CW113" s="87"/>
      <c r="DA113" s="274"/>
      <c r="DB113" s="1992">
        <f>DamageReduction</f>
        <v>0</v>
      </c>
      <c r="DC113" s="1992"/>
      <c r="DD113" s="1992"/>
      <c r="DE113" s="1992"/>
      <c r="DF113" s="1992"/>
      <c r="DG113" s="1992"/>
      <c r="DH113" s="1992"/>
      <c r="DI113" s="1992"/>
      <c r="DJ113" s="1992"/>
      <c r="DK113" s="1992"/>
      <c r="DL113" s="1992"/>
      <c r="DM113" s="1992"/>
      <c r="DN113" s="1992"/>
      <c r="DO113" s="1992"/>
      <c r="DP113" s="1992"/>
      <c r="DQ113" s="160"/>
      <c r="DR113" s="87"/>
      <c r="DS113" s="87"/>
      <c r="DT113" s="87"/>
      <c r="DU113" s="87"/>
      <c r="DV113" s="87"/>
      <c r="DW113" s="274"/>
      <c r="DX113" s="1992"/>
      <c r="DY113" s="1992"/>
      <c r="DZ113" s="1992"/>
      <c r="EA113" s="1992"/>
      <c r="EB113" s="1992"/>
      <c r="EC113" s="1992"/>
      <c r="ED113" s="1992"/>
      <c r="EE113" s="1992"/>
      <c r="EF113" s="1992"/>
      <c r="EG113" s="1992"/>
      <c r="EH113" s="1992"/>
      <c r="EI113" s="1992"/>
      <c r="EJ113" s="1992"/>
      <c r="EK113" s="1992"/>
      <c r="EL113" s="1992"/>
      <c r="EM113" s="160"/>
      <c r="EN113" s="112"/>
      <c r="EO113" s="1901"/>
      <c r="EP113" s="1902"/>
      <c r="EQ113" s="170"/>
      <c r="ER113" s="1987"/>
      <c r="ES113" s="1988"/>
      <c r="ET113" s="87"/>
      <c r="EU113" s="87"/>
      <c r="EV113" s="87"/>
      <c r="EW113" s="87"/>
      <c r="EX113" s="87"/>
      <c r="EY113" s="87"/>
    </row>
    <row r="114" spans="1:158" ht="9" customHeight="1" thickTop="1">
      <c r="A114" s="87"/>
      <c r="B114" s="87"/>
      <c r="C114" s="87"/>
      <c r="D114" s="256"/>
      <c r="E114" s="112"/>
      <c r="F114" s="88"/>
      <c r="G114" s="146"/>
      <c r="H114" s="249"/>
      <c r="I114" s="250"/>
      <c r="J114" s="251"/>
      <c r="K114" s="87"/>
      <c r="L114" s="87"/>
      <c r="M114" s="87"/>
      <c r="N114" s="87"/>
      <c r="O114" s="153"/>
      <c r="P114" s="1251"/>
      <c r="Q114" s="1251"/>
      <c r="R114" s="1251"/>
      <c r="S114" s="1251"/>
      <c r="T114" s="1251"/>
      <c r="U114" s="1251"/>
      <c r="V114" s="1251"/>
      <c r="W114" s="1251"/>
      <c r="X114" s="1251"/>
      <c r="Y114" s="1252"/>
      <c r="Z114" s="87"/>
      <c r="AA114" s="87"/>
      <c r="AB114" s="87"/>
      <c r="AC114" s="158"/>
      <c r="AD114" s="159"/>
      <c r="AE114" s="159"/>
      <c r="AF114" s="159"/>
      <c r="AG114" s="159"/>
      <c r="AH114" s="159"/>
      <c r="AI114" s="159"/>
      <c r="AJ114" s="159"/>
      <c r="AK114" s="159"/>
      <c r="AL114" s="160"/>
      <c r="AM114" s="87"/>
      <c r="AN114" s="87"/>
      <c r="AO114" s="87"/>
      <c r="AP114" s="87"/>
      <c r="AQ114" s="87"/>
      <c r="AR114" s="87"/>
      <c r="AS114" s="87"/>
      <c r="AT114" s="87"/>
      <c r="AU114" s="87"/>
      <c r="AV114" s="87"/>
      <c r="AW114" s="158" t="e">
        <f>HeroicLvl+ArmourFort</f>
        <v>#NAME?</v>
      </c>
      <c r="AX114" s="159"/>
      <c r="AY114" s="159"/>
      <c r="AZ114" s="159"/>
      <c r="BA114" s="159"/>
      <c r="BB114" s="159"/>
      <c r="BC114" s="159"/>
      <c r="BD114" s="159"/>
      <c r="BE114" s="159"/>
      <c r="BF114" s="160"/>
      <c r="BG114" s="87"/>
      <c r="BH114" s="87"/>
      <c r="BI114" s="87"/>
      <c r="BJ114" s="158"/>
      <c r="BK114" s="159"/>
      <c r="BL114" s="159"/>
      <c r="BM114" s="159"/>
      <c r="BN114" s="159"/>
      <c r="BO114" s="159"/>
      <c r="BP114" s="159"/>
      <c r="BQ114" s="159"/>
      <c r="BR114" s="159"/>
      <c r="BS114" s="160"/>
      <c r="BT114" s="87"/>
      <c r="BU114" s="87"/>
      <c r="BV114" s="87"/>
      <c r="BW114" s="158"/>
      <c r="BX114" s="280"/>
      <c r="BY114" s="280"/>
      <c r="BZ114" s="280"/>
      <c r="CA114" s="280"/>
      <c r="CB114" s="280"/>
      <c r="CC114" s="280"/>
      <c r="CD114" s="280"/>
      <c r="CE114" s="280"/>
      <c r="CF114" s="203"/>
      <c r="CG114" s="87"/>
      <c r="CH114" s="87"/>
      <c r="CI114" s="87"/>
      <c r="CJ114" s="274"/>
      <c r="CK114" s="280"/>
      <c r="CL114" s="280"/>
      <c r="CM114" s="280"/>
      <c r="CN114" s="280"/>
      <c r="CO114" s="280"/>
      <c r="CP114" s="280"/>
      <c r="CQ114" s="280"/>
      <c r="CR114" s="280"/>
      <c r="CS114" s="160"/>
      <c r="CT114" s="87"/>
      <c r="CU114" s="87"/>
      <c r="CV114" s="87"/>
      <c r="CW114" s="87"/>
      <c r="CX114" s="87"/>
      <c r="CY114" s="87"/>
      <c r="CZ114" s="87"/>
      <c r="DA114" s="266"/>
      <c r="DB114" s="1993"/>
      <c r="DC114" s="1993"/>
      <c r="DD114" s="1993"/>
      <c r="DE114" s="1993"/>
      <c r="DF114" s="1993"/>
      <c r="DG114" s="1993"/>
      <c r="DH114" s="1993"/>
      <c r="DI114" s="1993"/>
      <c r="DJ114" s="1993"/>
      <c r="DK114" s="1993"/>
      <c r="DL114" s="1993"/>
      <c r="DM114" s="1993"/>
      <c r="DN114" s="1993"/>
      <c r="DO114" s="1993"/>
      <c r="DP114" s="1993"/>
      <c r="DQ114" s="167"/>
      <c r="DR114" s="109"/>
      <c r="DS114" s="87"/>
      <c r="DT114" s="87"/>
      <c r="DU114" s="87"/>
      <c r="DV114" s="87"/>
      <c r="DW114" s="266"/>
      <c r="DX114" s="1993"/>
      <c r="DY114" s="1993"/>
      <c r="DZ114" s="1993"/>
      <c r="EA114" s="1993"/>
      <c r="EB114" s="1993"/>
      <c r="EC114" s="1993"/>
      <c r="ED114" s="1993"/>
      <c r="EE114" s="1993"/>
      <c r="EF114" s="1993"/>
      <c r="EG114" s="1993"/>
      <c r="EH114" s="1993"/>
      <c r="EI114" s="1993"/>
      <c r="EJ114" s="1993"/>
      <c r="EK114" s="1993"/>
      <c r="EL114" s="1993"/>
      <c r="EM114" s="167"/>
      <c r="EN114" s="112"/>
      <c r="EO114" s="1901"/>
      <c r="EP114" s="1902"/>
      <c r="EQ114" s="87"/>
      <c r="ER114" s="283"/>
      <c r="ES114" s="87"/>
      <c r="ET114" s="283"/>
      <c r="EU114" s="87"/>
      <c r="EV114" s="87"/>
      <c r="EW114" s="87"/>
      <c r="EX114" s="87"/>
      <c r="EY114" s="87"/>
      <c r="EZ114" s="87"/>
      <c r="FA114" s="87"/>
      <c r="FB114" s="87"/>
    </row>
    <row r="115" spans="1:158" ht="9" customHeight="1" thickBot="1">
      <c r="A115" s="87"/>
      <c r="B115" s="87"/>
      <c r="C115" s="87"/>
      <c r="D115" s="87"/>
      <c r="E115" s="259"/>
      <c r="F115" s="88"/>
      <c r="G115" s="146"/>
      <c r="H115" s="249"/>
      <c r="I115" s="250"/>
      <c r="J115" s="251"/>
      <c r="K115" s="87"/>
      <c r="L115" s="87"/>
      <c r="M115" s="87"/>
      <c r="N115" s="87"/>
      <c r="O115" s="162"/>
      <c r="P115" s="2000" t="s">
        <v>3610</v>
      </c>
      <c r="Q115" s="2000"/>
      <c r="R115" s="2000"/>
      <c r="S115" s="2000"/>
      <c r="T115" s="2000"/>
      <c r="U115" s="2000"/>
      <c r="V115" s="2000"/>
      <c r="W115" s="2000"/>
      <c r="X115" s="2000"/>
      <c r="Y115" s="2001"/>
      <c r="Z115" s="87"/>
      <c r="AA115" s="87"/>
      <c r="AB115" s="87"/>
      <c r="AC115" s="166"/>
      <c r="AD115" s="2002">
        <f ca="1">WillDefense</f>
        <v>10</v>
      </c>
      <c r="AE115" s="2002"/>
      <c r="AF115" s="2002"/>
      <c r="AG115" s="2002"/>
      <c r="AH115" s="2002"/>
      <c r="AI115" s="2002"/>
      <c r="AJ115" s="2002"/>
      <c r="AK115" s="2002"/>
      <c r="AL115" s="167"/>
      <c r="AM115" s="87"/>
      <c r="AN115" s="117"/>
      <c r="AO115" s="117"/>
      <c r="AP115" s="117"/>
      <c r="AQ115" s="87"/>
      <c r="AR115" s="2003" t="s">
        <v>3605</v>
      </c>
      <c r="AS115" s="2003"/>
      <c r="AT115" s="2003"/>
      <c r="AU115" s="2003"/>
      <c r="AV115" s="87"/>
      <c r="AW115" s="166"/>
      <c r="AX115" s="1991">
        <f>CharacterLevel</f>
        <v>0</v>
      </c>
      <c r="AY115" s="1991"/>
      <c r="AZ115" s="1991"/>
      <c r="BA115" s="1991"/>
      <c r="BB115" s="1991"/>
      <c r="BC115" s="1991"/>
      <c r="BD115" s="1991"/>
      <c r="BE115" s="1991"/>
      <c r="BF115" s="167"/>
      <c r="BG115" s="87"/>
      <c r="BH115" s="87"/>
      <c r="BI115" s="87"/>
      <c r="BJ115" s="166"/>
      <c r="BK115" s="1991">
        <f>ClassWill</f>
        <v>0</v>
      </c>
      <c r="BL115" s="1991"/>
      <c r="BM115" s="1991"/>
      <c r="BN115" s="1991"/>
      <c r="BO115" s="1991"/>
      <c r="BP115" s="1991"/>
      <c r="BQ115" s="1991"/>
      <c r="BR115" s="1991"/>
      <c r="BS115" s="167"/>
      <c r="BT115" s="87"/>
      <c r="BU115" s="87"/>
      <c r="BV115" s="87"/>
      <c r="BW115" s="166"/>
      <c r="BX115" s="2020" t="str">
        <f ca="1">'Armor and Defenses'!X6</f>
        <v/>
      </c>
      <c r="BY115" s="2020"/>
      <c r="BZ115" s="2020"/>
      <c r="CA115" s="2020"/>
      <c r="CB115" s="2020"/>
      <c r="CC115" s="2020"/>
      <c r="CD115" s="2020"/>
      <c r="CE115" s="2020"/>
      <c r="CF115" s="264"/>
      <c r="CG115" s="87"/>
      <c r="CH115" s="87"/>
      <c r="CI115" s="87"/>
      <c r="CJ115" s="266"/>
      <c r="CK115" s="1991">
        <f ca="1">'Armor and Defenses'!X16+'Armor and Defenses'!X9+'Armor and Defenses'!X10+'Armor and Defenses'!X11</f>
        <v>0</v>
      </c>
      <c r="CL115" s="1991"/>
      <c r="CM115" s="1991"/>
      <c r="CN115" s="1991"/>
      <c r="CO115" s="1991"/>
      <c r="CP115" s="1991"/>
      <c r="CQ115" s="1991"/>
      <c r="CR115" s="1991"/>
      <c r="CS115" s="167"/>
      <c r="CT115" s="87"/>
      <c r="CU115" s="87"/>
      <c r="CV115" s="87"/>
      <c r="CW115" s="87"/>
      <c r="CX115" s="87"/>
      <c r="CY115" s="87"/>
      <c r="CZ115" s="87"/>
      <c r="DA115" s="266"/>
      <c r="DB115" s="1993"/>
      <c r="DC115" s="1993"/>
      <c r="DD115" s="1993"/>
      <c r="DE115" s="1993"/>
      <c r="DF115" s="1993"/>
      <c r="DG115" s="1993"/>
      <c r="DH115" s="1993"/>
      <c r="DI115" s="1993"/>
      <c r="DJ115" s="1993"/>
      <c r="DK115" s="1993"/>
      <c r="DL115" s="1993"/>
      <c r="DM115" s="1993"/>
      <c r="DN115" s="1993"/>
      <c r="DO115" s="1993"/>
      <c r="DP115" s="1993"/>
      <c r="DQ115" s="167"/>
      <c r="DR115" s="109"/>
      <c r="DS115" s="87"/>
      <c r="DT115" s="87"/>
      <c r="DU115" s="87"/>
      <c r="DV115" s="87"/>
      <c r="DW115" s="266"/>
      <c r="DX115" s="1993"/>
      <c r="DY115" s="1993"/>
      <c r="DZ115" s="1993"/>
      <c r="EA115" s="1993"/>
      <c r="EB115" s="1993"/>
      <c r="EC115" s="1993"/>
      <c r="ED115" s="1993"/>
      <c r="EE115" s="1993"/>
      <c r="EF115" s="1993"/>
      <c r="EG115" s="1993"/>
      <c r="EH115" s="1993"/>
      <c r="EI115" s="1993"/>
      <c r="EJ115" s="1993"/>
      <c r="EK115" s="1993"/>
      <c r="EL115" s="1993"/>
      <c r="EM115" s="167"/>
      <c r="EN115" s="112"/>
      <c r="EO115" s="1901"/>
      <c r="EP115" s="1902"/>
      <c r="EQ115" s="87"/>
      <c r="ER115" s="87"/>
      <c r="ES115" s="283"/>
      <c r="ET115" s="87"/>
      <c r="EU115" s="283"/>
      <c r="EV115" s="87"/>
      <c r="EW115" s="87"/>
      <c r="EX115" s="87"/>
      <c r="EY115" s="87"/>
      <c r="EZ115" s="87"/>
      <c r="FA115" s="87"/>
      <c r="FB115" s="87"/>
    </row>
    <row r="116" spans="1:158" ht="9" customHeight="1" thickTop="1" thickBot="1">
      <c r="A116" s="87"/>
      <c r="B116" s="87"/>
      <c r="C116" s="87"/>
      <c r="D116" s="87"/>
      <c r="E116" s="87"/>
      <c r="F116" s="88"/>
      <c r="G116" s="146"/>
      <c r="H116" s="269"/>
      <c r="I116" s="270"/>
      <c r="J116" s="271"/>
      <c r="K116" s="182"/>
      <c r="L116" s="182"/>
      <c r="M116" s="182"/>
      <c r="N116" s="182"/>
      <c r="O116" s="162"/>
      <c r="P116" s="2000"/>
      <c r="Q116" s="2000"/>
      <c r="R116" s="2000"/>
      <c r="S116" s="2000"/>
      <c r="T116" s="2000"/>
      <c r="U116" s="2000"/>
      <c r="V116" s="2000"/>
      <c r="W116" s="2000"/>
      <c r="X116" s="2000"/>
      <c r="Y116" s="2001"/>
      <c r="Z116" s="272"/>
      <c r="AA116" s="272"/>
      <c r="AB116" s="272"/>
      <c r="AC116" s="166"/>
      <c r="AD116" s="2002"/>
      <c r="AE116" s="2002"/>
      <c r="AF116" s="2002"/>
      <c r="AG116" s="2002"/>
      <c r="AH116" s="2002"/>
      <c r="AI116" s="2002"/>
      <c r="AJ116" s="2002"/>
      <c r="AK116" s="2002"/>
      <c r="AL116" s="167"/>
      <c r="AM116" s="87"/>
      <c r="AN116" s="87"/>
      <c r="AO116" s="87"/>
      <c r="AP116" s="87"/>
      <c r="AQ116" s="87"/>
      <c r="AR116" s="2003"/>
      <c r="AS116" s="2003"/>
      <c r="AT116" s="2003"/>
      <c r="AU116" s="2003"/>
      <c r="AV116" s="87"/>
      <c r="AW116" s="166"/>
      <c r="AX116" s="1991"/>
      <c r="AY116" s="1991"/>
      <c r="AZ116" s="1991"/>
      <c r="BA116" s="1991"/>
      <c r="BB116" s="1991"/>
      <c r="BC116" s="1991"/>
      <c r="BD116" s="1991"/>
      <c r="BE116" s="1991"/>
      <c r="BF116" s="167"/>
      <c r="BG116" s="117"/>
      <c r="BH116" s="117"/>
      <c r="BI116" s="117"/>
      <c r="BJ116" s="166"/>
      <c r="BK116" s="1991"/>
      <c r="BL116" s="1991"/>
      <c r="BM116" s="1991"/>
      <c r="BN116" s="1991"/>
      <c r="BO116" s="1991"/>
      <c r="BP116" s="1991"/>
      <c r="BQ116" s="1991"/>
      <c r="BR116" s="1991"/>
      <c r="BS116" s="167"/>
      <c r="BT116" s="117"/>
      <c r="BU116" s="117"/>
      <c r="BV116" s="117"/>
      <c r="BW116" s="166"/>
      <c r="BX116" s="2020"/>
      <c r="BY116" s="2020"/>
      <c r="BZ116" s="2020"/>
      <c r="CA116" s="2020"/>
      <c r="CB116" s="2020"/>
      <c r="CC116" s="2020"/>
      <c r="CD116" s="2020"/>
      <c r="CE116" s="2020"/>
      <c r="CF116" s="264"/>
      <c r="CG116" s="117"/>
      <c r="CH116" s="117"/>
      <c r="CI116" s="117"/>
      <c r="CJ116" s="266"/>
      <c r="CK116" s="1991"/>
      <c r="CL116" s="1991"/>
      <c r="CM116" s="1991"/>
      <c r="CN116" s="1991"/>
      <c r="CO116" s="1991"/>
      <c r="CP116" s="1991"/>
      <c r="CQ116" s="1991"/>
      <c r="CR116" s="1991"/>
      <c r="CS116" s="167"/>
      <c r="CT116" s="87"/>
      <c r="CU116" s="87"/>
      <c r="CV116" s="87"/>
      <c r="CW116" s="87"/>
      <c r="CX116" s="87"/>
      <c r="CY116" s="87"/>
      <c r="CZ116" s="87"/>
      <c r="DA116" s="160"/>
      <c r="DB116" s="1994"/>
      <c r="DC116" s="1994"/>
      <c r="DD116" s="1994"/>
      <c r="DE116" s="1994"/>
      <c r="DF116" s="1994"/>
      <c r="DG116" s="1994"/>
      <c r="DH116" s="1994"/>
      <c r="DI116" s="1994"/>
      <c r="DJ116" s="1994"/>
      <c r="DK116" s="1994"/>
      <c r="DL116" s="1994"/>
      <c r="DM116" s="1994"/>
      <c r="DN116" s="1994"/>
      <c r="DO116" s="1994"/>
      <c r="DP116" s="1994"/>
      <c r="DQ116" s="158"/>
      <c r="DR116" s="109"/>
      <c r="DS116" s="87"/>
      <c r="DT116" s="87"/>
      <c r="DU116" s="87"/>
      <c r="DV116" s="87"/>
      <c r="DW116" s="160"/>
      <c r="DX116" s="1994"/>
      <c r="DY116" s="1994"/>
      <c r="DZ116" s="1994"/>
      <c r="EA116" s="1994"/>
      <c r="EB116" s="1994"/>
      <c r="EC116" s="1994"/>
      <c r="ED116" s="1994"/>
      <c r="EE116" s="1994"/>
      <c r="EF116" s="1994"/>
      <c r="EG116" s="1994"/>
      <c r="EH116" s="1994"/>
      <c r="EI116" s="1994"/>
      <c r="EJ116" s="1994"/>
      <c r="EK116" s="1994"/>
      <c r="EL116" s="1994"/>
      <c r="EM116" s="158"/>
      <c r="EN116" s="112"/>
      <c r="EO116" s="1901"/>
      <c r="EP116" s="1902"/>
      <c r="EQ116" s="87"/>
      <c r="ER116" s="87"/>
      <c r="ES116" s="87"/>
      <c r="ET116" s="283"/>
      <c r="EU116" s="87"/>
      <c r="EV116" s="283"/>
      <c r="EW116" s="87"/>
      <c r="EX116" s="87"/>
      <c r="EY116" s="87"/>
      <c r="EZ116" s="87"/>
      <c r="FA116" s="87"/>
      <c r="FB116" s="87"/>
    </row>
    <row r="117" spans="1:158" ht="9" customHeight="1" thickTop="1" thickBot="1">
      <c r="A117" s="87"/>
      <c r="B117" s="87"/>
      <c r="C117" s="87"/>
      <c r="D117" s="87"/>
      <c r="E117" s="87"/>
      <c r="F117" s="88"/>
      <c r="G117" s="88"/>
      <c r="H117" s="249"/>
      <c r="I117" s="1997"/>
      <c r="J117" s="1998"/>
      <c r="K117" s="87"/>
      <c r="L117" s="87"/>
      <c r="M117" s="87"/>
      <c r="N117" s="87"/>
      <c r="O117" s="162"/>
      <c r="P117" s="2000"/>
      <c r="Q117" s="2000"/>
      <c r="R117" s="2000"/>
      <c r="S117" s="2000"/>
      <c r="T117" s="2000"/>
      <c r="U117" s="2000"/>
      <c r="V117" s="2000"/>
      <c r="W117" s="2000"/>
      <c r="X117" s="2000"/>
      <c r="Y117" s="2001"/>
      <c r="Z117" s="87"/>
      <c r="AA117" s="87"/>
      <c r="AB117" s="87"/>
      <c r="AC117" s="166"/>
      <c r="AD117" s="2002"/>
      <c r="AE117" s="2002"/>
      <c r="AF117" s="2002"/>
      <c r="AG117" s="2002"/>
      <c r="AH117" s="2002"/>
      <c r="AI117" s="2002"/>
      <c r="AJ117" s="2002"/>
      <c r="AK117" s="2002"/>
      <c r="AL117" s="167"/>
      <c r="AM117" s="87"/>
      <c r="AN117" s="117"/>
      <c r="AO117" s="117"/>
      <c r="AP117" s="117"/>
      <c r="AQ117" s="87"/>
      <c r="AR117" s="2003"/>
      <c r="AS117" s="2003"/>
      <c r="AT117" s="2003"/>
      <c r="AU117" s="2003"/>
      <c r="AV117" s="87"/>
      <c r="AW117" s="166"/>
      <c r="AX117" s="1991"/>
      <c r="AY117" s="1991"/>
      <c r="AZ117" s="1991"/>
      <c r="BA117" s="1991"/>
      <c r="BB117" s="1991"/>
      <c r="BC117" s="1991"/>
      <c r="BD117" s="1991"/>
      <c r="BE117" s="1991"/>
      <c r="BF117" s="167"/>
      <c r="BG117" s="87"/>
      <c r="BH117" s="87"/>
      <c r="BI117" s="87"/>
      <c r="BJ117" s="166"/>
      <c r="BK117" s="1991"/>
      <c r="BL117" s="1991"/>
      <c r="BM117" s="1991"/>
      <c r="BN117" s="1991"/>
      <c r="BO117" s="1991"/>
      <c r="BP117" s="1991"/>
      <c r="BQ117" s="1991"/>
      <c r="BR117" s="1991"/>
      <c r="BS117" s="167"/>
      <c r="BT117" s="87"/>
      <c r="BU117" s="87"/>
      <c r="BV117" s="87"/>
      <c r="BW117" s="166"/>
      <c r="BX117" s="2020"/>
      <c r="BY117" s="2020"/>
      <c r="BZ117" s="2020"/>
      <c r="CA117" s="2020"/>
      <c r="CB117" s="2020"/>
      <c r="CC117" s="2020"/>
      <c r="CD117" s="2020"/>
      <c r="CE117" s="2020"/>
      <c r="CF117" s="264"/>
      <c r="CG117" s="265"/>
      <c r="CH117" s="265"/>
      <c r="CI117" s="265"/>
      <c r="CJ117" s="266"/>
      <c r="CK117" s="1991"/>
      <c r="CL117" s="1991"/>
      <c r="CM117" s="1991"/>
      <c r="CN117" s="1991"/>
      <c r="CO117" s="1991"/>
      <c r="CP117" s="1991"/>
      <c r="CQ117" s="1991"/>
      <c r="CR117" s="1991"/>
      <c r="CS117" s="167"/>
      <c r="CT117" s="87"/>
      <c r="CU117" s="87"/>
      <c r="CV117" s="145"/>
      <c r="CW117" s="145"/>
      <c r="CX117" s="145"/>
      <c r="CY117" s="145"/>
      <c r="CZ117" s="145"/>
      <c r="DA117" s="145"/>
      <c r="DB117" s="145"/>
      <c r="DC117" s="145"/>
      <c r="DD117" s="145"/>
      <c r="DE117" s="145"/>
      <c r="DF117" s="145"/>
      <c r="DG117" s="145"/>
      <c r="DH117" s="145"/>
      <c r="DI117" s="145"/>
      <c r="DJ117" s="145"/>
      <c r="DK117" s="145"/>
      <c r="DL117" s="145"/>
      <c r="DM117" s="145"/>
      <c r="DN117" s="145"/>
      <c r="DO117" s="145"/>
      <c r="DP117" s="145"/>
      <c r="DQ117" s="145"/>
      <c r="DR117" s="145"/>
      <c r="DS117" s="145"/>
      <c r="DT117" s="145"/>
      <c r="DU117" s="145"/>
      <c r="DV117" s="145"/>
      <c r="DW117" s="145"/>
      <c r="DX117" s="145"/>
      <c r="DY117" s="145"/>
      <c r="DZ117" s="145"/>
      <c r="EA117" s="145"/>
      <c r="EB117" s="145"/>
      <c r="EC117" s="145"/>
      <c r="ED117" s="145"/>
      <c r="EE117" s="145"/>
      <c r="EF117" s="145"/>
      <c r="EG117" s="145"/>
      <c r="EH117" s="145"/>
      <c r="EI117" s="145"/>
      <c r="EJ117" s="145"/>
      <c r="EK117" s="145"/>
      <c r="EL117" s="145"/>
      <c r="EM117" s="145"/>
      <c r="EN117" s="187"/>
      <c r="EO117" s="1901"/>
      <c r="EP117" s="1902"/>
      <c r="EQ117" s="87"/>
      <c r="ER117" s="87"/>
      <c r="ES117" s="87"/>
      <c r="ET117" s="87"/>
      <c r="EU117" s="283"/>
      <c r="EV117" s="87"/>
      <c r="EW117" s="283"/>
      <c r="EX117" s="87"/>
      <c r="EY117" s="87"/>
      <c r="EZ117" s="87"/>
      <c r="FA117" s="87"/>
      <c r="FB117" s="87"/>
    </row>
    <row r="118" spans="1:158" ht="9" customHeight="1" thickTop="1" thickBot="1">
      <c r="A118" s="87"/>
      <c r="B118" s="87"/>
      <c r="C118" s="87"/>
      <c r="D118" s="87"/>
      <c r="E118" s="87"/>
      <c r="F118" s="88"/>
      <c r="G118" s="88"/>
      <c r="H118" s="249"/>
      <c r="I118" s="1997"/>
      <c r="J118" s="1998"/>
      <c r="K118" s="87"/>
      <c r="L118" s="87"/>
      <c r="M118" s="87"/>
      <c r="N118" s="87"/>
      <c r="O118" s="154"/>
      <c r="P118" s="284"/>
      <c r="Q118" s="284"/>
      <c r="R118" s="284"/>
      <c r="S118" s="201"/>
      <c r="T118" s="201"/>
      <c r="U118" s="201"/>
      <c r="V118" s="201"/>
      <c r="W118" s="201"/>
      <c r="X118" s="201"/>
      <c r="Y118" s="153"/>
      <c r="Z118" s="87"/>
      <c r="AA118" s="87"/>
      <c r="AB118" s="87"/>
      <c r="AC118" s="160"/>
      <c r="AD118" s="240"/>
      <c r="AE118" s="240"/>
      <c r="AF118" s="240"/>
      <c r="AG118" s="240"/>
      <c r="AH118" s="240"/>
      <c r="AI118" s="240"/>
      <c r="AJ118" s="240"/>
      <c r="AK118" s="240"/>
      <c r="AL118" s="158"/>
      <c r="AM118" s="87"/>
      <c r="AN118" s="87"/>
      <c r="AO118" s="87"/>
      <c r="AP118" s="87"/>
      <c r="AQ118" s="87"/>
      <c r="AR118" s="87"/>
      <c r="AS118" s="87"/>
      <c r="AT118" s="87"/>
      <c r="AU118" s="87"/>
      <c r="AV118" s="87"/>
      <c r="AW118" s="160"/>
      <c r="AX118" s="240"/>
      <c r="AY118" s="240"/>
      <c r="AZ118" s="240"/>
      <c r="BA118" s="240"/>
      <c r="BB118" s="240"/>
      <c r="BC118" s="240"/>
      <c r="BD118" s="240"/>
      <c r="BE118" s="240"/>
      <c r="BF118" s="158"/>
      <c r="BG118" s="87"/>
      <c r="BH118" s="87"/>
      <c r="BI118" s="87"/>
      <c r="BJ118" s="160"/>
      <c r="BK118" s="240"/>
      <c r="BL118" s="240"/>
      <c r="BM118" s="240"/>
      <c r="BN118" s="240"/>
      <c r="BO118" s="240"/>
      <c r="BP118" s="240"/>
      <c r="BQ118" s="240"/>
      <c r="BR118" s="240"/>
      <c r="BS118" s="158"/>
      <c r="BT118" s="87"/>
      <c r="BU118" s="87"/>
      <c r="BV118" s="87"/>
      <c r="BW118" s="160"/>
      <c r="BX118" s="175"/>
      <c r="BY118" s="175"/>
      <c r="BZ118" s="175"/>
      <c r="CA118" s="175"/>
      <c r="CB118" s="175"/>
      <c r="CC118" s="175"/>
      <c r="CD118" s="175"/>
      <c r="CE118" s="175"/>
      <c r="CF118" s="158"/>
      <c r="CG118" s="87"/>
      <c r="CH118" s="87"/>
      <c r="CI118" s="87"/>
      <c r="CJ118" s="160"/>
      <c r="CK118" s="240"/>
      <c r="CL118" s="240"/>
      <c r="CM118" s="240"/>
      <c r="CN118" s="240"/>
      <c r="CO118" s="240"/>
      <c r="CP118" s="240"/>
      <c r="CQ118" s="240"/>
      <c r="CR118" s="240"/>
      <c r="CS118" s="158"/>
      <c r="CT118" s="87"/>
      <c r="CU118" s="144"/>
      <c r="CV118" s="87"/>
      <c r="CW118" s="87"/>
      <c r="CX118" s="87"/>
      <c r="CY118" s="87"/>
      <c r="CZ118" s="87"/>
      <c r="DA118" s="87"/>
      <c r="DB118" s="87"/>
      <c r="DC118" s="87"/>
      <c r="DD118" s="87"/>
      <c r="DE118" s="87"/>
      <c r="DF118" s="87"/>
      <c r="DG118" s="87"/>
      <c r="DH118" s="87"/>
      <c r="DI118" s="87"/>
      <c r="DJ118" s="87"/>
      <c r="DK118" s="87"/>
      <c r="DL118" s="87"/>
      <c r="DM118" s="87"/>
      <c r="DN118" s="87"/>
      <c r="DO118" s="87"/>
      <c r="DP118" s="87"/>
      <c r="DQ118" s="87"/>
      <c r="DR118" s="87"/>
      <c r="DS118" s="87"/>
      <c r="DT118" s="87"/>
      <c r="DU118" s="87"/>
      <c r="DV118" s="87"/>
      <c r="DW118" s="87"/>
      <c r="DX118" s="87"/>
      <c r="DY118" s="87"/>
      <c r="DZ118" s="87"/>
      <c r="EA118" s="87"/>
      <c r="EB118" s="87"/>
      <c r="EC118" s="87"/>
      <c r="ED118" s="87"/>
      <c r="EE118" s="87"/>
      <c r="EF118" s="87"/>
      <c r="EG118" s="87"/>
      <c r="EH118" s="87"/>
      <c r="EI118" s="87"/>
      <c r="EJ118" s="87"/>
      <c r="EK118" s="87"/>
      <c r="EL118" s="87"/>
      <c r="EM118" s="87"/>
      <c r="EN118" s="87"/>
      <c r="EO118" s="87"/>
      <c r="EP118" s="285"/>
      <c r="EQ118" s="87"/>
      <c r="ER118" s="87"/>
      <c r="ES118" s="87"/>
      <c r="ET118" s="87"/>
      <c r="EU118" s="87"/>
      <c r="EV118" s="283"/>
      <c r="EW118" s="87"/>
      <c r="EX118" s="283"/>
      <c r="EY118" s="87"/>
      <c r="EZ118" s="87"/>
      <c r="FA118" s="87"/>
      <c r="FB118" s="87"/>
    </row>
    <row r="119" spans="1:158" ht="9" customHeight="1" thickTop="1">
      <c r="A119" s="87"/>
      <c r="B119" s="87"/>
      <c r="C119" s="87"/>
      <c r="D119" s="87"/>
      <c r="E119" s="87"/>
      <c r="F119" s="88"/>
      <c r="G119" s="88"/>
      <c r="H119" s="249"/>
      <c r="I119" s="1997"/>
      <c r="J119" s="1998"/>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112"/>
      <c r="CU119" s="87"/>
      <c r="CV119" s="87"/>
      <c r="CW119" s="153"/>
      <c r="CX119" s="1918" t="s">
        <v>4058</v>
      </c>
      <c r="CY119" s="1918"/>
      <c r="CZ119" s="1918"/>
      <c r="DA119" s="1918"/>
      <c r="DB119" s="1918"/>
      <c r="DC119" s="1918"/>
      <c r="DD119" s="1918"/>
      <c r="DE119" s="1918"/>
      <c r="DF119" s="1918"/>
      <c r="DG119" s="1918"/>
      <c r="DH119" s="1918"/>
      <c r="DI119" s="1918"/>
      <c r="DJ119" s="1918"/>
      <c r="DK119" s="1918"/>
      <c r="DL119" s="1918"/>
      <c r="DM119" s="1918"/>
      <c r="DN119" s="1918"/>
      <c r="DO119" s="1918"/>
      <c r="DP119" s="1918"/>
      <c r="DQ119" s="1918"/>
      <c r="DR119" s="1918"/>
      <c r="DS119" s="1918"/>
      <c r="DT119" s="1918"/>
      <c r="DU119" s="1918"/>
      <c r="DV119" s="1918"/>
      <c r="DW119" s="1918"/>
      <c r="DX119" s="1918"/>
      <c r="DY119" s="1918"/>
      <c r="DZ119" s="1918"/>
      <c r="EA119" s="1918"/>
      <c r="EB119" s="1918"/>
      <c r="EC119" s="1918"/>
      <c r="ED119" s="1918"/>
      <c r="EE119" s="1918"/>
      <c r="EF119" s="1918"/>
      <c r="EG119" s="1918"/>
      <c r="EH119" s="1918"/>
      <c r="EI119" s="1918"/>
      <c r="EJ119" s="1918"/>
      <c r="EK119" s="1918"/>
      <c r="EL119" s="1918"/>
      <c r="EM119" s="1918"/>
      <c r="EN119" s="1918"/>
      <c r="EO119" s="1918"/>
      <c r="EP119" s="1918"/>
      <c r="EQ119" s="1918"/>
      <c r="ER119" s="1918"/>
      <c r="ES119" s="1918"/>
      <c r="ET119" s="1918"/>
      <c r="EU119" s="154"/>
      <c r="EV119" s="87"/>
      <c r="EW119" s="283"/>
      <c r="EX119" s="87"/>
      <c r="EY119" s="283"/>
      <c r="EZ119" s="87"/>
      <c r="FA119" s="87"/>
      <c r="FB119" s="87"/>
    </row>
    <row r="120" spans="1:158" ht="9" customHeight="1" thickBot="1">
      <c r="A120" s="87"/>
      <c r="B120" s="87"/>
      <c r="C120" s="87"/>
      <c r="D120" s="87"/>
      <c r="E120" s="87"/>
      <c r="F120" s="88"/>
      <c r="G120" s="88"/>
      <c r="H120" s="249"/>
      <c r="I120" s="1997"/>
      <c r="J120" s="1998"/>
      <c r="K120" s="87"/>
      <c r="L120" s="87"/>
      <c r="M120" s="87"/>
      <c r="N120" s="87"/>
      <c r="O120" s="87"/>
      <c r="P120" s="87"/>
      <c r="Q120" s="87"/>
      <c r="R120" s="87"/>
      <c r="S120" s="87"/>
      <c r="T120" s="87"/>
      <c r="U120" s="87"/>
      <c r="V120" s="87"/>
      <c r="W120" s="87"/>
      <c r="X120" s="87"/>
      <c r="Y120" s="87"/>
      <c r="Z120" s="87"/>
      <c r="AA120" s="87"/>
      <c r="AB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256"/>
      <c r="CV120" s="87"/>
      <c r="CW120" s="162"/>
      <c r="CX120" s="1919"/>
      <c r="CY120" s="1919"/>
      <c r="CZ120" s="1919"/>
      <c r="DA120" s="1919"/>
      <c r="DB120" s="1919"/>
      <c r="DC120" s="1919"/>
      <c r="DD120" s="1919"/>
      <c r="DE120" s="1919"/>
      <c r="DF120" s="1919"/>
      <c r="DG120" s="1919"/>
      <c r="DH120" s="1919"/>
      <c r="DI120" s="1919"/>
      <c r="DJ120" s="1919"/>
      <c r="DK120" s="1919"/>
      <c r="DL120" s="1919"/>
      <c r="DM120" s="1919"/>
      <c r="DN120" s="1919"/>
      <c r="DO120" s="1919"/>
      <c r="DP120" s="1919"/>
      <c r="DQ120" s="1919"/>
      <c r="DR120" s="1919"/>
      <c r="DS120" s="1919"/>
      <c r="DT120" s="1919"/>
      <c r="DU120" s="1919"/>
      <c r="DV120" s="1919"/>
      <c r="DW120" s="1919"/>
      <c r="DX120" s="1919"/>
      <c r="DY120" s="1919"/>
      <c r="DZ120" s="1919"/>
      <c r="EA120" s="1919"/>
      <c r="EB120" s="1919"/>
      <c r="EC120" s="1919"/>
      <c r="ED120" s="1919"/>
      <c r="EE120" s="1919"/>
      <c r="EF120" s="1919"/>
      <c r="EG120" s="1919"/>
      <c r="EH120" s="1919"/>
      <c r="EI120" s="1919"/>
      <c r="EJ120" s="1919"/>
      <c r="EK120" s="1919"/>
      <c r="EL120" s="1919"/>
      <c r="EM120" s="1919"/>
      <c r="EN120" s="1919"/>
      <c r="EO120" s="1919"/>
      <c r="EP120" s="1919"/>
      <c r="EQ120" s="1919"/>
      <c r="ER120" s="1919"/>
      <c r="ES120" s="1919"/>
      <c r="ET120" s="1919"/>
      <c r="EU120" s="163"/>
      <c r="EV120" s="87"/>
      <c r="EW120" s="170"/>
      <c r="EX120" s="2018"/>
      <c r="EY120" s="2019"/>
      <c r="EZ120" s="87"/>
      <c r="FA120" s="87"/>
      <c r="FB120" s="87"/>
    </row>
    <row r="121" spans="1:158" ht="9" customHeight="1" thickTop="1" thickBot="1">
      <c r="A121" s="87"/>
      <c r="B121" s="87"/>
      <c r="C121" s="87"/>
      <c r="D121" s="87"/>
      <c r="E121" s="87"/>
      <c r="F121" s="88"/>
      <c r="G121" s="88"/>
      <c r="H121" s="286"/>
      <c r="I121" s="88"/>
      <c r="J121" s="287"/>
      <c r="K121" s="87"/>
      <c r="L121" s="87"/>
      <c r="M121" s="109"/>
      <c r="N121" s="641"/>
      <c r="O121" s="641"/>
      <c r="P121" s="641"/>
      <c r="Q121" s="641"/>
      <c r="R121" s="93"/>
      <c r="S121" s="1865" t="s">
        <v>3611</v>
      </c>
      <c r="T121" s="1865"/>
      <c r="U121" s="1865"/>
      <c r="V121" s="1865"/>
      <c r="W121" s="1865"/>
      <c r="X121" s="1865"/>
      <c r="Y121" s="1865"/>
      <c r="Z121" s="1865"/>
      <c r="AA121" s="113"/>
      <c r="AB121" s="87"/>
      <c r="AC121" s="640"/>
      <c r="AD121" s="640"/>
      <c r="AE121" s="87"/>
      <c r="AF121" s="87"/>
      <c r="AG121" s="87"/>
      <c r="AH121" s="87"/>
      <c r="AI121" s="87"/>
      <c r="AJ121" s="87"/>
      <c r="AK121" s="87"/>
      <c r="AL121" s="87"/>
      <c r="AM121" s="87"/>
      <c r="AN121" s="87"/>
      <c r="AO121" s="87"/>
      <c r="AP121" s="87"/>
      <c r="AQ121" s="87"/>
      <c r="AR121" s="87"/>
      <c r="AS121" s="87"/>
      <c r="AT121" s="87"/>
      <c r="AU121" s="87"/>
      <c r="AV121" s="87"/>
      <c r="AW121" s="641"/>
      <c r="AX121" s="641"/>
      <c r="AY121" s="93"/>
      <c r="AZ121" s="1942" t="s">
        <v>3783</v>
      </c>
      <c r="BA121" s="1942"/>
      <c r="BB121" s="1942"/>
      <c r="BC121" s="1942"/>
      <c r="BD121" s="1942"/>
      <c r="BE121" s="1942"/>
      <c r="BF121" s="1942"/>
      <c r="BG121" s="113"/>
      <c r="BH121" s="145"/>
      <c r="BI121" s="87"/>
      <c r="BJ121" s="641"/>
      <c r="BK121" s="641"/>
      <c r="BL121" s="641"/>
      <c r="BM121" s="93"/>
      <c r="BN121" s="1865" t="s">
        <v>3612</v>
      </c>
      <c r="BO121" s="1877"/>
      <c r="BP121" s="1877"/>
      <c r="BQ121" s="1877"/>
      <c r="BR121" s="1877"/>
      <c r="BS121" s="1877"/>
      <c r="BT121" s="1877"/>
      <c r="BU121" s="1877"/>
      <c r="BV121" s="113"/>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288"/>
      <c r="CW121" s="162"/>
      <c r="CX121" s="1919"/>
      <c r="CY121" s="1919"/>
      <c r="CZ121" s="1919"/>
      <c r="DA121" s="1919"/>
      <c r="DB121" s="1919"/>
      <c r="DC121" s="1919"/>
      <c r="DD121" s="1919"/>
      <c r="DE121" s="1919"/>
      <c r="DF121" s="1919"/>
      <c r="DG121" s="1919"/>
      <c r="DH121" s="1919"/>
      <c r="DI121" s="1919"/>
      <c r="DJ121" s="1919"/>
      <c r="DK121" s="1919"/>
      <c r="DL121" s="1919"/>
      <c r="DM121" s="1919"/>
      <c r="DN121" s="1919"/>
      <c r="DO121" s="1919"/>
      <c r="DP121" s="1919"/>
      <c r="DQ121" s="1919"/>
      <c r="DR121" s="1919"/>
      <c r="DS121" s="1919"/>
      <c r="DT121" s="1919"/>
      <c r="DU121" s="1919"/>
      <c r="DV121" s="1919"/>
      <c r="DW121" s="1919"/>
      <c r="DX121" s="1919"/>
      <c r="DY121" s="1919"/>
      <c r="DZ121" s="1919"/>
      <c r="EA121" s="1919"/>
      <c r="EB121" s="1919"/>
      <c r="EC121" s="1919"/>
      <c r="ED121" s="1919"/>
      <c r="EE121" s="1919"/>
      <c r="EF121" s="1919"/>
      <c r="EG121" s="1919"/>
      <c r="EH121" s="1919"/>
      <c r="EI121" s="1919"/>
      <c r="EJ121" s="1919"/>
      <c r="EK121" s="1919"/>
      <c r="EL121" s="1919"/>
      <c r="EM121" s="1919"/>
      <c r="EN121" s="1919"/>
      <c r="EO121" s="1919"/>
      <c r="EP121" s="1919"/>
      <c r="EQ121" s="1919"/>
      <c r="ER121" s="1919"/>
      <c r="ES121" s="1919"/>
      <c r="ET121" s="1919"/>
      <c r="EU121" s="163"/>
      <c r="EV121" s="87"/>
      <c r="EW121" s="170"/>
      <c r="EX121" s="2018"/>
      <c r="EY121" s="2019"/>
      <c r="EZ121" s="87"/>
      <c r="FA121" s="87"/>
      <c r="FB121" s="87"/>
    </row>
    <row r="122" spans="1:158" ht="9" customHeight="1" thickTop="1" thickBot="1">
      <c r="A122" s="87"/>
      <c r="B122" s="87"/>
      <c r="C122" s="87"/>
      <c r="D122" s="87"/>
      <c r="E122" s="87"/>
      <c r="F122" s="88"/>
      <c r="G122" s="286"/>
      <c r="H122" s="88"/>
      <c r="I122" s="88"/>
      <c r="J122" s="287"/>
      <c r="K122" s="87"/>
      <c r="L122" s="87"/>
      <c r="M122" s="109"/>
      <c r="N122" s="641"/>
      <c r="O122" s="641"/>
      <c r="P122" s="641"/>
      <c r="Q122" s="641"/>
      <c r="R122" s="102"/>
      <c r="S122" s="1866"/>
      <c r="T122" s="1866"/>
      <c r="U122" s="1866"/>
      <c r="V122" s="1866"/>
      <c r="W122" s="1866"/>
      <c r="X122" s="1866"/>
      <c r="Y122" s="1866"/>
      <c r="Z122" s="1866"/>
      <c r="AA122" s="589"/>
      <c r="AB122" s="588"/>
      <c r="AC122" s="592"/>
      <c r="AD122" s="592"/>
      <c r="AE122" s="593"/>
      <c r="AF122" s="593"/>
      <c r="AG122" s="593"/>
      <c r="AH122" s="588"/>
      <c r="AI122" s="588"/>
      <c r="AJ122" s="588"/>
      <c r="AK122" s="588"/>
      <c r="AL122" s="588"/>
      <c r="AM122" s="588"/>
      <c r="AN122" s="588"/>
      <c r="AO122" s="588"/>
      <c r="AP122" s="588"/>
      <c r="AQ122" s="588"/>
      <c r="AR122" s="588"/>
      <c r="AS122" s="588"/>
      <c r="AT122" s="588"/>
      <c r="AU122" s="588"/>
      <c r="AV122" s="113"/>
      <c r="AW122" s="641"/>
      <c r="AX122" s="641"/>
      <c r="AY122" s="102"/>
      <c r="AZ122" s="1866"/>
      <c r="BA122" s="1866"/>
      <c r="BB122" s="1866"/>
      <c r="BC122" s="1866"/>
      <c r="BD122" s="1866"/>
      <c r="BE122" s="1866"/>
      <c r="BF122" s="1866"/>
      <c r="BG122" s="589"/>
      <c r="BH122" s="598"/>
      <c r="BI122" s="598"/>
      <c r="BJ122" s="113"/>
      <c r="BK122" s="641"/>
      <c r="BL122" s="641"/>
      <c r="BM122" s="102"/>
      <c r="BN122" s="1878"/>
      <c r="BO122" s="1878"/>
      <c r="BP122" s="1878"/>
      <c r="BQ122" s="1878"/>
      <c r="BR122" s="1878"/>
      <c r="BS122" s="1878"/>
      <c r="BT122" s="1878"/>
      <c r="BU122" s="1878"/>
      <c r="BV122" s="589"/>
      <c r="BW122" s="599"/>
      <c r="BX122" s="599"/>
      <c r="BY122" s="599"/>
      <c r="BZ122" s="599"/>
      <c r="CA122" s="599"/>
      <c r="CB122" s="599"/>
      <c r="CC122" s="599"/>
      <c r="CD122" s="599"/>
      <c r="CE122" s="599"/>
      <c r="CF122" s="599"/>
      <c r="CG122" s="599"/>
      <c r="CH122" s="599"/>
      <c r="CI122" s="599"/>
      <c r="CJ122" s="599"/>
      <c r="CK122" s="599"/>
      <c r="CL122" s="599"/>
      <c r="CM122" s="599"/>
      <c r="CN122" s="599"/>
      <c r="CO122" s="113"/>
      <c r="CP122" s="111"/>
      <c r="CQ122" s="111"/>
      <c r="CR122" s="111"/>
      <c r="CS122" s="87"/>
      <c r="CT122" s="87"/>
      <c r="CU122" s="87"/>
      <c r="CV122" s="87"/>
      <c r="CW122" s="154"/>
      <c r="CX122" s="1920"/>
      <c r="CY122" s="1920"/>
      <c r="CZ122" s="1920"/>
      <c r="DA122" s="1920"/>
      <c r="DB122" s="1920"/>
      <c r="DC122" s="1920"/>
      <c r="DD122" s="1920"/>
      <c r="DE122" s="1920"/>
      <c r="DF122" s="1920"/>
      <c r="DG122" s="1920"/>
      <c r="DH122" s="1920"/>
      <c r="DI122" s="1920"/>
      <c r="DJ122" s="1920"/>
      <c r="DK122" s="1920"/>
      <c r="DL122" s="1920"/>
      <c r="DM122" s="1920"/>
      <c r="DN122" s="1920"/>
      <c r="DO122" s="1920"/>
      <c r="DP122" s="1920"/>
      <c r="DQ122" s="1920"/>
      <c r="DR122" s="1920"/>
      <c r="DS122" s="1920"/>
      <c r="DT122" s="1920"/>
      <c r="DU122" s="1920"/>
      <c r="DV122" s="1920"/>
      <c r="DW122" s="1920"/>
      <c r="DX122" s="1920"/>
      <c r="DY122" s="1920"/>
      <c r="DZ122" s="1920"/>
      <c r="EA122" s="1920"/>
      <c r="EB122" s="1920"/>
      <c r="EC122" s="1920"/>
      <c r="ED122" s="1920"/>
      <c r="EE122" s="1920"/>
      <c r="EF122" s="1920"/>
      <c r="EG122" s="1920"/>
      <c r="EH122" s="1920"/>
      <c r="EI122" s="1920"/>
      <c r="EJ122" s="1920"/>
      <c r="EK122" s="1920"/>
      <c r="EL122" s="1920"/>
      <c r="EM122" s="1920"/>
      <c r="EN122" s="1920"/>
      <c r="EO122" s="1920"/>
      <c r="EP122" s="1920"/>
      <c r="EQ122" s="1920"/>
      <c r="ER122" s="1920"/>
      <c r="ES122" s="1920"/>
      <c r="ET122" s="1920"/>
      <c r="EU122" s="153"/>
      <c r="EV122" s="87"/>
      <c r="EW122" s="170"/>
      <c r="EX122" s="2018"/>
      <c r="EY122" s="2019"/>
      <c r="EZ122" s="87"/>
      <c r="FA122" s="87"/>
      <c r="FB122" s="87"/>
    </row>
    <row r="123" spans="1:158" ht="9" customHeight="1" thickTop="1" thickBot="1">
      <c r="A123" s="87"/>
      <c r="B123" s="87"/>
      <c r="C123" s="87"/>
      <c r="D123" s="87"/>
      <c r="E123" s="87"/>
      <c r="F123" s="286"/>
      <c r="G123" s="88"/>
      <c r="H123" s="88"/>
      <c r="I123" s="88"/>
      <c r="J123" s="289"/>
      <c r="K123" s="87"/>
      <c r="L123" s="87"/>
      <c r="M123" s="87"/>
      <c r="N123" s="111"/>
      <c r="O123" s="111"/>
      <c r="P123" s="122"/>
      <c r="Q123" s="290"/>
      <c r="R123" s="102"/>
      <c r="S123" s="1879" t="str">
        <f>IF(Weapon1&lt;&gt;"",Weapon1,"")</f>
        <v/>
      </c>
      <c r="T123" s="1879"/>
      <c r="U123" s="1879"/>
      <c r="V123" s="1879"/>
      <c r="W123" s="1879"/>
      <c r="X123" s="1879"/>
      <c r="Y123" s="1879"/>
      <c r="Z123" s="1879"/>
      <c r="AA123" s="1879"/>
      <c r="AB123" s="1879"/>
      <c r="AC123" s="1879"/>
      <c r="AD123" s="1879"/>
      <c r="AE123" s="1879"/>
      <c r="AF123" s="1879"/>
      <c r="AG123" s="1879"/>
      <c r="AH123" s="1879"/>
      <c r="AI123" s="1879"/>
      <c r="AJ123" s="1879"/>
      <c r="AK123" s="1879"/>
      <c r="AL123" s="1879"/>
      <c r="AM123" s="1879"/>
      <c r="AN123" s="1879"/>
      <c r="AO123" s="1879"/>
      <c r="AP123" s="1879"/>
      <c r="AQ123" s="1879"/>
      <c r="AR123" s="1879"/>
      <c r="AS123" s="1879"/>
      <c r="AT123" s="1879"/>
      <c r="AU123" s="1879"/>
      <c r="AV123" s="646"/>
      <c r="AW123" s="122"/>
      <c r="AX123" s="290"/>
      <c r="AY123" s="102"/>
      <c r="AZ123" s="1881" t="str">
        <f>Weapons!E$8</f>
        <v/>
      </c>
      <c r="BA123" s="1881"/>
      <c r="BB123" s="1881"/>
      <c r="BC123" s="1881"/>
      <c r="BD123" s="1881"/>
      <c r="BE123" s="1881"/>
      <c r="BF123" s="1881"/>
      <c r="BG123" s="1881"/>
      <c r="BH123" s="1881"/>
      <c r="BI123" s="1881"/>
      <c r="BJ123" s="100"/>
      <c r="BK123" s="122"/>
      <c r="BL123" s="290"/>
      <c r="BM123" s="102"/>
      <c r="BN123" s="1883" t="str">
        <f>IF('old Weapons'!H13&lt;&gt;"",'old Weapons'!H13,"")</f>
        <v/>
      </c>
      <c r="BO123" s="1883"/>
      <c r="BP123" s="1883"/>
      <c r="BQ123" s="1883"/>
      <c r="BR123" s="1883"/>
      <c r="BS123" s="1883"/>
      <c r="BT123" s="1883"/>
      <c r="BU123" s="1883"/>
      <c r="BV123" s="1883"/>
      <c r="BW123" s="1924" t="str">
        <f>Weapons!E$9</f>
        <v/>
      </c>
      <c r="BX123" s="1924"/>
      <c r="BY123" s="1924"/>
      <c r="BZ123" s="1924"/>
      <c r="CA123" s="1924"/>
      <c r="CB123" s="1924"/>
      <c r="CC123" s="1924"/>
      <c r="CD123" s="1924"/>
      <c r="CE123" s="1924"/>
      <c r="CF123" s="1924"/>
      <c r="CG123" s="1924"/>
      <c r="CH123" s="1924"/>
      <c r="CI123" s="1924"/>
      <c r="CJ123" s="1924"/>
      <c r="CK123" s="1924"/>
      <c r="CL123" s="1924"/>
      <c r="CM123" s="1924"/>
      <c r="CN123" s="1924"/>
      <c r="CO123" s="656"/>
      <c r="CP123" s="122"/>
      <c r="CQ123" s="122"/>
      <c r="CR123" s="118"/>
      <c r="CS123" s="109"/>
      <c r="CT123" s="109"/>
      <c r="CU123" s="109"/>
      <c r="CV123" s="109"/>
      <c r="CW123" s="109"/>
      <c r="CX123" s="87"/>
      <c r="CY123" s="87"/>
      <c r="CZ123" s="87"/>
      <c r="DA123" s="87"/>
      <c r="DB123" s="87"/>
      <c r="DC123" s="87"/>
      <c r="DD123" s="87"/>
      <c r="DE123" s="87"/>
      <c r="DF123" s="87"/>
      <c r="DG123" s="87"/>
      <c r="DH123" s="87"/>
      <c r="DI123" s="87"/>
      <c r="DJ123" s="87"/>
      <c r="DK123" s="87"/>
      <c r="DL123" s="87"/>
      <c r="DM123" s="87"/>
      <c r="DN123" s="87"/>
      <c r="DO123" s="87"/>
      <c r="DP123" s="87"/>
      <c r="DQ123" s="87"/>
      <c r="DR123" s="87"/>
      <c r="DS123" s="87"/>
      <c r="DT123" s="87"/>
      <c r="DU123" s="87"/>
      <c r="DV123" s="87"/>
      <c r="DW123" s="87"/>
      <c r="DX123" s="87"/>
      <c r="DY123" s="87"/>
      <c r="DZ123" s="87"/>
      <c r="EA123" s="87"/>
      <c r="EB123" s="87"/>
      <c r="EC123" s="87"/>
      <c r="ED123" s="87"/>
      <c r="EE123" s="87"/>
      <c r="EF123" s="87"/>
      <c r="EG123" s="87"/>
      <c r="EH123" s="87"/>
      <c r="EI123" s="87"/>
      <c r="EJ123" s="87"/>
      <c r="EK123" s="87"/>
      <c r="EL123" s="87"/>
      <c r="EM123" s="87"/>
      <c r="EN123" s="87"/>
      <c r="EO123" s="87"/>
      <c r="EP123" s="87"/>
      <c r="EQ123" s="87"/>
      <c r="ER123" s="87"/>
      <c r="ES123" s="87"/>
      <c r="ET123" s="87"/>
      <c r="EU123" s="87"/>
      <c r="EV123" s="87"/>
      <c r="EW123" s="170"/>
      <c r="EX123" s="2018"/>
      <c r="EY123" s="2019"/>
      <c r="EZ123" s="87"/>
      <c r="FA123" s="87"/>
      <c r="FB123" s="87"/>
    </row>
    <row r="124" spans="1:158" ht="9" customHeight="1" thickTop="1">
      <c r="A124" s="87"/>
      <c r="B124" s="87"/>
      <c r="C124" s="87"/>
      <c r="D124" s="87"/>
      <c r="E124" s="289"/>
      <c r="F124" s="88"/>
      <c r="G124" s="88"/>
      <c r="H124" s="88"/>
      <c r="I124" s="286"/>
      <c r="J124" s="291"/>
      <c r="K124" s="87"/>
      <c r="L124" s="87"/>
      <c r="M124" s="87"/>
      <c r="N124" s="292"/>
      <c r="O124" s="293"/>
      <c r="P124" s="111"/>
      <c r="Q124" s="111"/>
      <c r="R124" s="102"/>
      <c r="S124" s="1879"/>
      <c r="T124" s="1879"/>
      <c r="U124" s="1879"/>
      <c r="V124" s="1879"/>
      <c r="W124" s="1879"/>
      <c r="X124" s="1879"/>
      <c r="Y124" s="1879"/>
      <c r="Z124" s="1879"/>
      <c r="AA124" s="1879"/>
      <c r="AB124" s="1879"/>
      <c r="AC124" s="1879"/>
      <c r="AD124" s="1879"/>
      <c r="AE124" s="1879"/>
      <c r="AF124" s="1879"/>
      <c r="AG124" s="1879"/>
      <c r="AH124" s="1879"/>
      <c r="AI124" s="1879"/>
      <c r="AJ124" s="1879"/>
      <c r="AK124" s="1879"/>
      <c r="AL124" s="1879"/>
      <c r="AM124" s="1879"/>
      <c r="AN124" s="1879"/>
      <c r="AO124" s="1879"/>
      <c r="AP124" s="1879"/>
      <c r="AQ124" s="1879"/>
      <c r="AR124" s="1879"/>
      <c r="AS124" s="1879"/>
      <c r="AT124" s="1879"/>
      <c r="AU124" s="1879"/>
      <c r="AV124" s="646"/>
      <c r="AW124" s="111"/>
      <c r="AX124" s="111"/>
      <c r="AY124" s="647"/>
      <c r="AZ124" s="1881"/>
      <c r="BA124" s="1881"/>
      <c r="BB124" s="1881"/>
      <c r="BC124" s="1881"/>
      <c r="BD124" s="1881"/>
      <c r="BE124" s="1881"/>
      <c r="BF124" s="1881"/>
      <c r="BG124" s="1881"/>
      <c r="BH124" s="1881"/>
      <c r="BI124" s="1881"/>
      <c r="BJ124" s="100"/>
      <c r="BK124" s="111"/>
      <c r="BL124" s="111"/>
      <c r="BM124" s="102"/>
      <c r="BN124" s="1883"/>
      <c r="BO124" s="1883"/>
      <c r="BP124" s="1883"/>
      <c r="BQ124" s="1883"/>
      <c r="BR124" s="1883"/>
      <c r="BS124" s="1883"/>
      <c r="BT124" s="1883"/>
      <c r="BU124" s="1883"/>
      <c r="BV124" s="1883"/>
      <c r="BW124" s="1924"/>
      <c r="BX124" s="1924"/>
      <c r="BY124" s="1924"/>
      <c r="BZ124" s="1924"/>
      <c r="CA124" s="1924"/>
      <c r="CB124" s="1924"/>
      <c r="CC124" s="1924"/>
      <c r="CD124" s="1924"/>
      <c r="CE124" s="1924"/>
      <c r="CF124" s="1924"/>
      <c r="CG124" s="1924"/>
      <c r="CH124" s="1924"/>
      <c r="CI124" s="1924"/>
      <c r="CJ124" s="1924"/>
      <c r="CK124" s="1924"/>
      <c r="CL124" s="1924"/>
      <c r="CM124" s="1924"/>
      <c r="CN124" s="1924"/>
      <c r="CO124" s="656"/>
      <c r="CP124" s="111"/>
      <c r="CQ124" s="111"/>
      <c r="CR124" s="256"/>
      <c r="CS124" s="109"/>
      <c r="CT124" s="109"/>
      <c r="CU124" s="109"/>
      <c r="CV124" s="109"/>
      <c r="CW124" s="109"/>
      <c r="CX124" s="1999" t="str">
        <f ca="1">IF(AttackOptionsList&lt;&gt;"",AttackOptionsList,"")&amp;IF(AND(AttackOptionsList&lt;&gt;"",SpecialActionsList&lt;&gt;""),"; ","")&amp;IF(SpecialActionsList&lt;&gt;"",SpecialActionsList,"")&amp;"
"&amp;IF(TalentsSpecialActionsList&lt;&gt;"",TalentsSpecialActionsList,"")</f>
        <v xml:space="preserve">
</v>
      </c>
      <c r="CY124" s="1999"/>
      <c r="CZ124" s="1999"/>
      <c r="DA124" s="1999"/>
      <c r="DB124" s="1999"/>
      <c r="DC124" s="1999"/>
      <c r="DD124" s="1999"/>
      <c r="DE124" s="1999"/>
      <c r="DF124" s="1999"/>
      <c r="DG124" s="1999"/>
      <c r="DH124" s="1999"/>
      <c r="DI124" s="1999"/>
      <c r="DJ124" s="1999"/>
      <c r="DK124" s="1999"/>
      <c r="DL124" s="1999"/>
      <c r="DM124" s="1999"/>
      <c r="DN124" s="1999"/>
      <c r="DO124" s="1999"/>
      <c r="DP124" s="1999"/>
      <c r="DQ124" s="1999"/>
      <c r="DR124" s="1999"/>
      <c r="DS124" s="1999"/>
      <c r="DT124" s="1999"/>
      <c r="DU124" s="1999"/>
      <c r="DV124" s="1999"/>
      <c r="DW124" s="1999"/>
      <c r="DX124" s="1999"/>
      <c r="DY124" s="1999"/>
      <c r="DZ124" s="1999"/>
      <c r="EA124" s="1999"/>
      <c r="EB124" s="1999"/>
      <c r="EC124" s="1999"/>
      <c r="ED124" s="1999"/>
      <c r="EE124" s="1999"/>
      <c r="EF124" s="1999"/>
      <c r="EG124" s="1999"/>
      <c r="EH124" s="1999"/>
      <c r="EI124" s="1999"/>
      <c r="EJ124" s="1999"/>
      <c r="EK124" s="1999"/>
      <c r="EL124" s="1999"/>
      <c r="EM124" s="1999"/>
      <c r="EN124" s="1999"/>
      <c r="EO124" s="1999"/>
      <c r="EP124" s="1999"/>
      <c r="EQ124" s="1999"/>
      <c r="ER124" s="1999"/>
      <c r="ES124" s="1999"/>
      <c r="ET124" s="1999"/>
      <c r="EU124" s="659"/>
      <c r="EV124" s="87"/>
      <c r="EW124" s="170"/>
      <c r="EX124" s="2018"/>
      <c r="EY124" s="2019"/>
      <c r="EZ124" s="87"/>
      <c r="FA124" s="87"/>
      <c r="FB124" s="87"/>
    </row>
    <row r="125" spans="1:158" ht="9" customHeight="1" thickBot="1">
      <c r="A125" s="87"/>
      <c r="B125" s="87"/>
      <c r="C125" s="87"/>
      <c r="D125" s="287"/>
      <c r="E125" s="87"/>
      <c r="F125" s="88"/>
      <c r="G125" s="88"/>
      <c r="H125" s="286"/>
      <c r="I125" s="286"/>
      <c r="J125" s="287"/>
      <c r="K125" s="87"/>
      <c r="L125" s="87"/>
      <c r="M125" s="144"/>
      <c r="N125" s="111"/>
      <c r="O125" s="111"/>
      <c r="P125" s="111"/>
      <c r="Q125" s="111"/>
      <c r="R125" s="91"/>
      <c r="S125" s="1880"/>
      <c r="T125" s="1880"/>
      <c r="U125" s="1880"/>
      <c r="V125" s="1880"/>
      <c r="W125" s="1880"/>
      <c r="X125" s="1880"/>
      <c r="Y125" s="1880"/>
      <c r="Z125" s="1880"/>
      <c r="AA125" s="1880"/>
      <c r="AB125" s="1880"/>
      <c r="AC125" s="1880"/>
      <c r="AD125" s="1880"/>
      <c r="AE125" s="1880"/>
      <c r="AF125" s="1880"/>
      <c r="AG125" s="1880"/>
      <c r="AH125" s="1880"/>
      <c r="AI125" s="1880"/>
      <c r="AJ125" s="1880"/>
      <c r="AK125" s="1880"/>
      <c r="AL125" s="1880"/>
      <c r="AM125" s="1880"/>
      <c r="AN125" s="1880"/>
      <c r="AO125" s="1880"/>
      <c r="AP125" s="1880"/>
      <c r="AQ125" s="1880"/>
      <c r="AR125" s="1880"/>
      <c r="AS125" s="1880"/>
      <c r="AT125" s="1880"/>
      <c r="AU125" s="1880"/>
      <c r="AV125" s="648"/>
      <c r="AW125" s="641"/>
      <c r="AX125" s="641"/>
      <c r="AY125" s="649"/>
      <c r="AZ125" s="1882"/>
      <c r="BA125" s="1882"/>
      <c r="BB125" s="1882"/>
      <c r="BC125" s="1882"/>
      <c r="BD125" s="1882"/>
      <c r="BE125" s="1882"/>
      <c r="BF125" s="1882"/>
      <c r="BG125" s="1882"/>
      <c r="BH125" s="1882"/>
      <c r="BI125" s="1882"/>
      <c r="BJ125" s="93"/>
      <c r="BK125" s="641"/>
      <c r="BL125" s="641"/>
      <c r="BM125" s="91"/>
      <c r="BN125" s="655"/>
      <c r="BO125" s="655"/>
      <c r="BP125" s="655"/>
      <c r="BQ125" s="655"/>
      <c r="BR125" s="655"/>
      <c r="BS125" s="655"/>
      <c r="BT125" s="655"/>
      <c r="BU125" s="655"/>
      <c r="BV125" s="655"/>
      <c r="BW125" s="1925"/>
      <c r="BX125" s="1925"/>
      <c r="BY125" s="1925"/>
      <c r="BZ125" s="1925"/>
      <c r="CA125" s="1925"/>
      <c r="CB125" s="1925"/>
      <c r="CC125" s="1925"/>
      <c r="CD125" s="1925"/>
      <c r="CE125" s="1925"/>
      <c r="CF125" s="1925"/>
      <c r="CG125" s="1925"/>
      <c r="CH125" s="1925"/>
      <c r="CI125" s="1925"/>
      <c r="CJ125" s="1925"/>
      <c r="CK125" s="1925"/>
      <c r="CL125" s="1925"/>
      <c r="CM125" s="1925"/>
      <c r="CN125" s="1925"/>
      <c r="CO125" s="93"/>
      <c r="CP125" s="118"/>
      <c r="CQ125" s="118"/>
      <c r="CR125" s="118"/>
      <c r="CS125" s="256"/>
      <c r="CT125" s="109"/>
      <c r="CU125" s="109"/>
      <c r="CV125" s="109"/>
      <c r="CW125" s="109"/>
      <c r="CX125" s="1999"/>
      <c r="CY125" s="1999"/>
      <c r="CZ125" s="1999"/>
      <c r="DA125" s="1999"/>
      <c r="DB125" s="1999"/>
      <c r="DC125" s="1999"/>
      <c r="DD125" s="1999"/>
      <c r="DE125" s="1999"/>
      <c r="DF125" s="1999"/>
      <c r="DG125" s="1999"/>
      <c r="DH125" s="1999"/>
      <c r="DI125" s="1999"/>
      <c r="DJ125" s="1999"/>
      <c r="DK125" s="1999"/>
      <c r="DL125" s="1999"/>
      <c r="DM125" s="1999"/>
      <c r="DN125" s="1999"/>
      <c r="DO125" s="1999"/>
      <c r="DP125" s="1999"/>
      <c r="DQ125" s="1999"/>
      <c r="DR125" s="1999"/>
      <c r="DS125" s="1999"/>
      <c r="DT125" s="1999"/>
      <c r="DU125" s="1999"/>
      <c r="DV125" s="1999"/>
      <c r="DW125" s="1999"/>
      <c r="DX125" s="1999"/>
      <c r="DY125" s="1999"/>
      <c r="DZ125" s="1999"/>
      <c r="EA125" s="1999"/>
      <c r="EB125" s="1999"/>
      <c r="EC125" s="1999"/>
      <c r="ED125" s="1999"/>
      <c r="EE125" s="1999"/>
      <c r="EF125" s="1999"/>
      <c r="EG125" s="1999"/>
      <c r="EH125" s="1999"/>
      <c r="EI125" s="1999"/>
      <c r="EJ125" s="1999"/>
      <c r="EK125" s="1999"/>
      <c r="EL125" s="1999"/>
      <c r="EM125" s="1999"/>
      <c r="EN125" s="1999"/>
      <c r="EO125" s="1999"/>
      <c r="EP125" s="1999"/>
      <c r="EQ125" s="1999"/>
      <c r="ER125" s="1999"/>
      <c r="ES125" s="1999"/>
      <c r="ET125" s="1999"/>
      <c r="EU125" s="659"/>
      <c r="EV125" s="87"/>
      <c r="EW125" s="170"/>
      <c r="EX125" s="2018"/>
      <c r="EY125" s="2019"/>
      <c r="EZ125" s="87"/>
      <c r="FA125" s="87"/>
      <c r="FB125" s="87"/>
    </row>
    <row r="126" spans="1:158" ht="9" customHeight="1" thickTop="1" thickBot="1">
      <c r="A126" s="87"/>
      <c r="B126" s="87"/>
      <c r="C126" s="87"/>
      <c r="D126" s="287"/>
      <c r="E126" s="87"/>
      <c r="F126" s="88"/>
      <c r="G126" s="286"/>
      <c r="H126" s="249"/>
      <c r="I126" s="1989"/>
      <c r="J126" s="1990"/>
      <c r="K126" s="87"/>
      <c r="L126" s="112"/>
      <c r="M126" s="1861" t="str">
        <f>IF(Weapons!E$61&lt;&gt;"","MOUNTED","")</f>
        <v/>
      </c>
      <c r="N126" s="1862"/>
      <c r="O126" s="1862"/>
      <c r="P126" s="641"/>
      <c r="Q126" s="641"/>
      <c r="R126" s="641"/>
      <c r="S126" s="641"/>
      <c r="T126" s="641"/>
      <c r="U126" s="641"/>
      <c r="V126" s="641"/>
      <c r="W126" s="641"/>
      <c r="X126" s="641"/>
      <c r="Y126" s="641"/>
      <c r="Z126" s="641"/>
      <c r="AA126" s="641"/>
      <c r="AB126" s="641"/>
      <c r="AC126" s="641"/>
      <c r="AD126" s="641"/>
      <c r="AE126" s="641"/>
      <c r="AF126" s="641"/>
      <c r="AG126" s="641"/>
      <c r="AH126" s="641"/>
      <c r="AI126" s="641"/>
      <c r="AJ126" s="641"/>
      <c r="AK126" s="641"/>
      <c r="AL126" s="641"/>
      <c r="AM126" s="641"/>
      <c r="AN126" s="641"/>
      <c r="AO126" s="641"/>
      <c r="AP126" s="641"/>
      <c r="AQ126" s="641"/>
      <c r="AR126" s="641"/>
      <c r="AS126" s="641"/>
      <c r="AT126" s="641"/>
      <c r="AU126" s="641"/>
      <c r="AV126" s="641"/>
      <c r="AW126" s="641"/>
      <c r="AX126" s="641"/>
      <c r="AY126" s="641"/>
      <c r="AZ126" s="641"/>
      <c r="BA126" s="641"/>
      <c r="BB126" s="641"/>
      <c r="BC126" s="641"/>
      <c r="BD126" s="641"/>
      <c r="BE126" s="641"/>
      <c r="BF126" s="641"/>
      <c r="BG126" s="641"/>
      <c r="BH126" s="641"/>
      <c r="BI126" s="641"/>
      <c r="BJ126" s="641"/>
      <c r="BK126" s="641"/>
      <c r="BL126" s="641"/>
      <c r="BM126" s="641"/>
      <c r="BN126" s="641"/>
      <c r="BO126" s="641"/>
      <c r="BP126" s="641"/>
      <c r="BQ126" s="641"/>
      <c r="BR126" s="641"/>
      <c r="BS126" s="641"/>
      <c r="BT126" s="641"/>
      <c r="BU126" s="641"/>
      <c r="BV126" s="641"/>
      <c r="BW126" s="641"/>
      <c r="BX126" s="641"/>
      <c r="BY126" s="641"/>
      <c r="BZ126" s="641"/>
      <c r="CA126" s="641"/>
      <c r="CB126" s="641"/>
      <c r="CC126" s="641"/>
      <c r="CD126" s="641"/>
      <c r="CE126" s="641"/>
      <c r="CF126" s="641"/>
      <c r="CG126" s="641"/>
      <c r="CH126" s="641"/>
      <c r="CI126" s="641"/>
      <c r="CJ126" s="641"/>
      <c r="CK126" s="641"/>
      <c r="CL126" s="641"/>
      <c r="CM126" s="641"/>
      <c r="CN126" s="641"/>
      <c r="CO126" s="641"/>
      <c r="CP126" s="596"/>
      <c r="CQ126" s="596"/>
      <c r="CR126" s="596"/>
      <c r="CS126" s="112"/>
      <c r="CT126" s="87"/>
      <c r="CU126" s="109"/>
      <c r="CV126" s="109"/>
      <c r="CW126" s="109"/>
      <c r="CX126" s="1999"/>
      <c r="CY126" s="1999"/>
      <c r="CZ126" s="1999"/>
      <c r="DA126" s="1999"/>
      <c r="DB126" s="1999"/>
      <c r="DC126" s="1999"/>
      <c r="DD126" s="1999"/>
      <c r="DE126" s="1999"/>
      <c r="DF126" s="1999"/>
      <c r="DG126" s="1999"/>
      <c r="DH126" s="1999"/>
      <c r="DI126" s="1999"/>
      <c r="DJ126" s="1999"/>
      <c r="DK126" s="1999"/>
      <c r="DL126" s="1999"/>
      <c r="DM126" s="1999"/>
      <c r="DN126" s="1999"/>
      <c r="DO126" s="1999"/>
      <c r="DP126" s="1999"/>
      <c r="DQ126" s="1999"/>
      <c r="DR126" s="1999"/>
      <c r="DS126" s="1999"/>
      <c r="DT126" s="1999"/>
      <c r="DU126" s="1999"/>
      <c r="DV126" s="1999"/>
      <c r="DW126" s="1999"/>
      <c r="DX126" s="1999"/>
      <c r="DY126" s="1999"/>
      <c r="DZ126" s="1999"/>
      <c r="EA126" s="1999"/>
      <c r="EB126" s="1999"/>
      <c r="EC126" s="1999"/>
      <c r="ED126" s="1999"/>
      <c r="EE126" s="1999"/>
      <c r="EF126" s="1999"/>
      <c r="EG126" s="1999"/>
      <c r="EH126" s="1999"/>
      <c r="EI126" s="1999"/>
      <c r="EJ126" s="1999"/>
      <c r="EK126" s="1999"/>
      <c r="EL126" s="1999"/>
      <c r="EM126" s="1999"/>
      <c r="EN126" s="1999"/>
      <c r="EO126" s="1999"/>
      <c r="EP126" s="1999"/>
      <c r="EQ126" s="1999"/>
      <c r="ER126" s="1999"/>
      <c r="ES126" s="1999"/>
      <c r="ET126" s="1999"/>
      <c r="EU126" s="659"/>
      <c r="EV126" s="87"/>
      <c r="EW126" s="170"/>
      <c r="EX126" s="2018"/>
      <c r="EY126" s="2019"/>
      <c r="EZ126" s="87"/>
      <c r="FA126" s="87"/>
      <c r="FB126" s="87"/>
    </row>
    <row r="127" spans="1:158" ht="9" customHeight="1" thickTop="1">
      <c r="A127" s="87"/>
      <c r="B127" s="87"/>
      <c r="C127" s="87"/>
      <c r="D127" s="287"/>
      <c r="E127" s="87"/>
      <c r="F127" s="286"/>
      <c r="G127" s="294"/>
      <c r="H127" s="249"/>
      <c r="I127" s="1989"/>
      <c r="J127" s="1990"/>
      <c r="K127" s="87"/>
      <c r="L127" s="112"/>
      <c r="M127" s="1861"/>
      <c r="N127" s="1862"/>
      <c r="O127" s="1862"/>
      <c r="P127" s="93"/>
      <c r="Q127" s="1865" t="s">
        <v>3613</v>
      </c>
      <c r="R127" s="1865"/>
      <c r="S127" s="1865"/>
      <c r="T127" s="1865"/>
      <c r="U127" s="295"/>
      <c r="V127" s="295"/>
      <c r="W127" s="600"/>
      <c r="X127" s="600"/>
      <c r="Y127" s="594"/>
      <c r="Z127" s="594"/>
      <c r="AA127" s="594"/>
      <c r="AB127" s="594"/>
      <c r="AC127" s="594"/>
      <c r="AD127" s="594"/>
      <c r="AE127" s="594"/>
      <c r="AF127" s="594"/>
      <c r="AG127" s="594"/>
      <c r="AH127" s="594"/>
      <c r="AI127" s="594"/>
      <c r="AJ127" s="594"/>
      <c r="AK127" s="594"/>
      <c r="AL127" s="594"/>
      <c r="AM127" s="594"/>
      <c r="AN127" s="594"/>
      <c r="AO127" s="297"/>
      <c r="AP127" s="641"/>
      <c r="AQ127" s="641"/>
      <c r="AR127" s="93"/>
      <c r="AS127" s="1865" t="s">
        <v>4051</v>
      </c>
      <c r="AT127" s="1877"/>
      <c r="AU127" s="1877"/>
      <c r="AV127" s="1877"/>
      <c r="AW127" s="295"/>
      <c r="AX127" s="295"/>
      <c r="AY127" s="295"/>
      <c r="AZ127" s="295"/>
      <c r="BA127" s="295"/>
      <c r="BB127" s="295"/>
      <c r="BC127" s="295"/>
      <c r="BD127" s="295"/>
      <c r="BE127" s="295"/>
      <c r="BF127" s="295"/>
      <c r="BG127" s="295"/>
      <c r="BH127" s="113"/>
      <c r="BI127" s="641"/>
      <c r="BJ127" s="641"/>
      <c r="BK127" s="93"/>
      <c r="BL127" s="1865" t="str">
        <f>IF(CF128&lt;&gt;"","AMMO","POWER")</f>
        <v>POWER</v>
      </c>
      <c r="BM127" s="1865"/>
      <c r="BN127" s="1865"/>
      <c r="BO127" s="1865"/>
      <c r="BP127" s="1865"/>
      <c r="BQ127" s="1865"/>
      <c r="BR127" s="295"/>
      <c r="BS127" s="295"/>
      <c r="BT127" s="295"/>
      <c r="BU127" s="295"/>
      <c r="BV127" s="295"/>
      <c r="BW127" s="295"/>
      <c r="BX127" s="295"/>
      <c r="BY127" s="295"/>
      <c r="BZ127" s="295"/>
      <c r="CA127" s="295"/>
      <c r="CB127" s="295"/>
      <c r="CC127" s="295"/>
      <c r="CD127" s="295"/>
      <c r="CE127" s="295"/>
      <c r="CF127" s="295"/>
      <c r="CG127" s="295"/>
      <c r="CH127" s="295"/>
      <c r="CI127" s="295"/>
      <c r="CJ127" s="295"/>
      <c r="CK127" s="295"/>
      <c r="CL127" s="295"/>
      <c r="CM127" s="295"/>
      <c r="CN127" s="295"/>
      <c r="CO127" s="113"/>
      <c r="CP127" s="595"/>
      <c r="CQ127" s="595"/>
      <c r="CR127" s="595"/>
      <c r="CS127" s="112"/>
      <c r="CT127" s="87"/>
      <c r="CU127" s="109"/>
      <c r="CV127" s="109"/>
      <c r="CW127" s="109"/>
      <c r="CX127" s="1999"/>
      <c r="CY127" s="1999"/>
      <c r="CZ127" s="1999"/>
      <c r="DA127" s="1999"/>
      <c r="DB127" s="1999"/>
      <c r="DC127" s="1999"/>
      <c r="DD127" s="1999"/>
      <c r="DE127" s="1999"/>
      <c r="DF127" s="1999"/>
      <c r="DG127" s="1999"/>
      <c r="DH127" s="1999"/>
      <c r="DI127" s="1999"/>
      <c r="DJ127" s="1999"/>
      <c r="DK127" s="1999"/>
      <c r="DL127" s="1999"/>
      <c r="DM127" s="1999"/>
      <c r="DN127" s="1999"/>
      <c r="DO127" s="1999"/>
      <c r="DP127" s="1999"/>
      <c r="DQ127" s="1999"/>
      <c r="DR127" s="1999"/>
      <c r="DS127" s="1999"/>
      <c r="DT127" s="1999"/>
      <c r="DU127" s="1999"/>
      <c r="DV127" s="1999"/>
      <c r="DW127" s="1999"/>
      <c r="DX127" s="1999"/>
      <c r="DY127" s="1999"/>
      <c r="DZ127" s="1999"/>
      <c r="EA127" s="1999"/>
      <c r="EB127" s="1999"/>
      <c r="EC127" s="1999"/>
      <c r="ED127" s="1999"/>
      <c r="EE127" s="1999"/>
      <c r="EF127" s="1999"/>
      <c r="EG127" s="1999"/>
      <c r="EH127" s="1999"/>
      <c r="EI127" s="1999"/>
      <c r="EJ127" s="1999"/>
      <c r="EK127" s="1999"/>
      <c r="EL127" s="1999"/>
      <c r="EM127" s="1999"/>
      <c r="EN127" s="1999"/>
      <c r="EO127" s="1999"/>
      <c r="EP127" s="1999"/>
      <c r="EQ127" s="1999"/>
      <c r="ER127" s="1999"/>
      <c r="ES127" s="1999"/>
      <c r="ET127" s="1999"/>
      <c r="EU127" s="659"/>
      <c r="EV127" s="87"/>
      <c r="EW127" s="170"/>
      <c r="EX127" s="2018"/>
      <c r="EY127" s="2019"/>
      <c r="EZ127" s="87"/>
      <c r="FA127" s="87"/>
      <c r="FB127" s="87"/>
    </row>
    <row r="128" spans="1:158" ht="9" customHeight="1">
      <c r="A128" s="87"/>
      <c r="B128" s="87"/>
      <c r="C128" s="87"/>
      <c r="D128" s="287"/>
      <c r="E128" s="287"/>
      <c r="F128" s="299"/>
      <c r="G128" s="299"/>
      <c r="H128" s="249"/>
      <c r="I128" s="1989"/>
      <c r="J128" s="1990"/>
      <c r="K128" s="87"/>
      <c r="L128" s="112"/>
      <c r="M128" s="1861"/>
      <c r="N128" s="1862"/>
      <c r="O128" s="1862"/>
      <c r="P128" s="102"/>
      <c r="Q128" s="1866"/>
      <c r="R128" s="1866"/>
      <c r="S128" s="1866"/>
      <c r="T128" s="1866"/>
      <c r="U128" s="1867" t="str">
        <f>Weapons!E$34</f>
        <v/>
      </c>
      <c r="V128" s="1867"/>
      <c r="W128" s="1867"/>
      <c r="X128" s="1867"/>
      <c r="Y128" s="1867"/>
      <c r="Z128" s="1867"/>
      <c r="AA128" s="1867"/>
      <c r="AB128" s="1867"/>
      <c r="AC128" s="1867"/>
      <c r="AD128" s="1867"/>
      <c r="AE128" s="1867"/>
      <c r="AF128" s="1867"/>
      <c r="AG128" s="1867"/>
      <c r="AH128" s="1867"/>
      <c r="AI128" s="1867"/>
      <c r="AJ128" s="1867"/>
      <c r="AK128" s="1867"/>
      <c r="AL128" s="1867"/>
      <c r="AM128" s="1867"/>
      <c r="AN128" s="1867"/>
      <c r="AO128" s="300"/>
      <c r="AP128" s="641"/>
      <c r="AQ128" s="641"/>
      <c r="AR128" s="102"/>
      <c r="AS128" s="1878"/>
      <c r="AT128" s="1878"/>
      <c r="AU128" s="1878"/>
      <c r="AV128" s="1878"/>
      <c r="AW128" s="1869" t="str">
        <f>Weapons!E$23</f>
        <v/>
      </c>
      <c r="AX128" s="1869"/>
      <c r="AY128" s="1869"/>
      <c r="AZ128" s="1869"/>
      <c r="BA128" s="1869"/>
      <c r="BB128" s="1869"/>
      <c r="BC128" s="1869"/>
      <c r="BD128" s="1869"/>
      <c r="BE128" s="1869"/>
      <c r="BF128" s="1869"/>
      <c r="BG128" s="1869"/>
      <c r="BH128" s="100"/>
      <c r="BI128" s="641"/>
      <c r="BJ128" s="641"/>
      <c r="BK128" s="102"/>
      <c r="BL128" s="1866"/>
      <c r="BM128" s="1866"/>
      <c r="BN128" s="1866"/>
      <c r="BO128" s="1866"/>
      <c r="BP128" s="1866"/>
      <c r="BQ128" s="1866"/>
      <c r="BR128" s="1875" t="str">
        <f>Weapons!E$25</f>
        <v/>
      </c>
      <c r="BS128" s="1875"/>
      <c r="BT128" s="1875"/>
      <c r="BU128" s="1875"/>
      <c r="BV128" s="1875"/>
      <c r="BW128" s="1875"/>
      <c r="BX128" s="1875"/>
      <c r="BY128" s="1875"/>
      <c r="BZ128" s="1875"/>
      <c r="CA128" s="1875"/>
      <c r="CB128" s="1875"/>
      <c r="CC128" s="1875"/>
      <c r="CD128" s="1875"/>
      <c r="CE128" s="1875"/>
      <c r="CF128" s="1863" t="str">
        <f>Weapons!E$26</f>
        <v/>
      </c>
      <c r="CG128" s="1863"/>
      <c r="CH128" s="1863"/>
      <c r="CI128" s="1863"/>
      <c r="CJ128" s="1863"/>
      <c r="CK128" s="1863"/>
      <c r="CL128" s="1863"/>
      <c r="CM128" s="1863"/>
      <c r="CN128" s="1863"/>
      <c r="CO128" s="100"/>
      <c r="CP128" s="657"/>
      <c r="CQ128" s="657"/>
      <c r="CR128" s="657"/>
      <c r="CS128" s="112"/>
      <c r="CT128" s="109"/>
      <c r="CU128" s="109"/>
      <c r="CV128" s="109"/>
      <c r="CW128" s="109"/>
      <c r="CX128" s="1999"/>
      <c r="CY128" s="1999"/>
      <c r="CZ128" s="1999"/>
      <c r="DA128" s="1999"/>
      <c r="DB128" s="1999"/>
      <c r="DC128" s="1999"/>
      <c r="DD128" s="1999"/>
      <c r="DE128" s="1999"/>
      <c r="DF128" s="1999"/>
      <c r="DG128" s="1999"/>
      <c r="DH128" s="1999"/>
      <c r="DI128" s="1999"/>
      <c r="DJ128" s="1999"/>
      <c r="DK128" s="1999"/>
      <c r="DL128" s="1999"/>
      <c r="DM128" s="1999"/>
      <c r="DN128" s="1999"/>
      <c r="DO128" s="1999"/>
      <c r="DP128" s="1999"/>
      <c r="DQ128" s="1999"/>
      <c r="DR128" s="1999"/>
      <c r="DS128" s="1999"/>
      <c r="DT128" s="1999"/>
      <c r="DU128" s="1999"/>
      <c r="DV128" s="1999"/>
      <c r="DW128" s="1999"/>
      <c r="DX128" s="1999"/>
      <c r="DY128" s="1999"/>
      <c r="DZ128" s="1999"/>
      <c r="EA128" s="1999"/>
      <c r="EB128" s="1999"/>
      <c r="EC128" s="1999"/>
      <c r="ED128" s="1999"/>
      <c r="EE128" s="1999"/>
      <c r="EF128" s="1999"/>
      <c r="EG128" s="1999"/>
      <c r="EH128" s="1999"/>
      <c r="EI128" s="1999"/>
      <c r="EJ128" s="1999"/>
      <c r="EK128" s="1999"/>
      <c r="EL128" s="1999"/>
      <c r="EM128" s="1999"/>
      <c r="EN128" s="1999"/>
      <c r="EO128" s="1999"/>
      <c r="EP128" s="1999"/>
      <c r="EQ128" s="1999"/>
      <c r="ER128" s="1999"/>
      <c r="ES128" s="1999"/>
      <c r="ET128" s="1999"/>
      <c r="EU128" s="659"/>
      <c r="EV128" s="87"/>
      <c r="EW128" s="170"/>
      <c r="EX128" s="840"/>
      <c r="EY128" s="841"/>
      <c r="EZ128" s="87"/>
      <c r="FA128" s="87"/>
      <c r="FB128" s="87"/>
    </row>
    <row r="129" spans="1:158" ht="9" customHeight="1">
      <c r="A129" s="87"/>
      <c r="B129" s="87"/>
      <c r="C129" s="87"/>
      <c r="D129" s="287"/>
      <c r="E129" s="287"/>
      <c r="F129" s="299"/>
      <c r="G129" s="299"/>
      <c r="H129" s="249"/>
      <c r="I129" s="1989"/>
      <c r="J129" s="1990"/>
      <c r="K129" s="87"/>
      <c r="L129" s="112"/>
      <c r="M129" s="1861"/>
      <c r="N129" s="1862"/>
      <c r="O129" s="1862"/>
      <c r="P129" s="102"/>
      <c r="Q129" s="105"/>
      <c r="R129" s="105"/>
      <c r="S129" s="105"/>
      <c r="T129" s="105"/>
      <c r="U129" s="1867"/>
      <c r="V129" s="1867"/>
      <c r="W129" s="1867"/>
      <c r="X129" s="1867"/>
      <c r="Y129" s="1867"/>
      <c r="Z129" s="1867"/>
      <c r="AA129" s="1867"/>
      <c r="AB129" s="1867"/>
      <c r="AC129" s="1867"/>
      <c r="AD129" s="1867"/>
      <c r="AE129" s="1867"/>
      <c r="AF129" s="1867"/>
      <c r="AG129" s="1867"/>
      <c r="AH129" s="1867"/>
      <c r="AI129" s="1867"/>
      <c r="AJ129" s="1867"/>
      <c r="AK129" s="1867"/>
      <c r="AL129" s="1867"/>
      <c r="AM129" s="1867"/>
      <c r="AN129" s="1867"/>
      <c r="AO129" s="103"/>
      <c r="AP129" s="641"/>
      <c r="AQ129" s="641"/>
      <c r="AR129" s="102"/>
      <c r="AS129" s="650"/>
      <c r="AT129" s="650"/>
      <c r="AU129" s="650"/>
      <c r="AV129" s="650"/>
      <c r="AW129" s="1869"/>
      <c r="AX129" s="1869"/>
      <c r="AY129" s="1869"/>
      <c r="AZ129" s="1869"/>
      <c r="BA129" s="1869"/>
      <c r="BB129" s="1869"/>
      <c r="BC129" s="1869"/>
      <c r="BD129" s="1869"/>
      <c r="BE129" s="1869"/>
      <c r="BF129" s="1869"/>
      <c r="BG129" s="1869"/>
      <c r="BH129" s="100"/>
      <c r="BI129" s="641"/>
      <c r="BJ129" s="641"/>
      <c r="BK129" s="102"/>
      <c r="BL129" s="650"/>
      <c r="BM129" s="650"/>
      <c r="BN129" s="650"/>
      <c r="BO129" s="650"/>
      <c r="BP129" s="650"/>
      <c r="BQ129" s="650"/>
      <c r="BR129" s="1875"/>
      <c r="BS129" s="1875"/>
      <c r="BT129" s="1875"/>
      <c r="BU129" s="1875"/>
      <c r="BV129" s="1875"/>
      <c r="BW129" s="1875"/>
      <c r="BX129" s="1875"/>
      <c r="BY129" s="1875"/>
      <c r="BZ129" s="1875"/>
      <c r="CA129" s="1875"/>
      <c r="CB129" s="1875"/>
      <c r="CC129" s="1875"/>
      <c r="CD129" s="1875"/>
      <c r="CE129" s="1875"/>
      <c r="CF129" s="1863"/>
      <c r="CG129" s="1863"/>
      <c r="CH129" s="1863"/>
      <c r="CI129" s="1863"/>
      <c r="CJ129" s="1863"/>
      <c r="CK129" s="1863"/>
      <c r="CL129" s="1863"/>
      <c r="CM129" s="1863"/>
      <c r="CN129" s="1863"/>
      <c r="CO129" s="100"/>
      <c r="CP129" s="657"/>
      <c r="CQ129" s="657"/>
      <c r="CR129" s="657"/>
      <c r="CS129" s="112"/>
      <c r="CT129" s="109"/>
      <c r="CU129" s="109"/>
      <c r="CV129" s="109"/>
      <c r="CW129" s="109"/>
      <c r="CX129" s="1999"/>
      <c r="CY129" s="1999"/>
      <c r="CZ129" s="1999"/>
      <c r="DA129" s="1999"/>
      <c r="DB129" s="1999"/>
      <c r="DC129" s="1999"/>
      <c r="DD129" s="1999"/>
      <c r="DE129" s="1999"/>
      <c r="DF129" s="1999"/>
      <c r="DG129" s="1999"/>
      <c r="DH129" s="1999"/>
      <c r="DI129" s="1999"/>
      <c r="DJ129" s="1999"/>
      <c r="DK129" s="1999"/>
      <c r="DL129" s="1999"/>
      <c r="DM129" s="1999"/>
      <c r="DN129" s="1999"/>
      <c r="DO129" s="1999"/>
      <c r="DP129" s="1999"/>
      <c r="DQ129" s="1999"/>
      <c r="DR129" s="1999"/>
      <c r="DS129" s="1999"/>
      <c r="DT129" s="1999"/>
      <c r="DU129" s="1999"/>
      <c r="DV129" s="1999"/>
      <c r="DW129" s="1999"/>
      <c r="DX129" s="1999"/>
      <c r="DY129" s="1999"/>
      <c r="DZ129" s="1999"/>
      <c r="EA129" s="1999"/>
      <c r="EB129" s="1999"/>
      <c r="EC129" s="1999"/>
      <c r="ED129" s="1999"/>
      <c r="EE129" s="1999"/>
      <c r="EF129" s="1999"/>
      <c r="EG129" s="1999"/>
      <c r="EH129" s="1999"/>
      <c r="EI129" s="1999"/>
      <c r="EJ129" s="1999"/>
      <c r="EK129" s="1999"/>
      <c r="EL129" s="1999"/>
      <c r="EM129" s="1999"/>
      <c r="EN129" s="1999"/>
      <c r="EO129" s="1999"/>
      <c r="EP129" s="1999"/>
      <c r="EQ129" s="1999"/>
      <c r="ER129" s="1999"/>
      <c r="ES129" s="1999"/>
      <c r="ET129" s="1999"/>
      <c r="EU129" s="659"/>
      <c r="EV129" s="87"/>
      <c r="EW129" s="170"/>
      <c r="EX129" s="840"/>
      <c r="EY129" s="841"/>
      <c r="EZ129" s="302"/>
      <c r="FA129" s="256"/>
      <c r="FB129" s="87"/>
    </row>
    <row r="130" spans="1:158" ht="9" customHeight="1" thickBot="1">
      <c r="A130" s="87"/>
      <c r="B130" s="87"/>
      <c r="C130" s="87"/>
      <c r="D130" s="287"/>
      <c r="E130" s="287"/>
      <c r="F130" s="299"/>
      <c r="G130" s="299"/>
      <c r="H130" s="249"/>
      <c r="I130" s="1989"/>
      <c r="J130" s="1990"/>
      <c r="K130" s="87"/>
      <c r="L130" s="112"/>
      <c r="M130" s="1861"/>
      <c r="N130" s="1862"/>
      <c r="O130" s="1862"/>
      <c r="P130" s="91"/>
      <c r="Q130" s="108"/>
      <c r="R130" s="108"/>
      <c r="S130" s="108"/>
      <c r="T130" s="108"/>
      <c r="U130" s="1868"/>
      <c r="V130" s="1868"/>
      <c r="W130" s="1868"/>
      <c r="X130" s="1868"/>
      <c r="Y130" s="1868"/>
      <c r="Z130" s="1868"/>
      <c r="AA130" s="1868"/>
      <c r="AB130" s="1868"/>
      <c r="AC130" s="1868"/>
      <c r="AD130" s="1868"/>
      <c r="AE130" s="1868"/>
      <c r="AF130" s="1868"/>
      <c r="AG130" s="1868"/>
      <c r="AH130" s="1868"/>
      <c r="AI130" s="1868"/>
      <c r="AJ130" s="1868"/>
      <c r="AK130" s="1868"/>
      <c r="AL130" s="1868"/>
      <c r="AM130" s="1868"/>
      <c r="AN130" s="1868"/>
      <c r="AO130" s="90"/>
      <c r="AP130" s="641"/>
      <c r="AQ130" s="641"/>
      <c r="AR130" s="91"/>
      <c r="AS130" s="651"/>
      <c r="AT130" s="651"/>
      <c r="AU130" s="651"/>
      <c r="AV130" s="651"/>
      <c r="AW130" s="1870"/>
      <c r="AX130" s="1870"/>
      <c r="AY130" s="1870"/>
      <c r="AZ130" s="1870"/>
      <c r="BA130" s="1870"/>
      <c r="BB130" s="1870"/>
      <c r="BC130" s="1870"/>
      <c r="BD130" s="1870"/>
      <c r="BE130" s="1870"/>
      <c r="BF130" s="1870"/>
      <c r="BG130" s="1870"/>
      <c r="BH130" s="93"/>
      <c r="BI130" s="641"/>
      <c r="BJ130" s="641"/>
      <c r="BK130" s="91"/>
      <c r="BL130" s="651"/>
      <c r="BM130" s="651"/>
      <c r="BN130" s="651"/>
      <c r="BO130" s="651"/>
      <c r="BP130" s="651"/>
      <c r="BQ130" s="651"/>
      <c r="BR130" s="1876"/>
      <c r="BS130" s="1876"/>
      <c r="BT130" s="1876"/>
      <c r="BU130" s="1876"/>
      <c r="BV130" s="1876"/>
      <c r="BW130" s="1876"/>
      <c r="BX130" s="1876"/>
      <c r="BY130" s="1876"/>
      <c r="BZ130" s="1876"/>
      <c r="CA130" s="1876"/>
      <c r="CB130" s="1876"/>
      <c r="CC130" s="1876"/>
      <c r="CD130" s="1876"/>
      <c r="CE130" s="1876"/>
      <c r="CF130" s="1864"/>
      <c r="CG130" s="1864"/>
      <c r="CH130" s="1864"/>
      <c r="CI130" s="1864"/>
      <c r="CJ130" s="1864"/>
      <c r="CK130" s="1864"/>
      <c r="CL130" s="1864"/>
      <c r="CM130" s="1864"/>
      <c r="CN130" s="1864"/>
      <c r="CO130" s="93"/>
      <c r="CP130" s="657"/>
      <c r="CQ130" s="657"/>
      <c r="CR130" s="657"/>
      <c r="CS130" s="112"/>
      <c r="CT130" s="118"/>
      <c r="CU130" s="109"/>
      <c r="CV130" s="109"/>
      <c r="CW130" s="109"/>
      <c r="CX130" s="1999"/>
      <c r="CY130" s="1999"/>
      <c r="CZ130" s="1999"/>
      <c r="DA130" s="1999"/>
      <c r="DB130" s="1999"/>
      <c r="DC130" s="1999"/>
      <c r="DD130" s="1999"/>
      <c r="DE130" s="1999"/>
      <c r="DF130" s="1999"/>
      <c r="DG130" s="1999"/>
      <c r="DH130" s="1999"/>
      <c r="DI130" s="1999"/>
      <c r="DJ130" s="1999"/>
      <c r="DK130" s="1999"/>
      <c r="DL130" s="1999"/>
      <c r="DM130" s="1999"/>
      <c r="DN130" s="1999"/>
      <c r="DO130" s="1999"/>
      <c r="DP130" s="1999"/>
      <c r="DQ130" s="1999"/>
      <c r="DR130" s="1999"/>
      <c r="DS130" s="1999"/>
      <c r="DT130" s="1999"/>
      <c r="DU130" s="1999"/>
      <c r="DV130" s="1999"/>
      <c r="DW130" s="1999"/>
      <c r="DX130" s="1999"/>
      <c r="DY130" s="1999"/>
      <c r="DZ130" s="1999"/>
      <c r="EA130" s="1999"/>
      <c r="EB130" s="1999"/>
      <c r="EC130" s="1999"/>
      <c r="ED130" s="1999"/>
      <c r="EE130" s="1999"/>
      <c r="EF130" s="1999"/>
      <c r="EG130" s="1999"/>
      <c r="EH130" s="1999"/>
      <c r="EI130" s="1999"/>
      <c r="EJ130" s="1999"/>
      <c r="EK130" s="1999"/>
      <c r="EL130" s="1999"/>
      <c r="EM130" s="1999"/>
      <c r="EN130" s="1999"/>
      <c r="EO130" s="1999"/>
      <c r="EP130" s="1999"/>
      <c r="EQ130" s="1999"/>
      <c r="ER130" s="1999"/>
      <c r="ES130" s="1999"/>
      <c r="ET130" s="1999"/>
      <c r="EU130" s="659"/>
      <c r="EV130" s="87"/>
      <c r="EW130" s="170"/>
      <c r="EX130" s="840"/>
      <c r="EY130" s="841"/>
      <c r="EZ130" s="302"/>
      <c r="FA130" s="112"/>
      <c r="FB130" s="87"/>
    </row>
    <row r="131" spans="1:158" ht="9" customHeight="1" thickTop="1" thickBot="1">
      <c r="A131" s="87"/>
      <c r="B131" s="87"/>
      <c r="C131" s="87"/>
      <c r="D131" s="287"/>
      <c r="E131" s="287"/>
      <c r="F131" s="299"/>
      <c r="G131" s="299"/>
      <c r="H131" s="249"/>
      <c r="I131" s="1989"/>
      <c r="J131" s="1990"/>
      <c r="K131" s="87"/>
      <c r="L131" s="112"/>
      <c r="M131" s="1861"/>
      <c r="N131" s="1862"/>
      <c r="O131" s="1862"/>
      <c r="P131" s="641"/>
      <c r="Q131" s="641"/>
      <c r="R131" s="641"/>
      <c r="S131" s="641"/>
      <c r="T131" s="641"/>
      <c r="U131" s="641"/>
      <c r="V131" s="641"/>
      <c r="W131" s="641"/>
      <c r="X131" s="589"/>
      <c r="Y131" s="589"/>
      <c r="Z131" s="589"/>
      <c r="AA131" s="589"/>
      <c r="AB131" s="589"/>
      <c r="AC131" s="589"/>
      <c r="AD131" s="589"/>
      <c r="AE131" s="589"/>
      <c r="AF131" s="589"/>
      <c r="AG131" s="589"/>
      <c r="AH131" s="589"/>
      <c r="AI131" s="589"/>
      <c r="AJ131" s="589"/>
      <c r="AK131" s="589"/>
      <c r="AL131" s="589"/>
      <c r="AM131" s="589"/>
      <c r="AN131" s="589"/>
      <c r="AO131" s="589"/>
      <c r="AP131" s="589"/>
      <c r="AQ131" s="131"/>
      <c r="AR131" s="118"/>
      <c r="AS131" s="118"/>
      <c r="AT131" s="105"/>
      <c r="AU131" s="641"/>
      <c r="AV131" s="641"/>
      <c r="AW131" s="641"/>
      <c r="AX131" s="641"/>
      <c r="AY131" s="653"/>
      <c r="AZ131" s="653"/>
      <c r="BA131" s="653"/>
      <c r="BB131" s="653"/>
      <c r="BC131" s="653"/>
      <c r="BD131" s="131"/>
      <c r="BE131" s="118"/>
      <c r="BF131" s="118"/>
      <c r="BG131" s="105"/>
      <c r="BH131" s="641"/>
      <c r="BI131" s="641"/>
      <c r="BJ131" s="641"/>
      <c r="BK131" s="641"/>
      <c r="BL131" s="641"/>
      <c r="BM131" s="641"/>
      <c r="BN131" s="641"/>
      <c r="BO131" s="641"/>
      <c r="BP131" s="442"/>
      <c r="BQ131" s="442"/>
      <c r="BR131" s="442"/>
      <c r="BS131" s="442"/>
      <c r="BT131" s="442"/>
      <c r="BU131" s="442"/>
      <c r="BV131" s="442"/>
      <c r="BW131" s="442"/>
      <c r="BX131" s="442"/>
      <c r="BY131" s="442"/>
      <c r="BZ131" s="442"/>
      <c r="CA131" s="442"/>
      <c r="CB131" s="442"/>
      <c r="CC131" s="442"/>
      <c r="CD131" s="442"/>
      <c r="CE131" s="442"/>
      <c r="CF131" s="442"/>
      <c r="CG131" s="442"/>
      <c r="CH131" s="442"/>
      <c r="CI131" s="442"/>
      <c r="CJ131" s="442"/>
      <c r="CK131" s="442"/>
      <c r="CL131" s="442"/>
      <c r="CM131" s="442"/>
      <c r="CN131" s="442"/>
      <c r="CO131" s="442"/>
      <c r="CP131" s="118"/>
      <c r="CQ131" s="118"/>
      <c r="CR131" s="118"/>
      <c r="CS131" s="112"/>
      <c r="CT131" s="118"/>
      <c r="CU131" s="109"/>
      <c r="CV131" s="109"/>
      <c r="CW131" s="109"/>
      <c r="CX131" s="1999"/>
      <c r="CY131" s="1999"/>
      <c r="CZ131" s="1999"/>
      <c r="DA131" s="1999"/>
      <c r="DB131" s="1999"/>
      <c r="DC131" s="1999"/>
      <c r="DD131" s="1999"/>
      <c r="DE131" s="1999"/>
      <c r="DF131" s="1999"/>
      <c r="DG131" s="1999"/>
      <c r="DH131" s="1999"/>
      <c r="DI131" s="1999"/>
      <c r="DJ131" s="1999"/>
      <c r="DK131" s="1999"/>
      <c r="DL131" s="1999"/>
      <c r="DM131" s="1999"/>
      <c r="DN131" s="1999"/>
      <c r="DO131" s="1999"/>
      <c r="DP131" s="1999"/>
      <c r="DQ131" s="1999"/>
      <c r="DR131" s="1999"/>
      <c r="DS131" s="1999"/>
      <c r="DT131" s="1999"/>
      <c r="DU131" s="1999"/>
      <c r="DV131" s="1999"/>
      <c r="DW131" s="1999"/>
      <c r="DX131" s="1999"/>
      <c r="DY131" s="1999"/>
      <c r="DZ131" s="1999"/>
      <c r="EA131" s="1999"/>
      <c r="EB131" s="1999"/>
      <c r="EC131" s="1999"/>
      <c r="ED131" s="1999"/>
      <c r="EE131" s="1999"/>
      <c r="EF131" s="1999"/>
      <c r="EG131" s="1999"/>
      <c r="EH131" s="1999"/>
      <c r="EI131" s="1999"/>
      <c r="EJ131" s="1999"/>
      <c r="EK131" s="1999"/>
      <c r="EL131" s="1999"/>
      <c r="EM131" s="1999"/>
      <c r="EN131" s="1999"/>
      <c r="EO131" s="1999"/>
      <c r="EP131" s="1999"/>
      <c r="EQ131" s="1999"/>
      <c r="ER131" s="1999"/>
      <c r="ES131" s="1999"/>
      <c r="ET131" s="1999"/>
      <c r="EU131" s="659"/>
      <c r="EV131" s="87"/>
      <c r="EW131" s="170"/>
      <c r="EX131" s="840"/>
      <c r="EY131" s="841"/>
      <c r="EZ131" s="302"/>
      <c r="FA131" s="112"/>
      <c r="FB131" s="87"/>
    </row>
    <row r="132" spans="1:158" ht="9" customHeight="1" thickTop="1">
      <c r="A132" s="87"/>
      <c r="B132" s="87"/>
      <c r="C132" s="87"/>
      <c r="D132" s="287"/>
      <c r="E132" s="287"/>
      <c r="F132" s="299"/>
      <c r="G132" s="299"/>
      <c r="H132" s="249"/>
      <c r="I132" s="1989"/>
      <c r="J132" s="1990"/>
      <c r="K132" s="87"/>
      <c r="L132" s="112"/>
      <c r="M132" s="1861"/>
      <c r="N132" s="1862"/>
      <c r="O132" s="1862"/>
      <c r="P132" s="93"/>
      <c r="Q132" s="1865" t="s">
        <v>3614</v>
      </c>
      <c r="R132" s="1865"/>
      <c r="S132" s="1865"/>
      <c r="T132" s="1865"/>
      <c r="U132" s="1865"/>
      <c r="V132" s="1865"/>
      <c r="W132" s="295"/>
      <c r="X132" s="296"/>
      <c r="Y132" s="296"/>
      <c r="Z132" s="296"/>
      <c r="AA132" s="296"/>
      <c r="AB132" s="296"/>
      <c r="AC132" s="296"/>
      <c r="AD132" s="296"/>
      <c r="AE132" s="296"/>
      <c r="AF132" s="296"/>
      <c r="AG132" s="296"/>
      <c r="AH132" s="296"/>
      <c r="AI132" s="296"/>
      <c r="AJ132" s="296"/>
      <c r="AK132" s="296"/>
      <c r="AL132" s="296"/>
      <c r="AM132" s="296"/>
      <c r="AN132" s="296"/>
      <c r="AO132" s="296"/>
      <c r="AP132" s="296"/>
      <c r="AQ132" s="296"/>
      <c r="AR132" s="296"/>
      <c r="AS132" s="296"/>
      <c r="AT132" s="296"/>
      <c r="AU132" s="296"/>
      <c r="AV132" s="296"/>
      <c r="AW132" s="296"/>
      <c r="AX132" s="296"/>
      <c r="AY132" s="296"/>
      <c r="AZ132" s="296"/>
      <c r="BA132" s="296"/>
      <c r="BB132" s="296"/>
      <c r="BC132" s="296"/>
      <c r="BD132" s="296"/>
      <c r="BE132" s="296"/>
      <c r="BF132" s="296"/>
      <c r="BG132" s="296"/>
      <c r="BH132" s="296"/>
      <c r="BI132" s="296"/>
      <c r="BJ132" s="296"/>
      <c r="BK132" s="296"/>
      <c r="BL132" s="296"/>
      <c r="BM132" s="296"/>
      <c r="BN132" s="296"/>
      <c r="BO132" s="296"/>
      <c r="BP132" s="296"/>
      <c r="BQ132" s="296"/>
      <c r="BR132" s="296"/>
      <c r="BS132" s="296"/>
      <c r="BT132" s="296"/>
      <c r="BU132" s="296"/>
      <c r="BV132" s="296"/>
      <c r="BW132" s="296"/>
      <c r="BX132" s="296"/>
      <c r="BY132" s="296"/>
      <c r="BZ132" s="296"/>
      <c r="CA132" s="296"/>
      <c r="CB132" s="296"/>
      <c r="CC132" s="296"/>
      <c r="CD132" s="296"/>
      <c r="CE132" s="296"/>
      <c r="CF132" s="296"/>
      <c r="CG132" s="296"/>
      <c r="CH132" s="296"/>
      <c r="CI132" s="296"/>
      <c r="CJ132" s="296"/>
      <c r="CK132" s="296"/>
      <c r="CL132" s="296"/>
      <c r="CM132" s="296"/>
      <c r="CN132" s="296"/>
      <c r="CO132" s="297"/>
      <c r="CP132" s="596"/>
      <c r="CQ132" s="596"/>
      <c r="CR132" s="87"/>
      <c r="CS132" s="112"/>
      <c r="CT132" s="118"/>
      <c r="CU132" s="109"/>
      <c r="CV132" s="109"/>
      <c r="CW132" s="109"/>
      <c r="CX132" s="1999"/>
      <c r="CY132" s="1999"/>
      <c r="CZ132" s="1999"/>
      <c r="DA132" s="1999"/>
      <c r="DB132" s="1999"/>
      <c r="DC132" s="1999"/>
      <c r="DD132" s="1999"/>
      <c r="DE132" s="1999"/>
      <c r="DF132" s="1999"/>
      <c r="DG132" s="1999"/>
      <c r="DH132" s="1999"/>
      <c r="DI132" s="1999"/>
      <c r="DJ132" s="1999"/>
      <c r="DK132" s="1999"/>
      <c r="DL132" s="1999"/>
      <c r="DM132" s="1999"/>
      <c r="DN132" s="1999"/>
      <c r="DO132" s="1999"/>
      <c r="DP132" s="1999"/>
      <c r="DQ132" s="1999"/>
      <c r="DR132" s="1999"/>
      <c r="DS132" s="1999"/>
      <c r="DT132" s="1999"/>
      <c r="DU132" s="1999"/>
      <c r="DV132" s="1999"/>
      <c r="DW132" s="1999"/>
      <c r="DX132" s="1999"/>
      <c r="DY132" s="1999"/>
      <c r="DZ132" s="1999"/>
      <c r="EA132" s="1999"/>
      <c r="EB132" s="1999"/>
      <c r="EC132" s="1999"/>
      <c r="ED132" s="1999"/>
      <c r="EE132" s="1999"/>
      <c r="EF132" s="1999"/>
      <c r="EG132" s="1999"/>
      <c r="EH132" s="1999"/>
      <c r="EI132" s="1999"/>
      <c r="EJ132" s="1999"/>
      <c r="EK132" s="1999"/>
      <c r="EL132" s="1999"/>
      <c r="EM132" s="1999"/>
      <c r="EN132" s="1999"/>
      <c r="EO132" s="1999"/>
      <c r="EP132" s="1999"/>
      <c r="EQ132" s="1999"/>
      <c r="ER132" s="1999"/>
      <c r="ES132" s="1999"/>
      <c r="ET132" s="1999"/>
      <c r="EU132" s="659"/>
      <c r="EV132" s="87"/>
      <c r="EW132" s="170"/>
      <c r="EX132" s="1995"/>
      <c r="EY132" s="1996"/>
      <c r="EZ132" s="302"/>
      <c r="FA132" s="112"/>
      <c r="FB132" s="87"/>
    </row>
    <row r="133" spans="1:158" ht="9" customHeight="1">
      <c r="A133" s="87"/>
      <c r="B133" s="87"/>
      <c r="C133" s="87"/>
      <c r="D133" s="287"/>
      <c r="E133" s="287"/>
      <c r="F133" s="299"/>
      <c r="G133" s="299"/>
      <c r="H133" s="249"/>
      <c r="I133" s="1989"/>
      <c r="J133" s="1990"/>
      <c r="K133" s="87"/>
      <c r="L133" s="87"/>
      <c r="M133" s="256"/>
      <c r="N133" s="118"/>
      <c r="O133" s="111"/>
      <c r="P133" s="102"/>
      <c r="Q133" s="1866"/>
      <c r="R133" s="1866"/>
      <c r="S133" s="1866"/>
      <c r="T133" s="1866"/>
      <c r="U133" s="1866"/>
      <c r="V133" s="1866"/>
      <c r="W133" s="641"/>
      <c r="X133" s="1922" t="str">
        <f>Weapons!E$28</f>
        <v/>
      </c>
      <c r="Y133" s="1922"/>
      <c r="Z133" s="1922"/>
      <c r="AA133" s="1922"/>
      <c r="AB133" s="1922"/>
      <c r="AC133" s="1922"/>
      <c r="AD133" s="1922"/>
      <c r="AE133" s="1922"/>
      <c r="AF133" s="1922"/>
      <c r="AG133" s="1922"/>
      <c r="AH133" s="1922"/>
      <c r="AI133" s="1922"/>
      <c r="AJ133" s="1922"/>
      <c r="AK133" s="1922"/>
      <c r="AL133" s="1922"/>
      <c r="AM133" s="1922"/>
      <c r="AN133" s="1922"/>
      <c r="AO133" s="1922"/>
      <c r="AP133" s="1922"/>
      <c r="AQ133" s="1922"/>
      <c r="AR133" s="1922"/>
      <c r="AS133" s="1922"/>
      <c r="AT133" s="1922"/>
      <c r="AU133" s="1922"/>
      <c r="AV133" s="1922"/>
      <c r="AW133" s="1922"/>
      <c r="AX133" s="1922"/>
      <c r="AY133" s="1922"/>
      <c r="AZ133" s="1922"/>
      <c r="BA133" s="1922"/>
      <c r="BB133" s="1922"/>
      <c r="BC133" s="1922"/>
      <c r="BD133" s="1922"/>
      <c r="BE133" s="1922"/>
      <c r="BF133" s="1922"/>
      <c r="BG133" s="1922"/>
      <c r="BH133" s="1922"/>
      <c r="BI133" s="1922"/>
      <c r="BJ133" s="1922"/>
      <c r="BK133" s="1922"/>
      <c r="BL133" s="1922"/>
      <c r="BM133" s="1922"/>
      <c r="BN133" s="1922"/>
      <c r="BO133" s="1922"/>
      <c r="BP133" s="1922"/>
      <c r="BQ133" s="1922"/>
      <c r="BR133" s="1922"/>
      <c r="BS133" s="1922"/>
      <c r="BT133" s="1922"/>
      <c r="BU133" s="1922"/>
      <c r="BV133" s="1922"/>
      <c r="BW133" s="1922"/>
      <c r="BX133" s="1922"/>
      <c r="BY133" s="1922"/>
      <c r="BZ133" s="1922"/>
      <c r="CA133" s="1922"/>
      <c r="CB133" s="1922"/>
      <c r="CC133" s="1922"/>
      <c r="CD133" s="1922"/>
      <c r="CE133" s="1922"/>
      <c r="CF133" s="1922"/>
      <c r="CG133" s="1922"/>
      <c r="CH133" s="1922"/>
      <c r="CI133" s="1922"/>
      <c r="CJ133" s="1922"/>
      <c r="CK133" s="1922"/>
      <c r="CL133" s="1922"/>
      <c r="CM133" s="1922"/>
      <c r="CN133" s="1922"/>
      <c r="CO133" s="300"/>
      <c r="CP133" s="658"/>
      <c r="CQ133" s="118"/>
      <c r="CR133" s="109"/>
      <c r="CS133" s="144"/>
      <c r="CT133" s="109"/>
      <c r="CU133" s="118"/>
      <c r="CV133" s="109"/>
      <c r="CW133" s="109"/>
      <c r="CX133" s="1999"/>
      <c r="CY133" s="1999"/>
      <c r="CZ133" s="1999"/>
      <c r="DA133" s="1999"/>
      <c r="DB133" s="1999"/>
      <c r="DC133" s="1999"/>
      <c r="DD133" s="1999"/>
      <c r="DE133" s="1999"/>
      <c r="DF133" s="1999"/>
      <c r="DG133" s="1999"/>
      <c r="DH133" s="1999"/>
      <c r="DI133" s="1999"/>
      <c r="DJ133" s="1999"/>
      <c r="DK133" s="1999"/>
      <c r="DL133" s="1999"/>
      <c r="DM133" s="1999"/>
      <c r="DN133" s="1999"/>
      <c r="DO133" s="1999"/>
      <c r="DP133" s="1999"/>
      <c r="DQ133" s="1999"/>
      <c r="DR133" s="1999"/>
      <c r="DS133" s="1999"/>
      <c r="DT133" s="1999"/>
      <c r="DU133" s="1999"/>
      <c r="DV133" s="1999"/>
      <c r="DW133" s="1999"/>
      <c r="DX133" s="1999"/>
      <c r="DY133" s="1999"/>
      <c r="DZ133" s="1999"/>
      <c r="EA133" s="1999"/>
      <c r="EB133" s="1999"/>
      <c r="EC133" s="1999"/>
      <c r="ED133" s="1999"/>
      <c r="EE133" s="1999"/>
      <c r="EF133" s="1999"/>
      <c r="EG133" s="1999"/>
      <c r="EH133" s="1999"/>
      <c r="EI133" s="1999"/>
      <c r="EJ133" s="1999"/>
      <c r="EK133" s="1999"/>
      <c r="EL133" s="1999"/>
      <c r="EM133" s="1999"/>
      <c r="EN133" s="1999"/>
      <c r="EO133" s="1999"/>
      <c r="EP133" s="1999"/>
      <c r="EQ133" s="1999"/>
      <c r="ER133" s="1999"/>
      <c r="ES133" s="1999"/>
      <c r="ET133" s="1999"/>
      <c r="EU133" s="659"/>
      <c r="EV133" s="87"/>
      <c r="EW133" s="170"/>
      <c r="EX133" s="1995"/>
      <c r="EY133" s="1996"/>
      <c r="EZ133" s="302"/>
      <c r="FA133" s="112"/>
      <c r="FB133" s="87"/>
    </row>
    <row r="134" spans="1:158" ht="9" customHeight="1" thickBot="1">
      <c r="A134" s="87"/>
      <c r="B134" s="87"/>
      <c r="C134" s="87"/>
      <c r="D134" s="287"/>
      <c r="E134" s="287"/>
      <c r="F134" s="299"/>
      <c r="G134" s="299"/>
      <c r="H134" s="249"/>
      <c r="I134" s="148"/>
      <c r="J134" s="248"/>
      <c r="K134" s="87"/>
      <c r="L134" s="87"/>
      <c r="M134" s="118"/>
      <c r="N134" s="256"/>
      <c r="O134" s="108"/>
      <c r="P134" s="102"/>
      <c r="Q134" s="105"/>
      <c r="R134" s="105"/>
      <c r="S134" s="105"/>
      <c r="T134" s="105"/>
      <c r="U134" s="596"/>
      <c r="V134" s="596"/>
      <c r="W134" s="596"/>
      <c r="X134" s="1922"/>
      <c r="Y134" s="1922"/>
      <c r="Z134" s="1922"/>
      <c r="AA134" s="1922"/>
      <c r="AB134" s="1922"/>
      <c r="AC134" s="1922"/>
      <c r="AD134" s="1922"/>
      <c r="AE134" s="1922"/>
      <c r="AF134" s="1922"/>
      <c r="AG134" s="1922"/>
      <c r="AH134" s="1922"/>
      <c r="AI134" s="1922"/>
      <c r="AJ134" s="1922"/>
      <c r="AK134" s="1922"/>
      <c r="AL134" s="1922"/>
      <c r="AM134" s="1922"/>
      <c r="AN134" s="1922"/>
      <c r="AO134" s="1922"/>
      <c r="AP134" s="1922"/>
      <c r="AQ134" s="1922"/>
      <c r="AR134" s="1922"/>
      <c r="AS134" s="1922"/>
      <c r="AT134" s="1922"/>
      <c r="AU134" s="1922"/>
      <c r="AV134" s="1922"/>
      <c r="AW134" s="1922"/>
      <c r="AX134" s="1922"/>
      <c r="AY134" s="1922"/>
      <c r="AZ134" s="1922"/>
      <c r="BA134" s="1922"/>
      <c r="BB134" s="1922"/>
      <c r="BC134" s="1922"/>
      <c r="BD134" s="1922"/>
      <c r="BE134" s="1922"/>
      <c r="BF134" s="1922"/>
      <c r="BG134" s="1922"/>
      <c r="BH134" s="1922"/>
      <c r="BI134" s="1922"/>
      <c r="BJ134" s="1922"/>
      <c r="BK134" s="1922"/>
      <c r="BL134" s="1922"/>
      <c r="BM134" s="1922"/>
      <c r="BN134" s="1922"/>
      <c r="BO134" s="1922"/>
      <c r="BP134" s="1922"/>
      <c r="BQ134" s="1922"/>
      <c r="BR134" s="1922"/>
      <c r="BS134" s="1922"/>
      <c r="BT134" s="1922"/>
      <c r="BU134" s="1922"/>
      <c r="BV134" s="1922"/>
      <c r="BW134" s="1922"/>
      <c r="BX134" s="1922"/>
      <c r="BY134" s="1922"/>
      <c r="BZ134" s="1922"/>
      <c r="CA134" s="1922"/>
      <c r="CB134" s="1922"/>
      <c r="CC134" s="1922"/>
      <c r="CD134" s="1922"/>
      <c r="CE134" s="1922"/>
      <c r="CF134" s="1922"/>
      <c r="CG134" s="1922"/>
      <c r="CH134" s="1922"/>
      <c r="CI134" s="1922"/>
      <c r="CJ134" s="1922"/>
      <c r="CK134" s="1922"/>
      <c r="CL134" s="1922"/>
      <c r="CM134" s="1922"/>
      <c r="CN134" s="1922"/>
      <c r="CO134" s="103"/>
      <c r="CP134" s="122"/>
      <c r="CQ134" s="122"/>
      <c r="CR134" s="144"/>
      <c r="CS134" s="118"/>
      <c r="CT134" s="118"/>
      <c r="CU134" s="109"/>
      <c r="CV134" s="109"/>
      <c r="CW134" s="109"/>
      <c r="CX134" s="1999"/>
      <c r="CY134" s="1999"/>
      <c r="CZ134" s="1999"/>
      <c r="DA134" s="1999"/>
      <c r="DB134" s="1999"/>
      <c r="DC134" s="1999"/>
      <c r="DD134" s="1999"/>
      <c r="DE134" s="1999"/>
      <c r="DF134" s="1999"/>
      <c r="DG134" s="1999"/>
      <c r="DH134" s="1999"/>
      <c r="DI134" s="1999"/>
      <c r="DJ134" s="1999"/>
      <c r="DK134" s="1999"/>
      <c r="DL134" s="1999"/>
      <c r="DM134" s="1999"/>
      <c r="DN134" s="1999"/>
      <c r="DO134" s="1999"/>
      <c r="DP134" s="1999"/>
      <c r="DQ134" s="1999"/>
      <c r="DR134" s="1999"/>
      <c r="DS134" s="1999"/>
      <c r="DT134" s="1999"/>
      <c r="DU134" s="1999"/>
      <c r="DV134" s="1999"/>
      <c r="DW134" s="1999"/>
      <c r="DX134" s="1999"/>
      <c r="DY134" s="1999"/>
      <c r="DZ134" s="1999"/>
      <c r="EA134" s="1999"/>
      <c r="EB134" s="1999"/>
      <c r="EC134" s="1999"/>
      <c r="ED134" s="1999"/>
      <c r="EE134" s="1999"/>
      <c r="EF134" s="1999"/>
      <c r="EG134" s="1999"/>
      <c r="EH134" s="1999"/>
      <c r="EI134" s="1999"/>
      <c r="EJ134" s="1999"/>
      <c r="EK134" s="1999"/>
      <c r="EL134" s="1999"/>
      <c r="EM134" s="1999"/>
      <c r="EN134" s="1999"/>
      <c r="EO134" s="1999"/>
      <c r="EP134" s="1999"/>
      <c r="EQ134" s="1999"/>
      <c r="ER134" s="1999"/>
      <c r="ES134" s="1999"/>
      <c r="ET134" s="1999"/>
      <c r="EU134" s="659"/>
      <c r="EV134" s="87"/>
      <c r="EW134" s="170"/>
      <c r="EX134" s="1995"/>
      <c r="EY134" s="1996"/>
      <c r="EZ134" s="302"/>
      <c r="FA134" s="112"/>
      <c r="FB134" s="87"/>
    </row>
    <row r="135" spans="1:158" ht="9" customHeight="1" thickTop="1" thickBot="1">
      <c r="A135" s="87"/>
      <c r="B135" s="87"/>
      <c r="C135" s="87"/>
      <c r="D135" s="287"/>
      <c r="E135" s="287"/>
      <c r="F135" s="299"/>
      <c r="G135" s="299"/>
      <c r="H135" s="249"/>
      <c r="I135" s="148"/>
      <c r="J135" s="248"/>
      <c r="K135" s="87"/>
      <c r="L135" s="87"/>
      <c r="M135" s="118"/>
      <c r="N135" s="118"/>
      <c r="O135" s="118"/>
      <c r="P135" s="91"/>
      <c r="Q135" s="108"/>
      <c r="R135" s="108"/>
      <c r="S135" s="108"/>
      <c r="T135" s="108"/>
      <c r="U135" s="654"/>
      <c r="V135" s="654"/>
      <c r="W135" s="654"/>
      <c r="X135" s="1923"/>
      <c r="Y135" s="1923"/>
      <c r="Z135" s="1923"/>
      <c r="AA135" s="1923"/>
      <c r="AB135" s="1923"/>
      <c r="AC135" s="1923"/>
      <c r="AD135" s="1923"/>
      <c r="AE135" s="1923"/>
      <c r="AF135" s="1923"/>
      <c r="AG135" s="1923"/>
      <c r="AH135" s="1923"/>
      <c r="AI135" s="1923"/>
      <c r="AJ135" s="1923"/>
      <c r="AK135" s="1923"/>
      <c r="AL135" s="1923"/>
      <c r="AM135" s="1923"/>
      <c r="AN135" s="1923"/>
      <c r="AO135" s="1923"/>
      <c r="AP135" s="1923"/>
      <c r="AQ135" s="1923"/>
      <c r="AR135" s="1923"/>
      <c r="AS135" s="1923"/>
      <c r="AT135" s="1923"/>
      <c r="AU135" s="1923"/>
      <c r="AV135" s="1923"/>
      <c r="AW135" s="1923"/>
      <c r="AX135" s="1923"/>
      <c r="AY135" s="1923"/>
      <c r="AZ135" s="1923"/>
      <c r="BA135" s="1923"/>
      <c r="BB135" s="1923"/>
      <c r="BC135" s="1923"/>
      <c r="BD135" s="1923"/>
      <c r="BE135" s="1923"/>
      <c r="BF135" s="1923"/>
      <c r="BG135" s="1923"/>
      <c r="BH135" s="1923"/>
      <c r="BI135" s="1923"/>
      <c r="BJ135" s="1923"/>
      <c r="BK135" s="1923"/>
      <c r="BL135" s="1923"/>
      <c r="BM135" s="1923"/>
      <c r="BN135" s="1923"/>
      <c r="BO135" s="1923"/>
      <c r="BP135" s="1923"/>
      <c r="BQ135" s="1923"/>
      <c r="BR135" s="1923"/>
      <c r="BS135" s="1923"/>
      <c r="BT135" s="1923"/>
      <c r="BU135" s="1923"/>
      <c r="BV135" s="1923"/>
      <c r="BW135" s="1923"/>
      <c r="BX135" s="1923"/>
      <c r="BY135" s="1923"/>
      <c r="BZ135" s="1923"/>
      <c r="CA135" s="1923"/>
      <c r="CB135" s="1923"/>
      <c r="CC135" s="1923"/>
      <c r="CD135" s="1923"/>
      <c r="CE135" s="1923"/>
      <c r="CF135" s="1923"/>
      <c r="CG135" s="1923"/>
      <c r="CH135" s="1923"/>
      <c r="CI135" s="1923"/>
      <c r="CJ135" s="1923"/>
      <c r="CK135" s="1923"/>
      <c r="CL135" s="1923"/>
      <c r="CM135" s="1923"/>
      <c r="CN135" s="1923"/>
      <c r="CO135" s="90"/>
      <c r="CP135" s="596"/>
      <c r="CQ135" s="596"/>
      <c r="CR135" s="301"/>
      <c r="CS135" s="109"/>
      <c r="CT135" s="109"/>
      <c r="CU135" s="109"/>
      <c r="CV135" s="109"/>
      <c r="CW135" s="109"/>
      <c r="CX135" s="1999"/>
      <c r="CY135" s="1999"/>
      <c r="CZ135" s="1999"/>
      <c r="DA135" s="1999"/>
      <c r="DB135" s="1999"/>
      <c r="DC135" s="1999"/>
      <c r="DD135" s="1999"/>
      <c r="DE135" s="1999"/>
      <c r="DF135" s="1999"/>
      <c r="DG135" s="1999"/>
      <c r="DH135" s="1999"/>
      <c r="DI135" s="1999"/>
      <c r="DJ135" s="1999"/>
      <c r="DK135" s="1999"/>
      <c r="DL135" s="1999"/>
      <c r="DM135" s="1999"/>
      <c r="DN135" s="1999"/>
      <c r="DO135" s="1999"/>
      <c r="DP135" s="1999"/>
      <c r="DQ135" s="1999"/>
      <c r="DR135" s="1999"/>
      <c r="DS135" s="1999"/>
      <c r="DT135" s="1999"/>
      <c r="DU135" s="1999"/>
      <c r="DV135" s="1999"/>
      <c r="DW135" s="1999"/>
      <c r="DX135" s="1999"/>
      <c r="DY135" s="1999"/>
      <c r="DZ135" s="1999"/>
      <c r="EA135" s="1999"/>
      <c r="EB135" s="1999"/>
      <c r="EC135" s="1999"/>
      <c r="ED135" s="1999"/>
      <c r="EE135" s="1999"/>
      <c r="EF135" s="1999"/>
      <c r="EG135" s="1999"/>
      <c r="EH135" s="1999"/>
      <c r="EI135" s="1999"/>
      <c r="EJ135" s="1999"/>
      <c r="EK135" s="1999"/>
      <c r="EL135" s="1999"/>
      <c r="EM135" s="1999"/>
      <c r="EN135" s="1999"/>
      <c r="EO135" s="1999"/>
      <c r="EP135" s="1999"/>
      <c r="EQ135" s="1999"/>
      <c r="ER135" s="1999"/>
      <c r="ES135" s="1999"/>
      <c r="ET135" s="1999"/>
      <c r="EU135" s="659"/>
      <c r="EV135" s="87"/>
      <c r="EW135" s="170"/>
      <c r="EX135" s="1995"/>
      <c r="EY135" s="1996"/>
      <c r="EZ135" s="302"/>
      <c r="FA135" s="112"/>
      <c r="FB135" s="87"/>
    </row>
    <row r="136" spans="1:158" ht="9" customHeight="1" thickTop="1">
      <c r="A136" s="87"/>
      <c r="B136" s="87"/>
      <c r="C136" s="87"/>
      <c r="D136" s="87"/>
      <c r="E136" s="303"/>
      <c r="F136" s="299"/>
      <c r="G136" s="299"/>
      <c r="H136" s="249"/>
      <c r="I136" s="148"/>
      <c r="J136" s="248"/>
      <c r="K136" s="87"/>
      <c r="L136" s="87"/>
      <c r="M136" s="87"/>
      <c r="N136" s="87"/>
      <c r="O136" s="109"/>
      <c r="P136" s="118"/>
      <c r="Q136" s="118"/>
      <c r="R136" s="118"/>
      <c r="S136" s="118"/>
      <c r="T136" s="118"/>
      <c r="U136" s="118"/>
      <c r="V136" s="118"/>
      <c r="W136" s="118"/>
      <c r="X136" s="118"/>
      <c r="Y136" s="118"/>
      <c r="Z136" s="118"/>
      <c r="AA136" s="118"/>
      <c r="AB136" s="118"/>
      <c r="AC136" s="118"/>
      <c r="AD136" s="118"/>
      <c r="AE136" s="118"/>
      <c r="AF136" s="118"/>
      <c r="AG136" s="118"/>
      <c r="AH136" s="118"/>
      <c r="AI136" s="118"/>
      <c r="AJ136" s="118"/>
      <c r="AK136" s="118"/>
      <c r="AL136" s="118"/>
      <c r="AM136" s="118"/>
      <c r="AN136" s="118"/>
      <c r="AO136" s="118"/>
      <c r="AP136" s="118"/>
      <c r="AQ136" s="118"/>
      <c r="AR136" s="118"/>
      <c r="AS136" s="118"/>
      <c r="AT136" s="118"/>
      <c r="AU136" s="118"/>
      <c r="AV136" s="118"/>
      <c r="AW136" s="118"/>
      <c r="AX136" s="118"/>
      <c r="AY136" s="118"/>
      <c r="AZ136" s="118"/>
      <c r="BA136" s="118"/>
      <c r="BB136" s="118"/>
      <c r="BC136" s="118"/>
      <c r="BD136" s="118"/>
      <c r="BE136" s="118"/>
      <c r="BF136" s="118"/>
      <c r="BG136" s="118"/>
      <c r="BH136" s="118"/>
      <c r="BI136" s="118"/>
      <c r="BJ136" s="118"/>
      <c r="BK136" s="118"/>
      <c r="BL136" s="118"/>
      <c r="BM136" s="118"/>
      <c r="BN136" s="118"/>
      <c r="BO136" s="118"/>
      <c r="BP136" s="118"/>
      <c r="BQ136" s="118"/>
      <c r="BR136" s="118"/>
      <c r="BS136" s="118"/>
      <c r="BT136" s="118"/>
      <c r="BU136" s="118"/>
      <c r="BV136" s="118"/>
      <c r="BW136" s="118"/>
      <c r="BX136" s="118"/>
      <c r="BY136" s="118"/>
      <c r="BZ136" s="118"/>
      <c r="CA136" s="118"/>
      <c r="CB136" s="118"/>
      <c r="CC136" s="118"/>
      <c r="CD136" s="118"/>
      <c r="CE136" s="118"/>
      <c r="CF136" s="118"/>
      <c r="CG136" s="118"/>
      <c r="CH136" s="118"/>
      <c r="CI136" s="118"/>
      <c r="CJ136" s="118"/>
      <c r="CK136" s="118"/>
      <c r="CL136" s="118"/>
      <c r="CM136" s="118"/>
      <c r="CN136" s="118"/>
      <c r="CO136" s="118"/>
      <c r="CP136" s="118"/>
      <c r="CQ136" s="118"/>
      <c r="CR136" s="118"/>
      <c r="CS136" s="109"/>
      <c r="CT136" s="109"/>
      <c r="CU136" s="109"/>
      <c r="CV136" s="109"/>
      <c r="CW136" s="109"/>
      <c r="CX136" s="1999"/>
      <c r="CY136" s="1999"/>
      <c r="CZ136" s="1999"/>
      <c r="DA136" s="1999"/>
      <c r="DB136" s="1999"/>
      <c r="DC136" s="1999"/>
      <c r="DD136" s="1999"/>
      <c r="DE136" s="1999"/>
      <c r="DF136" s="1999"/>
      <c r="DG136" s="1999"/>
      <c r="DH136" s="1999"/>
      <c r="DI136" s="1999"/>
      <c r="DJ136" s="1999"/>
      <c r="DK136" s="1999"/>
      <c r="DL136" s="1999"/>
      <c r="DM136" s="1999"/>
      <c r="DN136" s="1999"/>
      <c r="DO136" s="1999"/>
      <c r="DP136" s="1999"/>
      <c r="DQ136" s="1999"/>
      <c r="DR136" s="1999"/>
      <c r="DS136" s="1999"/>
      <c r="DT136" s="1999"/>
      <c r="DU136" s="1999"/>
      <c r="DV136" s="1999"/>
      <c r="DW136" s="1999"/>
      <c r="DX136" s="1999"/>
      <c r="DY136" s="1999"/>
      <c r="DZ136" s="1999"/>
      <c r="EA136" s="1999"/>
      <c r="EB136" s="1999"/>
      <c r="EC136" s="1999"/>
      <c r="ED136" s="1999"/>
      <c r="EE136" s="1999"/>
      <c r="EF136" s="1999"/>
      <c r="EG136" s="1999"/>
      <c r="EH136" s="1999"/>
      <c r="EI136" s="1999"/>
      <c r="EJ136" s="1999"/>
      <c r="EK136" s="1999"/>
      <c r="EL136" s="1999"/>
      <c r="EM136" s="1999"/>
      <c r="EN136" s="1999"/>
      <c r="EO136" s="1999"/>
      <c r="EP136" s="1999"/>
      <c r="EQ136" s="1999"/>
      <c r="ER136" s="1999"/>
      <c r="ES136" s="1999"/>
      <c r="ET136" s="1999"/>
      <c r="EU136" s="659"/>
      <c r="EV136" s="87"/>
      <c r="EW136" s="170"/>
      <c r="EX136" s="1995"/>
      <c r="EY136" s="1996"/>
      <c r="EZ136" s="302"/>
      <c r="FA136" s="112"/>
      <c r="FB136" s="87"/>
    </row>
    <row r="137" spans="1:158" ht="9" customHeight="1" thickBot="1">
      <c r="A137" s="87"/>
      <c r="B137" s="87"/>
      <c r="C137" s="87"/>
      <c r="D137" s="87"/>
      <c r="E137" s="87"/>
      <c r="F137" s="299"/>
      <c r="G137" s="299"/>
      <c r="H137" s="249"/>
      <c r="I137" s="148"/>
      <c r="J137" s="248"/>
      <c r="K137" s="87"/>
      <c r="L137" s="87"/>
      <c r="M137" s="109"/>
      <c r="N137" s="109"/>
      <c r="O137" s="109"/>
      <c r="P137" s="109"/>
      <c r="Q137" s="109"/>
      <c r="R137" s="105"/>
      <c r="S137" s="641"/>
      <c r="T137" s="641"/>
      <c r="U137" s="641"/>
      <c r="V137" s="641"/>
      <c r="W137" s="641"/>
      <c r="X137" s="641"/>
      <c r="Y137" s="641"/>
      <c r="Z137" s="641"/>
      <c r="AA137" s="131"/>
      <c r="AB137" s="109"/>
      <c r="AC137" s="3"/>
      <c r="AD137" s="3"/>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5"/>
      <c r="AZ137" s="641"/>
      <c r="BA137" s="641"/>
      <c r="BB137" s="641"/>
      <c r="BC137" s="641"/>
      <c r="BD137" s="641"/>
      <c r="BE137" s="641"/>
      <c r="BF137" s="641"/>
      <c r="BG137" s="131"/>
      <c r="BH137" s="109"/>
      <c r="BI137" s="109"/>
      <c r="BJ137" s="109"/>
      <c r="BK137" s="109"/>
      <c r="BL137" s="105"/>
      <c r="BM137" s="641"/>
      <c r="BN137" s="597"/>
      <c r="BO137" s="597"/>
      <c r="BP137" s="597"/>
      <c r="BQ137" s="597"/>
      <c r="BR137" s="597"/>
      <c r="BS137" s="597"/>
      <c r="BT137" s="597"/>
      <c r="BU137" s="131"/>
      <c r="BV137" s="109"/>
      <c r="BW137" s="109"/>
      <c r="BX137" s="109"/>
      <c r="BY137" s="109"/>
      <c r="BZ137" s="109"/>
      <c r="CA137" s="109"/>
      <c r="CB137" s="109"/>
      <c r="CC137" s="109"/>
      <c r="CD137" s="109"/>
      <c r="CE137" s="109"/>
      <c r="CF137" s="109"/>
      <c r="CG137" s="109"/>
      <c r="CH137" s="109"/>
      <c r="CI137" s="109"/>
      <c r="CJ137" s="109"/>
      <c r="CK137" s="109"/>
      <c r="CL137" s="109"/>
      <c r="CM137" s="109"/>
      <c r="CN137" s="109"/>
      <c r="CO137" s="109"/>
      <c r="CP137" s="109"/>
      <c r="CQ137" s="109"/>
      <c r="CR137" s="109"/>
      <c r="CS137" s="109"/>
      <c r="CT137" s="109"/>
      <c r="CU137" s="109"/>
      <c r="CV137" s="252"/>
      <c r="CW137" s="87"/>
      <c r="CX137" s="1999"/>
      <c r="CY137" s="1999"/>
      <c r="CZ137" s="1999"/>
      <c r="DA137" s="1999"/>
      <c r="DB137" s="1999"/>
      <c r="DC137" s="1999"/>
      <c r="DD137" s="1999"/>
      <c r="DE137" s="1999"/>
      <c r="DF137" s="1999"/>
      <c r="DG137" s="1999"/>
      <c r="DH137" s="1999"/>
      <c r="DI137" s="1999"/>
      <c r="DJ137" s="1999"/>
      <c r="DK137" s="1999"/>
      <c r="DL137" s="1999"/>
      <c r="DM137" s="1999"/>
      <c r="DN137" s="1999"/>
      <c r="DO137" s="1999"/>
      <c r="DP137" s="1999"/>
      <c r="DQ137" s="1999"/>
      <c r="DR137" s="1999"/>
      <c r="DS137" s="1999"/>
      <c r="DT137" s="1999"/>
      <c r="DU137" s="1999"/>
      <c r="DV137" s="1999"/>
      <c r="DW137" s="1999"/>
      <c r="DX137" s="1999"/>
      <c r="DY137" s="1999"/>
      <c r="DZ137" s="1999"/>
      <c r="EA137" s="1999"/>
      <c r="EB137" s="1999"/>
      <c r="EC137" s="1999"/>
      <c r="ED137" s="1999"/>
      <c r="EE137" s="1999"/>
      <c r="EF137" s="1999"/>
      <c r="EG137" s="1999"/>
      <c r="EH137" s="1999"/>
      <c r="EI137" s="1999"/>
      <c r="EJ137" s="1999"/>
      <c r="EK137" s="1999"/>
      <c r="EL137" s="1999"/>
      <c r="EM137" s="1999"/>
      <c r="EN137" s="1999"/>
      <c r="EO137" s="1999"/>
      <c r="EP137" s="1999"/>
      <c r="EQ137" s="1999"/>
      <c r="ER137" s="1999"/>
      <c r="ES137" s="1999"/>
      <c r="ET137" s="1999"/>
      <c r="EU137" s="308"/>
      <c r="EV137" s="87"/>
      <c r="EW137" s="170"/>
      <c r="EX137" s="1995"/>
      <c r="EY137" s="1996"/>
      <c r="EZ137" s="302"/>
      <c r="FA137" s="112"/>
      <c r="FB137" s="87"/>
    </row>
    <row r="138" spans="1:158" ht="9" customHeight="1" thickTop="1" thickBot="1">
      <c r="A138" s="87"/>
      <c r="B138" s="87"/>
      <c r="C138" s="87"/>
      <c r="D138" s="87"/>
      <c r="E138" s="87"/>
      <c r="F138" s="299"/>
      <c r="G138" s="299"/>
      <c r="H138" s="249"/>
      <c r="I138" s="1997"/>
      <c r="J138" s="1998"/>
      <c r="K138" s="87"/>
      <c r="L138" s="87"/>
      <c r="M138" s="109"/>
      <c r="N138" s="641"/>
      <c r="O138" s="641"/>
      <c r="P138" s="641"/>
      <c r="Q138" s="641"/>
      <c r="R138" s="93"/>
      <c r="S138" s="1865" t="s">
        <v>3611</v>
      </c>
      <c r="T138" s="1865"/>
      <c r="U138" s="1865"/>
      <c r="V138" s="1865"/>
      <c r="W138" s="1865"/>
      <c r="X138" s="1865"/>
      <c r="Y138" s="1865"/>
      <c r="Z138" s="1865"/>
      <c r="AA138" s="113"/>
      <c r="AB138" s="87"/>
      <c r="AC138" s="640"/>
      <c r="AD138" s="640"/>
      <c r="AE138" s="87"/>
      <c r="AF138" s="87"/>
      <c r="AG138" s="87"/>
      <c r="AH138" s="87"/>
      <c r="AI138" s="87"/>
      <c r="AJ138" s="87"/>
      <c r="AK138" s="87"/>
      <c r="AL138" s="87"/>
      <c r="AM138" s="87"/>
      <c r="AN138" s="87"/>
      <c r="AO138" s="87"/>
      <c r="AP138" s="87"/>
      <c r="AQ138" s="87"/>
      <c r="AR138" s="87"/>
      <c r="AS138" s="87"/>
      <c r="AT138" s="87"/>
      <c r="AU138" s="87"/>
      <c r="AV138" s="87"/>
      <c r="AW138" s="641"/>
      <c r="AX138" s="641"/>
      <c r="AY138" s="93"/>
      <c r="AZ138" s="1942" t="s">
        <v>3783</v>
      </c>
      <c r="BA138" s="1942"/>
      <c r="BB138" s="1942"/>
      <c r="BC138" s="1942"/>
      <c r="BD138" s="1942"/>
      <c r="BE138" s="1942"/>
      <c r="BF138" s="1942"/>
      <c r="BG138" s="113"/>
      <c r="BH138" s="145"/>
      <c r="BI138" s="87"/>
      <c r="BJ138" s="641"/>
      <c r="BK138" s="641"/>
      <c r="BL138" s="641"/>
      <c r="BM138" s="93"/>
      <c r="BN138" s="1865" t="s">
        <v>3612</v>
      </c>
      <c r="BO138" s="1877"/>
      <c r="BP138" s="1877"/>
      <c r="BQ138" s="1877"/>
      <c r="BR138" s="1877"/>
      <c r="BS138" s="1877"/>
      <c r="BT138" s="1877"/>
      <c r="BU138" s="1877"/>
      <c r="BV138" s="113"/>
      <c r="BW138" s="87"/>
      <c r="BX138" s="87"/>
      <c r="BY138" s="87"/>
      <c r="BZ138" s="87"/>
      <c r="CA138" s="87"/>
      <c r="CB138" s="87"/>
      <c r="CC138" s="87"/>
      <c r="CD138" s="87"/>
      <c r="CE138" s="87"/>
      <c r="CF138" s="87"/>
      <c r="CG138" s="87"/>
      <c r="CH138" s="87"/>
      <c r="CI138" s="87"/>
      <c r="CJ138" s="87"/>
      <c r="CK138" s="87"/>
      <c r="CL138" s="87"/>
      <c r="CM138" s="87"/>
      <c r="CN138" s="87"/>
      <c r="CO138" s="87"/>
      <c r="CP138" s="87"/>
      <c r="CQ138" s="87"/>
      <c r="CR138" s="87"/>
      <c r="CS138" s="87"/>
      <c r="CT138" s="87"/>
      <c r="CU138" s="109"/>
      <c r="CV138" s="252"/>
      <c r="CW138" s="87"/>
      <c r="CX138" s="1999"/>
      <c r="CY138" s="1999"/>
      <c r="CZ138" s="1999"/>
      <c r="DA138" s="1999"/>
      <c r="DB138" s="1999"/>
      <c r="DC138" s="1999"/>
      <c r="DD138" s="1999"/>
      <c r="DE138" s="1999"/>
      <c r="DF138" s="1999"/>
      <c r="DG138" s="1999"/>
      <c r="DH138" s="1999"/>
      <c r="DI138" s="1999"/>
      <c r="DJ138" s="1999"/>
      <c r="DK138" s="1999"/>
      <c r="DL138" s="1999"/>
      <c r="DM138" s="1999"/>
      <c r="DN138" s="1999"/>
      <c r="DO138" s="1999"/>
      <c r="DP138" s="1999"/>
      <c r="DQ138" s="1999"/>
      <c r="DR138" s="1999"/>
      <c r="DS138" s="1999"/>
      <c r="DT138" s="1999"/>
      <c r="DU138" s="1999"/>
      <c r="DV138" s="1999"/>
      <c r="DW138" s="1999"/>
      <c r="DX138" s="1999"/>
      <c r="DY138" s="1999"/>
      <c r="DZ138" s="1999"/>
      <c r="EA138" s="1999"/>
      <c r="EB138" s="1999"/>
      <c r="EC138" s="1999"/>
      <c r="ED138" s="1999"/>
      <c r="EE138" s="1999"/>
      <c r="EF138" s="1999"/>
      <c r="EG138" s="1999"/>
      <c r="EH138" s="1999"/>
      <c r="EI138" s="1999"/>
      <c r="EJ138" s="1999"/>
      <c r="EK138" s="1999"/>
      <c r="EL138" s="1999"/>
      <c r="EM138" s="1999"/>
      <c r="EN138" s="1999"/>
      <c r="EO138" s="1999"/>
      <c r="EP138" s="1999"/>
      <c r="EQ138" s="1999"/>
      <c r="ER138" s="1999"/>
      <c r="ES138" s="1999"/>
      <c r="ET138" s="1999"/>
      <c r="EU138" s="308"/>
      <c r="EV138" s="87"/>
      <c r="EW138" s="170"/>
      <c r="EX138" s="1995"/>
      <c r="EY138" s="1996"/>
      <c r="EZ138" s="302"/>
      <c r="FA138" s="144"/>
      <c r="FB138" s="87"/>
    </row>
    <row r="139" spans="1:158" ht="9" customHeight="1" thickTop="1">
      <c r="A139" s="87"/>
      <c r="B139" s="87"/>
      <c r="C139" s="87"/>
      <c r="D139" s="87"/>
      <c r="E139" s="87"/>
      <c r="F139" s="299"/>
      <c r="G139" s="299"/>
      <c r="H139" s="249"/>
      <c r="I139" s="1997"/>
      <c r="J139" s="1998"/>
      <c r="K139" s="87"/>
      <c r="L139" s="87"/>
      <c r="M139" s="109"/>
      <c r="N139" s="641"/>
      <c r="O139" s="641"/>
      <c r="P139" s="641"/>
      <c r="Q139" s="641"/>
      <c r="R139" s="102"/>
      <c r="S139" s="1866"/>
      <c r="T139" s="1866"/>
      <c r="U139" s="1866"/>
      <c r="V139" s="1866"/>
      <c r="W139" s="1866"/>
      <c r="X139" s="1866"/>
      <c r="Y139" s="1866"/>
      <c r="Z139" s="1866"/>
      <c r="AA139" s="589"/>
      <c r="AB139" s="588"/>
      <c r="AC139" s="592"/>
      <c r="AD139" s="592"/>
      <c r="AE139" s="593"/>
      <c r="AF139" s="593"/>
      <c r="AG139" s="593"/>
      <c r="AH139" s="588"/>
      <c r="AI139" s="588"/>
      <c r="AJ139" s="588"/>
      <c r="AK139" s="588"/>
      <c r="AL139" s="588"/>
      <c r="AM139" s="588"/>
      <c r="AN139" s="588"/>
      <c r="AO139" s="588"/>
      <c r="AP139" s="588"/>
      <c r="AQ139" s="588"/>
      <c r="AR139" s="588"/>
      <c r="AS139" s="588"/>
      <c r="AT139" s="588"/>
      <c r="AU139" s="588"/>
      <c r="AV139" s="113"/>
      <c r="AW139" s="641"/>
      <c r="AX139" s="641"/>
      <c r="AY139" s="102"/>
      <c r="AZ139" s="1866"/>
      <c r="BA139" s="1866"/>
      <c r="BB139" s="1866"/>
      <c r="BC139" s="1866"/>
      <c r="BD139" s="1866"/>
      <c r="BE139" s="1866"/>
      <c r="BF139" s="1866"/>
      <c r="BG139" s="589"/>
      <c r="BH139" s="598"/>
      <c r="BI139" s="598"/>
      <c r="BJ139" s="113"/>
      <c r="BK139" s="641"/>
      <c r="BL139" s="641"/>
      <c r="BM139" s="102"/>
      <c r="BN139" s="1878"/>
      <c r="BO139" s="1878"/>
      <c r="BP139" s="1878"/>
      <c r="BQ139" s="1878"/>
      <c r="BR139" s="1878"/>
      <c r="BS139" s="1878"/>
      <c r="BT139" s="1878"/>
      <c r="BU139" s="1878"/>
      <c r="BV139" s="589"/>
      <c r="BW139" s="599"/>
      <c r="BX139" s="599"/>
      <c r="BY139" s="599"/>
      <c r="BZ139" s="599"/>
      <c r="CA139" s="599"/>
      <c r="CB139" s="599"/>
      <c r="CC139" s="599"/>
      <c r="CD139" s="599"/>
      <c r="CE139" s="599"/>
      <c r="CF139" s="599"/>
      <c r="CG139" s="599"/>
      <c r="CH139" s="599"/>
      <c r="CI139" s="599"/>
      <c r="CJ139" s="599"/>
      <c r="CK139" s="599"/>
      <c r="CL139" s="599"/>
      <c r="CM139" s="599"/>
      <c r="CN139" s="599"/>
      <c r="CO139" s="113"/>
      <c r="CP139" s="111"/>
      <c r="CQ139" s="111"/>
      <c r="CR139" s="111"/>
      <c r="CS139" s="87"/>
      <c r="CT139" s="87"/>
      <c r="CU139" s="109"/>
      <c r="CV139" s="252"/>
      <c r="CW139" s="87"/>
      <c r="CX139" s="1999"/>
      <c r="CY139" s="1999"/>
      <c r="CZ139" s="1999"/>
      <c r="DA139" s="1999"/>
      <c r="DB139" s="1999"/>
      <c r="DC139" s="1999"/>
      <c r="DD139" s="1999"/>
      <c r="DE139" s="1999"/>
      <c r="DF139" s="1999"/>
      <c r="DG139" s="1999"/>
      <c r="DH139" s="1999"/>
      <c r="DI139" s="1999"/>
      <c r="DJ139" s="1999"/>
      <c r="DK139" s="1999"/>
      <c r="DL139" s="1999"/>
      <c r="DM139" s="1999"/>
      <c r="DN139" s="1999"/>
      <c r="DO139" s="1999"/>
      <c r="DP139" s="1999"/>
      <c r="DQ139" s="1999"/>
      <c r="DR139" s="1999"/>
      <c r="DS139" s="1999"/>
      <c r="DT139" s="1999"/>
      <c r="DU139" s="1999"/>
      <c r="DV139" s="1999"/>
      <c r="DW139" s="1999"/>
      <c r="DX139" s="1999"/>
      <c r="DY139" s="1999"/>
      <c r="DZ139" s="1999"/>
      <c r="EA139" s="1999"/>
      <c r="EB139" s="1999"/>
      <c r="EC139" s="1999"/>
      <c r="ED139" s="1999"/>
      <c r="EE139" s="1999"/>
      <c r="EF139" s="1999"/>
      <c r="EG139" s="1999"/>
      <c r="EH139" s="1999"/>
      <c r="EI139" s="1999"/>
      <c r="EJ139" s="1999"/>
      <c r="EK139" s="1999"/>
      <c r="EL139" s="1999"/>
      <c r="EM139" s="1999"/>
      <c r="EN139" s="1999"/>
      <c r="EO139" s="1999"/>
      <c r="EP139" s="1999"/>
      <c r="EQ139" s="1999"/>
      <c r="ER139" s="1999"/>
      <c r="ES139" s="1999"/>
      <c r="ET139" s="1999"/>
      <c r="EU139" s="311"/>
      <c r="EV139" s="87"/>
      <c r="EW139" s="170"/>
      <c r="EX139" s="1995"/>
      <c r="EY139" s="1996"/>
      <c r="EZ139" s="87"/>
      <c r="FA139" s="304"/>
      <c r="FB139" s="87"/>
    </row>
    <row r="140" spans="1:158" ht="9" customHeight="1" thickBot="1">
      <c r="A140" s="87"/>
      <c r="B140" s="87"/>
      <c r="C140" s="87"/>
      <c r="D140" s="87"/>
      <c r="E140" s="87"/>
      <c r="F140" s="299"/>
      <c r="G140" s="299"/>
      <c r="H140" s="249"/>
      <c r="I140" s="1997"/>
      <c r="J140" s="1998"/>
      <c r="K140" s="87"/>
      <c r="L140" s="87"/>
      <c r="M140" s="87"/>
      <c r="N140" s="111"/>
      <c r="O140" s="111"/>
      <c r="P140" s="122"/>
      <c r="Q140" s="290"/>
      <c r="R140" s="102"/>
      <c r="S140" s="1879" t="str">
        <f>IF(Weapon2&lt;&gt;"",Weapon2,"")</f>
        <v/>
      </c>
      <c r="T140" s="1879"/>
      <c r="U140" s="1879"/>
      <c r="V140" s="1879"/>
      <c r="W140" s="1879"/>
      <c r="X140" s="1879"/>
      <c r="Y140" s="1879"/>
      <c r="Z140" s="1879"/>
      <c r="AA140" s="1879"/>
      <c r="AB140" s="1879"/>
      <c r="AC140" s="1879"/>
      <c r="AD140" s="1879"/>
      <c r="AE140" s="1879"/>
      <c r="AF140" s="1879"/>
      <c r="AG140" s="1879"/>
      <c r="AH140" s="1879"/>
      <c r="AI140" s="1879"/>
      <c r="AJ140" s="1879"/>
      <c r="AK140" s="1879"/>
      <c r="AL140" s="1879"/>
      <c r="AM140" s="1879"/>
      <c r="AN140" s="1879"/>
      <c r="AO140" s="1879"/>
      <c r="AP140" s="1879"/>
      <c r="AQ140" s="1879"/>
      <c r="AR140" s="1879"/>
      <c r="AS140" s="1879"/>
      <c r="AT140" s="1879"/>
      <c r="AU140" s="1879"/>
      <c r="AV140" s="646"/>
      <c r="AW140" s="122"/>
      <c r="AX140" s="290"/>
      <c r="AY140" s="102"/>
      <c r="AZ140" s="1881" t="str">
        <f>Weapons!O$8</f>
        <v/>
      </c>
      <c r="BA140" s="1881"/>
      <c r="BB140" s="1881"/>
      <c r="BC140" s="1881"/>
      <c r="BD140" s="1881"/>
      <c r="BE140" s="1881"/>
      <c r="BF140" s="1881"/>
      <c r="BG140" s="1881"/>
      <c r="BH140" s="1881"/>
      <c r="BI140" s="1881"/>
      <c r="BJ140" s="100"/>
      <c r="BK140" s="122"/>
      <c r="BL140" s="290"/>
      <c r="BM140" s="102"/>
      <c r="BN140" s="1883" t="str">
        <f>IF('old Weapons'!H13&lt;&gt;"",'old Weapons'!H13,"")</f>
        <v/>
      </c>
      <c r="BO140" s="1883"/>
      <c r="BP140" s="1883"/>
      <c r="BQ140" s="1883"/>
      <c r="BR140" s="1883"/>
      <c r="BS140" s="1883"/>
      <c r="BT140" s="1883"/>
      <c r="BU140" s="1883"/>
      <c r="BV140" s="1883"/>
      <c r="BW140" s="1924" t="str">
        <f>Weapons!O$9</f>
        <v/>
      </c>
      <c r="BX140" s="1924"/>
      <c r="BY140" s="1924"/>
      <c r="BZ140" s="1924"/>
      <c r="CA140" s="1924"/>
      <c r="CB140" s="1924"/>
      <c r="CC140" s="1924"/>
      <c r="CD140" s="1924"/>
      <c r="CE140" s="1924"/>
      <c r="CF140" s="1924"/>
      <c r="CG140" s="1924"/>
      <c r="CH140" s="1924"/>
      <c r="CI140" s="1924"/>
      <c r="CJ140" s="1924"/>
      <c r="CK140" s="1924"/>
      <c r="CL140" s="1924"/>
      <c r="CM140" s="1924"/>
      <c r="CN140" s="1924"/>
      <c r="CO140" s="656"/>
      <c r="CP140" s="122"/>
      <c r="CQ140" s="122"/>
      <c r="CR140" s="118"/>
      <c r="CS140" s="109"/>
      <c r="CT140" s="109"/>
      <c r="CU140" s="109"/>
      <c r="CV140" s="252"/>
      <c r="CW140" s="87"/>
      <c r="CX140" s="1999"/>
      <c r="CY140" s="1999"/>
      <c r="CZ140" s="1999"/>
      <c r="DA140" s="1999"/>
      <c r="DB140" s="1999"/>
      <c r="DC140" s="1999"/>
      <c r="DD140" s="1999"/>
      <c r="DE140" s="1999"/>
      <c r="DF140" s="1999"/>
      <c r="DG140" s="1999"/>
      <c r="DH140" s="1999"/>
      <c r="DI140" s="1999"/>
      <c r="DJ140" s="1999"/>
      <c r="DK140" s="1999"/>
      <c r="DL140" s="1999"/>
      <c r="DM140" s="1999"/>
      <c r="DN140" s="1999"/>
      <c r="DO140" s="1999"/>
      <c r="DP140" s="1999"/>
      <c r="DQ140" s="1999"/>
      <c r="DR140" s="1999"/>
      <c r="DS140" s="1999"/>
      <c r="DT140" s="1999"/>
      <c r="DU140" s="1999"/>
      <c r="DV140" s="1999"/>
      <c r="DW140" s="1999"/>
      <c r="DX140" s="1999"/>
      <c r="DY140" s="1999"/>
      <c r="DZ140" s="1999"/>
      <c r="EA140" s="1999"/>
      <c r="EB140" s="1999"/>
      <c r="EC140" s="1999"/>
      <c r="ED140" s="1999"/>
      <c r="EE140" s="1999"/>
      <c r="EF140" s="1999"/>
      <c r="EG140" s="1999"/>
      <c r="EH140" s="1999"/>
      <c r="EI140" s="1999"/>
      <c r="EJ140" s="1999"/>
      <c r="EK140" s="1999"/>
      <c r="EL140" s="1999"/>
      <c r="EM140" s="1999"/>
      <c r="EN140" s="1999"/>
      <c r="EO140" s="1999"/>
      <c r="EP140" s="1999"/>
      <c r="EQ140" s="1999"/>
      <c r="ER140" s="1999"/>
      <c r="ES140" s="1999"/>
      <c r="ET140" s="1999"/>
      <c r="EU140" s="311"/>
      <c r="EV140" s="87"/>
      <c r="EW140" s="170"/>
      <c r="EX140" s="87"/>
      <c r="EY140" s="305"/>
      <c r="EZ140" s="305"/>
      <c r="FA140" s="170"/>
      <c r="FB140" s="87"/>
    </row>
    <row r="141" spans="1:158" ht="9" customHeight="1" thickTop="1">
      <c r="A141" s="87"/>
      <c r="B141" s="87"/>
      <c r="C141" s="87"/>
      <c r="D141" s="87"/>
      <c r="E141" s="87"/>
      <c r="F141" s="299"/>
      <c r="G141" s="299"/>
      <c r="H141" s="249"/>
      <c r="I141" s="1997"/>
      <c r="J141" s="1998"/>
      <c r="K141" s="87"/>
      <c r="L141" s="87"/>
      <c r="M141" s="87"/>
      <c r="N141" s="292"/>
      <c r="O141" s="293"/>
      <c r="P141" s="111"/>
      <c r="Q141" s="111"/>
      <c r="R141" s="102"/>
      <c r="S141" s="1879"/>
      <c r="T141" s="1879"/>
      <c r="U141" s="1879"/>
      <c r="V141" s="1879"/>
      <c r="W141" s="1879"/>
      <c r="X141" s="1879"/>
      <c r="Y141" s="1879"/>
      <c r="Z141" s="1879"/>
      <c r="AA141" s="1879"/>
      <c r="AB141" s="1879"/>
      <c r="AC141" s="1879"/>
      <c r="AD141" s="1879"/>
      <c r="AE141" s="1879"/>
      <c r="AF141" s="1879"/>
      <c r="AG141" s="1879"/>
      <c r="AH141" s="1879"/>
      <c r="AI141" s="1879"/>
      <c r="AJ141" s="1879"/>
      <c r="AK141" s="1879"/>
      <c r="AL141" s="1879"/>
      <c r="AM141" s="1879"/>
      <c r="AN141" s="1879"/>
      <c r="AO141" s="1879"/>
      <c r="AP141" s="1879"/>
      <c r="AQ141" s="1879"/>
      <c r="AR141" s="1879"/>
      <c r="AS141" s="1879"/>
      <c r="AT141" s="1879"/>
      <c r="AU141" s="1879"/>
      <c r="AV141" s="646"/>
      <c r="AW141" s="111"/>
      <c r="AX141" s="111"/>
      <c r="AY141" s="647"/>
      <c r="AZ141" s="1881"/>
      <c r="BA141" s="1881"/>
      <c r="BB141" s="1881"/>
      <c r="BC141" s="1881"/>
      <c r="BD141" s="1881"/>
      <c r="BE141" s="1881"/>
      <c r="BF141" s="1881"/>
      <c r="BG141" s="1881"/>
      <c r="BH141" s="1881"/>
      <c r="BI141" s="1881"/>
      <c r="BJ141" s="100"/>
      <c r="BK141" s="111"/>
      <c r="BL141" s="111"/>
      <c r="BM141" s="102"/>
      <c r="BN141" s="1883"/>
      <c r="BO141" s="1883"/>
      <c r="BP141" s="1883"/>
      <c r="BQ141" s="1883"/>
      <c r="BR141" s="1883"/>
      <c r="BS141" s="1883"/>
      <c r="BT141" s="1883"/>
      <c r="BU141" s="1883"/>
      <c r="BV141" s="1883"/>
      <c r="BW141" s="1924"/>
      <c r="BX141" s="1924"/>
      <c r="BY141" s="1924"/>
      <c r="BZ141" s="1924"/>
      <c r="CA141" s="1924"/>
      <c r="CB141" s="1924"/>
      <c r="CC141" s="1924"/>
      <c r="CD141" s="1924"/>
      <c r="CE141" s="1924"/>
      <c r="CF141" s="1924"/>
      <c r="CG141" s="1924"/>
      <c r="CH141" s="1924"/>
      <c r="CI141" s="1924"/>
      <c r="CJ141" s="1924"/>
      <c r="CK141" s="1924"/>
      <c r="CL141" s="1924"/>
      <c r="CM141" s="1924"/>
      <c r="CN141" s="1924"/>
      <c r="CO141" s="656"/>
      <c r="CP141" s="111"/>
      <c r="CQ141" s="111"/>
      <c r="CR141" s="256"/>
      <c r="CS141" s="109"/>
      <c r="CT141" s="109"/>
      <c r="CU141" s="109"/>
      <c r="CV141" s="252"/>
      <c r="CW141" s="87"/>
      <c r="CX141" s="1999"/>
      <c r="CY141" s="1999"/>
      <c r="CZ141" s="1999"/>
      <c r="DA141" s="1999"/>
      <c r="DB141" s="1999"/>
      <c r="DC141" s="1999"/>
      <c r="DD141" s="1999"/>
      <c r="DE141" s="1999"/>
      <c r="DF141" s="1999"/>
      <c r="DG141" s="1999"/>
      <c r="DH141" s="1999"/>
      <c r="DI141" s="1999"/>
      <c r="DJ141" s="1999"/>
      <c r="DK141" s="1999"/>
      <c r="DL141" s="1999"/>
      <c r="DM141" s="1999"/>
      <c r="DN141" s="1999"/>
      <c r="DO141" s="1999"/>
      <c r="DP141" s="1999"/>
      <c r="DQ141" s="1999"/>
      <c r="DR141" s="1999"/>
      <c r="DS141" s="1999"/>
      <c r="DT141" s="1999"/>
      <c r="DU141" s="1999"/>
      <c r="DV141" s="1999"/>
      <c r="DW141" s="1999"/>
      <c r="DX141" s="1999"/>
      <c r="DY141" s="1999"/>
      <c r="DZ141" s="1999"/>
      <c r="EA141" s="1999"/>
      <c r="EB141" s="1999"/>
      <c r="EC141" s="1999"/>
      <c r="ED141" s="1999"/>
      <c r="EE141" s="1999"/>
      <c r="EF141" s="1999"/>
      <c r="EG141" s="1999"/>
      <c r="EH141" s="1999"/>
      <c r="EI141" s="1999"/>
      <c r="EJ141" s="1999"/>
      <c r="EK141" s="1999"/>
      <c r="EL141" s="1999"/>
      <c r="EM141" s="1999"/>
      <c r="EN141" s="1999"/>
      <c r="EO141" s="1999"/>
      <c r="EP141" s="1999"/>
      <c r="EQ141" s="1999"/>
      <c r="ER141" s="1999"/>
      <c r="ES141" s="1999"/>
      <c r="ET141" s="1999"/>
      <c r="EU141" s="311"/>
      <c r="EV141" s="87"/>
      <c r="EW141" s="170"/>
      <c r="EX141" s="305"/>
      <c r="EY141" s="305"/>
      <c r="EZ141" s="87"/>
      <c r="FA141" s="170"/>
      <c r="FB141" s="87"/>
    </row>
    <row r="142" spans="1:158" ht="9" customHeight="1" thickBot="1">
      <c r="A142" s="87"/>
      <c r="B142" s="87"/>
      <c r="C142" s="87"/>
      <c r="D142" s="87"/>
      <c r="E142" s="87"/>
      <c r="F142" s="299"/>
      <c r="G142" s="299"/>
      <c r="H142" s="249"/>
      <c r="I142" s="1997"/>
      <c r="J142" s="1998"/>
      <c r="K142" s="87"/>
      <c r="L142" s="87"/>
      <c r="M142" s="144"/>
      <c r="N142" s="111"/>
      <c r="O142" s="111"/>
      <c r="P142" s="111"/>
      <c r="Q142" s="111"/>
      <c r="R142" s="91"/>
      <c r="S142" s="1880"/>
      <c r="T142" s="1880"/>
      <c r="U142" s="1880"/>
      <c r="V142" s="1880"/>
      <c r="W142" s="1880"/>
      <c r="X142" s="1880"/>
      <c r="Y142" s="1880"/>
      <c r="Z142" s="1880"/>
      <c r="AA142" s="1880"/>
      <c r="AB142" s="1880"/>
      <c r="AC142" s="1880"/>
      <c r="AD142" s="1880"/>
      <c r="AE142" s="1880"/>
      <c r="AF142" s="1880"/>
      <c r="AG142" s="1880"/>
      <c r="AH142" s="1880"/>
      <c r="AI142" s="1880"/>
      <c r="AJ142" s="1880"/>
      <c r="AK142" s="1880"/>
      <c r="AL142" s="1880"/>
      <c r="AM142" s="1880"/>
      <c r="AN142" s="1880"/>
      <c r="AO142" s="1880"/>
      <c r="AP142" s="1880"/>
      <c r="AQ142" s="1880"/>
      <c r="AR142" s="1880"/>
      <c r="AS142" s="1880"/>
      <c r="AT142" s="1880"/>
      <c r="AU142" s="1880"/>
      <c r="AV142" s="648"/>
      <c r="AW142" s="641"/>
      <c r="AX142" s="641"/>
      <c r="AY142" s="649"/>
      <c r="AZ142" s="1882"/>
      <c r="BA142" s="1882"/>
      <c r="BB142" s="1882"/>
      <c r="BC142" s="1882"/>
      <c r="BD142" s="1882"/>
      <c r="BE142" s="1882"/>
      <c r="BF142" s="1882"/>
      <c r="BG142" s="1882"/>
      <c r="BH142" s="1882"/>
      <c r="BI142" s="1882"/>
      <c r="BJ142" s="93"/>
      <c r="BK142" s="818"/>
      <c r="BL142" s="818"/>
      <c r="BM142" s="91"/>
      <c r="BN142" s="655"/>
      <c r="BO142" s="655"/>
      <c r="BP142" s="655"/>
      <c r="BQ142" s="655"/>
      <c r="BR142" s="655"/>
      <c r="BS142" s="655"/>
      <c r="BT142" s="655"/>
      <c r="BU142" s="655"/>
      <c r="BV142" s="655"/>
      <c r="BW142" s="1925"/>
      <c r="BX142" s="1925"/>
      <c r="BY142" s="1925"/>
      <c r="BZ142" s="1925"/>
      <c r="CA142" s="1925"/>
      <c r="CB142" s="1925"/>
      <c r="CC142" s="1925"/>
      <c r="CD142" s="1925"/>
      <c r="CE142" s="1925"/>
      <c r="CF142" s="1925"/>
      <c r="CG142" s="1925"/>
      <c r="CH142" s="1925"/>
      <c r="CI142" s="1925"/>
      <c r="CJ142" s="1925"/>
      <c r="CK142" s="1925"/>
      <c r="CL142" s="1925"/>
      <c r="CM142" s="1925"/>
      <c r="CN142" s="1925"/>
      <c r="CO142" s="93"/>
      <c r="CP142" s="118"/>
      <c r="CQ142" s="118"/>
      <c r="CR142" s="118"/>
      <c r="CS142" s="256"/>
      <c r="CT142" s="109"/>
      <c r="CU142" s="109"/>
      <c r="CV142" s="252"/>
      <c r="CW142" s="87"/>
      <c r="CX142" s="1999"/>
      <c r="CY142" s="1999"/>
      <c r="CZ142" s="1999"/>
      <c r="DA142" s="1999"/>
      <c r="DB142" s="1999"/>
      <c r="DC142" s="1999"/>
      <c r="DD142" s="1999"/>
      <c r="DE142" s="1999"/>
      <c r="DF142" s="1999"/>
      <c r="DG142" s="1999"/>
      <c r="DH142" s="1999"/>
      <c r="DI142" s="1999"/>
      <c r="DJ142" s="1999"/>
      <c r="DK142" s="1999"/>
      <c r="DL142" s="1999"/>
      <c r="DM142" s="1999"/>
      <c r="DN142" s="1999"/>
      <c r="DO142" s="1999"/>
      <c r="DP142" s="1999"/>
      <c r="DQ142" s="1999"/>
      <c r="DR142" s="1999"/>
      <c r="DS142" s="1999"/>
      <c r="DT142" s="1999"/>
      <c r="DU142" s="1999"/>
      <c r="DV142" s="1999"/>
      <c r="DW142" s="1999"/>
      <c r="DX142" s="1999"/>
      <c r="DY142" s="1999"/>
      <c r="DZ142" s="1999"/>
      <c r="EA142" s="1999"/>
      <c r="EB142" s="1999"/>
      <c r="EC142" s="1999"/>
      <c r="ED142" s="1999"/>
      <c r="EE142" s="1999"/>
      <c r="EF142" s="1999"/>
      <c r="EG142" s="1999"/>
      <c r="EH142" s="1999"/>
      <c r="EI142" s="1999"/>
      <c r="EJ142" s="1999"/>
      <c r="EK142" s="1999"/>
      <c r="EL142" s="1999"/>
      <c r="EM142" s="1999"/>
      <c r="EN142" s="1999"/>
      <c r="EO142" s="1999"/>
      <c r="EP142" s="1999"/>
      <c r="EQ142" s="1999"/>
      <c r="ER142" s="1999"/>
      <c r="ES142" s="1999"/>
      <c r="ET142" s="1999"/>
      <c r="EU142" s="311"/>
      <c r="EV142" s="87"/>
      <c r="EW142" s="87"/>
      <c r="EX142" s="305"/>
      <c r="EY142" s="87"/>
      <c r="EZ142" s="87"/>
      <c r="FA142" s="170"/>
      <c r="FB142" s="87"/>
    </row>
    <row r="143" spans="1:158" ht="9" customHeight="1" thickTop="1" thickBot="1">
      <c r="A143" s="87"/>
      <c r="B143" s="87"/>
      <c r="C143" s="87"/>
      <c r="D143" s="87"/>
      <c r="E143" s="87"/>
      <c r="F143" s="299"/>
      <c r="G143" s="299"/>
      <c r="H143" s="249"/>
      <c r="I143" s="1997"/>
      <c r="J143" s="1998"/>
      <c r="K143" s="87"/>
      <c r="L143" s="112"/>
      <c r="M143" s="1861" t="str">
        <f>IF(Weapons!O$61&lt;&gt;"","MOUNTED","")</f>
        <v/>
      </c>
      <c r="N143" s="1862"/>
      <c r="O143" s="1862"/>
      <c r="P143" s="641"/>
      <c r="Q143" s="641"/>
      <c r="R143" s="641"/>
      <c r="S143" s="641"/>
      <c r="T143" s="641"/>
      <c r="U143" s="641"/>
      <c r="V143" s="641"/>
      <c r="W143" s="641"/>
      <c r="X143" s="641"/>
      <c r="Y143" s="641"/>
      <c r="Z143" s="641"/>
      <c r="AA143" s="641"/>
      <c r="AB143" s="641"/>
      <c r="AC143" s="641"/>
      <c r="AD143" s="641"/>
      <c r="AE143" s="641"/>
      <c r="AF143" s="641"/>
      <c r="AG143" s="641"/>
      <c r="AH143" s="641"/>
      <c r="AI143" s="641"/>
      <c r="AJ143" s="641"/>
      <c r="AK143" s="641"/>
      <c r="AL143" s="641"/>
      <c r="AM143" s="641"/>
      <c r="AN143" s="641"/>
      <c r="AO143" s="641"/>
      <c r="AP143" s="641"/>
      <c r="AQ143" s="641"/>
      <c r="AR143" s="641"/>
      <c r="AS143" s="641"/>
      <c r="AT143" s="641"/>
      <c r="AU143" s="641"/>
      <c r="AV143" s="641"/>
      <c r="AW143" s="641"/>
      <c r="AX143" s="641"/>
      <c r="AY143" s="641"/>
      <c r="AZ143" s="641"/>
      <c r="BA143" s="641"/>
      <c r="BB143" s="641"/>
      <c r="BC143" s="641"/>
      <c r="BD143" s="641"/>
      <c r="BE143" s="641"/>
      <c r="BF143" s="641"/>
      <c r="BG143" s="641"/>
      <c r="BH143" s="641"/>
      <c r="BI143" s="641"/>
      <c r="BJ143" s="641"/>
      <c r="BK143" s="641"/>
      <c r="BL143" s="641"/>
      <c r="BM143" s="641"/>
      <c r="BN143" s="641"/>
      <c r="BO143" s="641"/>
      <c r="BP143" s="641"/>
      <c r="BQ143" s="641"/>
      <c r="BR143" s="641"/>
      <c r="BS143" s="641"/>
      <c r="BT143" s="641"/>
      <c r="BU143" s="641"/>
      <c r="BV143" s="641"/>
      <c r="BW143" s="641"/>
      <c r="BX143" s="641"/>
      <c r="BY143" s="641"/>
      <c r="BZ143" s="641"/>
      <c r="CA143" s="641"/>
      <c r="CB143" s="641"/>
      <c r="CC143" s="641"/>
      <c r="CD143" s="641"/>
      <c r="CE143" s="641"/>
      <c r="CF143" s="641"/>
      <c r="CG143" s="641"/>
      <c r="CH143" s="641"/>
      <c r="CI143" s="641"/>
      <c r="CJ143" s="641"/>
      <c r="CK143" s="641"/>
      <c r="CL143" s="641"/>
      <c r="CM143" s="641"/>
      <c r="CN143" s="641"/>
      <c r="CO143" s="641"/>
      <c r="CP143" s="596"/>
      <c r="CQ143" s="596"/>
      <c r="CR143" s="596"/>
      <c r="CS143" s="112"/>
      <c r="CT143" s="87"/>
      <c r="CU143" s="109"/>
      <c r="CV143" s="252"/>
      <c r="CW143" s="87"/>
      <c r="CX143" s="1999"/>
      <c r="CY143" s="1999"/>
      <c r="CZ143" s="1999"/>
      <c r="DA143" s="1999"/>
      <c r="DB143" s="1999"/>
      <c r="DC143" s="1999"/>
      <c r="DD143" s="1999"/>
      <c r="DE143" s="1999"/>
      <c r="DF143" s="1999"/>
      <c r="DG143" s="1999"/>
      <c r="DH143" s="1999"/>
      <c r="DI143" s="1999"/>
      <c r="DJ143" s="1999"/>
      <c r="DK143" s="1999"/>
      <c r="DL143" s="1999"/>
      <c r="DM143" s="1999"/>
      <c r="DN143" s="1999"/>
      <c r="DO143" s="1999"/>
      <c r="DP143" s="1999"/>
      <c r="DQ143" s="1999"/>
      <c r="DR143" s="1999"/>
      <c r="DS143" s="1999"/>
      <c r="DT143" s="1999"/>
      <c r="DU143" s="1999"/>
      <c r="DV143" s="1999"/>
      <c r="DW143" s="1999"/>
      <c r="DX143" s="1999"/>
      <c r="DY143" s="1999"/>
      <c r="DZ143" s="1999"/>
      <c r="EA143" s="1999"/>
      <c r="EB143" s="1999"/>
      <c r="EC143" s="1999"/>
      <c r="ED143" s="1999"/>
      <c r="EE143" s="1999"/>
      <c r="EF143" s="1999"/>
      <c r="EG143" s="1999"/>
      <c r="EH143" s="1999"/>
      <c r="EI143" s="1999"/>
      <c r="EJ143" s="1999"/>
      <c r="EK143" s="1999"/>
      <c r="EL143" s="1999"/>
      <c r="EM143" s="1999"/>
      <c r="EN143" s="1999"/>
      <c r="EO143" s="1999"/>
      <c r="EP143" s="1999"/>
      <c r="EQ143" s="1999"/>
      <c r="ER143" s="1999"/>
      <c r="ES143" s="1999"/>
      <c r="ET143" s="1999"/>
      <c r="EU143" s="311"/>
      <c r="EV143" s="87"/>
      <c r="EW143" s="170"/>
      <c r="EX143" s="87"/>
      <c r="EY143" s="87"/>
      <c r="EZ143" s="87"/>
      <c r="FA143" s="170"/>
      <c r="FB143" s="87"/>
    </row>
    <row r="144" spans="1:158" ht="9" customHeight="1" thickTop="1">
      <c r="A144" s="87"/>
      <c r="B144" s="87"/>
      <c r="C144" s="87"/>
      <c r="D144" s="87"/>
      <c r="E144" s="87"/>
      <c r="F144" s="88"/>
      <c r="G144" s="306"/>
      <c r="H144" s="249"/>
      <c r="I144" s="1997"/>
      <c r="J144" s="1998"/>
      <c r="K144" s="87"/>
      <c r="L144" s="112"/>
      <c r="M144" s="1861"/>
      <c r="N144" s="1862"/>
      <c r="O144" s="1862"/>
      <c r="P144" s="93"/>
      <c r="Q144" s="1865" t="s">
        <v>3613</v>
      </c>
      <c r="R144" s="1865"/>
      <c r="S144" s="1865"/>
      <c r="T144" s="1865"/>
      <c r="U144" s="295"/>
      <c r="V144" s="295"/>
      <c r="W144" s="600"/>
      <c r="X144" s="600"/>
      <c r="Y144" s="594"/>
      <c r="Z144" s="594"/>
      <c r="AA144" s="594"/>
      <c r="AB144" s="594"/>
      <c r="AC144" s="594"/>
      <c r="AD144" s="594"/>
      <c r="AE144" s="594"/>
      <c r="AF144" s="594"/>
      <c r="AG144" s="594"/>
      <c r="AH144" s="594"/>
      <c r="AI144" s="594"/>
      <c r="AJ144" s="594"/>
      <c r="AK144" s="594"/>
      <c r="AL144" s="594"/>
      <c r="AM144" s="594"/>
      <c r="AN144" s="594"/>
      <c r="AO144" s="297"/>
      <c r="AP144" s="818"/>
      <c r="AQ144" s="818"/>
      <c r="AR144" s="93"/>
      <c r="AS144" s="1865" t="s">
        <v>4051</v>
      </c>
      <c r="AT144" s="1877"/>
      <c r="AU144" s="1877"/>
      <c r="AV144" s="1877"/>
      <c r="AW144" s="295"/>
      <c r="AX144" s="295"/>
      <c r="AY144" s="295"/>
      <c r="AZ144" s="295"/>
      <c r="BA144" s="295"/>
      <c r="BB144" s="295"/>
      <c r="BC144" s="295"/>
      <c r="BD144" s="295"/>
      <c r="BE144" s="295"/>
      <c r="BF144" s="295"/>
      <c r="BG144" s="295"/>
      <c r="BH144" s="113"/>
      <c r="BI144" s="818"/>
      <c r="BJ144" s="818"/>
      <c r="BK144" s="93"/>
      <c r="BL144" s="1865" t="str">
        <f>IF(CF145&lt;&gt;"","AMMO","POWER")</f>
        <v>POWER</v>
      </c>
      <c r="BM144" s="1865"/>
      <c r="BN144" s="1865"/>
      <c r="BO144" s="1865"/>
      <c r="BP144" s="1865"/>
      <c r="BQ144" s="1865"/>
      <c r="BR144" s="295"/>
      <c r="BS144" s="295"/>
      <c r="BT144" s="295"/>
      <c r="BU144" s="295"/>
      <c r="BV144" s="295"/>
      <c r="BW144" s="295"/>
      <c r="BX144" s="295"/>
      <c r="BY144" s="295"/>
      <c r="BZ144" s="295"/>
      <c r="CA144" s="295"/>
      <c r="CB144" s="295"/>
      <c r="CC144" s="295"/>
      <c r="CD144" s="295"/>
      <c r="CE144" s="295"/>
      <c r="CF144" s="295"/>
      <c r="CG144" s="295"/>
      <c r="CH144" s="295"/>
      <c r="CI144" s="295"/>
      <c r="CJ144" s="295"/>
      <c r="CK144" s="295"/>
      <c r="CL144" s="295"/>
      <c r="CM144" s="295"/>
      <c r="CN144" s="295"/>
      <c r="CO144" s="113"/>
      <c r="CP144" s="595"/>
      <c r="CQ144" s="595"/>
      <c r="CR144" s="595"/>
      <c r="CS144" s="112"/>
      <c r="CT144" s="87"/>
      <c r="CU144" s="109"/>
      <c r="CV144" s="252"/>
      <c r="CW144" s="87"/>
      <c r="CX144" s="1999"/>
      <c r="CY144" s="1999"/>
      <c r="CZ144" s="1999"/>
      <c r="DA144" s="1999"/>
      <c r="DB144" s="1999"/>
      <c r="DC144" s="1999"/>
      <c r="DD144" s="1999"/>
      <c r="DE144" s="1999"/>
      <c r="DF144" s="1999"/>
      <c r="DG144" s="1999"/>
      <c r="DH144" s="1999"/>
      <c r="DI144" s="1999"/>
      <c r="DJ144" s="1999"/>
      <c r="DK144" s="1999"/>
      <c r="DL144" s="1999"/>
      <c r="DM144" s="1999"/>
      <c r="DN144" s="1999"/>
      <c r="DO144" s="1999"/>
      <c r="DP144" s="1999"/>
      <c r="DQ144" s="1999"/>
      <c r="DR144" s="1999"/>
      <c r="DS144" s="1999"/>
      <c r="DT144" s="1999"/>
      <c r="DU144" s="1999"/>
      <c r="DV144" s="1999"/>
      <c r="DW144" s="1999"/>
      <c r="DX144" s="1999"/>
      <c r="DY144" s="1999"/>
      <c r="DZ144" s="1999"/>
      <c r="EA144" s="1999"/>
      <c r="EB144" s="1999"/>
      <c r="EC144" s="1999"/>
      <c r="ED144" s="1999"/>
      <c r="EE144" s="1999"/>
      <c r="EF144" s="1999"/>
      <c r="EG144" s="1999"/>
      <c r="EH144" s="1999"/>
      <c r="EI144" s="1999"/>
      <c r="EJ144" s="1999"/>
      <c r="EK144" s="1999"/>
      <c r="EL144" s="1999"/>
      <c r="EM144" s="1999"/>
      <c r="EN144" s="1999"/>
      <c r="EO144" s="1999"/>
      <c r="EP144" s="1999"/>
      <c r="EQ144" s="1999"/>
      <c r="ER144" s="1999"/>
      <c r="ES144" s="1999"/>
      <c r="ET144" s="1999"/>
      <c r="EU144" s="311"/>
      <c r="EV144" s="87"/>
      <c r="EW144" s="170"/>
      <c r="EX144" s="87"/>
      <c r="EY144" s="87"/>
      <c r="EZ144" s="87"/>
      <c r="FA144" s="170"/>
      <c r="FB144" s="87"/>
    </row>
    <row r="145" spans="1:158" ht="9" customHeight="1">
      <c r="A145" s="87"/>
      <c r="B145" s="87"/>
      <c r="C145" s="87"/>
      <c r="D145" s="87"/>
      <c r="E145" s="87"/>
      <c r="F145" s="88"/>
      <c r="G145" s="88"/>
      <c r="H145" s="249"/>
      <c r="I145" s="1997"/>
      <c r="J145" s="1998"/>
      <c r="K145" s="87"/>
      <c r="L145" s="112"/>
      <c r="M145" s="1861"/>
      <c r="N145" s="1862"/>
      <c r="O145" s="1862"/>
      <c r="P145" s="102"/>
      <c r="Q145" s="1866"/>
      <c r="R145" s="1866"/>
      <c r="S145" s="1866"/>
      <c r="T145" s="1866"/>
      <c r="U145" s="1867" t="str">
        <f>Weapons!O$34</f>
        <v/>
      </c>
      <c r="V145" s="1867"/>
      <c r="W145" s="1867"/>
      <c r="X145" s="1867"/>
      <c r="Y145" s="1867"/>
      <c r="Z145" s="1867"/>
      <c r="AA145" s="1867"/>
      <c r="AB145" s="1867"/>
      <c r="AC145" s="1867"/>
      <c r="AD145" s="1867"/>
      <c r="AE145" s="1867"/>
      <c r="AF145" s="1867"/>
      <c r="AG145" s="1867"/>
      <c r="AH145" s="1867"/>
      <c r="AI145" s="1867"/>
      <c r="AJ145" s="1867"/>
      <c r="AK145" s="1867"/>
      <c r="AL145" s="1867"/>
      <c r="AM145" s="1867"/>
      <c r="AN145" s="1867"/>
      <c r="AO145" s="300"/>
      <c r="AP145" s="818"/>
      <c r="AQ145" s="818"/>
      <c r="AR145" s="102"/>
      <c r="AS145" s="1878"/>
      <c r="AT145" s="1878"/>
      <c r="AU145" s="1878"/>
      <c r="AV145" s="1878"/>
      <c r="AW145" s="1869" t="str">
        <f>Weapons!O$23</f>
        <v/>
      </c>
      <c r="AX145" s="1869"/>
      <c r="AY145" s="1869"/>
      <c r="AZ145" s="1869"/>
      <c r="BA145" s="1869"/>
      <c r="BB145" s="1869"/>
      <c r="BC145" s="1869"/>
      <c r="BD145" s="1869"/>
      <c r="BE145" s="1869"/>
      <c r="BF145" s="1869"/>
      <c r="BG145" s="1869"/>
      <c r="BH145" s="100"/>
      <c r="BI145" s="818"/>
      <c r="BJ145" s="818"/>
      <c r="BK145" s="102"/>
      <c r="BL145" s="1866"/>
      <c r="BM145" s="1866"/>
      <c r="BN145" s="1866"/>
      <c r="BO145" s="1866"/>
      <c r="BP145" s="1866"/>
      <c r="BQ145" s="1866"/>
      <c r="BR145" s="1875" t="str">
        <f>Weapons!O$25</f>
        <v/>
      </c>
      <c r="BS145" s="1875"/>
      <c r="BT145" s="1875"/>
      <c r="BU145" s="1875"/>
      <c r="BV145" s="1875"/>
      <c r="BW145" s="1875"/>
      <c r="BX145" s="1875"/>
      <c r="BY145" s="1875"/>
      <c r="BZ145" s="1875"/>
      <c r="CA145" s="1875"/>
      <c r="CB145" s="1875"/>
      <c r="CC145" s="1875"/>
      <c r="CD145" s="1875"/>
      <c r="CE145" s="1875"/>
      <c r="CF145" s="1863" t="str">
        <f>Weapons!O$26</f>
        <v/>
      </c>
      <c r="CG145" s="1863"/>
      <c r="CH145" s="1863"/>
      <c r="CI145" s="1863"/>
      <c r="CJ145" s="1863"/>
      <c r="CK145" s="1863"/>
      <c r="CL145" s="1863"/>
      <c r="CM145" s="1863"/>
      <c r="CN145" s="1863"/>
      <c r="CO145" s="100"/>
      <c r="CP145" s="657"/>
      <c r="CQ145" s="657"/>
      <c r="CR145" s="657"/>
      <c r="CS145" s="112"/>
      <c r="CT145" s="109"/>
      <c r="CU145" s="109"/>
      <c r="CV145" s="252"/>
      <c r="CW145" s="87"/>
      <c r="CX145" s="1999"/>
      <c r="CY145" s="1999"/>
      <c r="CZ145" s="1999"/>
      <c r="DA145" s="1999"/>
      <c r="DB145" s="1999"/>
      <c r="DC145" s="1999"/>
      <c r="DD145" s="1999"/>
      <c r="DE145" s="1999"/>
      <c r="DF145" s="1999"/>
      <c r="DG145" s="1999"/>
      <c r="DH145" s="1999"/>
      <c r="DI145" s="1999"/>
      <c r="DJ145" s="1999"/>
      <c r="DK145" s="1999"/>
      <c r="DL145" s="1999"/>
      <c r="DM145" s="1999"/>
      <c r="DN145" s="1999"/>
      <c r="DO145" s="1999"/>
      <c r="DP145" s="1999"/>
      <c r="DQ145" s="1999"/>
      <c r="DR145" s="1999"/>
      <c r="DS145" s="1999"/>
      <c r="DT145" s="1999"/>
      <c r="DU145" s="1999"/>
      <c r="DV145" s="1999"/>
      <c r="DW145" s="1999"/>
      <c r="DX145" s="1999"/>
      <c r="DY145" s="1999"/>
      <c r="DZ145" s="1999"/>
      <c r="EA145" s="1999"/>
      <c r="EB145" s="1999"/>
      <c r="EC145" s="1999"/>
      <c r="ED145" s="1999"/>
      <c r="EE145" s="1999"/>
      <c r="EF145" s="1999"/>
      <c r="EG145" s="1999"/>
      <c r="EH145" s="1999"/>
      <c r="EI145" s="1999"/>
      <c r="EJ145" s="1999"/>
      <c r="EK145" s="1999"/>
      <c r="EL145" s="1999"/>
      <c r="EM145" s="1999"/>
      <c r="EN145" s="1999"/>
      <c r="EO145" s="1999"/>
      <c r="EP145" s="1999"/>
      <c r="EQ145" s="1999"/>
      <c r="ER145" s="1999"/>
      <c r="ES145" s="1999"/>
      <c r="ET145" s="1999"/>
      <c r="EU145" s="311"/>
      <c r="EV145" s="87"/>
      <c r="EW145" s="170"/>
      <c r="EX145" s="87"/>
      <c r="EY145" s="87"/>
      <c r="EZ145" s="87"/>
      <c r="FA145" s="170"/>
      <c r="FB145" s="87"/>
    </row>
    <row r="146" spans="1:158" ht="9" customHeight="1">
      <c r="A146" s="87"/>
      <c r="B146" s="87"/>
      <c r="C146" s="87"/>
      <c r="D146" s="87"/>
      <c r="E146" s="87"/>
      <c r="F146" s="88"/>
      <c r="G146" s="88"/>
      <c r="H146" s="249"/>
      <c r="I146" s="1997"/>
      <c r="J146" s="1998"/>
      <c r="K146" s="87"/>
      <c r="L146" s="112"/>
      <c r="M146" s="1861"/>
      <c r="N146" s="1862"/>
      <c r="O146" s="1862"/>
      <c r="P146" s="102"/>
      <c r="Q146" s="105"/>
      <c r="R146" s="105"/>
      <c r="S146" s="105"/>
      <c r="T146" s="105"/>
      <c r="U146" s="1867"/>
      <c r="V146" s="1867"/>
      <c r="W146" s="1867"/>
      <c r="X146" s="1867"/>
      <c r="Y146" s="1867"/>
      <c r="Z146" s="1867"/>
      <c r="AA146" s="1867"/>
      <c r="AB146" s="1867"/>
      <c r="AC146" s="1867"/>
      <c r="AD146" s="1867"/>
      <c r="AE146" s="1867"/>
      <c r="AF146" s="1867"/>
      <c r="AG146" s="1867"/>
      <c r="AH146" s="1867"/>
      <c r="AI146" s="1867"/>
      <c r="AJ146" s="1867"/>
      <c r="AK146" s="1867"/>
      <c r="AL146" s="1867"/>
      <c r="AM146" s="1867"/>
      <c r="AN146" s="1867"/>
      <c r="AO146" s="103"/>
      <c r="AP146" s="818"/>
      <c r="AQ146" s="818"/>
      <c r="AR146" s="102"/>
      <c r="AS146" s="820"/>
      <c r="AT146" s="820"/>
      <c r="AU146" s="820"/>
      <c r="AV146" s="820"/>
      <c r="AW146" s="1869"/>
      <c r="AX146" s="1869"/>
      <c r="AY146" s="1869"/>
      <c r="AZ146" s="1869"/>
      <c r="BA146" s="1869"/>
      <c r="BB146" s="1869"/>
      <c r="BC146" s="1869"/>
      <c r="BD146" s="1869"/>
      <c r="BE146" s="1869"/>
      <c r="BF146" s="1869"/>
      <c r="BG146" s="1869"/>
      <c r="BH146" s="100"/>
      <c r="BI146" s="818"/>
      <c r="BJ146" s="818"/>
      <c r="BK146" s="102"/>
      <c r="BL146" s="820"/>
      <c r="BM146" s="820"/>
      <c r="BN146" s="820"/>
      <c r="BO146" s="820"/>
      <c r="BP146" s="820"/>
      <c r="BQ146" s="820"/>
      <c r="BR146" s="1875"/>
      <c r="BS146" s="1875"/>
      <c r="BT146" s="1875"/>
      <c r="BU146" s="1875"/>
      <c r="BV146" s="1875"/>
      <c r="BW146" s="1875"/>
      <c r="BX146" s="1875"/>
      <c r="BY146" s="1875"/>
      <c r="BZ146" s="1875"/>
      <c r="CA146" s="1875"/>
      <c r="CB146" s="1875"/>
      <c r="CC146" s="1875"/>
      <c r="CD146" s="1875"/>
      <c r="CE146" s="1875"/>
      <c r="CF146" s="1863"/>
      <c r="CG146" s="1863"/>
      <c r="CH146" s="1863"/>
      <c r="CI146" s="1863"/>
      <c r="CJ146" s="1863"/>
      <c r="CK146" s="1863"/>
      <c r="CL146" s="1863"/>
      <c r="CM146" s="1863"/>
      <c r="CN146" s="1863"/>
      <c r="CO146" s="100"/>
      <c r="CP146" s="657"/>
      <c r="CQ146" s="657"/>
      <c r="CR146" s="657"/>
      <c r="CS146" s="112"/>
      <c r="CT146" s="109"/>
      <c r="CU146" s="109"/>
      <c r="CV146" s="252"/>
      <c r="CW146" s="87"/>
      <c r="CX146" s="1999"/>
      <c r="CY146" s="1999"/>
      <c r="CZ146" s="1999"/>
      <c r="DA146" s="1999"/>
      <c r="DB146" s="1999"/>
      <c r="DC146" s="1999"/>
      <c r="DD146" s="1999"/>
      <c r="DE146" s="1999"/>
      <c r="DF146" s="1999"/>
      <c r="DG146" s="1999"/>
      <c r="DH146" s="1999"/>
      <c r="DI146" s="1999"/>
      <c r="DJ146" s="1999"/>
      <c r="DK146" s="1999"/>
      <c r="DL146" s="1999"/>
      <c r="DM146" s="1999"/>
      <c r="DN146" s="1999"/>
      <c r="DO146" s="1999"/>
      <c r="DP146" s="1999"/>
      <c r="DQ146" s="1999"/>
      <c r="DR146" s="1999"/>
      <c r="DS146" s="1999"/>
      <c r="DT146" s="1999"/>
      <c r="DU146" s="1999"/>
      <c r="DV146" s="1999"/>
      <c r="DW146" s="1999"/>
      <c r="DX146" s="1999"/>
      <c r="DY146" s="1999"/>
      <c r="DZ146" s="1999"/>
      <c r="EA146" s="1999"/>
      <c r="EB146" s="1999"/>
      <c r="EC146" s="1999"/>
      <c r="ED146" s="1999"/>
      <c r="EE146" s="1999"/>
      <c r="EF146" s="1999"/>
      <c r="EG146" s="1999"/>
      <c r="EH146" s="1999"/>
      <c r="EI146" s="1999"/>
      <c r="EJ146" s="1999"/>
      <c r="EK146" s="1999"/>
      <c r="EL146" s="1999"/>
      <c r="EM146" s="1999"/>
      <c r="EN146" s="1999"/>
      <c r="EO146" s="1999"/>
      <c r="EP146" s="1999"/>
      <c r="EQ146" s="1999"/>
      <c r="ER146" s="1999"/>
      <c r="ES146" s="1999"/>
      <c r="ET146" s="1999"/>
      <c r="EU146" s="311"/>
      <c r="EV146" s="87"/>
      <c r="EW146" s="170"/>
      <c r="EX146" s="109"/>
      <c r="EY146" s="109"/>
      <c r="EZ146" s="109"/>
      <c r="FA146" s="170"/>
      <c r="FB146" s="87"/>
    </row>
    <row r="147" spans="1:158" ht="9" customHeight="1" thickBot="1">
      <c r="A147" s="87"/>
      <c r="B147" s="87"/>
      <c r="C147" s="87"/>
      <c r="D147" s="87"/>
      <c r="E147" s="87"/>
      <c r="F147" s="88"/>
      <c r="G147" s="88"/>
      <c r="H147" s="393"/>
      <c r="I147" s="566"/>
      <c r="J147" s="393"/>
      <c r="K147" s="109"/>
      <c r="L147" s="112"/>
      <c r="M147" s="1861"/>
      <c r="N147" s="1862"/>
      <c r="O147" s="1862"/>
      <c r="P147" s="91"/>
      <c r="Q147" s="108"/>
      <c r="R147" s="108"/>
      <c r="S147" s="108"/>
      <c r="T147" s="108"/>
      <c r="U147" s="1868"/>
      <c r="V147" s="1868"/>
      <c r="W147" s="1868"/>
      <c r="X147" s="1868"/>
      <c r="Y147" s="1868"/>
      <c r="Z147" s="1868"/>
      <c r="AA147" s="1868"/>
      <c r="AB147" s="1868"/>
      <c r="AC147" s="1868"/>
      <c r="AD147" s="1868"/>
      <c r="AE147" s="1868"/>
      <c r="AF147" s="1868"/>
      <c r="AG147" s="1868"/>
      <c r="AH147" s="1868"/>
      <c r="AI147" s="1868"/>
      <c r="AJ147" s="1868"/>
      <c r="AK147" s="1868"/>
      <c r="AL147" s="1868"/>
      <c r="AM147" s="1868"/>
      <c r="AN147" s="1868"/>
      <c r="AO147" s="90"/>
      <c r="AP147" s="818"/>
      <c r="AQ147" s="818"/>
      <c r="AR147" s="91"/>
      <c r="AS147" s="821"/>
      <c r="AT147" s="821"/>
      <c r="AU147" s="821"/>
      <c r="AV147" s="821"/>
      <c r="AW147" s="1870"/>
      <c r="AX147" s="1870"/>
      <c r="AY147" s="1870"/>
      <c r="AZ147" s="1870"/>
      <c r="BA147" s="1870"/>
      <c r="BB147" s="1870"/>
      <c r="BC147" s="1870"/>
      <c r="BD147" s="1870"/>
      <c r="BE147" s="1870"/>
      <c r="BF147" s="1870"/>
      <c r="BG147" s="1870"/>
      <c r="BH147" s="93"/>
      <c r="BI147" s="818"/>
      <c r="BJ147" s="818"/>
      <c r="BK147" s="91"/>
      <c r="BL147" s="821"/>
      <c r="BM147" s="821"/>
      <c r="BN147" s="821"/>
      <c r="BO147" s="821"/>
      <c r="BP147" s="821"/>
      <c r="BQ147" s="821"/>
      <c r="BR147" s="1876"/>
      <c r="BS147" s="1876"/>
      <c r="BT147" s="1876"/>
      <c r="BU147" s="1876"/>
      <c r="BV147" s="1876"/>
      <c r="BW147" s="1876"/>
      <c r="BX147" s="1876"/>
      <c r="BY147" s="1876"/>
      <c r="BZ147" s="1876"/>
      <c r="CA147" s="1876"/>
      <c r="CB147" s="1876"/>
      <c r="CC147" s="1876"/>
      <c r="CD147" s="1876"/>
      <c r="CE147" s="1876"/>
      <c r="CF147" s="1864"/>
      <c r="CG147" s="1864"/>
      <c r="CH147" s="1864"/>
      <c r="CI147" s="1864"/>
      <c r="CJ147" s="1864"/>
      <c r="CK147" s="1864"/>
      <c r="CL147" s="1864"/>
      <c r="CM147" s="1864"/>
      <c r="CN147" s="1864"/>
      <c r="CO147" s="93"/>
      <c r="CP147" s="657"/>
      <c r="CQ147" s="657"/>
      <c r="CR147" s="657"/>
      <c r="CS147" s="112"/>
      <c r="CT147" s="118"/>
      <c r="CU147" s="109"/>
      <c r="CV147" s="252"/>
      <c r="CW147" s="87"/>
      <c r="CX147" s="1999"/>
      <c r="CY147" s="1999"/>
      <c r="CZ147" s="1999"/>
      <c r="DA147" s="1999"/>
      <c r="DB147" s="1999"/>
      <c r="DC147" s="1999"/>
      <c r="DD147" s="1999"/>
      <c r="DE147" s="1999"/>
      <c r="DF147" s="1999"/>
      <c r="DG147" s="1999"/>
      <c r="DH147" s="1999"/>
      <c r="DI147" s="1999"/>
      <c r="DJ147" s="1999"/>
      <c r="DK147" s="1999"/>
      <c r="DL147" s="1999"/>
      <c r="DM147" s="1999"/>
      <c r="DN147" s="1999"/>
      <c r="DO147" s="1999"/>
      <c r="DP147" s="1999"/>
      <c r="DQ147" s="1999"/>
      <c r="DR147" s="1999"/>
      <c r="DS147" s="1999"/>
      <c r="DT147" s="1999"/>
      <c r="DU147" s="1999"/>
      <c r="DV147" s="1999"/>
      <c r="DW147" s="1999"/>
      <c r="DX147" s="1999"/>
      <c r="DY147" s="1999"/>
      <c r="DZ147" s="1999"/>
      <c r="EA147" s="1999"/>
      <c r="EB147" s="1999"/>
      <c r="EC147" s="1999"/>
      <c r="ED147" s="1999"/>
      <c r="EE147" s="1999"/>
      <c r="EF147" s="1999"/>
      <c r="EG147" s="1999"/>
      <c r="EH147" s="1999"/>
      <c r="EI147" s="1999"/>
      <c r="EJ147" s="1999"/>
      <c r="EK147" s="1999"/>
      <c r="EL147" s="1999"/>
      <c r="EM147" s="1999"/>
      <c r="EN147" s="1999"/>
      <c r="EO147" s="1999"/>
      <c r="EP147" s="1999"/>
      <c r="EQ147" s="1999"/>
      <c r="ER147" s="1999"/>
      <c r="ES147" s="1999"/>
      <c r="ET147" s="1999"/>
      <c r="EU147" s="311"/>
      <c r="EV147" s="87"/>
      <c r="EW147" s="170"/>
      <c r="EX147" s="87"/>
      <c r="EY147" s="87"/>
      <c r="EZ147" s="87"/>
      <c r="FA147" s="170"/>
      <c r="FB147" s="87"/>
    </row>
    <row r="148" spans="1:158" ht="9" customHeight="1" thickTop="1" thickBot="1">
      <c r="A148" s="87"/>
      <c r="B148" s="87"/>
      <c r="C148" s="87"/>
      <c r="D148" s="87"/>
      <c r="E148" s="87"/>
      <c r="F148" s="88"/>
      <c r="G148" s="393"/>
      <c r="H148" s="88"/>
      <c r="I148" s="393"/>
      <c r="J148" s="109"/>
      <c r="K148" s="109"/>
      <c r="L148" s="112"/>
      <c r="M148" s="1861"/>
      <c r="N148" s="1862"/>
      <c r="O148" s="1862"/>
      <c r="P148" s="818"/>
      <c r="Q148" s="818"/>
      <c r="R148" s="818"/>
      <c r="S148" s="818"/>
      <c r="T148" s="818"/>
      <c r="U148" s="818"/>
      <c r="V148" s="818"/>
      <c r="W148" s="818"/>
      <c r="X148" s="589"/>
      <c r="Y148" s="589"/>
      <c r="Z148" s="589"/>
      <c r="AA148" s="589"/>
      <c r="AB148" s="589"/>
      <c r="AC148" s="589"/>
      <c r="AD148" s="589"/>
      <c r="AE148" s="589"/>
      <c r="AF148" s="589"/>
      <c r="AG148" s="589"/>
      <c r="AH148" s="589"/>
      <c r="AI148" s="589"/>
      <c r="AJ148" s="589"/>
      <c r="AK148" s="589"/>
      <c r="AL148" s="589"/>
      <c r="AM148" s="589"/>
      <c r="AN148" s="589"/>
      <c r="AO148" s="589"/>
      <c r="AP148" s="589"/>
      <c r="AQ148" s="131"/>
      <c r="AR148" s="118"/>
      <c r="AS148" s="118"/>
      <c r="AT148" s="105"/>
      <c r="AU148" s="818"/>
      <c r="AV148" s="818"/>
      <c r="AW148" s="818"/>
      <c r="AX148" s="818"/>
      <c r="AY148" s="653"/>
      <c r="AZ148" s="653"/>
      <c r="BA148" s="653"/>
      <c r="BB148" s="653"/>
      <c r="BC148" s="653"/>
      <c r="BD148" s="131"/>
      <c r="BE148" s="118"/>
      <c r="BF148" s="118"/>
      <c r="BG148" s="105"/>
      <c r="BH148" s="818"/>
      <c r="BI148" s="818"/>
      <c r="BJ148" s="818"/>
      <c r="BK148" s="818"/>
      <c r="BL148" s="818"/>
      <c r="BM148" s="818"/>
      <c r="BN148" s="818"/>
      <c r="BO148" s="818"/>
      <c r="BP148" s="442"/>
      <c r="BQ148" s="442"/>
      <c r="BR148" s="442"/>
      <c r="BS148" s="442"/>
      <c r="BT148" s="442"/>
      <c r="BU148" s="442"/>
      <c r="BV148" s="442"/>
      <c r="BW148" s="442"/>
      <c r="BX148" s="442"/>
      <c r="BY148" s="442"/>
      <c r="BZ148" s="442"/>
      <c r="CA148" s="442"/>
      <c r="CB148" s="442"/>
      <c r="CC148" s="442"/>
      <c r="CD148" s="442"/>
      <c r="CE148" s="442"/>
      <c r="CF148" s="442"/>
      <c r="CG148" s="442"/>
      <c r="CH148" s="442"/>
      <c r="CI148" s="442"/>
      <c r="CJ148" s="442"/>
      <c r="CK148" s="442"/>
      <c r="CL148" s="442"/>
      <c r="CM148" s="442"/>
      <c r="CN148" s="442"/>
      <c r="CO148" s="442"/>
      <c r="CP148" s="118"/>
      <c r="CQ148" s="118"/>
      <c r="CR148" s="118"/>
      <c r="CS148" s="112"/>
      <c r="CT148" s="118"/>
      <c r="CU148" s="109"/>
      <c r="CV148" s="252"/>
      <c r="CW148" s="87"/>
      <c r="CX148" s="311"/>
      <c r="CY148" s="311"/>
      <c r="CZ148" s="311"/>
      <c r="DA148" s="311"/>
      <c r="DB148" s="311"/>
      <c r="DC148" s="311"/>
      <c r="DD148" s="311"/>
      <c r="DE148" s="311"/>
      <c r="DF148" s="311"/>
      <c r="DG148" s="311"/>
      <c r="DH148" s="311"/>
      <c r="DI148" s="311"/>
      <c r="DJ148" s="311"/>
      <c r="DK148" s="311"/>
      <c r="DL148" s="311"/>
      <c r="DM148" s="311"/>
      <c r="DN148" s="311"/>
      <c r="DO148" s="311"/>
      <c r="DP148" s="311"/>
      <c r="DQ148" s="311"/>
      <c r="DR148" s="311"/>
      <c r="DS148" s="311"/>
      <c r="DT148" s="311"/>
      <c r="DU148" s="311"/>
      <c r="DV148" s="311"/>
      <c r="DW148" s="311"/>
      <c r="DX148" s="311"/>
      <c r="DY148" s="311"/>
      <c r="DZ148" s="311"/>
      <c r="EA148" s="311"/>
      <c r="EB148" s="311"/>
      <c r="EC148" s="311"/>
      <c r="ED148" s="311"/>
      <c r="EE148" s="311"/>
      <c r="EF148" s="311"/>
      <c r="EG148" s="311"/>
      <c r="EH148" s="311"/>
      <c r="EI148" s="311"/>
      <c r="EJ148" s="311"/>
      <c r="EK148" s="311"/>
      <c r="EL148" s="311"/>
      <c r="EM148" s="311"/>
      <c r="EN148" s="311"/>
      <c r="EO148" s="311"/>
      <c r="EP148" s="311"/>
      <c r="EQ148" s="311"/>
      <c r="ER148" s="311"/>
      <c r="ES148" s="311"/>
      <c r="ET148" s="311"/>
      <c r="EU148" s="311"/>
      <c r="EV148" s="87"/>
      <c r="EW148" s="170"/>
      <c r="EX148" s="109"/>
      <c r="EY148" s="109"/>
      <c r="EZ148" s="109"/>
      <c r="FA148" s="170"/>
      <c r="FB148" s="87"/>
    </row>
    <row r="149" spans="1:158" ht="9" customHeight="1" thickTop="1">
      <c r="A149" s="87"/>
      <c r="B149" s="87"/>
      <c r="C149" s="87"/>
      <c r="D149" s="87"/>
      <c r="E149" s="87"/>
      <c r="F149" s="88"/>
      <c r="G149" s="590"/>
      <c r="H149" s="393"/>
      <c r="I149" s="88"/>
      <c r="J149" s="109"/>
      <c r="K149" s="109"/>
      <c r="L149" s="112"/>
      <c r="M149" s="1861"/>
      <c r="N149" s="1862"/>
      <c r="O149" s="1862"/>
      <c r="P149" s="93"/>
      <c r="Q149" s="1865" t="s">
        <v>3614</v>
      </c>
      <c r="R149" s="1865"/>
      <c r="S149" s="1865"/>
      <c r="T149" s="1865"/>
      <c r="U149" s="1865"/>
      <c r="V149" s="1865"/>
      <c r="W149" s="295"/>
      <c r="X149" s="296"/>
      <c r="Y149" s="296"/>
      <c r="Z149" s="296"/>
      <c r="AA149" s="296"/>
      <c r="AB149" s="296"/>
      <c r="AC149" s="296"/>
      <c r="AD149" s="296"/>
      <c r="AE149" s="296"/>
      <c r="AF149" s="296"/>
      <c r="AG149" s="296"/>
      <c r="AH149" s="296"/>
      <c r="AI149" s="296"/>
      <c r="AJ149" s="296"/>
      <c r="AK149" s="296"/>
      <c r="AL149" s="296"/>
      <c r="AM149" s="296"/>
      <c r="AN149" s="296"/>
      <c r="AO149" s="296"/>
      <c r="AP149" s="296"/>
      <c r="AQ149" s="296"/>
      <c r="AR149" s="296"/>
      <c r="AS149" s="296"/>
      <c r="AT149" s="296"/>
      <c r="AU149" s="296"/>
      <c r="AV149" s="296"/>
      <c r="AW149" s="296"/>
      <c r="AX149" s="296"/>
      <c r="AY149" s="296"/>
      <c r="AZ149" s="296"/>
      <c r="BA149" s="296"/>
      <c r="BB149" s="296"/>
      <c r="BC149" s="296"/>
      <c r="BD149" s="296"/>
      <c r="BE149" s="296"/>
      <c r="BF149" s="296"/>
      <c r="BG149" s="296"/>
      <c r="BH149" s="296"/>
      <c r="BI149" s="296"/>
      <c r="BJ149" s="296"/>
      <c r="BK149" s="296"/>
      <c r="BL149" s="296"/>
      <c r="BM149" s="296"/>
      <c r="BN149" s="296"/>
      <c r="BO149" s="296"/>
      <c r="BP149" s="296"/>
      <c r="BQ149" s="296"/>
      <c r="BR149" s="296"/>
      <c r="BS149" s="296"/>
      <c r="BT149" s="296"/>
      <c r="BU149" s="296"/>
      <c r="BV149" s="296"/>
      <c r="BW149" s="296"/>
      <c r="BX149" s="296"/>
      <c r="BY149" s="296"/>
      <c r="BZ149" s="296"/>
      <c r="CA149" s="296"/>
      <c r="CB149" s="296"/>
      <c r="CC149" s="296"/>
      <c r="CD149" s="296"/>
      <c r="CE149" s="296"/>
      <c r="CF149" s="296"/>
      <c r="CG149" s="296"/>
      <c r="CH149" s="296"/>
      <c r="CI149" s="296"/>
      <c r="CJ149" s="296"/>
      <c r="CK149" s="296"/>
      <c r="CL149" s="296"/>
      <c r="CM149" s="296"/>
      <c r="CN149" s="296"/>
      <c r="CO149" s="297"/>
      <c r="CP149" s="596"/>
      <c r="CQ149" s="596"/>
      <c r="CR149" s="87"/>
      <c r="CS149" s="112"/>
      <c r="CT149" s="118"/>
      <c r="CW149" s="153"/>
      <c r="CX149" s="1918" t="s">
        <v>4496</v>
      </c>
      <c r="CY149" s="1918"/>
      <c r="CZ149" s="1918"/>
      <c r="DA149" s="1918"/>
      <c r="DB149" s="1918"/>
      <c r="DC149" s="1918"/>
      <c r="DD149" s="1918"/>
      <c r="DE149" s="1918"/>
      <c r="DF149" s="1918"/>
      <c r="DG149" s="1918"/>
      <c r="DH149" s="1918"/>
      <c r="DI149" s="1918"/>
      <c r="DJ149" s="1918"/>
      <c r="DK149" s="1918"/>
      <c r="DL149" s="1918"/>
      <c r="DM149" s="1918"/>
      <c r="DN149" s="1918"/>
      <c r="DO149" s="1918"/>
      <c r="DP149" s="1918"/>
      <c r="DQ149" s="1918"/>
      <c r="DR149" s="1918"/>
      <c r="DS149" s="1918"/>
      <c r="DT149" s="1918"/>
      <c r="DU149" s="1918"/>
      <c r="DV149" s="1918"/>
      <c r="DW149" s="1918"/>
      <c r="DX149" s="1918"/>
      <c r="DY149" s="1918"/>
      <c r="DZ149" s="1918"/>
      <c r="EA149" s="1918"/>
      <c r="EB149" s="1918"/>
      <c r="EC149" s="1918"/>
      <c r="ED149" s="1918"/>
      <c r="EE149" s="1918"/>
      <c r="EF149" s="1918"/>
      <c r="EG149" s="1918"/>
      <c r="EH149" s="1918"/>
      <c r="EI149" s="1918"/>
      <c r="EJ149" s="1918"/>
      <c r="EK149" s="1918"/>
      <c r="EL149" s="1918"/>
      <c r="EM149" s="1918"/>
      <c r="EN149" s="1918"/>
      <c r="EO149" s="1918"/>
      <c r="EP149" s="1918"/>
      <c r="EQ149" s="1918"/>
      <c r="ER149" s="1918"/>
      <c r="ES149" s="1918"/>
      <c r="ET149" s="1918"/>
      <c r="EU149" s="154"/>
      <c r="EW149" s="170"/>
      <c r="EX149" s="87"/>
      <c r="EY149" s="87"/>
      <c r="EZ149" s="87"/>
      <c r="FA149" s="170"/>
      <c r="FB149" s="87"/>
    </row>
    <row r="150" spans="1:158" ht="9" customHeight="1">
      <c r="A150" s="87"/>
      <c r="B150" s="87"/>
      <c r="C150" s="87"/>
      <c r="D150" s="87"/>
      <c r="E150" s="87"/>
      <c r="F150" s="109"/>
      <c r="G150" s="591"/>
      <c r="H150" s="87"/>
      <c r="J150" s="109"/>
      <c r="K150" s="109"/>
      <c r="L150" s="87"/>
      <c r="M150" s="256"/>
      <c r="N150" s="118"/>
      <c r="O150" s="111"/>
      <c r="P150" s="102"/>
      <c r="Q150" s="1866"/>
      <c r="R150" s="1866"/>
      <c r="S150" s="1866"/>
      <c r="T150" s="1866"/>
      <c r="U150" s="1866"/>
      <c r="V150" s="1866"/>
      <c r="W150" s="818"/>
      <c r="X150" s="1922" t="str">
        <f>Weapons!O$28</f>
        <v/>
      </c>
      <c r="Y150" s="1922"/>
      <c r="Z150" s="1922"/>
      <c r="AA150" s="1922"/>
      <c r="AB150" s="1922"/>
      <c r="AC150" s="1922"/>
      <c r="AD150" s="1922"/>
      <c r="AE150" s="1922"/>
      <c r="AF150" s="1922"/>
      <c r="AG150" s="1922"/>
      <c r="AH150" s="1922"/>
      <c r="AI150" s="1922"/>
      <c r="AJ150" s="1922"/>
      <c r="AK150" s="1922"/>
      <c r="AL150" s="1922"/>
      <c r="AM150" s="1922"/>
      <c r="AN150" s="1922"/>
      <c r="AO150" s="1922"/>
      <c r="AP150" s="1922"/>
      <c r="AQ150" s="1922"/>
      <c r="AR150" s="1922"/>
      <c r="AS150" s="1922"/>
      <c r="AT150" s="1922"/>
      <c r="AU150" s="1922"/>
      <c r="AV150" s="1922"/>
      <c r="AW150" s="1922"/>
      <c r="AX150" s="1922"/>
      <c r="AY150" s="1922"/>
      <c r="AZ150" s="1922"/>
      <c r="BA150" s="1922"/>
      <c r="BB150" s="1922"/>
      <c r="BC150" s="1922"/>
      <c r="BD150" s="1922"/>
      <c r="BE150" s="1922"/>
      <c r="BF150" s="1922"/>
      <c r="BG150" s="1922"/>
      <c r="BH150" s="1922"/>
      <c r="BI150" s="1922"/>
      <c r="BJ150" s="1922"/>
      <c r="BK150" s="1922"/>
      <c r="BL150" s="1922"/>
      <c r="BM150" s="1922"/>
      <c r="BN150" s="1922"/>
      <c r="BO150" s="1922"/>
      <c r="BP150" s="1922"/>
      <c r="BQ150" s="1922"/>
      <c r="BR150" s="1922"/>
      <c r="BS150" s="1922"/>
      <c r="BT150" s="1922"/>
      <c r="BU150" s="1922"/>
      <c r="BV150" s="1922"/>
      <c r="BW150" s="1922"/>
      <c r="BX150" s="1922"/>
      <c r="BY150" s="1922"/>
      <c r="BZ150" s="1922"/>
      <c r="CA150" s="1922"/>
      <c r="CB150" s="1922"/>
      <c r="CC150" s="1922"/>
      <c r="CD150" s="1922"/>
      <c r="CE150" s="1922"/>
      <c r="CF150" s="1922"/>
      <c r="CG150" s="1922"/>
      <c r="CH150" s="1922"/>
      <c r="CI150" s="1922"/>
      <c r="CJ150" s="1922"/>
      <c r="CK150" s="1922"/>
      <c r="CL150" s="1922"/>
      <c r="CM150" s="1922"/>
      <c r="CN150" s="1922"/>
      <c r="CO150" s="300"/>
      <c r="CP150" s="658"/>
      <c r="CQ150" s="118"/>
      <c r="CR150" s="109"/>
      <c r="CS150" s="144"/>
      <c r="CT150" s="109"/>
      <c r="CW150" s="162"/>
      <c r="CX150" s="1919"/>
      <c r="CY150" s="1919"/>
      <c r="CZ150" s="1919"/>
      <c r="DA150" s="1919"/>
      <c r="DB150" s="1919"/>
      <c r="DC150" s="1919"/>
      <c r="DD150" s="1919"/>
      <c r="DE150" s="1919"/>
      <c r="DF150" s="1919"/>
      <c r="DG150" s="1919"/>
      <c r="DH150" s="1919"/>
      <c r="DI150" s="1919"/>
      <c r="DJ150" s="1919"/>
      <c r="DK150" s="1919"/>
      <c r="DL150" s="1919"/>
      <c r="DM150" s="1919"/>
      <c r="DN150" s="1919"/>
      <c r="DO150" s="1919"/>
      <c r="DP150" s="1919"/>
      <c r="DQ150" s="1919"/>
      <c r="DR150" s="1919"/>
      <c r="DS150" s="1919"/>
      <c r="DT150" s="1919"/>
      <c r="DU150" s="1919"/>
      <c r="DV150" s="1919"/>
      <c r="DW150" s="1919"/>
      <c r="DX150" s="1919"/>
      <c r="DY150" s="1919"/>
      <c r="DZ150" s="1919"/>
      <c r="EA150" s="1919"/>
      <c r="EB150" s="1919"/>
      <c r="EC150" s="1919"/>
      <c r="ED150" s="1919"/>
      <c r="EE150" s="1919"/>
      <c r="EF150" s="1919"/>
      <c r="EG150" s="1919"/>
      <c r="EH150" s="1919"/>
      <c r="EI150" s="1919"/>
      <c r="EJ150" s="1919"/>
      <c r="EK150" s="1919"/>
      <c r="EL150" s="1919"/>
      <c r="EM150" s="1919"/>
      <c r="EN150" s="1919"/>
      <c r="EO150" s="1919"/>
      <c r="EP150" s="1919"/>
      <c r="EQ150" s="1919"/>
      <c r="ER150" s="1919"/>
      <c r="ES150" s="1919"/>
      <c r="ET150" s="1919"/>
      <c r="EU150" s="163"/>
      <c r="EW150" s="170"/>
      <c r="EX150" s="109"/>
      <c r="EY150" s="109"/>
      <c r="EZ150" s="109"/>
      <c r="FA150" s="170"/>
      <c r="FB150" s="87"/>
    </row>
    <row r="151" spans="1:158" ht="9" customHeight="1" thickBot="1">
      <c r="A151" s="87"/>
      <c r="F151" s="287"/>
      <c r="G151" s="287"/>
      <c r="H151" s="87"/>
      <c r="J151" s="109"/>
      <c r="K151" s="109"/>
      <c r="L151" s="87"/>
      <c r="M151" s="118"/>
      <c r="N151" s="256"/>
      <c r="O151" s="108"/>
      <c r="P151" s="102"/>
      <c r="Q151" s="105"/>
      <c r="R151" s="105"/>
      <c r="S151" s="105"/>
      <c r="T151" s="105"/>
      <c r="U151" s="596"/>
      <c r="V151" s="596"/>
      <c r="W151" s="596"/>
      <c r="X151" s="1922"/>
      <c r="Y151" s="1922"/>
      <c r="Z151" s="1922"/>
      <c r="AA151" s="1922"/>
      <c r="AB151" s="1922"/>
      <c r="AC151" s="1922"/>
      <c r="AD151" s="1922"/>
      <c r="AE151" s="1922"/>
      <c r="AF151" s="1922"/>
      <c r="AG151" s="1922"/>
      <c r="AH151" s="1922"/>
      <c r="AI151" s="1922"/>
      <c r="AJ151" s="1922"/>
      <c r="AK151" s="1922"/>
      <c r="AL151" s="1922"/>
      <c r="AM151" s="1922"/>
      <c r="AN151" s="1922"/>
      <c r="AO151" s="1922"/>
      <c r="AP151" s="1922"/>
      <c r="AQ151" s="1922"/>
      <c r="AR151" s="1922"/>
      <c r="AS151" s="1922"/>
      <c r="AT151" s="1922"/>
      <c r="AU151" s="1922"/>
      <c r="AV151" s="1922"/>
      <c r="AW151" s="1922"/>
      <c r="AX151" s="1922"/>
      <c r="AY151" s="1922"/>
      <c r="AZ151" s="1922"/>
      <c r="BA151" s="1922"/>
      <c r="BB151" s="1922"/>
      <c r="BC151" s="1922"/>
      <c r="BD151" s="1922"/>
      <c r="BE151" s="1922"/>
      <c r="BF151" s="1922"/>
      <c r="BG151" s="1922"/>
      <c r="BH151" s="1922"/>
      <c r="BI151" s="1922"/>
      <c r="BJ151" s="1922"/>
      <c r="BK151" s="1922"/>
      <c r="BL151" s="1922"/>
      <c r="BM151" s="1922"/>
      <c r="BN151" s="1922"/>
      <c r="BO151" s="1922"/>
      <c r="BP151" s="1922"/>
      <c r="BQ151" s="1922"/>
      <c r="BR151" s="1922"/>
      <c r="BS151" s="1922"/>
      <c r="BT151" s="1922"/>
      <c r="BU151" s="1922"/>
      <c r="BV151" s="1922"/>
      <c r="BW151" s="1922"/>
      <c r="BX151" s="1922"/>
      <c r="BY151" s="1922"/>
      <c r="BZ151" s="1922"/>
      <c r="CA151" s="1922"/>
      <c r="CB151" s="1922"/>
      <c r="CC151" s="1922"/>
      <c r="CD151" s="1922"/>
      <c r="CE151" s="1922"/>
      <c r="CF151" s="1922"/>
      <c r="CG151" s="1922"/>
      <c r="CH151" s="1922"/>
      <c r="CI151" s="1922"/>
      <c r="CJ151" s="1922"/>
      <c r="CK151" s="1922"/>
      <c r="CL151" s="1922"/>
      <c r="CM151" s="1922"/>
      <c r="CN151" s="1922"/>
      <c r="CO151" s="103"/>
      <c r="CP151" s="122"/>
      <c r="CQ151" s="122"/>
      <c r="CR151" s="144"/>
      <c r="CS151" s="118"/>
      <c r="CT151" s="118"/>
      <c r="CW151" s="162"/>
      <c r="CX151" s="1919"/>
      <c r="CY151" s="1919"/>
      <c r="CZ151" s="1919"/>
      <c r="DA151" s="1919"/>
      <c r="DB151" s="1919"/>
      <c r="DC151" s="1919"/>
      <c r="DD151" s="1919"/>
      <c r="DE151" s="1919"/>
      <c r="DF151" s="1919"/>
      <c r="DG151" s="1919"/>
      <c r="DH151" s="1919"/>
      <c r="DI151" s="1919"/>
      <c r="DJ151" s="1919"/>
      <c r="DK151" s="1919"/>
      <c r="DL151" s="1919"/>
      <c r="DM151" s="1919"/>
      <c r="DN151" s="1919"/>
      <c r="DO151" s="1919"/>
      <c r="DP151" s="1919"/>
      <c r="DQ151" s="1919"/>
      <c r="DR151" s="1919"/>
      <c r="DS151" s="1919"/>
      <c r="DT151" s="1919"/>
      <c r="DU151" s="1919"/>
      <c r="DV151" s="1919"/>
      <c r="DW151" s="1919"/>
      <c r="DX151" s="1919"/>
      <c r="DY151" s="1919"/>
      <c r="DZ151" s="1919"/>
      <c r="EA151" s="1919"/>
      <c r="EB151" s="1919"/>
      <c r="EC151" s="1919"/>
      <c r="ED151" s="1919"/>
      <c r="EE151" s="1919"/>
      <c r="EF151" s="1919"/>
      <c r="EG151" s="1919"/>
      <c r="EH151" s="1919"/>
      <c r="EI151" s="1919"/>
      <c r="EJ151" s="1919"/>
      <c r="EK151" s="1919"/>
      <c r="EL151" s="1919"/>
      <c r="EM151" s="1919"/>
      <c r="EN151" s="1919"/>
      <c r="EO151" s="1919"/>
      <c r="EP151" s="1919"/>
      <c r="EQ151" s="1919"/>
      <c r="ER151" s="1919"/>
      <c r="ES151" s="1919"/>
      <c r="ET151" s="1919"/>
      <c r="EU151" s="163"/>
      <c r="EW151" s="170"/>
      <c r="EX151" s="87"/>
      <c r="EY151" s="87"/>
      <c r="EZ151" s="87"/>
      <c r="FA151" s="170"/>
      <c r="FB151" s="87"/>
    </row>
    <row r="152" spans="1:158" ht="9" customHeight="1" thickTop="1" thickBot="1">
      <c r="A152" s="87"/>
      <c r="F152" s="287"/>
      <c r="G152" s="287"/>
      <c r="H152" s="87"/>
      <c r="J152" s="109"/>
      <c r="K152" s="109"/>
      <c r="L152" s="87"/>
      <c r="M152" s="118"/>
      <c r="N152" s="118"/>
      <c r="O152" s="118"/>
      <c r="P152" s="91"/>
      <c r="Q152" s="108"/>
      <c r="R152" s="108"/>
      <c r="S152" s="108"/>
      <c r="T152" s="108"/>
      <c r="U152" s="654"/>
      <c r="V152" s="654"/>
      <c r="W152" s="654"/>
      <c r="X152" s="1923"/>
      <c r="Y152" s="1923"/>
      <c r="Z152" s="1923"/>
      <c r="AA152" s="1923"/>
      <c r="AB152" s="1923"/>
      <c r="AC152" s="1923"/>
      <c r="AD152" s="1923"/>
      <c r="AE152" s="1923"/>
      <c r="AF152" s="1923"/>
      <c r="AG152" s="1923"/>
      <c r="AH152" s="1923"/>
      <c r="AI152" s="1923"/>
      <c r="AJ152" s="1923"/>
      <c r="AK152" s="1923"/>
      <c r="AL152" s="1923"/>
      <c r="AM152" s="1923"/>
      <c r="AN152" s="1923"/>
      <c r="AO152" s="1923"/>
      <c r="AP152" s="1923"/>
      <c r="AQ152" s="1923"/>
      <c r="AR152" s="1923"/>
      <c r="AS152" s="1923"/>
      <c r="AT152" s="1923"/>
      <c r="AU152" s="1923"/>
      <c r="AV152" s="1923"/>
      <c r="AW152" s="1923"/>
      <c r="AX152" s="1923"/>
      <c r="AY152" s="1923"/>
      <c r="AZ152" s="1923"/>
      <c r="BA152" s="1923"/>
      <c r="BB152" s="1923"/>
      <c r="BC152" s="1923"/>
      <c r="BD152" s="1923"/>
      <c r="BE152" s="1923"/>
      <c r="BF152" s="1923"/>
      <c r="BG152" s="1923"/>
      <c r="BH152" s="1923"/>
      <c r="BI152" s="1923"/>
      <c r="BJ152" s="1923"/>
      <c r="BK152" s="1923"/>
      <c r="BL152" s="1923"/>
      <c r="BM152" s="1923"/>
      <c r="BN152" s="1923"/>
      <c r="BO152" s="1923"/>
      <c r="BP152" s="1923"/>
      <c r="BQ152" s="1923"/>
      <c r="BR152" s="1923"/>
      <c r="BS152" s="1923"/>
      <c r="BT152" s="1923"/>
      <c r="BU152" s="1923"/>
      <c r="BV152" s="1923"/>
      <c r="BW152" s="1923"/>
      <c r="BX152" s="1923"/>
      <c r="BY152" s="1923"/>
      <c r="BZ152" s="1923"/>
      <c r="CA152" s="1923"/>
      <c r="CB152" s="1923"/>
      <c r="CC152" s="1923"/>
      <c r="CD152" s="1923"/>
      <c r="CE152" s="1923"/>
      <c r="CF152" s="1923"/>
      <c r="CG152" s="1923"/>
      <c r="CH152" s="1923"/>
      <c r="CI152" s="1923"/>
      <c r="CJ152" s="1923"/>
      <c r="CK152" s="1923"/>
      <c r="CL152" s="1923"/>
      <c r="CM152" s="1923"/>
      <c r="CN152" s="1923"/>
      <c r="CO152" s="90"/>
      <c r="CP152" s="596"/>
      <c r="CQ152" s="596"/>
      <c r="CR152" s="301"/>
      <c r="CS152" s="109"/>
      <c r="CT152" s="109"/>
      <c r="CW152" s="154"/>
      <c r="CX152" s="1920"/>
      <c r="CY152" s="1920"/>
      <c r="CZ152" s="1920"/>
      <c r="DA152" s="1920"/>
      <c r="DB152" s="1920"/>
      <c r="DC152" s="1920"/>
      <c r="DD152" s="1920"/>
      <c r="DE152" s="1920"/>
      <c r="DF152" s="1920"/>
      <c r="DG152" s="1920"/>
      <c r="DH152" s="1920"/>
      <c r="DI152" s="1920"/>
      <c r="DJ152" s="1920"/>
      <c r="DK152" s="1920"/>
      <c r="DL152" s="1920"/>
      <c r="DM152" s="1920"/>
      <c r="DN152" s="1920"/>
      <c r="DO152" s="1920"/>
      <c r="DP152" s="1920"/>
      <c r="DQ152" s="1920"/>
      <c r="DR152" s="1920"/>
      <c r="DS152" s="1920"/>
      <c r="DT152" s="1920"/>
      <c r="DU152" s="1920"/>
      <c r="DV152" s="1920"/>
      <c r="DW152" s="1920"/>
      <c r="DX152" s="1920"/>
      <c r="DY152" s="1920"/>
      <c r="DZ152" s="1920"/>
      <c r="EA152" s="1920"/>
      <c r="EB152" s="1920"/>
      <c r="EC152" s="1920"/>
      <c r="ED152" s="1920"/>
      <c r="EE152" s="1920"/>
      <c r="EF152" s="1920"/>
      <c r="EG152" s="1920"/>
      <c r="EH152" s="1920"/>
      <c r="EI152" s="1920"/>
      <c r="EJ152" s="1920"/>
      <c r="EK152" s="1920"/>
      <c r="EL152" s="1920"/>
      <c r="EM152" s="1920"/>
      <c r="EN152" s="1920"/>
      <c r="EO152" s="1920"/>
      <c r="EP152" s="1920"/>
      <c r="EQ152" s="1920"/>
      <c r="ER152" s="1920"/>
      <c r="ES152" s="1920"/>
      <c r="ET152" s="1920"/>
      <c r="EU152" s="153"/>
      <c r="EW152" s="170"/>
      <c r="EX152" s="109"/>
      <c r="EY152" s="109"/>
      <c r="EZ152" s="109"/>
      <c r="FA152" s="170"/>
      <c r="FB152" s="87"/>
    </row>
    <row r="153" spans="1:158" ht="9" customHeight="1" thickTop="1">
      <c r="A153" s="87"/>
      <c r="B153" s="87"/>
      <c r="C153" s="87"/>
      <c r="D153" s="87"/>
      <c r="E153" s="87"/>
      <c r="F153" s="287"/>
      <c r="G153" s="287"/>
      <c r="H153" s="87"/>
      <c r="J153" s="109"/>
      <c r="K153" s="109"/>
      <c r="L153" s="87"/>
      <c r="M153" s="87"/>
      <c r="N153" s="87"/>
      <c r="O153" s="109"/>
      <c r="P153" s="118"/>
      <c r="Q153" s="118"/>
      <c r="R153" s="118"/>
      <c r="S153" s="118"/>
      <c r="T153" s="118"/>
      <c r="U153" s="118"/>
      <c r="V153" s="118"/>
      <c r="W153" s="118"/>
      <c r="X153" s="118"/>
      <c r="Y153" s="118"/>
      <c r="Z153" s="118"/>
      <c r="AA153" s="118"/>
      <c r="AB153" s="118"/>
      <c r="AC153" s="118"/>
      <c r="AD153" s="118"/>
      <c r="AE153" s="118"/>
      <c r="AF153" s="118"/>
      <c r="AG153" s="118"/>
      <c r="AH153" s="118"/>
      <c r="AI153" s="118"/>
      <c r="AJ153" s="118"/>
      <c r="AK153" s="118"/>
      <c r="AL153" s="118"/>
      <c r="AM153" s="118"/>
      <c r="AN153" s="118"/>
      <c r="AO153" s="118"/>
      <c r="AP153" s="118"/>
      <c r="AQ153" s="118"/>
      <c r="AR153" s="118"/>
      <c r="AS153" s="118"/>
      <c r="AT153" s="118"/>
      <c r="AU153" s="118"/>
      <c r="AV153" s="118"/>
      <c r="AW153" s="118"/>
      <c r="AX153" s="118"/>
      <c r="AY153" s="118"/>
      <c r="AZ153" s="118"/>
      <c r="BA153" s="118"/>
      <c r="BB153" s="118"/>
      <c r="BC153" s="118"/>
      <c r="BD153" s="118"/>
      <c r="BE153" s="118"/>
      <c r="BF153" s="118"/>
      <c r="BG153" s="118"/>
      <c r="BH153" s="118"/>
      <c r="BI153" s="118"/>
      <c r="BJ153" s="118"/>
      <c r="BK153" s="118"/>
      <c r="BL153" s="118"/>
      <c r="BM153" s="118"/>
      <c r="BN153" s="118"/>
      <c r="BO153" s="118"/>
      <c r="BP153" s="118"/>
      <c r="BQ153" s="118"/>
      <c r="BR153" s="118"/>
      <c r="BS153" s="118"/>
      <c r="BT153" s="118"/>
      <c r="BU153" s="118"/>
      <c r="BV153" s="118"/>
      <c r="BW153" s="118"/>
      <c r="BX153" s="118"/>
      <c r="BY153" s="118"/>
      <c r="BZ153" s="118"/>
      <c r="CA153" s="118"/>
      <c r="CB153" s="118"/>
      <c r="CC153" s="118"/>
      <c r="CD153" s="118"/>
      <c r="CE153" s="118"/>
      <c r="CF153" s="118"/>
      <c r="CG153" s="118"/>
      <c r="CH153" s="118"/>
      <c r="CI153" s="118"/>
      <c r="CJ153" s="118"/>
      <c r="CK153" s="118"/>
      <c r="CL153" s="118"/>
      <c r="CM153" s="118"/>
      <c r="CN153" s="118"/>
      <c r="CO153" s="118"/>
      <c r="CP153" s="118"/>
      <c r="CQ153" s="118"/>
      <c r="CR153" s="118"/>
      <c r="CS153" s="109"/>
      <c r="CT153" s="109"/>
      <c r="EW153" s="170"/>
      <c r="EX153" s="87"/>
      <c r="EY153" s="87"/>
      <c r="EZ153" s="87"/>
      <c r="FA153" s="170"/>
      <c r="FB153" s="87"/>
    </row>
    <row r="154" spans="1:158" ht="9" customHeight="1" thickBot="1">
      <c r="A154" s="87"/>
      <c r="B154" s="87"/>
      <c r="C154" s="87"/>
      <c r="D154" s="87"/>
      <c r="E154" s="87"/>
      <c r="F154" s="287"/>
      <c r="G154" s="287"/>
      <c r="H154" s="87"/>
      <c r="J154" s="109"/>
      <c r="K154" s="109"/>
      <c r="L154" s="87"/>
      <c r="M154" s="109"/>
      <c r="N154" s="109"/>
      <c r="O154" s="109"/>
      <c r="P154" s="109"/>
      <c r="Q154" s="109"/>
      <c r="R154" s="105"/>
      <c r="S154" s="641"/>
      <c r="T154" s="641"/>
      <c r="U154" s="641"/>
      <c r="V154" s="641"/>
      <c r="W154" s="641"/>
      <c r="X154" s="641"/>
      <c r="Y154" s="641"/>
      <c r="Z154" s="641"/>
      <c r="AA154" s="131"/>
      <c r="AB154" s="109"/>
      <c r="AC154" s="3"/>
      <c r="AD154" s="3"/>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5"/>
      <c r="AZ154" s="641"/>
      <c r="BA154" s="641"/>
      <c r="BB154" s="641"/>
      <c r="BC154" s="641"/>
      <c r="BD154" s="641"/>
      <c r="BE154" s="641"/>
      <c r="BF154" s="641"/>
      <c r="BG154" s="131"/>
      <c r="BH154" s="109"/>
      <c r="BI154" s="109"/>
      <c r="BJ154" s="109"/>
      <c r="BK154" s="109"/>
      <c r="BL154" s="105"/>
      <c r="BM154" s="641"/>
      <c r="BN154" s="597"/>
      <c r="BO154" s="597"/>
      <c r="BP154" s="597"/>
      <c r="BQ154" s="597"/>
      <c r="BR154" s="597"/>
      <c r="BS154" s="597"/>
      <c r="BT154" s="597"/>
      <c r="BU154" s="131"/>
      <c r="BV154" s="109"/>
      <c r="BW154" s="109"/>
      <c r="BX154" s="109"/>
      <c r="BY154" s="109"/>
      <c r="BZ154" s="109"/>
      <c r="CA154" s="109"/>
      <c r="CB154" s="109"/>
      <c r="CC154" s="109"/>
      <c r="CD154" s="109"/>
      <c r="CE154" s="109"/>
      <c r="CF154" s="109"/>
      <c r="CG154" s="109"/>
      <c r="CH154" s="109"/>
      <c r="CI154" s="109"/>
      <c r="CJ154" s="109"/>
      <c r="CK154" s="109"/>
      <c r="CL154" s="109"/>
      <c r="CM154" s="109"/>
      <c r="CN154" s="109"/>
      <c r="CO154" s="109"/>
      <c r="CP154" s="109"/>
      <c r="CQ154" s="109"/>
      <c r="CR154" s="109"/>
      <c r="CS154" s="109"/>
      <c r="CT154" s="109"/>
      <c r="CX154" s="1921" t="str">
        <f>IF(Race&lt;&gt;"",IF(OR(ClassSpecials&lt;&gt;"",SpecialQualitiesStatBlock&lt;&gt;""),IF(SpecialQualitiesStatBlock&lt;&gt;"",SpecialQualitiesStatBlock,"")&amp;IF(AND(SpecialQualitiesStatBlock&lt;&gt;"",ClassSpecials&lt;&gt;""),", ","")&amp;IF(ClassSpecials&lt;&gt;"",ClassSpecials,""),G16),"")</f>
        <v/>
      </c>
      <c r="CY154" s="1921"/>
      <c r="CZ154" s="1921"/>
      <c r="DA154" s="1921"/>
      <c r="DB154" s="1921"/>
      <c r="DC154" s="1921"/>
      <c r="DD154" s="1921"/>
      <c r="DE154" s="1921"/>
      <c r="DF154" s="1921"/>
      <c r="DG154" s="1921"/>
      <c r="DH154" s="1921"/>
      <c r="DI154" s="1921"/>
      <c r="DJ154" s="1921"/>
      <c r="DK154" s="1921"/>
      <c r="DL154" s="1921"/>
      <c r="DM154" s="1921"/>
      <c r="DN154" s="1921"/>
      <c r="DO154" s="1921"/>
      <c r="DP154" s="1921"/>
      <c r="DQ154" s="1921"/>
      <c r="DR154" s="1921"/>
      <c r="DS154" s="1921"/>
      <c r="DT154" s="1921"/>
      <c r="DU154" s="1921"/>
      <c r="DV154" s="1921"/>
      <c r="DW154" s="1921"/>
      <c r="DX154" s="1921"/>
      <c r="DY154" s="1921"/>
      <c r="DZ154" s="1921"/>
      <c r="EA154" s="1921"/>
      <c r="EB154" s="1921"/>
      <c r="EC154" s="1921"/>
      <c r="ED154" s="1921"/>
      <c r="EE154" s="1921"/>
      <c r="EF154" s="1921"/>
      <c r="EG154" s="1921"/>
      <c r="EH154" s="1921"/>
      <c r="EI154" s="1921"/>
      <c r="EJ154" s="1921"/>
      <c r="EK154" s="1921"/>
      <c r="EL154" s="1921"/>
      <c r="EM154" s="1921"/>
      <c r="EN154" s="1921"/>
      <c r="EO154" s="1921"/>
      <c r="EP154" s="1921"/>
      <c r="EQ154" s="1921"/>
      <c r="ER154" s="1921"/>
      <c r="ES154" s="1921"/>
      <c r="ET154" s="1921"/>
      <c r="EW154" s="170"/>
      <c r="EX154" s="109"/>
      <c r="EY154" s="109"/>
      <c r="EZ154" s="109"/>
      <c r="FA154" s="170"/>
      <c r="FB154" s="87"/>
    </row>
    <row r="155" spans="1:158" ht="9" customHeight="1" thickTop="1" thickBot="1">
      <c r="A155" s="87"/>
      <c r="B155" s="87"/>
      <c r="C155" s="87"/>
      <c r="D155" s="87"/>
      <c r="E155" s="87"/>
      <c r="F155" s="287"/>
      <c r="G155" s="287"/>
      <c r="H155" s="87"/>
      <c r="I155" s="87"/>
      <c r="J155" s="109"/>
      <c r="K155" s="641"/>
      <c r="L155" s="641"/>
      <c r="M155" s="641"/>
      <c r="N155" s="641"/>
      <c r="O155" s="93"/>
      <c r="P155" s="1865" t="s">
        <v>3611</v>
      </c>
      <c r="Q155" s="1865"/>
      <c r="R155" s="1865"/>
      <c r="S155" s="1865"/>
      <c r="T155" s="1865"/>
      <c r="U155" s="1865"/>
      <c r="V155" s="1865"/>
      <c r="W155" s="1865"/>
      <c r="X155" s="113"/>
      <c r="Y155" s="87"/>
      <c r="Z155" s="640"/>
      <c r="AA155" s="640"/>
      <c r="AB155" s="87"/>
      <c r="AC155" s="87"/>
      <c r="AD155" s="87"/>
      <c r="AE155" s="87"/>
      <c r="AF155" s="87"/>
      <c r="AG155" s="87"/>
      <c r="AH155" s="87"/>
      <c r="AI155" s="87"/>
      <c r="AJ155" s="87"/>
      <c r="AK155" s="87"/>
      <c r="AL155" s="87"/>
      <c r="AM155" s="87"/>
      <c r="AN155" s="87"/>
      <c r="AO155" s="87"/>
      <c r="AP155" s="87"/>
      <c r="AQ155" s="87"/>
      <c r="AR155" s="87"/>
      <c r="AS155" s="87"/>
      <c r="AT155" s="641"/>
      <c r="AU155" s="641"/>
      <c r="AV155" s="93"/>
      <c r="AW155" s="1942" t="s">
        <v>3783</v>
      </c>
      <c r="AX155" s="1942"/>
      <c r="AY155" s="1942"/>
      <c r="AZ155" s="1942"/>
      <c r="BA155" s="1942"/>
      <c r="BB155" s="1942"/>
      <c r="BC155" s="1942"/>
      <c r="BD155" s="113"/>
      <c r="BE155" s="145"/>
      <c r="BF155" s="87"/>
      <c r="BG155" s="641"/>
      <c r="BH155" s="641"/>
      <c r="BI155" s="641"/>
      <c r="BJ155" s="93"/>
      <c r="BK155" s="1865" t="s">
        <v>3612</v>
      </c>
      <c r="BL155" s="1877"/>
      <c r="BM155" s="1877"/>
      <c r="BN155" s="1877"/>
      <c r="BO155" s="1877"/>
      <c r="BP155" s="1877"/>
      <c r="BQ155" s="1877"/>
      <c r="BR155" s="1877"/>
      <c r="BS155" s="113"/>
      <c r="BT155" s="87"/>
      <c r="BU155" s="87"/>
      <c r="BV155" s="87"/>
      <c r="BW155" s="87"/>
      <c r="BX155" s="87"/>
      <c r="BY155" s="87"/>
      <c r="BZ155" s="87"/>
      <c r="CA155" s="87"/>
      <c r="CB155" s="87"/>
      <c r="CC155" s="87"/>
      <c r="CD155" s="87"/>
      <c r="CE155" s="87"/>
      <c r="CF155" s="87"/>
      <c r="CG155" s="87"/>
      <c r="CH155" s="87"/>
      <c r="CI155" s="87"/>
      <c r="CJ155" s="87"/>
      <c r="CK155" s="87"/>
      <c r="CL155" s="87"/>
      <c r="CM155" s="87"/>
      <c r="CN155" s="87"/>
      <c r="CO155" s="87"/>
      <c r="CP155" s="87"/>
      <c r="CQ155" s="87"/>
      <c r="CR155" s="118"/>
      <c r="CS155" s="109"/>
      <c r="CT155" s="109"/>
      <c r="CX155" s="1921"/>
      <c r="CY155" s="1921"/>
      <c r="CZ155" s="1921"/>
      <c r="DA155" s="1921"/>
      <c r="DB155" s="1921"/>
      <c r="DC155" s="1921"/>
      <c r="DD155" s="1921"/>
      <c r="DE155" s="1921"/>
      <c r="DF155" s="1921"/>
      <c r="DG155" s="1921"/>
      <c r="DH155" s="1921"/>
      <c r="DI155" s="1921"/>
      <c r="DJ155" s="1921"/>
      <c r="DK155" s="1921"/>
      <c r="DL155" s="1921"/>
      <c r="DM155" s="1921"/>
      <c r="DN155" s="1921"/>
      <c r="DO155" s="1921"/>
      <c r="DP155" s="1921"/>
      <c r="DQ155" s="1921"/>
      <c r="DR155" s="1921"/>
      <c r="DS155" s="1921"/>
      <c r="DT155" s="1921"/>
      <c r="DU155" s="1921"/>
      <c r="DV155" s="1921"/>
      <c r="DW155" s="1921"/>
      <c r="DX155" s="1921"/>
      <c r="DY155" s="1921"/>
      <c r="DZ155" s="1921"/>
      <c r="EA155" s="1921"/>
      <c r="EB155" s="1921"/>
      <c r="EC155" s="1921"/>
      <c r="ED155" s="1921"/>
      <c r="EE155" s="1921"/>
      <c r="EF155" s="1921"/>
      <c r="EG155" s="1921"/>
      <c r="EH155" s="1921"/>
      <c r="EI155" s="1921"/>
      <c r="EJ155" s="1921"/>
      <c r="EK155" s="1921"/>
      <c r="EL155" s="1921"/>
      <c r="EM155" s="1921"/>
      <c r="EN155" s="1921"/>
      <c r="EO155" s="1921"/>
      <c r="EP155" s="1921"/>
      <c r="EQ155" s="1921"/>
      <c r="ER155" s="1921"/>
      <c r="ES155" s="1921"/>
      <c r="ET155" s="1921"/>
      <c r="EW155" s="170"/>
      <c r="EX155" s="87"/>
      <c r="EY155" s="87"/>
      <c r="EZ155" s="87"/>
      <c r="FA155" s="170"/>
      <c r="FB155" s="87"/>
    </row>
    <row r="156" spans="1:158" ht="9" customHeight="1" thickTop="1">
      <c r="A156" s="87"/>
      <c r="B156" s="87"/>
      <c r="C156" s="87"/>
      <c r="D156" s="87"/>
      <c r="E156" s="87"/>
      <c r="F156" s="287"/>
      <c r="G156" s="287"/>
      <c r="H156" s="87"/>
      <c r="I156" s="87"/>
      <c r="J156" s="109"/>
      <c r="K156" s="641"/>
      <c r="L156" s="641"/>
      <c r="M156" s="641"/>
      <c r="N156" s="641"/>
      <c r="O156" s="102"/>
      <c r="P156" s="1866"/>
      <c r="Q156" s="1866"/>
      <c r="R156" s="1866"/>
      <c r="S156" s="1866"/>
      <c r="T156" s="1866"/>
      <c r="U156" s="1866"/>
      <c r="V156" s="1866"/>
      <c r="W156" s="1866"/>
      <c r="X156" s="589"/>
      <c r="Y156" s="588"/>
      <c r="Z156" s="592"/>
      <c r="AA156" s="592"/>
      <c r="AB156" s="593"/>
      <c r="AC156" s="593"/>
      <c r="AD156" s="593"/>
      <c r="AE156" s="588"/>
      <c r="AF156" s="588"/>
      <c r="AG156" s="588"/>
      <c r="AH156" s="588"/>
      <c r="AI156" s="588"/>
      <c r="AJ156" s="588"/>
      <c r="AK156" s="588"/>
      <c r="AL156" s="588"/>
      <c r="AM156" s="588"/>
      <c r="AN156" s="588"/>
      <c r="AO156" s="588"/>
      <c r="AP156" s="588"/>
      <c r="AQ156" s="588"/>
      <c r="AR156" s="588"/>
      <c r="AS156" s="113"/>
      <c r="AT156" s="641"/>
      <c r="AU156" s="641"/>
      <c r="AV156" s="102"/>
      <c r="AW156" s="1866"/>
      <c r="AX156" s="1866"/>
      <c r="AY156" s="1866"/>
      <c r="AZ156" s="1866"/>
      <c r="BA156" s="1866"/>
      <c r="BB156" s="1866"/>
      <c r="BC156" s="1866"/>
      <c r="BD156" s="589"/>
      <c r="BE156" s="598"/>
      <c r="BF156" s="598"/>
      <c r="BG156" s="113"/>
      <c r="BH156" s="641"/>
      <c r="BI156" s="641"/>
      <c r="BJ156" s="102"/>
      <c r="BK156" s="1878"/>
      <c r="BL156" s="1878"/>
      <c r="BM156" s="1878"/>
      <c r="BN156" s="1878"/>
      <c r="BO156" s="1878"/>
      <c r="BP156" s="1878"/>
      <c r="BQ156" s="1878"/>
      <c r="BR156" s="1878"/>
      <c r="BS156" s="589"/>
      <c r="BT156" s="599"/>
      <c r="BU156" s="599"/>
      <c r="BV156" s="599"/>
      <c r="BW156" s="599"/>
      <c r="BX156" s="599"/>
      <c r="BY156" s="599"/>
      <c r="BZ156" s="599"/>
      <c r="CA156" s="599"/>
      <c r="CB156" s="599"/>
      <c r="CC156" s="599"/>
      <c r="CD156" s="599"/>
      <c r="CE156" s="599"/>
      <c r="CF156" s="599"/>
      <c r="CG156" s="599"/>
      <c r="CH156" s="599"/>
      <c r="CI156" s="599"/>
      <c r="CJ156" s="599"/>
      <c r="CK156" s="599"/>
      <c r="CL156" s="113"/>
      <c r="CM156" s="111"/>
      <c r="CN156" s="111"/>
      <c r="CO156" s="111"/>
      <c r="CP156" s="87"/>
      <c r="CQ156" s="87"/>
      <c r="CR156" s="118"/>
      <c r="CS156" s="109"/>
      <c r="CT156" s="109"/>
      <c r="CX156" s="1921"/>
      <c r="CY156" s="1921"/>
      <c r="CZ156" s="1921"/>
      <c r="DA156" s="1921"/>
      <c r="DB156" s="1921"/>
      <c r="DC156" s="1921"/>
      <c r="DD156" s="1921"/>
      <c r="DE156" s="1921"/>
      <c r="DF156" s="1921"/>
      <c r="DG156" s="1921"/>
      <c r="DH156" s="1921"/>
      <c r="DI156" s="1921"/>
      <c r="DJ156" s="1921"/>
      <c r="DK156" s="1921"/>
      <c r="DL156" s="1921"/>
      <c r="DM156" s="1921"/>
      <c r="DN156" s="1921"/>
      <c r="DO156" s="1921"/>
      <c r="DP156" s="1921"/>
      <c r="DQ156" s="1921"/>
      <c r="DR156" s="1921"/>
      <c r="DS156" s="1921"/>
      <c r="DT156" s="1921"/>
      <c r="DU156" s="1921"/>
      <c r="DV156" s="1921"/>
      <c r="DW156" s="1921"/>
      <c r="DX156" s="1921"/>
      <c r="DY156" s="1921"/>
      <c r="DZ156" s="1921"/>
      <c r="EA156" s="1921"/>
      <c r="EB156" s="1921"/>
      <c r="EC156" s="1921"/>
      <c r="ED156" s="1921"/>
      <c r="EE156" s="1921"/>
      <c r="EF156" s="1921"/>
      <c r="EG156" s="1921"/>
      <c r="EH156" s="1921"/>
      <c r="EI156" s="1921"/>
      <c r="EJ156" s="1921"/>
      <c r="EK156" s="1921"/>
      <c r="EL156" s="1921"/>
      <c r="EM156" s="1921"/>
      <c r="EN156" s="1921"/>
      <c r="EO156" s="1921"/>
      <c r="EP156" s="1921"/>
      <c r="EQ156" s="1921"/>
      <c r="ER156" s="1921"/>
      <c r="ES156" s="1921"/>
      <c r="ET156" s="1921"/>
      <c r="EW156" s="170"/>
      <c r="EX156" s="109"/>
      <c r="EY156" s="109"/>
      <c r="EZ156" s="109"/>
      <c r="FA156" s="170"/>
      <c r="FB156" s="87"/>
    </row>
    <row r="157" spans="1:158" ht="9" customHeight="1" thickBot="1">
      <c r="A157" s="87"/>
      <c r="B157" s="87"/>
      <c r="C157" s="87"/>
      <c r="D157" s="87"/>
      <c r="E157" s="87"/>
      <c r="F157" s="287"/>
      <c r="G157" s="287"/>
      <c r="H157" s="87"/>
      <c r="I157" s="87"/>
      <c r="J157" s="87"/>
      <c r="K157" s="111"/>
      <c r="L157" s="111"/>
      <c r="M157" s="122"/>
      <c r="N157" s="290"/>
      <c r="O157" s="102"/>
      <c r="P157" s="1879" t="str">
        <f>IF(Weapon3&lt;&gt;"",Weapon3,"")</f>
        <v/>
      </c>
      <c r="Q157" s="1879"/>
      <c r="R157" s="1879"/>
      <c r="S157" s="1879"/>
      <c r="T157" s="1879"/>
      <c r="U157" s="1879"/>
      <c r="V157" s="1879"/>
      <c r="W157" s="1879"/>
      <c r="X157" s="1879"/>
      <c r="Y157" s="1879"/>
      <c r="Z157" s="1879"/>
      <c r="AA157" s="1879"/>
      <c r="AB157" s="1879"/>
      <c r="AC157" s="1879"/>
      <c r="AD157" s="1879"/>
      <c r="AE157" s="1879"/>
      <c r="AF157" s="1879"/>
      <c r="AG157" s="1879"/>
      <c r="AH157" s="1879"/>
      <c r="AI157" s="1879"/>
      <c r="AJ157" s="1879"/>
      <c r="AK157" s="1879"/>
      <c r="AL157" s="1879"/>
      <c r="AM157" s="1879"/>
      <c r="AN157" s="1879"/>
      <c r="AO157" s="1879"/>
      <c r="AP157" s="1879"/>
      <c r="AQ157" s="1879"/>
      <c r="AR157" s="1879"/>
      <c r="AS157" s="646"/>
      <c r="AT157" s="122"/>
      <c r="AU157" s="290"/>
      <c r="AV157" s="102"/>
      <c r="AW157" s="1881" t="str">
        <f>Weapons!Y8</f>
        <v/>
      </c>
      <c r="AX157" s="1881"/>
      <c r="AY157" s="1881"/>
      <c r="AZ157" s="1881"/>
      <c r="BA157" s="1881"/>
      <c r="BB157" s="1881"/>
      <c r="BC157" s="1881"/>
      <c r="BD157" s="1881"/>
      <c r="BE157" s="1881"/>
      <c r="BF157" s="1881"/>
      <c r="BG157" s="100"/>
      <c r="BH157" s="122"/>
      <c r="BI157" s="290"/>
      <c r="BJ157" s="102"/>
      <c r="BK157" s="1883" t="str">
        <f>IF('old Weapons'!E47&lt;&gt;"",'old Weapons'!E47,"")</f>
        <v/>
      </c>
      <c r="BL157" s="1883"/>
      <c r="BM157" s="1883"/>
      <c r="BN157" s="1883"/>
      <c r="BO157" s="1883"/>
      <c r="BP157" s="1883"/>
      <c r="BQ157" s="1883"/>
      <c r="BR157" s="1883"/>
      <c r="BS157" s="1883"/>
      <c r="BT157" s="1924" t="str">
        <f>Weapons!Y9</f>
        <v/>
      </c>
      <c r="BU157" s="1924"/>
      <c r="BV157" s="1924"/>
      <c r="BW157" s="1924"/>
      <c r="BX157" s="1924"/>
      <c r="BY157" s="1924"/>
      <c r="BZ157" s="1924"/>
      <c r="CA157" s="1924"/>
      <c r="CB157" s="1924"/>
      <c r="CC157" s="1924"/>
      <c r="CD157" s="1924"/>
      <c r="CE157" s="1924"/>
      <c r="CF157" s="1924"/>
      <c r="CG157" s="1924"/>
      <c r="CH157" s="1924"/>
      <c r="CI157" s="1924"/>
      <c r="CJ157" s="1924"/>
      <c r="CK157" s="1924"/>
      <c r="CL157" s="656"/>
      <c r="CM157" s="122"/>
      <c r="CN157" s="122"/>
      <c r="CO157" s="118"/>
      <c r="CP157" s="109"/>
      <c r="CQ157" s="109"/>
      <c r="CR157" s="596"/>
      <c r="CS157" s="298"/>
      <c r="CT157" s="109"/>
      <c r="CX157" s="1921"/>
      <c r="CY157" s="1921"/>
      <c r="CZ157" s="1921"/>
      <c r="DA157" s="1921"/>
      <c r="DB157" s="1921"/>
      <c r="DC157" s="1921"/>
      <c r="DD157" s="1921"/>
      <c r="DE157" s="1921"/>
      <c r="DF157" s="1921"/>
      <c r="DG157" s="1921"/>
      <c r="DH157" s="1921"/>
      <c r="DI157" s="1921"/>
      <c r="DJ157" s="1921"/>
      <c r="DK157" s="1921"/>
      <c r="DL157" s="1921"/>
      <c r="DM157" s="1921"/>
      <c r="DN157" s="1921"/>
      <c r="DO157" s="1921"/>
      <c r="DP157" s="1921"/>
      <c r="DQ157" s="1921"/>
      <c r="DR157" s="1921"/>
      <c r="DS157" s="1921"/>
      <c r="DT157" s="1921"/>
      <c r="DU157" s="1921"/>
      <c r="DV157" s="1921"/>
      <c r="DW157" s="1921"/>
      <c r="DX157" s="1921"/>
      <c r="DY157" s="1921"/>
      <c r="DZ157" s="1921"/>
      <c r="EA157" s="1921"/>
      <c r="EB157" s="1921"/>
      <c r="EC157" s="1921"/>
      <c r="ED157" s="1921"/>
      <c r="EE157" s="1921"/>
      <c r="EF157" s="1921"/>
      <c r="EG157" s="1921"/>
      <c r="EH157" s="1921"/>
      <c r="EI157" s="1921"/>
      <c r="EJ157" s="1921"/>
      <c r="EK157" s="1921"/>
      <c r="EL157" s="1921"/>
      <c r="EM157" s="1921"/>
      <c r="EN157" s="1921"/>
      <c r="EO157" s="1921"/>
      <c r="EP157" s="1921"/>
      <c r="EQ157" s="1921"/>
      <c r="ER157" s="1921"/>
      <c r="ES157" s="1921"/>
      <c r="ET157" s="1921"/>
      <c r="EW157" s="170"/>
      <c r="EX157" s="87"/>
      <c r="EY157" s="87"/>
      <c r="EZ157" s="87"/>
      <c r="FA157" s="170"/>
      <c r="FB157" s="87"/>
    </row>
    <row r="158" spans="1:158" ht="9" customHeight="1" thickTop="1" thickBot="1">
      <c r="A158" s="87"/>
      <c r="B158" s="87"/>
      <c r="C158" s="87"/>
      <c r="D158" s="87"/>
      <c r="E158" s="87"/>
      <c r="F158" s="287"/>
      <c r="G158" s="316"/>
      <c r="H158" s="87"/>
      <c r="I158" s="87"/>
      <c r="J158" s="87"/>
      <c r="K158" s="292"/>
      <c r="L158" s="293"/>
      <c r="M158" s="111"/>
      <c r="N158" s="111"/>
      <c r="O158" s="102"/>
      <c r="P158" s="1879"/>
      <c r="Q158" s="1879"/>
      <c r="R158" s="1879"/>
      <c r="S158" s="1879"/>
      <c r="T158" s="1879"/>
      <c r="U158" s="1879"/>
      <c r="V158" s="1879"/>
      <c r="W158" s="1879"/>
      <c r="X158" s="1879"/>
      <c r="Y158" s="1879"/>
      <c r="Z158" s="1879"/>
      <c r="AA158" s="1879"/>
      <c r="AB158" s="1879"/>
      <c r="AC158" s="1879"/>
      <c r="AD158" s="1879"/>
      <c r="AE158" s="1879"/>
      <c r="AF158" s="1879"/>
      <c r="AG158" s="1879"/>
      <c r="AH158" s="1879"/>
      <c r="AI158" s="1879"/>
      <c r="AJ158" s="1879"/>
      <c r="AK158" s="1879"/>
      <c r="AL158" s="1879"/>
      <c r="AM158" s="1879"/>
      <c r="AN158" s="1879"/>
      <c r="AO158" s="1879"/>
      <c r="AP158" s="1879"/>
      <c r="AQ158" s="1879"/>
      <c r="AR158" s="1879"/>
      <c r="AS158" s="646"/>
      <c r="AT158" s="111"/>
      <c r="AU158" s="111"/>
      <c r="AV158" s="647"/>
      <c r="AW158" s="1881"/>
      <c r="AX158" s="1881"/>
      <c r="AY158" s="1881"/>
      <c r="AZ158" s="1881"/>
      <c r="BA158" s="1881"/>
      <c r="BB158" s="1881"/>
      <c r="BC158" s="1881"/>
      <c r="BD158" s="1881"/>
      <c r="BE158" s="1881"/>
      <c r="BF158" s="1881"/>
      <c r="BG158" s="100"/>
      <c r="BH158" s="111"/>
      <c r="BI158" s="111"/>
      <c r="BJ158" s="102"/>
      <c r="BK158" s="1883"/>
      <c r="BL158" s="1883"/>
      <c r="BM158" s="1883"/>
      <c r="BN158" s="1883"/>
      <c r="BO158" s="1883"/>
      <c r="BP158" s="1883"/>
      <c r="BQ158" s="1883"/>
      <c r="BR158" s="1883"/>
      <c r="BS158" s="1883"/>
      <c r="BT158" s="1924"/>
      <c r="BU158" s="1924"/>
      <c r="BV158" s="1924"/>
      <c r="BW158" s="1924"/>
      <c r="BX158" s="1924"/>
      <c r="BY158" s="1924"/>
      <c r="BZ158" s="1924"/>
      <c r="CA158" s="1924"/>
      <c r="CB158" s="1924"/>
      <c r="CC158" s="1924"/>
      <c r="CD158" s="1924"/>
      <c r="CE158" s="1924"/>
      <c r="CF158" s="1924"/>
      <c r="CG158" s="1924"/>
      <c r="CH158" s="1924"/>
      <c r="CI158" s="1924"/>
      <c r="CJ158" s="1924"/>
      <c r="CK158" s="1924"/>
      <c r="CL158" s="656"/>
      <c r="CM158" s="111"/>
      <c r="CN158" s="111"/>
      <c r="CO158" s="256"/>
      <c r="CP158" s="109"/>
      <c r="CQ158" s="109"/>
      <c r="CR158" s="596"/>
      <c r="CS158" s="301"/>
      <c r="CT158" s="109"/>
      <c r="CX158" s="1921"/>
      <c r="CY158" s="1921"/>
      <c r="CZ158" s="1921"/>
      <c r="DA158" s="1921"/>
      <c r="DB158" s="1921"/>
      <c r="DC158" s="1921"/>
      <c r="DD158" s="1921"/>
      <c r="DE158" s="1921"/>
      <c r="DF158" s="1921"/>
      <c r="DG158" s="1921"/>
      <c r="DH158" s="1921"/>
      <c r="DI158" s="1921"/>
      <c r="DJ158" s="1921"/>
      <c r="DK158" s="1921"/>
      <c r="DL158" s="1921"/>
      <c r="DM158" s="1921"/>
      <c r="DN158" s="1921"/>
      <c r="DO158" s="1921"/>
      <c r="DP158" s="1921"/>
      <c r="DQ158" s="1921"/>
      <c r="DR158" s="1921"/>
      <c r="DS158" s="1921"/>
      <c r="DT158" s="1921"/>
      <c r="DU158" s="1921"/>
      <c r="DV158" s="1921"/>
      <c r="DW158" s="1921"/>
      <c r="DX158" s="1921"/>
      <c r="DY158" s="1921"/>
      <c r="DZ158" s="1921"/>
      <c r="EA158" s="1921"/>
      <c r="EB158" s="1921"/>
      <c r="EC158" s="1921"/>
      <c r="ED158" s="1921"/>
      <c r="EE158" s="1921"/>
      <c r="EF158" s="1921"/>
      <c r="EG158" s="1921"/>
      <c r="EH158" s="1921"/>
      <c r="EI158" s="1921"/>
      <c r="EJ158" s="1921"/>
      <c r="EK158" s="1921"/>
      <c r="EL158" s="1921"/>
      <c r="EM158" s="1921"/>
      <c r="EN158" s="1921"/>
      <c r="EO158" s="1921"/>
      <c r="EP158" s="1921"/>
      <c r="EQ158" s="1921"/>
      <c r="ER158" s="1921"/>
      <c r="ES158" s="1921"/>
      <c r="ET158" s="1921"/>
      <c r="EW158" s="170"/>
      <c r="EX158" s="109"/>
      <c r="EY158" s="109"/>
      <c r="EZ158" s="109"/>
      <c r="FA158" s="170"/>
      <c r="FB158" s="87"/>
    </row>
    <row r="159" spans="1:158" ht="9" customHeight="1" thickTop="1" thickBot="1">
      <c r="A159" s="87"/>
      <c r="B159" s="87"/>
      <c r="C159" s="87"/>
      <c r="D159" s="87"/>
      <c r="E159" s="87"/>
      <c r="F159" s="87"/>
      <c r="G159" s="317"/>
      <c r="H159" s="87"/>
      <c r="I159" s="87"/>
      <c r="J159" s="144"/>
      <c r="K159" s="111"/>
      <c r="L159" s="111"/>
      <c r="M159" s="111"/>
      <c r="N159" s="111"/>
      <c r="O159" s="91"/>
      <c r="P159" s="1880"/>
      <c r="Q159" s="1880"/>
      <c r="R159" s="1880"/>
      <c r="S159" s="1880"/>
      <c r="T159" s="1880"/>
      <c r="U159" s="1880"/>
      <c r="V159" s="1880"/>
      <c r="W159" s="1880"/>
      <c r="X159" s="1880"/>
      <c r="Y159" s="1880"/>
      <c r="Z159" s="1880"/>
      <c r="AA159" s="1880"/>
      <c r="AB159" s="1880"/>
      <c r="AC159" s="1880"/>
      <c r="AD159" s="1880"/>
      <c r="AE159" s="1880"/>
      <c r="AF159" s="1880"/>
      <c r="AG159" s="1880"/>
      <c r="AH159" s="1880"/>
      <c r="AI159" s="1880"/>
      <c r="AJ159" s="1880"/>
      <c r="AK159" s="1880"/>
      <c r="AL159" s="1880"/>
      <c r="AM159" s="1880"/>
      <c r="AN159" s="1880"/>
      <c r="AO159" s="1880"/>
      <c r="AP159" s="1880"/>
      <c r="AQ159" s="1880"/>
      <c r="AR159" s="1880"/>
      <c r="AS159" s="648"/>
      <c r="AT159" s="641"/>
      <c r="AU159" s="641"/>
      <c r="AV159" s="649"/>
      <c r="AW159" s="1882"/>
      <c r="AX159" s="1882"/>
      <c r="AY159" s="1882"/>
      <c r="AZ159" s="1882"/>
      <c r="BA159" s="1882"/>
      <c r="BB159" s="1882"/>
      <c r="BC159" s="1882"/>
      <c r="BD159" s="1882"/>
      <c r="BE159" s="1882"/>
      <c r="BF159" s="1882"/>
      <c r="BG159" s="93"/>
      <c r="BH159" s="641"/>
      <c r="BI159" s="641"/>
      <c r="BJ159" s="91"/>
      <c r="BK159" s="655"/>
      <c r="BL159" s="655"/>
      <c r="BM159" s="655"/>
      <c r="BN159" s="655"/>
      <c r="BO159" s="655"/>
      <c r="BP159" s="655"/>
      <c r="BQ159" s="655"/>
      <c r="BR159" s="655"/>
      <c r="BS159" s="655"/>
      <c r="BT159" s="1925"/>
      <c r="BU159" s="1925"/>
      <c r="BV159" s="1925"/>
      <c r="BW159" s="1925"/>
      <c r="BX159" s="1925"/>
      <c r="BY159" s="1925"/>
      <c r="BZ159" s="1925"/>
      <c r="CA159" s="1925"/>
      <c r="CB159" s="1925"/>
      <c r="CC159" s="1925"/>
      <c r="CD159" s="1925"/>
      <c r="CE159" s="1925"/>
      <c r="CF159" s="1925"/>
      <c r="CG159" s="1925"/>
      <c r="CH159" s="1925"/>
      <c r="CI159" s="1925"/>
      <c r="CJ159" s="1925"/>
      <c r="CK159" s="1925"/>
      <c r="CL159" s="93"/>
      <c r="CM159" s="118"/>
      <c r="CN159" s="118"/>
      <c r="CO159" s="118"/>
      <c r="CP159" s="256"/>
      <c r="CQ159" s="109"/>
      <c r="CR159" s="596"/>
      <c r="CS159" s="301"/>
      <c r="CT159" s="109"/>
      <c r="CX159" s="1921"/>
      <c r="CY159" s="1921"/>
      <c r="CZ159" s="1921"/>
      <c r="DA159" s="1921"/>
      <c r="DB159" s="1921"/>
      <c r="DC159" s="1921"/>
      <c r="DD159" s="1921"/>
      <c r="DE159" s="1921"/>
      <c r="DF159" s="1921"/>
      <c r="DG159" s="1921"/>
      <c r="DH159" s="1921"/>
      <c r="DI159" s="1921"/>
      <c r="DJ159" s="1921"/>
      <c r="DK159" s="1921"/>
      <c r="DL159" s="1921"/>
      <c r="DM159" s="1921"/>
      <c r="DN159" s="1921"/>
      <c r="DO159" s="1921"/>
      <c r="DP159" s="1921"/>
      <c r="DQ159" s="1921"/>
      <c r="DR159" s="1921"/>
      <c r="DS159" s="1921"/>
      <c r="DT159" s="1921"/>
      <c r="DU159" s="1921"/>
      <c r="DV159" s="1921"/>
      <c r="DW159" s="1921"/>
      <c r="DX159" s="1921"/>
      <c r="DY159" s="1921"/>
      <c r="DZ159" s="1921"/>
      <c r="EA159" s="1921"/>
      <c r="EB159" s="1921"/>
      <c r="EC159" s="1921"/>
      <c r="ED159" s="1921"/>
      <c r="EE159" s="1921"/>
      <c r="EF159" s="1921"/>
      <c r="EG159" s="1921"/>
      <c r="EH159" s="1921"/>
      <c r="EI159" s="1921"/>
      <c r="EJ159" s="1921"/>
      <c r="EK159" s="1921"/>
      <c r="EL159" s="1921"/>
      <c r="EM159" s="1921"/>
      <c r="EN159" s="1921"/>
      <c r="EO159" s="1921"/>
      <c r="EP159" s="1921"/>
      <c r="EQ159" s="1921"/>
      <c r="ER159" s="1921"/>
      <c r="ES159" s="1921"/>
      <c r="ET159" s="1921"/>
      <c r="EW159" s="170"/>
      <c r="EX159" s="87"/>
      <c r="EY159" s="87"/>
      <c r="EZ159" s="87"/>
      <c r="FA159" s="170"/>
      <c r="FB159" s="87"/>
    </row>
    <row r="160" spans="1:158" ht="9" customHeight="1" thickTop="1" thickBot="1">
      <c r="A160" s="87"/>
      <c r="B160" s="87"/>
      <c r="C160" s="87"/>
      <c r="D160" s="87"/>
      <c r="E160" s="87"/>
      <c r="F160" s="88"/>
      <c r="G160" s="88"/>
      <c r="H160" s="88"/>
      <c r="I160" s="112"/>
      <c r="J160" s="1861" t="str">
        <f>IF(Weapons!Y$61&lt;&gt;"","MOUNTED","")</f>
        <v/>
      </c>
      <c r="K160" s="1862"/>
      <c r="L160" s="1862"/>
      <c r="M160" s="641"/>
      <c r="N160" s="641"/>
      <c r="O160" s="641"/>
      <c r="P160" s="641"/>
      <c r="Q160" s="641"/>
      <c r="R160" s="641"/>
      <c r="S160" s="641"/>
      <c r="T160" s="641"/>
      <c r="U160" s="641"/>
      <c r="V160" s="641"/>
      <c r="W160" s="641"/>
      <c r="X160" s="641"/>
      <c r="Y160" s="641"/>
      <c r="Z160" s="641"/>
      <c r="AA160" s="641"/>
      <c r="AB160" s="641"/>
      <c r="AC160" s="641"/>
      <c r="AD160" s="641"/>
      <c r="AE160" s="641"/>
      <c r="AF160" s="641"/>
      <c r="AG160" s="641"/>
      <c r="AH160" s="641"/>
      <c r="AI160" s="641"/>
      <c r="AJ160" s="641"/>
      <c r="AK160" s="641"/>
      <c r="AL160" s="641"/>
      <c r="AM160" s="641"/>
      <c r="AN160" s="641"/>
      <c r="AO160" s="641"/>
      <c r="AP160" s="641"/>
      <c r="AQ160" s="641"/>
      <c r="AR160" s="641"/>
      <c r="AS160" s="641"/>
      <c r="AT160" s="641"/>
      <c r="AU160" s="641"/>
      <c r="AV160" s="641"/>
      <c r="AW160" s="641"/>
      <c r="AX160" s="641"/>
      <c r="AY160" s="641"/>
      <c r="AZ160" s="641"/>
      <c r="BA160" s="641"/>
      <c r="BB160" s="641"/>
      <c r="BC160" s="641"/>
      <c r="BD160" s="641"/>
      <c r="BE160" s="641"/>
      <c r="BF160" s="641"/>
      <c r="BG160" s="641"/>
      <c r="BH160" s="641"/>
      <c r="BI160" s="641"/>
      <c r="BJ160" s="641"/>
      <c r="BK160" s="641"/>
      <c r="BL160" s="641"/>
      <c r="BM160" s="641"/>
      <c r="BN160" s="641"/>
      <c r="BO160" s="641"/>
      <c r="BP160" s="641"/>
      <c r="BQ160" s="641"/>
      <c r="BR160" s="641"/>
      <c r="BS160" s="641"/>
      <c r="BT160" s="641"/>
      <c r="BU160" s="641"/>
      <c r="BV160" s="641"/>
      <c r="BW160" s="641"/>
      <c r="BX160" s="641"/>
      <c r="BY160" s="641"/>
      <c r="BZ160" s="641"/>
      <c r="CA160" s="641"/>
      <c r="CB160" s="641"/>
      <c r="CC160" s="641"/>
      <c r="CD160" s="641"/>
      <c r="CE160" s="641"/>
      <c r="CF160" s="641"/>
      <c r="CG160" s="641"/>
      <c r="CH160" s="641"/>
      <c r="CI160" s="641"/>
      <c r="CJ160" s="641"/>
      <c r="CK160" s="641"/>
      <c r="CL160" s="641"/>
      <c r="CM160" s="596"/>
      <c r="CN160" s="596"/>
      <c r="CO160" s="596"/>
      <c r="CP160" s="112"/>
      <c r="CQ160" s="87"/>
      <c r="CR160" s="596"/>
      <c r="CS160" s="301"/>
      <c r="CT160" s="109"/>
      <c r="CX160" s="1921"/>
      <c r="CY160" s="1921"/>
      <c r="CZ160" s="1921"/>
      <c r="DA160" s="1921"/>
      <c r="DB160" s="1921"/>
      <c r="DC160" s="1921"/>
      <c r="DD160" s="1921"/>
      <c r="DE160" s="1921"/>
      <c r="DF160" s="1921"/>
      <c r="DG160" s="1921"/>
      <c r="DH160" s="1921"/>
      <c r="DI160" s="1921"/>
      <c r="DJ160" s="1921"/>
      <c r="DK160" s="1921"/>
      <c r="DL160" s="1921"/>
      <c r="DM160" s="1921"/>
      <c r="DN160" s="1921"/>
      <c r="DO160" s="1921"/>
      <c r="DP160" s="1921"/>
      <c r="DQ160" s="1921"/>
      <c r="DR160" s="1921"/>
      <c r="DS160" s="1921"/>
      <c r="DT160" s="1921"/>
      <c r="DU160" s="1921"/>
      <c r="DV160" s="1921"/>
      <c r="DW160" s="1921"/>
      <c r="DX160" s="1921"/>
      <c r="DY160" s="1921"/>
      <c r="DZ160" s="1921"/>
      <c r="EA160" s="1921"/>
      <c r="EB160" s="1921"/>
      <c r="EC160" s="1921"/>
      <c r="ED160" s="1921"/>
      <c r="EE160" s="1921"/>
      <c r="EF160" s="1921"/>
      <c r="EG160" s="1921"/>
      <c r="EH160" s="1921"/>
      <c r="EI160" s="1921"/>
      <c r="EJ160" s="1921"/>
      <c r="EK160" s="1921"/>
      <c r="EL160" s="1921"/>
      <c r="EM160" s="1921"/>
      <c r="EN160" s="1921"/>
      <c r="EO160" s="1921"/>
      <c r="EP160" s="1921"/>
      <c r="EQ160" s="1921"/>
      <c r="ER160" s="1921"/>
      <c r="ES160" s="1921"/>
      <c r="ET160" s="1921"/>
      <c r="EW160" s="170"/>
      <c r="EX160" s="109"/>
      <c r="EY160" s="109"/>
      <c r="EZ160" s="109"/>
      <c r="FA160" s="170"/>
      <c r="FB160" s="87"/>
    </row>
    <row r="161" spans="1:158" ht="9" customHeight="1" thickTop="1">
      <c r="A161" s="87"/>
      <c r="B161" s="87"/>
      <c r="C161" s="87"/>
      <c r="D161" s="87"/>
      <c r="E161" s="87"/>
      <c r="F161" s="88"/>
      <c r="G161" s="88"/>
      <c r="H161" s="88"/>
      <c r="I161" s="112"/>
      <c r="J161" s="1861"/>
      <c r="K161" s="1862"/>
      <c r="L161" s="1862"/>
      <c r="M161" s="93"/>
      <c r="N161" s="1865" t="s">
        <v>3613</v>
      </c>
      <c r="O161" s="1865"/>
      <c r="P161" s="1865"/>
      <c r="Q161" s="1865"/>
      <c r="R161" s="295"/>
      <c r="S161" s="295"/>
      <c r="T161" s="600"/>
      <c r="U161" s="600"/>
      <c r="V161" s="594"/>
      <c r="W161" s="594"/>
      <c r="X161" s="594"/>
      <c r="Y161" s="594"/>
      <c r="Z161" s="594"/>
      <c r="AA161" s="594"/>
      <c r="AB161" s="594"/>
      <c r="AC161" s="594"/>
      <c r="AD161" s="594"/>
      <c r="AE161" s="594"/>
      <c r="AF161" s="594"/>
      <c r="AG161" s="594"/>
      <c r="AH161" s="594"/>
      <c r="AI161" s="594"/>
      <c r="AJ161" s="594"/>
      <c r="AK161" s="594"/>
      <c r="AL161" s="297"/>
      <c r="AM161" s="818"/>
      <c r="AN161" s="818"/>
      <c r="AO161" s="93"/>
      <c r="AP161" s="1865" t="s">
        <v>4051</v>
      </c>
      <c r="AQ161" s="1865"/>
      <c r="AR161" s="1865"/>
      <c r="AS161" s="1865"/>
      <c r="AT161" s="295"/>
      <c r="AU161" s="295"/>
      <c r="AV161" s="295"/>
      <c r="AW161" s="295"/>
      <c r="AX161" s="295"/>
      <c r="AY161" s="295"/>
      <c r="AZ161" s="295"/>
      <c r="BA161" s="295"/>
      <c r="BB161" s="295"/>
      <c r="BC161" s="295"/>
      <c r="BD161" s="295"/>
      <c r="BE161" s="113"/>
      <c r="BF161" s="818"/>
      <c r="BG161" s="818"/>
      <c r="BH161" s="93"/>
      <c r="BI161" s="1865" t="str">
        <f>IF(CC162&lt;&gt;"","AMMO","POWER")</f>
        <v>POWER</v>
      </c>
      <c r="BJ161" s="1865"/>
      <c r="BK161" s="1865"/>
      <c r="BL161" s="1865"/>
      <c r="BM161" s="1865"/>
      <c r="BN161" s="1865"/>
      <c r="BO161" s="295"/>
      <c r="BP161" s="295"/>
      <c r="BQ161" s="295"/>
      <c r="BR161" s="295"/>
      <c r="BS161" s="295"/>
      <c r="BT161" s="295"/>
      <c r="BU161" s="295"/>
      <c r="BV161" s="295"/>
      <c r="BW161" s="295"/>
      <c r="BX161" s="295"/>
      <c r="BY161" s="295"/>
      <c r="BZ161" s="295"/>
      <c r="CA161" s="295"/>
      <c r="CB161" s="295"/>
      <c r="CC161" s="295"/>
      <c r="CD161" s="295"/>
      <c r="CE161" s="295"/>
      <c r="CF161" s="295"/>
      <c r="CG161" s="295"/>
      <c r="CH161" s="295"/>
      <c r="CI161" s="295"/>
      <c r="CJ161" s="295"/>
      <c r="CK161" s="295"/>
      <c r="CL161" s="113"/>
      <c r="CM161" s="595"/>
      <c r="CN161" s="595"/>
      <c r="CO161" s="595"/>
      <c r="CP161" s="112"/>
      <c r="CQ161" s="87"/>
      <c r="CR161" s="118"/>
      <c r="CS161" s="109"/>
      <c r="CT161" s="109"/>
      <c r="CX161" s="1921"/>
      <c r="CY161" s="1921"/>
      <c r="CZ161" s="1921"/>
      <c r="DA161" s="1921"/>
      <c r="DB161" s="1921"/>
      <c r="DC161" s="1921"/>
      <c r="DD161" s="1921"/>
      <c r="DE161" s="1921"/>
      <c r="DF161" s="1921"/>
      <c r="DG161" s="1921"/>
      <c r="DH161" s="1921"/>
      <c r="DI161" s="1921"/>
      <c r="DJ161" s="1921"/>
      <c r="DK161" s="1921"/>
      <c r="DL161" s="1921"/>
      <c r="DM161" s="1921"/>
      <c r="DN161" s="1921"/>
      <c r="DO161" s="1921"/>
      <c r="DP161" s="1921"/>
      <c r="DQ161" s="1921"/>
      <c r="DR161" s="1921"/>
      <c r="DS161" s="1921"/>
      <c r="DT161" s="1921"/>
      <c r="DU161" s="1921"/>
      <c r="DV161" s="1921"/>
      <c r="DW161" s="1921"/>
      <c r="DX161" s="1921"/>
      <c r="DY161" s="1921"/>
      <c r="DZ161" s="1921"/>
      <c r="EA161" s="1921"/>
      <c r="EB161" s="1921"/>
      <c r="EC161" s="1921"/>
      <c r="ED161" s="1921"/>
      <c r="EE161" s="1921"/>
      <c r="EF161" s="1921"/>
      <c r="EG161" s="1921"/>
      <c r="EH161" s="1921"/>
      <c r="EI161" s="1921"/>
      <c r="EJ161" s="1921"/>
      <c r="EK161" s="1921"/>
      <c r="EL161" s="1921"/>
      <c r="EM161" s="1921"/>
      <c r="EN161" s="1921"/>
      <c r="EO161" s="1921"/>
      <c r="EP161" s="1921"/>
      <c r="EQ161" s="1921"/>
      <c r="ER161" s="1921"/>
      <c r="ES161" s="1921"/>
      <c r="ET161" s="1921"/>
      <c r="EW161" s="170"/>
      <c r="EX161" s="87"/>
      <c r="EY161" s="87"/>
      <c r="EZ161" s="87"/>
      <c r="FA161" s="170"/>
      <c r="FB161" s="87"/>
    </row>
    <row r="162" spans="1:158" ht="9" customHeight="1">
      <c r="A162" s="87"/>
      <c r="B162" s="87"/>
      <c r="C162" s="87"/>
      <c r="D162" s="87"/>
      <c r="E162" s="87"/>
      <c r="F162" s="88"/>
      <c r="G162" s="88"/>
      <c r="H162" s="88"/>
      <c r="I162" s="112"/>
      <c r="J162" s="1861"/>
      <c r="K162" s="1862"/>
      <c r="L162" s="1862"/>
      <c r="M162" s="102"/>
      <c r="N162" s="1866"/>
      <c r="O162" s="1866"/>
      <c r="P162" s="1866"/>
      <c r="Q162" s="1866"/>
      <c r="R162" s="1867" t="str">
        <f>Weapons!Y$34</f>
        <v/>
      </c>
      <c r="S162" s="1867"/>
      <c r="T162" s="1867"/>
      <c r="U162" s="1867"/>
      <c r="V162" s="1867"/>
      <c r="W162" s="1867"/>
      <c r="X162" s="1867"/>
      <c r="Y162" s="1867"/>
      <c r="Z162" s="1867"/>
      <c r="AA162" s="1867"/>
      <c r="AB162" s="1867"/>
      <c r="AC162" s="1867"/>
      <c r="AD162" s="1867"/>
      <c r="AE162" s="1867"/>
      <c r="AF162" s="1867"/>
      <c r="AG162" s="1867"/>
      <c r="AH162" s="1867"/>
      <c r="AI162" s="1867"/>
      <c r="AJ162" s="1867"/>
      <c r="AK162" s="1867"/>
      <c r="AL162" s="300"/>
      <c r="AM162" s="818"/>
      <c r="AN162" s="818"/>
      <c r="AO162" s="102"/>
      <c r="AP162" s="1866"/>
      <c r="AQ162" s="1866"/>
      <c r="AR162" s="1866"/>
      <c r="AS162" s="1866"/>
      <c r="AT162" s="1869" t="str">
        <f>Weapons!Y$23</f>
        <v/>
      </c>
      <c r="AU162" s="1869"/>
      <c r="AV162" s="1869"/>
      <c r="AW162" s="1869"/>
      <c r="AX162" s="1869"/>
      <c r="AY162" s="1869"/>
      <c r="AZ162" s="1869"/>
      <c r="BA162" s="1869"/>
      <c r="BB162" s="1869"/>
      <c r="BC162" s="1869"/>
      <c r="BD162" s="1869"/>
      <c r="BE162" s="100"/>
      <c r="BF162" s="818"/>
      <c r="BG162" s="818"/>
      <c r="BH162" s="102"/>
      <c r="BI162" s="1866"/>
      <c r="BJ162" s="1866"/>
      <c r="BK162" s="1866"/>
      <c r="BL162" s="1866"/>
      <c r="BM162" s="1866"/>
      <c r="BN162" s="1866"/>
      <c r="BO162" s="1875" t="str">
        <f>Weapons!Y$25</f>
        <v/>
      </c>
      <c r="BP162" s="1875"/>
      <c r="BQ162" s="1875"/>
      <c r="BR162" s="1875"/>
      <c r="BS162" s="1875"/>
      <c r="BT162" s="1875"/>
      <c r="BU162" s="1875"/>
      <c r="BV162" s="1875"/>
      <c r="BW162" s="1875"/>
      <c r="BX162" s="1875"/>
      <c r="BY162" s="1875"/>
      <c r="BZ162" s="1875"/>
      <c r="CA162" s="1875"/>
      <c r="CB162" s="1875"/>
      <c r="CC162" s="1863" t="str">
        <f>Weapons!Y$26</f>
        <v/>
      </c>
      <c r="CD162" s="1863"/>
      <c r="CE162" s="1863"/>
      <c r="CF162" s="1863"/>
      <c r="CG162" s="1863"/>
      <c r="CH162" s="1863"/>
      <c r="CI162" s="1863"/>
      <c r="CJ162" s="1863"/>
      <c r="CK162" s="1863"/>
      <c r="CL162" s="100"/>
      <c r="CM162" s="657"/>
      <c r="CN162" s="657"/>
      <c r="CO162" s="657"/>
      <c r="CP162" s="112"/>
      <c r="CQ162" s="109"/>
      <c r="CR162" s="109"/>
      <c r="CS162" s="109"/>
      <c r="CT162" s="109"/>
      <c r="CX162" s="1921"/>
      <c r="CY162" s="1921"/>
      <c r="CZ162" s="1921"/>
      <c r="DA162" s="1921"/>
      <c r="DB162" s="1921"/>
      <c r="DC162" s="1921"/>
      <c r="DD162" s="1921"/>
      <c r="DE162" s="1921"/>
      <c r="DF162" s="1921"/>
      <c r="DG162" s="1921"/>
      <c r="DH162" s="1921"/>
      <c r="DI162" s="1921"/>
      <c r="DJ162" s="1921"/>
      <c r="DK162" s="1921"/>
      <c r="DL162" s="1921"/>
      <c r="DM162" s="1921"/>
      <c r="DN162" s="1921"/>
      <c r="DO162" s="1921"/>
      <c r="DP162" s="1921"/>
      <c r="DQ162" s="1921"/>
      <c r="DR162" s="1921"/>
      <c r="DS162" s="1921"/>
      <c r="DT162" s="1921"/>
      <c r="DU162" s="1921"/>
      <c r="DV162" s="1921"/>
      <c r="DW162" s="1921"/>
      <c r="DX162" s="1921"/>
      <c r="DY162" s="1921"/>
      <c r="DZ162" s="1921"/>
      <c r="EA162" s="1921"/>
      <c r="EB162" s="1921"/>
      <c r="EC162" s="1921"/>
      <c r="ED162" s="1921"/>
      <c r="EE162" s="1921"/>
      <c r="EF162" s="1921"/>
      <c r="EG162" s="1921"/>
      <c r="EH162" s="1921"/>
      <c r="EI162" s="1921"/>
      <c r="EJ162" s="1921"/>
      <c r="EK162" s="1921"/>
      <c r="EL162" s="1921"/>
      <c r="EM162" s="1921"/>
      <c r="EN162" s="1921"/>
      <c r="EO162" s="1921"/>
      <c r="EP162" s="1921"/>
      <c r="EQ162" s="1921"/>
      <c r="ER162" s="1921"/>
      <c r="ES162" s="1921"/>
      <c r="ET162" s="1921"/>
      <c r="EW162" s="170"/>
      <c r="EX162" s="109"/>
      <c r="EY162" s="109"/>
      <c r="EZ162" s="109"/>
      <c r="FA162" s="170"/>
      <c r="FB162" s="87"/>
    </row>
    <row r="163" spans="1:158" ht="9" customHeight="1">
      <c r="A163" s="87"/>
      <c r="B163" s="87"/>
      <c r="C163" s="87"/>
      <c r="D163" s="87"/>
      <c r="E163" s="87"/>
      <c r="F163" s="88"/>
      <c r="G163" s="88"/>
      <c r="H163" s="88"/>
      <c r="I163" s="112"/>
      <c r="J163" s="1861"/>
      <c r="K163" s="1862"/>
      <c r="L163" s="1862"/>
      <c r="M163" s="102"/>
      <c r="N163" s="105"/>
      <c r="O163" s="105"/>
      <c r="P163" s="105"/>
      <c r="Q163" s="105"/>
      <c r="R163" s="1867"/>
      <c r="S163" s="1867"/>
      <c r="T163" s="1867"/>
      <c r="U163" s="1867"/>
      <c r="V163" s="1867"/>
      <c r="W163" s="1867"/>
      <c r="X163" s="1867"/>
      <c r="Y163" s="1867"/>
      <c r="Z163" s="1867"/>
      <c r="AA163" s="1867"/>
      <c r="AB163" s="1867"/>
      <c r="AC163" s="1867"/>
      <c r="AD163" s="1867"/>
      <c r="AE163" s="1867"/>
      <c r="AF163" s="1867"/>
      <c r="AG163" s="1867"/>
      <c r="AH163" s="1867"/>
      <c r="AI163" s="1867"/>
      <c r="AJ163" s="1867"/>
      <c r="AK163" s="1867"/>
      <c r="AL163" s="103"/>
      <c r="AM163" s="818"/>
      <c r="AN163" s="818"/>
      <c r="AO163" s="102"/>
      <c r="AP163" s="820"/>
      <c r="AQ163" s="820"/>
      <c r="AR163" s="820"/>
      <c r="AS163" s="820"/>
      <c r="AT163" s="1869"/>
      <c r="AU163" s="1869"/>
      <c r="AV163" s="1869"/>
      <c r="AW163" s="1869"/>
      <c r="AX163" s="1869"/>
      <c r="AY163" s="1869"/>
      <c r="AZ163" s="1869"/>
      <c r="BA163" s="1869"/>
      <c r="BB163" s="1869"/>
      <c r="BC163" s="1869"/>
      <c r="BD163" s="1869"/>
      <c r="BE163" s="100"/>
      <c r="BF163" s="818"/>
      <c r="BG163" s="818"/>
      <c r="BH163" s="102"/>
      <c r="BI163" s="820"/>
      <c r="BJ163" s="820"/>
      <c r="BK163" s="820"/>
      <c r="BL163" s="820"/>
      <c r="BM163" s="820"/>
      <c r="BN163" s="820"/>
      <c r="BO163" s="1875"/>
      <c r="BP163" s="1875"/>
      <c r="BQ163" s="1875"/>
      <c r="BR163" s="1875"/>
      <c r="BS163" s="1875"/>
      <c r="BT163" s="1875"/>
      <c r="BU163" s="1875"/>
      <c r="BV163" s="1875"/>
      <c r="BW163" s="1875"/>
      <c r="BX163" s="1875"/>
      <c r="BY163" s="1875"/>
      <c r="BZ163" s="1875"/>
      <c r="CA163" s="1875"/>
      <c r="CB163" s="1875"/>
      <c r="CC163" s="1863"/>
      <c r="CD163" s="1863"/>
      <c r="CE163" s="1863"/>
      <c r="CF163" s="1863"/>
      <c r="CG163" s="1863"/>
      <c r="CH163" s="1863"/>
      <c r="CI163" s="1863"/>
      <c r="CJ163" s="1863"/>
      <c r="CK163" s="1863"/>
      <c r="CL163" s="100"/>
      <c r="CM163" s="657"/>
      <c r="CN163" s="657"/>
      <c r="CO163" s="657"/>
      <c r="CP163" s="112"/>
      <c r="CQ163" s="109"/>
      <c r="CR163" s="301"/>
      <c r="CS163" s="109"/>
      <c r="CT163" s="109"/>
      <c r="CX163" s="1921"/>
      <c r="CY163" s="1921"/>
      <c r="CZ163" s="1921"/>
      <c r="DA163" s="1921"/>
      <c r="DB163" s="1921"/>
      <c r="DC163" s="1921"/>
      <c r="DD163" s="1921"/>
      <c r="DE163" s="1921"/>
      <c r="DF163" s="1921"/>
      <c r="DG163" s="1921"/>
      <c r="DH163" s="1921"/>
      <c r="DI163" s="1921"/>
      <c r="DJ163" s="1921"/>
      <c r="DK163" s="1921"/>
      <c r="DL163" s="1921"/>
      <c r="DM163" s="1921"/>
      <c r="DN163" s="1921"/>
      <c r="DO163" s="1921"/>
      <c r="DP163" s="1921"/>
      <c r="DQ163" s="1921"/>
      <c r="DR163" s="1921"/>
      <c r="DS163" s="1921"/>
      <c r="DT163" s="1921"/>
      <c r="DU163" s="1921"/>
      <c r="DV163" s="1921"/>
      <c r="DW163" s="1921"/>
      <c r="DX163" s="1921"/>
      <c r="DY163" s="1921"/>
      <c r="DZ163" s="1921"/>
      <c r="EA163" s="1921"/>
      <c r="EB163" s="1921"/>
      <c r="EC163" s="1921"/>
      <c r="ED163" s="1921"/>
      <c r="EE163" s="1921"/>
      <c r="EF163" s="1921"/>
      <c r="EG163" s="1921"/>
      <c r="EH163" s="1921"/>
      <c r="EI163" s="1921"/>
      <c r="EJ163" s="1921"/>
      <c r="EK163" s="1921"/>
      <c r="EL163" s="1921"/>
      <c r="EM163" s="1921"/>
      <c r="EN163" s="1921"/>
      <c r="EO163" s="1921"/>
      <c r="EP163" s="1921"/>
      <c r="EQ163" s="1921"/>
      <c r="ER163" s="1921"/>
      <c r="ES163" s="1921"/>
      <c r="ET163" s="1921"/>
      <c r="EW163" s="170"/>
      <c r="EX163" s="87"/>
      <c r="EY163" s="87"/>
      <c r="EZ163" s="87"/>
      <c r="FA163" s="170"/>
      <c r="FB163" s="87"/>
    </row>
    <row r="164" spans="1:158" ht="9" customHeight="1" thickBot="1">
      <c r="A164" s="87"/>
      <c r="B164" s="87"/>
      <c r="C164" s="87"/>
      <c r="D164" s="87"/>
      <c r="E164" s="87"/>
      <c r="F164" s="88"/>
      <c r="G164" s="88"/>
      <c r="H164" s="88"/>
      <c r="I164" s="112"/>
      <c r="J164" s="1861"/>
      <c r="K164" s="1862"/>
      <c r="L164" s="1862"/>
      <c r="M164" s="91"/>
      <c r="N164" s="108"/>
      <c r="O164" s="108"/>
      <c r="P164" s="108"/>
      <c r="Q164" s="108"/>
      <c r="R164" s="1868"/>
      <c r="S164" s="1868"/>
      <c r="T164" s="1868"/>
      <c r="U164" s="1868"/>
      <c r="V164" s="1868"/>
      <c r="W164" s="1868"/>
      <c r="X164" s="1868"/>
      <c r="Y164" s="1868"/>
      <c r="Z164" s="1868"/>
      <c r="AA164" s="1868"/>
      <c r="AB164" s="1868"/>
      <c r="AC164" s="1868"/>
      <c r="AD164" s="1868"/>
      <c r="AE164" s="1868"/>
      <c r="AF164" s="1868"/>
      <c r="AG164" s="1868"/>
      <c r="AH164" s="1868"/>
      <c r="AI164" s="1868"/>
      <c r="AJ164" s="1868"/>
      <c r="AK164" s="1868"/>
      <c r="AL164" s="90"/>
      <c r="AM164" s="818"/>
      <c r="AN164" s="818"/>
      <c r="AO164" s="91"/>
      <c r="AP164" s="821"/>
      <c r="AQ164" s="821"/>
      <c r="AR164" s="821"/>
      <c r="AS164" s="821"/>
      <c r="AT164" s="1870"/>
      <c r="AU164" s="1870"/>
      <c r="AV164" s="1870"/>
      <c r="AW164" s="1870"/>
      <c r="AX164" s="1870"/>
      <c r="AY164" s="1870"/>
      <c r="AZ164" s="1870"/>
      <c r="BA164" s="1870"/>
      <c r="BB164" s="1870"/>
      <c r="BC164" s="1870"/>
      <c r="BD164" s="1870"/>
      <c r="BE164" s="93"/>
      <c r="BF164" s="818"/>
      <c r="BG164" s="818"/>
      <c r="BH164" s="91"/>
      <c r="BI164" s="821"/>
      <c r="BJ164" s="821"/>
      <c r="BK164" s="821"/>
      <c r="BL164" s="821"/>
      <c r="BM164" s="821"/>
      <c r="BN164" s="821"/>
      <c r="BO164" s="1876"/>
      <c r="BP164" s="1876"/>
      <c r="BQ164" s="1876"/>
      <c r="BR164" s="1876"/>
      <c r="BS164" s="1876"/>
      <c r="BT164" s="1876"/>
      <c r="BU164" s="1876"/>
      <c r="BV164" s="1876"/>
      <c r="BW164" s="1876"/>
      <c r="BX164" s="1876"/>
      <c r="BY164" s="1876"/>
      <c r="BZ164" s="1876"/>
      <c r="CA164" s="1876"/>
      <c r="CB164" s="1876"/>
      <c r="CC164" s="1864"/>
      <c r="CD164" s="1864"/>
      <c r="CE164" s="1864"/>
      <c r="CF164" s="1864"/>
      <c r="CG164" s="1864"/>
      <c r="CH164" s="1864"/>
      <c r="CI164" s="1864"/>
      <c r="CJ164" s="1864"/>
      <c r="CK164" s="1864"/>
      <c r="CL164" s="93"/>
      <c r="CM164" s="657"/>
      <c r="CN164" s="657"/>
      <c r="CO164" s="657"/>
      <c r="CP164" s="112"/>
      <c r="CQ164" s="118"/>
      <c r="CR164" s="301"/>
      <c r="CS164" s="118"/>
      <c r="CT164" s="118"/>
      <c r="CX164" s="1921"/>
      <c r="CY164" s="1921"/>
      <c r="CZ164" s="1921"/>
      <c r="DA164" s="1921"/>
      <c r="DB164" s="1921"/>
      <c r="DC164" s="1921"/>
      <c r="DD164" s="1921"/>
      <c r="DE164" s="1921"/>
      <c r="DF164" s="1921"/>
      <c r="DG164" s="1921"/>
      <c r="DH164" s="1921"/>
      <c r="DI164" s="1921"/>
      <c r="DJ164" s="1921"/>
      <c r="DK164" s="1921"/>
      <c r="DL164" s="1921"/>
      <c r="DM164" s="1921"/>
      <c r="DN164" s="1921"/>
      <c r="DO164" s="1921"/>
      <c r="DP164" s="1921"/>
      <c r="DQ164" s="1921"/>
      <c r="DR164" s="1921"/>
      <c r="DS164" s="1921"/>
      <c r="DT164" s="1921"/>
      <c r="DU164" s="1921"/>
      <c r="DV164" s="1921"/>
      <c r="DW164" s="1921"/>
      <c r="DX164" s="1921"/>
      <c r="DY164" s="1921"/>
      <c r="DZ164" s="1921"/>
      <c r="EA164" s="1921"/>
      <c r="EB164" s="1921"/>
      <c r="EC164" s="1921"/>
      <c r="ED164" s="1921"/>
      <c r="EE164" s="1921"/>
      <c r="EF164" s="1921"/>
      <c r="EG164" s="1921"/>
      <c r="EH164" s="1921"/>
      <c r="EI164" s="1921"/>
      <c r="EJ164" s="1921"/>
      <c r="EK164" s="1921"/>
      <c r="EL164" s="1921"/>
      <c r="EM164" s="1921"/>
      <c r="EN164" s="1921"/>
      <c r="EO164" s="1921"/>
      <c r="EP164" s="1921"/>
      <c r="EQ164" s="1921"/>
      <c r="ER164" s="1921"/>
      <c r="ES164" s="1921"/>
      <c r="ET164" s="1921"/>
      <c r="EW164" s="170"/>
      <c r="EX164" s="109"/>
      <c r="EY164" s="109"/>
      <c r="EZ164" s="109"/>
      <c r="FA164" s="170"/>
      <c r="FB164" s="87"/>
    </row>
    <row r="165" spans="1:158" ht="9" customHeight="1" thickTop="1" thickBot="1">
      <c r="A165" s="87"/>
      <c r="B165" s="87"/>
      <c r="C165" s="87"/>
      <c r="D165" s="87"/>
      <c r="E165" s="87"/>
      <c r="F165" s="88"/>
      <c r="G165" s="88"/>
      <c r="H165" s="88"/>
      <c r="I165" s="112"/>
      <c r="J165" s="1861"/>
      <c r="K165" s="1862"/>
      <c r="L165" s="1862"/>
      <c r="M165" s="641"/>
      <c r="N165" s="818"/>
      <c r="O165" s="818"/>
      <c r="P165" s="818"/>
      <c r="Q165" s="818"/>
      <c r="R165" s="818"/>
      <c r="S165" s="818"/>
      <c r="T165" s="818"/>
      <c r="U165" s="589"/>
      <c r="V165" s="589"/>
      <c r="W165" s="589"/>
      <c r="X165" s="589"/>
      <c r="Y165" s="589"/>
      <c r="Z165" s="589"/>
      <c r="AA165" s="589"/>
      <c r="AB165" s="589"/>
      <c r="AC165" s="589"/>
      <c r="AD165" s="589"/>
      <c r="AE165" s="589"/>
      <c r="AF165" s="589"/>
      <c r="AG165" s="589"/>
      <c r="AH165" s="589"/>
      <c r="AI165" s="589"/>
      <c r="AJ165" s="589"/>
      <c r="AK165" s="589"/>
      <c r="AL165" s="589"/>
      <c r="AM165" s="589"/>
      <c r="AN165" s="131"/>
      <c r="AO165" s="118"/>
      <c r="AP165" s="118"/>
      <c r="AQ165" s="105"/>
      <c r="AR165" s="818"/>
      <c r="AS165" s="818"/>
      <c r="AT165" s="818"/>
      <c r="AU165" s="818"/>
      <c r="AV165" s="653"/>
      <c r="AW165" s="653"/>
      <c r="AX165" s="653"/>
      <c r="AY165" s="653"/>
      <c r="AZ165" s="653"/>
      <c r="BA165" s="131"/>
      <c r="BB165" s="118"/>
      <c r="BC165" s="118"/>
      <c r="BD165" s="105"/>
      <c r="BE165" s="818"/>
      <c r="BF165" s="818"/>
      <c r="BG165" s="818"/>
      <c r="BH165" s="818"/>
      <c r="BI165" s="818"/>
      <c r="BJ165" s="818"/>
      <c r="BK165" s="818"/>
      <c r="BL165" s="818"/>
      <c r="BM165" s="442"/>
      <c r="BN165" s="442"/>
      <c r="BO165" s="442"/>
      <c r="BP165" s="442"/>
      <c r="BQ165" s="442"/>
      <c r="BR165" s="442"/>
      <c r="BS165" s="442"/>
      <c r="BT165" s="442"/>
      <c r="BU165" s="442"/>
      <c r="BV165" s="442"/>
      <c r="BW165" s="442"/>
      <c r="BX165" s="442"/>
      <c r="BY165" s="442"/>
      <c r="BZ165" s="442"/>
      <c r="CA165" s="442"/>
      <c r="CB165" s="442"/>
      <c r="CC165" s="442"/>
      <c r="CD165" s="442"/>
      <c r="CE165" s="442"/>
      <c r="CF165" s="442"/>
      <c r="CG165" s="442"/>
      <c r="CH165" s="442"/>
      <c r="CI165" s="442"/>
      <c r="CJ165" s="442"/>
      <c r="CK165" s="442"/>
      <c r="CL165" s="442"/>
      <c r="CM165" s="118"/>
      <c r="CN165" s="118"/>
      <c r="CO165" s="118"/>
      <c r="CP165" s="112"/>
      <c r="CQ165" s="118"/>
      <c r="CR165" s="301"/>
      <c r="CS165" s="109"/>
      <c r="CT165" s="87"/>
      <c r="CX165" s="1921"/>
      <c r="CY165" s="1921"/>
      <c r="CZ165" s="1921"/>
      <c r="DA165" s="1921"/>
      <c r="DB165" s="1921"/>
      <c r="DC165" s="1921"/>
      <c r="DD165" s="1921"/>
      <c r="DE165" s="1921"/>
      <c r="DF165" s="1921"/>
      <c r="DG165" s="1921"/>
      <c r="DH165" s="1921"/>
      <c r="DI165" s="1921"/>
      <c r="DJ165" s="1921"/>
      <c r="DK165" s="1921"/>
      <c r="DL165" s="1921"/>
      <c r="DM165" s="1921"/>
      <c r="DN165" s="1921"/>
      <c r="DO165" s="1921"/>
      <c r="DP165" s="1921"/>
      <c r="DQ165" s="1921"/>
      <c r="DR165" s="1921"/>
      <c r="DS165" s="1921"/>
      <c r="DT165" s="1921"/>
      <c r="DU165" s="1921"/>
      <c r="DV165" s="1921"/>
      <c r="DW165" s="1921"/>
      <c r="DX165" s="1921"/>
      <c r="DY165" s="1921"/>
      <c r="DZ165" s="1921"/>
      <c r="EA165" s="1921"/>
      <c r="EB165" s="1921"/>
      <c r="EC165" s="1921"/>
      <c r="ED165" s="1921"/>
      <c r="EE165" s="1921"/>
      <c r="EF165" s="1921"/>
      <c r="EG165" s="1921"/>
      <c r="EH165" s="1921"/>
      <c r="EI165" s="1921"/>
      <c r="EJ165" s="1921"/>
      <c r="EK165" s="1921"/>
      <c r="EL165" s="1921"/>
      <c r="EM165" s="1921"/>
      <c r="EN165" s="1921"/>
      <c r="EO165" s="1921"/>
      <c r="EP165" s="1921"/>
      <c r="EQ165" s="1921"/>
      <c r="ER165" s="1921"/>
      <c r="ES165" s="1921"/>
      <c r="ET165" s="1921"/>
      <c r="EW165" s="170"/>
      <c r="EX165" s="87"/>
      <c r="EY165" s="87"/>
      <c r="EZ165" s="87"/>
      <c r="FA165" s="170"/>
      <c r="FB165" s="87"/>
    </row>
    <row r="166" spans="1:158" ht="9" customHeight="1" thickTop="1">
      <c r="A166" s="87"/>
      <c r="B166" s="87"/>
      <c r="C166" s="87"/>
      <c r="D166" s="87"/>
      <c r="E166" s="87"/>
      <c r="F166" s="88"/>
      <c r="G166" s="88"/>
      <c r="H166" s="88"/>
      <c r="I166" s="112"/>
      <c r="J166" s="1861"/>
      <c r="K166" s="1862"/>
      <c r="L166" s="1862"/>
      <c r="M166" s="93"/>
      <c r="N166" s="1865" t="s">
        <v>3614</v>
      </c>
      <c r="O166" s="1865"/>
      <c r="P166" s="1865"/>
      <c r="Q166" s="1865"/>
      <c r="R166" s="1865"/>
      <c r="S166" s="1865"/>
      <c r="T166" s="295"/>
      <c r="U166" s="296"/>
      <c r="V166" s="296"/>
      <c r="W166" s="296"/>
      <c r="X166" s="296"/>
      <c r="Y166" s="296"/>
      <c r="Z166" s="296"/>
      <c r="AA166" s="296"/>
      <c r="AB166" s="296"/>
      <c r="AC166" s="296"/>
      <c r="AD166" s="296"/>
      <c r="AE166" s="296"/>
      <c r="AF166" s="296"/>
      <c r="AG166" s="296"/>
      <c r="AH166" s="296"/>
      <c r="AI166" s="296"/>
      <c r="AJ166" s="296"/>
      <c r="AK166" s="296"/>
      <c r="AL166" s="296"/>
      <c r="AM166" s="296"/>
      <c r="AN166" s="296"/>
      <c r="AO166" s="296"/>
      <c r="AP166" s="296"/>
      <c r="AQ166" s="296"/>
      <c r="AR166" s="296"/>
      <c r="AS166" s="296"/>
      <c r="AT166" s="296"/>
      <c r="AU166" s="296"/>
      <c r="AV166" s="296"/>
      <c r="AW166" s="296"/>
      <c r="AX166" s="296"/>
      <c r="AY166" s="296"/>
      <c r="AZ166" s="296"/>
      <c r="BA166" s="296"/>
      <c r="BB166" s="296"/>
      <c r="BC166" s="296"/>
      <c r="BD166" s="296"/>
      <c r="BE166" s="296"/>
      <c r="BF166" s="296"/>
      <c r="BG166" s="296"/>
      <c r="BH166" s="296"/>
      <c r="BI166" s="296"/>
      <c r="BJ166" s="296"/>
      <c r="BK166" s="296"/>
      <c r="BL166" s="296"/>
      <c r="BM166" s="296"/>
      <c r="BN166" s="296"/>
      <c r="BO166" s="296"/>
      <c r="BP166" s="296"/>
      <c r="BQ166" s="296"/>
      <c r="BR166" s="296"/>
      <c r="BS166" s="296"/>
      <c r="BT166" s="296"/>
      <c r="BU166" s="296"/>
      <c r="BV166" s="296"/>
      <c r="BW166" s="296"/>
      <c r="BX166" s="296"/>
      <c r="BY166" s="296"/>
      <c r="BZ166" s="296"/>
      <c r="CA166" s="296"/>
      <c r="CB166" s="296"/>
      <c r="CC166" s="296"/>
      <c r="CD166" s="296"/>
      <c r="CE166" s="296"/>
      <c r="CF166" s="296"/>
      <c r="CG166" s="296"/>
      <c r="CH166" s="296"/>
      <c r="CI166" s="296"/>
      <c r="CJ166" s="296"/>
      <c r="CK166" s="296"/>
      <c r="CL166" s="297"/>
      <c r="CM166" s="596"/>
      <c r="CN166" s="596"/>
      <c r="CO166" s="87"/>
      <c r="CP166" s="112"/>
      <c r="CQ166" s="118"/>
      <c r="CR166" s="111"/>
      <c r="CS166" s="87"/>
      <c r="CT166" s="87"/>
      <c r="CX166" s="1921"/>
      <c r="CY166" s="1921"/>
      <c r="CZ166" s="1921"/>
      <c r="DA166" s="1921"/>
      <c r="DB166" s="1921"/>
      <c r="DC166" s="1921"/>
      <c r="DD166" s="1921"/>
      <c r="DE166" s="1921"/>
      <c r="DF166" s="1921"/>
      <c r="DG166" s="1921"/>
      <c r="DH166" s="1921"/>
      <c r="DI166" s="1921"/>
      <c r="DJ166" s="1921"/>
      <c r="DK166" s="1921"/>
      <c r="DL166" s="1921"/>
      <c r="DM166" s="1921"/>
      <c r="DN166" s="1921"/>
      <c r="DO166" s="1921"/>
      <c r="DP166" s="1921"/>
      <c r="DQ166" s="1921"/>
      <c r="DR166" s="1921"/>
      <c r="DS166" s="1921"/>
      <c r="DT166" s="1921"/>
      <c r="DU166" s="1921"/>
      <c r="DV166" s="1921"/>
      <c r="DW166" s="1921"/>
      <c r="DX166" s="1921"/>
      <c r="DY166" s="1921"/>
      <c r="DZ166" s="1921"/>
      <c r="EA166" s="1921"/>
      <c r="EB166" s="1921"/>
      <c r="EC166" s="1921"/>
      <c r="ED166" s="1921"/>
      <c r="EE166" s="1921"/>
      <c r="EF166" s="1921"/>
      <c r="EG166" s="1921"/>
      <c r="EH166" s="1921"/>
      <c r="EI166" s="1921"/>
      <c r="EJ166" s="1921"/>
      <c r="EK166" s="1921"/>
      <c r="EL166" s="1921"/>
      <c r="EM166" s="1921"/>
      <c r="EN166" s="1921"/>
      <c r="EO166" s="1921"/>
      <c r="EP166" s="1921"/>
      <c r="EQ166" s="1921"/>
      <c r="ER166" s="1921"/>
      <c r="ES166" s="1921"/>
      <c r="ET166" s="1921"/>
      <c r="EW166" s="170"/>
      <c r="EX166" s="109"/>
      <c r="EY166" s="109"/>
      <c r="EZ166" s="109"/>
      <c r="FA166" s="170"/>
      <c r="FB166" s="87"/>
    </row>
    <row r="167" spans="1:158" ht="9" customHeight="1">
      <c r="A167" s="87"/>
      <c r="B167" s="87"/>
      <c r="C167" s="87"/>
      <c r="D167" s="87"/>
      <c r="E167" s="87"/>
      <c r="F167" s="88"/>
      <c r="G167" s="88"/>
      <c r="H167" s="88"/>
      <c r="I167" s="87"/>
      <c r="J167" s="256"/>
      <c r="K167" s="118"/>
      <c r="L167" s="111"/>
      <c r="M167" s="102"/>
      <c r="N167" s="1866"/>
      <c r="O167" s="1866"/>
      <c r="P167" s="1866"/>
      <c r="Q167" s="1866"/>
      <c r="R167" s="1866"/>
      <c r="S167" s="1866"/>
      <c r="T167" s="818"/>
      <c r="U167" s="1922" t="str">
        <f>Weapons!Y$28</f>
        <v/>
      </c>
      <c r="V167" s="1922"/>
      <c r="W167" s="1922"/>
      <c r="X167" s="1922"/>
      <c r="Y167" s="1922"/>
      <c r="Z167" s="1922"/>
      <c r="AA167" s="1922"/>
      <c r="AB167" s="1922"/>
      <c r="AC167" s="1922"/>
      <c r="AD167" s="1922"/>
      <c r="AE167" s="1922"/>
      <c r="AF167" s="1922"/>
      <c r="AG167" s="1922"/>
      <c r="AH167" s="1922"/>
      <c r="AI167" s="1922"/>
      <c r="AJ167" s="1922"/>
      <c r="AK167" s="1922"/>
      <c r="AL167" s="1922"/>
      <c r="AM167" s="1922"/>
      <c r="AN167" s="1922"/>
      <c r="AO167" s="1922"/>
      <c r="AP167" s="1922"/>
      <c r="AQ167" s="1922"/>
      <c r="AR167" s="1922"/>
      <c r="AS167" s="1922"/>
      <c r="AT167" s="1922"/>
      <c r="AU167" s="1922"/>
      <c r="AV167" s="1922"/>
      <c r="AW167" s="1922"/>
      <c r="AX167" s="1922"/>
      <c r="AY167" s="1922"/>
      <c r="AZ167" s="1922"/>
      <c r="BA167" s="1922"/>
      <c r="BB167" s="1922"/>
      <c r="BC167" s="1922"/>
      <c r="BD167" s="1922"/>
      <c r="BE167" s="1922"/>
      <c r="BF167" s="1922"/>
      <c r="BG167" s="1922"/>
      <c r="BH167" s="1922"/>
      <c r="BI167" s="1922"/>
      <c r="BJ167" s="1922"/>
      <c r="BK167" s="1922"/>
      <c r="BL167" s="1922"/>
      <c r="BM167" s="1922"/>
      <c r="BN167" s="1922"/>
      <c r="BO167" s="1922"/>
      <c r="BP167" s="1922"/>
      <c r="BQ167" s="1922"/>
      <c r="BR167" s="1922"/>
      <c r="BS167" s="1922"/>
      <c r="BT167" s="1922"/>
      <c r="BU167" s="1922"/>
      <c r="BV167" s="1922"/>
      <c r="BW167" s="1922"/>
      <c r="BX167" s="1922"/>
      <c r="BY167" s="1922"/>
      <c r="BZ167" s="1922"/>
      <c r="CA167" s="1922"/>
      <c r="CB167" s="1922"/>
      <c r="CC167" s="1922"/>
      <c r="CD167" s="1922"/>
      <c r="CE167" s="1922"/>
      <c r="CF167" s="1922"/>
      <c r="CG167" s="1922"/>
      <c r="CH167" s="1922"/>
      <c r="CI167" s="1922"/>
      <c r="CJ167" s="1922"/>
      <c r="CK167" s="1922"/>
      <c r="CL167" s="300"/>
      <c r="CM167" s="658"/>
      <c r="CN167" s="118"/>
      <c r="CO167" s="109"/>
      <c r="CP167" s="144"/>
      <c r="CQ167" s="109"/>
      <c r="CX167" s="1921"/>
      <c r="CY167" s="1921"/>
      <c r="CZ167" s="1921"/>
      <c r="DA167" s="1921"/>
      <c r="DB167" s="1921"/>
      <c r="DC167" s="1921"/>
      <c r="DD167" s="1921"/>
      <c r="DE167" s="1921"/>
      <c r="DF167" s="1921"/>
      <c r="DG167" s="1921"/>
      <c r="DH167" s="1921"/>
      <c r="DI167" s="1921"/>
      <c r="DJ167" s="1921"/>
      <c r="DK167" s="1921"/>
      <c r="DL167" s="1921"/>
      <c r="DM167" s="1921"/>
      <c r="DN167" s="1921"/>
      <c r="DO167" s="1921"/>
      <c r="DP167" s="1921"/>
      <c r="DQ167" s="1921"/>
      <c r="DR167" s="1921"/>
      <c r="DS167" s="1921"/>
      <c r="DT167" s="1921"/>
      <c r="DU167" s="1921"/>
      <c r="DV167" s="1921"/>
      <c r="DW167" s="1921"/>
      <c r="DX167" s="1921"/>
      <c r="DY167" s="1921"/>
      <c r="DZ167" s="1921"/>
      <c r="EA167" s="1921"/>
      <c r="EB167" s="1921"/>
      <c r="EC167" s="1921"/>
      <c r="ED167" s="1921"/>
      <c r="EE167" s="1921"/>
      <c r="EF167" s="1921"/>
      <c r="EG167" s="1921"/>
      <c r="EH167" s="1921"/>
      <c r="EI167" s="1921"/>
      <c r="EJ167" s="1921"/>
      <c r="EK167" s="1921"/>
      <c r="EL167" s="1921"/>
      <c r="EM167" s="1921"/>
      <c r="EN167" s="1921"/>
      <c r="EO167" s="1921"/>
      <c r="EP167" s="1921"/>
      <c r="EQ167" s="1921"/>
      <c r="ER167" s="1921"/>
      <c r="ES167" s="1921"/>
      <c r="ET167" s="1921"/>
      <c r="EW167" s="170"/>
      <c r="EX167" s="87"/>
      <c r="EY167" s="87"/>
      <c r="EZ167" s="87"/>
      <c r="FA167" s="170"/>
      <c r="FB167" s="87"/>
    </row>
    <row r="168" spans="1:158" ht="9" customHeight="1" thickBot="1">
      <c r="A168" s="87"/>
      <c r="B168" s="87"/>
      <c r="C168" s="87"/>
      <c r="D168" s="87"/>
      <c r="E168" s="87"/>
      <c r="F168" s="88"/>
      <c r="G168" s="88"/>
      <c r="H168" s="88"/>
      <c r="I168" s="87"/>
      <c r="J168" s="118"/>
      <c r="K168" s="256"/>
      <c r="L168" s="108"/>
      <c r="M168" s="102"/>
      <c r="N168" s="105"/>
      <c r="O168" s="105"/>
      <c r="P168" s="105"/>
      <c r="Q168" s="105"/>
      <c r="R168" s="596"/>
      <c r="S168" s="596"/>
      <c r="T168" s="596"/>
      <c r="U168" s="1922"/>
      <c r="V168" s="1922"/>
      <c r="W168" s="1922"/>
      <c r="X168" s="1922"/>
      <c r="Y168" s="1922"/>
      <c r="Z168" s="1922"/>
      <c r="AA168" s="1922"/>
      <c r="AB168" s="1922"/>
      <c r="AC168" s="1922"/>
      <c r="AD168" s="1922"/>
      <c r="AE168" s="1922"/>
      <c r="AF168" s="1922"/>
      <c r="AG168" s="1922"/>
      <c r="AH168" s="1922"/>
      <c r="AI168" s="1922"/>
      <c r="AJ168" s="1922"/>
      <c r="AK168" s="1922"/>
      <c r="AL168" s="1922"/>
      <c r="AM168" s="1922"/>
      <c r="AN168" s="1922"/>
      <c r="AO168" s="1922"/>
      <c r="AP168" s="1922"/>
      <c r="AQ168" s="1922"/>
      <c r="AR168" s="1922"/>
      <c r="AS168" s="1922"/>
      <c r="AT168" s="1922"/>
      <c r="AU168" s="1922"/>
      <c r="AV168" s="1922"/>
      <c r="AW168" s="1922"/>
      <c r="AX168" s="1922"/>
      <c r="AY168" s="1922"/>
      <c r="AZ168" s="1922"/>
      <c r="BA168" s="1922"/>
      <c r="BB168" s="1922"/>
      <c r="BC168" s="1922"/>
      <c r="BD168" s="1922"/>
      <c r="BE168" s="1922"/>
      <c r="BF168" s="1922"/>
      <c r="BG168" s="1922"/>
      <c r="BH168" s="1922"/>
      <c r="BI168" s="1922"/>
      <c r="BJ168" s="1922"/>
      <c r="BK168" s="1922"/>
      <c r="BL168" s="1922"/>
      <c r="BM168" s="1922"/>
      <c r="BN168" s="1922"/>
      <c r="BO168" s="1922"/>
      <c r="BP168" s="1922"/>
      <c r="BQ168" s="1922"/>
      <c r="BR168" s="1922"/>
      <c r="BS168" s="1922"/>
      <c r="BT168" s="1922"/>
      <c r="BU168" s="1922"/>
      <c r="BV168" s="1922"/>
      <c r="BW168" s="1922"/>
      <c r="BX168" s="1922"/>
      <c r="BY168" s="1922"/>
      <c r="BZ168" s="1922"/>
      <c r="CA168" s="1922"/>
      <c r="CB168" s="1922"/>
      <c r="CC168" s="1922"/>
      <c r="CD168" s="1922"/>
      <c r="CE168" s="1922"/>
      <c r="CF168" s="1922"/>
      <c r="CG168" s="1922"/>
      <c r="CH168" s="1922"/>
      <c r="CI168" s="1922"/>
      <c r="CJ168" s="1922"/>
      <c r="CK168" s="1922"/>
      <c r="CL168" s="103"/>
      <c r="CM168" s="122"/>
      <c r="CN168" s="122"/>
      <c r="CO168" s="144"/>
      <c r="CP168" s="118"/>
      <c r="CQ168" s="118"/>
      <c r="CX168" s="1921"/>
      <c r="CY168" s="1921"/>
      <c r="CZ168" s="1921"/>
      <c r="DA168" s="1921"/>
      <c r="DB168" s="1921"/>
      <c r="DC168" s="1921"/>
      <c r="DD168" s="1921"/>
      <c r="DE168" s="1921"/>
      <c r="DF168" s="1921"/>
      <c r="DG168" s="1921"/>
      <c r="DH168" s="1921"/>
      <c r="DI168" s="1921"/>
      <c r="DJ168" s="1921"/>
      <c r="DK168" s="1921"/>
      <c r="DL168" s="1921"/>
      <c r="DM168" s="1921"/>
      <c r="DN168" s="1921"/>
      <c r="DO168" s="1921"/>
      <c r="DP168" s="1921"/>
      <c r="DQ168" s="1921"/>
      <c r="DR168" s="1921"/>
      <c r="DS168" s="1921"/>
      <c r="DT168" s="1921"/>
      <c r="DU168" s="1921"/>
      <c r="DV168" s="1921"/>
      <c r="DW168" s="1921"/>
      <c r="DX168" s="1921"/>
      <c r="DY168" s="1921"/>
      <c r="DZ168" s="1921"/>
      <c r="EA168" s="1921"/>
      <c r="EB168" s="1921"/>
      <c r="EC168" s="1921"/>
      <c r="ED168" s="1921"/>
      <c r="EE168" s="1921"/>
      <c r="EF168" s="1921"/>
      <c r="EG168" s="1921"/>
      <c r="EH168" s="1921"/>
      <c r="EI168" s="1921"/>
      <c r="EJ168" s="1921"/>
      <c r="EK168" s="1921"/>
      <c r="EL168" s="1921"/>
      <c r="EM168" s="1921"/>
      <c r="EN168" s="1921"/>
      <c r="EO168" s="1921"/>
      <c r="EP168" s="1921"/>
      <c r="EQ168" s="1921"/>
      <c r="ER168" s="1921"/>
      <c r="ES168" s="1921"/>
      <c r="ET168" s="1921"/>
      <c r="EW168" s="170"/>
      <c r="EX168" s="109"/>
      <c r="EY168" s="109"/>
      <c r="EZ168" s="109"/>
      <c r="FA168" s="170"/>
      <c r="FB168" s="87"/>
    </row>
    <row r="169" spans="1:158" ht="9" customHeight="1" thickTop="1" thickBot="1">
      <c r="A169" s="87"/>
      <c r="B169" s="87"/>
      <c r="C169" s="87"/>
      <c r="D169" s="87"/>
      <c r="E169" s="87"/>
      <c r="F169" s="88"/>
      <c r="G169" s="88"/>
      <c r="H169" s="88"/>
      <c r="I169" s="87"/>
      <c r="J169" s="118"/>
      <c r="K169" s="118"/>
      <c r="L169" s="118"/>
      <c r="M169" s="91"/>
      <c r="N169" s="108"/>
      <c r="O169" s="108"/>
      <c r="P169" s="108"/>
      <c r="Q169" s="108"/>
      <c r="R169" s="654"/>
      <c r="S169" s="654"/>
      <c r="T169" s="654"/>
      <c r="U169" s="1923"/>
      <c r="V169" s="1923"/>
      <c r="W169" s="1923"/>
      <c r="X169" s="1923"/>
      <c r="Y169" s="1923"/>
      <c r="Z169" s="1923"/>
      <c r="AA169" s="1923"/>
      <c r="AB169" s="1923"/>
      <c r="AC169" s="1923"/>
      <c r="AD169" s="1923"/>
      <c r="AE169" s="1923"/>
      <c r="AF169" s="1923"/>
      <c r="AG169" s="1923"/>
      <c r="AH169" s="1923"/>
      <c r="AI169" s="1923"/>
      <c r="AJ169" s="1923"/>
      <c r="AK169" s="1923"/>
      <c r="AL169" s="1923"/>
      <c r="AM169" s="1923"/>
      <c r="AN169" s="1923"/>
      <c r="AO169" s="1923"/>
      <c r="AP169" s="1923"/>
      <c r="AQ169" s="1923"/>
      <c r="AR169" s="1923"/>
      <c r="AS169" s="1923"/>
      <c r="AT169" s="1923"/>
      <c r="AU169" s="1923"/>
      <c r="AV169" s="1923"/>
      <c r="AW169" s="1923"/>
      <c r="AX169" s="1923"/>
      <c r="AY169" s="1923"/>
      <c r="AZ169" s="1923"/>
      <c r="BA169" s="1923"/>
      <c r="BB169" s="1923"/>
      <c r="BC169" s="1923"/>
      <c r="BD169" s="1923"/>
      <c r="BE169" s="1923"/>
      <c r="BF169" s="1923"/>
      <c r="BG169" s="1923"/>
      <c r="BH169" s="1923"/>
      <c r="BI169" s="1923"/>
      <c r="BJ169" s="1923"/>
      <c r="BK169" s="1923"/>
      <c r="BL169" s="1923"/>
      <c r="BM169" s="1923"/>
      <c r="BN169" s="1923"/>
      <c r="BO169" s="1923"/>
      <c r="BP169" s="1923"/>
      <c r="BQ169" s="1923"/>
      <c r="BR169" s="1923"/>
      <c r="BS169" s="1923"/>
      <c r="BT169" s="1923"/>
      <c r="BU169" s="1923"/>
      <c r="BV169" s="1923"/>
      <c r="BW169" s="1923"/>
      <c r="BX169" s="1923"/>
      <c r="BY169" s="1923"/>
      <c r="BZ169" s="1923"/>
      <c r="CA169" s="1923"/>
      <c r="CB169" s="1923"/>
      <c r="CC169" s="1923"/>
      <c r="CD169" s="1923"/>
      <c r="CE169" s="1923"/>
      <c r="CF169" s="1923"/>
      <c r="CG169" s="1923"/>
      <c r="CH169" s="1923"/>
      <c r="CI169" s="1923"/>
      <c r="CJ169" s="1923"/>
      <c r="CK169" s="1923"/>
      <c r="CL169" s="90"/>
      <c r="CM169" s="596"/>
      <c r="CN169" s="596"/>
      <c r="CO169" s="301"/>
      <c r="CP169" s="109"/>
      <c r="CQ169" s="109"/>
      <c r="CX169" s="1921"/>
      <c r="CY169" s="1921"/>
      <c r="CZ169" s="1921"/>
      <c r="DA169" s="1921"/>
      <c r="DB169" s="1921"/>
      <c r="DC169" s="1921"/>
      <c r="DD169" s="1921"/>
      <c r="DE169" s="1921"/>
      <c r="DF169" s="1921"/>
      <c r="DG169" s="1921"/>
      <c r="DH169" s="1921"/>
      <c r="DI169" s="1921"/>
      <c r="DJ169" s="1921"/>
      <c r="DK169" s="1921"/>
      <c r="DL169" s="1921"/>
      <c r="DM169" s="1921"/>
      <c r="DN169" s="1921"/>
      <c r="DO169" s="1921"/>
      <c r="DP169" s="1921"/>
      <c r="DQ169" s="1921"/>
      <c r="DR169" s="1921"/>
      <c r="DS169" s="1921"/>
      <c r="DT169" s="1921"/>
      <c r="DU169" s="1921"/>
      <c r="DV169" s="1921"/>
      <c r="DW169" s="1921"/>
      <c r="DX169" s="1921"/>
      <c r="DY169" s="1921"/>
      <c r="DZ169" s="1921"/>
      <c r="EA169" s="1921"/>
      <c r="EB169" s="1921"/>
      <c r="EC169" s="1921"/>
      <c r="ED169" s="1921"/>
      <c r="EE169" s="1921"/>
      <c r="EF169" s="1921"/>
      <c r="EG169" s="1921"/>
      <c r="EH169" s="1921"/>
      <c r="EI169" s="1921"/>
      <c r="EJ169" s="1921"/>
      <c r="EK169" s="1921"/>
      <c r="EL169" s="1921"/>
      <c r="EM169" s="1921"/>
      <c r="EN169" s="1921"/>
      <c r="EO169" s="1921"/>
      <c r="EP169" s="1921"/>
      <c r="EQ169" s="1921"/>
      <c r="ER169" s="1921"/>
      <c r="ES169" s="1921"/>
      <c r="ET169" s="1921"/>
      <c r="EW169" s="109"/>
      <c r="EX169" s="283"/>
      <c r="EY169" s="109"/>
      <c r="EZ169" s="109"/>
      <c r="FA169" s="170"/>
      <c r="FB169" s="87"/>
    </row>
    <row r="170" spans="1:158" ht="9" customHeight="1" thickTop="1">
      <c r="A170" s="87"/>
      <c r="B170" s="87"/>
      <c r="C170" s="87"/>
      <c r="D170" s="87"/>
      <c r="E170" s="87"/>
      <c r="F170" s="88"/>
      <c r="G170" s="88"/>
      <c r="H170" s="88"/>
      <c r="I170" s="87"/>
      <c r="J170" s="87"/>
      <c r="K170" s="87"/>
      <c r="L170" s="109"/>
      <c r="M170" s="118"/>
      <c r="N170" s="118"/>
      <c r="O170" s="118"/>
      <c r="P170" s="118"/>
      <c r="Q170" s="118"/>
      <c r="R170" s="118"/>
      <c r="S170" s="118"/>
      <c r="T170" s="118"/>
      <c r="U170" s="118"/>
      <c r="V170" s="118"/>
      <c r="W170" s="118"/>
      <c r="X170" s="118"/>
      <c r="Y170" s="118"/>
      <c r="Z170" s="118"/>
      <c r="AA170" s="118"/>
      <c r="AB170" s="118"/>
      <c r="AC170" s="118"/>
      <c r="AD170" s="118"/>
      <c r="AE170" s="118"/>
      <c r="AF170" s="118"/>
      <c r="AG170" s="118"/>
      <c r="AH170" s="118"/>
      <c r="AI170" s="118"/>
      <c r="AJ170" s="118"/>
      <c r="AK170" s="118"/>
      <c r="AL170" s="118"/>
      <c r="AM170" s="118"/>
      <c r="AN170" s="118"/>
      <c r="AO170" s="118"/>
      <c r="AP170" s="118"/>
      <c r="AQ170" s="118"/>
      <c r="AR170" s="118"/>
      <c r="AS170" s="118"/>
      <c r="AT170" s="118"/>
      <c r="AU170" s="118"/>
      <c r="AV170" s="118"/>
      <c r="AW170" s="118"/>
      <c r="AX170" s="118"/>
      <c r="AY170" s="118"/>
      <c r="AZ170" s="118"/>
      <c r="BA170" s="118"/>
      <c r="BB170" s="118"/>
      <c r="BC170" s="118"/>
      <c r="BD170" s="118"/>
      <c r="BE170" s="118"/>
      <c r="BF170" s="118"/>
      <c r="BG170" s="118"/>
      <c r="BH170" s="118"/>
      <c r="BI170" s="118"/>
      <c r="BJ170" s="118"/>
      <c r="BK170" s="118"/>
      <c r="BL170" s="118"/>
      <c r="BM170" s="118"/>
      <c r="BN170" s="118"/>
      <c r="BO170" s="118"/>
      <c r="BP170" s="118"/>
      <c r="BQ170" s="118"/>
      <c r="BR170" s="118"/>
      <c r="BS170" s="118"/>
      <c r="BT170" s="118"/>
      <c r="BU170" s="118"/>
      <c r="BV170" s="118"/>
      <c r="BW170" s="118"/>
      <c r="BX170" s="118"/>
      <c r="BY170" s="118"/>
      <c r="BZ170" s="118"/>
      <c r="CA170" s="118"/>
      <c r="CB170" s="118"/>
      <c r="CC170" s="118"/>
      <c r="CD170" s="118"/>
      <c r="CE170" s="118"/>
      <c r="CF170" s="118"/>
      <c r="CG170" s="118"/>
      <c r="CH170" s="118"/>
      <c r="CI170" s="118"/>
      <c r="CJ170" s="118"/>
      <c r="CK170" s="118"/>
      <c r="CL170" s="118"/>
      <c r="CM170" s="118"/>
      <c r="CN170" s="118"/>
      <c r="CO170" s="118"/>
      <c r="CP170" s="109"/>
      <c r="CQ170" s="109"/>
      <c r="CX170" s="1921"/>
      <c r="CY170" s="1921"/>
      <c r="CZ170" s="1921"/>
      <c r="DA170" s="1921"/>
      <c r="DB170" s="1921"/>
      <c r="DC170" s="1921"/>
      <c r="DD170" s="1921"/>
      <c r="DE170" s="1921"/>
      <c r="DF170" s="1921"/>
      <c r="DG170" s="1921"/>
      <c r="DH170" s="1921"/>
      <c r="DI170" s="1921"/>
      <c r="DJ170" s="1921"/>
      <c r="DK170" s="1921"/>
      <c r="DL170" s="1921"/>
      <c r="DM170" s="1921"/>
      <c r="DN170" s="1921"/>
      <c r="DO170" s="1921"/>
      <c r="DP170" s="1921"/>
      <c r="DQ170" s="1921"/>
      <c r="DR170" s="1921"/>
      <c r="DS170" s="1921"/>
      <c r="DT170" s="1921"/>
      <c r="DU170" s="1921"/>
      <c r="DV170" s="1921"/>
      <c r="DW170" s="1921"/>
      <c r="DX170" s="1921"/>
      <c r="DY170" s="1921"/>
      <c r="DZ170" s="1921"/>
      <c r="EA170" s="1921"/>
      <c r="EB170" s="1921"/>
      <c r="EC170" s="1921"/>
      <c r="ED170" s="1921"/>
      <c r="EE170" s="1921"/>
      <c r="EF170" s="1921"/>
      <c r="EG170" s="1921"/>
      <c r="EH170" s="1921"/>
      <c r="EI170" s="1921"/>
      <c r="EJ170" s="1921"/>
      <c r="EK170" s="1921"/>
      <c r="EL170" s="1921"/>
      <c r="EM170" s="1921"/>
      <c r="EN170" s="1921"/>
      <c r="EO170" s="1921"/>
      <c r="EP170" s="1921"/>
      <c r="EQ170" s="1921"/>
      <c r="ER170" s="1921"/>
      <c r="ES170" s="1921"/>
      <c r="ET170" s="1921"/>
      <c r="EW170" s="305"/>
      <c r="EX170" s="283"/>
      <c r="EY170" s="283"/>
      <c r="EZ170" s="109"/>
      <c r="FA170" s="170"/>
      <c r="FB170" s="109"/>
    </row>
    <row r="171" spans="1:158" ht="9" customHeight="1" thickBot="1">
      <c r="A171" s="87"/>
      <c r="B171" s="87"/>
      <c r="C171" s="87"/>
      <c r="D171" s="87"/>
      <c r="E171" s="87"/>
      <c r="F171" s="88"/>
      <c r="G171" s="88"/>
      <c r="H171" s="88"/>
      <c r="I171" s="87"/>
      <c r="J171" s="109"/>
      <c r="K171" s="109"/>
      <c r="L171" s="109"/>
      <c r="M171" s="109"/>
      <c r="N171" s="109"/>
      <c r="O171" s="105"/>
      <c r="P171" s="641"/>
      <c r="Q171" s="641"/>
      <c r="R171" s="641"/>
      <c r="S171" s="641"/>
      <c r="T171" s="641"/>
      <c r="U171" s="641"/>
      <c r="V171" s="641"/>
      <c r="W171" s="641"/>
      <c r="X171" s="131"/>
      <c r="Y171" s="109"/>
      <c r="Z171" s="3"/>
      <c r="AA171" s="3"/>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5"/>
      <c r="AW171" s="641"/>
      <c r="AX171" s="641"/>
      <c r="AY171" s="641"/>
      <c r="AZ171" s="641"/>
      <c r="BA171" s="641"/>
      <c r="BB171" s="641"/>
      <c r="BC171" s="641"/>
      <c r="BD171" s="131"/>
      <c r="BE171" s="109"/>
      <c r="BF171" s="109"/>
      <c r="BG171" s="109"/>
      <c r="BH171" s="109"/>
      <c r="BI171" s="105"/>
      <c r="BJ171" s="641"/>
      <c r="BK171" s="597"/>
      <c r="BL171" s="597"/>
      <c r="BM171" s="597"/>
      <c r="BN171" s="597"/>
      <c r="BO171" s="597"/>
      <c r="BP171" s="597"/>
      <c r="BQ171" s="597"/>
      <c r="BR171" s="131"/>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U171" s="118"/>
      <c r="CV171" s="252"/>
      <c r="CW171" s="87"/>
      <c r="CX171" s="308"/>
      <c r="CY171" s="87"/>
      <c r="CZ171" s="87"/>
      <c r="DA171" s="87"/>
      <c r="DB171" s="87"/>
      <c r="DC171" s="87"/>
      <c r="DD171" s="87"/>
      <c r="DE171" s="87"/>
      <c r="DF171" s="87"/>
      <c r="DG171" s="87"/>
      <c r="DH171" s="87"/>
      <c r="DI171" s="87"/>
      <c r="DJ171" s="87"/>
      <c r="DK171" s="87"/>
      <c r="DL171" s="87"/>
      <c r="DM171" s="87"/>
      <c r="DN171" s="87"/>
      <c r="DO171" s="87"/>
      <c r="DP171" s="87"/>
      <c r="DQ171" s="87"/>
      <c r="DR171" s="87"/>
      <c r="DS171" s="87"/>
      <c r="DT171" s="87"/>
      <c r="DU171" s="87"/>
      <c r="DV171" s="87"/>
      <c r="DW171" s="87"/>
      <c r="DX171" s="87"/>
      <c r="DY171" s="87"/>
      <c r="DZ171" s="87"/>
      <c r="EA171" s="87"/>
      <c r="EB171" s="87"/>
      <c r="EC171" s="87"/>
      <c r="ED171" s="87"/>
      <c r="EE171" s="87"/>
      <c r="EF171" s="87"/>
      <c r="EG171" s="87"/>
      <c r="EH171" s="87"/>
      <c r="EI171" s="87"/>
      <c r="EJ171" s="87"/>
      <c r="EK171" s="87"/>
      <c r="EL171" s="87"/>
      <c r="EM171" s="87"/>
      <c r="EN171" s="87"/>
      <c r="EO171" s="87"/>
      <c r="EP171" s="87"/>
      <c r="EQ171" s="87"/>
      <c r="ER171" s="87"/>
      <c r="ES171" s="87"/>
      <c r="ET171" s="87"/>
      <c r="EU171" s="308"/>
      <c r="EV171" s="87"/>
      <c r="EW171" s="283"/>
      <c r="EX171" s="109"/>
      <c r="EY171" s="283"/>
      <c r="EZ171" s="283"/>
      <c r="FA171" s="170"/>
      <c r="FB171" s="109"/>
    </row>
    <row r="172" spans="1:158" ht="9" customHeight="1" thickTop="1" thickBot="1">
      <c r="A172" s="87"/>
      <c r="B172" s="87"/>
      <c r="C172" s="87"/>
      <c r="D172" s="87"/>
      <c r="E172" s="87"/>
      <c r="F172" s="88"/>
      <c r="G172" s="88"/>
      <c r="H172" s="88"/>
      <c r="I172" s="87"/>
      <c r="J172" s="109"/>
      <c r="K172" s="641"/>
      <c r="L172" s="641"/>
      <c r="M172" s="641"/>
      <c r="N172" s="641"/>
      <c r="O172" s="93"/>
      <c r="P172" s="1865" t="s">
        <v>3611</v>
      </c>
      <c r="Q172" s="1865"/>
      <c r="R172" s="1865"/>
      <c r="S172" s="1865"/>
      <c r="T172" s="1865"/>
      <c r="U172" s="1865"/>
      <c r="V172" s="1865"/>
      <c r="W172" s="1865"/>
      <c r="X172" s="113"/>
      <c r="Y172" s="87"/>
      <c r="Z172" s="640"/>
      <c r="AA172" s="640"/>
      <c r="AB172" s="87"/>
      <c r="AC172" s="87"/>
      <c r="AD172" s="87"/>
      <c r="AE172" s="87"/>
      <c r="AF172" s="87"/>
      <c r="AG172" s="87"/>
      <c r="AH172" s="87"/>
      <c r="AI172" s="87"/>
      <c r="AJ172" s="87"/>
      <c r="AK172" s="87"/>
      <c r="AL172" s="87"/>
      <c r="AM172" s="87"/>
      <c r="AN172" s="87"/>
      <c r="AO172" s="87"/>
      <c r="AP172" s="87"/>
      <c r="AQ172" s="87"/>
      <c r="AR172" s="87"/>
      <c r="AS172" s="87"/>
      <c r="AT172" s="641"/>
      <c r="AU172" s="641"/>
      <c r="AV172" s="93"/>
      <c r="AW172" s="1942" t="s">
        <v>3783</v>
      </c>
      <c r="AX172" s="1942"/>
      <c r="AY172" s="1942"/>
      <c r="AZ172" s="1942"/>
      <c r="BA172" s="1942"/>
      <c r="BB172" s="1942"/>
      <c r="BC172" s="1942"/>
      <c r="BD172" s="113"/>
      <c r="BE172" s="145"/>
      <c r="BF172" s="87"/>
      <c r="BG172" s="641"/>
      <c r="BH172" s="641"/>
      <c r="BI172" s="641"/>
      <c r="BJ172" s="93"/>
      <c r="BK172" s="1865" t="s">
        <v>3612</v>
      </c>
      <c r="BL172" s="1877"/>
      <c r="BM172" s="1877"/>
      <c r="BN172" s="1877"/>
      <c r="BO172" s="1877"/>
      <c r="BP172" s="1877"/>
      <c r="BQ172" s="1877"/>
      <c r="BR172" s="1877"/>
      <c r="BS172" s="113"/>
      <c r="BT172" s="87"/>
      <c r="BU172" s="87"/>
      <c r="BV172" s="87"/>
      <c r="BW172" s="87"/>
      <c r="BX172" s="87"/>
      <c r="BY172" s="87"/>
      <c r="BZ172" s="87"/>
      <c r="CA172" s="87"/>
      <c r="CB172" s="87"/>
      <c r="CC172" s="87"/>
      <c r="CD172" s="87"/>
      <c r="CE172" s="87"/>
      <c r="CF172" s="87"/>
      <c r="CG172" s="87"/>
      <c r="CH172" s="87"/>
      <c r="CI172" s="87"/>
      <c r="CJ172" s="87"/>
      <c r="CK172" s="87"/>
      <c r="CL172" s="87"/>
      <c r="CM172" s="87"/>
      <c r="CN172" s="87"/>
      <c r="CO172" s="87"/>
      <c r="CP172" s="87"/>
      <c r="CQ172" s="87"/>
      <c r="CU172" s="109"/>
      <c r="CV172" s="252"/>
      <c r="CW172" s="87"/>
      <c r="CX172" s="308"/>
      <c r="CY172" s="2093" t="s">
        <v>3615</v>
      </c>
      <c r="CZ172" s="2093"/>
      <c r="DA172" s="2093"/>
      <c r="DB172" s="2093"/>
      <c r="DC172" s="2093"/>
      <c r="DD172" s="2093"/>
      <c r="DE172" s="2093"/>
      <c r="DF172" s="2093"/>
      <c r="DG172" s="2093"/>
      <c r="DH172" s="2093"/>
      <c r="DI172" s="2093"/>
      <c r="DJ172" s="2093"/>
      <c r="DK172" s="2093"/>
      <c r="DL172" s="2093"/>
      <c r="DM172" s="2093"/>
      <c r="DN172" s="2093"/>
      <c r="DO172" s="2093"/>
      <c r="DP172" s="2093"/>
      <c r="DQ172" s="2093"/>
      <c r="DR172" s="2093"/>
      <c r="DS172" s="2093"/>
      <c r="DT172" s="2093"/>
      <c r="DU172" s="2093"/>
      <c r="DV172" s="2093"/>
      <c r="DW172" s="2093"/>
      <c r="DX172" s="2093"/>
      <c r="DY172" s="2093"/>
      <c r="DZ172" s="2093"/>
      <c r="EA172" s="2093"/>
      <c r="EB172" s="2093"/>
      <c r="EC172" s="2093"/>
      <c r="ED172" s="2093"/>
      <c r="EE172" s="2093"/>
      <c r="EF172" s="2093"/>
      <c r="EG172" s="2093"/>
      <c r="EH172" s="2093"/>
      <c r="EI172" s="2093"/>
      <c r="EJ172" s="2093"/>
      <c r="EK172" s="2093"/>
      <c r="EL172" s="2093"/>
      <c r="EM172" s="2093"/>
      <c r="EN172" s="2093"/>
      <c r="EO172" s="2093"/>
      <c r="EP172" s="2093"/>
      <c r="EQ172" s="2093"/>
      <c r="ER172" s="2093"/>
      <c r="ES172" s="2093"/>
      <c r="ET172" s="2093"/>
      <c r="EU172" s="308"/>
      <c r="EV172" s="87"/>
      <c r="EW172" s="309"/>
      <c r="EX172" s="283"/>
      <c r="EY172" s="109"/>
      <c r="EZ172" s="283"/>
      <c r="FA172" s="310"/>
      <c r="FB172" s="109"/>
    </row>
    <row r="173" spans="1:158" ht="9" customHeight="1" thickTop="1" thickBot="1">
      <c r="A173" s="87"/>
      <c r="B173" s="87"/>
      <c r="C173" s="87"/>
      <c r="D173" s="87"/>
      <c r="E173" s="87"/>
      <c r="F173" s="88"/>
      <c r="G173" s="88"/>
      <c r="H173" s="88"/>
      <c r="I173" s="87"/>
      <c r="J173" s="109"/>
      <c r="K173" s="641"/>
      <c r="L173" s="641"/>
      <c r="M173" s="641"/>
      <c r="N173" s="641"/>
      <c r="O173" s="102"/>
      <c r="P173" s="1866"/>
      <c r="Q173" s="1866"/>
      <c r="R173" s="1866"/>
      <c r="S173" s="1866"/>
      <c r="T173" s="1866"/>
      <c r="U173" s="1866"/>
      <c r="V173" s="1866"/>
      <c r="W173" s="1866"/>
      <c r="X173" s="589"/>
      <c r="Y173" s="588"/>
      <c r="Z173" s="592"/>
      <c r="AA173" s="592"/>
      <c r="AB173" s="593"/>
      <c r="AC173" s="593"/>
      <c r="AD173" s="593"/>
      <c r="AE173" s="588"/>
      <c r="AF173" s="588"/>
      <c r="AG173" s="588"/>
      <c r="AH173" s="588"/>
      <c r="AI173" s="588"/>
      <c r="AJ173" s="588"/>
      <c r="AK173" s="588"/>
      <c r="AL173" s="588"/>
      <c r="AM173" s="588"/>
      <c r="AN173" s="588"/>
      <c r="AO173" s="588"/>
      <c r="AP173" s="588"/>
      <c r="AQ173" s="588"/>
      <c r="AR173" s="588"/>
      <c r="AS173" s="113"/>
      <c r="AT173" s="641"/>
      <c r="AU173" s="641"/>
      <c r="AV173" s="102"/>
      <c r="AW173" s="1866"/>
      <c r="AX173" s="1866"/>
      <c r="AY173" s="1866"/>
      <c r="AZ173" s="1866"/>
      <c r="BA173" s="1866"/>
      <c r="BB173" s="1866"/>
      <c r="BC173" s="1866"/>
      <c r="BD173" s="589"/>
      <c r="BE173" s="598"/>
      <c r="BF173" s="598"/>
      <c r="BG173" s="113"/>
      <c r="BH173" s="641"/>
      <c r="BI173" s="641"/>
      <c r="BJ173" s="102"/>
      <c r="BK173" s="1878"/>
      <c r="BL173" s="1878"/>
      <c r="BM173" s="1878"/>
      <c r="BN173" s="1878"/>
      <c r="BO173" s="1878"/>
      <c r="BP173" s="1878"/>
      <c r="BQ173" s="1878"/>
      <c r="BR173" s="1878"/>
      <c r="BS173" s="589"/>
      <c r="BT173" s="599"/>
      <c r="BU173" s="599"/>
      <c r="BV173" s="599"/>
      <c r="BW173" s="599"/>
      <c r="BX173" s="599"/>
      <c r="BY173" s="599"/>
      <c r="BZ173" s="599"/>
      <c r="CA173" s="599"/>
      <c r="CB173" s="599"/>
      <c r="CC173" s="599"/>
      <c r="CD173" s="599"/>
      <c r="CE173" s="599"/>
      <c r="CF173" s="599"/>
      <c r="CG173" s="599"/>
      <c r="CH173" s="599"/>
      <c r="CI173" s="599"/>
      <c r="CJ173" s="599"/>
      <c r="CK173" s="599"/>
      <c r="CL173" s="113"/>
      <c r="CM173" s="111"/>
      <c r="CN173" s="111"/>
      <c r="CO173" s="111"/>
      <c r="CP173" s="87"/>
      <c r="CQ173" s="87"/>
      <c r="CU173" s="109"/>
      <c r="CV173" s="87"/>
      <c r="CW173" s="87"/>
      <c r="CX173" s="311"/>
      <c r="CY173" s="2093"/>
      <c r="CZ173" s="2093"/>
      <c r="DA173" s="2093"/>
      <c r="DB173" s="2093"/>
      <c r="DC173" s="2093"/>
      <c r="DD173" s="2093"/>
      <c r="DE173" s="2093"/>
      <c r="DF173" s="2093"/>
      <c r="DG173" s="2093"/>
      <c r="DH173" s="2093"/>
      <c r="DI173" s="2093"/>
      <c r="DJ173" s="2093"/>
      <c r="DK173" s="2093"/>
      <c r="DL173" s="2093"/>
      <c r="DM173" s="2093"/>
      <c r="DN173" s="2093"/>
      <c r="DO173" s="2093"/>
      <c r="DP173" s="2093"/>
      <c r="DQ173" s="2093"/>
      <c r="DR173" s="2093"/>
      <c r="DS173" s="2093"/>
      <c r="DT173" s="2093"/>
      <c r="DU173" s="2093"/>
      <c r="DV173" s="2093"/>
      <c r="DW173" s="2093"/>
      <c r="DX173" s="2093"/>
      <c r="DY173" s="2093"/>
      <c r="DZ173" s="2093"/>
      <c r="EA173" s="2093"/>
      <c r="EB173" s="2093"/>
      <c r="EC173" s="2093"/>
      <c r="ED173" s="2093"/>
      <c r="EE173" s="2093"/>
      <c r="EF173" s="2093"/>
      <c r="EG173" s="2093"/>
      <c r="EH173" s="2093"/>
      <c r="EI173" s="2093"/>
      <c r="EJ173" s="2093"/>
      <c r="EK173" s="2093"/>
      <c r="EL173" s="2093"/>
      <c r="EM173" s="2093"/>
      <c r="EN173" s="2093"/>
      <c r="EO173" s="2093"/>
      <c r="EP173" s="2093"/>
      <c r="EQ173" s="2093"/>
      <c r="ER173" s="2093"/>
      <c r="ES173" s="2093"/>
      <c r="ET173" s="2093"/>
      <c r="EU173" s="311"/>
      <c r="EV173" s="87"/>
      <c r="EW173" s="312"/>
      <c r="EX173" s="283"/>
      <c r="EY173" s="283"/>
      <c r="EZ173" s="109"/>
      <c r="FA173" s="283"/>
      <c r="FB173" s="109"/>
    </row>
    <row r="174" spans="1:158" ht="9" customHeight="1" thickTop="1" thickBot="1">
      <c r="A174" s="87"/>
      <c r="B174" s="87"/>
      <c r="C174" s="87"/>
      <c r="D174" s="87"/>
      <c r="E174" s="87"/>
      <c r="F174" s="88"/>
      <c r="G174" s="88"/>
      <c r="H174" s="88"/>
      <c r="I174" s="87"/>
      <c r="J174" s="87"/>
      <c r="K174" s="111"/>
      <c r="L174" s="111"/>
      <c r="M174" s="122"/>
      <c r="N174" s="290"/>
      <c r="O174" s="102"/>
      <c r="P174" s="1879" t="str">
        <f>IF(Weapon4&lt;&gt;"",Weapon4,"")</f>
        <v/>
      </c>
      <c r="Q174" s="1879"/>
      <c r="R174" s="1879"/>
      <c r="S174" s="1879"/>
      <c r="T174" s="1879"/>
      <c r="U174" s="1879"/>
      <c r="V174" s="1879"/>
      <c r="W174" s="1879"/>
      <c r="X174" s="1879"/>
      <c r="Y174" s="1879"/>
      <c r="Z174" s="1879"/>
      <c r="AA174" s="1879"/>
      <c r="AB174" s="1879"/>
      <c r="AC174" s="1879"/>
      <c r="AD174" s="1879"/>
      <c r="AE174" s="1879"/>
      <c r="AF174" s="1879"/>
      <c r="AG174" s="1879"/>
      <c r="AH174" s="1879"/>
      <c r="AI174" s="1879"/>
      <c r="AJ174" s="1879"/>
      <c r="AK174" s="1879"/>
      <c r="AL174" s="1879"/>
      <c r="AM174" s="1879"/>
      <c r="AN174" s="1879"/>
      <c r="AO174" s="1879"/>
      <c r="AP174" s="1879"/>
      <c r="AQ174" s="1879"/>
      <c r="AR174" s="1879"/>
      <c r="AS174" s="646"/>
      <c r="AT174" s="122"/>
      <c r="AU174" s="290"/>
      <c r="AV174" s="102"/>
      <c r="AW174" s="1881" t="str">
        <f>Weapons!AI8</f>
        <v/>
      </c>
      <c r="AX174" s="1881"/>
      <c r="AY174" s="1881"/>
      <c r="AZ174" s="1881"/>
      <c r="BA174" s="1881"/>
      <c r="BB174" s="1881"/>
      <c r="BC174" s="1881"/>
      <c r="BD174" s="1881"/>
      <c r="BE174" s="1881"/>
      <c r="BF174" s="1881"/>
      <c r="BG174" s="100"/>
      <c r="BH174" s="122"/>
      <c r="BI174" s="290"/>
      <c r="BJ174" s="102"/>
      <c r="BK174" s="1883" t="str">
        <f>IF('old Weapons'!H70&lt;&gt;"",'old Weapons'!H70,"")</f>
        <v/>
      </c>
      <c r="BL174" s="1883"/>
      <c r="BM174" s="1883"/>
      <c r="BN174" s="1883"/>
      <c r="BO174" s="1883"/>
      <c r="BP174" s="1883"/>
      <c r="BQ174" s="1883"/>
      <c r="BR174" s="1883"/>
      <c r="BS174" s="1883"/>
      <c r="BT174" s="1924" t="str">
        <f>Weapons!AI9</f>
        <v/>
      </c>
      <c r="BU174" s="1924"/>
      <c r="BV174" s="1924"/>
      <c r="BW174" s="1924"/>
      <c r="BX174" s="1924"/>
      <c r="BY174" s="1924"/>
      <c r="BZ174" s="1924"/>
      <c r="CA174" s="1924"/>
      <c r="CB174" s="1924"/>
      <c r="CC174" s="1924"/>
      <c r="CD174" s="1924"/>
      <c r="CE174" s="1924"/>
      <c r="CF174" s="1924"/>
      <c r="CG174" s="1924"/>
      <c r="CH174" s="1924"/>
      <c r="CI174" s="1924"/>
      <c r="CJ174" s="1924"/>
      <c r="CK174" s="1924"/>
      <c r="CL174" s="656"/>
      <c r="CM174" s="122"/>
      <c r="CN174" s="122"/>
      <c r="CO174" s="118"/>
      <c r="CP174" s="109"/>
      <c r="CQ174" s="109"/>
      <c r="CU174" s="109"/>
      <c r="CV174" s="87"/>
      <c r="CW174" s="87"/>
      <c r="CX174" s="311"/>
      <c r="CY174" s="2093"/>
      <c r="CZ174" s="2093"/>
      <c r="DA174" s="2093"/>
      <c r="DB174" s="2093"/>
      <c r="DC174" s="2093"/>
      <c r="DD174" s="2093"/>
      <c r="DE174" s="2093"/>
      <c r="DF174" s="2093"/>
      <c r="DG174" s="2093"/>
      <c r="DH174" s="2093"/>
      <c r="DI174" s="2093"/>
      <c r="DJ174" s="2093"/>
      <c r="DK174" s="2093"/>
      <c r="DL174" s="2093"/>
      <c r="DM174" s="2093"/>
      <c r="DN174" s="2093"/>
      <c r="DO174" s="2093"/>
      <c r="DP174" s="2093"/>
      <c r="DQ174" s="2093"/>
      <c r="DR174" s="2093"/>
      <c r="DS174" s="2093"/>
      <c r="DT174" s="2093"/>
      <c r="DU174" s="2093"/>
      <c r="DV174" s="2093"/>
      <c r="DW174" s="2093"/>
      <c r="DX174" s="2093"/>
      <c r="DY174" s="2093"/>
      <c r="DZ174" s="2093"/>
      <c r="EA174" s="2093"/>
      <c r="EB174" s="2093"/>
      <c r="EC174" s="2093"/>
      <c r="ED174" s="2093"/>
      <c r="EE174" s="2093"/>
      <c r="EF174" s="2093"/>
      <c r="EG174" s="2093"/>
      <c r="EH174" s="2093"/>
      <c r="EI174" s="2093"/>
      <c r="EJ174" s="2093"/>
      <c r="EK174" s="2093"/>
      <c r="EL174" s="2093"/>
      <c r="EM174" s="2093"/>
      <c r="EN174" s="2093"/>
      <c r="EO174" s="2093"/>
      <c r="EP174" s="2093"/>
      <c r="EQ174" s="2093"/>
      <c r="ER174" s="2093"/>
      <c r="ES174" s="2093"/>
      <c r="ET174" s="2093"/>
      <c r="EU174" s="311"/>
      <c r="EV174" s="87"/>
      <c r="EW174" s="313"/>
      <c r="EX174" s="301"/>
      <c r="EY174" s="283"/>
      <c r="EZ174" s="283"/>
      <c r="FA174" s="305"/>
      <c r="FB174" s="87"/>
    </row>
    <row r="175" spans="1:158" ht="9" customHeight="1" thickTop="1" thickBot="1">
      <c r="A175" s="87"/>
      <c r="B175" s="87"/>
      <c r="C175" s="87"/>
      <c r="D175" s="87"/>
      <c r="E175" s="87"/>
      <c r="F175" s="88"/>
      <c r="G175" s="88"/>
      <c r="H175" s="88"/>
      <c r="I175" s="87"/>
      <c r="J175" s="87"/>
      <c r="K175" s="292"/>
      <c r="L175" s="293"/>
      <c r="M175" s="111"/>
      <c r="N175" s="111"/>
      <c r="O175" s="102"/>
      <c r="P175" s="1879"/>
      <c r="Q175" s="1879"/>
      <c r="R175" s="1879"/>
      <c r="S175" s="1879"/>
      <c r="T175" s="1879"/>
      <c r="U175" s="1879"/>
      <c r="V175" s="1879"/>
      <c r="W175" s="1879"/>
      <c r="X175" s="1879"/>
      <c r="Y175" s="1879"/>
      <c r="Z175" s="1879"/>
      <c r="AA175" s="1879"/>
      <c r="AB175" s="1879"/>
      <c r="AC175" s="1879"/>
      <c r="AD175" s="1879"/>
      <c r="AE175" s="1879"/>
      <c r="AF175" s="1879"/>
      <c r="AG175" s="1879"/>
      <c r="AH175" s="1879"/>
      <c r="AI175" s="1879"/>
      <c r="AJ175" s="1879"/>
      <c r="AK175" s="1879"/>
      <c r="AL175" s="1879"/>
      <c r="AM175" s="1879"/>
      <c r="AN175" s="1879"/>
      <c r="AO175" s="1879"/>
      <c r="AP175" s="1879"/>
      <c r="AQ175" s="1879"/>
      <c r="AR175" s="1879"/>
      <c r="AS175" s="646"/>
      <c r="AT175" s="111"/>
      <c r="AU175" s="111"/>
      <c r="AV175" s="647"/>
      <c r="AW175" s="1881"/>
      <c r="AX175" s="1881"/>
      <c r="AY175" s="1881"/>
      <c r="AZ175" s="1881"/>
      <c r="BA175" s="1881"/>
      <c r="BB175" s="1881"/>
      <c r="BC175" s="1881"/>
      <c r="BD175" s="1881"/>
      <c r="BE175" s="1881"/>
      <c r="BF175" s="1881"/>
      <c r="BG175" s="100"/>
      <c r="BH175" s="111"/>
      <c r="BI175" s="111"/>
      <c r="BJ175" s="102"/>
      <c r="BK175" s="1883"/>
      <c r="BL175" s="1883"/>
      <c r="BM175" s="1883"/>
      <c r="BN175" s="1883"/>
      <c r="BO175" s="1883"/>
      <c r="BP175" s="1883"/>
      <c r="BQ175" s="1883"/>
      <c r="BR175" s="1883"/>
      <c r="BS175" s="1883"/>
      <c r="BT175" s="1924"/>
      <c r="BU175" s="1924"/>
      <c r="BV175" s="1924"/>
      <c r="BW175" s="1924"/>
      <c r="BX175" s="1924"/>
      <c r="BY175" s="1924"/>
      <c r="BZ175" s="1924"/>
      <c r="CA175" s="1924"/>
      <c r="CB175" s="1924"/>
      <c r="CC175" s="1924"/>
      <c r="CD175" s="1924"/>
      <c r="CE175" s="1924"/>
      <c r="CF175" s="1924"/>
      <c r="CG175" s="1924"/>
      <c r="CH175" s="1924"/>
      <c r="CI175" s="1924"/>
      <c r="CJ175" s="1924"/>
      <c r="CK175" s="1924"/>
      <c r="CL175" s="656"/>
      <c r="CM175" s="111"/>
      <c r="CN175" s="111"/>
      <c r="CO175" s="256"/>
      <c r="CP175" s="109"/>
      <c r="CQ175" s="109"/>
      <c r="CU175" s="87"/>
      <c r="CV175" s="87"/>
      <c r="CW175" s="87"/>
      <c r="CX175" s="252"/>
      <c r="CY175" s="2093"/>
      <c r="CZ175" s="2093"/>
      <c r="DA175" s="2093"/>
      <c r="DB175" s="2093"/>
      <c r="DC175" s="2093"/>
      <c r="DD175" s="2093"/>
      <c r="DE175" s="2093"/>
      <c r="DF175" s="2093"/>
      <c r="DG175" s="2093"/>
      <c r="DH175" s="2093"/>
      <c r="DI175" s="2093"/>
      <c r="DJ175" s="2093"/>
      <c r="DK175" s="2093"/>
      <c r="DL175" s="2093"/>
      <c r="DM175" s="2093"/>
      <c r="DN175" s="2093"/>
      <c r="DO175" s="2093"/>
      <c r="DP175" s="2093"/>
      <c r="DQ175" s="2093"/>
      <c r="DR175" s="2093"/>
      <c r="DS175" s="2093"/>
      <c r="DT175" s="2093"/>
      <c r="DU175" s="2093"/>
      <c r="DV175" s="2093"/>
      <c r="DW175" s="2093"/>
      <c r="DX175" s="2093"/>
      <c r="DY175" s="2093"/>
      <c r="DZ175" s="2093"/>
      <c r="EA175" s="2093"/>
      <c r="EB175" s="2093"/>
      <c r="EC175" s="2093"/>
      <c r="ED175" s="2093"/>
      <c r="EE175" s="2093"/>
      <c r="EF175" s="2093"/>
      <c r="EG175" s="2093"/>
      <c r="EH175" s="2093"/>
      <c r="EI175" s="2093"/>
      <c r="EJ175" s="2093"/>
      <c r="EK175" s="2093"/>
      <c r="EL175" s="2093"/>
      <c r="EM175" s="2093"/>
      <c r="EN175" s="2093"/>
      <c r="EO175" s="2093"/>
      <c r="EP175" s="2093"/>
      <c r="EQ175" s="2093"/>
      <c r="ER175" s="2093"/>
      <c r="ES175" s="2093"/>
      <c r="ET175" s="2093"/>
      <c r="EU175" s="252"/>
      <c r="EV175" s="87"/>
      <c r="EW175" s="313"/>
      <c r="EX175" s="301"/>
      <c r="EY175" s="87"/>
      <c r="EZ175" s="283"/>
      <c r="FA175" s="87"/>
      <c r="FB175" s="87"/>
    </row>
    <row r="176" spans="1:158" ht="9" customHeight="1" thickTop="1" thickBot="1">
      <c r="A176" s="87"/>
      <c r="B176" s="87"/>
      <c r="C176" s="87"/>
      <c r="D176" s="87"/>
      <c r="E176" s="87"/>
      <c r="F176" s="88"/>
      <c r="G176" s="88"/>
      <c r="H176" s="88"/>
      <c r="I176" s="87"/>
      <c r="J176" s="144"/>
      <c r="K176" s="111"/>
      <c r="L176" s="111"/>
      <c r="M176" s="111"/>
      <c r="N176" s="111"/>
      <c r="O176" s="91"/>
      <c r="P176" s="1880"/>
      <c r="Q176" s="1880"/>
      <c r="R176" s="1880"/>
      <c r="S176" s="1880"/>
      <c r="T176" s="1880"/>
      <c r="U176" s="1880"/>
      <c r="V176" s="1880"/>
      <c r="W176" s="1880"/>
      <c r="X176" s="1880"/>
      <c r="Y176" s="1880"/>
      <c r="Z176" s="1880"/>
      <c r="AA176" s="1880"/>
      <c r="AB176" s="1880"/>
      <c r="AC176" s="1880"/>
      <c r="AD176" s="1880"/>
      <c r="AE176" s="1880"/>
      <c r="AF176" s="1880"/>
      <c r="AG176" s="1880"/>
      <c r="AH176" s="1880"/>
      <c r="AI176" s="1880"/>
      <c r="AJ176" s="1880"/>
      <c r="AK176" s="1880"/>
      <c r="AL176" s="1880"/>
      <c r="AM176" s="1880"/>
      <c r="AN176" s="1880"/>
      <c r="AO176" s="1880"/>
      <c r="AP176" s="1880"/>
      <c r="AQ176" s="1880"/>
      <c r="AR176" s="1880"/>
      <c r="AS176" s="648"/>
      <c r="AT176" s="641"/>
      <c r="AU176" s="641"/>
      <c r="AV176" s="649"/>
      <c r="AW176" s="1882"/>
      <c r="AX176" s="1882"/>
      <c r="AY176" s="1882"/>
      <c r="AZ176" s="1882"/>
      <c r="BA176" s="1882"/>
      <c r="BB176" s="1882"/>
      <c r="BC176" s="1882"/>
      <c r="BD176" s="1882"/>
      <c r="BE176" s="1882"/>
      <c r="BF176" s="1882"/>
      <c r="BG176" s="93"/>
      <c r="BH176" s="641"/>
      <c r="BI176" s="641"/>
      <c r="BJ176" s="91"/>
      <c r="BK176" s="655"/>
      <c r="BL176" s="655"/>
      <c r="BM176" s="655"/>
      <c r="BN176" s="655"/>
      <c r="BO176" s="655"/>
      <c r="BP176" s="655"/>
      <c r="BQ176" s="655"/>
      <c r="BR176" s="655"/>
      <c r="BS176" s="655"/>
      <c r="BT176" s="1925"/>
      <c r="BU176" s="1925"/>
      <c r="BV176" s="1925"/>
      <c r="BW176" s="1925"/>
      <c r="BX176" s="1925"/>
      <c r="BY176" s="1925"/>
      <c r="BZ176" s="1925"/>
      <c r="CA176" s="1925"/>
      <c r="CB176" s="1925"/>
      <c r="CC176" s="1925"/>
      <c r="CD176" s="1925"/>
      <c r="CE176" s="1925"/>
      <c r="CF176" s="1925"/>
      <c r="CG176" s="1925"/>
      <c r="CH176" s="1925"/>
      <c r="CI176" s="1925"/>
      <c r="CJ176" s="1925"/>
      <c r="CK176" s="1925"/>
      <c r="CL176" s="93"/>
      <c r="CM176" s="118"/>
      <c r="CN176" s="118"/>
      <c r="CO176" s="118"/>
      <c r="CP176" s="256"/>
      <c r="CQ176" s="109"/>
      <c r="CU176" s="109"/>
      <c r="CV176" s="87"/>
      <c r="CW176" s="87"/>
      <c r="CX176" s="252"/>
      <c r="CY176" s="2093"/>
      <c r="CZ176" s="2093"/>
      <c r="DA176" s="2093"/>
      <c r="DB176" s="2093"/>
      <c r="DC176" s="2093"/>
      <c r="DD176" s="2093"/>
      <c r="DE176" s="2093"/>
      <c r="DF176" s="2093"/>
      <c r="DG176" s="2093"/>
      <c r="DH176" s="2093"/>
      <c r="DI176" s="2093"/>
      <c r="DJ176" s="2093"/>
      <c r="DK176" s="2093"/>
      <c r="DL176" s="2093"/>
      <c r="DM176" s="2093"/>
      <c r="DN176" s="2093"/>
      <c r="DO176" s="2093"/>
      <c r="DP176" s="2093"/>
      <c r="DQ176" s="2093"/>
      <c r="DR176" s="2093"/>
      <c r="DS176" s="2093"/>
      <c r="DT176" s="2093"/>
      <c r="DU176" s="2093"/>
      <c r="DV176" s="2093"/>
      <c r="DW176" s="2093"/>
      <c r="DX176" s="2093"/>
      <c r="DY176" s="2093"/>
      <c r="DZ176" s="2093"/>
      <c r="EA176" s="2093"/>
      <c r="EB176" s="2093"/>
      <c r="EC176" s="2093"/>
      <c r="ED176" s="2093"/>
      <c r="EE176" s="2093"/>
      <c r="EF176" s="2093"/>
      <c r="EG176" s="2093"/>
      <c r="EH176" s="2093"/>
      <c r="EI176" s="2093"/>
      <c r="EJ176" s="2093"/>
      <c r="EK176" s="2093"/>
      <c r="EL176" s="2093"/>
      <c r="EM176" s="2093"/>
      <c r="EN176" s="2093"/>
      <c r="EO176" s="2093"/>
      <c r="EP176" s="2093"/>
      <c r="EQ176" s="2093"/>
      <c r="ER176" s="2093"/>
      <c r="ES176" s="2093"/>
      <c r="ET176" s="2093"/>
      <c r="EU176" s="252"/>
      <c r="EV176" s="109"/>
      <c r="EW176" s="313"/>
      <c r="EX176" s="301"/>
      <c r="EY176" s="87"/>
      <c r="EZ176" s="170"/>
      <c r="FA176" s="87"/>
      <c r="FB176" s="87"/>
    </row>
    <row r="177" spans="1:158" ht="9" customHeight="1" thickTop="1" thickBot="1">
      <c r="A177" s="87"/>
      <c r="B177" s="87"/>
      <c r="C177" s="87"/>
      <c r="D177" s="87"/>
      <c r="E177" s="87"/>
      <c r="F177" s="88"/>
      <c r="G177" s="88"/>
      <c r="H177" s="88"/>
      <c r="I177" s="112"/>
      <c r="J177" s="1861" t="str">
        <f>IF(Weapons!AI$61&lt;&gt;"","MOUNTED","")</f>
        <v/>
      </c>
      <c r="K177" s="1862"/>
      <c r="L177" s="1862"/>
      <c r="M177" s="641"/>
      <c r="N177" s="641"/>
      <c r="O177" s="641"/>
      <c r="P177" s="641"/>
      <c r="Q177" s="641"/>
      <c r="R177" s="641"/>
      <c r="S177" s="641"/>
      <c r="T177" s="641"/>
      <c r="U177" s="641"/>
      <c r="V177" s="641"/>
      <c r="W177" s="641"/>
      <c r="X177" s="641"/>
      <c r="Y177" s="641"/>
      <c r="Z177" s="641"/>
      <c r="AA177" s="641"/>
      <c r="AB177" s="641"/>
      <c r="AC177" s="641"/>
      <c r="AD177" s="641"/>
      <c r="AE177" s="641"/>
      <c r="AF177" s="641"/>
      <c r="AG177" s="641"/>
      <c r="AH177" s="641"/>
      <c r="AI177" s="641"/>
      <c r="AJ177" s="641"/>
      <c r="AK177" s="641"/>
      <c r="AL177" s="641"/>
      <c r="AM177" s="641"/>
      <c r="AN177" s="641"/>
      <c r="AO177" s="641"/>
      <c r="AP177" s="641"/>
      <c r="AQ177" s="641"/>
      <c r="AR177" s="641"/>
      <c r="AS177" s="641"/>
      <c r="AT177" s="641"/>
      <c r="AU177" s="641"/>
      <c r="AV177" s="641"/>
      <c r="AW177" s="641"/>
      <c r="AX177" s="641"/>
      <c r="AY177" s="641"/>
      <c r="AZ177" s="641"/>
      <c r="BA177" s="641"/>
      <c r="BB177" s="641"/>
      <c r="BC177" s="641"/>
      <c r="BD177" s="641"/>
      <c r="BE177" s="641"/>
      <c r="BF177" s="641"/>
      <c r="BG177" s="641"/>
      <c r="BH177" s="641"/>
      <c r="BI177" s="641"/>
      <c r="BJ177" s="641"/>
      <c r="BK177" s="641"/>
      <c r="BL177" s="641"/>
      <c r="BM177" s="641"/>
      <c r="BN177" s="641"/>
      <c r="BO177" s="641"/>
      <c r="BP177" s="641"/>
      <c r="BQ177" s="641"/>
      <c r="BR177" s="641"/>
      <c r="BS177" s="641"/>
      <c r="BT177" s="641"/>
      <c r="BU177" s="641"/>
      <c r="BV177" s="641"/>
      <c r="BW177" s="641"/>
      <c r="BX177" s="641"/>
      <c r="BY177" s="641"/>
      <c r="BZ177" s="641"/>
      <c r="CA177" s="641"/>
      <c r="CB177" s="641"/>
      <c r="CC177" s="641"/>
      <c r="CD177" s="641"/>
      <c r="CE177" s="641"/>
      <c r="CF177" s="641"/>
      <c r="CG177" s="641"/>
      <c r="CH177" s="641"/>
      <c r="CI177" s="641"/>
      <c r="CJ177" s="641"/>
      <c r="CK177" s="641"/>
      <c r="CL177" s="641"/>
      <c r="CM177" s="596"/>
      <c r="CN177" s="596"/>
      <c r="CO177" s="596"/>
      <c r="CP177" s="112"/>
      <c r="CQ177" s="87"/>
      <c r="CU177" s="109"/>
      <c r="CV177" s="87"/>
      <c r="CW177" s="87"/>
      <c r="CX177" s="87"/>
      <c r="CY177" s="1871">
        <v>1</v>
      </c>
      <c r="CZ177" s="1872"/>
      <c r="DA177" s="1872"/>
      <c r="DB177" s="1872"/>
      <c r="DC177" s="1897">
        <v>2</v>
      </c>
      <c r="DD177" s="1872"/>
      <c r="DE177" s="1872"/>
      <c r="DF177" s="1872"/>
      <c r="DG177" s="1897">
        <v>3</v>
      </c>
      <c r="DH177" s="1872"/>
      <c r="DI177" s="1872"/>
      <c r="DJ177" s="1872"/>
      <c r="DK177" s="1897">
        <v>4</v>
      </c>
      <c r="DL177" s="1872"/>
      <c r="DM177" s="1872"/>
      <c r="DN177" s="1872"/>
      <c r="DO177" s="1897">
        <v>5</v>
      </c>
      <c r="DP177" s="1872"/>
      <c r="DQ177" s="1872"/>
      <c r="DR177" s="1872"/>
      <c r="DS177" s="1897">
        <v>6</v>
      </c>
      <c r="DT177" s="1872"/>
      <c r="DU177" s="1872"/>
      <c r="DV177" s="1872"/>
      <c r="DW177" s="1897">
        <v>7</v>
      </c>
      <c r="DX177" s="1872"/>
      <c r="DY177" s="1872"/>
      <c r="DZ177" s="1872"/>
      <c r="EA177" s="1897">
        <v>8</v>
      </c>
      <c r="EB177" s="1872"/>
      <c r="EC177" s="1872"/>
      <c r="ED177" s="1872"/>
      <c r="EE177" s="1898">
        <v>9</v>
      </c>
      <c r="EF177" s="1874"/>
      <c r="EG177" s="1874"/>
      <c r="EH177" s="1874"/>
      <c r="EI177" s="1898">
        <v>10</v>
      </c>
      <c r="EJ177" s="1874"/>
      <c r="EK177" s="1874"/>
      <c r="EL177" s="1874"/>
      <c r="EM177" s="1898">
        <v>11</v>
      </c>
      <c r="EN177" s="1874"/>
      <c r="EO177" s="1874"/>
      <c r="EP177" s="1874"/>
      <c r="EQ177" s="1898">
        <v>12</v>
      </c>
      <c r="ER177" s="1874"/>
      <c r="ES177" s="1874"/>
      <c r="ET177" s="2092"/>
      <c r="EU177" s="87"/>
      <c r="EV177" s="109"/>
      <c r="EW177" s="313"/>
      <c r="EX177" s="301"/>
      <c r="EY177" s="87"/>
      <c r="EZ177" s="170"/>
      <c r="FA177" s="87"/>
      <c r="FB177" s="87"/>
    </row>
    <row r="178" spans="1:158" ht="9" customHeight="1" thickTop="1">
      <c r="A178" s="87"/>
      <c r="B178" s="87"/>
      <c r="C178" s="87"/>
      <c r="D178" s="87"/>
      <c r="E178" s="87"/>
      <c r="F178" s="88"/>
      <c r="G178" s="88"/>
      <c r="H178" s="88"/>
      <c r="I178" s="112"/>
      <c r="J178" s="1861"/>
      <c r="K178" s="1862"/>
      <c r="L178" s="1862"/>
      <c r="M178" s="93"/>
      <c r="N178" s="1865" t="s">
        <v>3613</v>
      </c>
      <c r="O178" s="1865"/>
      <c r="P178" s="1865"/>
      <c r="Q178" s="1865"/>
      <c r="R178" s="295"/>
      <c r="S178" s="295"/>
      <c r="T178" s="600"/>
      <c r="U178" s="600"/>
      <c r="V178" s="594"/>
      <c r="W178" s="594"/>
      <c r="X178" s="594"/>
      <c r="Y178" s="594"/>
      <c r="Z178" s="594"/>
      <c r="AA178" s="594"/>
      <c r="AB178" s="594"/>
      <c r="AC178" s="594"/>
      <c r="AD178" s="594"/>
      <c r="AE178" s="594"/>
      <c r="AF178" s="594"/>
      <c r="AG178" s="594"/>
      <c r="AH178" s="594"/>
      <c r="AI178" s="594"/>
      <c r="AJ178" s="594"/>
      <c r="AK178" s="594"/>
      <c r="AL178" s="297"/>
      <c r="AM178" s="818"/>
      <c r="AN178" s="818"/>
      <c r="AO178" s="93"/>
      <c r="AP178" s="1865" t="s">
        <v>4051</v>
      </c>
      <c r="AQ178" s="1865"/>
      <c r="AR178" s="1865"/>
      <c r="AS178" s="1865"/>
      <c r="AT178" s="295"/>
      <c r="AU178" s="295"/>
      <c r="AV178" s="295"/>
      <c r="AW178" s="295"/>
      <c r="AX178" s="295"/>
      <c r="AY178" s="295"/>
      <c r="AZ178" s="295"/>
      <c r="BA178" s="295"/>
      <c r="BB178" s="295"/>
      <c r="BC178" s="295"/>
      <c r="BD178" s="295"/>
      <c r="BE178" s="113"/>
      <c r="BF178" s="818"/>
      <c r="BG178" s="818"/>
      <c r="BH178" s="93"/>
      <c r="BI178" s="1865" t="str">
        <f>IF(CC179&lt;&gt;"","AMMO","POWER")</f>
        <v>POWER</v>
      </c>
      <c r="BJ178" s="1865"/>
      <c r="BK178" s="1865"/>
      <c r="BL178" s="1865"/>
      <c r="BM178" s="1865"/>
      <c r="BN178" s="1865"/>
      <c r="BO178" s="295"/>
      <c r="BP178" s="295"/>
      <c r="BQ178" s="295"/>
      <c r="BR178" s="295"/>
      <c r="BS178" s="295"/>
      <c r="BT178" s="295"/>
      <c r="BU178" s="295"/>
      <c r="BV178" s="295"/>
      <c r="BW178" s="295"/>
      <c r="BX178" s="295"/>
      <c r="BY178" s="295"/>
      <c r="BZ178" s="295"/>
      <c r="CA178" s="295"/>
      <c r="CB178" s="295"/>
      <c r="CC178" s="295"/>
      <c r="CD178" s="295"/>
      <c r="CE178" s="295"/>
      <c r="CF178" s="295"/>
      <c r="CG178" s="295"/>
      <c r="CH178" s="295"/>
      <c r="CI178" s="295"/>
      <c r="CJ178" s="295"/>
      <c r="CK178" s="295"/>
      <c r="CL178" s="113"/>
      <c r="CM178" s="595"/>
      <c r="CN178" s="595"/>
      <c r="CO178" s="595"/>
      <c r="CP178" s="112"/>
      <c r="CQ178" s="87"/>
      <c r="CU178" s="109"/>
      <c r="CV178" s="87"/>
      <c r="CW178" s="87"/>
      <c r="CX178" s="87"/>
      <c r="CY178" s="1873"/>
      <c r="CZ178" s="1874"/>
      <c r="DA178" s="1874"/>
      <c r="DB178" s="1874"/>
      <c r="DC178" s="1874"/>
      <c r="DD178" s="1874"/>
      <c r="DE178" s="1874"/>
      <c r="DF178" s="1874"/>
      <c r="DG178" s="1874"/>
      <c r="DH178" s="1874"/>
      <c r="DI178" s="1874"/>
      <c r="DJ178" s="1874"/>
      <c r="DK178" s="1874"/>
      <c r="DL178" s="1874"/>
      <c r="DM178" s="1874"/>
      <c r="DN178" s="1874"/>
      <c r="DO178" s="1874"/>
      <c r="DP178" s="1874"/>
      <c r="DQ178" s="1874"/>
      <c r="DR178" s="1874"/>
      <c r="DS178" s="1874"/>
      <c r="DT178" s="1874"/>
      <c r="DU178" s="1874"/>
      <c r="DV178" s="1874"/>
      <c r="DW178" s="1874"/>
      <c r="DX178" s="1874"/>
      <c r="DY178" s="1874"/>
      <c r="DZ178" s="1874"/>
      <c r="EA178" s="1874"/>
      <c r="EB178" s="1874"/>
      <c r="EC178" s="1874"/>
      <c r="ED178" s="1874"/>
      <c r="EE178" s="1874"/>
      <c r="EF178" s="1874"/>
      <c r="EG178" s="1874"/>
      <c r="EH178" s="1874"/>
      <c r="EI178" s="1874"/>
      <c r="EJ178" s="1874"/>
      <c r="EK178" s="1874"/>
      <c r="EL178" s="1874"/>
      <c r="EM178" s="1874"/>
      <c r="EN178" s="1874"/>
      <c r="EO178" s="1874"/>
      <c r="EP178" s="1874"/>
      <c r="EQ178" s="1874"/>
      <c r="ER178" s="1874"/>
      <c r="ES178" s="1874"/>
      <c r="ET178" s="2092"/>
      <c r="EU178" s="314"/>
      <c r="EV178" s="301"/>
      <c r="EW178" s="313"/>
      <c r="EX178" s="301"/>
      <c r="EY178" s="87"/>
      <c r="EZ178" s="170"/>
      <c r="FA178" s="87"/>
      <c r="FB178" s="87"/>
    </row>
    <row r="179" spans="1:158" ht="9" customHeight="1">
      <c r="A179" s="87"/>
      <c r="B179" s="87"/>
      <c r="C179" s="87"/>
      <c r="D179" s="87"/>
      <c r="E179" s="87"/>
      <c r="F179" s="88"/>
      <c r="G179" s="88"/>
      <c r="H179" s="88"/>
      <c r="I179" s="112"/>
      <c r="J179" s="1861"/>
      <c r="K179" s="1862"/>
      <c r="L179" s="1862"/>
      <c r="M179" s="102"/>
      <c r="N179" s="1866"/>
      <c r="O179" s="1866"/>
      <c r="P179" s="1866"/>
      <c r="Q179" s="1866"/>
      <c r="R179" s="1867" t="str">
        <f>Weapons!AI$34</f>
        <v/>
      </c>
      <c r="S179" s="1867"/>
      <c r="T179" s="1867"/>
      <c r="U179" s="1867"/>
      <c r="V179" s="1867"/>
      <c r="W179" s="1867"/>
      <c r="X179" s="1867"/>
      <c r="Y179" s="1867"/>
      <c r="Z179" s="1867"/>
      <c r="AA179" s="1867"/>
      <c r="AB179" s="1867"/>
      <c r="AC179" s="1867"/>
      <c r="AD179" s="1867"/>
      <c r="AE179" s="1867"/>
      <c r="AF179" s="1867"/>
      <c r="AG179" s="1867"/>
      <c r="AH179" s="1867"/>
      <c r="AI179" s="1867"/>
      <c r="AJ179" s="1867"/>
      <c r="AK179" s="1867"/>
      <c r="AL179" s="300"/>
      <c r="AM179" s="818"/>
      <c r="AN179" s="818"/>
      <c r="AO179" s="102"/>
      <c r="AP179" s="1866"/>
      <c r="AQ179" s="1866"/>
      <c r="AR179" s="1866"/>
      <c r="AS179" s="1866"/>
      <c r="AT179" s="1869" t="str">
        <f>Weapons!AI$23</f>
        <v/>
      </c>
      <c r="AU179" s="1869"/>
      <c r="AV179" s="1869"/>
      <c r="AW179" s="1869"/>
      <c r="AX179" s="1869"/>
      <c r="AY179" s="1869"/>
      <c r="AZ179" s="1869"/>
      <c r="BA179" s="1869"/>
      <c r="BB179" s="1869"/>
      <c r="BC179" s="1869"/>
      <c r="BD179" s="1869"/>
      <c r="BE179" s="100"/>
      <c r="BF179" s="818"/>
      <c r="BG179" s="818"/>
      <c r="BH179" s="102"/>
      <c r="BI179" s="1866"/>
      <c r="BJ179" s="1866"/>
      <c r="BK179" s="1866"/>
      <c r="BL179" s="1866"/>
      <c r="BM179" s="1866"/>
      <c r="BN179" s="1866"/>
      <c r="BO179" s="1875" t="str">
        <f>Weapons!AI$25</f>
        <v/>
      </c>
      <c r="BP179" s="1875"/>
      <c r="BQ179" s="1875"/>
      <c r="BR179" s="1875"/>
      <c r="BS179" s="1875"/>
      <c r="BT179" s="1875"/>
      <c r="BU179" s="1875"/>
      <c r="BV179" s="1875"/>
      <c r="BW179" s="1875"/>
      <c r="BX179" s="1875"/>
      <c r="BY179" s="1875"/>
      <c r="BZ179" s="1875"/>
      <c r="CA179" s="1875"/>
      <c r="CB179" s="1875"/>
      <c r="CC179" s="1863" t="str">
        <f>Weapons!AI$26</f>
        <v/>
      </c>
      <c r="CD179" s="1863"/>
      <c r="CE179" s="1863"/>
      <c r="CF179" s="1863"/>
      <c r="CG179" s="1863"/>
      <c r="CH179" s="1863"/>
      <c r="CI179" s="1863"/>
      <c r="CJ179" s="1863"/>
      <c r="CK179" s="1863"/>
      <c r="CL179" s="100"/>
      <c r="CM179" s="657"/>
      <c r="CN179" s="657"/>
      <c r="CO179" s="657"/>
      <c r="CP179" s="112"/>
      <c r="CQ179" s="109"/>
      <c r="CU179" s="109"/>
      <c r="CV179" s="87"/>
      <c r="CW179" s="87"/>
      <c r="CX179" s="87"/>
      <c r="CY179" s="1873"/>
      <c r="CZ179" s="1874"/>
      <c r="DA179" s="1874"/>
      <c r="DB179" s="1874"/>
      <c r="DC179" s="1874"/>
      <c r="DD179" s="1874"/>
      <c r="DE179" s="1874"/>
      <c r="DF179" s="1874"/>
      <c r="DG179" s="1874"/>
      <c r="DH179" s="1874"/>
      <c r="DI179" s="1874"/>
      <c r="DJ179" s="1874"/>
      <c r="DK179" s="1874"/>
      <c r="DL179" s="1874"/>
      <c r="DM179" s="1874"/>
      <c r="DN179" s="1874"/>
      <c r="DO179" s="1874"/>
      <c r="DP179" s="1874"/>
      <c r="DQ179" s="1874"/>
      <c r="DR179" s="1874"/>
      <c r="DS179" s="1874"/>
      <c r="DT179" s="1874"/>
      <c r="DU179" s="1874"/>
      <c r="DV179" s="1874"/>
      <c r="DW179" s="1874"/>
      <c r="DX179" s="1874"/>
      <c r="DY179" s="1874"/>
      <c r="DZ179" s="1874"/>
      <c r="EA179" s="1874"/>
      <c r="EB179" s="1874"/>
      <c r="EC179" s="1874"/>
      <c r="ED179" s="1874"/>
      <c r="EE179" s="1874"/>
      <c r="EF179" s="1874"/>
      <c r="EG179" s="1874"/>
      <c r="EH179" s="1874"/>
      <c r="EI179" s="1874"/>
      <c r="EJ179" s="1874"/>
      <c r="EK179" s="1874"/>
      <c r="EL179" s="1874"/>
      <c r="EM179" s="1874"/>
      <c r="EN179" s="1874"/>
      <c r="EO179" s="1874"/>
      <c r="EP179" s="1874"/>
      <c r="EQ179" s="1874"/>
      <c r="ER179" s="1874"/>
      <c r="ES179" s="1874"/>
      <c r="ET179" s="2092"/>
      <c r="EU179" s="314"/>
      <c r="EV179" s="301"/>
      <c r="EW179" s="315"/>
      <c r="EX179" s="301"/>
      <c r="EY179" s="87"/>
      <c r="EZ179" s="170"/>
      <c r="FA179" s="87"/>
      <c r="FB179" s="87"/>
    </row>
    <row r="180" spans="1:158" ht="9" customHeight="1">
      <c r="A180" s="87"/>
      <c r="B180" s="87"/>
      <c r="C180" s="87"/>
      <c r="D180" s="87"/>
      <c r="E180" s="87"/>
      <c r="F180" s="88"/>
      <c r="G180" s="88"/>
      <c r="H180" s="88"/>
      <c r="I180" s="112"/>
      <c r="J180" s="1861"/>
      <c r="K180" s="1862"/>
      <c r="L180" s="1862"/>
      <c r="M180" s="102"/>
      <c r="N180" s="105"/>
      <c r="O180" s="105"/>
      <c r="P180" s="105"/>
      <c r="Q180" s="105"/>
      <c r="R180" s="1867"/>
      <c r="S180" s="1867"/>
      <c r="T180" s="1867"/>
      <c r="U180" s="1867"/>
      <c r="V180" s="1867"/>
      <c r="W180" s="1867"/>
      <c r="X180" s="1867"/>
      <c r="Y180" s="1867"/>
      <c r="Z180" s="1867"/>
      <c r="AA180" s="1867"/>
      <c r="AB180" s="1867"/>
      <c r="AC180" s="1867"/>
      <c r="AD180" s="1867"/>
      <c r="AE180" s="1867"/>
      <c r="AF180" s="1867"/>
      <c r="AG180" s="1867"/>
      <c r="AH180" s="1867"/>
      <c r="AI180" s="1867"/>
      <c r="AJ180" s="1867"/>
      <c r="AK180" s="1867"/>
      <c r="AL180" s="103"/>
      <c r="AM180" s="818"/>
      <c r="AN180" s="818"/>
      <c r="AO180" s="102"/>
      <c r="AP180" s="820"/>
      <c r="AQ180" s="820"/>
      <c r="AR180" s="820"/>
      <c r="AS180" s="820"/>
      <c r="AT180" s="1869"/>
      <c r="AU180" s="1869"/>
      <c r="AV180" s="1869"/>
      <c r="AW180" s="1869"/>
      <c r="AX180" s="1869"/>
      <c r="AY180" s="1869"/>
      <c r="AZ180" s="1869"/>
      <c r="BA180" s="1869"/>
      <c r="BB180" s="1869"/>
      <c r="BC180" s="1869"/>
      <c r="BD180" s="1869"/>
      <c r="BE180" s="100"/>
      <c r="BF180" s="818"/>
      <c r="BG180" s="818"/>
      <c r="BH180" s="102"/>
      <c r="BI180" s="820"/>
      <c r="BJ180" s="820"/>
      <c r="BK180" s="820"/>
      <c r="BL180" s="820"/>
      <c r="BM180" s="820"/>
      <c r="BN180" s="820"/>
      <c r="BO180" s="1875"/>
      <c r="BP180" s="1875"/>
      <c r="BQ180" s="1875"/>
      <c r="BR180" s="1875"/>
      <c r="BS180" s="1875"/>
      <c r="BT180" s="1875"/>
      <c r="BU180" s="1875"/>
      <c r="BV180" s="1875"/>
      <c r="BW180" s="1875"/>
      <c r="BX180" s="1875"/>
      <c r="BY180" s="1875"/>
      <c r="BZ180" s="1875"/>
      <c r="CA180" s="1875"/>
      <c r="CB180" s="1875"/>
      <c r="CC180" s="1863"/>
      <c r="CD180" s="1863"/>
      <c r="CE180" s="1863"/>
      <c r="CF180" s="1863"/>
      <c r="CG180" s="1863"/>
      <c r="CH180" s="1863"/>
      <c r="CI180" s="1863"/>
      <c r="CJ180" s="1863"/>
      <c r="CK180" s="1863"/>
      <c r="CL180" s="100"/>
      <c r="CM180" s="657"/>
      <c r="CN180" s="657"/>
      <c r="CO180" s="657"/>
      <c r="CP180" s="112"/>
      <c r="CQ180" s="109"/>
      <c r="CU180" s="109"/>
      <c r="CV180" s="87"/>
      <c r="CW180" s="87"/>
      <c r="CX180" s="87"/>
      <c r="CY180" s="1873"/>
      <c r="CZ180" s="1874"/>
      <c r="DA180" s="1874"/>
      <c r="DB180" s="1874"/>
      <c r="DC180" s="1874"/>
      <c r="DD180" s="1874"/>
      <c r="DE180" s="1874"/>
      <c r="DF180" s="1874"/>
      <c r="DG180" s="1874"/>
      <c r="DH180" s="1874"/>
      <c r="DI180" s="1874"/>
      <c r="DJ180" s="1874"/>
      <c r="DK180" s="1874"/>
      <c r="DL180" s="1874"/>
      <c r="DM180" s="1874"/>
      <c r="DN180" s="1874"/>
      <c r="DO180" s="1874"/>
      <c r="DP180" s="1874"/>
      <c r="DQ180" s="1874"/>
      <c r="DR180" s="1874"/>
      <c r="DS180" s="1874"/>
      <c r="DT180" s="1874"/>
      <c r="DU180" s="1874"/>
      <c r="DV180" s="1874"/>
      <c r="DW180" s="1874"/>
      <c r="DX180" s="1874"/>
      <c r="DY180" s="1874"/>
      <c r="DZ180" s="1874"/>
      <c r="EA180" s="1874"/>
      <c r="EB180" s="1874"/>
      <c r="EC180" s="1874"/>
      <c r="ED180" s="1874"/>
      <c r="EE180" s="1874"/>
      <c r="EF180" s="1874"/>
      <c r="EG180" s="1874"/>
      <c r="EH180" s="1874"/>
      <c r="EI180" s="1874"/>
      <c r="EJ180" s="1874"/>
      <c r="EK180" s="1874"/>
      <c r="EL180" s="1874"/>
      <c r="EM180" s="1874"/>
      <c r="EN180" s="1874"/>
      <c r="EO180" s="1874"/>
      <c r="EP180" s="1874"/>
      <c r="EQ180" s="1874"/>
      <c r="ER180" s="1874"/>
      <c r="ES180" s="1874"/>
      <c r="ET180" s="2092"/>
      <c r="EU180" s="314"/>
      <c r="EV180" s="301"/>
      <c r="EW180" s="315"/>
      <c r="EX180" s="301"/>
      <c r="EY180" s="87"/>
      <c r="EZ180" s="170"/>
      <c r="FA180" s="87"/>
      <c r="FB180" s="87"/>
    </row>
    <row r="181" spans="1:158" ht="9" customHeight="1" thickBot="1">
      <c r="A181" s="87"/>
      <c r="B181" s="87"/>
      <c r="C181" s="87"/>
      <c r="D181" s="87"/>
      <c r="E181" s="87"/>
      <c r="F181" s="88"/>
      <c r="G181" s="88"/>
      <c r="H181" s="88"/>
      <c r="I181" s="112"/>
      <c r="J181" s="1861"/>
      <c r="K181" s="1862"/>
      <c r="L181" s="1862"/>
      <c r="M181" s="91"/>
      <c r="N181" s="108"/>
      <c r="O181" s="108"/>
      <c r="P181" s="108"/>
      <c r="Q181" s="108"/>
      <c r="R181" s="1868"/>
      <c r="S181" s="1868"/>
      <c r="T181" s="1868"/>
      <c r="U181" s="1868"/>
      <c r="V181" s="1868"/>
      <c r="W181" s="1868"/>
      <c r="X181" s="1868"/>
      <c r="Y181" s="1868"/>
      <c r="Z181" s="1868"/>
      <c r="AA181" s="1868"/>
      <c r="AB181" s="1868"/>
      <c r="AC181" s="1868"/>
      <c r="AD181" s="1868"/>
      <c r="AE181" s="1868"/>
      <c r="AF181" s="1868"/>
      <c r="AG181" s="1868"/>
      <c r="AH181" s="1868"/>
      <c r="AI181" s="1868"/>
      <c r="AJ181" s="1868"/>
      <c r="AK181" s="1868"/>
      <c r="AL181" s="90"/>
      <c r="AM181" s="818"/>
      <c r="AN181" s="818"/>
      <c r="AO181" s="91"/>
      <c r="AP181" s="821"/>
      <c r="AQ181" s="821"/>
      <c r="AR181" s="821"/>
      <c r="AS181" s="821"/>
      <c r="AT181" s="1870"/>
      <c r="AU181" s="1870"/>
      <c r="AV181" s="1870"/>
      <c r="AW181" s="1870"/>
      <c r="AX181" s="1870"/>
      <c r="AY181" s="1870"/>
      <c r="AZ181" s="1870"/>
      <c r="BA181" s="1870"/>
      <c r="BB181" s="1870"/>
      <c r="BC181" s="1870"/>
      <c r="BD181" s="1870"/>
      <c r="BE181" s="93"/>
      <c r="BF181" s="818"/>
      <c r="BG181" s="818"/>
      <c r="BH181" s="91"/>
      <c r="BI181" s="821"/>
      <c r="BJ181" s="821"/>
      <c r="BK181" s="821"/>
      <c r="BL181" s="821"/>
      <c r="BM181" s="821"/>
      <c r="BN181" s="821"/>
      <c r="BO181" s="1876"/>
      <c r="BP181" s="1876"/>
      <c r="BQ181" s="1876"/>
      <c r="BR181" s="1876"/>
      <c r="BS181" s="1876"/>
      <c r="BT181" s="1876"/>
      <c r="BU181" s="1876"/>
      <c r="BV181" s="1876"/>
      <c r="BW181" s="1876"/>
      <c r="BX181" s="1876"/>
      <c r="BY181" s="1876"/>
      <c r="BZ181" s="1876"/>
      <c r="CA181" s="1876"/>
      <c r="CB181" s="1876"/>
      <c r="CC181" s="1864"/>
      <c r="CD181" s="1864"/>
      <c r="CE181" s="1864"/>
      <c r="CF181" s="1864"/>
      <c r="CG181" s="1864"/>
      <c r="CH181" s="1864"/>
      <c r="CI181" s="1864"/>
      <c r="CJ181" s="1864"/>
      <c r="CK181" s="1864"/>
      <c r="CL181" s="93"/>
      <c r="CM181" s="657"/>
      <c r="CN181" s="657"/>
      <c r="CO181" s="657"/>
      <c r="CP181" s="112"/>
      <c r="CQ181" s="118"/>
      <c r="CU181" s="109"/>
      <c r="CV181" s="87"/>
      <c r="CW181" s="87"/>
      <c r="CX181" s="87"/>
      <c r="CY181" s="1907">
        <v>13</v>
      </c>
      <c r="CZ181" s="1874"/>
      <c r="DA181" s="1874"/>
      <c r="DB181" s="1874"/>
      <c r="DC181" s="1898">
        <v>14</v>
      </c>
      <c r="DD181" s="1874"/>
      <c r="DE181" s="1874"/>
      <c r="DF181" s="1874"/>
      <c r="DG181" s="1898">
        <v>15</v>
      </c>
      <c r="DH181" s="1874"/>
      <c r="DI181" s="1874"/>
      <c r="DJ181" s="1874"/>
      <c r="DK181" s="1904">
        <v>16</v>
      </c>
      <c r="DL181" s="1905"/>
      <c r="DM181" s="1905"/>
      <c r="DN181" s="1905"/>
      <c r="DO181" s="1904">
        <v>17</v>
      </c>
      <c r="DP181" s="1905"/>
      <c r="DQ181" s="1905"/>
      <c r="DR181" s="1905"/>
      <c r="DS181" s="1904">
        <v>18</v>
      </c>
      <c r="DT181" s="1905"/>
      <c r="DU181" s="1905"/>
      <c r="DV181" s="1905"/>
      <c r="DW181" s="1904">
        <v>19</v>
      </c>
      <c r="DX181" s="1905"/>
      <c r="DY181" s="1905"/>
      <c r="DZ181" s="1905"/>
      <c r="EA181" s="1904">
        <v>20</v>
      </c>
      <c r="EB181" s="1905"/>
      <c r="EC181" s="1905"/>
      <c r="ED181" s="1905"/>
      <c r="EE181" s="1904">
        <v>21</v>
      </c>
      <c r="EF181" s="1905"/>
      <c r="EG181" s="1905"/>
      <c r="EH181" s="1905"/>
      <c r="EI181" s="1904">
        <v>22</v>
      </c>
      <c r="EJ181" s="1905"/>
      <c r="EK181" s="1905"/>
      <c r="EL181" s="1905"/>
      <c r="EM181" s="1904">
        <v>23</v>
      </c>
      <c r="EN181" s="1905"/>
      <c r="EO181" s="1905"/>
      <c r="EP181" s="1905"/>
      <c r="EQ181" s="1904">
        <v>24</v>
      </c>
      <c r="ER181" s="1905"/>
      <c r="ES181" s="1905"/>
      <c r="ET181" s="2083"/>
      <c r="EU181" s="314"/>
      <c r="EV181" s="301"/>
      <c r="EW181" s="318"/>
      <c r="EX181" s="301"/>
      <c r="EY181" s="87"/>
      <c r="EZ181" s="170"/>
      <c r="FA181" s="87"/>
      <c r="FB181" s="87"/>
    </row>
    <row r="182" spans="1:158" ht="9" customHeight="1" thickTop="1" thickBot="1">
      <c r="A182" s="87"/>
      <c r="B182" s="87"/>
      <c r="C182" s="87"/>
      <c r="D182" s="87"/>
      <c r="E182" s="87"/>
      <c r="F182" s="88"/>
      <c r="G182" s="88"/>
      <c r="H182" s="88"/>
      <c r="I182" s="112"/>
      <c r="J182" s="1861"/>
      <c r="K182" s="1862"/>
      <c r="L182" s="1862"/>
      <c r="M182" s="641"/>
      <c r="N182" s="818"/>
      <c r="O182" s="818"/>
      <c r="P182" s="818"/>
      <c r="Q182" s="818"/>
      <c r="R182" s="818"/>
      <c r="S182" s="818"/>
      <c r="T182" s="818"/>
      <c r="U182" s="589"/>
      <c r="V182" s="589"/>
      <c r="W182" s="589"/>
      <c r="X182" s="589"/>
      <c r="Y182" s="589"/>
      <c r="Z182" s="589"/>
      <c r="AA182" s="589"/>
      <c r="AB182" s="589"/>
      <c r="AC182" s="589"/>
      <c r="AD182" s="589"/>
      <c r="AE182" s="589"/>
      <c r="AF182" s="589"/>
      <c r="AG182" s="589"/>
      <c r="AH182" s="589"/>
      <c r="AI182" s="589"/>
      <c r="AJ182" s="589"/>
      <c r="AK182" s="589"/>
      <c r="AL182" s="589"/>
      <c r="AM182" s="589"/>
      <c r="AN182" s="131"/>
      <c r="AO182" s="118"/>
      <c r="AP182" s="118"/>
      <c r="AQ182" s="105"/>
      <c r="AR182" s="818"/>
      <c r="AS182" s="818"/>
      <c r="AT182" s="818"/>
      <c r="AU182" s="818"/>
      <c r="AV182" s="653"/>
      <c r="AW182" s="653"/>
      <c r="AX182" s="653"/>
      <c r="AY182" s="653"/>
      <c r="AZ182" s="653"/>
      <c r="BA182" s="131"/>
      <c r="BB182" s="118"/>
      <c r="BC182" s="118"/>
      <c r="BD182" s="105"/>
      <c r="BE182" s="818"/>
      <c r="BF182" s="818"/>
      <c r="BG182" s="818"/>
      <c r="BH182" s="818"/>
      <c r="BI182" s="818"/>
      <c r="BJ182" s="818"/>
      <c r="BK182" s="818"/>
      <c r="BL182" s="818"/>
      <c r="BM182" s="442"/>
      <c r="BN182" s="442"/>
      <c r="BO182" s="442"/>
      <c r="BP182" s="442"/>
      <c r="BQ182" s="442"/>
      <c r="BR182" s="442"/>
      <c r="BS182" s="442"/>
      <c r="BT182" s="442"/>
      <c r="BU182" s="442"/>
      <c r="BV182" s="442"/>
      <c r="BW182" s="442"/>
      <c r="BX182" s="442"/>
      <c r="BY182" s="442"/>
      <c r="BZ182" s="442"/>
      <c r="CA182" s="442"/>
      <c r="CB182" s="442"/>
      <c r="CC182" s="442"/>
      <c r="CD182" s="442"/>
      <c r="CE182" s="442"/>
      <c r="CF182" s="442"/>
      <c r="CG182" s="442"/>
      <c r="CH182" s="442"/>
      <c r="CI182" s="442"/>
      <c r="CJ182" s="442"/>
      <c r="CK182" s="442"/>
      <c r="CL182" s="442"/>
      <c r="CM182" s="118"/>
      <c r="CN182" s="118"/>
      <c r="CO182" s="118"/>
      <c r="CP182" s="112"/>
      <c r="CQ182" s="118"/>
      <c r="CU182" s="109"/>
      <c r="CV182" s="87"/>
      <c r="CW182" s="87"/>
      <c r="CX182" s="87"/>
      <c r="CY182" s="1873"/>
      <c r="CZ182" s="1874"/>
      <c r="DA182" s="1874"/>
      <c r="DB182" s="1874"/>
      <c r="DC182" s="1874"/>
      <c r="DD182" s="1874"/>
      <c r="DE182" s="1874"/>
      <c r="DF182" s="1874"/>
      <c r="DG182" s="1874"/>
      <c r="DH182" s="1874"/>
      <c r="DI182" s="1874"/>
      <c r="DJ182" s="1874"/>
      <c r="DK182" s="1905"/>
      <c r="DL182" s="1905"/>
      <c r="DM182" s="1905"/>
      <c r="DN182" s="1905"/>
      <c r="DO182" s="1905"/>
      <c r="DP182" s="1905"/>
      <c r="DQ182" s="1905"/>
      <c r="DR182" s="1905"/>
      <c r="DS182" s="1905"/>
      <c r="DT182" s="1905"/>
      <c r="DU182" s="1905"/>
      <c r="DV182" s="1905"/>
      <c r="DW182" s="1905"/>
      <c r="DX182" s="1905"/>
      <c r="DY182" s="1905"/>
      <c r="DZ182" s="1905"/>
      <c r="EA182" s="1905"/>
      <c r="EB182" s="1905"/>
      <c r="EC182" s="1905"/>
      <c r="ED182" s="1905"/>
      <c r="EE182" s="1905"/>
      <c r="EF182" s="1905"/>
      <c r="EG182" s="1905"/>
      <c r="EH182" s="1905"/>
      <c r="EI182" s="1905"/>
      <c r="EJ182" s="1905"/>
      <c r="EK182" s="1905"/>
      <c r="EL182" s="1905"/>
      <c r="EM182" s="1905"/>
      <c r="EN182" s="1905"/>
      <c r="EO182" s="1905"/>
      <c r="EP182" s="1905"/>
      <c r="EQ182" s="1905"/>
      <c r="ER182" s="1905"/>
      <c r="ES182" s="1905"/>
      <c r="ET182" s="2083"/>
      <c r="EU182" s="314"/>
      <c r="EV182" s="301"/>
      <c r="EW182" s="319"/>
      <c r="EX182" s="320"/>
      <c r="EY182" s="87"/>
      <c r="EZ182" s="170"/>
      <c r="FA182" s="87"/>
      <c r="FB182" s="87"/>
    </row>
    <row r="183" spans="1:158" ht="9" customHeight="1" thickTop="1">
      <c r="A183" s="87"/>
      <c r="B183" s="87"/>
      <c r="C183" s="87"/>
      <c r="D183" s="87"/>
      <c r="E183" s="87"/>
      <c r="F183" s="88"/>
      <c r="G183" s="88"/>
      <c r="H183" s="88"/>
      <c r="I183" s="112"/>
      <c r="J183" s="1861"/>
      <c r="K183" s="1862"/>
      <c r="L183" s="1862"/>
      <c r="M183" s="93"/>
      <c r="N183" s="1865" t="s">
        <v>3614</v>
      </c>
      <c r="O183" s="1865"/>
      <c r="P183" s="1865"/>
      <c r="Q183" s="1865"/>
      <c r="R183" s="1865"/>
      <c r="S183" s="1865"/>
      <c r="T183" s="295"/>
      <c r="U183" s="296"/>
      <c r="V183" s="296"/>
      <c r="W183" s="296"/>
      <c r="X183" s="296"/>
      <c r="Y183" s="296"/>
      <c r="Z183" s="296"/>
      <c r="AA183" s="296"/>
      <c r="AB183" s="296"/>
      <c r="AC183" s="296"/>
      <c r="AD183" s="296"/>
      <c r="AE183" s="296"/>
      <c r="AF183" s="296"/>
      <c r="AG183" s="296"/>
      <c r="AH183" s="296"/>
      <c r="AI183" s="296"/>
      <c r="AJ183" s="296"/>
      <c r="AK183" s="296"/>
      <c r="AL183" s="296"/>
      <c r="AM183" s="296"/>
      <c r="AN183" s="296"/>
      <c r="AO183" s="296"/>
      <c r="AP183" s="296"/>
      <c r="AQ183" s="296"/>
      <c r="AR183" s="296"/>
      <c r="AS183" s="296"/>
      <c r="AT183" s="296"/>
      <c r="AU183" s="296"/>
      <c r="AV183" s="296"/>
      <c r="AW183" s="296"/>
      <c r="AX183" s="296"/>
      <c r="AY183" s="296"/>
      <c r="AZ183" s="296"/>
      <c r="BA183" s="296"/>
      <c r="BB183" s="296"/>
      <c r="BC183" s="296"/>
      <c r="BD183" s="296"/>
      <c r="BE183" s="296"/>
      <c r="BF183" s="296"/>
      <c r="BG183" s="296"/>
      <c r="BH183" s="296"/>
      <c r="BI183" s="296"/>
      <c r="BJ183" s="296"/>
      <c r="BK183" s="296"/>
      <c r="BL183" s="296"/>
      <c r="BM183" s="296"/>
      <c r="BN183" s="296"/>
      <c r="BO183" s="296"/>
      <c r="BP183" s="296"/>
      <c r="BQ183" s="296"/>
      <c r="BR183" s="296"/>
      <c r="BS183" s="296"/>
      <c r="BT183" s="296"/>
      <c r="BU183" s="296"/>
      <c r="BV183" s="296"/>
      <c r="BW183" s="296"/>
      <c r="BX183" s="296"/>
      <c r="BY183" s="296"/>
      <c r="BZ183" s="296"/>
      <c r="CA183" s="296"/>
      <c r="CB183" s="296"/>
      <c r="CC183" s="296"/>
      <c r="CD183" s="296"/>
      <c r="CE183" s="296"/>
      <c r="CF183" s="296"/>
      <c r="CG183" s="296"/>
      <c r="CH183" s="296"/>
      <c r="CI183" s="296"/>
      <c r="CJ183" s="296"/>
      <c r="CK183" s="296"/>
      <c r="CL183" s="297"/>
      <c r="CM183" s="596"/>
      <c r="CN183" s="596"/>
      <c r="CO183" s="87"/>
      <c r="CP183" s="112"/>
      <c r="CQ183" s="118"/>
      <c r="CU183" s="109"/>
      <c r="CV183" s="87"/>
      <c r="CW183" s="87"/>
      <c r="CX183" s="87"/>
      <c r="CY183" s="1873"/>
      <c r="CZ183" s="1874"/>
      <c r="DA183" s="1874"/>
      <c r="DB183" s="1874"/>
      <c r="DC183" s="1874"/>
      <c r="DD183" s="1874"/>
      <c r="DE183" s="1874"/>
      <c r="DF183" s="1874"/>
      <c r="DG183" s="1874"/>
      <c r="DH183" s="1874"/>
      <c r="DI183" s="1874"/>
      <c r="DJ183" s="1874"/>
      <c r="DK183" s="1905"/>
      <c r="DL183" s="1905"/>
      <c r="DM183" s="1905"/>
      <c r="DN183" s="1905"/>
      <c r="DO183" s="1905"/>
      <c r="DP183" s="1905"/>
      <c r="DQ183" s="1905"/>
      <c r="DR183" s="1905"/>
      <c r="DS183" s="1905"/>
      <c r="DT183" s="1905"/>
      <c r="DU183" s="1905"/>
      <c r="DV183" s="1905"/>
      <c r="DW183" s="1905"/>
      <c r="DX183" s="1905"/>
      <c r="DY183" s="1905"/>
      <c r="DZ183" s="1905"/>
      <c r="EA183" s="1905"/>
      <c r="EB183" s="1905"/>
      <c r="EC183" s="1905"/>
      <c r="ED183" s="1905"/>
      <c r="EE183" s="1905"/>
      <c r="EF183" s="1905"/>
      <c r="EG183" s="1905"/>
      <c r="EH183" s="1905"/>
      <c r="EI183" s="1905"/>
      <c r="EJ183" s="1905"/>
      <c r="EK183" s="1905"/>
      <c r="EL183" s="1905"/>
      <c r="EM183" s="1905"/>
      <c r="EN183" s="1905"/>
      <c r="EO183" s="1905"/>
      <c r="EP183" s="1905"/>
      <c r="EQ183" s="1905"/>
      <c r="ER183" s="1905"/>
      <c r="ES183" s="1905"/>
      <c r="ET183" s="2083"/>
      <c r="EU183" s="319"/>
      <c r="EV183" s="319"/>
      <c r="EW183" s="87"/>
      <c r="EX183" s="170"/>
      <c r="EY183" s="87"/>
      <c r="EZ183" s="170"/>
      <c r="FA183" s="87"/>
      <c r="FB183" s="87"/>
    </row>
    <row r="184" spans="1:158" ht="9" customHeight="1" thickBot="1">
      <c r="A184" s="87"/>
      <c r="B184" s="87"/>
      <c r="C184" s="87"/>
      <c r="D184" s="87"/>
      <c r="E184" s="87"/>
      <c r="F184" s="88"/>
      <c r="G184" s="88"/>
      <c r="H184" s="88"/>
      <c r="I184" s="87"/>
      <c r="J184" s="256"/>
      <c r="K184" s="118"/>
      <c r="L184" s="111"/>
      <c r="M184" s="102"/>
      <c r="N184" s="1866"/>
      <c r="O184" s="1866"/>
      <c r="P184" s="1866"/>
      <c r="Q184" s="1866"/>
      <c r="R184" s="1866"/>
      <c r="S184" s="1866"/>
      <c r="T184" s="818"/>
      <c r="U184" s="1922" t="str">
        <f>Weapons!AI$28</f>
        <v/>
      </c>
      <c r="V184" s="1922"/>
      <c r="W184" s="1922"/>
      <c r="X184" s="1922"/>
      <c r="Y184" s="1922"/>
      <c r="Z184" s="1922"/>
      <c r="AA184" s="1922"/>
      <c r="AB184" s="1922"/>
      <c r="AC184" s="1922"/>
      <c r="AD184" s="1922"/>
      <c r="AE184" s="1922"/>
      <c r="AF184" s="1922"/>
      <c r="AG184" s="1922"/>
      <c r="AH184" s="1922"/>
      <c r="AI184" s="1922"/>
      <c r="AJ184" s="1922"/>
      <c r="AK184" s="1922"/>
      <c r="AL184" s="1922"/>
      <c r="AM184" s="1922"/>
      <c r="AN184" s="1922"/>
      <c r="AO184" s="1922"/>
      <c r="AP184" s="1922"/>
      <c r="AQ184" s="1922"/>
      <c r="AR184" s="1922"/>
      <c r="AS184" s="1922"/>
      <c r="AT184" s="1922"/>
      <c r="AU184" s="1922"/>
      <c r="AV184" s="1922"/>
      <c r="AW184" s="1922"/>
      <c r="AX184" s="1922"/>
      <c r="AY184" s="1922"/>
      <c r="AZ184" s="1922"/>
      <c r="BA184" s="1922"/>
      <c r="BB184" s="1922"/>
      <c r="BC184" s="1922"/>
      <c r="BD184" s="1922"/>
      <c r="BE184" s="1922"/>
      <c r="BF184" s="1922"/>
      <c r="BG184" s="1922"/>
      <c r="BH184" s="1922"/>
      <c r="BI184" s="1922"/>
      <c r="BJ184" s="1922"/>
      <c r="BK184" s="1922"/>
      <c r="BL184" s="1922"/>
      <c r="BM184" s="1922"/>
      <c r="BN184" s="1922"/>
      <c r="BO184" s="1922"/>
      <c r="BP184" s="1922"/>
      <c r="BQ184" s="1922"/>
      <c r="BR184" s="1922"/>
      <c r="BS184" s="1922"/>
      <c r="BT184" s="1922"/>
      <c r="BU184" s="1922"/>
      <c r="BV184" s="1922"/>
      <c r="BW184" s="1922"/>
      <c r="BX184" s="1922"/>
      <c r="BY184" s="1922"/>
      <c r="BZ184" s="1922"/>
      <c r="CA184" s="1922"/>
      <c r="CB184" s="1922"/>
      <c r="CC184" s="1922"/>
      <c r="CD184" s="1922"/>
      <c r="CE184" s="1922"/>
      <c r="CF184" s="1922"/>
      <c r="CG184" s="1922"/>
      <c r="CH184" s="1922"/>
      <c r="CI184" s="1922"/>
      <c r="CJ184" s="1922"/>
      <c r="CK184" s="1922"/>
      <c r="CL184" s="300"/>
      <c r="CM184" s="658"/>
      <c r="CN184" s="118"/>
      <c r="CO184" s="109"/>
      <c r="CP184" s="144"/>
      <c r="CQ184" s="109"/>
      <c r="CU184" s="109"/>
      <c r="CV184" s="87"/>
      <c r="CW184" s="87"/>
      <c r="CX184" s="87"/>
      <c r="CY184" s="1908"/>
      <c r="CZ184" s="1909"/>
      <c r="DA184" s="1909"/>
      <c r="DB184" s="1909"/>
      <c r="DC184" s="1909"/>
      <c r="DD184" s="1909"/>
      <c r="DE184" s="1909"/>
      <c r="DF184" s="1909"/>
      <c r="DG184" s="1909"/>
      <c r="DH184" s="1909"/>
      <c r="DI184" s="1909"/>
      <c r="DJ184" s="1909"/>
      <c r="DK184" s="1906"/>
      <c r="DL184" s="1906"/>
      <c r="DM184" s="1906"/>
      <c r="DN184" s="1906"/>
      <c r="DO184" s="1906"/>
      <c r="DP184" s="1906"/>
      <c r="DQ184" s="1906"/>
      <c r="DR184" s="1906"/>
      <c r="DS184" s="1906"/>
      <c r="DT184" s="1906"/>
      <c r="DU184" s="1906"/>
      <c r="DV184" s="1906"/>
      <c r="DW184" s="1906"/>
      <c r="DX184" s="1906"/>
      <c r="DY184" s="1906"/>
      <c r="DZ184" s="1906"/>
      <c r="EA184" s="1906"/>
      <c r="EB184" s="1906"/>
      <c r="EC184" s="1906"/>
      <c r="ED184" s="1906"/>
      <c r="EE184" s="1906"/>
      <c r="EF184" s="1906"/>
      <c r="EG184" s="1906"/>
      <c r="EH184" s="1906"/>
      <c r="EI184" s="1906"/>
      <c r="EJ184" s="1906"/>
      <c r="EK184" s="1906"/>
      <c r="EL184" s="1906"/>
      <c r="EM184" s="1906"/>
      <c r="EN184" s="1906"/>
      <c r="EO184" s="1906"/>
      <c r="EP184" s="1906"/>
      <c r="EQ184" s="1906"/>
      <c r="ER184" s="1906"/>
      <c r="ES184" s="1906"/>
      <c r="ET184" s="2084"/>
      <c r="EU184" s="319"/>
      <c r="EV184" s="319"/>
      <c r="EW184" s="87"/>
      <c r="EX184" s="170"/>
      <c r="EY184" s="87"/>
      <c r="EZ184" s="170"/>
      <c r="FA184" s="87"/>
      <c r="FB184" s="87"/>
    </row>
    <row r="185" spans="1:158" ht="9" customHeight="1" thickTop="1" thickBot="1">
      <c r="A185" s="87"/>
      <c r="B185" s="87"/>
      <c r="C185" s="87"/>
      <c r="D185" s="87"/>
      <c r="E185" s="87"/>
      <c r="F185" s="88"/>
      <c r="G185" s="88"/>
      <c r="H185" s="88"/>
      <c r="I185" s="87"/>
      <c r="J185" s="118"/>
      <c r="K185" s="256"/>
      <c r="L185" s="108"/>
      <c r="M185" s="102"/>
      <c r="N185" s="105"/>
      <c r="O185" s="105"/>
      <c r="P185" s="105"/>
      <c r="Q185" s="105"/>
      <c r="R185" s="596"/>
      <c r="S185" s="596"/>
      <c r="T185" s="596"/>
      <c r="U185" s="1922"/>
      <c r="V185" s="1922"/>
      <c r="W185" s="1922"/>
      <c r="X185" s="1922"/>
      <c r="Y185" s="1922"/>
      <c r="Z185" s="1922"/>
      <c r="AA185" s="1922"/>
      <c r="AB185" s="1922"/>
      <c r="AC185" s="1922"/>
      <c r="AD185" s="1922"/>
      <c r="AE185" s="1922"/>
      <c r="AF185" s="1922"/>
      <c r="AG185" s="1922"/>
      <c r="AH185" s="1922"/>
      <c r="AI185" s="1922"/>
      <c r="AJ185" s="1922"/>
      <c r="AK185" s="1922"/>
      <c r="AL185" s="1922"/>
      <c r="AM185" s="1922"/>
      <c r="AN185" s="1922"/>
      <c r="AO185" s="1922"/>
      <c r="AP185" s="1922"/>
      <c r="AQ185" s="1922"/>
      <c r="AR185" s="1922"/>
      <c r="AS185" s="1922"/>
      <c r="AT185" s="1922"/>
      <c r="AU185" s="1922"/>
      <c r="AV185" s="1922"/>
      <c r="AW185" s="1922"/>
      <c r="AX185" s="1922"/>
      <c r="AY185" s="1922"/>
      <c r="AZ185" s="1922"/>
      <c r="BA185" s="1922"/>
      <c r="BB185" s="1922"/>
      <c r="BC185" s="1922"/>
      <c r="BD185" s="1922"/>
      <c r="BE185" s="1922"/>
      <c r="BF185" s="1922"/>
      <c r="BG185" s="1922"/>
      <c r="BH185" s="1922"/>
      <c r="BI185" s="1922"/>
      <c r="BJ185" s="1922"/>
      <c r="BK185" s="1922"/>
      <c r="BL185" s="1922"/>
      <c r="BM185" s="1922"/>
      <c r="BN185" s="1922"/>
      <c r="BO185" s="1922"/>
      <c r="BP185" s="1922"/>
      <c r="BQ185" s="1922"/>
      <c r="BR185" s="1922"/>
      <c r="BS185" s="1922"/>
      <c r="BT185" s="1922"/>
      <c r="BU185" s="1922"/>
      <c r="BV185" s="1922"/>
      <c r="BW185" s="1922"/>
      <c r="BX185" s="1922"/>
      <c r="BY185" s="1922"/>
      <c r="BZ185" s="1922"/>
      <c r="CA185" s="1922"/>
      <c r="CB185" s="1922"/>
      <c r="CC185" s="1922"/>
      <c r="CD185" s="1922"/>
      <c r="CE185" s="1922"/>
      <c r="CF185" s="1922"/>
      <c r="CG185" s="1922"/>
      <c r="CH185" s="1922"/>
      <c r="CI185" s="1922"/>
      <c r="CJ185" s="1922"/>
      <c r="CK185" s="1922"/>
      <c r="CL185" s="103"/>
      <c r="CM185" s="122"/>
      <c r="CN185" s="122"/>
      <c r="CO185" s="144"/>
      <c r="CP185" s="118"/>
      <c r="CQ185" s="118"/>
      <c r="CU185" s="118"/>
      <c r="CV185" s="87"/>
      <c r="CW185" s="87"/>
      <c r="CX185" s="87"/>
      <c r="CY185" s="87"/>
      <c r="CZ185" s="87"/>
      <c r="DA185" s="87"/>
      <c r="DB185" s="87"/>
      <c r="DC185" s="87"/>
      <c r="DD185" s="87"/>
      <c r="DE185" s="87"/>
      <c r="DF185" s="87"/>
      <c r="DG185" s="87"/>
      <c r="DH185" s="87"/>
      <c r="DI185" s="87"/>
      <c r="DJ185" s="87"/>
      <c r="DK185" s="87"/>
      <c r="DL185" s="87"/>
      <c r="DM185" s="87"/>
      <c r="DN185" s="87"/>
      <c r="DO185" s="87"/>
      <c r="DP185" s="87"/>
      <c r="DQ185" s="87"/>
      <c r="DR185" s="87"/>
      <c r="DS185" s="87"/>
      <c r="DT185" s="87"/>
      <c r="DU185" s="87"/>
      <c r="DV185" s="87"/>
      <c r="DW185" s="87"/>
      <c r="DX185" s="87"/>
      <c r="DY185" s="87"/>
      <c r="DZ185" s="87"/>
      <c r="EA185" s="87"/>
      <c r="EB185" s="87"/>
      <c r="EC185" s="87"/>
      <c r="ED185" s="87"/>
      <c r="EE185" s="87"/>
      <c r="EF185" s="87"/>
      <c r="EG185" s="87"/>
      <c r="EH185" s="87"/>
      <c r="EI185" s="87"/>
      <c r="EJ185" s="87"/>
      <c r="EK185" s="87"/>
      <c r="EL185" s="87"/>
      <c r="EM185" s="87"/>
      <c r="EN185" s="87"/>
      <c r="EO185" s="87"/>
      <c r="EP185" s="87"/>
      <c r="EQ185" s="87"/>
      <c r="ER185" s="87"/>
      <c r="ES185" s="87"/>
      <c r="ET185" s="87"/>
      <c r="EU185" s="319"/>
      <c r="EV185" s="319"/>
      <c r="EW185" s="87"/>
      <c r="EX185" s="170"/>
      <c r="EY185" s="87"/>
      <c r="EZ185" s="170"/>
      <c r="FA185" s="87"/>
      <c r="FB185" s="87"/>
    </row>
    <row r="186" spans="1:158" ht="9" customHeight="1" thickTop="1" thickBot="1">
      <c r="A186" s="87"/>
      <c r="B186" s="87"/>
      <c r="C186" s="87"/>
      <c r="D186" s="87"/>
      <c r="E186" s="87"/>
      <c r="F186" s="88"/>
      <c r="G186" s="88"/>
      <c r="H186" s="88"/>
      <c r="I186" s="87"/>
      <c r="J186" s="118"/>
      <c r="K186" s="118"/>
      <c r="L186" s="118"/>
      <c r="M186" s="91"/>
      <c r="N186" s="108"/>
      <c r="O186" s="108"/>
      <c r="P186" s="108"/>
      <c r="Q186" s="108"/>
      <c r="R186" s="654"/>
      <c r="S186" s="654"/>
      <c r="T186" s="654"/>
      <c r="U186" s="1923"/>
      <c r="V186" s="1923"/>
      <c r="W186" s="1923"/>
      <c r="X186" s="1923"/>
      <c r="Y186" s="1923"/>
      <c r="Z186" s="1923"/>
      <c r="AA186" s="1923"/>
      <c r="AB186" s="1923"/>
      <c r="AC186" s="1923"/>
      <c r="AD186" s="1923"/>
      <c r="AE186" s="1923"/>
      <c r="AF186" s="1923"/>
      <c r="AG186" s="1923"/>
      <c r="AH186" s="1923"/>
      <c r="AI186" s="1923"/>
      <c r="AJ186" s="1923"/>
      <c r="AK186" s="1923"/>
      <c r="AL186" s="1923"/>
      <c r="AM186" s="1923"/>
      <c r="AN186" s="1923"/>
      <c r="AO186" s="1923"/>
      <c r="AP186" s="1923"/>
      <c r="AQ186" s="1923"/>
      <c r="AR186" s="1923"/>
      <c r="AS186" s="1923"/>
      <c r="AT186" s="1923"/>
      <c r="AU186" s="1923"/>
      <c r="AV186" s="1923"/>
      <c r="AW186" s="1923"/>
      <c r="AX186" s="1923"/>
      <c r="AY186" s="1923"/>
      <c r="AZ186" s="1923"/>
      <c r="BA186" s="1923"/>
      <c r="BB186" s="1923"/>
      <c r="BC186" s="1923"/>
      <c r="BD186" s="1923"/>
      <c r="BE186" s="1923"/>
      <c r="BF186" s="1923"/>
      <c r="BG186" s="1923"/>
      <c r="BH186" s="1923"/>
      <c r="BI186" s="1923"/>
      <c r="BJ186" s="1923"/>
      <c r="BK186" s="1923"/>
      <c r="BL186" s="1923"/>
      <c r="BM186" s="1923"/>
      <c r="BN186" s="1923"/>
      <c r="BO186" s="1923"/>
      <c r="BP186" s="1923"/>
      <c r="BQ186" s="1923"/>
      <c r="BR186" s="1923"/>
      <c r="BS186" s="1923"/>
      <c r="BT186" s="1923"/>
      <c r="BU186" s="1923"/>
      <c r="BV186" s="1923"/>
      <c r="BW186" s="1923"/>
      <c r="BX186" s="1923"/>
      <c r="BY186" s="1923"/>
      <c r="BZ186" s="1923"/>
      <c r="CA186" s="1923"/>
      <c r="CB186" s="1923"/>
      <c r="CC186" s="1923"/>
      <c r="CD186" s="1923"/>
      <c r="CE186" s="1923"/>
      <c r="CF186" s="1923"/>
      <c r="CG186" s="1923"/>
      <c r="CH186" s="1923"/>
      <c r="CI186" s="1923"/>
      <c r="CJ186" s="1923"/>
      <c r="CK186" s="1923"/>
      <c r="CL186" s="90"/>
      <c r="CM186" s="596"/>
      <c r="CN186" s="596"/>
      <c r="CO186" s="301"/>
      <c r="CP186" s="109"/>
      <c r="CQ186" s="109"/>
      <c r="CU186" s="109"/>
      <c r="CV186" s="87"/>
      <c r="CW186" s="168"/>
      <c r="CX186" s="168"/>
      <c r="CY186" s="168"/>
      <c r="CZ186" s="168"/>
      <c r="DA186" s="168"/>
      <c r="DB186" s="168"/>
      <c r="DC186" s="168"/>
      <c r="DD186" s="168"/>
      <c r="DE186" s="168"/>
      <c r="DF186" s="168"/>
      <c r="DG186" s="168"/>
      <c r="DH186" s="168"/>
      <c r="DI186" s="168"/>
      <c r="DJ186" s="168"/>
      <c r="DK186" s="168"/>
      <c r="DL186" s="168"/>
      <c r="DM186" s="168"/>
      <c r="DN186" s="168"/>
      <c r="DO186" s="168"/>
      <c r="DP186" s="168"/>
      <c r="DQ186" s="168"/>
      <c r="DR186" s="168"/>
      <c r="DS186" s="168"/>
      <c r="DT186" s="168"/>
      <c r="DU186" s="168"/>
      <c r="DV186" s="168"/>
      <c r="DW186" s="168"/>
      <c r="DX186" s="168"/>
      <c r="DY186" s="168"/>
      <c r="DZ186" s="168"/>
      <c r="EA186" s="168"/>
      <c r="EB186" s="168"/>
      <c r="EC186" s="168"/>
      <c r="ED186" s="168"/>
      <c r="EE186" s="168"/>
      <c r="EF186" s="168"/>
      <c r="EG186" s="168"/>
      <c r="EH186" s="168"/>
      <c r="EI186" s="168"/>
      <c r="EJ186" s="168"/>
      <c r="EK186" s="168"/>
      <c r="EL186" s="168"/>
      <c r="EM186" s="168"/>
      <c r="EN186" s="168"/>
      <c r="EO186" s="168"/>
      <c r="EP186" s="168"/>
      <c r="EQ186" s="168"/>
      <c r="ER186" s="168"/>
      <c r="ES186" s="168"/>
      <c r="ET186" s="168"/>
      <c r="EU186" s="168"/>
      <c r="EV186" s="168"/>
      <c r="EW186" s="168"/>
      <c r="EX186" s="305"/>
      <c r="EY186" s="87"/>
      <c r="EZ186" s="170"/>
      <c r="FA186" s="87"/>
      <c r="FB186" s="87"/>
    </row>
    <row r="187" spans="1:158" ht="9" customHeight="1" thickTop="1">
      <c r="A187" s="87"/>
      <c r="B187" s="87"/>
      <c r="CU187" s="87"/>
      <c r="CV187" s="305"/>
      <c r="CW187" s="2085"/>
      <c r="CX187" s="2085"/>
      <c r="CY187" s="2085"/>
      <c r="CZ187" s="2085"/>
      <c r="DA187" s="2085"/>
      <c r="DB187" s="2085"/>
      <c r="DC187" s="2085"/>
      <c r="DD187" s="2085"/>
      <c r="DE187" s="2085"/>
      <c r="DF187" s="2085"/>
      <c r="DG187" s="2085"/>
      <c r="DH187" s="2085"/>
      <c r="DI187" s="2085"/>
      <c r="DJ187" s="2085"/>
      <c r="DK187" s="2085"/>
      <c r="DL187" s="2085"/>
      <c r="DM187" s="2085"/>
      <c r="DN187" s="2085"/>
      <c r="DO187" s="2085"/>
      <c r="DP187" s="1973"/>
      <c r="DQ187" s="1973"/>
      <c r="DR187" s="1973"/>
      <c r="DS187" s="1973"/>
      <c r="DT187" s="1973"/>
      <c r="DU187" s="1973"/>
      <c r="DV187" s="1973"/>
      <c r="DW187" s="1973"/>
      <c r="DX187" s="1973"/>
      <c r="DY187" s="1973"/>
      <c r="DZ187" s="1973"/>
      <c r="EA187" s="1973"/>
      <c r="EB187" s="1973"/>
      <c r="EC187" s="1973"/>
      <c r="ED187" s="1975"/>
      <c r="EE187" s="1975"/>
      <c r="EF187" s="1975"/>
      <c r="EG187" s="1975"/>
      <c r="EH187" s="1975"/>
      <c r="EI187" s="1975"/>
      <c r="EJ187" s="1975"/>
      <c r="EK187" s="1975"/>
      <c r="EL187" s="1975"/>
      <c r="EM187" s="1975"/>
      <c r="EN187" s="1975"/>
      <c r="EO187" s="1975"/>
      <c r="EP187" s="1975"/>
      <c r="EQ187" s="1975"/>
      <c r="ER187" s="1975"/>
      <c r="ES187" s="1975"/>
      <c r="ET187" s="1975"/>
      <c r="EU187" s="1975"/>
      <c r="EV187" s="1975"/>
      <c r="EW187" s="87"/>
      <c r="EX187" s="87"/>
      <c r="EY187" s="87"/>
      <c r="EZ187" s="305"/>
      <c r="FA187" s="87"/>
      <c r="FB187" s="87"/>
    </row>
    <row r="188" spans="1:158" ht="9" customHeight="1" thickBot="1">
      <c r="A188" s="87"/>
      <c r="B188" s="87"/>
      <c r="I188" s="819"/>
      <c r="J188" s="109"/>
      <c r="K188" s="109"/>
      <c r="L188" s="87"/>
      <c r="M188" s="109"/>
      <c r="N188" s="109"/>
      <c r="O188" s="109"/>
      <c r="P188" s="109"/>
      <c r="Q188" s="109"/>
      <c r="R188" s="105"/>
      <c r="S188" s="818"/>
      <c r="T188" s="818"/>
      <c r="U188" s="818"/>
      <c r="V188" s="818"/>
      <c r="W188" s="818"/>
      <c r="X188" s="818"/>
      <c r="Y188" s="818"/>
      <c r="Z188" s="818"/>
      <c r="AA188" s="131"/>
      <c r="AB188" s="109"/>
      <c r="AC188" s="3"/>
      <c r="AD188" s="3"/>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5"/>
      <c r="AZ188" s="818"/>
      <c r="BA188" s="818"/>
      <c r="BB188" s="818"/>
      <c r="BC188" s="818"/>
      <c r="BD188" s="818"/>
      <c r="BE188" s="818"/>
      <c r="BF188" s="818"/>
      <c r="BG188" s="131"/>
      <c r="BH188" s="109"/>
      <c r="BI188" s="109"/>
      <c r="BJ188" s="109"/>
      <c r="BK188" s="109"/>
      <c r="BL188" s="105"/>
      <c r="BM188" s="818"/>
      <c r="BN188" s="597"/>
      <c r="BO188" s="597"/>
      <c r="BP188" s="597"/>
      <c r="BQ188" s="597"/>
      <c r="BR188" s="597"/>
      <c r="BS188" s="597"/>
      <c r="BT188" s="597"/>
      <c r="BU188" s="131"/>
      <c r="BV188" s="109"/>
      <c r="BW188" s="109"/>
      <c r="BX188" s="109"/>
      <c r="BY188" s="109"/>
      <c r="BZ188" s="109"/>
      <c r="CA188" s="109"/>
      <c r="CB188" s="109"/>
      <c r="CC188" s="109"/>
      <c r="CD188" s="109"/>
      <c r="CE188" s="109"/>
      <c r="CF188" s="109"/>
      <c r="CG188" s="109"/>
      <c r="CH188" s="109"/>
      <c r="CI188" s="109"/>
      <c r="CJ188" s="109"/>
      <c r="CK188" s="109"/>
      <c r="CL188" s="109"/>
      <c r="CM188" s="109"/>
      <c r="CN188" s="109"/>
      <c r="CO188" s="109"/>
      <c r="CP188" s="109"/>
      <c r="CQ188" s="109"/>
      <c r="CU188" s="321"/>
      <c r="CV188" s="168"/>
      <c r="CW188" s="2086"/>
      <c r="CX188" s="2086"/>
      <c r="CY188" s="2086"/>
      <c r="CZ188" s="2086"/>
      <c r="DA188" s="2086"/>
      <c r="DB188" s="2086"/>
      <c r="DC188" s="2086"/>
      <c r="DD188" s="2086"/>
      <c r="DE188" s="2086"/>
      <c r="DF188" s="2086"/>
      <c r="DG188" s="2086"/>
      <c r="DH188" s="2086"/>
      <c r="DI188" s="2086"/>
      <c r="DJ188" s="2086"/>
      <c r="DK188" s="2086"/>
      <c r="DL188" s="2086"/>
      <c r="DM188" s="2086"/>
      <c r="DN188" s="2086"/>
      <c r="DO188" s="2086"/>
      <c r="DP188" s="1974"/>
      <c r="DQ188" s="1974"/>
      <c r="DR188" s="1974"/>
      <c r="DS188" s="1974"/>
      <c r="DT188" s="1974"/>
      <c r="DU188" s="1974"/>
      <c r="DV188" s="1974"/>
      <c r="DW188" s="1974"/>
      <c r="DX188" s="1974"/>
      <c r="DY188" s="1974"/>
      <c r="DZ188" s="1974"/>
      <c r="EA188" s="1974"/>
      <c r="EB188" s="1974"/>
      <c r="EC188" s="1974"/>
      <c r="ED188" s="1976"/>
      <c r="EE188" s="1976"/>
      <c r="EF188" s="1976"/>
      <c r="EG188" s="1976"/>
      <c r="EH188" s="1976"/>
      <c r="EI188" s="1976"/>
      <c r="EJ188" s="1976"/>
      <c r="EK188" s="1976"/>
      <c r="EL188" s="1976"/>
      <c r="EM188" s="1976"/>
      <c r="EN188" s="1976"/>
      <c r="EO188" s="1976"/>
      <c r="EP188" s="1976"/>
      <c r="EQ188" s="1976"/>
      <c r="ER188" s="1976"/>
      <c r="ES188" s="1976"/>
      <c r="ET188" s="1976"/>
      <c r="EU188" s="1976"/>
      <c r="EV188" s="1976"/>
      <c r="EW188" s="168"/>
      <c r="EX188" s="168"/>
      <c r="EY188" s="305"/>
      <c r="EZ188" s="87"/>
      <c r="FA188" s="87"/>
      <c r="FB188" s="87"/>
    </row>
    <row r="189" spans="1:158" ht="9" customHeight="1" thickTop="1" thickBot="1">
      <c r="A189" s="87"/>
      <c r="B189" s="87"/>
      <c r="I189" s="87"/>
      <c r="J189" s="109"/>
      <c r="K189" s="818"/>
      <c r="L189" s="818"/>
      <c r="M189" s="818"/>
      <c r="N189" s="818"/>
      <c r="O189" s="93"/>
      <c r="P189" s="1865" t="s">
        <v>3611</v>
      </c>
      <c r="Q189" s="1865"/>
      <c r="R189" s="1865"/>
      <c r="S189" s="1865"/>
      <c r="T189" s="1865"/>
      <c r="U189" s="1865"/>
      <c r="V189" s="1865"/>
      <c r="W189" s="1865"/>
      <c r="X189" s="113"/>
      <c r="Y189" s="87"/>
      <c r="Z189" s="819"/>
      <c r="AA189" s="819"/>
      <c r="AB189" s="87"/>
      <c r="AC189" s="87"/>
      <c r="AD189" s="87"/>
      <c r="AE189" s="87"/>
      <c r="AF189" s="87"/>
      <c r="AG189" s="87"/>
      <c r="AH189" s="87"/>
      <c r="AI189" s="87"/>
      <c r="AJ189" s="87"/>
      <c r="AK189" s="87"/>
      <c r="AL189" s="87"/>
      <c r="AM189" s="87"/>
      <c r="AN189" s="87"/>
      <c r="AO189" s="87"/>
      <c r="AP189" s="87"/>
      <c r="AQ189" s="87"/>
      <c r="AR189" s="87"/>
      <c r="AS189" s="87"/>
      <c r="AT189" s="818"/>
      <c r="AU189" s="818"/>
      <c r="AV189" s="93"/>
      <c r="AW189" s="1942" t="s">
        <v>3783</v>
      </c>
      <c r="AX189" s="1942"/>
      <c r="AY189" s="1942"/>
      <c r="AZ189" s="1942"/>
      <c r="BA189" s="1942"/>
      <c r="BB189" s="1942"/>
      <c r="BC189" s="1942"/>
      <c r="BD189" s="113"/>
      <c r="BE189" s="145"/>
      <c r="BF189" s="87"/>
      <c r="BG189" s="818"/>
      <c r="BH189" s="818"/>
      <c r="BI189" s="818"/>
      <c r="BJ189" s="93"/>
      <c r="BK189" s="1865" t="s">
        <v>3612</v>
      </c>
      <c r="BL189" s="1877"/>
      <c r="BM189" s="1877"/>
      <c r="BN189" s="1877"/>
      <c r="BO189" s="1877"/>
      <c r="BP189" s="1877"/>
      <c r="BQ189" s="1877"/>
      <c r="BR189" s="1877"/>
      <c r="BS189" s="113"/>
      <c r="BT189" s="87"/>
      <c r="BU189" s="87"/>
      <c r="BV189" s="87"/>
      <c r="BW189" s="87"/>
      <c r="BX189" s="87"/>
      <c r="BY189" s="87"/>
      <c r="BZ189" s="87"/>
      <c r="CA189" s="87"/>
      <c r="CB189" s="87"/>
      <c r="CC189" s="87"/>
      <c r="CD189" s="87"/>
      <c r="CE189" s="87"/>
      <c r="CF189" s="87"/>
      <c r="CG189" s="87"/>
      <c r="CH189" s="87"/>
      <c r="CI189" s="87"/>
      <c r="CJ189" s="87"/>
      <c r="CK189" s="87"/>
      <c r="CL189" s="87"/>
      <c r="CM189" s="87"/>
      <c r="CN189" s="87"/>
      <c r="CO189" s="87"/>
      <c r="CP189" s="87"/>
      <c r="CQ189" s="87"/>
    </row>
    <row r="190" spans="1:158" ht="9" customHeight="1" thickTop="1" thickBot="1">
      <c r="A190" s="87"/>
      <c r="B190" s="87"/>
      <c r="I190" s="87"/>
      <c r="J190" s="109"/>
      <c r="K190" s="818"/>
      <c r="L190" s="818"/>
      <c r="M190" s="818"/>
      <c r="N190" s="818"/>
      <c r="O190" s="102"/>
      <c r="P190" s="1866"/>
      <c r="Q190" s="1866"/>
      <c r="R190" s="1866"/>
      <c r="S190" s="1866"/>
      <c r="T190" s="1866"/>
      <c r="U190" s="1866"/>
      <c r="V190" s="1866"/>
      <c r="W190" s="1866"/>
      <c r="X190" s="589"/>
      <c r="Y190" s="588"/>
      <c r="Z190" s="592"/>
      <c r="AA190" s="592"/>
      <c r="AB190" s="593"/>
      <c r="AC190" s="593"/>
      <c r="AD190" s="593"/>
      <c r="AE190" s="588"/>
      <c r="AF190" s="588"/>
      <c r="AG190" s="588"/>
      <c r="AH190" s="588"/>
      <c r="AI190" s="588"/>
      <c r="AJ190" s="588"/>
      <c r="AK190" s="588"/>
      <c r="AL190" s="588"/>
      <c r="AM190" s="588"/>
      <c r="AN190" s="588"/>
      <c r="AO190" s="588"/>
      <c r="AP190" s="588"/>
      <c r="AQ190" s="588"/>
      <c r="AR190" s="588"/>
      <c r="AS190" s="113"/>
      <c r="AT190" s="818"/>
      <c r="AU190" s="818"/>
      <c r="AV190" s="102"/>
      <c r="AW190" s="1866"/>
      <c r="AX190" s="1866"/>
      <c r="AY190" s="1866"/>
      <c r="AZ190" s="1866"/>
      <c r="BA190" s="1866"/>
      <c r="BB190" s="1866"/>
      <c r="BC190" s="1866"/>
      <c r="BD190" s="589"/>
      <c r="BE190" s="598"/>
      <c r="BF190" s="598"/>
      <c r="BG190" s="113"/>
      <c r="BH190" s="818"/>
      <c r="BI190" s="818"/>
      <c r="BJ190" s="102"/>
      <c r="BK190" s="1878"/>
      <c r="BL190" s="1878"/>
      <c r="BM190" s="1878"/>
      <c r="BN190" s="1878"/>
      <c r="BO190" s="1878"/>
      <c r="BP190" s="1878"/>
      <c r="BQ190" s="1878"/>
      <c r="BR190" s="1878"/>
      <c r="BS190" s="589"/>
      <c r="BT190" s="599"/>
      <c r="BU190" s="599"/>
      <c r="BV190" s="599"/>
      <c r="BW190" s="599"/>
      <c r="BX190" s="599"/>
      <c r="BY190" s="599"/>
      <c r="BZ190" s="599"/>
      <c r="CA190" s="599"/>
      <c r="CB190" s="599"/>
      <c r="CC190" s="599"/>
      <c r="CD190" s="599"/>
      <c r="CE190" s="599"/>
      <c r="CF190" s="599"/>
      <c r="CG190" s="599"/>
      <c r="CH190" s="599"/>
      <c r="CI190" s="599"/>
      <c r="CJ190" s="599"/>
      <c r="CK190" s="599"/>
      <c r="CL190" s="113"/>
      <c r="CM190" s="111"/>
      <c r="CN190" s="111"/>
      <c r="CO190" s="111"/>
      <c r="CP190" s="87"/>
      <c r="CQ190" s="87"/>
      <c r="CR190" s="87"/>
      <c r="CS190" s="87"/>
      <c r="CT190" s="87"/>
      <c r="CU190" s="87"/>
      <c r="CV190" s="87"/>
      <c r="CW190" s="87"/>
      <c r="CX190" s="87"/>
      <c r="CY190" s="87"/>
      <c r="CZ190" s="87"/>
      <c r="DA190" s="87"/>
      <c r="DB190" s="87"/>
      <c r="DC190" s="87"/>
      <c r="DD190" s="87"/>
      <c r="DE190" s="87"/>
      <c r="DF190" s="87"/>
      <c r="DG190" s="87"/>
      <c r="DH190" s="87"/>
      <c r="DI190" s="87"/>
      <c r="DJ190" s="87"/>
      <c r="DK190" s="87"/>
      <c r="DL190" s="87"/>
      <c r="DM190" s="87"/>
      <c r="DN190" s="87"/>
      <c r="DO190" s="87"/>
      <c r="DP190" s="87"/>
      <c r="DQ190" s="87"/>
      <c r="DR190" s="87"/>
      <c r="DS190" s="87"/>
      <c r="DT190" s="87"/>
      <c r="DU190" s="87"/>
      <c r="DV190" s="87"/>
      <c r="DW190" s="87"/>
      <c r="DX190" s="87"/>
      <c r="DY190" s="87"/>
      <c r="DZ190" s="87"/>
      <c r="EA190" s="87"/>
      <c r="EB190" s="87"/>
      <c r="EC190" s="87"/>
      <c r="ED190" s="87"/>
      <c r="EE190" s="87"/>
      <c r="EF190" s="87"/>
      <c r="EG190" s="87"/>
      <c r="EH190" s="87"/>
      <c r="EI190" s="87"/>
      <c r="EJ190" s="87"/>
      <c r="EK190" s="87"/>
      <c r="EL190" s="87"/>
      <c r="EM190" s="87"/>
      <c r="EN190" s="87"/>
      <c r="EO190" s="87"/>
      <c r="EP190" s="87"/>
      <c r="EQ190" s="87"/>
      <c r="ER190" s="87"/>
      <c r="ES190" s="87"/>
      <c r="ET190" s="87"/>
      <c r="EU190" s="87"/>
      <c r="EV190" s="87"/>
      <c r="EW190" s="87"/>
      <c r="EX190" s="87"/>
      <c r="EY190" s="87"/>
      <c r="EZ190" s="87"/>
      <c r="FA190" s="87"/>
      <c r="FB190" s="87"/>
    </row>
    <row r="191" spans="1:158" ht="9" customHeight="1" thickTop="1" thickBot="1">
      <c r="A191" s="87"/>
      <c r="B191" s="87"/>
      <c r="I191" s="87"/>
      <c r="J191" s="87"/>
      <c r="K191" s="111"/>
      <c r="L191" s="111"/>
      <c r="M191" s="122"/>
      <c r="N191" s="290"/>
      <c r="O191" s="102"/>
      <c r="P191" s="1879" t="str">
        <f>IF(Weapon5&lt;&gt;"",Weapon5,"")</f>
        <v/>
      </c>
      <c r="Q191" s="1879"/>
      <c r="R191" s="1879"/>
      <c r="S191" s="1879"/>
      <c r="T191" s="1879"/>
      <c r="U191" s="1879"/>
      <c r="V191" s="1879"/>
      <c r="W191" s="1879"/>
      <c r="X191" s="1879"/>
      <c r="Y191" s="1879"/>
      <c r="Z191" s="1879"/>
      <c r="AA191" s="1879"/>
      <c r="AB191" s="1879"/>
      <c r="AC191" s="1879"/>
      <c r="AD191" s="1879"/>
      <c r="AE191" s="1879"/>
      <c r="AF191" s="1879"/>
      <c r="AG191" s="1879"/>
      <c r="AH191" s="1879"/>
      <c r="AI191" s="1879"/>
      <c r="AJ191" s="1879"/>
      <c r="AK191" s="1879"/>
      <c r="AL191" s="1879"/>
      <c r="AM191" s="1879"/>
      <c r="AN191" s="1879"/>
      <c r="AO191" s="1879"/>
      <c r="AP191" s="1879"/>
      <c r="AQ191" s="1879"/>
      <c r="AR191" s="1879"/>
      <c r="AS191" s="646"/>
      <c r="AT191" s="122"/>
      <c r="AU191" s="290"/>
      <c r="AV191" s="102"/>
      <c r="AW191" s="1881" t="str">
        <f>Weapons!AS8</f>
        <v/>
      </c>
      <c r="AX191" s="1881"/>
      <c r="AY191" s="1881"/>
      <c r="AZ191" s="1881"/>
      <c r="BA191" s="1881"/>
      <c r="BB191" s="1881"/>
      <c r="BC191" s="1881"/>
      <c r="BD191" s="1881"/>
      <c r="BE191" s="1881"/>
      <c r="BF191" s="1881"/>
      <c r="BG191" s="100"/>
      <c r="BH191" s="122"/>
      <c r="BI191" s="290"/>
      <c r="BJ191" s="102"/>
      <c r="BK191" s="1883" t="str">
        <f>IF('old Weapons'!E81&lt;&gt;"",'old Weapons'!E81,"")</f>
        <v/>
      </c>
      <c r="BL191" s="1883"/>
      <c r="BM191" s="1883"/>
      <c r="BN191" s="1883"/>
      <c r="BO191" s="1883"/>
      <c r="BP191" s="1883"/>
      <c r="BQ191" s="1883"/>
      <c r="BR191" s="1883"/>
      <c r="BS191" s="1883"/>
      <c r="BT191" s="1924" t="str">
        <f>Weapons!AS9</f>
        <v/>
      </c>
      <c r="BU191" s="1924"/>
      <c r="BV191" s="1924"/>
      <c r="BW191" s="1924"/>
      <c r="BX191" s="1924"/>
      <c r="BY191" s="1924"/>
      <c r="BZ191" s="1924"/>
      <c r="CA191" s="1924"/>
      <c r="CB191" s="1924"/>
      <c r="CC191" s="1924"/>
      <c r="CD191" s="1924"/>
      <c r="CE191" s="1924"/>
      <c r="CF191" s="1924"/>
      <c r="CG191" s="1924"/>
      <c r="CH191" s="1924"/>
      <c r="CI191" s="1924"/>
      <c r="CJ191" s="1924"/>
      <c r="CK191" s="1924"/>
      <c r="CL191" s="656"/>
      <c r="CM191" s="122"/>
      <c r="CN191" s="122"/>
      <c r="CO191" s="118"/>
      <c r="CP191" s="109"/>
      <c r="CQ191" s="109"/>
      <c r="CS191" s="87"/>
      <c r="CT191" s="87"/>
      <c r="CU191" s="87"/>
      <c r="CV191" s="87"/>
      <c r="CW191" s="87"/>
      <c r="CX191" s="322"/>
      <c r="CY191" s="1913" t="s">
        <v>3616</v>
      </c>
      <c r="CZ191" s="1913"/>
      <c r="DA191" s="1913"/>
      <c r="DB191" s="1913"/>
      <c r="DC191" s="1913"/>
      <c r="DD191" s="1913"/>
      <c r="DE191" s="1913"/>
      <c r="DF191" s="1913"/>
      <c r="DG191" s="1977" t="str">
        <f>IF(ArmorWornName&lt;&gt;"",ArmorWornName,"")</f>
        <v/>
      </c>
      <c r="DH191" s="1977"/>
      <c r="DI191" s="1977"/>
      <c r="DJ191" s="1977"/>
      <c r="DK191" s="1977"/>
      <c r="DL191" s="1977"/>
      <c r="DM191" s="1977"/>
      <c r="DN191" s="1977"/>
      <c r="DO191" s="1977"/>
      <c r="DP191" s="1977"/>
      <c r="DQ191" s="1977"/>
      <c r="DR191" s="1977"/>
      <c r="DS191" s="1977"/>
      <c r="DT191" s="1977"/>
      <c r="DU191" s="1977"/>
      <c r="DV191" s="1977"/>
      <c r="DW191" s="1977"/>
      <c r="DX191" s="1977"/>
      <c r="DY191" s="1977"/>
      <c r="DZ191" s="1977"/>
      <c r="EA191" s="1977"/>
      <c r="EB191" s="1977"/>
      <c r="EC191" s="1977"/>
      <c r="ED191" s="1977"/>
      <c r="EE191" s="323"/>
      <c r="EF191" s="111"/>
      <c r="EG191" s="111"/>
      <c r="EH191" s="324"/>
      <c r="EI191" s="1980" t="s">
        <v>3617</v>
      </c>
      <c r="EJ191" s="1980"/>
      <c r="EK191" s="1980"/>
      <c r="EL191" s="1980"/>
      <c r="EM191" s="1982" t="str">
        <f>'Armor and Defenses'!D16</f>
        <v/>
      </c>
      <c r="EN191" s="1982"/>
      <c r="EO191" s="1982"/>
      <c r="EP191" s="1982"/>
      <c r="EQ191" s="1982"/>
      <c r="ER191" s="1982"/>
      <c r="ES191" s="1982"/>
      <c r="ET191" s="323"/>
      <c r="EU191" s="111"/>
      <c r="EV191" s="111"/>
      <c r="EW191" s="111"/>
      <c r="EX191" s="111"/>
      <c r="EY191" s="87"/>
      <c r="EZ191" s="87"/>
      <c r="FA191" s="87"/>
      <c r="FB191" s="87"/>
    </row>
    <row r="192" spans="1:158" ht="9" customHeight="1" thickTop="1" thickBot="1">
      <c r="A192" s="87"/>
      <c r="B192" s="87"/>
      <c r="I192" s="87"/>
      <c r="J192" s="87"/>
      <c r="K192" s="292"/>
      <c r="L192" s="293"/>
      <c r="M192" s="111"/>
      <c r="N192" s="111"/>
      <c r="O192" s="102"/>
      <c r="P192" s="1879"/>
      <c r="Q192" s="1879"/>
      <c r="R192" s="1879"/>
      <c r="S192" s="1879"/>
      <c r="T192" s="1879"/>
      <c r="U192" s="1879"/>
      <c r="V192" s="1879"/>
      <c r="W192" s="1879"/>
      <c r="X192" s="1879"/>
      <c r="Y192" s="1879"/>
      <c r="Z192" s="1879"/>
      <c r="AA192" s="1879"/>
      <c r="AB192" s="1879"/>
      <c r="AC192" s="1879"/>
      <c r="AD192" s="1879"/>
      <c r="AE192" s="1879"/>
      <c r="AF192" s="1879"/>
      <c r="AG192" s="1879"/>
      <c r="AH192" s="1879"/>
      <c r="AI192" s="1879"/>
      <c r="AJ192" s="1879"/>
      <c r="AK192" s="1879"/>
      <c r="AL192" s="1879"/>
      <c r="AM192" s="1879"/>
      <c r="AN192" s="1879"/>
      <c r="AO192" s="1879"/>
      <c r="AP192" s="1879"/>
      <c r="AQ192" s="1879"/>
      <c r="AR192" s="1879"/>
      <c r="AS192" s="646"/>
      <c r="AT192" s="111"/>
      <c r="AU192" s="111"/>
      <c r="AV192" s="647"/>
      <c r="AW192" s="1881"/>
      <c r="AX192" s="1881"/>
      <c r="AY192" s="1881"/>
      <c r="AZ192" s="1881"/>
      <c r="BA192" s="1881"/>
      <c r="BB192" s="1881"/>
      <c r="BC192" s="1881"/>
      <c r="BD192" s="1881"/>
      <c r="BE192" s="1881"/>
      <c r="BF192" s="1881"/>
      <c r="BG192" s="100"/>
      <c r="BH192" s="111"/>
      <c r="BI192" s="111"/>
      <c r="BJ192" s="102"/>
      <c r="BK192" s="1883"/>
      <c r="BL192" s="1883"/>
      <c r="BM192" s="1883"/>
      <c r="BN192" s="1883"/>
      <c r="BO192" s="1883"/>
      <c r="BP192" s="1883"/>
      <c r="BQ192" s="1883"/>
      <c r="BR192" s="1883"/>
      <c r="BS192" s="1883"/>
      <c r="BT192" s="1924"/>
      <c r="BU192" s="1924"/>
      <c r="BV192" s="1924"/>
      <c r="BW192" s="1924"/>
      <c r="BX192" s="1924"/>
      <c r="BY192" s="1924"/>
      <c r="BZ192" s="1924"/>
      <c r="CA192" s="1924"/>
      <c r="CB192" s="1924"/>
      <c r="CC192" s="1924"/>
      <c r="CD192" s="1924"/>
      <c r="CE192" s="1924"/>
      <c r="CF192" s="1924"/>
      <c r="CG192" s="1924"/>
      <c r="CH192" s="1924"/>
      <c r="CI192" s="1924"/>
      <c r="CJ192" s="1924"/>
      <c r="CK192" s="1924"/>
      <c r="CL192" s="656"/>
      <c r="CM192" s="111"/>
      <c r="CN192" s="111"/>
      <c r="CO192" s="256"/>
      <c r="CP192" s="109"/>
      <c r="CQ192" s="109"/>
      <c r="CS192" s="87"/>
      <c r="CT192" s="87"/>
      <c r="CU192" s="325"/>
      <c r="CV192" s="325"/>
      <c r="CW192" s="316"/>
      <c r="CX192" s="326"/>
      <c r="CY192" s="1914"/>
      <c r="CZ192" s="1914"/>
      <c r="DA192" s="1914"/>
      <c r="DB192" s="1914"/>
      <c r="DC192" s="1914"/>
      <c r="DD192" s="1914"/>
      <c r="DE192" s="1914"/>
      <c r="DF192" s="1914"/>
      <c r="DG192" s="1978"/>
      <c r="DH192" s="1978"/>
      <c r="DI192" s="1978"/>
      <c r="DJ192" s="1978"/>
      <c r="DK192" s="1978"/>
      <c r="DL192" s="1978"/>
      <c r="DM192" s="1978"/>
      <c r="DN192" s="1978"/>
      <c r="DO192" s="1978"/>
      <c r="DP192" s="1978"/>
      <c r="DQ192" s="1978"/>
      <c r="DR192" s="1978"/>
      <c r="DS192" s="1978"/>
      <c r="DT192" s="1978"/>
      <c r="DU192" s="1978"/>
      <c r="DV192" s="1978"/>
      <c r="DW192" s="1978"/>
      <c r="DX192" s="1978"/>
      <c r="DY192" s="1978"/>
      <c r="DZ192" s="1978"/>
      <c r="EA192" s="1978"/>
      <c r="EB192" s="1978"/>
      <c r="EC192" s="1978"/>
      <c r="ED192" s="1978"/>
      <c r="EE192" s="328"/>
      <c r="EF192" s="329"/>
      <c r="EG192" s="330"/>
      <c r="EH192" s="331"/>
      <c r="EI192" s="1981"/>
      <c r="EJ192" s="1981"/>
      <c r="EK192" s="1981"/>
      <c r="EL192" s="1981"/>
      <c r="EM192" s="1983"/>
      <c r="EN192" s="1983"/>
      <c r="EO192" s="1983"/>
      <c r="EP192" s="1983"/>
      <c r="EQ192" s="1983"/>
      <c r="ER192" s="1983"/>
      <c r="ES192" s="1983"/>
      <c r="ET192" s="328"/>
      <c r="EU192" s="329"/>
      <c r="EV192" s="332"/>
      <c r="EW192" s="332"/>
      <c r="EX192" s="332"/>
      <c r="EY192" s="325"/>
      <c r="EZ192" s="87"/>
      <c r="FA192" s="87"/>
      <c r="FB192" s="87"/>
    </row>
    <row r="193" spans="1:158" ht="9" customHeight="1" thickTop="1" thickBot="1">
      <c r="A193" s="87"/>
      <c r="B193" s="87"/>
      <c r="I193" s="87"/>
      <c r="J193" s="144"/>
      <c r="K193" s="111"/>
      <c r="L193" s="111"/>
      <c r="M193" s="111"/>
      <c r="N193" s="111"/>
      <c r="O193" s="91"/>
      <c r="P193" s="1880"/>
      <c r="Q193" s="1880"/>
      <c r="R193" s="1880"/>
      <c r="S193" s="1880"/>
      <c r="T193" s="1880"/>
      <c r="U193" s="1880"/>
      <c r="V193" s="1880"/>
      <c r="W193" s="1880"/>
      <c r="X193" s="1880"/>
      <c r="Y193" s="1880"/>
      <c r="Z193" s="1880"/>
      <c r="AA193" s="1880"/>
      <c r="AB193" s="1880"/>
      <c r="AC193" s="1880"/>
      <c r="AD193" s="1880"/>
      <c r="AE193" s="1880"/>
      <c r="AF193" s="1880"/>
      <c r="AG193" s="1880"/>
      <c r="AH193" s="1880"/>
      <c r="AI193" s="1880"/>
      <c r="AJ193" s="1880"/>
      <c r="AK193" s="1880"/>
      <c r="AL193" s="1880"/>
      <c r="AM193" s="1880"/>
      <c r="AN193" s="1880"/>
      <c r="AO193" s="1880"/>
      <c r="AP193" s="1880"/>
      <c r="AQ193" s="1880"/>
      <c r="AR193" s="1880"/>
      <c r="AS193" s="648"/>
      <c r="AT193" s="818"/>
      <c r="AU193" s="818"/>
      <c r="AV193" s="649"/>
      <c r="AW193" s="1882"/>
      <c r="AX193" s="1882"/>
      <c r="AY193" s="1882"/>
      <c r="AZ193" s="1882"/>
      <c r="BA193" s="1882"/>
      <c r="BB193" s="1882"/>
      <c r="BC193" s="1882"/>
      <c r="BD193" s="1882"/>
      <c r="BE193" s="1882"/>
      <c r="BF193" s="1882"/>
      <c r="BG193" s="93"/>
      <c r="BH193" s="818"/>
      <c r="BI193" s="818"/>
      <c r="BJ193" s="91"/>
      <c r="BK193" s="655"/>
      <c r="BL193" s="655"/>
      <c r="BM193" s="655"/>
      <c r="BN193" s="655"/>
      <c r="BO193" s="655"/>
      <c r="BP193" s="655"/>
      <c r="BQ193" s="655"/>
      <c r="BR193" s="655"/>
      <c r="BS193" s="655"/>
      <c r="BT193" s="1925"/>
      <c r="BU193" s="1925"/>
      <c r="BV193" s="1925"/>
      <c r="BW193" s="1925"/>
      <c r="BX193" s="1925"/>
      <c r="BY193" s="1925"/>
      <c r="BZ193" s="1925"/>
      <c r="CA193" s="1925"/>
      <c r="CB193" s="1925"/>
      <c r="CC193" s="1925"/>
      <c r="CD193" s="1925"/>
      <c r="CE193" s="1925"/>
      <c r="CF193" s="1925"/>
      <c r="CG193" s="1925"/>
      <c r="CH193" s="1925"/>
      <c r="CI193" s="1925"/>
      <c r="CJ193" s="1925"/>
      <c r="CK193" s="1925"/>
      <c r="CL193" s="93"/>
      <c r="CM193" s="118"/>
      <c r="CN193" s="118"/>
      <c r="CO193" s="118"/>
      <c r="CP193" s="256"/>
      <c r="CQ193" s="109"/>
      <c r="CS193" s="87"/>
      <c r="CT193" s="289"/>
      <c r="CU193" s="87"/>
      <c r="CV193" s="87"/>
      <c r="CW193" s="87"/>
      <c r="CX193" s="326"/>
      <c r="CY193" s="105"/>
      <c r="CZ193" s="105"/>
      <c r="DA193" s="105"/>
      <c r="DB193" s="105"/>
      <c r="DC193" s="105"/>
      <c r="DD193" s="105"/>
      <c r="DE193" s="105"/>
      <c r="DF193" s="105"/>
      <c r="DG193" s="1978"/>
      <c r="DH193" s="1978"/>
      <c r="DI193" s="1978"/>
      <c r="DJ193" s="1978"/>
      <c r="DK193" s="1978"/>
      <c r="DL193" s="1978"/>
      <c r="DM193" s="1978"/>
      <c r="DN193" s="1978"/>
      <c r="DO193" s="1978"/>
      <c r="DP193" s="1978"/>
      <c r="DQ193" s="1978"/>
      <c r="DR193" s="1978"/>
      <c r="DS193" s="1978"/>
      <c r="DT193" s="1978"/>
      <c r="DU193" s="1978"/>
      <c r="DV193" s="1978"/>
      <c r="DW193" s="1978"/>
      <c r="DX193" s="1978"/>
      <c r="DY193" s="1978"/>
      <c r="DZ193" s="1978"/>
      <c r="EA193" s="1978"/>
      <c r="EB193" s="1978"/>
      <c r="EC193" s="1978"/>
      <c r="ED193" s="1978"/>
      <c r="EE193" s="328"/>
      <c r="EF193" s="111"/>
      <c r="EG193" s="111"/>
      <c r="EH193" s="333"/>
      <c r="EI193" s="118"/>
      <c r="EJ193" s="118"/>
      <c r="EK193" s="118"/>
      <c r="EL193" s="118"/>
      <c r="EM193" s="1983"/>
      <c r="EN193" s="1983"/>
      <c r="EO193" s="1983"/>
      <c r="EP193" s="1983"/>
      <c r="EQ193" s="1983"/>
      <c r="ER193" s="1983"/>
      <c r="ES193" s="1983"/>
      <c r="ET193" s="328"/>
      <c r="EU193" s="111"/>
      <c r="EV193" s="111"/>
      <c r="EW193" s="111"/>
      <c r="EX193" s="111"/>
      <c r="EY193" s="87"/>
      <c r="EZ193" s="307"/>
      <c r="FA193" s="87"/>
      <c r="FB193" s="87"/>
    </row>
    <row r="194" spans="1:158" ht="9" customHeight="1" thickTop="1" thickBot="1">
      <c r="A194" s="87"/>
      <c r="B194" s="87"/>
      <c r="I194" s="112"/>
      <c r="J194" s="1861" t="str">
        <f>IF(Weapons!AS$61&lt;&gt;"","MOUNTED","")</f>
        <v/>
      </c>
      <c r="K194" s="1862"/>
      <c r="L194" s="1862"/>
      <c r="M194" s="818"/>
      <c r="N194" s="818"/>
      <c r="O194" s="818"/>
      <c r="P194" s="818"/>
      <c r="Q194" s="818"/>
      <c r="R194" s="818"/>
      <c r="S194" s="818"/>
      <c r="T194" s="818"/>
      <c r="U194" s="818"/>
      <c r="V194" s="818"/>
      <c r="W194" s="818"/>
      <c r="X194" s="818"/>
      <c r="Y194" s="818"/>
      <c r="Z194" s="818"/>
      <c r="AA194" s="818"/>
      <c r="AB194" s="818"/>
      <c r="AC194" s="818"/>
      <c r="AD194" s="818"/>
      <c r="AE194" s="818"/>
      <c r="AF194" s="818"/>
      <c r="AG194" s="818"/>
      <c r="AH194" s="818"/>
      <c r="AI194" s="818"/>
      <c r="AJ194" s="818"/>
      <c r="AK194" s="818"/>
      <c r="AL194" s="818"/>
      <c r="AM194" s="818"/>
      <c r="AN194" s="818"/>
      <c r="AO194" s="818"/>
      <c r="AP194" s="818"/>
      <c r="AQ194" s="818"/>
      <c r="AR194" s="818"/>
      <c r="AS194" s="818"/>
      <c r="AT194" s="818"/>
      <c r="AU194" s="818"/>
      <c r="AV194" s="818"/>
      <c r="AW194" s="818"/>
      <c r="AX194" s="818"/>
      <c r="AY194" s="818"/>
      <c r="AZ194" s="818"/>
      <c r="BA194" s="818"/>
      <c r="BB194" s="818"/>
      <c r="BC194" s="818"/>
      <c r="BD194" s="818"/>
      <c r="BE194" s="818"/>
      <c r="BF194" s="818"/>
      <c r="BG194" s="818"/>
      <c r="BH194" s="818"/>
      <c r="BI194" s="818"/>
      <c r="BJ194" s="818"/>
      <c r="BK194" s="818"/>
      <c r="BL194" s="818"/>
      <c r="BM194" s="818"/>
      <c r="BN194" s="818"/>
      <c r="BO194" s="818"/>
      <c r="BP194" s="818"/>
      <c r="BQ194" s="818"/>
      <c r="BR194" s="818"/>
      <c r="BS194" s="818"/>
      <c r="BT194" s="818"/>
      <c r="BU194" s="818"/>
      <c r="BV194" s="818"/>
      <c r="BW194" s="818"/>
      <c r="BX194" s="818"/>
      <c r="BY194" s="818"/>
      <c r="BZ194" s="818"/>
      <c r="CA194" s="818"/>
      <c r="CB194" s="818"/>
      <c r="CC194" s="818"/>
      <c r="CD194" s="818"/>
      <c r="CE194" s="818"/>
      <c r="CF194" s="818"/>
      <c r="CG194" s="818"/>
      <c r="CH194" s="818"/>
      <c r="CI194" s="818"/>
      <c r="CJ194" s="818"/>
      <c r="CK194" s="818"/>
      <c r="CL194" s="818"/>
      <c r="CM194" s="596"/>
      <c r="CN194" s="596"/>
      <c r="CO194" s="596"/>
      <c r="CP194" s="112"/>
      <c r="CQ194" s="87"/>
      <c r="CS194" s="289"/>
      <c r="CT194" s="87"/>
      <c r="CU194" s="87"/>
      <c r="CV194" s="87"/>
      <c r="CW194" s="87"/>
      <c r="CX194" s="334"/>
      <c r="CY194" s="335"/>
      <c r="CZ194" s="335"/>
      <c r="DA194" s="335"/>
      <c r="DB194" s="335"/>
      <c r="DC194" s="335"/>
      <c r="DD194" s="335"/>
      <c r="DE194" s="335"/>
      <c r="DF194" s="335"/>
      <c r="DG194" s="1979"/>
      <c r="DH194" s="1979"/>
      <c r="DI194" s="1979"/>
      <c r="DJ194" s="1979"/>
      <c r="DK194" s="1979"/>
      <c r="DL194" s="1979"/>
      <c r="DM194" s="1979"/>
      <c r="DN194" s="1979"/>
      <c r="DO194" s="1979"/>
      <c r="DP194" s="1979"/>
      <c r="DQ194" s="1979"/>
      <c r="DR194" s="1979"/>
      <c r="DS194" s="1979"/>
      <c r="DT194" s="1979"/>
      <c r="DU194" s="1979"/>
      <c r="DV194" s="1979"/>
      <c r="DW194" s="1979"/>
      <c r="DX194" s="1979"/>
      <c r="DY194" s="1979"/>
      <c r="DZ194" s="1979"/>
      <c r="EA194" s="1979"/>
      <c r="EB194" s="1979"/>
      <c r="EC194" s="1979"/>
      <c r="ED194" s="1979"/>
      <c r="EE194" s="324"/>
      <c r="EF194" s="111"/>
      <c r="EG194" s="111"/>
      <c r="EH194" s="336"/>
      <c r="EI194" s="332"/>
      <c r="EJ194" s="332"/>
      <c r="EK194" s="332"/>
      <c r="EL194" s="332"/>
      <c r="EM194" s="1984"/>
      <c r="EN194" s="1984"/>
      <c r="EO194" s="1984"/>
      <c r="EP194" s="1984"/>
      <c r="EQ194" s="1984"/>
      <c r="ER194" s="1984"/>
      <c r="ES194" s="1984"/>
      <c r="ET194" s="324"/>
      <c r="EU194" s="111"/>
      <c r="EV194" s="111"/>
      <c r="EW194" s="111"/>
      <c r="EX194" s="111"/>
      <c r="EY194" s="87"/>
      <c r="EZ194" s="87"/>
      <c r="FA194" s="307"/>
      <c r="FB194" s="87"/>
    </row>
    <row r="195" spans="1:158" ht="9" customHeight="1" thickTop="1" thickBot="1">
      <c r="A195" s="87"/>
      <c r="B195" s="87"/>
      <c r="I195" s="112"/>
      <c r="J195" s="1861"/>
      <c r="K195" s="1862"/>
      <c r="L195" s="1862"/>
      <c r="M195" s="93"/>
      <c r="N195" s="1865" t="s">
        <v>3613</v>
      </c>
      <c r="O195" s="1865"/>
      <c r="P195" s="1865"/>
      <c r="Q195" s="1865"/>
      <c r="R195" s="295"/>
      <c r="S195" s="295"/>
      <c r="T195" s="600"/>
      <c r="U195" s="600"/>
      <c r="V195" s="594"/>
      <c r="W195" s="594"/>
      <c r="X195" s="594"/>
      <c r="Y195" s="594"/>
      <c r="Z195" s="594"/>
      <c r="AA195" s="594"/>
      <c r="AB195" s="594"/>
      <c r="AC195" s="594"/>
      <c r="AD195" s="594"/>
      <c r="AE195" s="594"/>
      <c r="AF195" s="594"/>
      <c r="AG195" s="594"/>
      <c r="AH195" s="594"/>
      <c r="AI195" s="594"/>
      <c r="AJ195" s="594"/>
      <c r="AK195" s="594"/>
      <c r="AL195" s="297"/>
      <c r="AM195" s="818"/>
      <c r="AN195" s="818"/>
      <c r="AO195" s="93"/>
      <c r="AP195" s="1865" t="s">
        <v>4051</v>
      </c>
      <c r="AQ195" s="1865"/>
      <c r="AR195" s="1865"/>
      <c r="AS195" s="1865"/>
      <c r="AT195" s="295"/>
      <c r="AU195" s="295"/>
      <c r="AV195" s="295"/>
      <c r="AW195" s="295"/>
      <c r="AX195" s="295"/>
      <c r="AY195" s="295"/>
      <c r="AZ195" s="295"/>
      <c r="BA195" s="295"/>
      <c r="BB195" s="295"/>
      <c r="BC195" s="295"/>
      <c r="BD195" s="295"/>
      <c r="BE195" s="113"/>
      <c r="BF195" s="818"/>
      <c r="BG195" s="818"/>
      <c r="BH195" s="93"/>
      <c r="BI195" s="1865" t="str">
        <f>IF(CC196&lt;&gt;"","AMMO","POWER")</f>
        <v>POWER</v>
      </c>
      <c r="BJ195" s="1865"/>
      <c r="BK195" s="1865"/>
      <c r="BL195" s="1865"/>
      <c r="BM195" s="1865"/>
      <c r="BN195" s="1865"/>
      <c r="BO195" s="295"/>
      <c r="BP195" s="295"/>
      <c r="BQ195" s="295"/>
      <c r="BR195" s="295"/>
      <c r="BS195" s="295"/>
      <c r="BT195" s="295"/>
      <c r="BU195" s="295"/>
      <c r="BV195" s="295"/>
      <c r="BW195" s="295"/>
      <c r="BX195" s="295"/>
      <c r="BY195" s="295"/>
      <c r="BZ195" s="295"/>
      <c r="CA195" s="295"/>
      <c r="CB195" s="295"/>
      <c r="CC195" s="295"/>
      <c r="CD195" s="295"/>
      <c r="CE195" s="295"/>
      <c r="CF195" s="295"/>
      <c r="CG195" s="295"/>
      <c r="CH195" s="295"/>
      <c r="CI195" s="295"/>
      <c r="CJ195" s="295"/>
      <c r="CK195" s="295"/>
      <c r="CL195" s="113"/>
      <c r="CM195" s="595"/>
      <c r="CN195" s="595"/>
      <c r="CO195" s="595"/>
      <c r="CP195" s="112"/>
      <c r="CQ195" s="87"/>
      <c r="CR195" s="337"/>
      <c r="CS195" s="87"/>
      <c r="CT195" s="87"/>
      <c r="CU195" s="87"/>
      <c r="CV195" s="87"/>
      <c r="CW195" s="87"/>
      <c r="CX195" s="87"/>
      <c r="CY195" s="338"/>
      <c r="CZ195" s="338"/>
      <c r="DA195" s="338"/>
      <c r="DB195" s="338"/>
      <c r="DC195" s="338"/>
      <c r="DD195" s="338"/>
      <c r="DE195" s="338"/>
      <c r="DF195" s="338"/>
      <c r="DG195" s="339"/>
      <c r="DH195" s="339"/>
      <c r="DI195" s="339"/>
      <c r="DJ195" s="339"/>
      <c r="DK195" s="111"/>
      <c r="DL195" s="111"/>
      <c r="DM195" s="111"/>
      <c r="DN195" s="111"/>
      <c r="DO195" s="111"/>
      <c r="DP195" s="111"/>
      <c r="DQ195" s="111"/>
      <c r="DR195" s="111"/>
      <c r="DS195" s="111"/>
      <c r="DT195" s="111"/>
      <c r="DU195" s="111"/>
      <c r="DV195" s="111"/>
      <c r="DW195" s="111"/>
      <c r="DX195" s="111"/>
      <c r="DY195" s="111"/>
      <c r="DZ195" s="111"/>
      <c r="EA195" s="111"/>
      <c r="EB195" s="111"/>
      <c r="EC195" s="111"/>
      <c r="ED195" s="111"/>
      <c r="EE195" s="111"/>
      <c r="EF195" s="111"/>
      <c r="EG195" s="111"/>
      <c r="EH195" s="111"/>
      <c r="EI195" s="111"/>
      <c r="EJ195" s="111"/>
      <c r="EK195" s="111"/>
      <c r="EL195" s="111"/>
      <c r="EM195" s="111"/>
      <c r="EN195" s="111"/>
      <c r="EO195" s="111"/>
      <c r="EP195" s="111"/>
      <c r="EQ195" s="111"/>
      <c r="ER195" s="111"/>
      <c r="ES195" s="111"/>
      <c r="ET195" s="111"/>
      <c r="EU195" s="111"/>
      <c r="EV195" s="111"/>
      <c r="EW195" s="111"/>
      <c r="EX195" s="111"/>
      <c r="EY195" s="87"/>
      <c r="EZ195" s="87"/>
      <c r="FA195" s="287"/>
      <c r="FB195" s="87"/>
    </row>
    <row r="196" spans="1:158" ht="9" customHeight="1" thickTop="1">
      <c r="A196" s="87"/>
      <c r="B196" s="87"/>
      <c r="I196" s="112"/>
      <c r="J196" s="1861"/>
      <c r="K196" s="1862"/>
      <c r="L196" s="1862"/>
      <c r="M196" s="102"/>
      <c r="N196" s="1866"/>
      <c r="O196" s="1866"/>
      <c r="P196" s="1866"/>
      <c r="Q196" s="1866"/>
      <c r="R196" s="1867" t="str">
        <f>Weapons!AS$34</f>
        <v/>
      </c>
      <c r="S196" s="1867"/>
      <c r="T196" s="1867"/>
      <c r="U196" s="1867"/>
      <c r="V196" s="1867"/>
      <c r="W196" s="1867"/>
      <c r="X196" s="1867"/>
      <c r="Y196" s="1867"/>
      <c r="Z196" s="1867"/>
      <c r="AA196" s="1867"/>
      <c r="AB196" s="1867"/>
      <c r="AC196" s="1867"/>
      <c r="AD196" s="1867"/>
      <c r="AE196" s="1867"/>
      <c r="AF196" s="1867"/>
      <c r="AG196" s="1867"/>
      <c r="AH196" s="1867"/>
      <c r="AI196" s="1867"/>
      <c r="AJ196" s="1867"/>
      <c r="AK196" s="1867"/>
      <c r="AL196" s="300"/>
      <c r="AM196" s="818"/>
      <c r="AN196" s="818"/>
      <c r="AO196" s="102"/>
      <c r="AP196" s="1866"/>
      <c r="AQ196" s="1866"/>
      <c r="AR196" s="1866"/>
      <c r="AS196" s="1866"/>
      <c r="AT196" s="1869" t="str">
        <f>Weapons!AS$23</f>
        <v/>
      </c>
      <c r="AU196" s="1869"/>
      <c r="AV196" s="1869"/>
      <c r="AW196" s="1869"/>
      <c r="AX196" s="1869"/>
      <c r="AY196" s="1869"/>
      <c r="AZ196" s="1869"/>
      <c r="BA196" s="1869"/>
      <c r="BB196" s="1869"/>
      <c r="BC196" s="1869"/>
      <c r="BD196" s="1869"/>
      <c r="BE196" s="100"/>
      <c r="BF196" s="818"/>
      <c r="BG196" s="818"/>
      <c r="BH196" s="102"/>
      <c r="BI196" s="1866"/>
      <c r="BJ196" s="1866"/>
      <c r="BK196" s="1866"/>
      <c r="BL196" s="1866"/>
      <c r="BM196" s="1866"/>
      <c r="BN196" s="1866"/>
      <c r="BO196" s="1875" t="str">
        <f>Weapons!AS$25</f>
        <v/>
      </c>
      <c r="BP196" s="1875"/>
      <c r="BQ196" s="1875"/>
      <c r="BR196" s="1875"/>
      <c r="BS196" s="1875"/>
      <c r="BT196" s="1875"/>
      <c r="BU196" s="1875"/>
      <c r="BV196" s="1875"/>
      <c r="BW196" s="1875"/>
      <c r="BX196" s="1875"/>
      <c r="BY196" s="1875"/>
      <c r="BZ196" s="1875"/>
      <c r="CA196" s="1875"/>
      <c r="CB196" s="1875"/>
      <c r="CC196" s="1863" t="str">
        <f>Weapons!AS$26</f>
        <v/>
      </c>
      <c r="CD196" s="1863"/>
      <c r="CE196" s="1863"/>
      <c r="CF196" s="1863"/>
      <c r="CG196" s="1863"/>
      <c r="CH196" s="1863"/>
      <c r="CI196" s="1863"/>
      <c r="CJ196" s="1863"/>
      <c r="CK196" s="1863"/>
      <c r="CL196" s="100"/>
      <c r="CM196" s="657"/>
      <c r="CN196" s="657"/>
      <c r="CO196" s="657"/>
      <c r="CP196" s="112"/>
      <c r="CQ196" s="109"/>
      <c r="CR196" s="337"/>
      <c r="CS196" s="87"/>
      <c r="CT196" s="87"/>
      <c r="CU196" s="87"/>
      <c r="CV196" s="87"/>
      <c r="CW196" s="87"/>
      <c r="CX196" s="322"/>
      <c r="CY196" s="1967" t="s">
        <v>3618</v>
      </c>
      <c r="CZ196" s="1967"/>
      <c r="DA196" s="1967"/>
      <c r="DB196" s="1967"/>
      <c r="DC196" s="1970" t="str">
        <f>'Armor and Defenses'!D13</f>
        <v/>
      </c>
      <c r="DD196" s="1970"/>
      <c r="DE196" s="1970"/>
      <c r="DF196" s="1970"/>
      <c r="DG196" s="323"/>
      <c r="DH196" s="131"/>
      <c r="DI196" s="118"/>
      <c r="DJ196" s="324"/>
      <c r="DK196" s="1967" t="s">
        <v>3619</v>
      </c>
      <c r="DL196" s="1967"/>
      <c r="DM196" s="1967"/>
      <c r="DN196" s="1967"/>
      <c r="DO196" s="1967"/>
      <c r="DP196" s="1970" t="str">
        <f>'Armor and Defenses'!D14</f>
        <v/>
      </c>
      <c r="DQ196" s="1970"/>
      <c r="DR196" s="1970"/>
      <c r="DS196" s="1970"/>
      <c r="DT196" s="323"/>
      <c r="DU196" s="111"/>
      <c r="DV196" s="111"/>
      <c r="DW196" s="324"/>
      <c r="DX196" s="1967" t="s">
        <v>3620</v>
      </c>
      <c r="DY196" s="1967"/>
      <c r="DZ196" s="1967"/>
      <c r="EA196" s="1967"/>
      <c r="EB196" s="1967"/>
      <c r="EC196" s="1970" t="str">
        <f>'Armor and Defenses'!D15</f>
        <v/>
      </c>
      <c r="ED196" s="1970"/>
      <c r="EE196" s="1970"/>
      <c r="EF196" s="1970"/>
      <c r="EG196" s="323"/>
      <c r="EH196" s="111"/>
      <c r="EI196" s="111"/>
      <c r="EJ196" s="324"/>
      <c r="EK196" s="1913" t="s">
        <v>3574</v>
      </c>
      <c r="EL196" s="1913"/>
      <c r="EM196" s="1913"/>
      <c r="EN196" s="1913"/>
      <c r="EO196" s="1913"/>
      <c r="EP196" s="1913"/>
      <c r="EQ196" s="1913"/>
      <c r="ER196" s="1964" t="str">
        <f>'Armor and Defenses'!D17</f>
        <v/>
      </c>
      <c r="ES196" s="1964"/>
      <c r="ET196" s="1964"/>
      <c r="EU196" s="1964"/>
      <c r="EV196" s="1964"/>
      <c r="EW196" s="1964"/>
      <c r="EX196" s="1964"/>
      <c r="EY196" s="323"/>
      <c r="EZ196" s="87"/>
      <c r="FA196" s="287"/>
      <c r="FB196" s="87"/>
    </row>
    <row r="197" spans="1:158" ht="9" customHeight="1">
      <c r="A197" s="87"/>
      <c r="B197" s="87"/>
      <c r="I197" s="112"/>
      <c r="J197" s="1861"/>
      <c r="K197" s="1862"/>
      <c r="L197" s="1862"/>
      <c r="M197" s="102"/>
      <c r="N197" s="105"/>
      <c r="O197" s="105"/>
      <c r="P197" s="105"/>
      <c r="Q197" s="105"/>
      <c r="R197" s="1867"/>
      <c r="S197" s="1867"/>
      <c r="T197" s="1867"/>
      <c r="U197" s="1867"/>
      <c r="V197" s="1867"/>
      <c r="W197" s="1867"/>
      <c r="X197" s="1867"/>
      <c r="Y197" s="1867"/>
      <c r="Z197" s="1867"/>
      <c r="AA197" s="1867"/>
      <c r="AB197" s="1867"/>
      <c r="AC197" s="1867"/>
      <c r="AD197" s="1867"/>
      <c r="AE197" s="1867"/>
      <c r="AF197" s="1867"/>
      <c r="AG197" s="1867"/>
      <c r="AH197" s="1867"/>
      <c r="AI197" s="1867"/>
      <c r="AJ197" s="1867"/>
      <c r="AK197" s="1867"/>
      <c r="AL197" s="103"/>
      <c r="AM197" s="818"/>
      <c r="AN197" s="818"/>
      <c r="AO197" s="102"/>
      <c r="AP197" s="820"/>
      <c r="AQ197" s="820"/>
      <c r="AR197" s="820"/>
      <c r="AS197" s="820"/>
      <c r="AT197" s="1869"/>
      <c r="AU197" s="1869"/>
      <c r="AV197" s="1869"/>
      <c r="AW197" s="1869"/>
      <c r="AX197" s="1869"/>
      <c r="AY197" s="1869"/>
      <c r="AZ197" s="1869"/>
      <c r="BA197" s="1869"/>
      <c r="BB197" s="1869"/>
      <c r="BC197" s="1869"/>
      <c r="BD197" s="1869"/>
      <c r="BE197" s="100"/>
      <c r="BF197" s="818"/>
      <c r="BG197" s="818"/>
      <c r="BH197" s="102"/>
      <c r="BI197" s="820"/>
      <c r="BJ197" s="820"/>
      <c r="BK197" s="820"/>
      <c r="BL197" s="820"/>
      <c r="BM197" s="820"/>
      <c r="BN197" s="820"/>
      <c r="BO197" s="1875"/>
      <c r="BP197" s="1875"/>
      <c r="BQ197" s="1875"/>
      <c r="BR197" s="1875"/>
      <c r="BS197" s="1875"/>
      <c r="BT197" s="1875"/>
      <c r="BU197" s="1875"/>
      <c r="BV197" s="1875"/>
      <c r="BW197" s="1875"/>
      <c r="BX197" s="1875"/>
      <c r="BY197" s="1875"/>
      <c r="BZ197" s="1875"/>
      <c r="CA197" s="1875"/>
      <c r="CB197" s="1875"/>
      <c r="CC197" s="1863"/>
      <c r="CD197" s="1863"/>
      <c r="CE197" s="1863"/>
      <c r="CF197" s="1863"/>
      <c r="CG197" s="1863"/>
      <c r="CH197" s="1863"/>
      <c r="CI197" s="1863"/>
      <c r="CJ197" s="1863"/>
      <c r="CK197" s="1863"/>
      <c r="CL197" s="100"/>
      <c r="CM197" s="657"/>
      <c r="CN197" s="657"/>
      <c r="CO197" s="657"/>
      <c r="CP197" s="112"/>
      <c r="CQ197" s="109"/>
      <c r="CR197" s="337"/>
      <c r="CS197" s="87"/>
      <c r="CT197" s="87"/>
      <c r="CU197" s="87"/>
      <c r="CV197" s="87"/>
      <c r="CW197" s="87"/>
      <c r="CX197" s="326"/>
      <c r="CY197" s="1968"/>
      <c r="CZ197" s="1968"/>
      <c r="DA197" s="1968"/>
      <c r="DB197" s="1968"/>
      <c r="DC197" s="1971"/>
      <c r="DD197" s="1971"/>
      <c r="DE197" s="1971"/>
      <c r="DF197" s="1971"/>
      <c r="DG197" s="328"/>
      <c r="DH197" s="105"/>
      <c r="DI197" s="118"/>
      <c r="DJ197" s="333"/>
      <c r="DK197" s="1968"/>
      <c r="DL197" s="1968"/>
      <c r="DM197" s="1968"/>
      <c r="DN197" s="1968"/>
      <c r="DO197" s="1968"/>
      <c r="DP197" s="1971"/>
      <c r="DQ197" s="1971"/>
      <c r="DR197" s="1971"/>
      <c r="DS197" s="1971"/>
      <c r="DT197" s="328"/>
      <c r="DU197" s="111"/>
      <c r="DV197" s="111"/>
      <c r="DW197" s="333"/>
      <c r="DX197" s="1968"/>
      <c r="DY197" s="1968"/>
      <c r="DZ197" s="1968"/>
      <c r="EA197" s="1968"/>
      <c r="EB197" s="1968"/>
      <c r="EC197" s="1971"/>
      <c r="ED197" s="1971"/>
      <c r="EE197" s="1971"/>
      <c r="EF197" s="1971"/>
      <c r="EG197" s="328"/>
      <c r="EH197" s="111"/>
      <c r="EI197" s="337"/>
      <c r="EJ197" s="331"/>
      <c r="EK197" s="1914"/>
      <c r="EL197" s="1914"/>
      <c r="EM197" s="1914"/>
      <c r="EN197" s="1914"/>
      <c r="EO197" s="1914"/>
      <c r="EP197" s="1914"/>
      <c r="EQ197" s="1914"/>
      <c r="ER197" s="1965"/>
      <c r="ES197" s="1965"/>
      <c r="ET197" s="1965"/>
      <c r="EU197" s="1965"/>
      <c r="EV197" s="1965"/>
      <c r="EW197" s="1965"/>
      <c r="EX197" s="1965"/>
      <c r="EY197" s="328"/>
      <c r="EZ197" s="87"/>
      <c r="FA197" s="287"/>
      <c r="FB197" s="87"/>
    </row>
    <row r="198" spans="1:158" ht="9" customHeight="1" thickBot="1">
      <c r="A198" s="87"/>
      <c r="B198" s="87"/>
      <c r="I198" s="112"/>
      <c r="J198" s="1861"/>
      <c r="K198" s="1862"/>
      <c r="L198" s="1862"/>
      <c r="M198" s="91"/>
      <c r="N198" s="108"/>
      <c r="O198" s="108"/>
      <c r="P198" s="108"/>
      <c r="Q198" s="108"/>
      <c r="R198" s="1868"/>
      <c r="S198" s="1868"/>
      <c r="T198" s="1868"/>
      <c r="U198" s="1868"/>
      <c r="V198" s="1868"/>
      <c r="W198" s="1868"/>
      <c r="X198" s="1868"/>
      <c r="Y198" s="1868"/>
      <c r="Z198" s="1868"/>
      <c r="AA198" s="1868"/>
      <c r="AB198" s="1868"/>
      <c r="AC198" s="1868"/>
      <c r="AD198" s="1868"/>
      <c r="AE198" s="1868"/>
      <c r="AF198" s="1868"/>
      <c r="AG198" s="1868"/>
      <c r="AH198" s="1868"/>
      <c r="AI198" s="1868"/>
      <c r="AJ198" s="1868"/>
      <c r="AK198" s="1868"/>
      <c r="AL198" s="90"/>
      <c r="AM198" s="818"/>
      <c r="AN198" s="818"/>
      <c r="AO198" s="91"/>
      <c r="AP198" s="821"/>
      <c r="AQ198" s="821"/>
      <c r="AR198" s="821"/>
      <c r="AS198" s="821"/>
      <c r="AT198" s="1870"/>
      <c r="AU198" s="1870"/>
      <c r="AV198" s="1870"/>
      <c r="AW198" s="1870"/>
      <c r="AX198" s="1870"/>
      <c r="AY198" s="1870"/>
      <c r="AZ198" s="1870"/>
      <c r="BA198" s="1870"/>
      <c r="BB198" s="1870"/>
      <c r="BC198" s="1870"/>
      <c r="BD198" s="1870"/>
      <c r="BE198" s="93"/>
      <c r="BF198" s="818"/>
      <c r="BG198" s="818"/>
      <c r="BH198" s="91"/>
      <c r="BI198" s="821"/>
      <c r="BJ198" s="821"/>
      <c r="BK198" s="821"/>
      <c r="BL198" s="821"/>
      <c r="BM198" s="821"/>
      <c r="BN198" s="821"/>
      <c r="BO198" s="1876"/>
      <c r="BP198" s="1876"/>
      <c r="BQ198" s="1876"/>
      <c r="BR198" s="1876"/>
      <c r="BS198" s="1876"/>
      <c r="BT198" s="1876"/>
      <c r="BU198" s="1876"/>
      <c r="BV198" s="1876"/>
      <c r="BW198" s="1876"/>
      <c r="BX198" s="1876"/>
      <c r="BY198" s="1876"/>
      <c r="BZ198" s="1876"/>
      <c r="CA198" s="1876"/>
      <c r="CB198" s="1876"/>
      <c r="CC198" s="1864"/>
      <c r="CD198" s="1864"/>
      <c r="CE198" s="1864"/>
      <c r="CF198" s="1864"/>
      <c r="CG198" s="1864"/>
      <c r="CH198" s="1864"/>
      <c r="CI198" s="1864"/>
      <c r="CJ198" s="1864"/>
      <c r="CK198" s="1864"/>
      <c r="CL198" s="93"/>
      <c r="CM198" s="657"/>
      <c r="CN198" s="657"/>
      <c r="CO198" s="657"/>
      <c r="CP198" s="112"/>
      <c r="CQ198" s="118"/>
      <c r="CR198" s="337"/>
      <c r="CS198" s="87"/>
      <c r="CT198" s="87"/>
      <c r="CU198" s="87"/>
      <c r="CV198" s="87"/>
      <c r="CW198" s="87"/>
      <c r="CX198" s="340"/>
      <c r="CY198" s="1968"/>
      <c r="CZ198" s="1968"/>
      <c r="DA198" s="1968"/>
      <c r="DB198" s="1968"/>
      <c r="DC198" s="1971"/>
      <c r="DD198" s="1971"/>
      <c r="DE198" s="1971"/>
      <c r="DF198" s="1971"/>
      <c r="DG198" s="328"/>
      <c r="DH198" s="105"/>
      <c r="DI198" s="118"/>
      <c r="DJ198" s="333"/>
      <c r="DK198" s="1968"/>
      <c r="DL198" s="1968"/>
      <c r="DM198" s="1968"/>
      <c r="DN198" s="1968"/>
      <c r="DO198" s="1968"/>
      <c r="DP198" s="1971"/>
      <c r="DQ198" s="1971"/>
      <c r="DR198" s="1971"/>
      <c r="DS198" s="1971"/>
      <c r="DT198" s="328"/>
      <c r="DU198" s="111"/>
      <c r="DV198" s="111"/>
      <c r="DW198" s="333"/>
      <c r="DX198" s="1968"/>
      <c r="DY198" s="1968"/>
      <c r="DZ198" s="1968"/>
      <c r="EA198" s="1968"/>
      <c r="EB198" s="1968"/>
      <c r="EC198" s="1971"/>
      <c r="ED198" s="1971"/>
      <c r="EE198" s="1971"/>
      <c r="EF198" s="1971"/>
      <c r="EG198" s="328"/>
      <c r="EH198" s="111"/>
      <c r="EI198" s="337"/>
      <c r="EJ198" s="331"/>
      <c r="EK198" s="118"/>
      <c r="EL198" s="118"/>
      <c r="EM198" s="118"/>
      <c r="EN198" s="118"/>
      <c r="EO198" s="118"/>
      <c r="EP198" s="118"/>
      <c r="EQ198" s="118"/>
      <c r="ER198" s="1965"/>
      <c r="ES198" s="1965"/>
      <c r="ET198" s="1965"/>
      <c r="EU198" s="1965"/>
      <c r="EV198" s="1965"/>
      <c r="EW198" s="1965"/>
      <c r="EX198" s="1965"/>
      <c r="EY198" s="328"/>
      <c r="EZ198" s="87"/>
      <c r="FA198" s="287"/>
      <c r="FB198" s="87"/>
    </row>
    <row r="199" spans="1:158" ht="9" customHeight="1" thickTop="1" thickBot="1">
      <c r="A199" s="87"/>
      <c r="B199" s="87"/>
      <c r="I199" s="112"/>
      <c r="J199" s="1861"/>
      <c r="K199" s="1862"/>
      <c r="L199" s="1862"/>
      <c r="M199" s="818"/>
      <c r="N199" s="818"/>
      <c r="O199" s="818"/>
      <c r="P199" s="818"/>
      <c r="Q199" s="818"/>
      <c r="R199" s="818"/>
      <c r="S199" s="818"/>
      <c r="T199" s="818"/>
      <c r="U199" s="589"/>
      <c r="V199" s="589"/>
      <c r="W199" s="589"/>
      <c r="X199" s="589"/>
      <c r="Y199" s="589"/>
      <c r="Z199" s="589"/>
      <c r="AA199" s="589"/>
      <c r="AB199" s="589"/>
      <c r="AC199" s="589"/>
      <c r="AD199" s="589"/>
      <c r="AE199" s="589"/>
      <c r="AF199" s="589"/>
      <c r="AG199" s="589"/>
      <c r="AH199" s="589"/>
      <c r="AI199" s="589"/>
      <c r="AJ199" s="589"/>
      <c r="AK199" s="589"/>
      <c r="AL199" s="589"/>
      <c r="AM199" s="589"/>
      <c r="AN199" s="131"/>
      <c r="AO199" s="118"/>
      <c r="AP199" s="118"/>
      <c r="AQ199" s="105"/>
      <c r="AR199" s="818"/>
      <c r="AS199" s="818"/>
      <c r="AT199" s="818"/>
      <c r="AU199" s="818"/>
      <c r="AV199" s="653"/>
      <c r="AW199" s="653"/>
      <c r="AX199" s="653"/>
      <c r="AY199" s="653"/>
      <c r="AZ199" s="653"/>
      <c r="BA199" s="131"/>
      <c r="BB199" s="118"/>
      <c r="BC199" s="118"/>
      <c r="BD199" s="105"/>
      <c r="BE199" s="818"/>
      <c r="BF199" s="818"/>
      <c r="BG199" s="818"/>
      <c r="BH199" s="818"/>
      <c r="BI199" s="818"/>
      <c r="BJ199" s="818"/>
      <c r="BK199" s="818"/>
      <c r="BL199" s="818"/>
      <c r="BM199" s="442"/>
      <c r="BN199" s="442"/>
      <c r="BO199" s="442"/>
      <c r="BP199" s="442"/>
      <c r="BQ199" s="442"/>
      <c r="BR199" s="442"/>
      <c r="BS199" s="442"/>
      <c r="BT199" s="442"/>
      <c r="BU199" s="442"/>
      <c r="BV199" s="442"/>
      <c r="BW199" s="442"/>
      <c r="BX199" s="442"/>
      <c r="BY199" s="442"/>
      <c r="BZ199" s="442"/>
      <c r="CA199" s="442"/>
      <c r="CB199" s="442"/>
      <c r="CC199" s="442"/>
      <c r="CD199" s="442"/>
      <c r="CE199" s="442"/>
      <c r="CF199" s="442"/>
      <c r="CG199" s="442"/>
      <c r="CH199" s="442"/>
      <c r="CI199" s="442"/>
      <c r="CJ199" s="442"/>
      <c r="CK199" s="442"/>
      <c r="CL199" s="442"/>
      <c r="CM199" s="118"/>
      <c r="CN199" s="118"/>
      <c r="CO199" s="118"/>
      <c r="CP199" s="112"/>
      <c r="CQ199" s="118"/>
      <c r="CR199" s="337"/>
      <c r="CS199" s="87"/>
      <c r="CT199" s="87"/>
      <c r="CU199" s="87"/>
      <c r="CV199" s="87"/>
      <c r="CW199" s="87"/>
      <c r="CX199" s="334"/>
      <c r="CY199" s="1969"/>
      <c r="CZ199" s="1969"/>
      <c r="DA199" s="1969"/>
      <c r="DB199" s="1969"/>
      <c r="DC199" s="1972"/>
      <c r="DD199" s="1972"/>
      <c r="DE199" s="1972"/>
      <c r="DF199" s="1972"/>
      <c r="DG199" s="324"/>
      <c r="DH199" s="105"/>
      <c r="DI199" s="118"/>
      <c r="DJ199" s="336"/>
      <c r="DK199" s="1969"/>
      <c r="DL199" s="1969"/>
      <c r="DM199" s="1969"/>
      <c r="DN199" s="1969"/>
      <c r="DO199" s="1969"/>
      <c r="DP199" s="1972"/>
      <c r="DQ199" s="1972"/>
      <c r="DR199" s="1972"/>
      <c r="DS199" s="1972"/>
      <c r="DT199" s="324"/>
      <c r="DU199" s="111"/>
      <c r="DV199" s="111"/>
      <c r="DW199" s="336"/>
      <c r="DX199" s="1969"/>
      <c r="DY199" s="1969"/>
      <c r="DZ199" s="1969"/>
      <c r="EA199" s="1969"/>
      <c r="EB199" s="1969"/>
      <c r="EC199" s="1972"/>
      <c r="ED199" s="1972"/>
      <c r="EE199" s="1972"/>
      <c r="EF199" s="1972"/>
      <c r="EG199" s="324"/>
      <c r="EH199" s="111"/>
      <c r="EI199" s="111"/>
      <c r="EJ199" s="336"/>
      <c r="EK199" s="332"/>
      <c r="EL199" s="332"/>
      <c r="EM199" s="332"/>
      <c r="EN199" s="332"/>
      <c r="EO199" s="332"/>
      <c r="EP199" s="332"/>
      <c r="EQ199" s="332"/>
      <c r="ER199" s="1966"/>
      <c r="ES199" s="1966"/>
      <c r="ET199" s="1966"/>
      <c r="EU199" s="1966"/>
      <c r="EV199" s="1966"/>
      <c r="EW199" s="1966"/>
      <c r="EX199" s="1966"/>
      <c r="EY199" s="324"/>
      <c r="EZ199" s="87"/>
      <c r="FA199" s="287"/>
      <c r="FB199" s="87"/>
    </row>
    <row r="200" spans="1:158" ht="9" customHeight="1" thickTop="1" thickBot="1">
      <c r="A200" s="87"/>
      <c r="B200" s="87"/>
      <c r="I200" s="112"/>
      <c r="J200" s="1861"/>
      <c r="K200" s="1862"/>
      <c r="L200" s="1862"/>
      <c r="M200" s="93"/>
      <c r="N200" s="1865" t="s">
        <v>3614</v>
      </c>
      <c r="O200" s="1865"/>
      <c r="P200" s="1865"/>
      <c r="Q200" s="1865"/>
      <c r="R200" s="1865"/>
      <c r="S200" s="1865"/>
      <c r="T200" s="295"/>
      <c r="U200" s="296"/>
      <c r="V200" s="296"/>
      <c r="W200" s="296"/>
      <c r="X200" s="296"/>
      <c r="Y200" s="296"/>
      <c r="Z200" s="296"/>
      <c r="AA200" s="296"/>
      <c r="AB200" s="296"/>
      <c r="AC200" s="296"/>
      <c r="AD200" s="296"/>
      <c r="AE200" s="296"/>
      <c r="AF200" s="296"/>
      <c r="AG200" s="296"/>
      <c r="AH200" s="296"/>
      <c r="AI200" s="296"/>
      <c r="AJ200" s="296"/>
      <c r="AK200" s="296"/>
      <c r="AL200" s="296"/>
      <c r="AM200" s="296"/>
      <c r="AN200" s="296"/>
      <c r="AO200" s="296"/>
      <c r="AP200" s="296"/>
      <c r="AQ200" s="296"/>
      <c r="AR200" s="296"/>
      <c r="AS200" s="296"/>
      <c r="AT200" s="296"/>
      <c r="AU200" s="296"/>
      <c r="AV200" s="296"/>
      <c r="AW200" s="296"/>
      <c r="AX200" s="296"/>
      <c r="AY200" s="296"/>
      <c r="AZ200" s="296"/>
      <c r="BA200" s="296"/>
      <c r="BB200" s="296"/>
      <c r="BC200" s="296"/>
      <c r="BD200" s="296"/>
      <c r="BE200" s="296"/>
      <c r="BF200" s="296"/>
      <c r="BG200" s="296"/>
      <c r="BH200" s="296"/>
      <c r="BI200" s="296"/>
      <c r="BJ200" s="296"/>
      <c r="BK200" s="296"/>
      <c r="BL200" s="296"/>
      <c r="BM200" s="296"/>
      <c r="BN200" s="296"/>
      <c r="BO200" s="296"/>
      <c r="BP200" s="296"/>
      <c r="BQ200" s="296"/>
      <c r="BR200" s="296"/>
      <c r="BS200" s="296"/>
      <c r="BT200" s="296"/>
      <c r="BU200" s="296"/>
      <c r="BV200" s="296"/>
      <c r="BW200" s="296"/>
      <c r="BX200" s="296"/>
      <c r="BY200" s="296"/>
      <c r="BZ200" s="296"/>
      <c r="CA200" s="296"/>
      <c r="CB200" s="296"/>
      <c r="CC200" s="296"/>
      <c r="CD200" s="296"/>
      <c r="CE200" s="296"/>
      <c r="CF200" s="296"/>
      <c r="CG200" s="296"/>
      <c r="CH200" s="296"/>
      <c r="CI200" s="296"/>
      <c r="CJ200" s="296"/>
      <c r="CK200" s="296"/>
      <c r="CL200" s="297"/>
      <c r="CM200" s="596"/>
      <c r="CN200" s="596"/>
      <c r="CO200" s="87"/>
      <c r="CP200" s="112"/>
      <c r="CQ200" s="118"/>
      <c r="CR200" s="337"/>
      <c r="CS200" s="87"/>
      <c r="CT200" s="87"/>
      <c r="CU200" s="87"/>
      <c r="CV200" s="87"/>
      <c r="CW200" s="87"/>
      <c r="CX200" s="109"/>
      <c r="CY200" s="109"/>
      <c r="CZ200" s="109"/>
      <c r="DA200" s="109"/>
      <c r="DB200" s="109"/>
      <c r="DC200" s="109"/>
      <c r="DD200" s="109"/>
      <c r="DE200" s="109"/>
      <c r="DF200" s="109"/>
      <c r="DG200" s="109"/>
      <c r="DH200" s="109"/>
      <c r="DI200" s="109"/>
      <c r="DJ200" s="109"/>
      <c r="DK200" s="109"/>
      <c r="DL200" s="109"/>
      <c r="DM200" s="109"/>
      <c r="DN200" s="109"/>
      <c r="DO200" s="109"/>
      <c r="DP200" s="109"/>
      <c r="DQ200" s="109"/>
      <c r="DR200" s="109"/>
      <c r="DS200" s="109"/>
      <c r="DT200" s="109"/>
      <c r="DU200" s="109"/>
      <c r="DV200" s="109"/>
      <c r="DW200" s="109"/>
      <c r="DX200" s="109"/>
      <c r="DY200" s="109"/>
      <c r="DZ200" s="109"/>
      <c r="EA200" s="109"/>
      <c r="EB200" s="109"/>
      <c r="EC200" s="109"/>
      <c r="ED200" s="109"/>
      <c r="EE200" s="109"/>
      <c r="EF200" s="109"/>
      <c r="EG200" s="109"/>
      <c r="EH200" s="109"/>
      <c r="EI200" s="109"/>
      <c r="EJ200" s="109"/>
      <c r="EK200" s="109"/>
      <c r="EL200" s="109"/>
      <c r="EM200" s="109"/>
      <c r="EN200" s="109"/>
      <c r="EO200" s="109"/>
      <c r="EP200" s="109"/>
      <c r="EQ200" s="109"/>
      <c r="ER200" s="109"/>
      <c r="ES200" s="109"/>
      <c r="ET200" s="109"/>
      <c r="EU200" s="109"/>
      <c r="EV200" s="109"/>
      <c r="EW200" s="109"/>
      <c r="EX200" s="109"/>
      <c r="EY200" s="109"/>
      <c r="EZ200" s="87"/>
      <c r="FA200" s="287"/>
      <c r="FB200" s="87"/>
    </row>
    <row r="201" spans="1:158" ht="9" customHeight="1" thickTop="1">
      <c r="A201" s="87"/>
      <c r="B201" s="87"/>
      <c r="I201" s="87"/>
      <c r="J201" s="256"/>
      <c r="K201" s="118"/>
      <c r="L201" s="111"/>
      <c r="M201" s="102"/>
      <c r="N201" s="1866"/>
      <c r="O201" s="1866"/>
      <c r="P201" s="1866"/>
      <c r="Q201" s="1866"/>
      <c r="R201" s="1866"/>
      <c r="S201" s="1866"/>
      <c r="T201" s="818"/>
      <c r="U201" s="1922" t="str">
        <f>Weapons!AS$28</f>
        <v/>
      </c>
      <c r="V201" s="1922"/>
      <c r="W201" s="1922"/>
      <c r="X201" s="1922"/>
      <c r="Y201" s="1922"/>
      <c r="Z201" s="1922"/>
      <c r="AA201" s="1922"/>
      <c r="AB201" s="1922"/>
      <c r="AC201" s="1922"/>
      <c r="AD201" s="1922"/>
      <c r="AE201" s="1922"/>
      <c r="AF201" s="1922"/>
      <c r="AG201" s="1922"/>
      <c r="AH201" s="1922"/>
      <c r="AI201" s="1922"/>
      <c r="AJ201" s="1922"/>
      <c r="AK201" s="1922"/>
      <c r="AL201" s="1922"/>
      <c r="AM201" s="1922"/>
      <c r="AN201" s="1922"/>
      <c r="AO201" s="1922"/>
      <c r="AP201" s="1922"/>
      <c r="AQ201" s="1922"/>
      <c r="AR201" s="1922"/>
      <c r="AS201" s="1922"/>
      <c r="AT201" s="1922"/>
      <c r="AU201" s="1922"/>
      <c r="AV201" s="1922"/>
      <c r="AW201" s="1922"/>
      <c r="AX201" s="1922"/>
      <c r="AY201" s="1922"/>
      <c r="AZ201" s="1922"/>
      <c r="BA201" s="1922"/>
      <c r="BB201" s="1922"/>
      <c r="BC201" s="1922"/>
      <c r="BD201" s="1922"/>
      <c r="BE201" s="1922"/>
      <c r="BF201" s="1922"/>
      <c r="BG201" s="1922"/>
      <c r="BH201" s="1922"/>
      <c r="BI201" s="1922"/>
      <c r="BJ201" s="1922"/>
      <c r="BK201" s="1922"/>
      <c r="BL201" s="1922"/>
      <c r="BM201" s="1922"/>
      <c r="BN201" s="1922"/>
      <c r="BO201" s="1922"/>
      <c r="BP201" s="1922"/>
      <c r="BQ201" s="1922"/>
      <c r="BR201" s="1922"/>
      <c r="BS201" s="1922"/>
      <c r="BT201" s="1922"/>
      <c r="BU201" s="1922"/>
      <c r="BV201" s="1922"/>
      <c r="BW201" s="1922"/>
      <c r="BX201" s="1922"/>
      <c r="BY201" s="1922"/>
      <c r="BZ201" s="1922"/>
      <c r="CA201" s="1922"/>
      <c r="CB201" s="1922"/>
      <c r="CC201" s="1922"/>
      <c r="CD201" s="1922"/>
      <c r="CE201" s="1922"/>
      <c r="CF201" s="1922"/>
      <c r="CG201" s="1922"/>
      <c r="CH201" s="1922"/>
      <c r="CI201" s="1922"/>
      <c r="CJ201" s="1922"/>
      <c r="CK201" s="1922"/>
      <c r="CL201" s="300"/>
      <c r="CM201" s="658"/>
      <c r="CN201" s="118"/>
      <c r="CO201" s="109"/>
      <c r="CP201" s="144"/>
      <c r="CQ201" s="109"/>
      <c r="CR201" s="337"/>
      <c r="CS201" s="87"/>
      <c r="CT201" s="87"/>
      <c r="CU201" s="322"/>
      <c r="CV201" s="1913" t="s">
        <v>3614</v>
      </c>
      <c r="CW201" s="1913"/>
      <c r="CX201" s="1913"/>
      <c r="CY201" s="1913"/>
      <c r="CZ201" s="1913"/>
      <c r="DA201" s="1913"/>
      <c r="DB201" s="1913"/>
      <c r="DC201" s="1939" t="str">
        <f>IF(ArmorSpecial&lt;&gt;"",ArmorSpecial,"")</f>
        <v/>
      </c>
      <c r="DD201" s="1939"/>
      <c r="DE201" s="1939"/>
      <c r="DF201" s="1939"/>
      <c r="DG201" s="1939"/>
      <c r="DH201" s="1939"/>
      <c r="DI201" s="1939"/>
      <c r="DJ201" s="1939"/>
      <c r="DK201" s="1939"/>
      <c r="DL201" s="1939"/>
      <c r="DM201" s="1939"/>
      <c r="DN201" s="1939"/>
      <c r="DO201" s="1939"/>
      <c r="DP201" s="1939"/>
      <c r="DQ201" s="1939"/>
      <c r="DR201" s="1939"/>
      <c r="DS201" s="1939"/>
      <c r="DT201" s="1939"/>
      <c r="DU201" s="1939"/>
      <c r="DV201" s="1939"/>
      <c r="DW201" s="1939"/>
      <c r="DX201" s="1939"/>
      <c r="DY201" s="1939"/>
      <c r="DZ201" s="1939"/>
      <c r="EA201" s="1939"/>
      <c r="EB201" s="1939"/>
      <c r="EC201" s="1939"/>
      <c r="ED201" s="1939"/>
      <c r="EE201" s="1939"/>
      <c r="EF201" s="1939"/>
      <c r="EG201" s="1939"/>
      <c r="EH201" s="1939"/>
      <c r="EI201" s="1939"/>
      <c r="EJ201" s="1939"/>
      <c r="EK201" s="1939"/>
      <c r="EL201" s="1939"/>
      <c r="EM201" s="1939"/>
      <c r="EN201" s="1939"/>
      <c r="EO201" s="1939"/>
      <c r="EP201" s="1939"/>
      <c r="EQ201" s="1939"/>
      <c r="ER201" s="1939"/>
      <c r="ES201" s="1939"/>
      <c r="ET201" s="1939"/>
      <c r="EU201" s="1939"/>
      <c r="EV201" s="1939"/>
      <c r="EW201" s="1939"/>
      <c r="EX201" s="1939"/>
      <c r="EY201" s="323"/>
      <c r="EZ201" s="87"/>
      <c r="FA201" s="287"/>
      <c r="FB201" s="87"/>
    </row>
    <row r="202" spans="1:158" ht="9" customHeight="1" thickBot="1">
      <c r="A202" s="87"/>
      <c r="B202" s="87"/>
      <c r="I202" s="87"/>
      <c r="J202" s="118"/>
      <c r="K202" s="256"/>
      <c r="L202" s="108"/>
      <c r="M202" s="102"/>
      <c r="N202" s="105"/>
      <c r="O202" s="105"/>
      <c r="P202" s="105"/>
      <c r="Q202" s="105"/>
      <c r="R202" s="596"/>
      <c r="S202" s="596"/>
      <c r="T202" s="596"/>
      <c r="U202" s="1922"/>
      <c r="V202" s="1922"/>
      <c r="W202" s="1922"/>
      <c r="X202" s="1922"/>
      <c r="Y202" s="1922"/>
      <c r="Z202" s="1922"/>
      <c r="AA202" s="1922"/>
      <c r="AB202" s="1922"/>
      <c r="AC202" s="1922"/>
      <c r="AD202" s="1922"/>
      <c r="AE202" s="1922"/>
      <c r="AF202" s="1922"/>
      <c r="AG202" s="1922"/>
      <c r="AH202" s="1922"/>
      <c r="AI202" s="1922"/>
      <c r="AJ202" s="1922"/>
      <c r="AK202" s="1922"/>
      <c r="AL202" s="1922"/>
      <c r="AM202" s="1922"/>
      <c r="AN202" s="1922"/>
      <c r="AO202" s="1922"/>
      <c r="AP202" s="1922"/>
      <c r="AQ202" s="1922"/>
      <c r="AR202" s="1922"/>
      <c r="AS202" s="1922"/>
      <c r="AT202" s="1922"/>
      <c r="AU202" s="1922"/>
      <c r="AV202" s="1922"/>
      <c r="AW202" s="1922"/>
      <c r="AX202" s="1922"/>
      <c r="AY202" s="1922"/>
      <c r="AZ202" s="1922"/>
      <c r="BA202" s="1922"/>
      <c r="BB202" s="1922"/>
      <c r="BC202" s="1922"/>
      <c r="BD202" s="1922"/>
      <c r="BE202" s="1922"/>
      <c r="BF202" s="1922"/>
      <c r="BG202" s="1922"/>
      <c r="BH202" s="1922"/>
      <c r="BI202" s="1922"/>
      <c r="BJ202" s="1922"/>
      <c r="BK202" s="1922"/>
      <c r="BL202" s="1922"/>
      <c r="BM202" s="1922"/>
      <c r="BN202" s="1922"/>
      <c r="BO202" s="1922"/>
      <c r="BP202" s="1922"/>
      <c r="BQ202" s="1922"/>
      <c r="BR202" s="1922"/>
      <c r="BS202" s="1922"/>
      <c r="BT202" s="1922"/>
      <c r="BU202" s="1922"/>
      <c r="BV202" s="1922"/>
      <c r="BW202" s="1922"/>
      <c r="BX202" s="1922"/>
      <c r="BY202" s="1922"/>
      <c r="BZ202" s="1922"/>
      <c r="CA202" s="1922"/>
      <c r="CB202" s="1922"/>
      <c r="CC202" s="1922"/>
      <c r="CD202" s="1922"/>
      <c r="CE202" s="1922"/>
      <c r="CF202" s="1922"/>
      <c r="CG202" s="1922"/>
      <c r="CH202" s="1922"/>
      <c r="CI202" s="1922"/>
      <c r="CJ202" s="1922"/>
      <c r="CK202" s="1922"/>
      <c r="CL202" s="103"/>
      <c r="CM202" s="122"/>
      <c r="CN202" s="122"/>
      <c r="CO202" s="144"/>
      <c r="CP202" s="118"/>
      <c r="CQ202" s="118"/>
      <c r="CR202" s="337"/>
      <c r="CS202" s="87"/>
      <c r="CT202" s="87"/>
      <c r="CU202" s="326"/>
      <c r="CV202" s="1914"/>
      <c r="CW202" s="1914"/>
      <c r="CX202" s="1914"/>
      <c r="CY202" s="1914"/>
      <c r="CZ202" s="1914"/>
      <c r="DA202" s="1914"/>
      <c r="DB202" s="1914"/>
      <c r="DC202" s="1940"/>
      <c r="DD202" s="1940"/>
      <c r="DE202" s="1940"/>
      <c r="DF202" s="1940"/>
      <c r="DG202" s="1940"/>
      <c r="DH202" s="1940"/>
      <c r="DI202" s="1940"/>
      <c r="DJ202" s="1940"/>
      <c r="DK202" s="1940"/>
      <c r="DL202" s="1940"/>
      <c r="DM202" s="1940"/>
      <c r="DN202" s="1940"/>
      <c r="DO202" s="1940"/>
      <c r="DP202" s="1940"/>
      <c r="DQ202" s="1940"/>
      <c r="DR202" s="1940"/>
      <c r="DS202" s="1940"/>
      <c r="DT202" s="1940"/>
      <c r="DU202" s="1940"/>
      <c r="DV202" s="1940"/>
      <c r="DW202" s="1940"/>
      <c r="DX202" s="1940"/>
      <c r="DY202" s="1940"/>
      <c r="DZ202" s="1940"/>
      <c r="EA202" s="1940"/>
      <c r="EB202" s="1940"/>
      <c r="EC202" s="1940"/>
      <c r="ED202" s="1940"/>
      <c r="EE202" s="1940"/>
      <c r="EF202" s="1940"/>
      <c r="EG202" s="1940"/>
      <c r="EH202" s="1940"/>
      <c r="EI202" s="1940"/>
      <c r="EJ202" s="1940"/>
      <c r="EK202" s="1940"/>
      <c r="EL202" s="1940"/>
      <c r="EM202" s="1940"/>
      <c r="EN202" s="1940"/>
      <c r="EO202" s="1940"/>
      <c r="EP202" s="1940"/>
      <c r="EQ202" s="1940"/>
      <c r="ER202" s="1940"/>
      <c r="ES202" s="1940"/>
      <c r="ET202" s="1940"/>
      <c r="EU202" s="1940"/>
      <c r="EV202" s="1940"/>
      <c r="EW202" s="1940"/>
      <c r="EX202" s="1940"/>
      <c r="EY202" s="328"/>
      <c r="EZ202" s="87"/>
      <c r="FA202" s="287"/>
      <c r="FB202" s="87"/>
    </row>
    <row r="203" spans="1:158" ht="9" customHeight="1" thickTop="1" thickBot="1">
      <c r="A203" s="87"/>
      <c r="B203" s="87"/>
      <c r="I203" s="87"/>
      <c r="J203" s="118"/>
      <c r="K203" s="118"/>
      <c r="L203" s="118"/>
      <c r="M203" s="91"/>
      <c r="N203" s="108"/>
      <c r="O203" s="108"/>
      <c r="P203" s="108"/>
      <c r="Q203" s="108"/>
      <c r="R203" s="654"/>
      <c r="S203" s="654"/>
      <c r="T203" s="654"/>
      <c r="U203" s="1923"/>
      <c r="V203" s="1923"/>
      <c r="W203" s="1923"/>
      <c r="X203" s="1923"/>
      <c r="Y203" s="1923"/>
      <c r="Z203" s="1923"/>
      <c r="AA203" s="1923"/>
      <c r="AB203" s="1923"/>
      <c r="AC203" s="1923"/>
      <c r="AD203" s="1923"/>
      <c r="AE203" s="1923"/>
      <c r="AF203" s="1923"/>
      <c r="AG203" s="1923"/>
      <c r="AH203" s="1923"/>
      <c r="AI203" s="1923"/>
      <c r="AJ203" s="1923"/>
      <c r="AK203" s="1923"/>
      <c r="AL203" s="1923"/>
      <c r="AM203" s="1923"/>
      <c r="AN203" s="1923"/>
      <c r="AO203" s="1923"/>
      <c r="AP203" s="1923"/>
      <c r="AQ203" s="1923"/>
      <c r="AR203" s="1923"/>
      <c r="AS203" s="1923"/>
      <c r="AT203" s="1923"/>
      <c r="AU203" s="1923"/>
      <c r="AV203" s="1923"/>
      <c r="AW203" s="1923"/>
      <c r="AX203" s="1923"/>
      <c r="AY203" s="1923"/>
      <c r="AZ203" s="1923"/>
      <c r="BA203" s="1923"/>
      <c r="BB203" s="1923"/>
      <c r="BC203" s="1923"/>
      <c r="BD203" s="1923"/>
      <c r="BE203" s="1923"/>
      <c r="BF203" s="1923"/>
      <c r="BG203" s="1923"/>
      <c r="BH203" s="1923"/>
      <c r="BI203" s="1923"/>
      <c r="BJ203" s="1923"/>
      <c r="BK203" s="1923"/>
      <c r="BL203" s="1923"/>
      <c r="BM203" s="1923"/>
      <c r="BN203" s="1923"/>
      <c r="BO203" s="1923"/>
      <c r="BP203" s="1923"/>
      <c r="BQ203" s="1923"/>
      <c r="BR203" s="1923"/>
      <c r="BS203" s="1923"/>
      <c r="BT203" s="1923"/>
      <c r="BU203" s="1923"/>
      <c r="BV203" s="1923"/>
      <c r="BW203" s="1923"/>
      <c r="BX203" s="1923"/>
      <c r="BY203" s="1923"/>
      <c r="BZ203" s="1923"/>
      <c r="CA203" s="1923"/>
      <c r="CB203" s="1923"/>
      <c r="CC203" s="1923"/>
      <c r="CD203" s="1923"/>
      <c r="CE203" s="1923"/>
      <c r="CF203" s="1923"/>
      <c r="CG203" s="1923"/>
      <c r="CH203" s="1923"/>
      <c r="CI203" s="1923"/>
      <c r="CJ203" s="1923"/>
      <c r="CK203" s="1923"/>
      <c r="CL203" s="90"/>
      <c r="CM203" s="596"/>
      <c r="CN203" s="596"/>
      <c r="CO203" s="301"/>
      <c r="CP203" s="109"/>
      <c r="CQ203" s="109"/>
      <c r="CR203" s="337"/>
      <c r="CS203" s="87"/>
      <c r="CT203" s="87"/>
      <c r="CU203" s="326"/>
      <c r="CV203" s="105"/>
      <c r="CW203" s="105"/>
      <c r="CX203" s="105"/>
      <c r="CY203" s="105"/>
      <c r="CZ203" s="105"/>
      <c r="DA203" s="105"/>
      <c r="DB203" s="105"/>
      <c r="DC203" s="1940"/>
      <c r="DD203" s="1940"/>
      <c r="DE203" s="1940"/>
      <c r="DF203" s="1940"/>
      <c r="DG203" s="1940"/>
      <c r="DH203" s="1940"/>
      <c r="DI203" s="1940"/>
      <c r="DJ203" s="1940"/>
      <c r="DK203" s="1940"/>
      <c r="DL203" s="1940"/>
      <c r="DM203" s="1940"/>
      <c r="DN203" s="1940"/>
      <c r="DO203" s="1940"/>
      <c r="DP203" s="1940"/>
      <c r="DQ203" s="1940"/>
      <c r="DR203" s="1940"/>
      <c r="DS203" s="1940"/>
      <c r="DT203" s="1940"/>
      <c r="DU203" s="1940"/>
      <c r="DV203" s="1940"/>
      <c r="DW203" s="1940"/>
      <c r="DX203" s="1940"/>
      <c r="DY203" s="1940"/>
      <c r="DZ203" s="1940"/>
      <c r="EA203" s="1940"/>
      <c r="EB203" s="1940"/>
      <c r="EC203" s="1940"/>
      <c r="ED203" s="1940"/>
      <c r="EE203" s="1940"/>
      <c r="EF203" s="1940"/>
      <c r="EG203" s="1940"/>
      <c r="EH203" s="1940"/>
      <c r="EI203" s="1940"/>
      <c r="EJ203" s="1940"/>
      <c r="EK203" s="1940"/>
      <c r="EL203" s="1940"/>
      <c r="EM203" s="1940"/>
      <c r="EN203" s="1940"/>
      <c r="EO203" s="1940"/>
      <c r="EP203" s="1940"/>
      <c r="EQ203" s="1940"/>
      <c r="ER203" s="1940"/>
      <c r="ES203" s="1940"/>
      <c r="ET203" s="1940"/>
      <c r="EU203" s="1940"/>
      <c r="EV203" s="1940"/>
      <c r="EW203" s="1940"/>
      <c r="EX203" s="1940"/>
      <c r="EY203" s="328"/>
      <c r="EZ203" s="87"/>
      <c r="FA203" s="287"/>
      <c r="FB203" s="87"/>
    </row>
    <row r="204" spans="1:158" ht="9" customHeight="1" thickTop="1">
      <c r="A204" s="87"/>
      <c r="B204" s="87"/>
      <c r="I204" s="87"/>
      <c r="J204" s="87"/>
      <c r="K204" s="87"/>
      <c r="L204" s="109"/>
      <c r="M204" s="118"/>
      <c r="N204" s="118"/>
      <c r="O204" s="118"/>
      <c r="P204" s="118"/>
      <c r="Q204" s="118"/>
      <c r="R204" s="118"/>
      <c r="S204" s="118"/>
      <c r="T204" s="118"/>
      <c r="U204" s="118"/>
      <c r="V204" s="118"/>
      <c r="W204" s="118"/>
      <c r="X204" s="118"/>
      <c r="Y204" s="118"/>
      <c r="Z204" s="118"/>
      <c r="AA204" s="118"/>
      <c r="AB204" s="118"/>
      <c r="AC204" s="118"/>
      <c r="AD204" s="118"/>
      <c r="AE204" s="118"/>
      <c r="AF204" s="118"/>
      <c r="AG204" s="118"/>
      <c r="AH204" s="118"/>
      <c r="AI204" s="118"/>
      <c r="AJ204" s="118"/>
      <c r="AK204" s="118"/>
      <c r="AL204" s="118"/>
      <c r="AM204" s="118"/>
      <c r="AN204" s="118"/>
      <c r="AO204" s="118"/>
      <c r="AP204" s="118"/>
      <c r="AQ204" s="118"/>
      <c r="AR204" s="118"/>
      <c r="AS204" s="118"/>
      <c r="AT204" s="118"/>
      <c r="AU204" s="118"/>
      <c r="AV204" s="118"/>
      <c r="AW204" s="118"/>
      <c r="AX204" s="118"/>
      <c r="AY204" s="118"/>
      <c r="AZ204" s="118"/>
      <c r="BA204" s="118"/>
      <c r="BB204" s="118"/>
      <c r="BC204" s="118"/>
      <c r="BD204" s="118"/>
      <c r="BE204" s="118"/>
      <c r="BF204" s="118"/>
      <c r="BG204" s="118"/>
      <c r="BH204" s="118"/>
      <c r="BI204" s="118"/>
      <c r="BJ204" s="118"/>
      <c r="BK204" s="118"/>
      <c r="BL204" s="118"/>
      <c r="BM204" s="118"/>
      <c r="BN204" s="118"/>
      <c r="BO204" s="118"/>
      <c r="BP204" s="118"/>
      <c r="BQ204" s="118"/>
      <c r="BR204" s="118"/>
      <c r="BS204" s="118"/>
      <c r="BT204" s="118"/>
      <c r="BU204" s="118"/>
      <c r="BV204" s="118"/>
      <c r="BW204" s="118"/>
      <c r="BX204" s="118"/>
      <c r="BY204" s="118"/>
      <c r="BZ204" s="118"/>
      <c r="CA204" s="118"/>
      <c r="CB204" s="118"/>
      <c r="CC204" s="118"/>
      <c r="CD204" s="118"/>
      <c r="CE204" s="118"/>
      <c r="CF204" s="118"/>
      <c r="CG204" s="118"/>
      <c r="CH204" s="118"/>
      <c r="CI204" s="118"/>
      <c r="CJ204" s="118"/>
      <c r="CK204" s="118"/>
      <c r="CL204" s="118"/>
      <c r="CM204" s="118"/>
      <c r="CN204" s="118"/>
      <c r="CO204" s="118"/>
      <c r="CP204" s="109"/>
      <c r="CQ204" s="109"/>
      <c r="CR204" s="337"/>
      <c r="CS204" s="87"/>
      <c r="CT204" s="87"/>
      <c r="CU204" s="326"/>
      <c r="CV204" s="105"/>
      <c r="CW204" s="105"/>
      <c r="CX204" s="105"/>
      <c r="CY204" s="105"/>
      <c r="CZ204" s="105"/>
      <c r="DA204" s="105"/>
      <c r="DB204" s="105"/>
      <c r="DC204" s="1940"/>
      <c r="DD204" s="1940"/>
      <c r="DE204" s="1940"/>
      <c r="DF204" s="1940"/>
      <c r="DG204" s="1940"/>
      <c r="DH204" s="1940"/>
      <c r="DI204" s="1940"/>
      <c r="DJ204" s="1940"/>
      <c r="DK204" s="1940"/>
      <c r="DL204" s="1940"/>
      <c r="DM204" s="1940"/>
      <c r="DN204" s="1940"/>
      <c r="DO204" s="1940"/>
      <c r="DP204" s="1940"/>
      <c r="DQ204" s="1940"/>
      <c r="DR204" s="1940"/>
      <c r="DS204" s="1940"/>
      <c r="DT204" s="1940"/>
      <c r="DU204" s="1940"/>
      <c r="DV204" s="1940"/>
      <c r="DW204" s="1940"/>
      <c r="DX204" s="1940"/>
      <c r="DY204" s="1940"/>
      <c r="DZ204" s="1940"/>
      <c r="EA204" s="1940"/>
      <c r="EB204" s="1940"/>
      <c r="EC204" s="1940"/>
      <c r="ED204" s="1940"/>
      <c r="EE204" s="1940"/>
      <c r="EF204" s="1940"/>
      <c r="EG204" s="1940"/>
      <c r="EH204" s="1940"/>
      <c r="EI204" s="1940"/>
      <c r="EJ204" s="1940"/>
      <c r="EK204" s="1940"/>
      <c r="EL204" s="1940"/>
      <c r="EM204" s="1940"/>
      <c r="EN204" s="1940"/>
      <c r="EO204" s="1940"/>
      <c r="EP204" s="1940"/>
      <c r="EQ204" s="1940"/>
      <c r="ER204" s="1940"/>
      <c r="ES204" s="1940"/>
      <c r="ET204" s="1940"/>
      <c r="EU204" s="1940"/>
      <c r="EV204" s="1940"/>
      <c r="EW204" s="1940"/>
      <c r="EX204" s="1940"/>
      <c r="EY204" s="328"/>
      <c r="EZ204" s="87"/>
      <c r="FA204" s="287"/>
      <c r="FB204" s="87"/>
    </row>
    <row r="205" spans="1:158" ht="9" customHeight="1" thickBot="1">
      <c r="A205" s="87"/>
      <c r="B205" s="87"/>
      <c r="I205" s="87"/>
      <c r="J205" s="109"/>
      <c r="K205" s="109"/>
      <c r="L205" s="109"/>
      <c r="M205" s="109"/>
      <c r="N205" s="109"/>
      <c r="O205" s="105"/>
      <c r="P205" s="818"/>
      <c r="Q205" s="818"/>
      <c r="R205" s="818"/>
      <c r="S205" s="818"/>
      <c r="T205" s="818"/>
      <c r="U205" s="818"/>
      <c r="V205" s="818"/>
      <c r="W205" s="818"/>
      <c r="X205" s="131"/>
      <c r="Y205" s="109"/>
      <c r="Z205" s="3"/>
      <c r="AA205" s="3"/>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5"/>
      <c r="AW205" s="818"/>
      <c r="AX205" s="818"/>
      <c r="AY205" s="818"/>
      <c r="AZ205" s="818"/>
      <c r="BA205" s="818"/>
      <c r="BB205" s="818"/>
      <c r="BC205" s="818"/>
      <c r="BD205" s="131"/>
      <c r="BE205" s="109"/>
      <c r="BF205" s="109"/>
      <c r="BG205" s="109"/>
      <c r="BH205" s="109"/>
      <c r="BI205" s="105"/>
      <c r="BJ205" s="818"/>
      <c r="BK205" s="597"/>
      <c r="BL205" s="597"/>
      <c r="BM205" s="597"/>
      <c r="BN205" s="597"/>
      <c r="BO205" s="597"/>
      <c r="BP205" s="597"/>
      <c r="BQ205" s="597"/>
      <c r="BR205" s="131"/>
      <c r="BS205" s="109"/>
      <c r="BT205" s="109"/>
      <c r="BU205" s="109"/>
      <c r="BV205" s="109"/>
      <c r="BW205" s="109"/>
      <c r="BX205" s="109"/>
      <c r="BY205" s="109"/>
      <c r="BZ205" s="109"/>
      <c r="CA205" s="109"/>
      <c r="CB205" s="109"/>
      <c r="CC205" s="109"/>
      <c r="CD205" s="109"/>
      <c r="CE205" s="109"/>
      <c r="CF205" s="109"/>
      <c r="CG205" s="109"/>
      <c r="CH205" s="109"/>
      <c r="CI205" s="109"/>
      <c r="CJ205" s="109"/>
      <c r="CK205" s="109"/>
      <c r="CL205" s="109"/>
      <c r="CM205" s="109"/>
      <c r="CN205" s="109"/>
      <c r="CO205" s="109"/>
      <c r="CP205" s="109"/>
      <c r="CQ205" s="109"/>
      <c r="CR205" s="337"/>
      <c r="CS205" s="87"/>
      <c r="CT205" s="87"/>
      <c r="CU205" s="326"/>
      <c r="CV205" s="105"/>
      <c r="CW205" s="105"/>
      <c r="CX205" s="105"/>
      <c r="CY205" s="105"/>
      <c r="CZ205" s="105"/>
      <c r="DA205" s="105"/>
      <c r="DB205" s="105"/>
      <c r="DC205" s="1940"/>
      <c r="DD205" s="1940"/>
      <c r="DE205" s="1940"/>
      <c r="DF205" s="1940"/>
      <c r="DG205" s="1940"/>
      <c r="DH205" s="1940"/>
      <c r="DI205" s="1940"/>
      <c r="DJ205" s="1940"/>
      <c r="DK205" s="1940"/>
      <c r="DL205" s="1940"/>
      <c r="DM205" s="1940"/>
      <c r="DN205" s="1940"/>
      <c r="DO205" s="1940"/>
      <c r="DP205" s="1940"/>
      <c r="DQ205" s="1940"/>
      <c r="DR205" s="1940"/>
      <c r="DS205" s="1940"/>
      <c r="DT205" s="1940"/>
      <c r="DU205" s="1940"/>
      <c r="DV205" s="1940"/>
      <c r="DW205" s="1940"/>
      <c r="DX205" s="1940"/>
      <c r="DY205" s="1940"/>
      <c r="DZ205" s="1940"/>
      <c r="EA205" s="1940"/>
      <c r="EB205" s="1940"/>
      <c r="EC205" s="1940"/>
      <c r="ED205" s="1940"/>
      <c r="EE205" s="1940"/>
      <c r="EF205" s="1940"/>
      <c r="EG205" s="1940"/>
      <c r="EH205" s="1940"/>
      <c r="EI205" s="1940"/>
      <c r="EJ205" s="1940"/>
      <c r="EK205" s="1940"/>
      <c r="EL205" s="1940"/>
      <c r="EM205" s="1940"/>
      <c r="EN205" s="1940"/>
      <c r="EO205" s="1940"/>
      <c r="EP205" s="1940"/>
      <c r="EQ205" s="1940"/>
      <c r="ER205" s="1940"/>
      <c r="ES205" s="1940"/>
      <c r="ET205" s="1940"/>
      <c r="EU205" s="1940"/>
      <c r="EV205" s="1940"/>
      <c r="EW205" s="1940"/>
      <c r="EX205" s="1940"/>
      <c r="EY205" s="328"/>
      <c r="EZ205" s="87"/>
      <c r="FA205" s="287"/>
      <c r="FB205" s="87"/>
    </row>
    <row r="206" spans="1:158" ht="9" customHeight="1" thickTop="1" thickBot="1">
      <c r="A206" s="87"/>
      <c r="B206" s="87"/>
      <c r="I206" s="87"/>
      <c r="J206" s="109"/>
      <c r="K206" s="818"/>
      <c r="L206" s="818"/>
      <c r="M206" s="818"/>
      <c r="N206" s="818"/>
      <c r="O206" s="93"/>
      <c r="P206" s="1865" t="s">
        <v>3611</v>
      </c>
      <c r="Q206" s="1865"/>
      <c r="R206" s="1865"/>
      <c r="S206" s="1865"/>
      <c r="T206" s="1865"/>
      <c r="U206" s="1865"/>
      <c r="V206" s="1865"/>
      <c r="W206" s="1865"/>
      <c r="X206" s="113"/>
      <c r="Y206" s="87"/>
      <c r="Z206" s="819"/>
      <c r="AA206" s="819"/>
      <c r="AB206" s="87"/>
      <c r="AC206" s="87"/>
      <c r="AD206" s="87"/>
      <c r="AE206" s="87"/>
      <c r="AF206" s="87"/>
      <c r="AG206" s="87"/>
      <c r="AH206" s="87"/>
      <c r="AI206" s="87"/>
      <c r="AJ206" s="87"/>
      <c r="AK206" s="87"/>
      <c r="AL206" s="87"/>
      <c r="AM206" s="87"/>
      <c r="AN206" s="87"/>
      <c r="AO206" s="87"/>
      <c r="AP206" s="87"/>
      <c r="AQ206" s="87"/>
      <c r="AR206" s="87"/>
      <c r="AS206" s="87"/>
      <c r="AT206" s="818"/>
      <c r="AU206" s="818"/>
      <c r="AV206" s="93"/>
      <c r="AW206" s="1942" t="s">
        <v>3783</v>
      </c>
      <c r="AX206" s="1942"/>
      <c r="AY206" s="1942"/>
      <c r="AZ206" s="1942"/>
      <c r="BA206" s="1942"/>
      <c r="BB206" s="1942"/>
      <c r="BC206" s="1942"/>
      <c r="BD206" s="113"/>
      <c r="BE206" s="145"/>
      <c r="BF206" s="87"/>
      <c r="BG206" s="818"/>
      <c r="BH206" s="818"/>
      <c r="BI206" s="818"/>
      <c r="BJ206" s="93"/>
      <c r="BK206" s="1865" t="s">
        <v>3612</v>
      </c>
      <c r="BL206" s="1877"/>
      <c r="BM206" s="1877"/>
      <c r="BN206" s="1877"/>
      <c r="BO206" s="1877"/>
      <c r="BP206" s="1877"/>
      <c r="BQ206" s="1877"/>
      <c r="BR206" s="1877"/>
      <c r="BS206" s="113"/>
      <c r="BT206" s="87"/>
      <c r="BU206" s="87"/>
      <c r="BV206" s="87"/>
      <c r="BW206" s="87"/>
      <c r="BX206" s="87"/>
      <c r="BY206" s="87"/>
      <c r="BZ206" s="87"/>
      <c r="CA206" s="87"/>
      <c r="CB206" s="87"/>
      <c r="CC206" s="87"/>
      <c r="CD206" s="87"/>
      <c r="CE206" s="87"/>
      <c r="CF206" s="87"/>
      <c r="CG206" s="87"/>
      <c r="CH206" s="87"/>
      <c r="CI206" s="87"/>
      <c r="CJ206" s="87"/>
      <c r="CK206" s="87"/>
      <c r="CL206" s="87"/>
      <c r="CM206" s="87"/>
      <c r="CN206" s="87"/>
      <c r="CO206" s="87"/>
      <c r="CP206" s="87"/>
      <c r="CQ206" s="87"/>
      <c r="CR206" s="337"/>
      <c r="CS206" s="87"/>
      <c r="CT206" s="87"/>
      <c r="CU206" s="326"/>
      <c r="CV206" s="105"/>
      <c r="CW206" s="105"/>
      <c r="CX206" s="105"/>
      <c r="CY206" s="105"/>
      <c r="CZ206" s="105"/>
      <c r="DA206" s="105"/>
      <c r="DB206" s="105"/>
      <c r="DC206" s="1940"/>
      <c r="DD206" s="1940"/>
      <c r="DE206" s="1940"/>
      <c r="DF206" s="1940"/>
      <c r="DG206" s="1940"/>
      <c r="DH206" s="1940"/>
      <c r="DI206" s="1940"/>
      <c r="DJ206" s="1940"/>
      <c r="DK206" s="1940"/>
      <c r="DL206" s="1940"/>
      <c r="DM206" s="1940"/>
      <c r="DN206" s="1940"/>
      <c r="DO206" s="1940"/>
      <c r="DP206" s="1940"/>
      <c r="DQ206" s="1940"/>
      <c r="DR206" s="1940"/>
      <c r="DS206" s="1940"/>
      <c r="DT206" s="1940"/>
      <c r="DU206" s="1940"/>
      <c r="DV206" s="1940"/>
      <c r="DW206" s="1940"/>
      <c r="DX206" s="1940"/>
      <c r="DY206" s="1940"/>
      <c r="DZ206" s="1940"/>
      <c r="EA206" s="1940"/>
      <c r="EB206" s="1940"/>
      <c r="EC206" s="1940"/>
      <c r="ED206" s="1940"/>
      <c r="EE206" s="1940"/>
      <c r="EF206" s="1940"/>
      <c r="EG206" s="1940"/>
      <c r="EH206" s="1940"/>
      <c r="EI206" s="1940"/>
      <c r="EJ206" s="1940"/>
      <c r="EK206" s="1940"/>
      <c r="EL206" s="1940"/>
      <c r="EM206" s="1940"/>
      <c r="EN206" s="1940"/>
      <c r="EO206" s="1940"/>
      <c r="EP206" s="1940"/>
      <c r="EQ206" s="1940"/>
      <c r="ER206" s="1940"/>
      <c r="ES206" s="1940"/>
      <c r="ET206" s="1940"/>
      <c r="EU206" s="1940"/>
      <c r="EV206" s="1940"/>
      <c r="EW206" s="1940"/>
      <c r="EX206" s="1940"/>
      <c r="EY206" s="328"/>
      <c r="EZ206" s="87"/>
      <c r="FA206" s="287"/>
      <c r="FB206" s="87"/>
    </row>
    <row r="207" spans="1:158" ht="9" customHeight="1" thickTop="1">
      <c r="A207" s="87"/>
      <c r="B207" s="87"/>
      <c r="I207" s="87"/>
      <c r="J207" s="109"/>
      <c r="K207" s="818"/>
      <c r="L207" s="818"/>
      <c r="M207" s="818"/>
      <c r="N207" s="818"/>
      <c r="O207" s="102"/>
      <c r="P207" s="1866"/>
      <c r="Q207" s="1866"/>
      <c r="R207" s="1866"/>
      <c r="S207" s="1866"/>
      <c r="T207" s="1866"/>
      <c r="U207" s="1866"/>
      <c r="V207" s="1866"/>
      <c r="W207" s="1866"/>
      <c r="X207" s="589"/>
      <c r="Y207" s="588"/>
      <c r="Z207" s="592"/>
      <c r="AA207" s="592"/>
      <c r="AB207" s="593"/>
      <c r="AC207" s="593"/>
      <c r="AD207" s="593"/>
      <c r="AE207" s="588"/>
      <c r="AF207" s="588"/>
      <c r="AG207" s="588"/>
      <c r="AH207" s="588"/>
      <c r="AI207" s="588"/>
      <c r="AJ207" s="588"/>
      <c r="AK207" s="588"/>
      <c r="AL207" s="588"/>
      <c r="AM207" s="588"/>
      <c r="AN207" s="588"/>
      <c r="AO207" s="588"/>
      <c r="AP207" s="588"/>
      <c r="AQ207" s="588"/>
      <c r="AR207" s="588"/>
      <c r="AS207" s="113"/>
      <c r="AT207" s="818"/>
      <c r="AU207" s="818"/>
      <c r="AV207" s="102"/>
      <c r="AW207" s="1866"/>
      <c r="AX207" s="1866"/>
      <c r="AY207" s="1866"/>
      <c r="AZ207" s="1866"/>
      <c r="BA207" s="1866"/>
      <c r="BB207" s="1866"/>
      <c r="BC207" s="1866"/>
      <c r="BD207" s="589"/>
      <c r="BE207" s="598"/>
      <c r="BF207" s="598"/>
      <c r="BG207" s="113"/>
      <c r="BH207" s="818"/>
      <c r="BI207" s="818"/>
      <c r="BJ207" s="102"/>
      <c r="BK207" s="1878"/>
      <c r="BL207" s="1878"/>
      <c r="BM207" s="1878"/>
      <c r="BN207" s="1878"/>
      <c r="BO207" s="1878"/>
      <c r="BP207" s="1878"/>
      <c r="BQ207" s="1878"/>
      <c r="BR207" s="1878"/>
      <c r="BS207" s="589"/>
      <c r="BT207" s="599"/>
      <c r="BU207" s="599"/>
      <c r="BV207" s="599"/>
      <c r="BW207" s="599"/>
      <c r="BX207" s="599"/>
      <c r="BY207" s="599"/>
      <c r="BZ207" s="599"/>
      <c r="CA207" s="599"/>
      <c r="CB207" s="599"/>
      <c r="CC207" s="599"/>
      <c r="CD207" s="599"/>
      <c r="CE207" s="599"/>
      <c r="CF207" s="599"/>
      <c r="CG207" s="599"/>
      <c r="CH207" s="599"/>
      <c r="CI207" s="599"/>
      <c r="CJ207" s="599"/>
      <c r="CK207" s="599"/>
      <c r="CL207" s="113"/>
      <c r="CM207" s="111"/>
      <c r="CN207" s="111"/>
      <c r="CO207" s="111"/>
      <c r="CP207" s="87"/>
      <c r="CQ207" s="87"/>
      <c r="CR207" s="337"/>
      <c r="CS207" s="87"/>
      <c r="CT207" s="87"/>
      <c r="CU207" s="326"/>
      <c r="CV207" s="105"/>
      <c r="CW207" s="105"/>
      <c r="CX207" s="105"/>
      <c r="CY207" s="105"/>
      <c r="CZ207" s="105"/>
      <c r="DA207" s="105"/>
      <c r="DB207" s="105"/>
      <c r="DC207" s="1940"/>
      <c r="DD207" s="1940"/>
      <c r="DE207" s="1940"/>
      <c r="DF207" s="1940"/>
      <c r="DG207" s="1940"/>
      <c r="DH207" s="1940"/>
      <c r="DI207" s="1940"/>
      <c r="DJ207" s="1940"/>
      <c r="DK207" s="1940"/>
      <c r="DL207" s="1940"/>
      <c r="DM207" s="1940"/>
      <c r="DN207" s="1940"/>
      <c r="DO207" s="1940"/>
      <c r="DP207" s="1940"/>
      <c r="DQ207" s="1940"/>
      <c r="DR207" s="1940"/>
      <c r="DS207" s="1940"/>
      <c r="DT207" s="1940"/>
      <c r="DU207" s="1940"/>
      <c r="DV207" s="1940"/>
      <c r="DW207" s="1940"/>
      <c r="DX207" s="1940"/>
      <c r="DY207" s="1940"/>
      <c r="DZ207" s="1940"/>
      <c r="EA207" s="1940"/>
      <c r="EB207" s="1940"/>
      <c r="EC207" s="1940"/>
      <c r="ED207" s="1940"/>
      <c r="EE207" s="1940"/>
      <c r="EF207" s="1940"/>
      <c r="EG207" s="1940"/>
      <c r="EH207" s="1940"/>
      <c r="EI207" s="1940"/>
      <c r="EJ207" s="1940"/>
      <c r="EK207" s="1940"/>
      <c r="EL207" s="1940"/>
      <c r="EM207" s="1940"/>
      <c r="EN207" s="1940"/>
      <c r="EO207" s="1940"/>
      <c r="EP207" s="1940"/>
      <c r="EQ207" s="1940"/>
      <c r="ER207" s="1940"/>
      <c r="ES207" s="1940"/>
      <c r="ET207" s="1940"/>
      <c r="EU207" s="1940"/>
      <c r="EV207" s="1940"/>
      <c r="EW207" s="1940"/>
      <c r="EX207" s="1940"/>
      <c r="EY207" s="328"/>
      <c r="EZ207" s="87"/>
      <c r="FA207" s="287"/>
      <c r="FB207" s="87"/>
    </row>
    <row r="208" spans="1:158" ht="9" customHeight="1" thickBot="1">
      <c r="A208" s="87"/>
      <c r="B208" s="87"/>
      <c r="I208" s="87"/>
      <c r="J208" s="87"/>
      <c r="K208" s="111"/>
      <c r="L208" s="111"/>
      <c r="M208" s="122"/>
      <c r="N208" s="290"/>
      <c r="O208" s="102"/>
      <c r="P208" s="1879" t="str">
        <f>IF(Weapon6&lt;&gt;"",Weapon6,"")</f>
        <v/>
      </c>
      <c r="Q208" s="1879"/>
      <c r="R208" s="1879"/>
      <c r="S208" s="1879"/>
      <c r="T208" s="1879"/>
      <c r="U208" s="1879"/>
      <c r="V208" s="1879"/>
      <c r="W208" s="1879"/>
      <c r="X208" s="1879"/>
      <c r="Y208" s="1879"/>
      <c r="Z208" s="1879"/>
      <c r="AA208" s="1879"/>
      <c r="AB208" s="1879"/>
      <c r="AC208" s="1879"/>
      <c r="AD208" s="1879"/>
      <c r="AE208" s="1879"/>
      <c r="AF208" s="1879"/>
      <c r="AG208" s="1879"/>
      <c r="AH208" s="1879"/>
      <c r="AI208" s="1879"/>
      <c r="AJ208" s="1879"/>
      <c r="AK208" s="1879"/>
      <c r="AL208" s="1879"/>
      <c r="AM208" s="1879"/>
      <c r="AN208" s="1879"/>
      <c r="AO208" s="1879"/>
      <c r="AP208" s="1879"/>
      <c r="AQ208" s="1879"/>
      <c r="AR208" s="1879"/>
      <c r="AS208" s="646"/>
      <c r="AT208" s="122"/>
      <c r="AU208" s="290"/>
      <c r="AV208" s="102"/>
      <c r="AW208" s="1881" t="str">
        <f>Weapons!BC8</f>
        <v/>
      </c>
      <c r="AX208" s="1881"/>
      <c r="AY208" s="1881"/>
      <c r="AZ208" s="1881"/>
      <c r="BA208" s="1881"/>
      <c r="BB208" s="1881"/>
      <c r="BC208" s="1881"/>
      <c r="BD208" s="1881"/>
      <c r="BE208" s="1881"/>
      <c r="BF208" s="1881"/>
      <c r="BG208" s="100"/>
      <c r="BH208" s="122"/>
      <c r="BI208" s="290"/>
      <c r="BJ208" s="102"/>
      <c r="BK208" s="1883" t="str">
        <f>IF('old Weapons'!H104&lt;&gt;"",'old Weapons'!H104,"")</f>
        <v/>
      </c>
      <c r="BL208" s="1883"/>
      <c r="BM208" s="1883"/>
      <c r="BN208" s="1883"/>
      <c r="BO208" s="1883"/>
      <c r="BP208" s="1883"/>
      <c r="BQ208" s="1883"/>
      <c r="BR208" s="1883"/>
      <c r="BS208" s="1883"/>
      <c r="BT208" s="1924" t="str">
        <f>Weapons!BC9</f>
        <v/>
      </c>
      <c r="BU208" s="1924"/>
      <c r="BV208" s="1924"/>
      <c r="BW208" s="1924"/>
      <c r="BX208" s="1924"/>
      <c r="BY208" s="1924"/>
      <c r="BZ208" s="1924"/>
      <c r="CA208" s="1924"/>
      <c r="CB208" s="1924"/>
      <c r="CC208" s="1924"/>
      <c r="CD208" s="1924"/>
      <c r="CE208" s="1924"/>
      <c r="CF208" s="1924"/>
      <c r="CG208" s="1924"/>
      <c r="CH208" s="1924"/>
      <c r="CI208" s="1924"/>
      <c r="CJ208" s="1924"/>
      <c r="CK208" s="1924"/>
      <c r="CL208" s="656"/>
      <c r="CM208" s="122"/>
      <c r="CN208" s="122"/>
      <c r="CO208" s="118"/>
      <c r="CP208" s="109"/>
      <c r="CQ208" s="109"/>
      <c r="CR208" s="337"/>
      <c r="CS208" s="87"/>
      <c r="CT208" s="87"/>
      <c r="CU208" s="326"/>
      <c r="CV208" s="105"/>
      <c r="CW208" s="109"/>
      <c r="CX208" s="109"/>
      <c r="CY208" s="109"/>
      <c r="CZ208" s="109"/>
      <c r="DA208" s="109"/>
      <c r="DB208" s="109"/>
      <c r="DC208" s="1940"/>
      <c r="DD208" s="1940"/>
      <c r="DE208" s="1940"/>
      <c r="DF208" s="1940"/>
      <c r="DG208" s="1940"/>
      <c r="DH208" s="1940"/>
      <c r="DI208" s="1940"/>
      <c r="DJ208" s="1940"/>
      <c r="DK208" s="1940"/>
      <c r="DL208" s="1940"/>
      <c r="DM208" s="1940"/>
      <c r="DN208" s="1940"/>
      <c r="DO208" s="1940"/>
      <c r="DP208" s="1940"/>
      <c r="DQ208" s="1940"/>
      <c r="DR208" s="1940"/>
      <c r="DS208" s="1940"/>
      <c r="DT208" s="1940"/>
      <c r="DU208" s="1940"/>
      <c r="DV208" s="1940"/>
      <c r="DW208" s="1940"/>
      <c r="DX208" s="1940"/>
      <c r="DY208" s="1940"/>
      <c r="DZ208" s="1940"/>
      <c r="EA208" s="1940"/>
      <c r="EB208" s="1940"/>
      <c r="EC208" s="1940"/>
      <c r="ED208" s="1940"/>
      <c r="EE208" s="1940"/>
      <c r="EF208" s="1940"/>
      <c r="EG208" s="1940"/>
      <c r="EH208" s="1940"/>
      <c r="EI208" s="1940"/>
      <c r="EJ208" s="1940"/>
      <c r="EK208" s="1940"/>
      <c r="EL208" s="1940"/>
      <c r="EM208" s="1940"/>
      <c r="EN208" s="1940"/>
      <c r="EO208" s="1940"/>
      <c r="EP208" s="1940"/>
      <c r="EQ208" s="1940"/>
      <c r="ER208" s="1940"/>
      <c r="ES208" s="1940"/>
      <c r="ET208" s="1940"/>
      <c r="EU208" s="1940"/>
      <c r="EV208" s="1940"/>
      <c r="EW208" s="1940"/>
      <c r="EX208" s="1940"/>
      <c r="EY208" s="328"/>
      <c r="EZ208" s="87"/>
      <c r="FA208" s="287"/>
      <c r="FB208" s="87"/>
    </row>
    <row r="209" spans="1:158" ht="9" customHeight="1" thickTop="1">
      <c r="A209" s="87"/>
      <c r="B209" s="87"/>
      <c r="I209" s="87"/>
      <c r="J209" s="87"/>
      <c r="K209" s="292"/>
      <c r="L209" s="293"/>
      <c r="M209" s="111"/>
      <c r="N209" s="111"/>
      <c r="O209" s="102"/>
      <c r="P209" s="1879"/>
      <c r="Q209" s="1879"/>
      <c r="R209" s="1879"/>
      <c r="S209" s="1879"/>
      <c r="T209" s="1879"/>
      <c r="U209" s="1879"/>
      <c r="V209" s="1879"/>
      <c r="W209" s="1879"/>
      <c r="X209" s="1879"/>
      <c r="Y209" s="1879"/>
      <c r="Z209" s="1879"/>
      <c r="AA209" s="1879"/>
      <c r="AB209" s="1879"/>
      <c r="AC209" s="1879"/>
      <c r="AD209" s="1879"/>
      <c r="AE209" s="1879"/>
      <c r="AF209" s="1879"/>
      <c r="AG209" s="1879"/>
      <c r="AH209" s="1879"/>
      <c r="AI209" s="1879"/>
      <c r="AJ209" s="1879"/>
      <c r="AK209" s="1879"/>
      <c r="AL209" s="1879"/>
      <c r="AM209" s="1879"/>
      <c r="AN209" s="1879"/>
      <c r="AO209" s="1879"/>
      <c r="AP209" s="1879"/>
      <c r="AQ209" s="1879"/>
      <c r="AR209" s="1879"/>
      <c r="AS209" s="646"/>
      <c r="AT209" s="111"/>
      <c r="AU209" s="111"/>
      <c r="AV209" s="647"/>
      <c r="AW209" s="1881"/>
      <c r="AX209" s="1881"/>
      <c r="AY209" s="1881"/>
      <c r="AZ209" s="1881"/>
      <c r="BA209" s="1881"/>
      <c r="BB209" s="1881"/>
      <c r="BC209" s="1881"/>
      <c r="BD209" s="1881"/>
      <c r="BE209" s="1881"/>
      <c r="BF209" s="1881"/>
      <c r="BG209" s="100"/>
      <c r="BH209" s="111"/>
      <c r="BI209" s="111"/>
      <c r="BJ209" s="102"/>
      <c r="BK209" s="1883"/>
      <c r="BL209" s="1883"/>
      <c r="BM209" s="1883"/>
      <c r="BN209" s="1883"/>
      <c r="BO209" s="1883"/>
      <c r="BP209" s="1883"/>
      <c r="BQ209" s="1883"/>
      <c r="BR209" s="1883"/>
      <c r="BS209" s="1883"/>
      <c r="BT209" s="1924"/>
      <c r="BU209" s="1924"/>
      <c r="BV209" s="1924"/>
      <c r="BW209" s="1924"/>
      <c r="BX209" s="1924"/>
      <c r="BY209" s="1924"/>
      <c r="BZ209" s="1924"/>
      <c r="CA209" s="1924"/>
      <c r="CB209" s="1924"/>
      <c r="CC209" s="1924"/>
      <c r="CD209" s="1924"/>
      <c r="CE209" s="1924"/>
      <c r="CF209" s="1924"/>
      <c r="CG209" s="1924"/>
      <c r="CH209" s="1924"/>
      <c r="CI209" s="1924"/>
      <c r="CJ209" s="1924"/>
      <c r="CK209" s="1924"/>
      <c r="CL209" s="656"/>
      <c r="CM209" s="111"/>
      <c r="CN209" s="111"/>
      <c r="CO209" s="256"/>
      <c r="CP209" s="109"/>
      <c r="CQ209" s="109"/>
      <c r="CR209" s="337"/>
      <c r="CT209" s="87"/>
      <c r="CU209" s="326"/>
      <c r="CV209" s="105"/>
      <c r="DC209" s="1940"/>
      <c r="DD209" s="1940"/>
      <c r="DE209" s="1940"/>
      <c r="DF209" s="1940"/>
      <c r="DG209" s="1940"/>
      <c r="DH209" s="1940"/>
      <c r="DI209" s="1940"/>
      <c r="DJ209" s="1940"/>
      <c r="DK209" s="1940"/>
      <c r="DL209" s="1940"/>
      <c r="DM209" s="1940"/>
      <c r="DN209" s="1940"/>
      <c r="DO209" s="1940"/>
      <c r="DP209" s="1940"/>
      <c r="DQ209" s="1940"/>
      <c r="DR209" s="1940"/>
      <c r="DS209" s="1940"/>
      <c r="DT209" s="1940"/>
      <c r="DU209" s="1940"/>
      <c r="DV209" s="1940"/>
      <c r="DW209" s="1940"/>
      <c r="DX209" s="1940"/>
      <c r="DY209" s="1940"/>
      <c r="DZ209" s="1940"/>
      <c r="EA209" s="1940"/>
      <c r="EB209" s="1940"/>
      <c r="EC209" s="1940"/>
      <c r="ED209" s="1940"/>
      <c r="EE209" s="1940"/>
      <c r="EF209" s="1940"/>
      <c r="EG209" s="1940"/>
      <c r="EH209" s="1940"/>
      <c r="EI209" s="1940"/>
      <c r="EJ209" s="1940"/>
      <c r="EK209" s="1940"/>
      <c r="EL209" s="1940"/>
      <c r="EM209" s="1940"/>
      <c r="EN209" s="1940"/>
      <c r="EO209" s="1940"/>
      <c r="EP209" s="1940"/>
      <c r="EQ209" s="1940"/>
      <c r="ER209" s="1940"/>
      <c r="ES209" s="1940"/>
      <c r="ET209" s="1940"/>
      <c r="EU209" s="1940"/>
      <c r="EV209" s="1940"/>
      <c r="EW209" s="1940"/>
      <c r="EX209" s="1940"/>
      <c r="EY209" s="328"/>
      <c r="EZ209" s="87"/>
      <c r="FA209" s="287"/>
      <c r="FB209" s="87"/>
    </row>
    <row r="210" spans="1:158" ht="9" customHeight="1" thickBot="1">
      <c r="A210" s="87"/>
      <c r="B210" s="87"/>
      <c r="I210" s="87"/>
      <c r="J210" s="144"/>
      <c r="K210" s="111"/>
      <c r="L210" s="111"/>
      <c r="M210" s="111"/>
      <c r="N210" s="111"/>
      <c r="O210" s="91"/>
      <c r="P210" s="1880"/>
      <c r="Q210" s="1880"/>
      <c r="R210" s="1880"/>
      <c r="S210" s="1880"/>
      <c r="T210" s="1880"/>
      <c r="U210" s="1880"/>
      <c r="V210" s="1880"/>
      <c r="W210" s="1880"/>
      <c r="X210" s="1880"/>
      <c r="Y210" s="1880"/>
      <c r="Z210" s="1880"/>
      <c r="AA210" s="1880"/>
      <c r="AB210" s="1880"/>
      <c r="AC210" s="1880"/>
      <c r="AD210" s="1880"/>
      <c r="AE210" s="1880"/>
      <c r="AF210" s="1880"/>
      <c r="AG210" s="1880"/>
      <c r="AH210" s="1880"/>
      <c r="AI210" s="1880"/>
      <c r="AJ210" s="1880"/>
      <c r="AK210" s="1880"/>
      <c r="AL210" s="1880"/>
      <c r="AM210" s="1880"/>
      <c r="AN210" s="1880"/>
      <c r="AO210" s="1880"/>
      <c r="AP210" s="1880"/>
      <c r="AQ210" s="1880"/>
      <c r="AR210" s="1880"/>
      <c r="AS210" s="648"/>
      <c r="AT210" s="818"/>
      <c r="AU210" s="818"/>
      <c r="AV210" s="649"/>
      <c r="AW210" s="1882"/>
      <c r="AX210" s="1882"/>
      <c r="AY210" s="1882"/>
      <c r="AZ210" s="1882"/>
      <c r="BA210" s="1882"/>
      <c r="BB210" s="1882"/>
      <c r="BC210" s="1882"/>
      <c r="BD210" s="1882"/>
      <c r="BE210" s="1882"/>
      <c r="BF210" s="1882"/>
      <c r="BG210" s="93"/>
      <c r="BH210" s="818"/>
      <c r="BI210" s="818"/>
      <c r="BJ210" s="91"/>
      <c r="BK210" s="655"/>
      <c r="BL210" s="655"/>
      <c r="BM210" s="655"/>
      <c r="BN210" s="655"/>
      <c r="BO210" s="655"/>
      <c r="BP210" s="655"/>
      <c r="BQ210" s="655"/>
      <c r="BR210" s="655"/>
      <c r="BS210" s="655"/>
      <c r="BT210" s="1925"/>
      <c r="BU210" s="1925"/>
      <c r="BV210" s="1925"/>
      <c r="BW210" s="1925"/>
      <c r="BX210" s="1925"/>
      <c r="BY210" s="1925"/>
      <c r="BZ210" s="1925"/>
      <c r="CA210" s="1925"/>
      <c r="CB210" s="1925"/>
      <c r="CC210" s="1925"/>
      <c r="CD210" s="1925"/>
      <c r="CE210" s="1925"/>
      <c r="CF210" s="1925"/>
      <c r="CG210" s="1925"/>
      <c r="CH210" s="1925"/>
      <c r="CI210" s="1925"/>
      <c r="CJ210" s="1925"/>
      <c r="CK210" s="1925"/>
      <c r="CL210" s="93"/>
      <c r="CM210" s="118"/>
      <c r="CN210" s="118"/>
      <c r="CO210" s="118"/>
      <c r="CP210" s="256"/>
      <c r="CQ210" s="1039"/>
      <c r="CR210" s="1039"/>
      <c r="CS210" s="342"/>
      <c r="CT210" s="87"/>
      <c r="CU210" s="326"/>
      <c r="CV210" s="105"/>
      <c r="DC210" s="1940"/>
      <c r="DD210" s="1940"/>
      <c r="DE210" s="1940"/>
      <c r="DF210" s="1940"/>
      <c r="DG210" s="1940"/>
      <c r="DH210" s="1940"/>
      <c r="DI210" s="1940"/>
      <c r="DJ210" s="1940"/>
      <c r="DK210" s="1940"/>
      <c r="DL210" s="1940"/>
      <c r="DM210" s="1940"/>
      <c r="DN210" s="1940"/>
      <c r="DO210" s="1940"/>
      <c r="DP210" s="1940"/>
      <c r="DQ210" s="1940"/>
      <c r="DR210" s="1940"/>
      <c r="DS210" s="1940"/>
      <c r="DT210" s="1940"/>
      <c r="DU210" s="1940"/>
      <c r="DV210" s="1940"/>
      <c r="DW210" s="1940"/>
      <c r="DX210" s="1940"/>
      <c r="DY210" s="1940"/>
      <c r="DZ210" s="1940"/>
      <c r="EA210" s="1940"/>
      <c r="EB210" s="1940"/>
      <c r="EC210" s="1940"/>
      <c r="ED210" s="1940"/>
      <c r="EE210" s="1940"/>
      <c r="EF210" s="1940"/>
      <c r="EG210" s="1940"/>
      <c r="EH210" s="1940"/>
      <c r="EI210" s="1940"/>
      <c r="EJ210" s="1940"/>
      <c r="EK210" s="1940"/>
      <c r="EL210" s="1940"/>
      <c r="EM210" s="1940"/>
      <c r="EN210" s="1940"/>
      <c r="EO210" s="1940"/>
      <c r="EP210" s="1940"/>
      <c r="EQ210" s="1940"/>
      <c r="ER210" s="1940"/>
      <c r="ES210" s="1940"/>
      <c r="ET210" s="1940"/>
      <c r="EU210" s="1940"/>
      <c r="EV210" s="1940"/>
      <c r="EW210" s="1940"/>
      <c r="EX210" s="1940"/>
      <c r="EY210" s="328"/>
      <c r="EZ210" s="87"/>
      <c r="FA210" s="287"/>
      <c r="FB210" s="87"/>
    </row>
    <row r="211" spans="1:158" ht="9" customHeight="1" thickTop="1" thickBot="1">
      <c r="A211" s="87"/>
      <c r="B211" s="87"/>
      <c r="I211" s="112"/>
      <c r="J211" s="1861" t="str">
        <f>IF(Weapons!BC$61&lt;&gt;"","MOUNTED","")</f>
        <v/>
      </c>
      <c r="K211" s="1862"/>
      <c r="L211" s="1862"/>
      <c r="M211" s="818"/>
      <c r="N211" s="818"/>
      <c r="O211" s="818"/>
      <c r="P211" s="818"/>
      <c r="Q211" s="818"/>
      <c r="R211" s="818"/>
      <c r="S211" s="818"/>
      <c r="T211" s="818"/>
      <c r="U211" s="818"/>
      <c r="V211" s="818"/>
      <c r="W211" s="818"/>
      <c r="X211" s="818"/>
      <c r="Y211" s="818"/>
      <c r="Z211" s="818"/>
      <c r="AA211" s="818"/>
      <c r="AB211" s="818"/>
      <c r="AC211" s="818"/>
      <c r="AD211" s="818"/>
      <c r="AE211" s="818"/>
      <c r="AF211" s="818"/>
      <c r="AG211" s="818"/>
      <c r="AH211" s="818"/>
      <c r="AI211" s="818"/>
      <c r="AJ211" s="818"/>
      <c r="AK211" s="818"/>
      <c r="AL211" s="818"/>
      <c r="AM211" s="818"/>
      <c r="AN211" s="818"/>
      <c r="AO211" s="818"/>
      <c r="AP211" s="818"/>
      <c r="AQ211" s="818"/>
      <c r="AR211" s="818"/>
      <c r="AS211" s="818"/>
      <c r="AT211" s="818"/>
      <c r="AU211" s="818"/>
      <c r="AV211" s="818"/>
      <c r="AW211" s="818"/>
      <c r="AX211" s="818"/>
      <c r="AY211" s="818"/>
      <c r="AZ211" s="818"/>
      <c r="BA211" s="818"/>
      <c r="BB211" s="818"/>
      <c r="BC211" s="818"/>
      <c r="BD211" s="818"/>
      <c r="BE211" s="818"/>
      <c r="BF211" s="818"/>
      <c r="BG211" s="818"/>
      <c r="BH211" s="818"/>
      <c r="BI211" s="818"/>
      <c r="BJ211" s="818"/>
      <c r="BK211" s="818"/>
      <c r="BL211" s="818"/>
      <c r="BM211" s="818"/>
      <c r="BN211" s="818"/>
      <c r="BO211" s="818"/>
      <c r="BP211" s="818"/>
      <c r="BQ211" s="818"/>
      <c r="BR211" s="818"/>
      <c r="BS211" s="818"/>
      <c r="BT211" s="818"/>
      <c r="BU211" s="818"/>
      <c r="BV211" s="818"/>
      <c r="BW211" s="818"/>
      <c r="BX211" s="818"/>
      <c r="BY211" s="818"/>
      <c r="BZ211" s="818"/>
      <c r="CA211" s="818"/>
      <c r="CB211" s="818"/>
      <c r="CC211" s="818"/>
      <c r="CD211" s="818"/>
      <c r="CE211" s="818"/>
      <c r="CF211" s="818"/>
      <c r="CG211" s="818"/>
      <c r="CH211" s="818"/>
      <c r="CI211" s="818"/>
      <c r="CJ211" s="818"/>
      <c r="CK211" s="818"/>
      <c r="CL211" s="818"/>
      <c r="CM211" s="596"/>
      <c r="CN211" s="596"/>
      <c r="CO211" s="596"/>
      <c r="CP211" s="112"/>
      <c r="CQ211" s="1042"/>
      <c r="CR211" s="1042"/>
      <c r="CS211" s="342"/>
      <c r="CT211" s="87"/>
      <c r="CU211" s="326"/>
      <c r="CV211" s="105"/>
      <c r="DC211" s="1940"/>
      <c r="DD211" s="1940"/>
      <c r="DE211" s="1940"/>
      <c r="DF211" s="1940"/>
      <c r="DG211" s="1940"/>
      <c r="DH211" s="1940"/>
      <c r="DI211" s="1940"/>
      <c r="DJ211" s="1940"/>
      <c r="DK211" s="1940"/>
      <c r="DL211" s="1940"/>
      <c r="DM211" s="1940"/>
      <c r="DN211" s="1940"/>
      <c r="DO211" s="1940"/>
      <c r="DP211" s="1940"/>
      <c r="DQ211" s="1940"/>
      <c r="DR211" s="1940"/>
      <c r="DS211" s="1940"/>
      <c r="DT211" s="1940"/>
      <c r="DU211" s="1940"/>
      <c r="DV211" s="1940"/>
      <c r="DW211" s="1940"/>
      <c r="DX211" s="1940"/>
      <c r="DY211" s="1940"/>
      <c r="DZ211" s="1940"/>
      <c r="EA211" s="1940"/>
      <c r="EB211" s="1940"/>
      <c r="EC211" s="1940"/>
      <c r="ED211" s="1940"/>
      <c r="EE211" s="1940"/>
      <c r="EF211" s="1940"/>
      <c r="EG211" s="1940"/>
      <c r="EH211" s="1940"/>
      <c r="EI211" s="1940"/>
      <c r="EJ211" s="1940"/>
      <c r="EK211" s="1940"/>
      <c r="EL211" s="1940"/>
      <c r="EM211" s="1940"/>
      <c r="EN211" s="1940"/>
      <c r="EO211" s="1940"/>
      <c r="EP211" s="1940"/>
      <c r="EQ211" s="1940"/>
      <c r="ER211" s="1940"/>
      <c r="ES211" s="1940"/>
      <c r="ET211" s="1940"/>
      <c r="EU211" s="1940"/>
      <c r="EV211" s="1940"/>
      <c r="EW211" s="1940"/>
      <c r="EX211" s="1940"/>
      <c r="EY211" s="328"/>
      <c r="EZ211" s="87"/>
      <c r="FA211" s="287"/>
      <c r="FB211" s="87"/>
    </row>
    <row r="212" spans="1:158" ht="9" customHeight="1" thickTop="1">
      <c r="A212" s="87"/>
      <c r="B212" s="87"/>
      <c r="I212" s="112"/>
      <c r="J212" s="1861"/>
      <c r="K212" s="1862"/>
      <c r="L212" s="1862"/>
      <c r="M212" s="93"/>
      <c r="N212" s="1865" t="s">
        <v>3613</v>
      </c>
      <c r="O212" s="1865"/>
      <c r="P212" s="1865"/>
      <c r="Q212" s="1865"/>
      <c r="R212" s="295"/>
      <c r="S212" s="295"/>
      <c r="T212" s="600"/>
      <c r="U212" s="600"/>
      <c r="V212" s="594"/>
      <c r="W212" s="594"/>
      <c r="X212" s="594"/>
      <c r="Y212" s="594"/>
      <c r="Z212" s="594"/>
      <c r="AA212" s="594"/>
      <c r="AB212" s="594"/>
      <c r="AC212" s="594"/>
      <c r="AD212" s="594"/>
      <c r="AE212" s="594"/>
      <c r="AF212" s="594"/>
      <c r="AG212" s="594"/>
      <c r="AH212" s="594"/>
      <c r="AI212" s="594"/>
      <c r="AJ212" s="594"/>
      <c r="AK212" s="594"/>
      <c r="AL212" s="297"/>
      <c r="AM212" s="818"/>
      <c r="AN212" s="818"/>
      <c r="AO212" s="93"/>
      <c r="AP212" s="1865" t="s">
        <v>4051</v>
      </c>
      <c r="AQ212" s="1865"/>
      <c r="AR212" s="1865"/>
      <c r="AS212" s="1865"/>
      <c r="AT212" s="295"/>
      <c r="AU212" s="295"/>
      <c r="AV212" s="295"/>
      <c r="AW212" s="295"/>
      <c r="AX212" s="295"/>
      <c r="AY212" s="295"/>
      <c r="AZ212" s="295"/>
      <c r="BA212" s="295"/>
      <c r="BB212" s="295"/>
      <c r="BC212" s="295"/>
      <c r="BD212" s="295"/>
      <c r="BE212" s="113"/>
      <c r="BF212" s="818"/>
      <c r="BG212" s="818"/>
      <c r="BH212" s="93"/>
      <c r="BI212" s="1865" t="str">
        <f>IF(CC213&lt;&gt;"","AMMO","POWER")</f>
        <v>POWER</v>
      </c>
      <c r="BJ212" s="1865"/>
      <c r="BK212" s="1865"/>
      <c r="BL212" s="1865"/>
      <c r="BM212" s="1865"/>
      <c r="BN212" s="1865"/>
      <c r="BO212" s="295"/>
      <c r="BP212" s="295"/>
      <c r="BQ212" s="295"/>
      <c r="BR212" s="295"/>
      <c r="BS212" s="295"/>
      <c r="BT212" s="295"/>
      <c r="BU212" s="295"/>
      <c r="BV212" s="295"/>
      <c r="BW212" s="295"/>
      <c r="BX212" s="295"/>
      <c r="BY212" s="295"/>
      <c r="BZ212" s="295"/>
      <c r="CA212" s="295"/>
      <c r="CB212" s="295"/>
      <c r="CC212" s="295"/>
      <c r="CD212" s="295"/>
      <c r="CE212" s="295"/>
      <c r="CF212" s="295"/>
      <c r="CG212" s="295"/>
      <c r="CH212" s="295"/>
      <c r="CI212" s="295"/>
      <c r="CJ212" s="295"/>
      <c r="CK212" s="295"/>
      <c r="CL212" s="113"/>
      <c r="CM212" s="595"/>
      <c r="CN212" s="595"/>
      <c r="CO212" s="595"/>
      <c r="CP212" s="112"/>
      <c r="CQ212" s="1042"/>
      <c r="CR212" s="1042"/>
      <c r="CS212" s="342"/>
      <c r="CT212" s="87"/>
      <c r="CU212" s="326"/>
      <c r="CV212" s="105"/>
      <c r="DC212" s="1940"/>
      <c r="DD212" s="1940"/>
      <c r="DE212" s="1940"/>
      <c r="DF212" s="1940"/>
      <c r="DG212" s="1940"/>
      <c r="DH212" s="1940"/>
      <c r="DI212" s="1940"/>
      <c r="DJ212" s="1940"/>
      <c r="DK212" s="1940"/>
      <c r="DL212" s="1940"/>
      <c r="DM212" s="1940"/>
      <c r="DN212" s="1940"/>
      <c r="DO212" s="1940"/>
      <c r="DP212" s="1940"/>
      <c r="DQ212" s="1940"/>
      <c r="DR212" s="1940"/>
      <c r="DS212" s="1940"/>
      <c r="DT212" s="1940"/>
      <c r="DU212" s="1940"/>
      <c r="DV212" s="1940"/>
      <c r="DW212" s="1940"/>
      <c r="DX212" s="1940"/>
      <c r="DY212" s="1940"/>
      <c r="DZ212" s="1940"/>
      <c r="EA212" s="1940"/>
      <c r="EB212" s="1940"/>
      <c r="EC212" s="1940"/>
      <c r="ED212" s="1940"/>
      <c r="EE212" s="1940"/>
      <c r="EF212" s="1940"/>
      <c r="EG212" s="1940"/>
      <c r="EH212" s="1940"/>
      <c r="EI212" s="1940"/>
      <c r="EJ212" s="1940"/>
      <c r="EK212" s="1940"/>
      <c r="EL212" s="1940"/>
      <c r="EM212" s="1940"/>
      <c r="EN212" s="1940"/>
      <c r="EO212" s="1940"/>
      <c r="EP212" s="1940"/>
      <c r="EQ212" s="1940"/>
      <c r="ER212" s="1940"/>
      <c r="ES212" s="1940"/>
      <c r="ET212" s="1940"/>
      <c r="EU212" s="1940"/>
      <c r="EV212" s="1940"/>
      <c r="EW212" s="1940"/>
      <c r="EX212" s="1940"/>
      <c r="EY212" s="328"/>
      <c r="EZ212" s="87"/>
      <c r="FA212" s="287"/>
      <c r="FB212" s="87"/>
    </row>
    <row r="213" spans="1:158" ht="9" customHeight="1">
      <c r="A213" s="87"/>
      <c r="B213" s="87"/>
      <c r="I213" s="112"/>
      <c r="J213" s="1861"/>
      <c r="K213" s="1862"/>
      <c r="L213" s="1862"/>
      <c r="M213" s="102"/>
      <c r="N213" s="1866"/>
      <c r="O213" s="1866"/>
      <c r="P213" s="1866"/>
      <c r="Q213" s="1866"/>
      <c r="R213" s="1867" t="str">
        <f>Weapons!BC$34</f>
        <v/>
      </c>
      <c r="S213" s="1867"/>
      <c r="T213" s="1867"/>
      <c r="U213" s="1867"/>
      <c r="V213" s="1867"/>
      <c r="W213" s="1867"/>
      <c r="X213" s="1867"/>
      <c r="Y213" s="1867"/>
      <c r="Z213" s="1867"/>
      <c r="AA213" s="1867"/>
      <c r="AB213" s="1867"/>
      <c r="AC213" s="1867"/>
      <c r="AD213" s="1867"/>
      <c r="AE213" s="1867"/>
      <c r="AF213" s="1867"/>
      <c r="AG213" s="1867"/>
      <c r="AH213" s="1867"/>
      <c r="AI213" s="1867"/>
      <c r="AJ213" s="1867"/>
      <c r="AK213" s="1867"/>
      <c r="AL213" s="300"/>
      <c r="AM213" s="818"/>
      <c r="AN213" s="818"/>
      <c r="AO213" s="102"/>
      <c r="AP213" s="1866"/>
      <c r="AQ213" s="1866"/>
      <c r="AR213" s="1866"/>
      <c r="AS213" s="1866"/>
      <c r="AT213" s="1869" t="str">
        <f>Weapons!BC$23</f>
        <v/>
      </c>
      <c r="AU213" s="1869"/>
      <c r="AV213" s="1869"/>
      <c r="AW213" s="1869"/>
      <c r="AX213" s="1869"/>
      <c r="AY213" s="1869"/>
      <c r="AZ213" s="1869"/>
      <c r="BA213" s="1869"/>
      <c r="BB213" s="1869"/>
      <c r="BC213" s="1869"/>
      <c r="BD213" s="1869"/>
      <c r="BE213" s="100"/>
      <c r="BF213" s="818"/>
      <c r="BG213" s="818"/>
      <c r="BH213" s="102"/>
      <c r="BI213" s="1866"/>
      <c r="BJ213" s="1866"/>
      <c r="BK213" s="1866"/>
      <c r="BL213" s="1866"/>
      <c r="BM213" s="1866"/>
      <c r="BN213" s="1866"/>
      <c r="BO213" s="1875" t="str">
        <f>Weapons!BC$25</f>
        <v/>
      </c>
      <c r="BP213" s="1875"/>
      <c r="BQ213" s="1875"/>
      <c r="BR213" s="1875"/>
      <c r="BS213" s="1875"/>
      <c r="BT213" s="1875"/>
      <c r="BU213" s="1875"/>
      <c r="BV213" s="1875"/>
      <c r="BW213" s="1875"/>
      <c r="BX213" s="1875"/>
      <c r="BY213" s="1875"/>
      <c r="BZ213" s="1875"/>
      <c r="CA213" s="1875"/>
      <c r="CB213" s="1875"/>
      <c r="CC213" s="1863" t="str">
        <f>Weapons!BC$26</f>
        <v/>
      </c>
      <c r="CD213" s="1863"/>
      <c r="CE213" s="1863"/>
      <c r="CF213" s="1863"/>
      <c r="CG213" s="1863"/>
      <c r="CH213" s="1863"/>
      <c r="CI213" s="1863"/>
      <c r="CJ213" s="1863"/>
      <c r="CK213" s="1863"/>
      <c r="CL213" s="100"/>
      <c r="CM213" s="657"/>
      <c r="CN213" s="657"/>
      <c r="CO213" s="657"/>
      <c r="CP213" s="112"/>
      <c r="CQ213" s="1039"/>
      <c r="CR213" s="1039"/>
      <c r="CS213" s="342"/>
      <c r="CT213" s="87"/>
      <c r="CU213" s="326"/>
      <c r="CV213" s="105"/>
      <c r="DC213" s="1940"/>
      <c r="DD213" s="1940"/>
      <c r="DE213" s="1940"/>
      <c r="DF213" s="1940"/>
      <c r="DG213" s="1940"/>
      <c r="DH213" s="1940"/>
      <c r="DI213" s="1940"/>
      <c r="DJ213" s="1940"/>
      <c r="DK213" s="1940"/>
      <c r="DL213" s="1940"/>
      <c r="DM213" s="1940"/>
      <c r="DN213" s="1940"/>
      <c r="DO213" s="1940"/>
      <c r="DP213" s="1940"/>
      <c r="DQ213" s="1940"/>
      <c r="DR213" s="1940"/>
      <c r="DS213" s="1940"/>
      <c r="DT213" s="1940"/>
      <c r="DU213" s="1940"/>
      <c r="DV213" s="1940"/>
      <c r="DW213" s="1940"/>
      <c r="DX213" s="1940"/>
      <c r="DY213" s="1940"/>
      <c r="DZ213" s="1940"/>
      <c r="EA213" s="1940"/>
      <c r="EB213" s="1940"/>
      <c r="EC213" s="1940"/>
      <c r="ED213" s="1940"/>
      <c r="EE213" s="1940"/>
      <c r="EF213" s="1940"/>
      <c r="EG213" s="1940"/>
      <c r="EH213" s="1940"/>
      <c r="EI213" s="1940"/>
      <c r="EJ213" s="1940"/>
      <c r="EK213" s="1940"/>
      <c r="EL213" s="1940"/>
      <c r="EM213" s="1940"/>
      <c r="EN213" s="1940"/>
      <c r="EO213" s="1940"/>
      <c r="EP213" s="1940"/>
      <c r="EQ213" s="1940"/>
      <c r="ER213" s="1940"/>
      <c r="ES213" s="1940"/>
      <c r="ET213" s="1940"/>
      <c r="EU213" s="1940"/>
      <c r="EV213" s="1940"/>
      <c r="EW213" s="1940"/>
      <c r="EX213" s="1940"/>
      <c r="EY213" s="328"/>
      <c r="EZ213" s="87"/>
      <c r="FA213" s="287"/>
      <c r="FB213" s="87"/>
    </row>
    <row r="214" spans="1:158" ht="9" customHeight="1">
      <c r="A214" s="87"/>
      <c r="B214" s="87"/>
      <c r="I214" s="112"/>
      <c r="J214" s="1861"/>
      <c r="K214" s="1862"/>
      <c r="L214" s="1862"/>
      <c r="M214" s="102"/>
      <c r="N214" s="105"/>
      <c r="O214" s="105"/>
      <c r="P214" s="105"/>
      <c r="Q214" s="105"/>
      <c r="R214" s="1867"/>
      <c r="S214" s="1867"/>
      <c r="T214" s="1867"/>
      <c r="U214" s="1867"/>
      <c r="V214" s="1867"/>
      <c r="W214" s="1867"/>
      <c r="X214" s="1867"/>
      <c r="Y214" s="1867"/>
      <c r="Z214" s="1867"/>
      <c r="AA214" s="1867"/>
      <c r="AB214" s="1867"/>
      <c r="AC214" s="1867"/>
      <c r="AD214" s="1867"/>
      <c r="AE214" s="1867"/>
      <c r="AF214" s="1867"/>
      <c r="AG214" s="1867"/>
      <c r="AH214" s="1867"/>
      <c r="AI214" s="1867"/>
      <c r="AJ214" s="1867"/>
      <c r="AK214" s="1867"/>
      <c r="AL214" s="103"/>
      <c r="AM214" s="818"/>
      <c r="AN214" s="818"/>
      <c r="AO214" s="102"/>
      <c r="AP214" s="820"/>
      <c r="AQ214" s="820"/>
      <c r="AR214" s="820"/>
      <c r="AS214" s="820"/>
      <c r="AT214" s="1869"/>
      <c r="AU214" s="1869"/>
      <c r="AV214" s="1869"/>
      <c r="AW214" s="1869"/>
      <c r="AX214" s="1869"/>
      <c r="AY214" s="1869"/>
      <c r="AZ214" s="1869"/>
      <c r="BA214" s="1869"/>
      <c r="BB214" s="1869"/>
      <c r="BC214" s="1869"/>
      <c r="BD214" s="1869"/>
      <c r="BE214" s="100"/>
      <c r="BF214" s="818"/>
      <c r="BG214" s="818"/>
      <c r="BH214" s="102"/>
      <c r="BI214" s="820"/>
      <c r="BJ214" s="820"/>
      <c r="BK214" s="820"/>
      <c r="BL214" s="820"/>
      <c r="BM214" s="820"/>
      <c r="BN214" s="820"/>
      <c r="BO214" s="1875"/>
      <c r="BP214" s="1875"/>
      <c r="BQ214" s="1875"/>
      <c r="BR214" s="1875"/>
      <c r="BS214" s="1875"/>
      <c r="BT214" s="1875"/>
      <c r="BU214" s="1875"/>
      <c r="BV214" s="1875"/>
      <c r="BW214" s="1875"/>
      <c r="BX214" s="1875"/>
      <c r="BY214" s="1875"/>
      <c r="BZ214" s="1875"/>
      <c r="CA214" s="1875"/>
      <c r="CB214" s="1875"/>
      <c r="CC214" s="1863"/>
      <c r="CD214" s="1863"/>
      <c r="CE214" s="1863"/>
      <c r="CF214" s="1863"/>
      <c r="CG214" s="1863"/>
      <c r="CH214" s="1863"/>
      <c r="CI214" s="1863"/>
      <c r="CJ214" s="1863"/>
      <c r="CK214" s="1863"/>
      <c r="CL214" s="100"/>
      <c r="CM214" s="657"/>
      <c r="CN214" s="657"/>
      <c r="CO214" s="657"/>
      <c r="CP214" s="112"/>
      <c r="CQ214" s="1042"/>
      <c r="CR214" s="1042"/>
      <c r="CS214" s="342"/>
      <c r="CT214" s="87"/>
      <c r="CU214" s="326"/>
      <c r="CV214" s="105"/>
      <c r="DC214" s="1940"/>
      <c r="DD214" s="1940"/>
      <c r="DE214" s="1940"/>
      <c r="DF214" s="1940"/>
      <c r="DG214" s="1940"/>
      <c r="DH214" s="1940"/>
      <c r="DI214" s="1940"/>
      <c r="DJ214" s="1940"/>
      <c r="DK214" s="1940"/>
      <c r="DL214" s="1940"/>
      <c r="DM214" s="1940"/>
      <c r="DN214" s="1940"/>
      <c r="DO214" s="1940"/>
      <c r="DP214" s="1940"/>
      <c r="DQ214" s="1940"/>
      <c r="DR214" s="1940"/>
      <c r="DS214" s="1940"/>
      <c r="DT214" s="1940"/>
      <c r="DU214" s="1940"/>
      <c r="DV214" s="1940"/>
      <c r="DW214" s="1940"/>
      <c r="DX214" s="1940"/>
      <c r="DY214" s="1940"/>
      <c r="DZ214" s="1940"/>
      <c r="EA214" s="1940"/>
      <c r="EB214" s="1940"/>
      <c r="EC214" s="1940"/>
      <c r="ED214" s="1940"/>
      <c r="EE214" s="1940"/>
      <c r="EF214" s="1940"/>
      <c r="EG214" s="1940"/>
      <c r="EH214" s="1940"/>
      <c r="EI214" s="1940"/>
      <c r="EJ214" s="1940"/>
      <c r="EK214" s="1940"/>
      <c r="EL214" s="1940"/>
      <c r="EM214" s="1940"/>
      <c r="EN214" s="1940"/>
      <c r="EO214" s="1940"/>
      <c r="EP214" s="1940"/>
      <c r="EQ214" s="1940"/>
      <c r="ER214" s="1940"/>
      <c r="ES214" s="1940"/>
      <c r="ET214" s="1940"/>
      <c r="EU214" s="1940"/>
      <c r="EV214" s="1940"/>
      <c r="EW214" s="1940"/>
      <c r="EX214" s="1940"/>
      <c r="EY214" s="328"/>
      <c r="EZ214" s="87"/>
      <c r="FA214" s="287"/>
      <c r="FB214" s="87"/>
    </row>
    <row r="215" spans="1:158" ht="9" customHeight="1" thickBot="1">
      <c r="A215" s="87"/>
      <c r="B215" s="87"/>
      <c r="I215" s="112"/>
      <c r="J215" s="1861"/>
      <c r="K215" s="1862"/>
      <c r="L215" s="1862"/>
      <c r="M215" s="91"/>
      <c r="N215" s="108"/>
      <c r="O215" s="108"/>
      <c r="P215" s="108"/>
      <c r="Q215" s="108"/>
      <c r="R215" s="1868"/>
      <c r="S215" s="1868"/>
      <c r="T215" s="1868"/>
      <c r="U215" s="1868"/>
      <c r="V215" s="1868"/>
      <c r="W215" s="1868"/>
      <c r="X215" s="1868"/>
      <c r="Y215" s="1868"/>
      <c r="Z215" s="1868"/>
      <c r="AA215" s="1868"/>
      <c r="AB215" s="1868"/>
      <c r="AC215" s="1868"/>
      <c r="AD215" s="1868"/>
      <c r="AE215" s="1868"/>
      <c r="AF215" s="1868"/>
      <c r="AG215" s="1868"/>
      <c r="AH215" s="1868"/>
      <c r="AI215" s="1868"/>
      <c r="AJ215" s="1868"/>
      <c r="AK215" s="1868"/>
      <c r="AL215" s="90"/>
      <c r="AM215" s="818"/>
      <c r="AN215" s="818"/>
      <c r="AO215" s="91"/>
      <c r="AP215" s="821"/>
      <c r="AQ215" s="821"/>
      <c r="AR215" s="821"/>
      <c r="AS215" s="821"/>
      <c r="AT215" s="1870"/>
      <c r="AU215" s="1870"/>
      <c r="AV215" s="1870"/>
      <c r="AW215" s="1870"/>
      <c r="AX215" s="1870"/>
      <c r="AY215" s="1870"/>
      <c r="AZ215" s="1870"/>
      <c r="BA215" s="1870"/>
      <c r="BB215" s="1870"/>
      <c r="BC215" s="1870"/>
      <c r="BD215" s="1870"/>
      <c r="BE215" s="93"/>
      <c r="BF215" s="818"/>
      <c r="BG215" s="818"/>
      <c r="BH215" s="91"/>
      <c r="BI215" s="821"/>
      <c r="BJ215" s="821"/>
      <c r="BK215" s="821"/>
      <c r="BL215" s="821"/>
      <c r="BM215" s="821"/>
      <c r="BN215" s="821"/>
      <c r="BO215" s="1876"/>
      <c r="BP215" s="1876"/>
      <c r="BQ215" s="1876"/>
      <c r="BR215" s="1876"/>
      <c r="BS215" s="1876"/>
      <c r="BT215" s="1876"/>
      <c r="BU215" s="1876"/>
      <c r="BV215" s="1876"/>
      <c r="BW215" s="1876"/>
      <c r="BX215" s="1876"/>
      <c r="BY215" s="1876"/>
      <c r="BZ215" s="1876"/>
      <c r="CA215" s="1876"/>
      <c r="CB215" s="1876"/>
      <c r="CC215" s="1864"/>
      <c r="CD215" s="1864"/>
      <c r="CE215" s="1864"/>
      <c r="CF215" s="1864"/>
      <c r="CG215" s="1864"/>
      <c r="CH215" s="1864"/>
      <c r="CI215" s="1864"/>
      <c r="CJ215" s="1864"/>
      <c r="CK215" s="1864"/>
      <c r="CL215" s="93"/>
      <c r="CM215" s="657"/>
      <c r="CN215" s="657"/>
      <c r="CO215" s="657"/>
      <c r="CP215" s="112"/>
      <c r="CQ215" s="1042"/>
      <c r="CR215" s="1042"/>
      <c r="CS215" s="342"/>
      <c r="CT215" s="87"/>
      <c r="CU215" s="326"/>
      <c r="CV215" s="105"/>
      <c r="DC215" s="1940"/>
      <c r="DD215" s="1940"/>
      <c r="DE215" s="1940"/>
      <c r="DF215" s="1940"/>
      <c r="DG215" s="1940"/>
      <c r="DH215" s="1940"/>
      <c r="DI215" s="1940"/>
      <c r="DJ215" s="1940"/>
      <c r="DK215" s="1940"/>
      <c r="DL215" s="1940"/>
      <c r="DM215" s="1940"/>
      <c r="DN215" s="1940"/>
      <c r="DO215" s="1940"/>
      <c r="DP215" s="1940"/>
      <c r="DQ215" s="1940"/>
      <c r="DR215" s="1940"/>
      <c r="DS215" s="1940"/>
      <c r="DT215" s="1940"/>
      <c r="DU215" s="1940"/>
      <c r="DV215" s="1940"/>
      <c r="DW215" s="1940"/>
      <c r="DX215" s="1940"/>
      <c r="DY215" s="1940"/>
      <c r="DZ215" s="1940"/>
      <c r="EA215" s="1940"/>
      <c r="EB215" s="1940"/>
      <c r="EC215" s="1940"/>
      <c r="ED215" s="1940"/>
      <c r="EE215" s="1940"/>
      <c r="EF215" s="1940"/>
      <c r="EG215" s="1940"/>
      <c r="EH215" s="1940"/>
      <c r="EI215" s="1940"/>
      <c r="EJ215" s="1940"/>
      <c r="EK215" s="1940"/>
      <c r="EL215" s="1940"/>
      <c r="EM215" s="1940"/>
      <c r="EN215" s="1940"/>
      <c r="EO215" s="1940"/>
      <c r="EP215" s="1940"/>
      <c r="EQ215" s="1940"/>
      <c r="ER215" s="1940"/>
      <c r="ES215" s="1940"/>
      <c r="ET215" s="1940"/>
      <c r="EU215" s="1940"/>
      <c r="EV215" s="1940"/>
      <c r="EW215" s="1940"/>
      <c r="EX215" s="1940"/>
      <c r="EY215" s="328"/>
      <c r="EZ215" s="87"/>
      <c r="FA215" s="287"/>
      <c r="FB215" s="87"/>
    </row>
    <row r="216" spans="1:158" ht="9" customHeight="1" thickTop="1" thickBot="1">
      <c r="A216" s="87"/>
      <c r="B216" s="87"/>
      <c r="I216" s="112"/>
      <c r="J216" s="1861"/>
      <c r="K216" s="1862"/>
      <c r="L216" s="1862"/>
      <c r="M216" s="818"/>
      <c r="N216" s="818"/>
      <c r="O216" s="818"/>
      <c r="P216" s="818"/>
      <c r="Q216" s="818"/>
      <c r="R216" s="818"/>
      <c r="S216" s="818"/>
      <c r="T216" s="818"/>
      <c r="U216" s="589"/>
      <c r="V216" s="589"/>
      <c r="W216" s="589"/>
      <c r="X216" s="589"/>
      <c r="Y216" s="589"/>
      <c r="Z216" s="589"/>
      <c r="AA216" s="589"/>
      <c r="AB216" s="589"/>
      <c r="AC216" s="589"/>
      <c r="AD216" s="589"/>
      <c r="AE216" s="589"/>
      <c r="AF216" s="589"/>
      <c r="AG216" s="589"/>
      <c r="AH216" s="589"/>
      <c r="AI216" s="589"/>
      <c r="AJ216" s="589"/>
      <c r="AK216" s="589"/>
      <c r="AL216" s="589"/>
      <c r="AM216" s="589"/>
      <c r="AN216" s="131"/>
      <c r="AO216" s="118"/>
      <c r="AP216" s="118"/>
      <c r="AQ216" s="105"/>
      <c r="AR216" s="818"/>
      <c r="AS216" s="818"/>
      <c r="AT216" s="818"/>
      <c r="AU216" s="818"/>
      <c r="AV216" s="653"/>
      <c r="AW216" s="653"/>
      <c r="AX216" s="653"/>
      <c r="AY216" s="653"/>
      <c r="AZ216" s="653"/>
      <c r="BA216" s="131"/>
      <c r="BB216" s="118"/>
      <c r="BC216" s="118"/>
      <c r="BD216" s="105"/>
      <c r="BE216" s="818"/>
      <c r="BF216" s="818"/>
      <c r="BG216" s="818"/>
      <c r="BH216" s="818"/>
      <c r="BI216" s="818"/>
      <c r="BJ216" s="818"/>
      <c r="BK216" s="818"/>
      <c r="BL216" s="818"/>
      <c r="BM216" s="442"/>
      <c r="BN216" s="442"/>
      <c r="BO216" s="442"/>
      <c r="BP216" s="442"/>
      <c r="BQ216" s="442"/>
      <c r="BR216" s="442"/>
      <c r="BS216" s="442"/>
      <c r="BT216" s="442"/>
      <c r="BU216" s="442"/>
      <c r="BV216" s="442"/>
      <c r="BW216" s="442"/>
      <c r="BX216" s="442"/>
      <c r="BY216" s="442"/>
      <c r="BZ216" s="442"/>
      <c r="CA216" s="442"/>
      <c r="CB216" s="442"/>
      <c r="CC216" s="442"/>
      <c r="CD216" s="442"/>
      <c r="CE216" s="442"/>
      <c r="CF216" s="442"/>
      <c r="CG216" s="442"/>
      <c r="CH216" s="442"/>
      <c r="CI216" s="442"/>
      <c r="CJ216" s="442"/>
      <c r="CK216" s="442"/>
      <c r="CL216" s="442"/>
      <c r="CM216" s="118"/>
      <c r="CN216" s="118"/>
      <c r="CO216" s="118"/>
      <c r="CP216" s="112"/>
      <c r="CQ216" s="118"/>
      <c r="CR216" s="337"/>
      <c r="CT216" s="87"/>
      <c r="CU216" s="326"/>
      <c r="CV216" s="105"/>
      <c r="DC216" s="1940"/>
      <c r="DD216" s="1940"/>
      <c r="DE216" s="1940"/>
      <c r="DF216" s="1940"/>
      <c r="DG216" s="1940"/>
      <c r="DH216" s="1940"/>
      <c r="DI216" s="1940"/>
      <c r="DJ216" s="1940"/>
      <c r="DK216" s="1940"/>
      <c r="DL216" s="1940"/>
      <c r="DM216" s="1940"/>
      <c r="DN216" s="1940"/>
      <c r="DO216" s="1940"/>
      <c r="DP216" s="1940"/>
      <c r="DQ216" s="1940"/>
      <c r="DR216" s="1940"/>
      <c r="DS216" s="1940"/>
      <c r="DT216" s="1940"/>
      <c r="DU216" s="1940"/>
      <c r="DV216" s="1940"/>
      <c r="DW216" s="1940"/>
      <c r="DX216" s="1940"/>
      <c r="DY216" s="1940"/>
      <c r="DZ216" s="1940"/>
      <c r="EA216" s="1940"/>
      <c r="EB216" s="1940"/>
      <c r="EC216" s="1940"/>
      <c r="ED216" s="1940"/>
      <c r="EE216" s="1940"/>
      <c r="EF216" s="1940"/>
      <c r="EG216" s="1940"/>
      <c r="EH216" s="1940"/>
      <c r="EI216" s="1940"/>
      <c r="EJ216" s="1940"/>
      <c r="EK216" s="1940"/>
      <c r="EL216" s="1940"/>
      <c r="EM216" s="1940"/>
      <c r="EN216" s="1940"/>
      <c r="EO216" s="1940"/>
      <c r="EP216" s="1940"/>
      <c r="EQ216" s="1940"/>
      <c r="ER216" s="1940"/>
      <c r="ES216" s="1940"/>
      <c r="ET216" s="1940"/>
      <c r="EU216" s="1940"/>
      <c r="EV216" s="1940"/>
      <c r="EW216" s="1940"/>
      <c r="EX216" s="1940"/>
      <c r="EY216" s="328"/>
      <c r="EZ216" s="87"/>
      <c r="FA216" s="287"/>
      <c r="FB216" s="87"/>
    </row>
    <row r="217" spans="1:158" ht="9" customHeight="1" thickTop="1" thickBot="1">
      <c r="A217" s="87"/>
      <c r="B217" s="87"/>
      <c r="I217" s="112"/>
      <c r="J217" s="1861"/>
      <c r="K217" s="1862"/>
      <c r="L217" s="1862"/>
      <c r="M217" s="93"/>
      <c r="N217" s="1865" t="s">
        <v>3614</v>
      </c>
      <c r="O217" s="1865"/>
      <c r="P217" s="1865"/>
      <c r="Q217" s="1865"/>
      <c r="R217" s="1865"/>
      <c r="S217" s="1865"/>
      <c r="T217" s="295"/>
      <c r="U217" s="296"/>
      <c r="V217" s="296"/>
      <c r="W217" s="296"/>
      <c r="X217" s="296"/>
      <c r="Y217" s="296"/>
      <c r="Z217" s="296"/>
      <c r="AA217" s="296"/>
      <c r="AB217" s="296"/>
      <c r="AC217" s="296"/>
      <c r="AD217" s="296"/>
      <c r="AE217" s="296"/>
      <c r="AF217" s="296"/>
      <c r="AG217" s="296"/>
      <c r="AH217" s="296"/>
      <c r="AI217" s="296"/>
      <c r="AJ217" s="296"/>
      <c r="AK217" s="296"/>
      <c r="AL217" s="296"/>
      <c r="AM217" s="296"/>
      <c r="AN217" s="296"/>
      <c r="AO217" s="296"/>
      <c r="AP217" s="296"/>
      <c r="AQ217" s="296"/>
      <c r="AR217" s="296"/>
      <c r="AS217" s="296"/>
      <c r="AT217" s="296"/>
      <c r="AU217" s="296"/>
      <c r="AV217" s="296"/>
      <c r="AW217" s="296"/>
      <c r="AX217" s="296"/>
      <c r="AY217" s="296"/>
      <c r="AZ217" s="296"/>
      <c r="BA217" s="296"/>
      <c r="BB217" s="296"/>
      <c r="BC217" s="296"/>
      <c r="BD217" s="296"/>
      <c r="BE217" s="296"/>
      <c r="BF217" s="296"/>
      <c r="BG217" s="296"/>
      <c r="BH217" s="296"/>
      <c r="BI217" s="296"/>
      <c r="BJ217" s="296"/>
      <c r="BK217" s="296"/>
      <c r="BL217" s="296"/>
      <c r="BM217" s="296"/>
      <c r="BN217" s="296"/>
      <c r="BO217" s="296"/>
      <c r="BP217" s="296"/>
      <c r="BQ217" s="296"/>
      <c r="BR217" s="296"/>
      <c r="BS217" s="296"/>
      <c r="BT217" s="296"/>
      <c r="BU217" s="296"/>
      <c r="BV217" s="296"/>
      <c r="BW217" s="296"/>
      <c r="BX217" s="296"/>
      <c r="BY217" s="296"/>
      <c r="BZ217" s="296"/>
      <c r="CA217" s="296"/>
      <c r="CB217" s="296"/>
      <c r="CC217" s="296"/>
      <c r="CD217" s="296"/>
      <c r="CE217" s="296"/>
      <c r="CF217" s="296"/>
      <c r="CG217" s="296"/>
      <c r="CH217" s="296"/>
      <c r="CI217" s="296"/>
      <c r="CJ217" s="296"/>
      <c r="CK217" s="296"/>
      <c r="CL217" s="297"/>
      <c r="CM217" s="596"/>
      <c r="CN217" s="596"/>
      <c r="CO217" s="87"/>
      <c r="CP217" s="112"/>
      <c r="CQ217" s="1039"/>
      <c r="CR217" s="1039"/>
      <c r="CS217" s="342"/>
      <c r="CU217" s="334"/>
      <c r="CV217" s="335"/>
      <c r="CW217" s="335"/>
      <c r="CX217" s="335"/>
      <c r="CY217" s="335"/>
      <c r="CZ217" s="335"/>
      <c r="DA217" s="335"/>
      <c r="DB217" s="335"/>
      <c r="DC217" s="1941"/>
      <c r="DD217" s="1941"/>
      <c r="DE217" s="1941"/>
      <c r="DF217" s="1941"/>
      <c r="DG217" s="1941"/>
      <c r="DH217" s="1941"/>
      <c r="DI217" s="1941"/>
      <c r="DJ217" s="1941"/>
      <c r="DK217" s="1941"/>
      <c r="DL217" s="1941"/>
      <c r="DM217" s="1941"/>
      <c r="DN217" s="1941"/>
      <c r="DO217" s="1941"/>
      <c r="DP217" s="1941"/>
      <c r="DQ217" s="1941"/>
      <c r="DR217" s="1941"/>
      <c r="DS217" s="1941"/>
      <c r="DT217" s="1941"/>
      <c r="DU217" s="1941"/>
      <c r="DV217" s="1941"/>
      <c r="DW217" s="1941"/>
      <c r="DX217" s="1941"/>
      <c r="DY217" s="1941"/>
      <c r="DZ217" s="1941"/>
      <c r="EA217" s="1941"/>
      <c r="EB217" s="1941"/>
      <c r="EC217" s="1941"/>
      <c r="ED217" s="1941"/>
      <c r="EE217" s="1941"/>
      <c r="EF217" s="1941"/>
      <c r="EG217" s="1941"/>
      <c r="EH217" s="1941"/>
      <c r="EI217" s="1941"/>
      <c r="EJ217" s="1941"/>
      <c r="EK217" s="1941"/>
      <c r="EL217" s="1941"/>
      <c r="EM217" s="1941"/>
      <c r="EN217" s="1941"/>
      <c r="EO217" s="1941"/>
      <c r="EP217" s="1941"/>
      <c r="EQ217" s="1941"/>
      <c r="ER217" s="1941"/>
      <c r="ES217" s="1941"/>
      <c r="ET217" s="1941"/>
      <c r="EU217" s="1941"/>
      <c r="EV217" s="1941"/>
      <c r="EW217" s="1941"/>
      <c r="EX217" s="1941"/>
      <c r="EY217" s="324"/>
      <c r="EZ217" s="87"/>
      <c r="FA217" s="287"/>
      <c r="FB217" s="87"/>
    </row>
    <row r="218" spans="1:158" ht="9" customHeight="1" thickTop="1" thickBot="1">
      <c r="A218" s="87"/>
      <c r="B218" s="87"/>
      <c r="I218" s="87"/>
      <c r="J218" s="256"/>
      <c r="K218" s="118"/>
      <c r="L218" s="111"/>
      <c r="M218" s="102"/>
      <c r="N218" s="1866"/>
      <c r="O218" s="1866"/>
      <c r="P218" s="1866"/>
      <c r="Q218" s="1866"/>
      <c r="R218" s="1866"/>
      <c r="S218" s="1866"/>
      <c r="T218" s="818"/>
      <c r="U218" s="1922" t="str">
        <f>Weapons!BC$28</f>
        <v/>
      </c>
      <c r="V218" s="1922"/>
      <c r="W218" s="1922"/>
      <c r="X218" s="1922"/>
      <c r="Y218" s="1922"/>
      <c r="Z218" s="1922"/>
      <c r="AA218" s="1922"/>
      <c r="AB218" s="1922"/>
      <c r="AC218" s="1922"/>
      <c r="AD218" s="1922"/>
      <c r="AE218" s="1922"/>
      <c r="AF218" s="1922"/>
      <c r="AG218" s="1922"/>
      <c r="AH218" s="1922"/>
      <c r="AI218" s="1922"/>
      <c r="AJ218" s="1922"/>
      <c r="AK218" s="1922"/>
      <c r="AL218" s="1922"/>
      <c r="AM218" s="1922"/>
      <c r="AN218" s="1922"/>
      <c r="AO218" s="1922"/>
      <c r="AP218" s="1922"/>
      <c r="AQ218" s="1922"/>
      <c r="AR218" s="1922"/>
      <c r="AS218" s="1922"/>
      <c r="AT218" s="1922"/>
      <c r="AU218" s="1922"/>
      <c r="AV218" s="1922"/>
      <c r="AW218" s="1922"/>
      <c r="AX218" s="1922"/>
      <c r="AY218" s="1922"/>
      <c r="AZ218" s="1922"/>
      <c r="BA218" s="1922"/>
      <c r="BB218" s="1922"/>
      <c r="BC218" s="1922"/>
      <c r="BD218" s="1922"/>
      <c r="BE218" s="1922"/>
      <c r="BF218" s="1922"/>
      <c r="BG218" s="1922"/>
      <c r="BH218" s="1922"/>
      <c r="BI218" s="1922"/>
      <c r="BJ218" s="1922"/>
      <c r="BK218" s="1922"/>
      <c r="BL218" s="1922"/>
      <c r="BM218" s="1922"/>
      <c r="BN218" s="1922"/>
      <c r="BO218" s="1922"/>
      <c r="BP218" s="1922"/>
      <c r="BQ218" s="1922"/>
      <c r="BR218" s="1922"/>
      <c r="BS218" s="1922"/>
      <c r="BT218" s="1922"/>
      <c r="BU218" s="1922"/>
      <c r="BV218" s="1922"/>
      <c r="BW218" s="1922"/>
      <c r="BX218" s="1922"/>
      <c r="BY218" s="1922"/>
      <c r="BZ218" s="1922"/>
      <c r="CA218" s="1922"/>
      <c r="CB218" s="1922"/>
      <c r="CC218" s="1922"/>
      <c r="CD218" s="1922"/>
      <c r="CE218" s="1922"/>
      <c r="CF218" s="1922"/>
      <c r="CG218" s="1922"/>
      <c r="CH218" s="1922"/>
      <c r="CI218" s="1922"/>
      <c r="CJ218" s="1922"/>
      <c r="CK218" s="1922"/>
      <c r="CL218" s="300"/>
      <c r="CM218" s="658"/>
      <c r="CN218" s="118"/>
      <c r="CO218" s="109"/>
      <c r="CP218" s="144"/>
      <c r="CQ218" s="1042"/>
      <c r="CR218" s="1042"/>
      <c r="CS218" s="342"/>
      <c r="FA218" s="287"/>
      <c r="FB218" s="87"/>
    </row>
    <row r="219" spans="1:158" ht="9" customHeight="1" thickTop="1" thickBot="1">
      <c r="A219" s="87"/>
      <c r="B219" s="87"/>
      <c r="I219" s="87"/>
      <c r="J219" s="118"/>
      <c r="K219" s="256"/>
      <c r="L219" s="108"/>
      <c r="M219" s="102"/>
      <c r="N219" s="105"/>
      <c r="O219" s="105"/>
      <c r="P219" s="105"/>
      <c r="Q219" s="105"/>
      <c r="R219" s="596"/>
      <c r="S219" s="596"/>
      <c r="T219" s="596"/>
      <c r="U219" s="1922"/>
      <c r="V219" s="1922"/>
      <c r="W219" s="1922"/>
      <c r="X219" s="1922"/>
      <c r="Y219" s="1922"/>
      <c r="Z219" s="1922"/>
      <c r="AA219" s="1922"/>
      <c r="AB219" s="1922"/>
      <c r="AC219" s="1922"/>
      <c r="AD219" s="1922"/>
      <c r="AE219" s="1922"/>
      <c r="AF219" s="1922"/>
      <c r="AG219" s="1922"/>
      <c r="AH219" s="1922"/>
      <c r="AI219" s="1922"/>
      <c r="AJ219" s="1922"/>
      <c r="AK219" s="1922"/>
      <c r="AL219" s="1922"/>
      <c r="AM219" s="1922"/>
      <c r="AN219" s="1922"/>
      <c r="AO219" s="1922"/>
      <c r="AP219" s="1922"/>
      <c r="AQ219" s="1922"/>
      <c r="AR219" s="1922"/>
      <c r="AS219" s="1922"/>
      <c r="AT219" s="1922"/>
      <c r="AU219" s="1922"/>
      <c r="AV219" s="1922"/>
      <c r="AW219" s="1922"/>
      <c r="AX219" s="1922"/>
      <c r="AY219" s="1922"/>
      <c r="AZ219" s="1922"/>
      <c r="BA219" s="1922"/>
      <c r="BB219" s="1922"/>
      <c r="BC219" s="1922"/>
      <c r="BD219" s="1922"/>
      <c r="BE219" s="1922"/>
      <c r="BF219" s="1922"/>
      <c r="BG219" s="1922"/>
      <c r="BH219" s="1922"/>
      <c r="BI219" s="1922"/>
      <c r="BJ219" s="1922"/>
      <c r="BK219" s="1922"/>
      <c r="BL219" s="1922"/>
      <c r="BM219" s="1922"/>
      <c r="BN219" s="1922"/>
      <c r="BO219" s="1922"/>
      <c r="BP219" s="1922"/>
      <c r="BQ219" s="1922"/>
      <c r="BR219" s="1922"/>
      <c r="BS219" s="1922"/>
      <c r="BT219" s="1922"/>
      <c r="BU219" s="1922"/>
      <c r="BV219" s="1922"/>
      <c r="BW219" s="1922"/>
      <c r="BX219" s="1922"/>
      <c r="BY219" s="1922"/>
      <c r="BZ219" s="1922"/>
      <c r="CA219" s="1922"/>
      <c r="CB219" s="1922"/>
      <c r="CC219" s="1922"/>
      <c r="CD219" s="1922"/>
      <c r="CE219" s="1922"/>
      <c r="CF219" s="1922"/>
      <c r="CG219" s="1922"/>
      <c r="CH219" s="1922"/>
      <c r="CI219" s="1922"/>
      <c r="CJ219" s="1922"/>
      <c r="CK219" s="1922"/>
      <c r="CL219" s="103"/>
      <c r="CM219" s="122"/>
      <c r="CN219" s="122"/>
      <c r="CO219" s="144"/>
      <c r="CP219" s="118"/>
      <c r="CQ219" s="1042"/>
      <c r="CR219" s="1042"/>
      <c r="CS219" s="342"/>
      <c r="CT219" s="87"/>
      <c r="CU219" s="322"/>
      <c r="CV219" s="1915" t="s">
        <v>3621</v>
      </c>
      <c r="CW219" s="1915"/>
      <c r="CX219" s="1915"/>
      <c r="CY219" s="1915"/>
      <c r="CZ219" s="1915"/>
      <c r="DA219" s="1915"/>
      <c r="DB219" s="1915"/>
      <c r="DC219" s="1926" t="str">
        <f>IF('Armor and Defenses'!V53&lt;&gt;"",'Armor and Defenses'!V53,"")</f>
        <v/>
      </c>
      <c r="DD219" s="1926"/>
      <c r="DE219" s="1926"/>
      <c r="DF219" s="1926"/>
      <c r="DG219" s="1926"/>
      <c r="DH219" s="1926"/>
      <c r="DI219" s="1926"/>
      <c r="DJ219" s="1926"/>
      <c r="DK219" s="1926"/>
      <c r="DL219" s="1926"/>
      <c r="DM219" s="1926"/>
      <c r="DN219" s="1926"/>
      <c r="DO219" s="1926"/>
      <c r="DP219" s="1926"/>
      <c r="DQ219" s="1926"/>
      <c r="DR219" s="1926"/>
      <c r="DS219" s="1926"/>
      <c r="DT219" s="1926"/>
      <c r="DU219" s="1926"/>
      <c r="DV219" s="1926"/>
      <c r="DW219" s="1926"/>
      <c r="DX219" s="1926"/>
      <c r="DY219" s="1926"/>
      <c r="DZ219" s="1926"/>
      <c r="EA219" s="1926"/>
      <c r="EB219" s="1926"/>
      <c r="EC219" s="1926"/>
      <c r="ED219" s="1926"/>
      <c r="EE219" s="1926"/>
      <c r="EF219" s="1926"/>
      <c r="EG219" s="1926"/>
      <c r="EH219" s="1926"/>
      <c r="EI219" s="1926"/>
      <c r="EJ219" s="1926"/>
      <c r="EK219" s="1926"/>
      <c r="EL219" s="1926"/>
      <c r="EM219" s="1926"/>
      <c r="EN219" s="1926"/>
      <c r="EO219" s="1926"/>
      <c r="EP219" s="1926"/>
      <c r="EQ219" s="1926"/>
      <c r="ER219" s="1926"/>
      <c r="ES219" s="1926"/>
      <c r="ET219" s="1926"/>
      <c r="EU219" s="1926"/>
      <c r="EV219" s="1926"/>
      <c r="EW219" s="1926"/>
      <c r="EX219" s="1926"/>
      <c r="EY219" s="341"/>
      <c r="EZ219" s="87"/>
      <c r="FA219" s="287"/>
      <c r="FB219" s="87"/>
    </row>
    <row r="220" spans="1:158" ht="9" customHeight="1" thickTop="1" thickBot="1">
      <c r="A220" s="87"/>
      <c r="B220" s="87"/>
      <c r="I220" s="87"/>
      <c r="J220" s="118"/>
      <c r="K220" s="118"/>
      <c r="L220" s="118"/>
      <c r="M220" s="91"/>
      <c r="N220" s="108"/>
      <c r="O220" s="108"/>
      <c r="P220" s="108"/>
      <c r="Q220" s="108"/>
      <c r="R220" s="654"/>
      <c r="S220" s="654"/>
      <c r="T220" s="654"/>
      <c r="U220" s="1923"/>
      <c r="V220" s="1923"/>
      <c r="W220" s="1923"/>
      <c r="X220" s="1923"/>
      <c r="Y220" s="1923"/>
      <c r="Z220" s="1923"/>
      <c r="AA220" s="1923"/>
      <c r="AB220" s="1923"/>
      <c r="AC220" s="1923"/>
      <c r="AD220" s="1923"/>
      <c r="AE220" s="1923"/>
      <c r="AF220" s="1923"/>
      <c r="AG220" s="1923"/>
      <c r="AH220" s="1923"/>
      <c r="AI220" s="1923"/>
      <c r="AJ220" s="1923"/>
      <c r="AK220" s="1923"/>
      <c r="AL220" s="1923"/>
      <c r="AM220" s="1923"/>
      <c r="AN220" s="1923"/>
      <c r="AO220" s="1923"/>
      <c r="AP220" s="1923"/>
      <c r="AQ220" s="1923"/>
      <c r="AR220" s="1923"/>
      <c r="AS220" s="1923"/>
      <c r="AT220" s="1923"/>
      <c r="AU220" s="1923"/>
      <c r="AV220" s="1923"/>
      <c r="AW220" s="1923"/>
      <c r="AX220" s="1923"/>
      <c r="AY220" s="1923"/>
      <c r="AZ220" s="1923"/>
      <c r="BA220" s="1923"/>
      <c r="BB220" s="1923"/>
      <c r="BC220" s="1923"/>
      <c r="BD220" s="1923"/>
      <c r="BE220" s="1923"/>
      <c r="BF220" s="1923"/>
      <c r="BG220" s="1923"/>
      <c r="BH220" s="1923"/>
      <c r="BI220" s="1923"/>
      <c r="BJ220" s="1923"/>
      <c r="BK220" s="1923"/>
      <c r="BL220" s="1923"/>
      <c r="BM220" s="1923"/>
      <c r="BN220" s="1923"/>
      <c r="BO220" s="1923"/>
      <c r="BP220" s="1923"/>
      <c r="BQ220" s="1923"/>
      <c r="BR220" s="1923"/>
      <c r="BS220" s="1923"/>
      <c r="BT220" s="1923"/>
      <c r="BU220" s="1923"/>
      <c r="BV220" s="1923"/>
      <c r="BW220" s="1923"/>
      <c r="BX220" s="1923"/>
      <c r="BY220" s="1923"/>
      <c r="BZ220" s="1923"/>
      <c r="CA220" s="1923"/>
      <c r="CB220" s="1923"/>
      <c r="CC220" s="1923"/>
      <c r="CD220" s="1923"/>
      <c r="CE220" s="1923"/>
      <c r="CF220" s="1923"/>
      <c r="CG220" s="1923"/>
      <c r="CH220" s="1923"/>
      <c r="CI220" s="1923"/>
      <c r="CJ220" s="1923"/>
      <c r="CK220" s="1923"/>
      <c r="CL220" s="90"/>
      <c r="CM220" s="596"/>
      <c r="CN220" s="596"/>
      <c r="CO220" s="301"/>
      <c r="CP220" s="109"/>
      <c r="CQ220" s="109"/>
      <c r="CS220" s="342"/>
      <c r="CT220" s="87"/>
      <c r="CU220" s="326"/>
      <c r="CV220" s="1916"/>
      <c r="CW220" s="1916"/>
      <c r="CX220" s="1916"/>
      <c r="CY220" s="1916"/>
      <c r="CZ220" s="1916"/>
      <c r="DA220" s="1916"/>
      <c r="DB220" s="1916"/>
      <c r="DC220" s="1927"/>
      <c r="DD220" s="1927"/>
      <c r="DE220" s="1927"/>
      <c r="DF220" s="1927"/>
      <c r="DG220" s="1927"/>
      <c r="DH220" s="1927"/>
      <c r="DI220" s="1927"/>
      <c r="DJ220" s="1927"/>
      <c r="DK220" s="1927"/>
      <c r="DL220" s="1927"/>
      <c r="DM220" s="1927"/>
      <c r="DN220" s="1927"/>
      <c r="DO220" s="1927"/>
      <c r="DP220" s="1927"/>
      <c r="DQ220" s="1927"/>
      <c r="DR220" s="1927"/>
      <c r="DS220" s="1927"/>
      <c r="DT220" s="1927"/>
      <c r="DU220" s="1927"/>
      <c r="DV220" s="1927"/>
      <c r="DW220" s="1927"/>
      <c r="DX220" s="1927"/>
      <c r="DY220" s="1927"/>
      <c r="DZ220" s="1927"/>
      <c r="EA220" s="1927"/>
      <c r="EB220" s="1927"/>
      <c r="EC220" s="1927"/>
      <c r="ED220" s="1927"/>
      <c r="EE220" s="1927"/>
      <c r="EF220" s="1927"/>
      <c r="EG220" s="1927"/>
      <c r="EH220" s="1927"/>
      <c r="EI220" s="1927"/>
      <c r="EJ220" s="1927"/>
      <c r="EK220" s="1927"/>
      <c r="EL220" s="1927"/>
      <c r="EM220" s="1927"/>
      <c r="EN220" s="1927"/>
      <c r="EO220" s="1927"/>
      <c r="EP220" s="1927"/>
      <c r="EQ220" s="1927"/>
      <c r="ER220" s="1927"/>
      <c r="ES220" s="1927"/>
      <c r="ET220" s="1927"/>
      <c r="EU220" s="1927"/>
      <c r="EV220" s="1927"/>
      <c r="EW220" s="1927"/>
      <c r="EX220" s="1927"/>
      <c r="EY220" s="343"/>
      <c r="EZ220" s="87"/>
      <c r="FA220" s="287"/>
      <c r="FB220" s="87"/>
    </row>
    <row r="221" spans="1:158" ht="9" customHeight="1" thickTop="1">
      <c r="A221" s="87"/>
      <c r="B221" s="87"/>
      <c r="I221" s="819"/>
      <c r="J221" s="819"/>
      <c r="K221" s="819"/>
      <c r="L221" s="819"/>
      <c r="M221" s="819"/>
      <c r="N221" s="819"/>
      <c r="O221" s="819"/>
      <c r="P221" s="819"/>
      <c r="Q221" s="819"/>
      <c r="R221" s="819"/>
      <c r="S221" s="819"/>
      <c r="T221" s="819"/>
      <c r="U221" s="819"/>
      <c r="V221" s="819"/>
      <c r="W221" s="819"/>
      <c r="X221" s="819"/>
      <c r="Y221" s="819"/>
      <c r="Z221" s="819"/>
      <c r="AA221" s="819"/>
      <c r="AB221" s="819"/>
      <c r="AC221" s="819"/>
      <c r="AD221" s="819"/>
      <c r="AE221" s="819"/>
      <c r="AF221" s="819"/>
      <c r="AG221" s="819"/>
      <c r="AH221" s="819"/>
      <c r="AI221" s="819"/>
      <c r="AJ221" s="819"/>
      <c r="AK221" s="819"/>
      <c r="AL221" s="819"/>
      <c r="AM221" s="819"/>
      <c r="AN221" s="819"/>
      <c r="AO221" s="819"/>
      <c r="AP221" s="819"/>
      <c r="AQ221" s="819"/>
      <c r="AR221" s="819"/>
      <c r="AS221" s="819"/>
      <c r="AT221" s="819"/>
      <c r="AU221" s="819"/>
      <c r="AV221" s="819"/>
      <c r="AW221" s="819"/>
      <c r="AX221" s="819"/>
      <c r="AY221" s="819"/>
      <c r="AZ221" s="819"/>
      <c r="BA221" s="819"/>
      <c r="BB221" s="819"/>
      <c r="BC221" s="819"/>
      <c r="BD221" s="819"/>
      <c r="BE221" s="819"/>
      <c r="BF221" s="819"/>
      <c r="BG221" s="819"/>
      <c r="BH221" s="819"/>
      <c r="BI221" s="819"/>
      <c r="BJ221" s="819"/>
      <c r="BK221" s="819"/>
      <c r="BL221" s="819"/>
      <c r="BM221" s="819"/>
      <c r="BN221" s="819"/>
      <c r="BO221" s="819"/>
      <c r="BP221" s="819"/>
      <c r="BQ221" s="819"/>
      <c r="BR221" s="819"/>
      <c r="BS221" s="819"/>
      <c r="BT221" s="819"/>
      <c r="BU221" s="819"/>
      <c r="BV221" s="819"/>
      <c r="BW221" s="819"/>
      <c r="BX221" s="819"/>
      <c r="BY221" s="819"/>
      <c r="BZ221" s="819"/>
      <c r="CA221" s="819"/>
      <c r="CB221" s="819"/>
      <c r="CC221" s="819"/>
      <c r="CD221" s="819"/>
      <c r="CE221" s="819"/>
      <c r="CF221" s="819"/>
      <c r="CG221" s="819"/>
      <c r="CH221" s="819"/>
      <c r="CI221" s="819"/>
      <c r="CJ221" s="819"/>
      <c r="CK221" s="819"/>
      <c r="CL221" s="819"/>
      <c r="CM221" s="819"/>
      <c r="CN221" s="819"/>
      <c r="CO221" s="819"/>
      <c r="CP221" s="819"/>
      <c r="CQ221" s="819"/>
      <c r="CS221" s="342"/>
      <c r="CT221" s="87"/>
      <c r="CU221" s="326"/>
      <c r="CV221" s="1916"/>
      <c r="CW221" s="1916"/>
      <c r="CX221" s="1916"/>
      <c r="CY221" s="1916"/>
      <c r="CZ221" s="1916"/>
      <c r="DA221" s="1916"/>
      <c r="DB221" s="1916"/>
      <c r="DC221" s="1927"/>
      <c r="DD221" s="1927"/>
      <c r="DE221" s="1927"/>
      <c r="DF221" s="1927"/>
      <c r="DG221" s="1927"/>
      <c r="DH221" s="1927"/>
      <c r="DI221" s="1927"/>
      <c r="DJ221" s="1927"/>
      <c r="DK221" s="1927"/>
      <c r="DL221" s="1927"/>
      <c r="DM221" s="1927"/>
      <c r="DN221" s="1927"/>
      <c r="DO221" s="1927"/>
      <c r="DP221" s="1927"/>
      <c r="DQ221" s="1927"/>
      <c r="DR221" s="1927"/>
      <c r="DS221" s="1927"/>
      <c r="DT221" s="1927"/>
      <c r="DU221" s="1927"/>
      <c r="DV221" s="1927"/>
      <c r="DW221" s="1927"/>
      <c r="DX221" s="1927"/>
      <c r="DY221" s="1927"/>
      <c r="DZ221" s="1927"/>
      <c r="EA221" s="1927"/>
      <c r="EB221" s="1927"/>
      <c r="EC221" s="1927"/>
      <c r="ED221" s="1927"/>
      <c r="EE221" s="1927"/>
      <c r="EF221" s="1927"/>
      <c r="EG221" s="1927"/>
      <c r="EH221" s="1927"/>
      <c r="EI221" s="1927"/>
      <c r="EJ221" s="1927"/>
      <c r="EK221" s="1927"/>
      <c r="EL221" s="1927"/>
      <c r="EM221" s="1927"/>
      <c r="EN221" s="1927"/>
      <c r="EO221" s="1927"/>
      <c r="EP221" s="1927"/>
      <c r="EQ221" s="1927"/>
      <c r="ER221" s="1927"/>
      <c r="ES221" s="1927"/>
      <c r="ET221" s="1927"/>
      <c r="EU221" s="1927"/>
      <c r="EV221" s="1927"/>
      <c r="EW221" s="1927"/>
      <c r="EX221" s="1927"/>
      <c r="EY221" s="343"/>
      <c r="EZ221" s="87"/>
      <c r="FA221" s="287"/>
      <c r="FB221" s="87"/>
    </row>
    <row r="222" spans="1:158" ht="9" customHeight="1" thickBot="1">
      <c r="A222" s="87"/>
      <c r="B222" s="87"/>
      <c r="D222" s="87"/>
      <c r="E222" s="87"/>
      <c r="F222" s="88"/>
      <c r="G222" s="88"/>
      <c r="H222" s="88"/>
      <c r="I222" s="87"/>
      <c r="J222" s="87"/>
      <c r="K222" s="87"/>
      <c r="L222" s="109"/>
      <c r="M222" s="118"/>
      <c r="N222" s="118"/>
      <c r="O222" s="118"/>
      <c r="P222" s="118"/>
      <c r="Q222" s="118"/>
      <c r="R222" s="118"/>
      <c r="S222" s="118"/>
      <c r="T222" s="118"/>
      <c r="U222" s="118"/>
      <c r="V222" s="118"/>
      <c r="W222" s="118"/>
      <c r="X222" s="118"/>
      <c r="Y222" s="118"/>
      <c r="Z222" s="118"/>
      <c r="AA222" s="118"/>
      <c r="AB222" s="118"/>
      <c r="AC222" s="118"/>
      <c r="AD222" s="118"/>
      <c r="AE222" s="118"/>
      <c r="AF222" s="118"/>
      <c r="AG222" s="118"/>
      <c r="AH222" s="118"/>
      <c r="AI222" s="118"/>
      <c r="AJ222" s="118"/>
      <c r="AK222" s="118"/>
      <c r="AL222" s="118"/>
      <c r="AM222" s="118"/>
      <c r="AN222" s="118"/>
      <c r="AO222" s="118"/>
      <c r="AP222" s="118"/>
      <c r="AQ222" s="1042"/>
      <c r="AR222" s="1042"/>
      <c r="AS222" s="1042"/>
      <c r="AT222" s="1042"/>
      <c r="AU222" s="1042"/>
      <c r="AV222" s="1042"/>
      <c r="AW222" s="1042"/>
      <c r="AX222" s="1042"/>
      <c r="AY222" s="1042"/>
      <c r="AZ222" s="1042"/>
      <c r="BA222" s="1042"/>
      <c r="BB222" s="1042"/>
      <c r="BC222" s="1042"/>
      <c r="BD222" s="1042"/>
      <c r="BE222" s="1042"/>
      <c r="BF222" s="1042"/>
      <c r="BG222" s="1042"/>
      <c r="BH222" s="1042"/>
      <c r="BI222" s="1042"/>
      <c r="BJ222" s="1042"/>
      <c r="BK222" s="1042"/>
      <c r="BL222" s="1042"/>
      <c r="BM222" s="1042"/>
      <c r="BN222" s="1042"/>
      <c r="BO222" s="1042"/>
      <c r="BP222" s="1042"/>
      <c r="BQ222" s="1042"/>
      <c r="BR222" s="1042"/>
      <c r="BS222" s="1042"/>
      <c r="BT222" s="1042"/>
      <c r="BU222" s="1042"/>
      <c r="BV222" s="1042"/>
      <c r="BW222" s="1042"/>
      <c r="BX222" s="1042"/>
      <c r="BY222" s="1042"/>
      <c r="BZ222" s="1042"/>
      <c r="CA222" s="1042"/>
      <c r="CB222" s="1042"/>
      <c r="CC222" s="1042"/>
      <c r="CD222" s="1042"/>
      <c r="CE222" s="1042"/>
      <c r="CF222" s="1042"/>
      <c r="CG222" s="1042"/>
      <c r="CH222" s="1042"/>
      <c r="CI222" s="1042"/>
      <c r="CJ222" s="1042"/>
      <c r="CK222" s="1042"/>
      <c r="CL222" s="1042"/>
      <c r="CM222" s="1042"/>
      <c r="CN222" s="1042"/>
      <c r="CO222" s="1042"/>
      <c r="CP222" s="1042"/>
      <c r="CQ222" s="1042"/>
      <c r="CR222" s="1042"/>
      <c r="CS222" s="342"/>
      <c r="CT222" s="87"/>
      <c r="CU222" s="334"/>
      <c r="CV222" s="1917"/>
      <c r="CW222" s="1917"/>
      <c r="CX222" s="1917"/>
      <c r="CY222" s="1917"/>
      <c r="CZ222" s="1917"/>
      <c r="DA222" s="1917"/>
      <c r="DB222" s="1917"/>
      <c r="DC222" s="1928"/>
      <c r="DD222" s="1928"/>
      <c r="DE222" s="1928"/>
      <c r="DF222" s="1928"/>
      <c r="DG222" s="1928"/>
      <c r="DH222" s="1928"/>
      <c r="DI222" s="1928"/>
      <c r="DJ222" s="1928"/>
      <c r="DK222" s="1928"/>
      <c r="DL222" s="1928"/>
      <c r="DM222" s="1928"/>
      <c r="DN222" s="1928"/>
      <c r="DO222" s="1928"/>
      <c r="DP222" s="1928"/>
      <c r="DQ222" s="1928"/>
      <c r="DR222" s="1928"/>
      <c r="DS222" s="1928"/>
      <c r="DT222" s="1928"/>
      <c r="DU222" s="1928"/>
      <c r="DV222" s="1928"/>
      <c r="DW222" s="1928"/>
      <c r="DX222" s="1928"/>
      <c r="DY222" s="1928"/>
      <c r="DZ222" s="1928"/>
      <c r="EA222" s="1928"/>
      <c r="EB222" s="1928"/>
      <c r="EC222" s="1928"/>
      <c r="ED222" s="1928"/>
      <c r="EE222" s="1928"/>
      <c r="EF222" s="1928"/>
      <c r="EG222" s="1928"/>
      <c r="EH222" s="1928"/>
      <c r="EI222" s="1928"/>
      <c r="EJ222" s="1928"/>
      <c r="EK222" s="1928"/>
      <c r="EL222" s="1928"/>
      <c r="EM222" s="1928"/>
      <c r="EN222" s="1928"/>
      <c r="EO222" s="1928"/>
      <c r="EP222" s="1928"/>
      <c r="EQ222" s="1928"/>
      <c r="ER222" s="1928"/>
      <c r="ES222" s="1928"/>
      <c r="ET222" s="1928"/>
      <c r="EU222" s="1928"/>
      <c r="EV222" s="1928"/>
      <c r="EW222" s="1928"/>
      <c r="EX222" s="1928"/>
      <c r="EY222" s="344"/>
      <c r="EZ222" s="87"/>
      <c r="FA222" s="287"/>
      <c r="FB222" s="87"/>
    </row>
    <row r="223" spans="1:158" ht="9" customHeight="1" thickTop="1" thickBot="1">
      <c r="A223" s="87"/>
      <c r="B223" s="87"/>
      <c r="D223" s="87"/>
      <c r="E223" s="358"/>
      <c r="F223" s="359"/>
      <c r="G223" s="360"/>
      <c r="H223" s="360"/>
      <c r="I223" s="360"/>
      <c r="J223" s="360"/>
      <c r="K223" s="359"/>
      <c r="L223" s="359"/>
      <c r="M223" s="359"/>
      <c r="N223" s="359"/>
      <c r="O223" s="359"/>
      <c r="P223" s="359"/>
      <c r="Q223" s="359"/>
      <c r="R223" s="359"/>
      <c r="S223" s="359"/>
      <c r="T223" s="361"/>
      <c r="U223" s="1542"/>
      <c r="V223" s="1542"/>
      <c r="W223" s="1542"/>
      <c r="X223" s="1542"/>
      <c r="Y223" s="1542"/>
      <c r="Z223" s="1542"/>
      <c r="AA223" s="1542"/>
      <c r="AB223" s="1542"/>
      <c r="AC223" s="1542"/>
      <c r="AD223" s="1542"/>
      <c r="AE223" s="1542"/>
      <c r="AF223" s="1542"/>
      <c r="AG223" s="1542"/>
      <c r="AH223" s="1542"/>
      <c r="AI223" s="1542"/>
      <c r="AJ223" s="1542"/>
      <c r="AK223" s="1542"/>
      <c r="AL223" s="1542"/>
      <c r="AM223" s="1542"/>
      <c r="AN223" s="1542"/>
      <c r="AO223" s="252"/>
      <c r="AP223" s="109"/>
      <c r="AQ223" s="1042"/>
      <c r="AR223" s="1042"/>
      <c r="AS223" s="1042"/>
      <c r="AT223" s="1042"/>
      <c r="AU223" s="1042"/>
      <c r="AV223" s="1042"/>
      <c r="AW223" s="1042"/>
      <c r="AX223" s="1042"/>
      <c r="AY223" s="1042"/>
      <c r="AZ223" s="1042"/>
      <c r="BA223" s="1042"/>
      <c r="BB223" s="1042"/>
      <c r="BC223" s="1042"/>
      <c r="BD223" s="1042"/>
      <c r="BE223" s="1042"/>
      <c r="BF223" s="1042"/>
      <c r="BG223" s="1042"/>
      <c r="BH223" s="1042"/>
      <c r="BI223" s="1042"/>
      <c r="BJ223" s="1042"/>
      <c r="BK223" s="1042"/>
      <c r="BL223" s="1042"/>
      <c r="BM223" s="1042"/>
      <c r="BN223" s="1042"/>
      <c r="BO223" s="1042"/>
      <c r="BP223" s="1042"/>
      <c r="BQ223" s="1042"/>
      <c r="BR223" s="1042"/>
      <c r="BS223" s="1042"/>
      <c r="BT223" s="1042"/>
      <c r="BU223" s="1042"/>
      <c r="BV223" s="1042"/>
      <c r="BW223" s="1042"/>
      <c r="BX223" s="1042"/>
      <c r="BY223" s="1042"/>
      <c r="BZ223" s="1042"/>
      <c r="CA223" s="1042"/>
      <c r="CB223" s="1042"/>
      <c r="CC223" s="1042"/>
      <c r="CD223" s="1042"/>
      <c r="CE223" s="1042"/>
      <c r="CF223" s="1042"/>
      <c r="CG223" s="1042"/>
      <c r="CH223" s="1042"/>
      <c r="CI223" s="1042"/>
      <c r="CJ223" s="1042"/>
      <c r="CK223" s="1042"/>
      <c r="CL223" s="1042"/>
      <c r="CM223" s="1042"/>
      <c r="CN223" s="1042"/>
      <c r="CO223" s="1042"/>
      <c r="CP223" s="1042"/>
      <c r="CQ223" s="1042"/>
      <c r="CR223" s="1042"/>
      <c r="CS223" s="342"/>
      <c r="CT223" s="87"/>
      <c r="CU223" s="87"/>
      <c r="CV223" s="87"/>
      <c r="CW223" s="87"/>
      <c r="CX223" s="87"/>
      <c r="CY223" s="87"/>
      <c r="CZ223" s="87"/>
      <c r="DA223" s="87"/>
      <c r="DB223" s="87"/>
      <c r="DC223" s="87"/>
      <c r="DD223" s="87"/>
      <c r="DE223" s="87"/>
      <c r="DF223" s="87"/>
      <c r="DG223" s="87"/>
      <c r="DH223" s="87"/>
      <c r="DI223" s="87"/>
      <c r="DJ223" s="87"/>
      <c r="DK223" s="87"/>
      <c r="DL223" s="87"/>
      <c r="DM223" s="87"/>
      <c r="DN223" s="87"/>
      <c r="DO223" s="87"/>
      <c r="DP223" s="87"/>
      <c r="DQ223" s="87"/>
      <c r="DR223" s="87"/>
      <c r="DS223" s="87"/>
      <c r="DT223" s="87"/>
      <c r="DU223" s="87"/>
      <c r="DV223" s="87"/>
      <c r="DW223" s="87"/>
      <c r="DX223" s="87"/>
      <c r="DY223" s="87"/>
      <c r="DZ223" s="87"/>
      <c r="EA223" s="87"/>
      <c r="EB223" s="87"/>
      <c r="EC223" s="87"/>
      <c r="ED223" s="87"/>
      <c r="EE223" s="87"/>
      <c r="EF223" s="87"/>
      <c r="EG223" s="87"/>
      <c r="EH223" s="87"/>
      <c r="EI223" s="87"/>
      <c r="EJ223" s="87"/>
      <c r="EK223" s="87"/>
      <c r="EL223" s="87"/>
      <c r="EM223" s="87"/>
      <c r="EN223" s="87"/>
      <c r="EO223" s="87"/>
      <c r="EP223" s="87"/>
      <c r="EQ223" s="87"/>
      <c r="ER223" s="87"/>
      <c r="ES223" s="87"/>
      <c r="ET223" s="87"/>
      <c r="EU223" s="87"/>
      <c r="EV223" s="87"/>
      <c r="EW223" s="87"/>
      <c r="EX223" s="87"/>
      <c r="EY223" s="87"/>
      <c r="EZ223" s="87"/>
      <c r="FA223" s="287"/>
      <c r="FB223" s="87"/>
    </row>
    <row r="224" spans="1:158" ht="9" customHeight="1" thickTop="1">
      <c r="A224" s="87"/>
      <c r="B224" s="87"/>
      <c r="D224" s="87"/>
      <c r="E224" s="362"/>
      <c r="F224" s="1943" t="s">
        <v>3624</v>
      </c>
      <c r="G224" s="1943"/>
      <c r="H224" s="1943"/>
      <c r="I224" s="1943"/>
      <c r="J224" s="1943"/>
      <c r="K224" s="1943"/>
      <c r="L224" s="1943"/>
      <c r="M224" s="1943"/>
      <c r="N224" s="1943"/>
      <c r="O224" s="1943"/>
      <c r="P224" s="1943"/>
      <c r="Q224" s="1943"/>
      <c r="R224" s="1943"/>
      <c r="S224" s="1943"/>
      <c r="T224" s="1943"/>
      <c r="U224" s="1943"/>
      <c r="V224" s="1943"/>
      <c r="W224" s="1943"/>
      <c r="X224" s="1943"/>
      <c r="Y224" s="1943"/>
      <c r="Z224" s="1943"/>
      <c r="AA224" s="1943"/>
      <c r="AB224" s="1943"/>
      <c r="AC224" s="1943"/>
      <c r="AD224" s="1943"/>
      <c r="AE224" s="1943"/>
      <c r="AF224" s="1943"/>
      <c r="AG224" s="1943"/>
      <c r="AH224" s="1943"/>
      <c r="AI224" s="1943"/>
      <c r="AJ224" s="1943"/>
      <c r="AK224" s="1943"/>
      <c r="AL224" s="1943"/>
      <c r="AM224" s="1943"/>
      <c r="AN224" s="1943"/>
      <c r="AO224" s="363"/>
      <c r="AP224" s="596"/>
      <c r="AQ224" s="1661"/>
      <c r="AR224" s="1662"/>
      <c r="AS224" s="1662"/>
      <c r="AT224" s="1662"/>
      <c r="AU224" s="1662"/>
      <c r="AV224" s="1662"/>
      <c r="AW224" s="1662"/>
      <c r="AX224" s="1662"/>
      <c r="AY224" s="1662"/>
      <c r="AZ224" s="1662"/>
      <c r="BA224" s="1662"/>
      <c r="BB224" s="1662"/>
      <c r="BC224" s="1662"/>
      <c r="BD224" s="1662"/>
      <c r="BE224" s="1662"/>
      <c r="BF224" s="1662"/>
      <c r="BG224" s="1662"/>
      <c r="BH224" s="1662"/>
      <c r="BI224" s="1662"/>
      <c r="BJ224" s="1662"/>
      <c r="BK224" s="1662"/>
      <c r="BL224" s="1662"/>
      <c r="BM224" s="1662"/>
      <c r="BN224" s="1662"/>
      <c r="BO224" s="1662"/>
      <c r="BP224" s="1662"/>
      <c r="BQ224" s="1662"/>
      <c r="BR224" s="1662"/>
      <c r="BS224" s="1662"/>
      <c r="BT224" s="1662"/>
      <c r="BU224" s="1662"/>
      <c r="BV224" s="1662"/>
      <c r="BW224" s="1662"/>
      <c r="BX224" s="1662"/>
      <c r="BY224" s="1662"/>
      <c r="BZ224" s="1662"/>
      <c r="CA224" s="1662"/>
      <c r="CB224" s="1662"/>
      <c r="CC224" s="1662"/>
      <c r="CD224" s="1662"/>
      <c r="CE224" s="1662"/>
      <c r="CF224" s="1662"/>
      <c r="CG224" s="1662"/>
      <c r="CH224" s="1662"/>
      <c r="CI224" s="1662"/>
      <c r="CJ224" s="1662"/>
      <c r="CK224" s="1662"/>
      <c r="CL224" s="1662"/>
      <c r="CM224" s="1662"/>
      <c r="CN224" s="1662"/>
      <c r="CO224" s="1662"/>
      <c r="CP224" s="1662"/>
      <c r="CQ224" s="1039"/>
      <c r="CR224" s="1039"/>
      <c r="CS224" s="342"/>
      <c r="CT224" s="87"/>
      <c r="CU224" s="87"/>
      <c r="CV224" s="87"/>
      <c r="CW224" s="87"/>
      <c r="CX224" s="322"/>
      <c r="CY224" s="1937" t="s">
        <v>3613</v>
      </c>
      <c r="CZ224" s="1937"/>
      <c r="DA224" s="1937"/>
      <c r="DB224" s="1937"/>
      <c r="DC224" s="1937"/>
      <c r="DD224" s="1931" t="str">
        <f>'Armor and Defenses'!D8</f>
        <v/>
      </c>
      <c r="DE224" s="1931"/>
      <c r="DF224" s="1931"/>
      <c r="DG224" s="1931"/>
      <c r="DH224" s="1931"/>
      <c r="DI224" s="1931"/>
      <c r="DJ224" s="1931"/>
      <c r="DK224" s="1931"/>
      <c r="DL224" s="341"/>
      <c r="DM224" s="345"/>
      <c r="DN224" s="345"/>
      <c r="DO224" s="346"/>
      <c r="DP224" s="1929" t="s">
        <v>3622</v>
      </c>
      <c r="DQ224" s="1929"/>
      <c r="DR224" s="1929"/>
      <c r="DS224" s="1929"/>
      <c r="DT224" s="1929"/>
      <c r="DU224" s="1931" t="str">
        <f>'Armor and Defenses'!D18</f>
        <v/>
      </c>
      <c r="DV224" s="1931"/>
      <c r="DW224" s="1931"/>
      <c r="DX224" s="1931"/>
      <c r="DY224" s="1931"/>
      <c r="DZ224" s="1931"/>
      <c r="EA224" s="1931"/>
      <c r="EB224" s="1931"/>
      <c r="EC224" s="1931"/>
      <c r="ED224" s="1931"/>
      <c r="EE224" s="1931"/>
      <c r="EF224" s="1931"/>
      <c r="EG224" s="341"/>
      <c r="EH224" s="345"/>
      <c r="EI224" s="347"/>
      <c r="EJ224" s="344"/>
      <c r="EK224" s="1929" t="s">
        <v>3623</v>
      </c>
      <c r="EL224" s="1929"/>
      <c r="EM224" s="1929"/>
      <c r="EN224" s="1929"/>
      <c r="EO224" s="1929"/>
      <c r="EP224" s="1934" t="str">
        <f>'Armor and Defenses'!F3</f>
        <v/>
      </c>
      <c r="EQ224" s="1934"/>
      <c r="ER224" s="1934"/>
      <c r="ES224" s="1934"/>
      <c r="ET224" s="1934"/>
      <c r="EU224" s="1934"/>
      <c r="EV224" s="1934"/>
      <c r="EW224" s="1934"/>
      <c r="EX224" s="1934"/>
      <c r="EY224" s="323"/>
      <c r="EZ224" s="111"/>
      <c r="FA224" s="287"/>
      <c r="FB224" s="87"/>
    </row>
    <row r="225" spans="1:172" ht="9" customHeight="1">
      <c r="A225" s="87"/>
      <c r="B225" s="87"/>
      <c r="D225" s="87"/>
      <c r="E225" s="362"/>
      <c r="F225" s="1943"/>
      <c r="G225" s="1943"/>
      <c r="H225" s="1943"/>
      <c r="I225" s="1943"/>
      <c r="J225" s="1943"/>
      <c r="K225" s="1943"/>
      <c r="L225" s="1943"/>
      <c r="M225" s="1943"/>
      <c r="N225" s="1943"/>
      <c r="O225" s="1943"/>
      <c r="P225" s="1943"/>
      <c r="Q225" s="1943"/>
      <c r="R225" s="1943"/>
      <c r="S225" s="1943"/>
      <c r="T225" s="1943"/>
      <c r="U225" s="1943"/>
      <c r="V225" s="1943"/>
      <c r="W225" s="1943"/>
      <c r="X225" s="1943"/>
      <c r="Y225" s="1943"/>
      <c r="Z225" s="1943"/>
      <c r="AA225" s="1943"/>
      <c r="AB225" s="1943"/>
      <c r="AC225" s="1943"/>
      <c r="AD225" s="1943"/>
      <c r="AE225" s="1943"/>
      <c r="AF225" s="1943"/>
      <c r="AG225" s="1943"/>
      <c r="AH225" s="1943"/>
      <c r="AI225" s="1943"/>
      <c r="AJ225" s="1943"/>
      <c r="AK225" s="1943"/>
      <c r="AL225" s="1943"/>
      <c r="AM225" s="1943"/>
      <c r="AN225" s="1943"/>
      <c r="AO225" s="364"/>
      <c r="AP225" s="596"/>
      <c r="AQ225" s="1662"/>
      <c r="AR225" s="1662"/>
      <c r="AS225" s="1662"/>
      <c r="AT225" s="1662"/>
      <c r="AU225" s="1662"/>
      <c r="AV225" s="1662"/>
      <c r="AW225" s="1662"/>
      <c r="AX225" s="1662"/>
      <c r="AY225" s="1662"/>
      <c r="AZ225" s="1662"/>
      <c r="BA225" s="1662"/>
      <c r="BB225" s="1662"/>
      <c r="BC225" s="1662"/>
      <c r="BD225" s="1662"/>
      <c r="BE225" s="1662"/>
      <c r="BF225" s="1662"/>
      <c r="BG225" s="1662"/>
      <c r="BH225" s="1662"/>
      <c r="BI225" s="1662"/>
      <c r="BJ225" s="1662"/>
      <c r="BK225" s="1662"/>
      <c r="BL225" s="1662"/>
      <c r="BM225" s="1662"/>
      <c r="BN225" s="1662"/>
      <c r="BO225" s="1662"/>
      <c r="BP225" s="1662"/>
      <c r="BQ225" s="1662"/>
      <c r="BR225" s="1662"/>
      <c r="BS225" s="1662"/>
      <c r="BT225" s="1662"/>
      <c r="BU225" s="1662"/>
      <c r="BV225" s="1662"/>
      <c r="BW225" s="1662"/>
      <c r="BX225" s="1662"/>
      <c r="BY225" s="1662"/>
      <c r="BZ225" s="1662"/>
      <c r="CA225" s="1662"/>
      <c r="CB225" s="1662"/>
      <c r="CC225" s="1662"/>
      <c r="CD225" s="1662"/>
      <c r="CE225" s="1662"/>
      <c r="CF225" s="1662"/>
      <c r="CG225" s="1662"/>
      <c r="CH225" s="1662"/>
      <c r="CI225" s="1662"/>
      <c r="CJ225" s="1662"/>
      <c r="CK225" s="1662"/>
      <c r="CL225" s="1662"/>
      <c r="CM225" s="1662"/>
      <c r="CN225" s="1662"/>
      <c r="CO225" s="1662"/>
      <c r="CP225" s="1662"/>
      <c r="CQ225" s="1042"/>
      <c r="CR225" s="1042"/>
      <c r="CS225" s="342"/>
      <c r="CT225" s="87"/>
      <c r="CU225" s="87"/>
      <c r="CV225" s="87"/>
      <c r="CW225" s="87"/>
      <c r="CX225" s="326"/>
      <c r="CY225" s="1938"/>
      <c r="CZ225" s="1938"/>
      <c r="DA225" s="1938"/>
      <c r="DB225" s="1938"/>
      <c r="DC225" s="1938"/>
      <c r="DD225" s="1932"/>
      <c r="DE225" s="1932"/>
      <c r="DF225" s="1932"/>
      <c r="DG225" s="1932"/>
      <c r="DH225" s="1932"/>
      <c r="DI225" s="1932"/>
      <c r="DJ225" s="1932"/>
      <c r="DK225" s="1932"/>
      <c r="DL225" s="343"/>
      <c r="DM225" s="345"/>
      <c r="DN225" s="345"/>
      <c r="DO225" s="348"/>
      <c r="DP225" s="1930"/>
      <c r="DQ225" s="1930"/>
      <c r="DR225" s="1930"/>
      <c r="DS225" s="1930"/>
      <c r="DT225" s="1930"/>
      <c r="DU225" s="1932"/>
      <c r="DV225" s="1932"/>
      <c r="DW225" s="1932"/>
      <c r="DX225" s="1932"/>
      <c r="DY225" s="1932"/>
      <c r="DZ225" s="1932"/>
      <c r="EA225" s="1932"/>
      <c r="EB225" s="1932"/>
      <c r="EC225" s="1932"/>
      <c r="ED225" s="1932"/>
      <c r="EE225" s="1932"/>
      <c r="EF225" s="1932"/>
      <c r="EG225" s="343"/>
      <c r="EH225" s="345"/>
      <c r="EI225" s="347"/>
      <c r="EJ225" s="349"/>
      <c r="EK225" s="1930"/>
      <c r="EL225" s="1930"/>
      <c r="EM225" s="1930"/>
      <c r="EN225" s="1930"/>
      <c r="EO225" s="1930"/>
      <c r="EP225" s="1935"/>
      <c r="EQ225" s="1935"/>
      <c r="ER225" s="1935"/>
      <c r="ES225" s="1935"/>
      <c r="ET225" s="1935"/>
      <c r="EU225" s="1935"/>
      <c r="EV225" s="1935"/>
      <c r="EW225" s="1935"/>
      <c r="EX225" s="1935"/>
      <c r="EY225" s="328"/>
      <c r="EZ225" s="111"/>
      <c r="FA225" s="287"/>
    </row>
    <row r="226" spans="1:172" ht="9" customHeight="1" thickBot="1">
      <c r="A226" s="87"/>
      <c r="B226" s="87"/>
      <c r="D226" s="87"/>
      <c r="E226" s="362"/>
      <c r="F226" s="1944"/>
      <c r="G226" s="1944"/>
      <c r="H226" s="1944"/>
      <c r="I226" s="1944"/>
      <c r="J226" s="1944"/>
      <c r="K226" s="1944"/>
      <c r="L226" s="1944"/>
      <c r="M226" s="1944"/>
      <c r="N226" s="1944"/>
      <c r="O226" s="1944"/>
      <c r="P226" s="1944"/>
      <c r="Q226" s="1944"/>
      <c r="R226" s="1944"/>
      <c r="S226" s="1944"/>
      <c r="T226" s="1944"/>
      <c r="U226" s="1944"/>
      <c r="V226" s="1944"/>
      <c r="W226" s="1944"/>
      <c r="X226" s="1944"/>
      <c r="Y226" s="1944"/>
      <c r="Z226" s="1944"/>
      <c r="AA226" s="1944"/>
      <c r="AB226" s="1944"/>
      <c r="AC226" s="1944"/>
      <c r="AD226" s="1944"/>
      <c r="AE226" s="1944"/>
      <c r="AF226" s="1944"/>
      <c r="AG226" s="1944"/>
      <c r="AH226" s="1944"/>
      <c r="AI226" s="1944"/>
      <c r="AJ226" s="1944"/>
      <c r="AK226" s="1944"/>
      <c r="AL226" s="1944"/>
      <c r="AM226" s="1944"/>
      <c r="AN226" s="1944"/>
      <c r="AO226" s="365"/>
      <c r="AP226" s="596"/>
      <c r="AQ226" s="252"/>
      <c r="AR226" s="252"/>
      <c r="AS226" s="252"/>
      <c r="AT226" s="252"/>
      <c r="AU226" s="252"/>
      <c r="AV226" s="252"/>
      <c r="AW226" s="252"/>
      <c r="AX226" s="252"/>
      <c r="AY226" s="252"/>
      <c r="AZ226" s="252"/>
      <c r="BA226" s="252"/>
      <c r="BB226" s="252"/>
      <c r="BC226" s="252"/>
      <c r="BD226" s="252"/>
      <c r="BE226" s="252"/>
      <c r="BF226" s="252"/>
      <c r="BG226" s="252"/>
      <c r="BH226" s="252"/>
      <c r="BI226" s="252"/>
      <c r="BJ226" s="252"/>
      <c r="BK226" s="252"/>
      <c r="BL226" s="252"/>
      <c r="BM226" s="252"/>
      <c r="BN226" s="252"/>
      <c r="BO226" s="252"/>
      <c r="BP226" s="252"/>
      <c r="BQ226" s="252"/>
      <c r="BR226" s="252"/>
      <c r="BS226" s="252"/>
      <c r="BT226" s="252"/>
      <c r="BU226" s="252"/>
      <c r="BV226" s="252"/>
      <c r="BW226" s="252"/>
      <c r="BX226" s="252"/>
      <c r="BY226" s="252"/>
      <c r="BZ226" s="252"/>
      <c r="CA226" s="252"/>
      <c r="CB226" s="252"/>
      <c r="CC226" s="252"/>
      <c r="CD226" s="252"/>
      <c r="CE226" s="252"/>
      <c r="CF226" s="252"/>
      <c r="CG226" s="252"/>
      <c r="CH226" s="252"/>
      <c r="CI226" s="252"/>
      <c r="CJ226" s="252"/>
      <c r="CK226" s="252"/>
      <c r="CL226" s="252"/>
      <c r="CM226" s="252"/>
      <c r="CN226" s="252"/>
      <c r="CO226" s="252"/>
      <c r="CP226" s="252"/>
      <c r="CQ226" s="1042"/>
      <c r="CR226" s="1042"/>
      <c r="CS226" s="342"/>
      <c r="CT226" s="87"/>
      <c r="CU226" s="87"/>
      <c r="CV226" s="87"/>
      <c r="CW226" s="87"/>
      <c r="CX226" s="326"/>
      <c r="CY226" s="350"/>
      <c r="CZ226" s="350"/>
      <c r="DA226" s="350"/>
      <c r="DB226" s="350"/>
      <c r="DC226" s="351"/>
      <c r="DD226" s="1932"/>
      <c r="DE226" s="1932"/>
      <c r="DF226" s="1932"/>
      <c r="DG226" s="1932"/>
      <c r="DH226" s="1932"/>
      <c r="DI226" s="1932"/>
      <c r="DJ226" s="1932"/>
      <c r="DK226" s="1932"/>
      <c r="DL226" s="343"/>
      <c r="DM226" s="345"/>
      <c r="DN226" s="345"/>
      <c r="DO226" s="348"/>
      <c r="DP226" s="352"/>
      <c r="DQ226" s="352"/>
      <c r="DR226" s="352"/>
      <c r="DS226" s="352"/>
      <c r="DT226" s="351"/>
      <c r="DU226" s="1932"/>
      <c r="DV226" s="1932"/>
      <c r="DW226" s="1932"/>
      <c r="DX226" s="1932"/>
      <c r="DY226" s="1932"/>
      <c r="DZ226" s="1932"/>
      <c r="EA226" s="1932"/>
      <c r="EB226" s="1932"/>
      <c r="EC226" s="1932"/>
      <c r="ED226" s="1932"/>
      <c r="EE226" s="1932"/>
      <c r="EF226" s="1932"/>
      <c r="EG226" s="343"/>
      <c r="EH226" s="345"/>
      <c r="EI226" s="347"/>
      <c r="EJ226" s="349"/>
      <c r="EK226" s="352"/>
      <c r="EL226" s="352"/>
      <c r="EM226" s="352"/>
      <c r="EN226" s="352"/>
      <c r="EO226" s="352"/>
      <c r="EP226" s="1935"/>
      <c r="EQ226" s="1935"/>
      <c r="ER226" s="1935"/>
      <c r="ES226" s="1935"/>
      <c r="ET226" s="1935"/>
      <c r="EU226" s="1935"/>
      <c r="EV226" s="1935"/>
      <c r="EW226" s="1935"/>
      <c r="EX226" s="1935"/>
      <c r="EY226" s="328"/>
      <c r="EZ226" s="111"/>
      <c r="FA226" s="287"/>
    </row>
    <row r="227" spans="1:172" ht="9" customHeight="1" thickBot="1">
      <c r="A227" s="87"/>
      <c r="B227" s="87"/>
      <c r="D227" s="87"/>
      <c r="E227" s="362"/>
      <c r="F227" s="1910" t="s">
        <v>3625</v>
      </c>
      <c r="G227" s="1911"/>
      <c r="H227" s="1911"/>
      <c r="I227" s="1911"/>
      <c r="J227" s="1911"/>
      <c r="K227" s="1911"/>
      <c r="L227" s="1911"/>
      <c r="M227" s="1911"/>
      <c r="N227" s="1911"/>
      <c r="O227" s="1911"/>
      <c r="P227" s="1911"/>
      <c r="Q227" s="1911"/>
      <c r="R227" s="1911"/>
      <c r="S227" s="1911"/>
      <c r="T227" s="1911"/>
      <c r="U227" s="1911"/>
      <c r="V227" s="1911"/>
      <c r="W227" s="1911"/>
      <c r="X227" s="1911"/>
      <c r="Y227" s="1911"/>
      <c r="Z227" s="1911"/>
      <c r="AA227" s="1911"/>
      <c r="AB227" s="1911"/>
      <c r="AC227" s="1911"/>
      <c r="AD227" s="1911"/>
      <c r="AE227" s="1911"/>
      <c r="AF227" s="1911"/>
      <c r="AG227" s="1911"/>
      <c r="AH227" s="1911"/>
      <c r="AI227" s="1911"/>
      <c r="AJ227" s="1911"/>
      <c r="AK227" s="1911"/>
      <c r="AL227" s="1911"/>
      <c r="AM227" s="1911"/>
      <c r="AN227" s="1911"/>
      <c r="AO227" s="365"/>
      <c r="AP227" s="596"/>
      <c r="AQ227" s="252"/>
      <c r="AR227" s="252"/>
      <c r="AS227" s="252"/>
      <c r="AT227" s="252"/>
      <c r="AU227" s="252"/>
      <c r="AV227" s="252"/>
      <c r="AW227" s="252"/>
      <c r="AX227" s="252"/>
      <c r="AY227" s="252"/>
      <c r="AZ227" s="252"/>
      <c r="BA227" s="252"/>
      <c r="BB227" s="252"/>
      <c r="BC227" s="252"/>
      <c r="BD227" s="252"/>
      <c r="BE227" s="252"/>
      <c r="BF227" s="252"/>
      <c r="BG227" s="252"/>
      <c r="BH227" s="252"/>
      <c r="BI227" s="252"/>
      <c r="BJ227" s="252"/>
      <c r="BK227" s="252"/>
      <c r="BL227" s="252"/>
      <c r="BM227" s="252"/>
      <c r="BN227" s="252"/>
      <c r="BO227" s="252"/>
      <c r="BP227" s="252"/>
      <c r="BQ227" s="252"/>
      <c r="BR227" s="252"/>
      <c r="BS227" s="252"/>
      <c r="BT227" s="252"/>
      <c r="BU227" s="252"/>
      <c r="BV227" s="252"/>
      <c r="BW227" s="252"/>
      <c r="BX227" s="252"/>
      <c r="BY227" s="252"/>
      <c r="BZ227" s="252"/>
      <c r="CA227" s="252"/>
      <c r="CB227" s="252"/>
      <c r="CC227" s="252"/>
      <c r="CD227" s="252"/>
      <c r="CE227" s="252"/>
      <c r="CF227" s="252"/>
      <c r="CG227" s="252"/>
      <c r="CH227" s="252"/>
      <c r="CI227" s="252"/>
      <c r="CJ227" s="252"/>
      <c r="CK227" s="252"/>
      <c r="CL227" s="252"/>
      <c r="CM227" s="252"/>
      <c r="CN227" s="252"/>
      <c r="CO227" s="252"/>
      <c r="CP227" s="252"/>
      <c r="CQ227" s="252"/>
      <c r="CR227" s="252"/>
      <c r="CS227" s="307"/>
      <c r="CT227" s="87"/>
      <c r="CU227" s="87"/>
      <c r="CV227" s="87"/>
      <c r="CW227" s="87"/>
      <c r="CX227" s="334"/>
      <c r="CY227" s="353"/>
      <c r="CZ227" s="353"/>
      <c r="DA227" s="353"/>
      <c r="DB227" s="353"/>
      <c r="DC227" s="354"/>
      <c r="DD227" s="1933"/>
      <c r="DE227" s="1933"/>
      <c r="DF227" s="1933"/>
      <c r="DG227" s="1933"/>
      <c r="DH227" s="1933"/>
      <c r="DI227" s="1933"/>
      <c r="DJ227" s="1933"/>
      <c r="DK227" s="1933"/>
      <c r="DL227" s="344"/>
      <c r="DM227" s="345"/>
      <c r="DN227" s="345"/>
      <c r="DO227" s="355"/>
      <c r="DP227" s="356"/>
      <c r="DQ227" s="356"/>
      <c r="DR227" s="356"/>
      <c r="DS227" s="356"/>
      <c r="DT227" s="354"/>
      <c r="DU227" s="1933"/>
      <c r="DV227" s="1933"/>
      <c r="DW227" s="1933"/>
      <c r="DX227" s="1933"/>
      <c r="DY227" s="1933"/>
      <c r="DZ227" s="1933"/>
      <c r="EA227" s="1933"/>
      <c r="EB227" s="1933"/>
      <c r="EC227" s="1933"/>
      <c r="ED227" s="1933"/>
      <c r="EE227" s="1933"/>
      <c r="EF227" s="1933"/>
      <c r="EG227" s="344"/>
      <c r="EH227" s="345"/>
      <c r="EI227" s="347"/>
      <c r="EJ227" s="357"/>
      <c r="EK227" s="356"/>
      <c r="EL227" s="356"/>
      <c r="EM227" s="356"/>
      <c r="EN227" s="356"/>
      <c r="EO227" s="356"/>
      <c r="EP227" s="1936"/>
      <c r="EQ227" s="1936"/>
      <c r="ER227" s="1936"/>
      <c r="ES227" s="1936"/>
      <c r="ET227" s="1936"/>
      <c r="EU227" s="1936"/>
      <c r="EV227" s="1936"/>
      <c r="EW227" s="1936"/>
      <c r="EX227" s="1936"/>
      <c r="EY227" s="324"/>
      <c r="EZ227" s="87"/>
      <c r="FA227" s="289"/>
    </row>
    <row r="228" spans="1:172" ht="9" customHeight="1" thickTop="1" thickBot="1">
      <c r="A228" s="87"/>
      <c r="B228" s="87"/>
      <c r="D228" s="87"/>
      <c r="E228" s="362"/>
      <c r="F228" s="1911"/>
      <c r="G228" s="1911"/>
      <c r="H228" s="1911"/>
      <c r="I228" s="1911"/>
      <c r="J228" s="1911"/>
      <c r="K228" s="1911"/>
      <c r="L228" s="1911"/>
      <c r="M228" s="1911"/>
      <c r="N228" s="1911"/>
      <c r="O228" s="1911"/>
      <c r="P228" s="1911"/>
      <c r="Q228" s="1911"/>
      <c r="R228" s="1911"/>
      <c r="S228" s="1911"/>
      <c r="T228" s="1911"/>
      <c r="U228" s="1911"/>
      <c r="V228" s="1911"/>
      <c r="W228" s="1911"/>
      <c r="X228" s="1911"/>
      <c r="Y228" s="1911"/>
      <c r="Z228" s="1911"/>
      <c r="AA228" s="1911"/>
      <c r="AB228" s="1911"/>
      <c r="AC228" s="1911"/>
      <c r="AD228" s="1911"/>
      <c r="AE228" s="1911"/>
      <c r="AF228" s="1911"/>
      <c r="AG228" s="1911"/>
      <c r="AH228" s="1911"/>
      <c r="AI228" s="1911"/>
      <c r="AJ228" s="1911"/>
      <c r="AK228" s="1911"/>
      <c r="AL228" s="1911"/>
      <c r="AM228" s="1911"/>
      <c r="AN228" s="1911"/>
      <c r="AO228" s="365"/>
      <c r="AP228" s="652"/>
      <c r="AQ228" s="2087" t="s">
        <v>3614</v>
      </c>
      <c r="AR228" s="2088"/>
      <c r="AS228" s="2088"/>
      <c r="AT228" s="2088"/>
      <c r="AU228" s="2088"/>
      <c r="AV228" s="2088"/>
      <c r="AW228" s="2088"/>
      <c r="AX228" s="2088"/>
      <c r="AY228" s="2088"/>
      <c r="AZ228" s="2088"/>
      <c r="BA228" s="2088"/>
      <c r="BB228" s="2088"/>
      <c r="BC228" s="2088"/>
      <c r="BD228" s="2088"/>
      <c r="BE228" s="2088"/>
      <c r="BF228" s="2088"/>
      <c r="BG228" s="2088"/>
      <c r="BH228" s="2088"/>
      <c r="BI228" s="2088"/>
      <c r="BJ228" s="2088"/>
      <c r="BK228" s="2088"/>
      <c r="BL228" s="2088"/>
      <c r="BM228" s="2088"/>
      <c r="BN228" s="2088"/>
      <c r="BO228" s="2088"/>
      <c r="BP228" s="2088"/>
      <c r="BQ228" s="2088"/>
      <c r="BR228" s="2088"/>
      <c r="BS228" s="2088"/>
      <c r="BT228" s="2088"/>
      <c r="BU228" s="2088"/>
      <c r="BV228" s="2088"/>
      <c r="BW228" s="2088"/>
      <c r="BX228" s="2088"/>
      <c r="BY228" s="2088"/>
      <c r="BZ228" s="2088"/>
      <c r="CA228" s="2088"/>
      <c r="CB228" s="2088"/>
      <c r="CC228" s="2088"/>
      <c r="CD228" s="2088"/>
      <c r="CE228" s="2088"/>
      <c r="CF228" s="2088"/>
      <c r="CG228" s="2088"/>
      <c r="CH228" s="2088"/>
      <c r="CI228" s="2088"/>
      <c r="CJ228" s="2088"/>
      <c r="CK228" s="2088"/>
      <c r="CL228" s="2088"/>
      <c r="CM228" s="2088"/>
      <c r="CN228" s="2088"/>
      <c r="CO228" s="2088"/>
      <c r="CP228" s="2088"/>
      <c r="CQ228" s="252"/>
      <c r="CR228" s="252"/>
      <c r="CS228" s="87"/>
      <c r="CT228" s="307"/>
      <c r="CU228" s="325"/>
      <c r="CV228" s="325"/>
      <c r="CW228" s="325"/>
      <c r="CX228" s="325"/>
      <c r="CY228" s="325"/>
      <c r="CZ228" s="325"/>
      <c r="DA228" s="325"/>
      <c r="DB228" s="325"/>
      <c r="DC228" s="325"/>
      <c r="DD228" s="325"/>
      <c r="DE228" s="325"/>
      <c r="DF228" s="325"/>
      <c r="DG228" s="325"/>
      <c r="DH228" s="325"/>
      <c r="DI228" s="325"/>
      <c r="DJ228" s="325"/>
      <c r="DK228" s="325"/>
      <c r="DL228" s="325"/>
      <c r="DM228" s="325"/>
      <c r="DN228" s="325"/>
      <c r="DO228" s="325"/>
      <c r="DP228" s="325"/>
      <c r="DQ228" s="325"/>
      <c r="DR228" s="325"/>
      <c r="DS228" s="325"/>
      <c r="DT228" s="325"/>
      <c r="DU228" s="325"/>
      <c r="DV228" s="325"/>
      <c r="DW228" s="325"/>
      <c r="DX228" s="325"/>
      <c r="DY228" s="325"/>
      <c r="DZ228" s="325"/>
      <c r="EA228" s="325"/>
      <c r="EB228" s="325"/>
      <c r="EC228" s="325"/>
      <c r="ED228" s="325"/>
      <c r="EE228" s="325"/>
      <c r="EF228" s="325"/>
      <c r="EG228" s="325"/>
      <c r="EH228" s="325"/>
      <c r="EI228" s="325"/>
      <c r="EJ228" s="325"/>
      <c r="EK228" s="325"/>
      <c r="EL228" s="325"/>
      <c r="EM228" s="325"/>
      <c r="EN228" s="325"/>
      <c r="EO228" s="325"/>
      <c r="EP228" s="325"/>
      <c r="EQ228" s="325"/>
      <c r="ER228" s="325"/>
      <c r="ES228" s="325"/>
      <c r="ET228" s="325"/>
      <c r="EU228" s="325"/>
      <c r="EV228" s="325"/>
      <c r="EW228" s="325"/>
      <c r="EX228" s="325"/>
      <c r="EY228" s="325"/>
      <c r="EZ228" s="289"/>
      <c r="FA228" s="87"/>
      <c r="FC228" s="1655"/>
      <c r="FD228" s="1655"/>
      <c r="FE228" s="1655"/>
      <c r="FF228" s="1655"/>
      <c r="FG228" s="1655"/>
      <c r="FH228" s="1655"/>
      <c r="FI228" s="1655"/>
      <c r="FJ228" s="1655"/>
      <c r="FK228" s="1655"/>
      <c r="FL228" s="1655"/>
      <c r="FM228" s="1655"/>
      <c r="FN228" s="1655"/>
      <c r="FO228" s="1655"/>
      <c r="FP228" s="1655"/>
    </row>
    <row r="229" spans="1:172" ht="9" customHeight="1" thickTop="1" thickBot="1">
      <c r="A229" s="87"/>
      <c r="B229" s="87"/>
      <c r="D229" s="87"/>
      <c r="E229" s="362"/>
      <c r="F229" s="1912"/>
      <c r="G229" s="1912"/>
      <c r="H229" s="1912"/>
      <c r="I229" s="1912"/>
      <c r="J229" s="1912"/>
      <c r="K229" s="1912"/>
      <c r="L229" s="1912"/>
      <c r="M229" s="1912"/>
      <c r="N229" s="1912"/>
      <c r="O229" s="1912"/>
      <c r="P229" s="1912"/>
      <c r="Q229" s="1912"/>
      <c r="R229" s="1912"/>
      <c r="S229" s="1912"/>
      <c r="T229" s="1912"/>
      <c r="U229" s="1912"/>
      <c r="V229" s="1912"/>
      <c r="W229" s="1912"/>
      <c r="X229" s="1912"/>
      <c r="Y229" s="1912"/>
      <c r="Z229" s="1912"/>
      <c r="AA229" s="1912"/>
      <c r="AB229" s="1912"/>
      <c r="AC229" s="1912"/>
      <c r="AD229" s="1912"/>
      <c r="AE229" s="1912"/>
      <c r="AF229" s="1912"/>
      <c r="AG229" s="1912"/>
      <c r="AH229" s="1912"/>
      <c r="AI229" s="1912"/>
      <c r="AJ229" s="1912"/>
      <c r="AK229" s="1912"/>
      <c r="AL229" s="1912"/>
      <c r="AM229" s="1912"/>
      <c r="AN229" s="1912"/>
      <c r="AO229" s="364"/>
      <c r="AP229" s="652"/>
      <c r="AQ229" s="2088"/>
      <c r="AR229" s="2088"/>
      <c r="AS229" s="2088"/>
      <c r="AT229" s="2088"/>
      <c r="AU229" s="2088"/>
      <c r="AV229" s="2088"/>
      <c r="AW229" s="2088"/>
      <c r="AX229" s="2088"/>
      <c r="AY229" s="2088"/>
      <c r="AZ229" s="2088"/>
      <c r="BA229" s="2088"/>
      <c r="BB229" s="2088"/>
      <c r="BC229" s="2088"/>
      <c r="BD229" s="2088"/>
      <c r="BE229" s="2088"/>
      <c r="BF229" s="2088"/>
      <c r="BG229" s="2088"/>
      <c r="BH229" s="2088"/>
      <c r="BI229" s="2088"/>
      <c r="BJ229" s="2088"/>
      <c r="BK229" s="2088"/>
      <c r="BL229" s="2088"/>
      <c r="BM229" s="2088"/>
      <c r="BN229" s="2088"/>
      <c r="BO229" s="2088"/>
      <c r="BP229" s="2088"/>
      <c r="BQ229" s="2088"/>
      <c r="BR229" s="2088"/>
      <c r="BS229" s="2088"/>
      <c r="BT229" s="2088"/>
      <c r="BU229" s="2088"/>
      <c r="BV229" s="2088"/>
      <c r="BW229" s="2088"/>
      <c r="BX229" s="2088"/>
      <c r="BY229" s="2088"/>
      <c r="BZ229" s="2088"/>
      <c r="CA229" s="2088"/>
      <c r="CB229" s="2088"/>
      <c r="CC229" s="2088"/>
      <c r="CD229" s="2088"/>
      <c r="CE229" s="2088"/>
      <c r="CF229" s="2088"/>
      <c r="CG229" s="2088"/>
      <c r="CH229" s="2088"/>
      <c r="CI229" s="2088"/>
      <c r="CJ229" s="2088"/>
      <c r="CK229" s="2088"/>
      <c r="CL229" s="2088"/>
      <c r="CM229" s="2088"/>
      <c r="CN229" s="2088"/>
      <c r="CO229" s="2088"/>
      <c r="CP229" s="2088"/>
      <c r="CQ229" s="366"/>
      <c r="CR229" s="366"/>
      <c r="CS229" s="366"/>
      <c r="CT229" s="366"/>
      <c r="CU229" s="366"/>
      <c r="CV229" s="366"/>
      <c r="CW229" s="366"/>
      <c r="CX229" s="366"/>
      <c r="CY229" s="366"/>
      <c r="CZ229" s="366"/>
      <c r="DA229" s="366"/>
      <c r="DB229" s="366"/>
      <c r="DC229" s="366"/>
      <c r="DD229" s="366"/>
      <c r="DE229" s="366"/>
      <c r="DF229" s="366"/>
      <c r="DG229" s="366"/>
      <c r="DH229" s="366"/>
      <c r="DI229" s="109"/>
      <c r="DJ229" s="109"/>
      <c r="DK229" s="369"/>
      <c r="DL229" s="369"/>
      <c r="DM229" s="369"/>
      <c r="DN229" s="369"/>
      <c r="DO229" s="369"/>
      <c r="DP229" s="369"/>
      <c r="DQ229" s="369"/>
      <c r="DR229" s="369"/>
      <c r="DS229" s="369"/>
      <c r="DT229" s="369"/>
      <c r="DU229" s="369"/>
      <c r="DV229" s="369"/>
      <c r="DW229" s="369"/>
      <c r="DX229" s="369"/>
      <c r="DY229" s="369"/>
      <c r="DZ229" s="369"/>
      <c r="EA229" s="369"/>
      <c r="EB229" s="369"/>
      <c r="EC229" s="369"/>
      <c r="ED229" s="369"/>
      <c r="EE229" s="369"/>
      <c r="EF229" s="369"/>
      <c r="EG229" s="369"/>
      <c r="EH229" s="369"/>
      <c r="EI229" s="369"/>
      <c r="EJ229" s="369"/>
      <c r="EK229" s="369"/>
      <c r="EL229" s="369"/>
      <c r="EM229" s="369"/>
      <c r="EN229" s="369"/>
      <c r="EO229" s="369"/>
      <c r="EP229" s="369"/>
      <c r="EQ229" s="369"/>
      <c r="ER229" s="369"/>
      <c r="ES229" s="369"/>
      <c r="ET229" s="369"/>
      <c r="EU229" s="369"/>
      <c r="EV229" s="369"/>
      <c r="EW229" s="369"/>
      <c r="EX229" s="369"/>
      <c r="EY229" s="369"/>
      <c r="FC229" s="1655"/>
      <c r="FD229" s="1655"/>
      <c r="FE229" s="1655"/>
      <c r="FF229" s="1655"/>
      <c r="FG229" s="1655"/>
      <c r="FH229" s="1655"/>
      <c r="FI229" s="1655"/>
      <c r="FJ229" s="1655"/>
      <c r="FK229" s="1655"/>
      <c r="FL229" s="1655"/>
      <c r="FM229" s="1655"/>
      <c r="FN229" s="1655"/>
      <c r="FO229" s="1655"/>
      <c r="FP229" s="1655"/>
    </row>
    <row r="230" spans="1:172" ht="9" customHeight="1" thickTop="1" thickBot="1">
      <c r="A230" s="87"/>
      <c r="B230" s="87"/>
      <c r="D230" s="87"/>
      <c r="E230" s="362"/>
      <c r="F230" s="1910" t="s">
        <v>3626</v>
      </c>
      <c r="G230" s="1911"/>
      <c r="H230" s="1911"/>
      <c r="I230" s="1911"/>
      <c r="J230" s="1911"/>
      <c r="K230" s="1911"/>
      <c r="L230" s="1911"/>
      <c r="M230" s="1911"/>
      <c r="N230" s="1911"/>
      <c r="O230" s="1911"/>
      <c r="P230" s="1911"/>
      <c r="Q230" s="1911"/>
      <c r="R230" s="1911"/>
      <c r="S230" s="1911"/>
      <c r="T230" s="1911"/>
      <c r="U230" s="1911"/>
      <c r="V230" s="1911"/>
      <c r="W230" s="1911"/>
      <c r="X230" s="1911"/>
      <c r="Y230" s="1911"/>
      <c r="Z230" s="1911"/>
      <c r="AA230" s="1911"/>
      <c r="AB230" s="1911"/>
      <c r="AC230" s="1911"/>
      <c r="AD230" s="1911"/>
      <c r="AE230" s="1911"/>
      <c r="AF230" s="1911"/>
      <c r="AG230" s="1911"/>
      <c r="AH230" s="1911"/>
      <c r="AI230" s="1911"/>
      <c r="AJ230" s="1911"/>
      <c r="AK230" s="1911"/>
      <c r="AL230" s="1911"/>
      <c r="AM230" s="1911"/>
      <c r="AN230" s="1911"/>
      <c r="AO230" s="365"/>
      <c r="AP230" s="652"/>
      <c r="AQ230" s="1658"/>
      <c r="AR230" s="1658"/>
      <c r="AS230" s="1658"/>
      <c r="AT230" s="1658"/>
      <c r="AU230" s="1658"/>
      <c r="AV230" s="1658"/>
      <c r="AW230" s="1658"/>
      <c r="AX230" s="1658"/>
      <c r="AY230" s="1658"/>
      <c r="AZ230" s="1658"/>
      <c r="BA230" s="1658"/>
      <c r="BB230" s="1658"/>
      <c r="BC230" s="1658"/>
      <c r="BD230" s="1658"/>
      <c r="BE230" s="1658"/>
      <c r="BF230" s="1658"/>
      <c r="BG230" s="1658"/>
      <c r="BH230" s="1658"/>
      <c r="BI230" s="1658"/>
      <c r="BJ230" s="1658"/>
      <c r="BK230" s="1658"/>
      <c r="BL230" s="1658"/>
      <c r="BM230" s="1658"/>
      <c r="BN230" s="1658"/>
      <c r="BO230" s="1658"/>
      <c r="BP230" s="1658"/>
      <c r="BQ230" s="1658"/>
      <c r="BR230" s="1658"/>
      <c r="BS230" s="1658"/>
      <c r="BT230" s="1658"/>
      <c r="BU230" s="1658"/>
      <c r="BV230" s="1658"/>
      <c r="BW230" s="1658"/>
      <c r="BX230" s="1658"/>
      <c r="BY230" s="1658"/>
      <c r="BZ230" s="1658"/>
      <c r="CA230" s="1658"/>
      <c r="CB230" s="1658"/>
      <c r="CC230" s="1658"/>
      <c r="CD230" s="1658"/>
      <c r="CE230" s="1658"/>
      <c r="CF230" s="1658"/>
      <c r="CG230" s="1658"/>
      <c r="CH230" s="1658"/>
      <c r="CI230" s="1658"/>
      <c r="CJ230" s="1658"/>
      <c r="CK230" s="1658"/>
      <c r="CL230" s="1658"/>
      <c r="CM230" s="1658"/>
      <c r="CN230" s="1658"/>
      <c r="CO230" s="1658"/>
      <c r="CP230" s="1658"/>
      <c r="CQ230" s="1658"/>
      <c r="CR230" s="1658"/>
      <c r="CS230" s="1658"/>
      <c r="CT230" s="1658"/>
      <c r="CU230" s="1658"/>
      <c r="CV230" s="1658"/>
      <c r="CW230" s="1658"/>
      <c r="CX230" s="1658"/>
      <c r="CY230" s="1658"/>
      <c r="CZ230" s="1658"/>
      <c r="DA230" s="1658"/>
      <c r="DB230" s="1658"/>
      <c r="DC230" s="1658"/>
      <c r="DD230" s="1658"/>
      <c r="DE230" s="1658"/>
      <c r="DF230" s="1658"/>
      <c r="DG230" s="1658"/>
      <c r="DH230" s="1658"/>
      <c r="DI230" s="252"/>
      <c r="DJ230" s="87"/>
      <c r="DK230" s="448"/>
      <c r="DL230" s="448"/>
      <c r="DM230" s="153"/>
      <c r="DN230" s="1855" t="s">
        <v>8794</v>
      </c>
      <c r="DO230" s="1855"/>
      <c r="DP230" s="1855"/>
      <c r="DQ230" s="1855"/>
      <c r="DR230" s="1855"/>
      <c r="DS230" s="1855"/>
      <c r="DT230" s="1855"/>
      <c r="DU230" s="1855"/>
      <c r="DV230" s="1855"/>
      <c r="DW230" s="1855"/>
      <c r="DX230" s="1855"/>
      <c r="DY230" s="1855"/>
      <c r="DZ230" s="1855"/>
      <c r="EA230" s="1855"/>
      <c r="EB230" s="1855"/>
      <c r="EC230" s="1855"/>
      <c r="ED230" s="1855"/>
      <c r="EE230" s="1855"/>
      <c r="EF230" s="1855"/>
      <c r="EG230" s="1855"/>
      <c r="EH230" s="1855"/>
      <c r="EI230" s="1855"/>
      <c r="EJ230" s="1855"/>
      <c r="EK230" s="1855"/>
      <c r="EL230" s="1855"/>
      <c r="EM230" s="154"/>
      <c r="EN230" s="448"/>
      <c r="EO230" s="109"/>
      <c r="EP230" s="109"/>
      <c r="EQ230" s="109"/>
      <c r="ER230" s="109"/>
      <c r="ES230" s="109"/>
      <c r="ET230" s="109"/>
      <c r="EU230" s="109"/>
      <c r="EV230" s="109"/>
      <c r="EW230" s="109"/>
      <c r="EX230" s="109"/>
      <c r="EY230" s="109"/>
      <c r="EZ230" s="709"/>
      <c r="FA230" s="301"/>
      <c r="FB230" s="301"/>
      <c r="FC230" s="1655"/>
      <c r="FD230" s="1655"/>
      <c r="FE230" s="1655"/>
      <c r="FF230" s="1655"/>
      <c r="FG230" s="1655"/>
      <c r="FH230" s="1655"/>
      <c r="FI230" s="1655"/>
      <c r="FJ230" s="1655"/>
      <c r="FK230" s="1655"/>
      <c r="FL230" s="1655"/>
      <c r="FM230" s="1655"/>
      <c r="FN230" s="1655"/>
      <c r="FO230" s="1655"/>
      <c r="FP230" s="1655"/>
    </row>
    <row r="231" spans="1:172" ht="9" customHeight="1">
      <c r="A231" s="87"/>
      <c r="B231" s="87"/>
      <c r="D231" s="87"/>
      <c r="E231" s="362"/>
      <c r="F231" s="1911"/>
      <c r="G231" s="1911"/>
      <c r="H231" s="1911"/>
      <c r="I231" s="1911"/>
      <c r="J231" s="1911"/>
      <c r="K231" s="1911"/>
      <c r="L231" s="1911"/>
      <c r="M231" s="1911"/>
      <c r="N231" s="1911"/>
      <c r="O231" s="1911"/>
      <c r="P231" s="1911"/>
      <c r="Q231" s="1911"/>
      <c r="R231" s="1911"/>
      <c r="S231" s="1911"/>
      <c r="T231" s="1911"/>
      <c r="U231" s="1911"/>
      <c r="V231" s="1911"/>
      <c r="W231" s="1911"/>
      <c r="X231" s="1911"/>
      <c r="Y231" s="1911"/>
      <c r="Z231" s="1911"/>
      <c r="AA231" s="1911"/>
      <c r="AB231" s="1911"/>
      <c r="AC231" s="1911"/>
      <c r="AD231" s="1911"/>
      <c r="AE231" s="1911"/>
      <c r="AF231" s="1911"/>
      <c r="AG231" s="1911"/>
      <c r="AH231" s="1911"/>
      <c r="AI231" s="1911"/>
      <c r="AJ231" s="1911"/>
      <c r="AK231" s="1911"/>
      <c r="AL231" s="1911"/>
      <c r="AM231" s="1911"/>
      <c r="AN231" s="1911"/>
      <c r="AO231" s="365"/>
      <c r="AP231" s="252"/>
      <c r="AQ231" s="2089" t="str">
        <f>IF(Background&lt;&gt;"None",INDEX(BackgroundData,MATCH(Background,BackgroundList,0),4),"")</f>
        <v/>
      </c>
      <c r="AR231" s="2090"/>
      <c r="AS231" s="2090"/>
      <c r="AT231" s="2090"/>
      <c r="AU231" s="2090"/>
      <c r="AV231" s="2090"/>
      <c r="AW231" s="2090"/>
      <c r="AX231" s="2090"/>
      <c r="AY231" s="2090"/>
      <c r="AZ231" s="2090"/>
      <c r="BA231" s="2090"/>
      <c r="BB231" s="2090"/>
      <c r="BC231" s="2090"/>
      <c r="BD231" s="2090"/>
      <c r="BE231" s="2090"/>
      <c r="BF231" s="2090"/>
      <c r="BG231" s="2090"/>
      <c r="BH231" s="2090"/>
      <c r="BI231" s="2090"/>
      <c r="BJ231" s="2090"/>
      <c r="BK231" s="2090"/>
      <c r="BL231" s="2090"/>
      <c r="BM231" s="2090"/>
      <c r="BN231" s="2090"/>
      <c r="BO231" s="2090"/>
      <c r="BP231" s="2090"/>
      <c r="BQ231" s="2090"/>
      <c r="BR231" s="2090"/>
      <c r="BS231" s="2090"/>
      <c r="BT231" s="2090"/>
      <c r="BU231" s="2090"/>
      <c r="BV231" s="2090"/>
      <c r="BW231" s="2090"/>
      <c r="BX231" s="2090"/>
      <c r="BY231" s="2090"/>
      <c r="BZ231" s="2090"/>
      <c r="CA231" s="2090"/>
      <c r="CB231" s="2090"/>
      <c r="CC231" s="2090"/>
      <c r="CD231" s="2090"/>
      <c r="CE231" s="2090"/>
      <c r="CF231" s="2090"/>
      <c r="CG231" s="2090"/>
      <c r="CH231" s="2090"/>
      <c r="CI231" s="2090"/>
      <c r="CJ231" s="2090"/>
      <c r="CK231" s="2090"/>
      <c r="CL231" s="2090"/>
      <c r="CM231" s="2090"/>
      <c r="CN231" s="2090"/>
      <c r="CO231" s="2090"/>
      <c r="CP231" s="2090"/>
      <c r="CQ231" s="2090"/>
      <c r="CR231" s="2090"/>
      <c r="CS231" s="2090"/>
      <c r="CT231" s="2090"/>
      <c r="CU231" s="2090"/>
      <c r="CV231" s="2090"/>
      <c r="CW231" s="2090"/>
      <c r="CX231" s="2090"/>
      <c r="CY231" s="2090"/>
      <c r="CZ231" s="2090"/>
      <c r="DA231" s="2090"/>
      <c r="DB231" s="2090"/>
      <c r="DC231" s="2090"/>
      <c r="DD231" s="2090"/>
      <c r="DE231" s="2090"/>
      <c r="DF231" s="2090"/>
      <c r="DG231" s="2090"/>
      <c r="DH231" s="2091"/>
      <c r="DI231" s="252"/>
      <c r="DJ231" s="87"/>
      <c r="DK231" s="451"/>
      <c r="DL231" s="451"/>
      <c r="DM231" s="162"/>
      <c r="DN231" s="1856"/>
      <c r="DO231" s="1856"/>
      <c r="DP231" s="1856"/>
      <c r="DQ231" s="1856"/>
      <c r="DR231" s="1856"/>
      <c r="DS231" s="1856"/>
      <c r="DT231" s="1856"/>
      <c r="DU231" s="1856"/>
      <c r="DV231" s="1856"/>
      <c r="DW231" s="1856"/>
      <c r="DX231" s="1856"/>
      <c r="DY231" s="1856"/>
      <c r="DZ231" s="1856"/>
      <c r="EA231" s="1856"/>
      <c r="EB231" s="1856"/>
      <c r="EC231" s="1856"/>
      <c r="ED231" s="1856"/>
      <c r="EE231" s="1856"/>
      <c r="EF231" s="1856"/>
      <c r="EG231" s="1856"/>
      <c r="EH231" s="1856"/>
      <c r="EI231" s="1856"/>
      <c r="EJ231" s="1856"/>
      <c r="EK231" s="1856"/>
      <c r="EL231" s="1856"/>
      <c r="EM231" s="163"/>
      <c r="EN231" s="451"/>
      <c r="EO231" s="1858"/>
      <c r="EP231" s="1859"/>
      <c r="EQ231" s="1859"/>
      <c r="ER231" s="1859"/>
      <c r="ES231" s="1859"/>
      <c r="ET231" s="1859"/>
      <c r="EU231" s="1859"/>
      <c r="EV231" s="1859"/>
      <c r="EW231" s="1859"/>
      <c r="EX231" s="1859"/>
      <c r="EY231" s="1859"/>
      <c r="EZ231" s="1659"/>
      <c r="FA231" s="1657"/>
      <c r="FB231" s="1657"/>
      <c r="FC231" s="1655"/>
      <c r="FD231" s="1655"/>
      <c r="FE231" s="1655"/>
      <c r="FF231" s="1655"/>
      <c r="FG231" s="1655"/>
      <c r="FH231" s="1655"/>
      <c r="FI231" s="1655"/>
      <c r="FJ231" s="1655"/>
      <c r="FK231" s="1655"/>
      <c r="FL231" s="1655"/>
      <c r="FM231" s="1655"/>
      <c r="FN231" s="1655"/>
      <c r="FO231" s="1655"/>
      <c r="FP231" s="1655"/>
    </row>
    <row r="232" spans="1:172" ht="9" customHeight="1" thickBot="1">
      <c r="A232" s="87"/>
      <c r="B232" s="87"/>
      <c r="D232" s="87"/>
      <c r="E232" s="362"/>
      <c r="F232" s="1912"/>
      <c r="G232" s="1912"/>
      <c r="H232" s="1912"/>
      <c r="I232" s="1912"/>
      <c r="J232" s="1912"/>
      <c r="K232" s="1912"/>
      <c r="L232" s="1912"/>
      <c r="M232" s="1912"/>
      <c r="N232" s="1912"/>
      <c r="O232" s="1912"/>
      <c r="P232" s="1912"/>
      <c r="Q232" s="1912"/>
      <c r="R232" s="1912"/>
      <c r="S232" s="1912"/>
      <c r="T232" s="1912"/>
      <c r="U232" s="1912"/>
      <c r="V232" s="1912"/>
      <c r="W232" s="1912"/>
      <c r="X232" s="1912"/>
      <c r="Y232" s="1912"/>
      <c r="Z232" s="1912"/>
      <c r="AA232" s="1912"/>
      <c r="AB232" s="1912"/>
      <c r="AC232" s="1912"/>
      <c r="AD232" s="1912"/>
      <c r="AE232" s="1912"/>
      <c r="AF232" s="1912"/>
      <c r="AG232" s="1912"/>
      <c r="AH232" s="1912"/>
      <c r="AI232" s="1912"/>
      <c r="AJ232" s="1912"/>
      <c r="AK232" s="1912"/>
      <c r="AL232" s="1912"/>
      <c r="AM232" s="1912"/>
      <c r="AN232" s="1912"/>
      <c r="AO232" s="365"/>
      <c r="AP232" s="252"/>
      <c r="AQ232" s="1957"/>
      <c r="AR232" s="1955"/>
      <c r="AS232" s="1955"/>
      <c r="AT232" s="1955"/>
      <c r="AU232" s="1955"/>
      <c r="AV232" s="1955"/>
      <c r="AW232" s="1955"/>
      <c r="AX232" s="1955"/>
      <c r="AY232" s="1955"/>
      <c r="AZ232" s="1955"/>
      <c r="BA232" s="1955"/>
      <c r="BB232" s="1955"/>
      <c r="BC232" s="1955"/>
      <c r="BD232" s="1955"/>
      <c r="BE232" s="1955"/>
      <c r="BF232" s="1955"/>
      <c r="BG232" s="1955"/>
      <c r="BH232" s="1955"/>
      <c r="BI232" s="1955"/>
      <c r="BJ232" s="1955"/>
      <c r="BK232" s="1955"/>
      <c r="BL232" s="1955"/>
      <c r="BM232" s="1955"/>
      <c r="BN232" s="1955"/>
      <c r="BO232" s="1955"/>
      <c r="BP232" s="1955"/>
      <c r="BQ232" s="1955"/>
      <c r="BR232" s="1955"/>
      <c r="BS232" s="1955"/>
      <c r="BT232" s="1955"/>
      <c r="BU232" s="1955"/>
      <c r="BV232" s="1955"/>
      <c r="BW232" s="1955"/>
      <c r="BX232" s="1955"/>
      <c r="BY232" s="1955"/>
      <c r="BZ232" s="1955"/>
      <c r="CA232" s="1955"/>
      <c r="CB232" s="1955"/>
      <c r="CC232" s="1955"/>
      <c r="CD232" s="1955"/>
      <c r="CE232" s="1955"/>
      <c r="CF232" s="1955"/>
      <c r="CG232" s="1955"/>
      <c r="CH232" s="1955"/>
      <c r="CI232" s="1955"/>
      <c r="CJ232" s="1955"/>
      <c r="CK232" s="1955"/>
      <c r="CL232" s="1955"/>
      <c r="CM232" s="1955"/>
      <c r="CN232" s="1955"/>
      <c r="CO232" s="1955"/>
      <c r="CP232" s="1955"/>
      <c r="CQ232" s="1955"/>
      <c r="CR232" s="1955"/>
      <c r="CS232" s="1955"/>
      <c r="CT232" s="1955"/>
      <c r="CU232" s="1955"/>
      <c r="CV232" s="1955"/>
      <c r="CW232" s="1955"/>
      <c r="CX232" s="1955"/>
      <c r="CY232" s="1955"/>
      <c r="CZ232" s="1955"/>
      <c r="DA232" s="1955"/>
      <c r="DB232" s="1955"/>
      <c r="DC232" s="1955"/>
      <c r="DD232" s="1955"/>
      <c r="DE232" s="1955"/>
      <c r="DF232" s="1955"/>
      <c r="DG232" s="1955"/>
      <c r="DH232" s="1956"/>
      <c r="DI232" s="252"/>
      <c r="DJ232" s="87"/>
      <c r="DK232" s="452"/>
      <c r="DL232" s="453"/>
      <c r="DM232" s="162"/>
      <c r="DN232" s="1856"/>
      <c r="DO232" s="1856"/>
      <c r="DP232" s="1856"/>
      <c r="DQ232" s="1856"/>
      <c r="DR232" s="1856"/>
      <c r="DS232" s="1856"/>
      <c r="DT232" s="1856"/>
      <c r="DU232" s="1856"/>
      <c r="DV232" s="1856"/>
      <c r="DW232" s="1856"/>
      <c r="DX232" s="1856"/>
      <c r="DY232" s="1856"/>
      <c r="DZ232" s="1856"/>
      <c r="EA232" s="1856"/>
      <c r="EB232" s="1856"/>
      <c r="EC232" s="1856"/>
      <c r="ED232" s="1856"/>
      <c r="EE232" s="1856"/>
      <c r="EF232" s="1856"/>
      <c r="EG232" s="1856"/>
      <c r="EH232" s="1856"/>
      <c r="EI232" s="1856"/>
      <c r="EJ232" s="1856"/>
      <c r="EK232" s="1856"/>
      <c r="EL232" s="1856"/>
      <c r="EM232" s="163"/>
      <c r="EN232" s="454"/>
      <c r="EO232" s="1860"/>
      <c r="EP232" s="1860"/>
      <c r="EQ232" s="1860"/>
      <c r="ER232" s="1860"/>
      <c r="ES232" s="1860"/>
      <c r="ET232" s="1860"/>
      <c r="EU232" s="1860"/>
      <c r="EV232" s="1860"/>
      <c r="EW232" s="1860"/>
      <c r="EX232" s="1860"/>
      <c r="EY232" s="1860"/>
      <c r="EZ232" s="1659"/>
      <c r="FA232" s="1657"/>
      <c r="FB232" s="1657"/>
      <c r="FC232" s="1655"/>
      <c r="FD232" s="1655"/>
      <c r="FE232" s="1655"/>
      <c r="FF232" s="1655"/>
      <c r="FG232" s="1655"/>
      <c r="FH232" s="1655"/>
      <c r="FI232" s="1655"/>
      <c r="FJ232" s="1655"/>
      <c r="FK232" s="1655"/>
      <c r="FL232" s="1655"/>
      <c r="FM232" s="1655"/>
      <c r="FN232" s="1655"/>
      <c r="FO232" s="1655"/>
      <c r="FP232" s="1655"/>
    </row>
    <row r="233" spans="1:172" ht="9" customHeight="1" thickBot="1">
      <c r="D233" s="87"/>
      <c r="E233" s="362"/>
      <c r="F233" s="1910" t="s">
        <v>4056</v>
      </c>
      <c r="G233" s="1911"/>
      <c r="H233" s="1911"/>
      <c r="I233" s="1911"/>
      <c r="J233" s="1911"/>
      <c r="K233" s="1911"/>
      <c r="L233" s="1911"/>
      <c r="M233" s="1911"/>
      <c r="N233" s="1911"/>
      <c r="O233" s="1911"/>
      <c r="P233" s="1911"/>
      <c r="Q233" s="1911"/>
      <c r="R233" s="1911"/>
      <c r="S233" s="1911"/>
      <c r="T233" s="1911"/>
      <c r="U233" s="1911"/>
      <c r="V233" s="1911"/>
      <c r="W233" s="1911"/>
      <c r="X233" s="1911"/>
      <c r="Y233" s="1911"/>
      <c r="Z233" s="1911"/>
      <c r="AA233" s="1911"/>
      <c r="AB233" s="1911"/>
      <c r="AC233" s="1911"/>
      <c r="AD233" s="1911"/>
      <c r="AE233" s="1911"/>
      <c r="AF233" s="1911"/>
      <c r="AG233" s="1911"/>
      <c r="AH233" s="1911"/>
      <c r="AI233" s="1911"/>
      <c r="AJ233" s="1911"/>
      <c r="AK233" s="1911"/>
      <c r="AL233" s="1911"/>
      <c r="AM233" s="1911"/>
      <c r="AN233" s="1911"/>
      <c r="AO233" s="364"/>
      <c r="AP233" s="252"/>
      <c r="AQ233" s="1957"/>
      <c r="AR233" s="1955"/>
      <c r="AS233" s="1955"/>
      <c r="AT233" s="1955"/>
      <c r="AU233" s="1955"/>
      <c r="AV233" s="1955"/>
      <c r="AW233" s="1955"/>
      <c r="AX233" s="1955"/>
      <c r="AY233" s="1955"/>
      <c r="AZ233" s="1955"/>
      <c r="BA233" s="1955"/>
      <c r="BB233" s="1955"/>
      <c r="BC233" s="1955"/>
      <c r="BD233" s="1955"/>
      <c r="BE233" s="1955"/>
      <c r="BF233" s="1955"/>
      <c r="BG233" s="1955"/>
      <c r="BH233" s="1955"/>
      <c r="BI233" s="1955"/>
      <c r="BJ233" s="1955"/>
      <c r="BK233" s="1955"/>
      <c r="BL233" s="1955"/>
      <c r="BM233" s="1955"/>
      <c r="BN233" s="1955"/>
      <c r="BO233" s="1955"/>
      <c r="BP233" s="1955"/>
      <c r="BQ233" s="1955"/>
      <c r="BR233" s="1955"/>
      <c r="BS233" s="1955"/>
      <c r="BT233" s="1955"/>
      <c r="BU233" s="1955"/>
      <c r="BV233" s="1955"/>
      <c r="BW233" s="1955"/>
      <c r="BX233" s="1955"/>
      <c r="BY233" s="1955"/>
      <c r="BZ233" s="1955"/>
      <c r="CA233" s="1955"/>
      <c r="CB233" s="1955"/>
      <c r="CC233" s="1955"/>
      <c r="CD233" s="1955"/>
      <c r="CE233" s="1955"/>
      <c r="CF233" s="1955"/>
      <c r="CG233" s="1955"/>
      <c r="CH233" s="1955"/>
      <c r="CI233" s="1955"/>
      <c r="CJ233" s="1955"/>
      <c r="CK233" s="1955"/>
      <c r="CL233" s="1955"/>
      <c r="CM233" s="1955"/>
      <c r="CN233" s="1955"/>
      <c r="CO233" s="1955"/>
      <c r="CP233" s="1955"/>
      <c r="CQ233" s="1955"/>
      <c r="CR233" s="1955"/>
      <c r="CS233" s="1955"/>
      <c r="CT233" s="1955"/>
      <c r="CU233" s="1955"/>
      <c r="CV233" s="1955"/>
      <c r="CW233" s="1955"/>
      <c r="CX233" s="1955"/>
      <c r="CY233" s="1955"/>
      <c r="CZ233" s="1955"/>
      <c r="DA233" s="1955"/>
      <c r="DB233" s="1955"/>
      <c r="DC233" s="1955"/>
      <c r="DD233" s="1955"/>
      <c r="DE233" s="1955"/>
      <c r="DF233" s="1955"/>
      <c r="DG233" s="1955"/>
      <c r="DH233" s="1956"/>
      <c r="DI233" s="109"/>
      <c r="DJ233" s="87"/>
      <c r="DK233" s="105"/>
      <c r="DL233" s="105"/>
      <c r="DM233" s="154"/>
      <c r="DN233" s="1857"/>
      <c r="DO233" s="1857"/>
      <c r="DP233" s="1857"/>
      <c r="DQ233" s="1857"/>
      <c r="DR233" s="1857"/>
      <c r="DS233" s="1857"/>
      <c r="DT233" s="1857"/>
      <c r="DU233" s="1857"/>
      <c r="DV233" s="1857"/>
      <c r="DW233" s="1857"/>
      <c r="DX233" s="1857"/>
      <c r="DY233" s="1857"/>
      <c r="DZ233" s="1857"/>
      <c r="EA233" s="1857"/>
      <c r="EB233" s="1857"/>
      <c r="EC233" s="1857"/>
      <c r="ED233" s="1857"/>
      <c r="EE233" s="1857"/>
      <c r="EF233" s="1857"/>
      <c r="EG233" s="1857"/>
      <c r="EH233" s="1857"/>
      <c r="EI233" s="1857"/>
      <c r="EJ233" s="1857"/>
      <c r="EK233" s="1857"/>
      <c r="EL233" s="1857"/>
      <c r="EM233" s="153"/>
      <c r="EN233" s="105"/>
      <c r="EO233" s="252"/>
      <c r="EP233" s="252"/>
      <c r="EQ233" s="252"/>
      <c r="ER233" s="252"/>
      <c r="ES233" s="252"/>
      <c r="ET233" s="252"/>
      <c r="EU233" s="252"/>
      <c r="EV233" s="252"/>
      <c r="EW233" s="252"/>
      <c r="EX233" s="252"/>
      <c r="EY233" s="252"/>
      <c r="EZ233" s="1660"/>
      <c r="FA233" s="384"/>
      <c r="FB233" s="384"/>
      <c r="FC233" s="1655"/>
      <c r="FD233" s="1655"/>
      <c r="FE233" s="1655"/>
      <c r="FF233" s="1655"/>
      <c r="FG233" s="1655"/>
      <c r="FH233" s="1655"/>
      <c r="FI233" s="1655"/>
      <c r="FJ233" s="1655"/>
      <c r="FK233" s="1655"/>
      <c r="FL233" s="1655"/>
      <c r="FM233" s="1655"/>
      <c r="FN233" s="1655"/>
      <c r="FO233" s="1655"/>
      <c r="FP233" s="1655"/>
    </row>
    <row r="234" spans="1:172" ht="9" customHeight="1" thickTop="1">
      <c r="D234" s="87"/>
      <c r="E234" s="362"/>
      <c r="F234" s="1911"/>
      <c r="G234" s="1911"/>
      <c r="H234" s="1911"/>
      <c r="I234" s="1911"/>
      <c r="J234" s="1911"/>
      <c r="K234" s="1911"/>
      <c r="L234" s="1911"/>
      <c r="M234" s="1911"/>
      <c r="N234" s="1911"/>
      <c r="O234" s="1911"/>
      <c r="P234" s="1911"/>
      <c r="Q234" s="1911"/>
      <c r="R234" s="1911"/>
      <c r="S234" s="1911"/>
      <c r="T234" s="1911"/>
      <c r="U234" s="1911"/>
      <c r="V234" s="1911"/>
      <c r="W234" s="1911"/>
      <c r="X234" s="1911"/>
      <c r="Y234" s="1911"/>
      <c r="Z234" s="1911"/>
      <c r="AA234" s="1911"/>
      <c r="AB234" s="1911"/>
      <c r="AC234" s="1911"/>
      <c r="AD234" s="1911"/>
      <c r="AE234" s="1911"/>
      <c r="AF234" s="1911"/>
      <c r="AG234" s="1911"/>
      <c r="AH234" s="1911"/>
      <c r="AI234" s="1911"/>
      <c r="AJ234" s="1911"/>
      <c r="AK234" s="1911"/>
      <c r="AL234" s="1911"/>
      <c r="AM234" s="1911"/>
      <c r="AN234" s="1911"/>
      <c r="AO234" s="365"/>
      <c r="AP234" s="109"/>
      <c r="AQ234" s="1957"/>
      <c r="AR234" s="1955"/>
      <c r="AS234" s="1955"/>
      <c r="AT234" s="1955"/>
      <c r="AU234" s="1955"/>
      <c r="AV234" s="1955"/>
      <c r="AW234" s="1955"/>
      <c r="AX234" s="1955"/>
      <c r="AY234" s="1955"/>
      <c r="AZ234" s="1955"/>
      <c r="BA234" s="1955"/>
      <c r="BB234" s="1955"/>
      <c r="BC234" s="1955"/>
      <c r="BD234" s="1955"/>
      <c r="BE234" s="1955"/>
      <c r="BF234" s="1955"/>
      <c r="BG234" s="1955"/>
      <c r="BH234" s="1955"/>
      <c r="BI234" s="1955"/>
      <c r="BJ234" s="1955"/>
      <c r="BK234" s="1955"/>
      <c r="BL234" s="1955"/>
      <c r="BM234" s="1955"/>
      <c r="BN234" s="1955"/>
      <c r="BO234" s="1955"/>
      <c r="BP234" s="1955"/>
      <c r="BQ234" s="1955"/>
      <c r="BR234" s="1955"/>
      <c r="BS234" s="1955"/>
      <c r="BT234" s="1955"/>
      <c r="BU234" s="1955"/>
      <c r="BV234" s="1955"/>
      <c r="BW234" s="1955"/>
      <c r="BX234" s="1955"/>
      <c r="BY234" s="1955"/>
      <c r="BZ234" s="1955"/>
      <c r="CA234" s="1955"/>
      <c r="CB234" s="1955"/>
      <c r="CC234" s="1955"/>
      <c r="CD234" s="1955"/>
      <c r="CE234" s="1955"/>
      <c r="CF234" s="1955"/>
      <c r="CG234" s="1955"/>
      <c r="CH234" s="1955"/>
      <c r="CI234" s="1955"/>
      <c r="CJ234" s="1955"/>
      <c r="CK234" s="1955"/>
      <c r="CL234" s="1955"/>
      <c r="CM234" s="1955"/>
      <c r="CN234" s="1955"/>
      <c r="CO234" s="1955"/>
      <c r="CP234" s="1955"/>
      <c r="CQ234" s="1955"/>
      <c r="CR234" s="1955"/>
      <c r="CS234" s="1955"/>
      <c r="CT234" s="1955"/>
      <c r="CU234" s="1955"/>
      <c r="CV234" s="1955"/>
      <c r="CW234" s="1955"/>
      <c r="CX234" s="1955"/>
      <c r="CY234" s="1955"/>
      <c r="CZ234" s="1955"/>
      <c r="DA234" s="1955"/>
      <c r="DB234" s="1955"/>
      <c r="DC234" s="1955"/>
      <c r="DD234" s="1955"/>
      <c r="DE234" s="1955"/>
      <c r="DF234" s="1955"/>
      <c r="DG234" s="1955"/>
      <c r="DH234" s="1956"/>
      <c r="DI234" s="252"/>
      <c r="DJ234" s="87"/>
      <c r="DK234" s="87"/>
      <c r="DL234" s="109"/>
      <c r="DM234" s="109"/>
      <c r="DN234" s="1580"/>
      <c r="DO234" s="1580"/>
      <c r="DP234" s="1580"/>
      <c r="DQ234" s="1580"/>
      <c r="DR234" s="1580"/>
      <c r="DS234" s="1580"/>
      <c r="DT234" s="109"/>
      <c r="DU234" s="109"/>
      <c r="DV234" s="109"/>
      <c r="DW234" s="109"/>
      <c r="DX234" s="109"/>
      <c r="DY234" s="109"/>
      <c r="DZ234" s="109"/>
      <c r="EA234" s="109"/>
      <c r="EB234" s="109"/>
      <c r="EC234" s="109"/>
      <c r="ED234" s="109"/>
      <c r="EE234" s="109"/>
      <c r="EF234" s="109"/>
      <c r="EG234" s="109"/>
      <c r="EH234" s="109"/>
      <c r="EI234" s="109"/>
      <c r="EJ234" s="109"/>
      <c r="EK234" s="109"/>
      <c r="EL234" s="109"/>
      <c r="EM234" s="109"/>
      <c r="EN234" s="109"/>
      <c r="EO234" s="109"/>
      <c r="EP234" s="109"/>
      <c r="EQ234" s="109"/>
      <c r="ER234" s="109"/>
      <c r="ES234" s="109"/>
      <c r="ET234" s="109"/>
      <c r="EU234" s="109"/>
      <c r="EV234" s="109"/>
      <c r="EW234" s="109"/>
      <c r="EX234" s="109"/>
      <c r="EY234" s="109"/>
      <c r="EZ234" s="109"/>
      <c r="FA234" s="109"/>
      <c r="FB234" s="109"/>
      <c r="FC234" s="1655"/>
      <c r="FD234" s="1655"/>
      <c r="FE234" s="1655"/>
      <c r="FF234" s="1655"/>
      <c r="FG234" s="1655"/>
      <c r="FH234" s="1655"/>
      <c r="FI234" s="1655"/>
      <c r="FJ234" s="1655"/>
      <c r="FK234" s="1655"/>
      <c r="FL234" s="1655"/>
      <c r="FM234" s="1655"/>
      <c r="FN234" s="1655"/>
      <c r="FO234" s="1655"/>
      <c r="FP234" s="1655"/>
    </row>
    <row r="235" spans="1:172" ht="9" customHeight="1" thickBot="1">
      <c r="D235" s="87"/>
      <c r="E235" s="362"/>
      <c r="F235" s="1912"/>
      <c r="G235" s="1912"/>
      <c r="H235" s="1912"/>
      <c r="I235" s="1912"/>
      <c r="J235" s="1912"/>
      <c r="K235" s="1912"/>
      <c r="L235" s="1912"/>
      <c r="M235" s="1912"/>
      <c r="N235" s="1912"/>
      <c r="O235" s="1912"/>
      <c r="P235" s="1912"/>
      <c r="Q235" s="1912"/>
      <c r="R235" s="1912"/>
      <c r="S235" s="1912"/>
      <c r="T235" s="1912"/>
      <c r="U235" s="1912"/>
      <c r="V235" s="1912"/>
      <c r="W235" s="1912"/>
      <c r="X235" s="1912"/>
      <c r="Y235" s="1912"/>
      <c r="Z235" s="1912"/>
      <c r="AA235" s="1912"/>
      <c r="AB235" s="1912"/>
      <c r="AC235" s="1912"/>
      <c r="AD235" s="1912"/>
      <c r="AE235" s="1912"/>
      <c r="AF235" s="1912"/>
      <c r="AG235" s="1912"/>
      <c r="AH235" s="1912"/>
      <c r="AI235" s="1912"/>
      <c r="AJ235" s="1912"/>
      <c r="AK235" s="1912"/>
      <c r="AL235" s="1912"/>
      <c r="AM235" s="1912"/>
      <c r="AN235" s="1912"/>
      <c r="AO235" s="365"/>
      <c r="AP235" s="252"/>
      <c r="AQ235" s="1954" t="str">
        <f>IF(Background&lt;&gt;"None",INDEX(BackgroundData,MATCH(Background,BackgroundList,0),4),"")</f>
        <v/>
      </c>
      <c r="AR235" s="1955"/>
      <c r="AS235" s="1955"/>
      <c r="AT235" s="1955"/>
      <c r="AU235" s="1955"/>
      <c r="AV235" s="1955"/>
      <c r="AW235" s="1955"/>
      <c r="AX235" s="1955"/>
      <c r="AY235" s="1955"/>
      <c r="AZ235" s="1955"/>
      <c r="BA235" s="1955"/>
      <c r="BB235" s="1955"/>
      <c r="BC235" s="1955"/>
      <c r="BD235" s="1955"/>
      <c r="BE235" s="1955"/>
      <c r="BF235" s="1955"/>
      <c r="BG235" s="1955"/>
      <c r="BH235" s="1955"/>
      <c r="BI235" s="1955"/>
      <c r="BJ235" s="1955"/>
      <c r="BK235" s="1955"/>
      <c r="BL235" s="1955"/>
      <c r="BM235" s="1955"/>
      <c r="BN235" s="1955"/>
      <c r="BO235" s="1955"/>
      <c r="BP235" s="1955"/>
      <c r="BQ235" s="1955"/>
      <c r="BR235" s="1955"/>
      <c r="BS235" s="1955"/>
      <c r="BT235" s="1955"/>
      <c r="BU235" s="1955"/>
      <c r="BV235" s="1955"/>
      <c r="BW235" s="1955"/>
      <c r="BX235" s="1955"/>
      <c r="BY235" s="1955"/>
      <c r="BZ235" s="1955"/>
      <c r="CA235" s="1955"/>
      <c r="CB235" s="1955"/>
      <c r="CC235" s="1955"/>
      <c r="CD235" s="1955"/>
      <c r="CE235" s="1955"/>
      <c r="CF235" s="1955"/>
      <c r="CG235" s="1955"/>
      <c r="CH235" s="1955"/>
      <c r="CI235" s="1955"/>
      <c r="CJ235" s="1955"/>
      <c r="CK235" s="1955"/>
      <c r="CL235" s="1955"/>
      <c r="CM235" s="1955"/>
      <c r="CN235" s="1955"/>
      <c r="CO235" s="1955"/>
      <c r="CP235" s="1955"/>
      <c r="CQ235" s="1955"/>
      <c r="CR235" s="1955"/>
      <c r="CS235" s="1955"/>
      <c r="CT235" s="1955"/>
      <c r="CU235" s="1955"/>
      <c r="CV235" s="1955"/>
      <c r="CW235" s="1955"/>
      <c r="CX235" s="1955"/>
      <c r="CY235" s="1955"/>
      <c r="CZ235" s="1955"/>
      <c r="DA235" s="1955"/>
      <c r="DB235" s="1955"/>
      <c r="DC235" s="1955"/>
      <c r="DD235" s="1955"/>
      <c r="DE235" s="1955"/>
      <c r="DF235" s="1955"/>
      <c r="DG235" s="1955"/>
      <c r="DH235" s="1956"/>
      <c r="DI235" s="252"/>
      <c r="DJ235" s="252"/>
      <c r="DK235" s="1961" t="str">
        <f>IF(Race="","",IF(NOT(ISERROR(FF235)),MID(StarshipManeuversTaken,FF231+1,FF235-FF231-1),""))</f>
        <v/>
      </c>
      <c r="DL235" s="1962"/>
      <c r="DM235" s="1962"/>
      <c r="DN235" s="1962"/>
      <c r="DO235" s="1962"/>
      <c r="DP235" s="1962"/>
      <c r="DQ235" s="1962"/>
      <c r="DR235" s="1962"/>
      <c r="DS235" s="1962"/>
      <c r="DT235" s="1962"/>
      <c r="DU235" s="1962"/>
      <c r="DV235" s="1962"/>
      <c r="DW235" s="1962"/>
      <c r="DX235" s="1962"/>
      <c r="DY235" s="1962"/>
      <c r="DZ235" s="1962"/>
      <c r="EA235" s="1962"/>
      <c r="EB235" s="1962"/>
      <c r="EC235" s="1962"/>
      <c r="ED235" s="1962"/>
      <c r="EE235" s="1962"/>
      <c r="EF235" s="1962"/>
      <c r="EG235" s="1962"/>
      <c r="EH235" s="1962"/>
      <c r="EI235" s="1962"/>
      <c r="EJ235" s="1962"/>
      <c r="EK235" s="1962"/>
      <c r="EL235" s="1962"/>
      <c r="EM235" s="1962"/>
      <c r="EN235" s="1962"/>
      <c r="EO235" s="1962"/>
      <c r="EP235" s="1962"/>
      <c r="EQ235" s="1962"/>
      <c r="ER235" s="1962"/>
      <c r="ES235" s="1962"/>
      <c r="ET235" s="1962"/>
      <c r="EU235" s="1962"/>
      <c r="EV235" s="1962"/>
      <c r="EW235" s="1962"/>
      <c r="EX235" s="1962"/>
      <c r="EY235" s="1962"/>
      <c r="FC235" s="1655"/>
      <c r="FD235" s="1655"/>
      <c r="FE235" s="1655"/>
      <c r="FF235" s="1853" t="e">
        <f>FIND(";",StarshipManeuversTaken,1)</f>
        <v>#VALUE!</v>
      </c>
      <c r="FG235" s="1655"/>
      <c r="FH235" s="1655"/>
      <c r="FI235" s="1655"/>
      <c r="FJ235" s="1655"/>
      <c r="FK235" s="1655"/>
      <c r="FL235" s="1655"/>
      <c r="FM235" s="1655"/>
      <c r="FN235" s="1655"/>
      <c r="FO235" s="1655"/>
      <c r="FP235" s="1655"/>
    </row>
    <row r="236" spans="1:172" ht="9" customHeight="1">
      <c r="D236" s="87"/>
      <c r="E236" s="362"/>
      <c r="F236" s="1951" t="s">
        <v>4352</v>
      </c>
      <c r="G236" s="1911"/>
      <c r="H236" s="1911"/>
      <c r="I236" s="1911"/>
      <c r="J236" s="1911"/>
      <c r="K236" s="1911"/>
      <c r="L236" s="1911"/>
      <c r="M236" s="1911"/>
      <c r="N236" s="1911"/>
      <c r="O236" s="1911"/>
      <c r="P236" s="1911"/>
      <c r="Q236" s="1911"/>
      <c r="R236" s="1911"/>
      <c r="S236" s="1911"/>
      <c r="T236" s="1911"/>
      <c r="U236" s="1911"/>
      <c r="V236" s="1911"/>
      <c r="W236" s="1911"/>
      <c r="X236" s="1911"/>
      <c r="Y236" s="1911"/>
      <c r="Z236" s="1911"/>
      <c r="AA236" s="1911"/>
      <c r="AB236" s="1911"/>
      <c r="AC236" s="1911"/>
      <c r="AD236" s="1911"/>
      <c r="AE236" s="1911"/>
      <c r="AF236" s="1911"/>
      <c r="AG236" s="1911"/>
      <c r="AH236" s="1911"/>
      <c r="AI236" s="1911"/>
      <c r="AJ236" s="1911"/>
      <c r="AK236" s="1911"/>
      <c r="AL236" s="1911"/>
      <c r="AM236" s="1911"/>
      <c r="AN236" s="1911"/>
      <c r="AO236" s="364"/>
      <c r="AP236" s="252"/>
      <c r="AQ236" s="1957"/>
      <c r="AR236" s="1955"/>
      <c r="AS236" s="1955"/>
      <c r="AT236" s="1955"/>
      <c r="AU236" s="1955"/>
      <c r="AV236" s="1955"/>
      <c r="AW236" s="1955"/>
      <c r="AX236" s="1955"/>
      <c r="AY236" s="1955"/>
      <c r="AZ236" s="1955"/>
      <c r="BA236" s="1955"/>
      <c r="BB236" s="1955"/>
      <c r="BC236" s="1955"/>
      <c r="BD236" s="1955"/>
      <c r="BE236" s="1955"/>
      <c r="BF236" s="1955"/>
      <c r="BG236" s="1955"/>
      <c r="BH236" s="1955"/>
      <c r="BI236" s="1955"/>
      <c r="BJ236" s="1955"/>
      <c r="BK236" s="1955"/>
      <c r="BL236" s="1955"/>
      <c r="BM236" s="1955"/>
      <c r="BN236" s="1955"/>
      <c r="BO236" s="1955"/>
      <c r="BP236" s="1955"/>
      <c r="BQ236" s="1955"/>
      <c r="BR236" s="1955"/>
      <c r="BS236" s="1955"/>
      <c r="BT236" s="1955"/>
      <c r="BU236" s="1955"/>
      <c r="BV236" s="1955"/>
      <c r="BW236" s="1955"/>
      <c r="BX236" s="1955"/>
      <c r="BY236" s="1955"/>
      <c r="BZ236" s="1955"/>
      <c r="CA236" s="1955"/>
      <c r="CB236" s="1955"/>
      <c r="CC236" s="1955"/>
      <c r="CD236" s="1955"/>
      <c r="CE236" s="1955"/>
      <c r="CF236" s="1955"/>
      <c r="CG236" s="1955"/>
      <c r="CH236" s="1955"/>
      <c r="CI236" s="1955"/>
      <c r="CJ236" s="1955"/>
      <c r="CK236" s="1955"/>
      <c r="CL236" s="1955"/>
      <c r="CM236" s="1955"/>
      <c r="CN236" s="1955"/>
      <c r="CO236" s="1955"/>
      <c r="CP236" s="1955"/>
      <c r="CQ236" s="1955"/>
      <c r="CR236" s="1955"/>
      <c r="CS236" s="1955"/>
      <c r="CT236" s="1955"/>
      <c r="CU236" s="1955"/>
      <c r="CV236" s="1955"/>
      <c r="CW236" s="1955"/>
      <c r="CX236" s="1955"/>
      <c r="CY236" s="1955"/>
      <c r="CZ236" s="1955"/>
      <c r="DA236" s="1955"/>
      <c r="DB236" s="1955"/>
      <c r="DC236" s="1955"/>
      <c r="DD236" s="1955"/>
      <c r="DE236" s="1955"/>
      <c r="DF236" s="1955"/>
      <c r="DG236" s="1955"/>
      <c r="DH236" s="1956"/>
      <c r="DI236" s="252"/>
      <c r="DJ236" s="252"/>
      <c r="DK236" s="1962"/>
      <c r="DL236" s="1962"/>
      <c r="DM236" s="1962"/>
      <c r="DN236" s="1962"/>
      <c r="DO236" s="1962"/>
      <c r="DP236" s="1962"/>
      <c r="DQ236" s="1962"/>
      <c r="DR236" s="1962"/>
      <c r="DS236" s="1962"/>
      <c r="DT236" s="1962"/>
      <c r="DU236" s="1962"/>
      <c r="DV236" s="1962"/>
      <c r="DW236" s="1962"/>
      <c r="DX236" s="1962"/>
      <c r="DY236" s="1962"/>
      <c r="DZ236" s="1962"/>
      <c r="EA236" s="1962"/>
      <c r="EB236" s="1962"/>
      <c r="EC236" s="1962"/>
      <c r="ED236" s="1962"/>
      <c r="EE236" s="1962"/>
      <c r="EF236" s="1962"/>
      <c r="EG236" s="1962"/>
      <c r="EH236" s="1962"/>
      <c r="EI236" s="1962"/>
      <c r="EJ236" s="1962"/>
      <c r="EK236" s="1962"/>
      <c r="EL236" s="1962"/>
      <c r="EM236" s="1962"/>
      <c r="EN236" s="1962"/>
      <c r="EO236" s="1962"/>
      <c r="EP236" s="1962"/>
      <c r="EQ236" s="1962"/>
      <c r="ER236" s="1962"/>
      <c r="ES236" s="1962"/>
      <c r="ET236" s="1962"/>
      <c r="EU236" s="1962"/>
      <c r="EV236" s="1962"/>
      <c r="EW236" s="1962"/>
      <c r="EX236" s="1962"/>
      <c r="EY236" s="1962"/>
      <c r="FC236" s="1655"/>
      <c r="FD236" s="1655"/>
      <c r="FE236" s="1655"/>
      <c r="FF236" s="1853"/>
      <c r="FG236" s="1655"/>
      <c r="FH236" s="1655"/>
      <c r="FI236" s="1655"/>
      <c r="FJ236" s="1655"/>
      <c r="FK236" s="1655"/>
      <c r="FL236" s="1655"/>
      <c r="FM236" s="1655"/>
      <c r="FN236" s="1655"/>
      <c r="FO236" s="1655"/>
      <c r="FP236" s="1655"/>
    </row>
    <row r="237" spans="1:172" ht="9" customHeight="1">
      <c r="D237" s="87"/>
      <c r="E237" s="362"/>
      <c r="F237" s="1911"/>
      <c r="G237" s="1911"/>
      <c r="H237" s="1911"/>
      <c r="I237" s="1911"/>
      <c r="J237" s="1911"/>
      <c r="K237" s="1911"/>
      <c r="L237" s="1911"/>
      <c r="M237" s="1911"/>
      <c r="N237" s="1911"/>
      <c r="O237" s="1911"/>
      <c r="P237" s="1911"/>
      <c r="Q237" s="1911"/>
      <c r="R237" s="1911"/>
      <c r="S237" s="1911"/>
      <c r="T237" s="1911"/>
      <c r="U237" s="1911"/>
      <c r="V237" s="1911"/>
      <c r="W237" s="1911"/>
      <c r="X237" s="1911"/>
      <c r="Y237" s="1911"/>
      <c r="Z237" s="1911"/>
      <c r="AA237" s="1911"/>
      <c r="AB237" s="1911"/>
      <c r="AC237" s="1911"/>
      <c r="AD237" s="1911"/>
      <c r="AE237" s="1911"/>
      <c r="AF237" s="1911"/>
      <c r="AG237" s="1911"/>
      <c r="AH237" s="1911"/>
      <c r="AI237" s="1911"/>
      <c r="AJ237" s="1911"/>
      <c r="AK237" s="1911"/>
      <c r="AL237" s="1911"/>
      <c r="AM237" s="1911"/>
      <c r="AN237" s="1911"/>
      <c r="AO237" s="365"/>
      <c r="AP237" s="252"/>
      <c r="AQ237" s="1957"/>
      <c r="AR237" s="1955"/>
      <c r="AS237" s="1955"/>
      <c r="AT237" s="1955"/>
      <c r="AU237" s="1955"/>
      <c r="AV237" s="1955"/>
      <c r="AW237" s="1955"/>
      <c r="AX237" s="1955"/>
      <c r="AY237" s="1955"/>
      <c r="AZ237" s="1955"/>
      <c r="BA237" s="1955"/>
      <c r="BB237" s="1955"/>
      <c r="BC237" s="1955"/>
      <c r="BD237" s="1955"/>
      <c r="BE237" s="1955"/>
      <c r="BF237" s="1955"/>
      <c r="BG237" s="1955"/>
      <c r="BH237" s="1955"/>
      <c r="BI237" s="1955"/>
      <c r="BJ237" s="1955"/>
      <c r="BK237" s="1955"/>
      <c r="BL237" s="1955"/>
      <c r="BM237" s="1955"/>
      <c r="BN237" s="1955"/>
      <c r="BO237" s="1955"/>
      <c r="BP237" s="1955"/>
      <c r="BQ237" s="1955"/>
      <c r="BR237" s="1955"/>
      <c r="BS237" s="1955"/>
      <c r="BT237" s="1955"/>
      <c r="BU237" s="1955"/>
      <c r="BV237" s="1955"/>
      <c r="BW237" s="1955"/>
      <c r="BX237" s="1955"/>
      <c r="BY237" s="1955"/>
      <c r="BZ237" s="1955"/>
      <c r="CA237" s="1955"/>
      <c r="CB237" s="1955"/>
      <c r="CC237" s="1955"/>
      <c r="CD237" s="1955"/>
      <c r="CE237" s="1955"/>
      <c r="CF237" s="1955"/>
      <c r="CG237" s="1955"/>
      <c r="CH237" s="1955"/>
      <c r="CI237" s="1955"/>
      <c r="CJ237" s="1955"/>
      <c r="CK237" s="1955"/>
      <c r="CL237" s="1955"/>
      <c r="CM237" s="1955"/>
      <c r="CN237" s="1955"/>
      <c r="CO237" s="1955"/>
      <c r="CP237" s="1955"/>
      <c r="CQ237" s="1955"/>
      <c r="CR237" s="1955"/>
      <c r="CS237" s="1955"/>
      <c r="CT237" s="1955"/>
      <c r="CU237" s="1955"/>
      <c r="CV237" s="1955"/>
      <c r="CW237" s="1955"/>
      <c r="CX237" s="1955"/>
      <c r="CY237" s="1955"/>
      <c r="CZ237" s="1955"/>
      <c r="DA237" s="1955"/>
      <c r="DB237" s="1955"/>
      <c r="DC237" s="1955"/>
      <c r="DD237" s="1955"/>
      <c r="DE237" s="1955"/>
      <c r="DF237" s="1955"/>
      <c r="DG237" s="1955"/>
      <c r="DH237" s="1956"/>
      <c r="DI237" s="109"/>
      <c r="DJ237" s="109"/>
      <c r="DK237" s="1962"/>
      <c r="DL237" s="1962"/>
      <c r="DM237" s="1962"/>
      <c r="DN237" s="1962"/>
      <c r="DO237" s="1962"/>
      <c r="DP237" s="1962"/>
      <c r="DQ237" s="1962"/>
      <c r="DR237" s="1962"/>
      <c r="DS237" s="1962"/>
      <c r="DT237" s="1962"/>
      <c r="DU237" s="1962"/>
      <c r="DV237" s="1962"/>
      <c r="DW237" s="1962"/>
      <c r="DX237" s="1962"/>
      <c r="DY237" s="1962"/>
      <c r="DZ237" s="1962"/>
      <c r="EA237" s="1962"/>
      <c r="EB237" s="1962"/>
      <c r="EC237" s="1962"/>
      <c r="ED237" s="1962"/>
      <c r="EE237" s="1962"/>
      <c r="EF237" s="1962"/>
      <c r="EG237" s="1962"/>
      <c r="EH237" s="1962"/>
      <c r="EI237" s="1962"/>
      <c r="EJ237" s="1962"/>
      <c r="EK237" s="1962"/>
      <c r="EL237" s="1962"/>
      <c r="EM237" s="1962"/>
      <c r="EN237" s="1962"/>
      <c r="EO237" s="1962"/>
      <c r="EP237" s="1962"/>
      <c r="EQ237" s="1962"/>
      <c r="ER237" s="1962"/>
      <c r="ES237" s="1962"/>
      <c r="ET237" s="1962"/>
      <c r="EU237" s="1962"/>
      <c r="EV237" s="1962"/>
      <c r="EW237" s="1962"/>
      <c r="EX237" s="1962"/>
      <c r="EY237" s="1962"/>
      <c r="FF237" s="1853"/>
    </row>
    <row r="238" spans="1:172" ht="9" customHeight="1" thickBot="1">
      <c r="D238" s="87"/>
      <c r="E238" s="362"/>
      <c r="F238" s="1912"/>
      <c r="G238" s="1912"/>
      <c r="H238" s="1912"/>
      <c r="I238" s="1912"/>
      <c r="J238" s="1912"/>
      <c r="K238" s="1912"/>
      <c r="L238" s="1912"/>
      <c r="M238" s="1912"/>
      <c r="N238" s="1912"/>
      <c r="O238" s="1912"/>
      <c r="P238" s="1912"/>
      <c r="Q238" s="1912"/>
      <c r="R238" s="1912"/>
      <c r="S238" s="1912"/>
      <c r="T238" s="1912"/>
      <c r="U238" s="1912"/>
      <c r="V238" s="1912"/>
      <c r="W238" s="1912"/>
      <c r="X238" s="1912"/>
      <c r="Y238" s="1912"/>
      <c r="Z238" s="1912"/>
      <c r="AA238" s="1912"/>
      <c r="AB238" s="1912"/>
      <c r="AC238" s="1912"/>
      <c r="AD238" s="1912"/>
      <c r="AE238" s="1912"/>
      <c r="AF238" s="1912"/>
      <c r="AG238" s="1912"/>
      <c r="AH238" s="1912"/>
      <c r="AI238" s="1912"/>
      <c r="AJ238" s="1912"/>
      <c r="AK238" s="1912"/>
      <c r="AL238" s="1912"/>
      <c r="AM238" s="1912"/>
      <c r="AN238" s="1912"/>
      <c r="AO238" s="365"/>
      <c r="AP238" s="109"/>
      <c r="AQ238" s="1957"/>
      <c r="AR238" s="1955"/>
      <c r="AS238" s="1955"/>
      <c r="AT238" s="1955"/>
      <c r="AU238" s="1955"/>
      <c r="AV238" s="1955"/>
      <c r="AW238" s="1955"/>
      <c r="AX238" s="1955"/>
      <c r="AY238" s="1955"/>
      <c r="AZ238" s="1955"/>
      <c r="BA238" s="1955"/>
      <c r="BB238" s="1955"/>
      <c r="BC238" s="1955"/>
      <c r="BD238" s="1955"/>
      <c r="BE238" s="1955"/>
      <c r="BF238" s="1955"/>
      <c r="BG238" s="1955"/>
      <c r="BH238" s="1955"/>
      <c r="BI238" s="1955"/>
      <c r="BJ238" s="1955"/>
      <c r="BK238" s="1955"/>
      <c r="BL238" s="1955"/>
      <c r="BM238" s="1955"/>
      <c r="BN238" s="1955"/>
      <c r="BO238" s="1955"/>
      <c r="BP238" s="1955"/>
      <c r="BQ238" s="1955"/>
      <c r="BR238" s="1955"/>
      <c r="BS238" s="1955"/>
      <c r="BT238" s="1955"/>
      <c r="BU238" s="1955"/>
      <c r="BV238" s="1955"/>
      <c r="BW238" s="1955"/>
      <c r="BX238" s="1955"/>
      <c r="BY238" s="1955"/>
      <c r="BZ238" s="1955"/>
      <c r="CA238" s="1955"/>
      <c r="CB238" s="1955"/>
      <c r="CC238" s="1955"/>
      <c r="CD238" s="1955"/>
      <c r="CE238" s="1955"/>
      <c r="CF238" s="1955"/>
      <c r="CG238" s="1955"/>
      <c r="CH238" s="1955"/>
      <c r="CI238" s="1955"/>
      <c r="CJ238" s="1955"/>
      <c r="CK238" s="1955"/>
      <c r="CL238" s="1955"/>
      <c r="CM238" s="1955"/>
      <c r="CN238" s="1955"/>
      <c r="CO238" s="1955"/>
      <c r="CP238" s="1955"/>
      <c r="CQ238" s="1955"/>
      <c r="CR238" s="1955"/>
      <c r="CS238" s="1955"/>
      <c r="CT238" s="1955"/>
      <c r="CU238" s="1955"/>
      <c r="CV238" s="1955"/>
      <c r="CW238" s="1955"/>
      <c r="CX238" s="1955"/>
      <c r="CY238" s="1955"/>
      <c r="CZ238" s="1955"/>
      <c r="DA238" s="1955"/>
      <c r="DB238" s="1955"/>
      <c r="DC238" s="1955"/>
      <c r="DD238" s="1955"/>
      <c r="DE238" s="1955"/>
      <c r="DF238" s="1955"/>
      <c r="DG238" s="1955"/>
      <c r="DH238" s="1956"/>
      <c r="DI238" s="252"/>
      <c r="DJ238" s="252"/>
      <c r="DK238" s="1963"/>
      <c r="DL238" s="1963"/>
      <c r="DM238" s="1963"/>
      <c r="DN238" s="1963"/>
      <c r="DO238" s="1963"/>
      <c r="DP238" s="1963"/>
      <c r="DQ238" s="1963"/>
      <c r="DR238" s="1963"/>
      <c r="DS238" s="1963"/>
      <c r="DT238" s="1963"/>
      <c r="DU238" s="1963"/>
      <c r="DV238" s="1963"/>
      <c r="DW238" s="1963"/>
      <c r="DX238" s="1963"/>
      <c r="DY238" s="1963"/>
      <c r="DZ238" s="1963"/>
      <c r="EA238" s="1963"/>
      <c r="EB238" s="1963"/>
      <c r="EC238" s="1963"/>
      <c r="ED238" s="1963"/>
      <c r="EE238" s="1963"/>
      <c r="EF238" s="1963"/>
      <c r="EG238" s="1963"/>
      <c r="EH238" s="1963"/>
      <c r="EI238" s="1963"/>
      <c r="EJ238" s="1963"/>
      <c r="EK238" s="1963"/>
      <c r="EL238" s="1963"/>
      <c r="EM238" s="1963"/>
      <c r="EN238" s="1963"/>
      <c r="EO238" s="1963"/>
      <c r="EP238" s="1963"/>
      <c r="EQ238" s="1963"/>
      <c r="ER238" s="1963"/>
      <c r="ES238" s="1963"/>
      <c r="ET238" s="1963"/>
      <c r="EU238" s="1963"/>
      <c r="EV238" s="1963"/>
      <c r="EW238" s="1963"/>
      <c r="EX238" s="1963"/>
      <c r="EY238" s="1963"/>
      <c r="FF238" s="1854"/>
    </row>
    <row r="239" spans="1:172" ht="9" customHeight="1">
      <c r="D239" s="87"/>
      <c r="E239" s="362"/>
      <c r="F239" s="1910" t="s">
        <v>3627</v>
      </c>
      <c r="G239" s="1911"/>
      <c r="H239" s="1911"/>
      <c r="I239" s="1911"/>
      <c r="J239" s="1911"/>
      <c r="K239" s="1911"/>
      <c r="L239" s="1911"/>
      <c r="M239" s="1911"/>
      <c r="N239" s="1911"/>
      <c r="O239" s="1911"/>
      <c r="P239" s="1911"/>
      <c r="Q239" s="1911"/>
      <c r="R239" s="1911"/>
      <c r="S239" s="1911"/>
      <c r="T239" s="1911"/>
      <c r="U239" s="1911"/>
      <c r="V239" s="1911"/>
      <c r="W239" s="1911"/>
      <c r="X239" s="1911"/>
      <c r="Y239" s="1911"/>
      <c r="Z239" s="1911"/>
      <c r="AA239" s="1911"/>
      <c r="AB239" s="1911"/>
      <c r="AC239" s="1911"/>
      <c r="AD239" s="1911"/>
      <c r="AE239" s="1911"/>
      <c r="AF239" s="1911"/>
      <c r="AG239" s="1911"/>
      <c r="AH239" s="1911"/>
      <c r="AI239" s="1911"/>
      <c r="AJ239" s="1911"/>
      <c r="AK239" s="1911"/>
      <c r="AL239" s="1911"/>
      <c r="AM239" s="1911"/>
      <c r="AN239" s="1911"/>
      <c r="AO239" s="365"/>
      <c r="AP239" s="252"/>
      <c r="AQ239" s="1954" t="str">
        <f>IF(Background&lt;&gt;"None",INDEX(BackgroundData,MATCH(Background,BackgroundList,0),4),"")</f>
        <v/>
      </c>
      <c r="AR239" s="1955"/>
      <c r="AS239" s="1955"/>
      <c r="AT239" s="1955"/>
      <c r="AU239" s="1955"/>
      <c r="AV239" s="1955"/>
      <c r="AW239" s="1955"/>
      <c r="AX239" s="1955"/>
      <c r="AY239" s="1955"/>
      <c r="AZ239" s="1955"/>
      <c r="BA239" s="1955"/>
      <c r="BB239" s="1955"/>
      <c r="BC239" s="1955"/>
      <c r="BD239" s="1955"/>
      <c r="BE239" s="1955"/>
      <c r="BF239" s="1955"/>
      <c r="BG239" s="1955"/>
      <c r="BH239" s="1955"/>
      <c r="BI239" s="1955"/>
      <c r="BJ239" s="1955"/>
      <c r="BK239" s="1955"/>
      <c r="BL239" s="1955"/>
      <c r="BM239" s="1955"/>
      <c r="BN239" s="1955"/>
      <c r="BO239" s="1955"/>
      <c r="BP239" s="1955"/>
      <c r="BQ239" s="1955"/>
      <c r="BR239" s="1955"/>
      <c r="BS239" s="1955"/>
      <c r="BT239" s="1955"/>
      <c r="BU239" s="1955"/>
      <c r="BV239" s="1955"/>
      <c r="BW239" s="1955"/>
      <c r="BX239" s="1955"/>
      <c r="BY239" s="1955"/>
      <c r="BZ239" s="1955"/>
      <c r="CA239" s="1955"/>
      <c r="CB239" s="1955"/>
      <c r="CC239" s="1955"/>
      <c r="CD239" s="1955"/>
      <c r="CE239" s="1955"/>
      <c r="CF239" s="1955"/>
      <c r="CG239" s="1955"/>
      <c r="CH239" s="1955"/>
      <c r="CI239" s="1955"/>
      <c r="CJ239" s="1955"/>
      <c r="CK239" s="1955"/>
      <c r="CL239" s="1955"/>
      <c r="CM239" s="1955"/>
      <c r="CN239" s="1955"/>
      <c r="CO239" s="1955"/>
      <c r="CP239" s="1955"/>
      <c r="CQ239" s="1955"/>
      <c r="CR239" s="1955"/>
      <c r="CS239" s="1955"/>
      <c r="CT239" s="1955"/>
      <c r="CU239" s="1955"/>
      <c r="CV239" s="1955"/>
      <c r="CW239" s="1955"/>
      <c r="CX239" s="1955"/>
      <c r="CY239" s="1955"/>
      <c r="CZ239" s="1955"/>
      <c r="DA239" s="1955"/>
      <c r="DB239" s="1955"/>
      <c r="DC239" s="1955"/>
      <c r="DD239" s="1955"/>
      <c r="DE239" s="1955"/>
      <c r="DF239" s="1955"/>
      <c r="DG239" s="1955"/>
      <c r="DH239" s="1956"/>
      <c r="DI239" s="252"/>
      <c r="DJ239" s="252"/>
      <c r="DK239" s="1961" t="str">
        <f>IF(Race="","",IF(NOT(ISERROR(FF239)),MID(StarshipManeuversTaken,FF235+1,FF239-FF235-1),""))</f>
        <v/>
      </c>
      <c r="DL239" s="1962"/>
      <c r="DM239" s="1962"/>
      <c r="DN239" s="1962"/>
      <c r="DO239" s="1962"/>
      <c r="DP239" s="1962"/>
      <c r="DQ239" s="1962"/>
      <c r="DR239" s="1962"/>
      <c r="DS239" s="1962"/>
      <c r="DT239" s="1962"/>
      <c r="DU239" s="1962"/>
      <c r="DV239" s="1962"/>
      <c r="DW239" s="1962"/>
      <c r="DX239" s="1962"/>
      <c r="DY239" s="1962"/>
      <c r="DZ239" s="1962"/>
      <c r="EA239" s="1962"/>
      <c r="EB239" s="1962"/>
      <c r="EC239" s="1962"/>
      <c r="ED239" s="1962"/>
      <c r="EE239" s="1962"/>
      <c r="EF239" s="1962"/>
      <c r="EG239" s="1962"/>
      <c r="EH239" s="1962"/>
      <c r="EI239" s="1962"/>
      <c r="EJ239" s="1962"/>
      <c r="EK239" s="1962"/>
      <c r="EL239" s="1962"/>
      <c r="EM239" s="1962"/>
      <c r="EN239" s="1962"/>
      <c r="EO239" s="1962"/>
      <c r="EP239" s="1962"/>
      <c r="EQ239" s="1962"/>
      <c r="ER239" s="1962"/>
      <c r="ES239" s="1962"/>
      <c r="ET239" s="1962"/>
      <c r="EU239" s="1962"/>
      <c r="EV239" s="1962"/>
      <c r="EW239" s="1962"/>
      <c r="EX239" s="1962"/>
      <c r="EY239" s="1962"/>
      <c r="FF239" s="1853" t="e">
        <f>FIND(";",StarshipManeuversTaken,FF235+1)</f>
        <v>#VALUE!</v>
      </c>
    </row>
    <row r="240" spans="1:172" ht="9" customHeight="1">
      <c r="D240" s="87"/>
      <c r="E240" s="362"/>
      <c r="F240" s="1911"/>
      <c r="G240" s="1911"/>
      <c r="H240" s="1911"/>
      <c r="I240" s="1911"/>
      <c r="J240" s="1911"/>
      <c r="K240" s="1911"/>
      <c r="L240" s="1911"/>
      <c r="M240" s="1911"/>
      <c r="N240" s="1911"/>
      <c r="O240" s="1911"/>
      <c r="P240" s="1911"/>
      <c r="Q240" s="1911"/>
      <c r="R240" s="1911"/>
      <c r="S240" s="1911"/>
      <c r="T240" s="1911"/>
      <c r="U240" s="1911"/>
      <c r="V240" s="1911"/>
      <c r="W240" s="1911"/>
      <c r="X240" s="1911"/>
      <c r="Y240" s="1911"/>
      <c r="Z240" s="1911"/>
      <c r="AA240" s="1911"/>
      <c r="AB240" s="1911"/>
      <c r="AC240" s="1911"/>
      <c r="AD240" s="1911"/>
      <c r="AE240" s="1911"/>
      <c r="AF240" s="1911"/>
      <c r="AG240" s="1911"/>
      <c r="AH240" s="1911"/>
      <c r="AI240" s="1911"/>
      <c r="AJ240" s="1911"/>
      <c r="AK240" s="1911"/>
      <c r="AL240" s="1911"/>
      <c r="AM240" s="1911"/>
      <c r="AN240" s="1911"/>
      <c r="AO240" s="364"/>
      <c r="AP240" s="252"/>
      <c r="AQ240" s="1957"/>
      <c r="AR240" s="1955"/>
      <c r="AS240" s="1955"/>
      <c r="AT240" s="1955"/>
      <c r="AU240" s="1955"/>
      <c r="AV240" s="1955"/>
      <c r="AW240" s="1955"/>
      <c r="AX240" s="1955"/>
      <c r="AY240" s="1955"/>
      <c r="AZ240" s="1955"/>
      <c r="BA240" s="1955"/>
      <c r="BB240" s="1955"/>
      <c r="BC240" s="1955"/>
      <c r="BD240" s="1955"/>
      <c r="BE240" s="1955"/>
      <c r="BF240" s="1955"/>
      <c r="BG240" s="1955"/>
      <c r="BH240" s="1955"/>
      <c r="BI240" s="1955"/>
      <c r="BJ240" s="1955"/>
      <c r="BK240" s="1955"/>
      <c r="BL240" s="1955"/>
      <c r="BM240" s="1955"/>
      <c r="BN240" s="1955"/>
      <c r="BO240" s="1955"/>
      <c r="BP240" s="1955"/>
      <c r="BQ240" s="1955"/>
      <c r="BR240" s="1955"/>
      <c r="BS240" s="1955"/>
      <c r="BT240" s="1955"/>
      <c r="BU240" s="1955"/>
      <c r="BV240" s="1955"/>
      <c r="BW240" s="1955"/>
      <c r="BX240" s="1955"/>
      <c r="BY240" s="1955"/>
      <c r="BZ240" s="1955"/>
      <c r="CA240" s="1955"/>
      <c r="CB240" s="1955"/>
      <c r="CC240" s="1955"/>
      <c r="CD240" s="1955"/>
      <c r="CE240" s="1955"/>
      <c r="CF240" s="1955"/>
      <c r="CG240" s="1955"/>
      <c r="CH240" s="1955"/>
      <c r="CI240" s="1955"/>
      <c r="CJ240" s="1955"/>
      <c r="CK240" s="1955"/>
      <c r="CL240" s="1955"/>
      <c r="CM240" s="1955"/>
      <c r="CN240" s="1955"/>
      <c r="CO240" s="1955"/>
      <c r="CP240" s="1955"/>
      <c r="CQ240" s="1955"/>
      <c r="CR240" s="1955"/>
      <c r="CS240" s="1955"/>
      <c r="CT240" s="1955"/>
      <c r="CU240" s="1955"/>
      <c r="CV240" s="1955"/>
      <c r="CW240" s="1955"/>
      <c r="CX240" s="1955"/>
      <c r="CY240" s="1955"/>
      <c r="CZ240" s="1955"/>
      <c r="DA240" s="1955"/>
      <c r="DB240" s="1955"/>
      <c r="DC240" s="1955"/>
      <c r="DD240" s="1955"/>
      <c r="DE240" s="1955"/>
      <c r="DF240" s="1955"/>
      <c r="DG240" s="1955"/>
      <c r="DH240" s="1956"/>
      <c r="DI240" s="252"/>
      <c r="DJ240" s="252"/>
      <c r="DK240" s="1962"/>
      <c r="DL240" s="1962"/>
      <c r="DM240" s="1962"/>
      <c r="DN240" s="1962"/>
      <c r="DO240" s="1962"/>
      <c r="DP240" s="1962"/>
      <c r="DQ240" s="1962"/>
      <c r="DR240" s="1962"/>
      <c r="DS240" s="1962"/>
      <c r="DT240" s="1962"/>
      <c r="DU240" s="1962"/>
      <c r="DV240" s="1962"/>
      <c r="DW240" s="1962"/>
      <c r="DX240" s="1962"/>
      <c r="DY240" s="1962"/>
      <c r="DZ240" s="1962"/>
      <c r="EA240" s="1962"/>
      <c r="EB240" s="1962"/>
      <c r="EC240" s="1962"/>
      <c r="ED240" s="1962"/>
      <c r="EE240" s="1962"/>
      <c r="EF240" s="1962"/>
      <c r="EG240" s="1962"/>
      <c r="EH240" s="1962"/>
      <c r="EI240" s="1962"/>
      <c r="EJ240" s="1962"/>
      <c r="EK240" s="1962"/>
      <c r="EL240" s="1962"/>
      <c r="EM240" s="1962"/>
      <c r="EN240" s="1962"/>
      <c r="EO240" s="1962"/>
      <c r="EP240" s="1962"/>
      <c r="EQ240" s="1962"/>
      <c r="ER240" s="1962"/>
      <c r="ES240" s="1962"/>
      <c r="ET240" s="1962"/>
      <c r="EU240" s="1962"/>
      <c r="EV240" s="1962"/>
      <c r="EW240" s="1962"/>
      <c r="EX240" s="1962"/>
      <c r="EY240" s="1962"/>
      <c r="FF240" s="1853"/>
    </row>
    <row r="241" spans="3:162" ht="9" customHeight="1" thickBot="1">
      <c r="D241" s="87"/>
      <c r="E241" s="362"/>
      <c r="F241" s="1912"/>
      <c r="G241" s="1912"/>
      <c r="H241" s="1912"/>
      <c r="I241" s="1912"/>
      <c r="J241" s="1912"/>
      <c r="K241" s="1912"/>
      <c r="L241" s="1912"/>
      <c r="M241" s="1912"/>
      <c r="N241" s="1912"/>
      <c r="O241" s="1912"/>
      <c r="P241" s="1912"/>
      <c r="Q241" s="1912"/>
      <c r="R241" s="1912"/>
      <c r="S241" s="1912"/>
      <c r="T241" s="1912"/>
      <c r="U241" s="1912"/>
      <c r="V241" s="1912"/>
      <c r="W241" s="1912"/>
      <c r="X241" s="1912"/>
      <c r="Y241" s="1912"/>
      <c r="Z241" s="1912"/>
      <c r="AA241" s="1912"/>
      <c r="AB241" s="1912"/>
      <c r="AC241" s="1912"/>
      <c r="AD241" s="1912"/>
      <c r="AE241" s="1912"/>
      <c r="AF241" s="1912"/>
      <c r="AG241" s="1912"/>
      <c r="AH241" s="1912"/>
      <c r="AI241" s="1912"/>
      <c r="AJ241" s="1912"/>
      <c r="AK241" s="1912"/>
      <c r="AL241" s="1912"/>
      <c r="AM241" s="1912"/>
      <c r="AN241" s="1912"/>
      <c r="AO241" s="365"/>
      <c r="AP241" s="252"/>
      <c r="AQ241" s="1957"/>
      <c r="AR241" s="1955"/>
      <c r="AS241" s="1955"/>
      <c r="AT241" s="1955"/>
      <c r="AU241" s="1955"/>
      <c r="AV241" s="1955"/>
      <c r="AW241" s="1955"/>
      <c r="AX241" s="1955"/>
      <c r="AY241" s="1955"/>
      <c r="AZ241" s="1955"/>
      <c r="BA241" s="1955"/>
      <c r="BB241" s="1955"/>
      <c r="BC241" s="1955"/>
      <c r="BD241" s="1955"/>
      <c r="BE241" s="1955"/>
      <c r="BF241" s="1955"/>
      <c r="BG241" s="1955"/>
      <c r="BH241" s="1955"/>
      <c r="BI241" s="1955"/>
      <c r="BJ241" s="1955"/>
      <c r="BK241" s="1955"/>
      <c r="BL241" s="1955"/>
      <c r="BM241" s="1955"/>
      <c r="BN241" s="1955"/>
      <c r="BO241" s="1955"/>
      <c r="BP241" s="1955"/>
      <c r="BQ241" s="1955"/>
      <c r="BR241" s="1955"/>
      <c r="BS241" s="1955"/>
      <c r="BT241" s="1955"/>
      <c r="BU241" s="1955"/>
      <c r="BV241" s="1955"/>
      <c r="BW241" s="1955"/>
      <c r="BX241" s="1955"/>
      <c r="BY241" s="1955"/>
      <c r="BZ241" s="1955"/>
      <c r="CA241" s="1955"/>
      <c r="CB241" s="1955"/>
      <c r="CC241" s="1955"/>
      <c r="CD241" s="1955"/>
      <c r="CE241" s="1955"/>
      <c r="CF241" s="1955"/>
      <c r="CG241" s="1955"/>
      <c r="CH241" s="1955"/>
      <c r="CI241" s="1955"/>
      <c r="CJ241" s="1955"/>
      <c r="CK241" s="1955"/>
      <c r="CL241" s="1955"/>
      <c r="CM241" s="1955"/>
      <c r="CN241" s="1955"/>
      <c r="CO241" s="1955"/>
      <c r="CP241" s="1955"/>
      <c r="CQ241" s="1955"/>
      <c r="CR241" s="1955"/>
      <c r="CS241" s="1955"/>
      <c r="CT241" s="1955"/>
      <c r="CU241" s="1955"/>
      <c r="CV241" s="1955"/>
      <c r="CW241" s="1955"/>
      <c r="CX241" s="1955"/>
      <c r="CY241" s="1955"/>
      <c r="CZ241" s="1955"/>
      <c r="DA241" s="1955"/>
      <c r="DB241" s="1955"/>
      <c r="DC241" s="1955"/>
      <c r="DD241" s="1955"/>
      <c r="DE241" s="1955"/>
      <c r="DF241" s="1955"/>
      <c r="DG241" s="1955"/>
      <c r="DH241" s="1956"/>
      <c r="DI241" s="109"/>
      <c r="DJ241" s="109"/>
      <c r="DK241" s="1962"/>
      <c r="DL241" s="1962"/>
      <c r="DM241" s="1962"/>
      <c r="DN241" s="1962"/>
      <c r="DO241" s="1962"/>
      <c r="DP241" s="1962"/>
      <c r="DQ241" s="1962"/>
      <c r="DR241" s="1962"/>
      <c r="DS241" s="1962"/>
      <c r="DT241" s="1962"/>
      <c r="DU241" s="1962"/>
      <c r="DV241" s="1962"/>
      <c r="DW241" s="1962"/>
      <c r="DX241" s="1962"/>
      <c r="DY241" s="1962"/>
      <c r="DZ241" s="1962"/>
      <c r="EA241" s="1962"/>
      <c r="EB241" s="1962"/>
      <c r="EC241" s="1962"/>
      <c r="ED241" s="1962"/>
      <c r="EE241" s="1962"/>
      <c r="EF241" s="1962"/>
      <c r="EG241" s="1962"/>
      <c r="EH241" s="1962"/>
      <c r="EI241" s="1962"/>
      <c r="EJ241" s="1962"/>
      <c r="EK241" s="1962"/>
      <c r="EL241" s="1962"/>
      <c r="EM241" s="1962"/>
      <c r="EN241" s="1962"/>
      <c r="EO241" s="1962"/>
      <c r="EP241" s="1962"/>
      <c r="EQ241" s="1962"/>
      <c r="ER241" s="1962"/>
      <c r="ES241" s="1962"/>
      <c r="ET241" s="1962"/>
      <c r="EU241" s="1962"/>
      <c r="EV241" s="1962"/>
      <c r="EW241" s="1962"/>
      <c r="EX241" s="1962"/>
      <c r="EY241" s="1962"/>
      <c r="FF241" s="1853"/>
    </row>
    <row r="242" spans="3:162" ht="9" customHeight="1" thickBot="1">
      <c r="D242" s="87"/>
      <c r="E242" s="362"/>
      <c r="F242" s="1910" t="s">
        <v>3628</v>
      </c>
      <c r="G242" s="1911"/>
      <c r="H242" s="1911"/>
      <c r="I242" s="1911"/>
      <c r="J242" s="1911"/>
      <c r="K242" s="1911"/>
      <c r="L242" s="1911"/>
      <c r="M242" s="1911"/>
      <c r="N242" s="1911"/>
      <c r="O242" s="1911"/>
      <c r="P242" s="1911"/>
      <c r="Q242" s="1911"/>
      <c r="R242" s="1911"/>
      <c r="S242" s="1911"/>
      <c r="T242" s="1911"/>
      <c r="U242" s="1911"/>
      <c r="V242" s="1911"/>
      <c r="W242" s="1911"/>
      <c r="X242" s="1911"/>
      <c r="Y242" s="1911"/>
      <c r="Z242" s="1911"/>
      <c r="AA242" s="1911"/>
      <c r="AB242" s="1911"/>
      <c r="AC242" s="1911"/>
      <c r="AD242" s="1911"/>
      <c r="AE242" s="1911"/>
      <c r="AF242" s="1911"/>
      <c r="AG242" s="1911"/>
      <c r="AH242" s="1911"/>
      <c r="AI242" s="1911"/>
      <c r="AJ242" s="1911"/>
      <c r="AK242" s="1911"/>
      <c r="AL242" s="1911"/>
      <c r="AM242" s="1911"/>
      <c r="AN242" s="1911"/>
      <c r="AO242" s="365"/>
      <c r="AP242" s="109"/>
      <c r="AQ242" s="1957"/>
      <c r="AR242" s="1955"/>
      <c r="AS242" s="1955"/>
      <c r="AT242" s="1955"/>
      <c r="AU242" s="1955"/>
      <c r="AV242" s="1955"/>
      <c r="AW242" s="1955"/>
      <c r="AX242" s="1955"/>
      <c r="AY242" s="1955"/>
      <c r="AZ242" s="1955"/>
      <c r="BA242" s="1955"/>
      <c r="BB242" s="1955"/>
      <c r="BC242" s="1955"/>
      <c r="BD242" s="1955"/>
      <c r="BE242" s="1955"/>
      <c r="BF242" s="1955"/>
      <c r="BG242" s="1955"/>
      <c r="BH242" s="1955"/>
      <c r="BI242" s="1955"/>
      <c r="BJ242" s="1955"/>
      <c r="BK242" s="1955"/>
      <c r="BL242" s="1955"/>
      <c r="BM242" s="1955"/>
      <c r="BN242" s="1955"/>
      <c r="BO242" s="1955"/>
      <c r="BP242" s="1955"/>
      <c r="BQ242" s="1955"/>
      <c r="BR242" s="1955"/>
      <c r="BS242" s="1955"/>
      <c r="BT242" s="1955"/>
      <c r="BU242" s="1955"/>
      <c r="BV242" s="1955"/>
      <c r="BW242" s="1955"/>
      <c r="BX242" s="1955"/>
      <c r="BY242" s="1955"/>
      <c r="BZ242" s="1955"/>
      <c r="CA242" s="1955"/>
      <c r="CB242" s="1955"/>
      <c r="CC242" s="1955"/>
      <c r="CD242" s="1955"/>
      <c r="CE242" s="1955"/>
      <c r="CF242" s="1955"/>
      <c r="CG242" s="1955"/>
      <c r="CH242" s="1955"/>
      <c r="CI242" s="1955"/>
      <c r="CJ242" s="1955"/>
      <c r="CK242" s="1955"/>
      <c r="CL242" s="1955"/>
      <c r="CM242" s="1955"/>
      <c r="CN242" s="1955"/>
      <c r="CO242" s="1955"/>
      <c r="CP242" s="1955"/>
      <c r="CQ242" s="1955"/>
      <c r="CR242" s="1955"/>
      <c r="CS242" s="1955"/>
      <c r="CT242" s="1955"/>
      <c r="CU242" s="1955"/>
      <c r="CV242" s="1955"/>
      <c r="CW242" s="1955"/>
      <c r="CX242" s="1955"/>
      <c r="CY242" s="1955"/>
      <c r="CZ242" s="1955"/>
      <c r="DA242" s="1955"/>
      <c r="DB242" s="1955"/>
      <c r="DC242" s="1955"/>
      <c r="DD242" s="1955"/>
      <c r="DE242" s="1955"/>
      <c r="DF242" s="1955"/>
      <c r="DG242" s="1955"/>
      <c r="DH242" s="1956"/>
      <c r="DI242" s="252"/>
      <c r="DJ242" s="252"/>
      <c r="DK242" s="1963"/>
      <c r="DL242" s="1963"/>
      <c r="DM242" s="1963"/>
      <c r="DN242" s="1963"/>
      <c r="DO242" s="1963"/>
      <c r="DP242" s="1963"/>
      <c r="DQ242" s="1963"/>
      <c r="DR242" s="1963"/>
      <c r="DS242" s="1963"/>
      <c r="DT242" s="1963"/>
      <c r="DU242" s="1963"/>
      <c r="DV242" s="1963"/>
      <c r="DW242" s="1963"/>
      <c r="DX242" s="1963"/>
      <c r="DY242" s="1963"/>
      <c r="DZ242" s="1963"/>
      <c r="EA242" s="1963"/>
      <c r="EB242" s="1963"/>
      <c r="EC242" s="1963"/>
      <c r="ED242" s="1963"/>
      <c r="EE242" s="1963"/>
      <c r="EF242" s="1963"/>
      <c r="EG242" s="1963"/>
      <c r="EH242" s="1963"/>
      <c r="EI242" s="1963"/>
      <c r="EJ242" s="1963"/>
      <c r="EK242" s="1963"/>
      <c r="EL242" s="1963"/>
      <c r="EM242" s="1963"/>
      <c r="EN242" s="1963"/>
      <c r="EO242" s="1963"/>
      <c r="EP242" s="1963"/>
      <c r="EQ242" s="1963"/>
      <c r="ER242" s="1963"/>
      <c r="ES242" s="1963"/>
      <c r="ET242" s="1963"/>
      <c r="EU242" s="1963"/>
      <c r="EV242" s="1963"/>
      <c r="EW242" s="1963"/>
      <c r="EX242" s="1963"/>
      <c r="EY242" s="1963"/>
      <c r="FF242" s="1854"/>
    </row>
    <row r="243" spans="3:162" ht="9" customHeight="1">
      <c r="D243" s="87"/>
      <c r="E243" s="362"/>
      <c r="F243" s="1911"/>
      <c r="G243" s="1911"/>
      <c r="H243" s="1911"/>
      <c r="I243" s="1911"/>
      <c r="J243" s="1911"/>
      <c r="K243" s="1911"/>
      <c r="L243" s="1911"/>
      <c r="M243" s="1911"/>
      <c r="N243" s="1911"/>
      <c r="O243" s="1911"/>
      <c r="P243" s="1911"/>
      <c r="Q243" s="1911"/>
      <c r="R243" s="1911"/>
      <c r="S243" s="1911"/>
      <c r="T243" s="1911"/>
      <c r="U243" s="1911"/>
      <c r="V243" s="1911"/>
      <c r="W243" s="1911"/>
      <c r="X243" s="1911"/>
      <c r="Y243" s="1911"/>
      <c r="Z243" s="1911"/>
      <c r="AA243" s="1911"/>
      <c r="AB243" s="1911"/>
      <c r="AC243" s="1911"/>
      <c r="AD243" s="1911"/>
      <c r="AE243" s="1911"/>
      <c r="AF243" s="1911"/>
      <c r="AG243" s="1911"/>
      <c r="AH243" s="1911"/>
      <c r="AI243" s="1911"/>
      <c r="AJ243" s="1911"/>
      <c r="AK243" s="1911"/>
      <c r="AL243" s="1911"/>
      <c r="AM243" s="1911"/>
      <c r="AN243" s="1911"/>
      <c r="AO243" s="365"/>
      <c r="AP243" s="252"/>
      <c r="AQ243" s="1954" t="str">
        <f>IF(Background&lt;&gt;"None",INDEX(BackgroundData,MATCH(Background,BackgroundList,0),4),"")</f>
        <v/>
      </c>
      <c r="AR243" s="1955"/>
      <c r="AS243" s="1955"/>
      <c r="AT243" s="1955"/>
      <c r="AU243" s="1955"/>
      <c r="AV243" s="1955"/>
      <c r="AW243" s="1955"/>
      <c r="AX243" s="1955"/>
      <c r="AY243" s="1955"/>
      <c r="AZ243" s="1955"/>
      <c r="BA243" s="1955"/>
      <c r="BB243" s="1955"/>
      <c r="BC243" s="1955"/>
      <c r="BD243" s="1955"/>
      <c r="BE243" s="1955"/>
      <c r="BF243" s="1955"/>
      <c r="BG243" s="1955"/>
      <c r="BH243" s="1955"/>
      <c r="BI243" s="1955"/>
      <c r="BJ243" s="1955"/>
      <c r="BK243" s="1955"/>
      <c r="BL243" s="1955"/>
      <c r="BM243" s="1955"/>
      <c r="BN243" s="1955"/>
      <c r="BO243" s="1955"/>
      <c r="BP243" s="1955"/>
      <c r="BQ243" s="1955"/>
      <c r="BR243" s="1955"/>
      <c r="BS243" s="1955"/>
      <c r="BT243" s="1955"/>
      <c r="BU243" s="1955"/>
      <c r="BV243" s="1955"/>
      <c r="BW243" s="1955"/>
      <c r="BX243" s="1955"/>
      <c r="BY243" s="1955"/>
      <c r="BZ243" s="1955"/>
      <c r="CA243" s="1955"/>
      <c r="CB243" s="1955"/>
      <c r="CC243" s="1955"/>
      <c r="CD243" s="1955"/>
      <c r="CE243" s="1955"/>
      <c r="CF243" s="1955"/>
      <c r="CG243" s="1955"/>
      <c r="CH243" s="1955"/>
      <c r="CI243" s="1955"/>
      <c r="CJ243" s="1955"/>
      <c r="CK243" s="1955"/>
      <c r="CL243" s="1955"/>
      <c r="CM243" s="1955"/>
      <c r="CN243" s="1955"/>
      <c r="CO243" s="1955"/>
      <c r="CP243" s="1955"/>
      <c r="CQ243" s="1955"/>
      <c r="CR243" s="1955"/>
      <c r="CS243" s="1955"/>
      <c r="CT243" s="1955"/>
      <c r="CU243" s="1955"/>
      <c r="CV243" s="1955"/>
      <c r="CW243" s="1955"/>
      <c r="CX243" s="1955"/>
      <c r="CY243" s="1955"/>
      <c r="CZ243" s="1955"/>
      <c r="DA243" s="1955"/>
      <c r="DB243" s="1955"/>
      <c r="DC243" s="1955"/>
      <c r="DD243" s="1955"/>
      <c r="DE243" s="1955"/>
      <c r="DF243" s="1955"/>
      <c r="DG243" s="1955"/>
      <c r="DH243" s="1956"/>
      <c r="DI243" s="252"/>
      <c r="DJ243" s="252"/>
      <c r="DK243" s="1961" t="str">
        <f>IF(Race="","",IF(NOT(ISERROR(FF243)),MID(StarshipManeuversTaken,FF239+1,FF243-FF239-1),""))</f>
        <v/>
      </c>
      <c r="DL243" s="1962"/>
      <c r="DM243" s="1962"/>
      <c r="DN243" s="1962"/>
      <c r="DO243" s="1962"/>
      <c r="DP243" s="1962"/>
      <c r="DQ243" s="1962"/>
      <c r="DR243" s="1962"/>
      <c r="DS243" s="1962"/>
      <c r="DT243" s="1962"/>
      <c r="DU243" s="1962"/>
      <c r="DV243" s="1962"/>
      <c r="DW243" s="1962"/>
      <c r="DX243" s="1962"/>
      <c r="DY243" s="1962"/>
      <c r="DZ243" s="1962"/>
      <c r="EA243" s="1962"/>
      <c r="EB243" s="1962"/>
      <c r="EC243" s="1962"/>
      <c r="ED243" s="1962"/>
      <c r="EE243" s="1962"/>
      <c r="EF243" s="1962"/>
      <c r="EG243" s="1962"/>
      <c r="EH243" s="1962"/>
      <c r="EI243" s="1962"/>
      <c r="EJ243" s="1962"/>
      <c r="EK243" s="1962"/>
      <c r="EL243" s="1962"/>
      <c r="EM243" s="1962"/>
      <c r="EN243" s="1962"/>
      <c r="EO243" s="1962"/>
      <c r="EP243" s="1962"/>
      <c r="EQ243" s="1962"/>
      <c r="ER243" s="1962"/>
      <c r="ES243" s="1962"/>
      <c r="ET243" s="1962"/>
      <c r="EU243" s="1962"/>
      <c r="EV243" s="1962"/>
      <c r="EW243" s="1962"/>
      <c r="EX243" s="1962"/>
      <c r="EY243" s="1962"/>
      <c r="FF243" s="1853" t="e">
        <f>FIND(";",StarshipManeuversTaken,FF239+1)</f>
        <v>#VALUE!</v>
      </c>
    </row>
    <row r="244" spans="3:162" ht="9" customHeight="1" thickBot="1">
      <c r="D244" s="87"/>
      <c r="E244" s="362"/>
      <c r="F244" s="1912"/>
      <c r="G244" s="1912"/>
      <c r="H244" s="1912"/>
      <c r="I244" s="1912"/>
      <c r="J244" s="1912"/>
      <c r="K244" s="1912"/>
      <c r="L244" s="1912"/>
      <c r="M244" s="1912"/>
      <c r="N244" s="1912"/>
      <c r="O244" s="1912"/>
      <c r="P244" s="1912"/>
      <c r="Q244" s="1912"/>
      <c r="R244" s="1912"/>
      <c r="S244" s="1912"/>
      <c r="T244" s="1912"/>
      <c r="U244" s="1912"/>
      <c r="V244" s="1912"/>
      <c r="W244" s="1912"/>
      <c r="X244" s="1912"/>
      <c r="Y244" s="1912"/>
      <c r="Z244" s="1912"/>
      <c r="AA244" s="1912"/>
      <c r="AB244" s="1912"/>
      <c r="AC244" s="1912"/>
      <c r="AD244" s="1912"/>
      <c r="AE244" s="1912"/>
      <c r="AF244" s="1912"/>
      <c r="AG244" s="1912"/>
      <c r="AH244" s="1912"/>
      <c r="AI244" s="1912"/>
      <c r="AJ244" s="1912"/>
      <c r="AK244" s="1912"/>
      <c r="AL244" s="1912"/>
      <c r="AM244" s="1912"/>
      <c r="AN244" s="1912"/>
      <c r="AO244" s="364"/>
      <c r="AP244" s="252"/>
      <c r="AQ244" s="1957"/>
      <c r="AR244" s="1955"/>
      <c r="AS244" s="1955"/>
      <c r="AT244" s="1955"/>
      <c r="AU244" s="1955"/>
      <c r="AV244" s="1955"/>
      <c r="AW244" s="1955"/>
      <c r="AX244" s="1955"/>
      <c r="AY244" s="1955"/>
      <c r="AZ244" s="1955"/>
      <c r="BA244" s="1955"/>
      <c r="BB244" s="1955"/>
      <c r="BC244" s="1955"/>
      <c r="BD244" s="1955"/>
      <c r="BE244" s="1955"/>
      <c r="BF244" s="1955"/>
      <c r="BG244" s="1955"/>
      <c r="BH244" s="1955"/>
      <c r="BI244" s="1955"/>
      <c r="BJ244" s="1955"/>
      <c r="BK244" s="1955"/>
      <c r="BL244" s="1955"/>
      <c r="BM244" s="1955"/>
      <c r="BN244" s="1955"/>
      <c r="BO244" s="1955"/>
      <c r="BP244" s="1955"/>
      <c r="BQ244" s="1955"/>
      <c r="BR244" s="1955"/>
      <c r="BS244" s="1955"/>
      <c r="BT244" s="1955"/>
      <c r="BU244" s="1955"/>
      <c r="BV244" s="1955"/>
      <c r="BW244" s="1955"/>
      <c r="BX244" s="1955"/>
      <c r="BY244" s="1955"/>
      <c r="BZ244" s="1955"/>
      <c r="CA244" s="1955"/>
      <c r="CB244" s="1955"/>
      <c r="CC244" s="1955"/>
      <c r="CD244" s="1955"/>
      <c r="CE244" s="1955"/>
      <c r="CF244" s="1955"/>
      <c r="CG244" s="1955"/>
      <c r="CH244" s="1955"/>
      <c r="CI244" s="1955"/>
      <c r="CJ244" s="1955"/>
      <c r="CK244" s="1955"/>
      <c r="CL244" s="1955"/>
      <c r="CM244" s="1955"/>
      <c r="CN244" s="1955"/>
      <c r="CO244" s="1955"/>
      <c r="CP244" s="1955"/>
      <c r="CQ244" s="1955"/>
      <c r="CR244" s="1955"/>
      <c r="CS244" s="1955"/>
      <c r="CT244" s="1955"/>
      <c r="CU244" s="1955"/>
      <c r="CV244" s="1955"/>
      <c r="CW244" s="1955"/>
      <c r="CX244" s="1955"/>
      <c r="CY244" s="1955"/>
      <c r="CZ244" s="1955"/>
      <c r="DA244" s="1955"/>
      <c r="DB244" s="1955"/>
      <c r="DC244" s="1955"/>
      <c r="DD244" s="1955"/>
      <c r="DE244" s="1955"/>
      <c r="DF244" s="1955"/>
      <c r="DG244" s="1955"/>
      <c r="DH244" s="1956"/>
      <c r="DI244" s="252"/>
      <c r="DJ244" s="252"/>
      <c r="DK244" s="1962"/>
      <c r="DL244" s="1962"/>
      <c r="DM244" s="1962"/>
      <c r="DN244" s="1962"/>
      <c r="DO244" s="1962"/>
      <c r="DP244" s="1962"/>
      <c r="DQ244" s="1962"/>
      <c r="DR244" s="1962"/>
      <c r="DS244" s="1962"/>
      <c r="DT244" s="1962"/>
      <c r="DU244" s="1962"/>
      <c r="DV244" s="1962"/>
      <c r="DW244" s="1962"/>
      <c r="DX244" s="1962"/>
      <c r="DY244" s="1962"/>
      <c r="DZ244" s="1962"/>
      <c r="EA244" s="1962"/>
      <c r="EB244" s="1962"/>
      <c r="EC244" s="1962"/>
      <c r="ED244" s="1962"/>
      <c r="EE244" s="1962"/>
      <c r="EF244" s="1962"/>
      <c r="EG244" s="1962"/>
      <c r="EH244" s="1962"/>
      <c r="EI244" s="1962"/>
      <c r="EJ244" s="1962"/>
      <c r="EK244" s="1962"/>
      <c r="EL244" s="1962"/>
      <c r="EM244" s="1962"/>
      <c r="EN244" s="1962"/>
      <c r="EO244" s="1962"/>
      <c r="EP244" s="1962"/>
      <c r="EQ244" s="1962"/>
      <c r="ER244" s="1962"/>
      <c r="ES244" s="1962"/>
      <c r="ET244" s="1962"/>
      <c r="EU244" s="1962"/>
      <c r="EV244" s="1962"/>
      <c r="EW244" s="1962"/>
      <c r="EX244" s="1962"/>
      <c r="EY244" s="1962"/>
      <c r="FF244" s="1853"/>
    </row>
    <row r="245" spans="3:162" ht="9" customHeight="1">
      <c r="D245" s="87"/>
      <c r="E245" s="362"/>
      <c r="F245" s="1949" t="s">
        <v>3629</v>
      </c>
      <c r="G245" s="1949"/>
      <c r="H245" s="1949"/>
      <c r="I245" s="1949"/>
      <c r="J245" s="1949"/>
      <c r="K245" s="1949"/>
      <c r="L245" s="1949"/>
      <c r="M245" s="1949"/>
      <c r="N245" s="1949"/>
      <c r="O245" s="1949"/>
      <c r="P245" s="1949"/>
      <c r="Q245" s="1949"/>
      <c r="R245" s="1949"/>
      <c r="S245" s="1949"/>
      <c r="T245" s="1949"/>
      <c r="U245" s="1949"/>
      <c r="V245" s="1949"/>
      <c r="W245" s="1949"/>
      <c r="X245" s="1949"/>
      <c r="Y245" s="1949"/>
      <c r="Z245" s="1949"/>
      <c r="AA245" s="1949"/>
      <c r="AB245" s="1949"/>
      <c r="AC245" s="1949"/>
      <c r="AD245" s="1949"/>
      <c r="AE245" s="1949"/>
      <c r="AF245" s="1949"/>
      <c r="AG245" s="1949"/>
      <c r="AH245" s="1949"/>
      <c r="AI245" s="1949"/>
      <c r="AJ245" s="1949"/>
      <c r="AK245" s="1949"/>
      <c r="AL245" s="1949"/>
      <c r="AM245" s="1949"/>
      <c r="AN245" s="1949"/>
      <c r="AO245" s="364"/>
      <c r="AP245" s="252"/>
      <c r="AQ245" s="1957"/>
      <c r="AR245" s="1955"/>
      <c r="AS245" s="1955"/>
      <c r="AT245" s="1955"/>
      <c r="AU245" s="1955"/>
      <c r="AV245" s="1955"/>
      <c r="AW245" s="1955"/>
      <c r="AX245" s="1955"/>
      <c r="AY245" s="1955"/>
      <c r="AZ245" s="1955"/>
      <c r="BA245" s="1955"/>
      <c r="BB245" s="1955"/>
      <c r="BC245" s="1955"/>
      <c r="BD245" s="1955"/>
      <c r="BE245" s="1955"/>
      <c r="BF245" s="1955"/>
      <c r="BG245" s="1955"/>
      <c r="BH245" s="1955"/>
      <c r="BI245" s="1955"/>
      <c r="BJ245" s="1955"/>
      <c r="BK245" s="1955"/>
      <c r="BL245" s="1955"/>
      <c r="BM245" s="1955"/>
      <c r="BN245" s="1955"/>
      <c r="BO245" s="1955"/>
      <c r="BP245" s="1955"/>
      <c r="BQ245" s="1955"/>
      <c r="BR245" s="1955"/>
      <c r="BS245" s="1955"/>
      <c r="BT245" s="1955"/>
      <c r="BU245" s="1955"/>
      <c r="BV245" s="1955"/>
      <c r="BW245" s="1955"/>
      <c r="BX245" s="1955"/>
      <c r="BY245" s="1955"/>
      <c r="BZ245" s="1955"/>
      <c r="CA245" s="1955"/>
      <c r="CB245" s="1955"/>
      <c r="CC245" s="1955"/>
      <c r="CD245" s="1955"/>
      <c r="CE245" s="1955"/>
      <c r="CF245" s="1955"/>
      <c r="CG245" s="1955"/>
      <c r="CH245" s="1955"/>
      <c r="CI245" s="1955"/>
      <c r="CJ245" s="1955"/>
      <c r="CK245" s="1955"/>
      <c r="CL245" s="1955"/>
      <c r="CM245" s="1955"/>
      <c r="CN245" s="1955"/>
      <c r="CO245" s="1955"/>
      <c r="CP245" s="1955"/>
      <c r="CQ245" s="1955"/>
      <c r="CR245" s="1955"/>
      <c r="CS245" s="1955"/>
      <c r="CT245" s="1955"/>
      <c r="CU245" s="1955"/>
      <c r="CV245" s="1955"/>
      <c r="CW245" s="1955"/>
      <c r="CX245" s="1955"/>
      <c r="CY245" s="1955"/>
      <c r="CZ245" s="1955"/>
      <c r="DA245" s="1955"/>
      <c r="DB245" s="1955"/>
      <c r="DC245" s="1955"/>
      <c r="DD245" s="1955"/>
      <c r="DE245" s="1955"/>
      <c r="DF245" s="1955"/>
      <c r="DG245" s="1955"/>
      <c r="DH245" s="1956"/>
      <c r="DI245" s="109"/>
      <c r="DJ245" s="109"/>
      <c r="DK245" s="1962"/>
      <c r="DL245" s="1962"/>
      <c r="DM245" s="1962"/>
      <c r="DN245" s="1962"/>
      <c r="DO245" s="1962"/>
      <c r="DP245" s="1962"/>
      <c r="DQ245" s="1962"/>
      <c r="DR245" s="1962"/>
      <c r="DS245" s="1962"/>
      <c r="DT245" s="1962"/>
      <c r="DU245" s="1962"/>
      <c r="DV245" s="1962"/>
      <c r="DW245" s="1962"/>
      <c r="DX245" s="1962"/>
      <c r="DY245" s="1962"/>
      <c r="DZ245" s="1962"/>
      <c r="EA245" s="1962"/>
      <c r="EB245" s="1962"/>
      <c r="EC245" s="1962"/>
      <c r="ED245" s="1962"/>
      <c r="EE245" s="1962"/>
      <c r="EF245" s="1962"/>
      <c r="EG245" s="1962"/>
      <c r="EH245" s="1962"/>
      <c r="EI245" s="1962"/>
      <c r="EJ245" s="1962"/>
      <c r="EK245" s="1962"/>
      <c r="EL245" s="1962"/>
      <c r="EM245" s="1962"/>
      <c r="EN245" s="1962"/>
      <c r="EO245" s="1962"/>
      <c r="EP245" s="1962"/>
      <c r="EQ245" s="1962"/>
      <c r="ER245" s="1962"/>
      <c r="ES245" s="1962"/>
      <c r="ET245" s="1962"/>
      <c r="EU245" s="1962"/>
      <c r="EV245" s="1962"/>
      <c r="EW245" s="1962"/>
      <c r="EX245" s="1962"/>
      <c r="EY245" s="1962"/>
      <c r="FF245" s="1853"/>
    </row>
    <row r="246" spans="3:162" ht="9" customHeight="1" thickBot="1">
      <c r="C246" s="87"/>
      <c r="D246" s="87"/>
      <c r="E246" s="362"/>
      <c r="F246" s="1949"/>
      <c r="G246" s="1949"/>
      <c r="H246" s="1949"/>
      <c r="I246" s="1949"/>
      <c r="J246" s="1949"/>
      <c r="K246" s="1949"/>
      <c r="L246" s="1949"/>
      <c r="M246" s="1949"/>
      <c r="N246" s="1949"/>
      <c r="O246" s="1949"/>
      <c r="P246" s="1949"/>
      <c r="Q246" s="1949"/>
      <c r="R246" s="1949"/>
      <c r="S246" s="1949"/>
      <c r="T246" s="1949"/>
      <c r="U246" s="1949"/>
      <c r="V246" s="1949"/>
      <c r="W246" s="1949"/>
      <c r="X246" s="1949"/>
      <c r="Y246" s="1949"/>
      <c r="Z246" s="1949"/>
      <c r="AA246" s="1949"/>
      <c r="AB246" s="1949"/>
      <c r="AC246" s="1949"/>
      <c r="AD246" s="1949"/>
      <c r="AE246" s="1949"/>
      <c r="AF246" s="1949"/>
      <c r="AG246" s="1949"/>
      <c r="AH246" s="1949"/>
      <c r="AI246" s="1949"/>
      <c r="AJ246" s="1949"/>
      <c r="AK246" s="1949"/>
      <c r="AL246" s="1949"/>
      <c r="AM246" s="1949"/>
      <c r="AN246" s="1949"/>
      <c r="AO246" s="365"/>
      <c r="AP246" s="109"/>
      <c r="AQ246" s="1957"/>
      <c r="AR246" s="1955"/>
      <c r="AS246" s="1955"/>
      <c r="AT246" s="1955"/>
      <c r="AU246" s="1955"/>
      <c r="AV246" s="1955"/>
      <c r="AW246" s="1955"/>
      <c r="AX246" s="1955"/>
      <c r="AY246" s="1955"/>
      <c r="AZ246" s="1955"/>
      <c r="BA246" s="1955"/>
      <c r="BB246" s="1955"/>
      <c r="BC246" s="1955"/>
      <c r="BD246" s="1955"/>
      <c r="BE246" s="1955"/>
      <c r="BF246" s="1955"/>
      <c r="BG246" s="1955"/>
      <c r="BH246" s="1955"/>
      <c r="BI246" s="1955"/>
      <c r="BJ246" s="1955"/>
      <c r="BK246" s="1955"/>
      <c r="BL246" s="1955"/>
      <c r="BM246" s="1955"/>
      <c r="BN246" s="1955"/>
      <c r="BO246" s="1955"/>
      <c r="BP246" s="1955"/>
      <c r="BQ246" s="1955"/>
      <c r="BR246" s="1955"/>
      <c r="BS246" s="1955"/>
      <c r="BT246" s="1955"/>
      <c r="BU246" s="1955"/>
      <c r="BV246" s="1955"/>
      <c r="BW246" s="1955"/>
      <c r="BX246" s="1955"/>
      <c r="BY246" s="1955"/>
      <c r="BZ246" s="1955"/>
      <c r="CA246" s="1955"/>
      <c r="CB246" s="1955"/>
      <c r="CC246" s="1955"/>
      <c r="CD246" s="1955"/>
      <c r="CE246" s="1955"/>
      <c r="CF246" s="1955"/>
      <c r="CG246" s="1955"/>
      <c r="CH246" s="1955"/>
      <c r="CI246" s="1955"/>
      <c r="CJ246" s="1955"/>
      <c r="CK246" s="1955"/>
      <c r="CL246" s="1955"/>
      <c r="CM246" s="1955"/>
      <c r="CN246" s="1955"/>
      <c r="CO246" s="1955"/>
      <c r="CP246" s="1955"/>
      <c r="CQ246" s="1955"/>
      <c r="CR246" s="1955"/>
      <c r="CS246" s="1955"/>
      <c r="CT246" s="1955"/>
      <c r="CU246" s="1955"/>
      <c r="CV246" s="1955"/>
      <c r="CW246" s="1955"/>
      <c r="CX246" s="1955"/>
      <c r="CY246" s="1955"/>
      <c r="CZ246" s="1955"/>
      <c r="DA246" s="1955"/>
      <c r="DB246" s="1955"/>
      <c r="DC246" s="1955"/>
      <c r="DD246" s="1955"/>
      <c r="DE246" s="1955"/>
      <c r="DF246" s="1955"/>
      <c r="DG246" s="1955"/>
      <c r="DH246" s="1956"/>
      <c r="DI246" s="252"/>
      <c r="DJ246" s="252"/>
      <c r="DK246" s="1963"/>
      <c r="DL246" s="1963"/>
      <c r="DM246" s="1963"/>
      <c r="DN246" s="1963"/>
      <c r="DO246" s="1963"/>
      <c r="DP246" s="1963"/>
      <c r="DQ246" s="1963"/>
      <c r="DR246" s="1963"/>
      <c r="DS246" s="1963"/>
      <c r="DT246" s="1963"/>
      <c r="DU246" s="1963"/>
      <c r="DV246" s="1963"/>
      <c r="DW246" s="1963"/>
      <c r="DX246" s="1963"/>
      <c r="DY246" s="1963"/>
      <c r="DZ246" s="1963"/>
      <c r="EA246" s="1963"/>
      <c r="EB246" s="1963"/>
      <c r="EC246" s="1963"/>
      <c r="ED246" s="1963"/>
      <c r="EE246" s="1963"/>
      <c r="EF246" s="1963"/>
      <c r="EG246" s="1963"/>
      <c r="EH246" s="1963"/>
      <c r="EI246" s="1963"/>
      <c r="EJ246" s="1963"/>
      <c r="EK246" s="1963"/>
      <c r="EL246" s="1963"/>
      <c r="EM246" s="1963"/>
      <c r="EN246" s="1963"/>
      <c r="EO246" s="1963"/>
      <c r="EP246" s="1963"/>
      <c r="EQ246" s="1963"/>
      <c r="ER246" s="1963"/>
      <c r="ES246" s="1963"/>
      <c r="ET246" s="1963"/>
      <c r="EU246" s="1963"/>
      <c r="EV246" s="1963"/>
      <c r="EW246" s="1963"/>
      <c r="EX246" s="1963"/>
      <c r="EY246" s="1963"/>
      <c r="FF246" s="1854"/>
    </row>
    <row r="247" spans="3:162" ht="9" customHeight="1" thickBot="1">
      <c r="C247" s="87"/>
      <c r="D247" s="87"/>
      <c r="E247" s="362"/>
      <c r="F247" s="1950"/>
      <c r="G247" s="1950"/>
      <c r="H247" s="1950"/>
      <c r="I247" s="1950"/>
      <c r="J247" s="1950"/>
      <c r="K247" s="1950"/>
      <c r="L247" s="1950"/>
      <c r="M247" s="1950"/>
      <c r="N247" s="1950"/>
      <c r="O247" s="1950"/>
      <c r="P247" s="1950"/>
      <c r="Q247" s="1950"/>
      <c r="R247" s="1950"/>
      <c r="S247" s="1950"/>
      <c r="T247" s="1950"/>
      <c r="U247" s="1950"/>
      <c r="V247" s="1950"/>
      <c r="W247" s="1950"/>
      <c r="X247" s="1950"/>
      <c r="Y247" s="1950"/>
      <c r="Z247" s="1950"/>
      <c r="AA247" s="1950"/>
      <c r="AB247" s="1950"/>
      <c r="AC247" s="1950"/>
      <c r="AD247" s="1950"/>
      <c r="AE247" s="1950"/>
      <c r="AF247" s="1950"/>
      <c r="AG247" s="1950"/>
      <c r="AH247" s="1950"/>
      <c r="AI247" s="1950"/>
      <c r="AJ247" s="1950"/>
      <c r="AK247" s="1950"/>
      <c r="AL247" s="1950"/>
      <c r="AM247" s="1950"/>
      <c r="AN247" s="1950"/>
      <c r="AO247" s="365"/>
      <c r="AP247" s="252"/>
      <c r="AQ247" s="1954" t="str">
        <f>IF(Background&lt;&gt;"None",INDEX(BackgroundData,MATCH(Background,BackgroundList,0),4),"")</f>
        <v/>
      </c>
      <c r="AR247" s="1955"/>
      <c r="AS247" s="1955"/>
      <c r="AT247" s="1955"/>
      <c r="AU247" s="1955"/>
      <c r="AV247" s="1955"/>
      <c r="AW247" s="1955"/>
      <c r="AX247" s="1955"/>
      <c r="AY247" s="1955"/>
      <c r="AZ247" s="1955"/>
      <c r="BA247" s="1955"/>
      <c r="BB247" s="1955"/>
      <c r="BC247" s="1955"/>
      <c r="BD247" s="1955"/>
      <c r="BE247" s="1955"/>
      <c r="BF247" s="1955"/>
      <c r="BG247" s="1955"/>
      <c r="BH247" s="1955"/>
      <c r="BI247" s="1955"/>
      <c r="BJ247" s="1955"/>
      <c r="BK247" s="1955"/>
      <c r="BL247" s="1955"/>
      <c r="BM247" s="1955"/>
      <c r="BN247" s="1955"/>
      <c r="BO247" s="1955"/>
      <c r="BP247" s="1955"/>
      <c r="BQ247" s="1955"/>
      <c r="BR247" s="1955"/>
      <c r="BS247" s="1955"/>
      <c r="BT247" s="1955"/>
      <c r="BU247" s="1955"/>
      <c r="BV247" s="1955"/>
      <c r="BW247" s="1955"/>
      <c r="BX247" s="1955"/>
      <c r="BY247" s="1955"/>
      <c r="BZ247" s="1955"/>
      <c r="CA247" s="1955"/>
      <c r="CB247" s="1955"/>
      <c r="CC247" s="1955"/>
      <c r="CD247" s="1955"/>
      <c r="CE247" s="1955"/>
      <c r="CF247" s="1955"/>
      <c r="CG247" s="1955"/>
      <c r="CH247" s="1955"/>
      <c r="CI247" s="1955"/>
      <c r="CJ247" s="1955"/>
      <c r="CK247" s="1955"/>
      <c r="CL247" s="1955"/>
      <c r="CM247" s="1955"/>
      <c r="CN247" s="1955"/>
      <c r="CO247" s="1955"/>
      <c r="CP247" s="1955"/>
      <c r="CQ247" s="1955"/>
      <c r="CR247" s="1955"/>
      <c r="CS247" s="1955"/>
      <c r="CT247" s="1955"/>
      <c r="CU247" s="1955"/>
      <c r="CV247" s="1955"/>
      <c r="CW247" s="1955"/>
      <c r="CX247" s="1955"/>
      <c r="CY247" s="1955"/>
      <c r="CZ247" s="1955"/>
      <c r="DA247" s="1955"/>
      <c r="DB247" s="1955"/>
      <c r="DC247" s="1955"/>
      <c r="DD247" s="1955"/>
      <c r="DE247" s="1955"/>
      <c r="DF247" s="1955"/>
      <c r="DG247" s="1955"/>
      <c r="DH247" s="1956"/>
      <c r="DI247" s="252"/>
      <c r="DJ247" s="252"/>
      <c r="DK247" s="1961" t="str">
        <f>IF(Race="","",IF(NOT(ISERROR(FF247)),MID(StarshipManeuversTaken,FF243+1,FF247-FF243-1),""))</f>
        <v/>
      </c>
      <c r="DL247" s="1962"/>
      <c r="DM247" s="1962"/>
      <c r="DN247" s="1962"/>
      <c r="DO247" s="1962"/>
      <c r="DP247" s="1962"/>
      <c r="DQ247" s="1962"/>
      <c r="DR247" s="1962"/>
      <c r="DS247" s="1962"/>
      <c r="DT247" s="1962"/>
      <c r="DU247" s="1962"/>
      <c r="DV247" s="1962"/>
      <c r="DW247" s="1962"/>
      <c r="DX247" s="1962"/>
      <c r="DY247" s="1962"/>
      <c r="DZ247" s="1962"/>
      <c r="EA247" s="1962"/>
      <c r="EB247" s="1962"/>
      <c r="EC247" s="1962"/>
      <c r="ED247" s="1962"/>
      <c r="EE247" s="1962"/>
      <c r="EF247" s="1962"/>
      <c r="EG247" s="1962"/>
      <c r="EH247" s="1962"/>
      <c r="EI247" s="1962"/>
      <c r="EJ247" s="1962"/>
      <c r="EK247" s="1962"/>
      <c r="EL247" s="1962"/>
      <c r="EM247" s="1962"/>
      <c r="EN247" s="1962"/>
      <c r="EO247" s="1962"/>
      <c r="EP247" s="1962"/>
      <c r="EQ247" s="1962"/>
      <c r="ER247" s="1962"/>
      <c r="ES247" s="1962"/>
      <c r="ET247" s="1962"/>
      <c r="EU247" s="1962"/>
      <c r="EV247" s="1962"/>
      <c r="EW247" s="1962"/>
      <c r="EX247" s="1962"/>
      <c r="EY247" s="1962"/>
      <c r="FF247" s="1853" t="e">
        <f>FIND(";",StarshipManeuversTaken,FF243+1)</f>
        <v>#VALUE!</v>
      </c>
    </row>
    <row r="248" spans="3:162" ht="9" customHeight="1">
      <c r="C248" s="87"/>
      <c r="D248" s="87"/>
      <c r="E248" s="362"/>
      <c r="F248" s="1951" t="s">
        <v>3630</v>
      </c>
      <c r="G248" s="1952"/>
      <c r="H248" s="1952"/>
      <c r="I248" s="1952"/>
      <c r="J248" s="1952"/>
      <c r="K248" s="1952"/>
      <c r="L248" s="1952"/>
      <c r="M248" s="1952"/>
      <c r="N248" s="1952"/>
      <c r="O248" s="1952"/>
      <c r="P248" s="1952"/>
      <c r="Q248" s="1952"/>
      <c r="R248" s="1952"/>
      <c r="S248" s="1952"/>
      <c r="T248" s="1952"/>
      <c r="U248" s="1952"/>
      <c r="V248" s="1952"/>
      <c r="W248" s="1952"/>
      <c r="X248" s="1952"/>
      <c r="Y248" s="1952"/>
      <c r="Z248" s="1952"/>
      <c r="AA248" s="1952"/>
      <c r="AB248" s="1952"/>
      <c r="AC248" s="1952"/>
      <c r="AD248" s="1952"/>
      <c r="AE248" s="1952"/>
      <c r="AF248" s="1952"/>
      <c r="AG248" s="1952"/>
      <c r="AH248" s="1952"/>
      <c r="AI248" s="1952"/>
      <c r="AJ248" s="1952"/>
      <c r="AK248" s="1952"/>
      <c r="AL248" s="1952"/>
      <c r="AM248" s="1952"/>
      <c r="AN248" s="1952"/>
      <c r="AO248" s="365"/>
      <c r="AP248" s="252"/>
      <c r="AQ248" s="1957"/>
      <c r="AR248" s="1955"/>
      <c r="AS248" s="1955"/>
      <c r="AT248" s="1955"/>
      <c r="AU248" s="1955"/>
      <c r="AV248" s="1955"/>
      <c r="AW248" s="1955"/>
      <c r="AX248" s="1955"/>
      <c r="AY248" s="1955"/>
      <c r="AZ248" s="1955"/>
      <c r="BA248" s="1955"/>
      <c r="BB248" s="1955"/>
      <c r="BC248" s="1955"/>
      <c r="BD248" s="1955"/>
      <c r="BE248" s="1955"/>
      <c r="BF248" s="1955"/>
      <c r="BG248" s="1955"/>
      <c r="BH248" s="1955"/>
      <c r="BI248" s="1955"/>
      <c r="BJ248" s="1955"/>
      <c r="BK248" s="1955"/>
      <c r="BL248" s="1955"/>
      <c r="BM248" s="1955"/>
      <c r="BN248" s="1955"/>
      <c r="BO248" s="1955"/>
      <c r="BP248" s="1955"/>
      <c r="BQ248" s="1955"/>
      <c r="BR248" s="1955"/>
      <c r="BS248" s="1955"/>
      <c r="BT248" s="1955"/>
      <c r="BU248" s="1955"/>
      <c r="BV248" s="1955"/>
      <c r="BW248" s="1955"/>
      <c r="BX248" s="1955"/>
      <c r="BY248" s="1955"/>
      <c r="BZ248" s="1955"/>
      <c r="CA248" s="1955"/>
      <c r="CB248" s="1955"/>
      <c r="CC248" s="1955"/>
      <c r="CD248" s="1955"/>
      <c r="CE248" s="1955"/>
      <c r="CF248" s="1955"/>
      <c r="CG248" s="1955"/>
      <c r="CH248" s="1955"/>
      <c r="CI248" s="1955"/>
      <c r="CJ248" s="1955"/>
      <c r="CK248" s="1955"/>
      <c r="CL248" s="1955"/>
      <c r="CM248" s="1955"/>
      <c r="CN248" s="1955"/>
      <c r="CO248" s="1955"/>
      <c r="CP248" s="1955"/>
      <c r="CQ248" s="1955"/>
      <c r="CR248" s="1955"/>
      <c r="CS248" s="1955"/>
      <c r="CT248" s="1955"/>
      <c r="CU248" s="1955"/>
      <c r="CV248" s="1955"/>
      <c r="CW248" s="1955"/>
      <c r="CX248" s="1955"/>
      <c r="CY248" s="1955"/>
      <c r="CZ248" s="1955"/>
      <c r="DA248" s="1955"/>
      <c r="DB248" s="1955"/>
      <c r="DC248" s="1955"/>
      <c r="DD248" s="1955"/>
      <c r="DE248" s="1955"/>
      <c r="DF248" s="1955"/>
      <c r="DG248" s="1955"/>
      <c r="DH248" s="1956"/>
      <c r="DI248" s="252"/>
      <c r="DJ248" s="252"/>
      <c r="DK248" s="1962"/>
      <c r="DL248" s="1962"/>
      <c r="DM248" s="1962"/>
      <c r="DN248" s="1962"/>
      <c r="DO248" s="1962"/>
      <c r="DP248" s="1962"/>
      <c r="DQ248" s="1962"/>
      <c r="DR248" s="1962"/>
      <c r="DS248" s="1962"/>
      <c r="DT248" s="1962"/>
      <c r="DU248" s="1962"/>
      <c r="DV248" s="1962"/>
      <c r="DW248" s="1962"/>
      <c r="DX248" s="1962"/>
      <c r="DY248" s="1962"/>
      <c r="DZ248" s="1962"/>
      <c r="EA248" s="1962"/>
      <c r="EB248" s="1962"/>
      <c r="EC248" s="1962"/>
      <c r="ED248" s="1962"/>
      <c r="EE248" s="1962"/>
      <c r="EF248" s="1962"/>
      <c r="EG248" s="1962"/>
      <c r="EH248" s="1962"/>
      <c r="EI248" s="1962"/>
      <c r="EJ248" s="1962"/>
      <c r="EK248" s="1962"/>
      <c r="EL248" s="1962"/>
      <c r="EM248" s="1962"/>
      <c r="EN248" s="1962"/>
      <c r="EO248" s="1962"/>
      <c r="EP248" s="1962"/>
      <c r="EQ248" s="1962"/>
      <c r="ER248" s="1962"/>
      <c r="ES248" s="1962"/>
      <c r="ET248" s="1962"/>
      <c r="EU248" s="1962"/>
      <c r="EV248" s="1962"/>
      <c r="EW248" s="1962"/>
      <c r="EX248" s="1962"/>
      <c r="EY248" s="1962"/>
      <c r="FF248" s="1853"/>
    </row>
    <row r="249" spans="3:162" ht="9" customHeight="1">
      <c r="C249" s="87"/>
      <c r="D249" s="87"/>
      <c r="E249" s="362"/>
      <c r="F249" s="1952"/>
      <c r="G249" s="1952"/>
      <c r="H249" s="1952"/>
      <c r="I249" s="1952"/>
      <c r="J249" s="1952"/>
      <c r="K249" s="1952"/>
      <c r="L249" s="1952"/>
      <c r="M249" s="1952"/>
      <c r="N249" s="1952"/>
      <c r="O249" s="1952"/>
      <c r="P249" s="1952"/>
      <c r="Q249" s="1952"/>
      <c r="R249" s="1952"/>
      <c r="S249" s="1952"/>
      <c r="T249" s="1952"/>
      <c r="U249" s="1952"/>
      <c r="V249" s="1952"/>
      <c r="W249" s="1952"/>
      <c r="X249" s="1952"/>
      <c r="Y249" s="1952"/>
      <c r="Z249" s="1952"/>
      <c r="AA249" s="1952"/>
      <c r="AB249" s="1952"/>
      <c r="AC249" s="1952"/>
      <c r="AD249" s="1952"/>
      <c r="AE249" s="1952"/>
      <c r="AF249" s="1952"/>
      <c r="AG249" s="1952"/>
      <c r="AH249" s="1952"/>
      <c r="AI249" s="1952"/>
      <c r="AJ249" s="1952"/>
      <c r="AK249" s="1952"/>
      <c r="AL249" s="1952"/>
      <c r="AM249" s="1952"/>
      <c r="AN249" s="1952"/>
      <c r="AO249" s="364"/>
      <c r="AP249" s="252"/>
      <c r="AQ249" s="1957"/>
      <c r="AR249" s="1955"/>
      <c r="AS249" s="1955"/>
      <c r="AT249" s="1955"/>
      <c r="AU249" s="1955"/>
      <c r="AV249" s="1955"/>
      <c r="AW249" s="1955"/>
      <c r="AX249" s="1955"/>
      <c r="AY249" s="1955"/>
      <c r="AZ249" s="1955"/>
      <c r="BA249" s="1955"/>
      <c r="BB249" s="1955"/>
      <c r="BC249" s="1955"/>
      <c r="BD249" s="1955"/>
      <c r="BE249" s="1955"/>
      <c r="BF249" s="1955"/>
      <c r="BG249" s="1955"/>
      <c r="BH249" s="1955"/>
      <c r="BI249" s="1955"/>
      <c r="BJ249" s="1955"/>
      <c r="BK249" s="1955"/>
      <c r="BL249" s="1955"/>
      <c r="BM249" s="1955"/>
      <c r="BN249" s="1955"/>
      <c r="BO249" s="1955"/>
      <c r="BP249" s="1955"/>
      <c r="BQ249" s="1955"/>
      <c r="BR249" s="1955"/>
      <c r="BS249" s="1955"/>
      <c r="BT249" s="1955"/>
      <c r="BU249" s="1955"/>
      <c r="BV249" s="1955"/>
      <c r="BW249" s="1955"/>
      <c r="BX249" s="1955"/>
      <c r="BY249" s="1955"/>
      <c r="BZ249" s="1955"/>
      <c r="CA249" s="1955"/>
      <c r="CB249" s="1955"/>
      <c r="CC249" s="1955"/>
      <c r="CD249" s="1955"/>
      <c r="CE249" s="1955"/>
      <c r="CF249" s="1955"/>
      <c r="CG249" s="1955"/>
      <c r="CH249" s="1955"/>
      <c r="CI249" s="1955"/>
      <c r="CJ249" s="1955"/>
      <c r="CK249" s="1955"/>
      <c r="CL249" s="1955"/>
      <c r="CM249" s="1955"/>
      <c r="CN249" s="1955"/>
      <c r="CO249" s="1955"/>
      <c r="CP249" s="1955"/>
      <c r="CQ249" s="1955"/>
      <c r="CR249" s="1955"/>
      <c r="CS249" s="1955"/>
      <c r="CT249" s="1955"/>
      <c r="CU249" s="1955"/>
      <c r="CV249" s="1955"/>
      <c r="CW249" s="1955"/>
      <c r="CX249" s="1955"/>
      <c r="CY249" s="1955"/>
      <c r="CZ249" s="1955"/>
      <c r="DA249" s="1955"/>
      <c r="DB249" s="1955"/>
      <c r="DC249" s="1955"/>
      <c r="DD249" s="1955"/>
      <c r="DE249" s="1955"/>
      <c r="DF249" s="1955"/>
      <c r="DG249" s="1955"/>
      <c r="DH249" s="1956"/>
      <c r="DI249" s="109"/>
      <c r="DJ249" s="109"/>
      <c r="DK249" s="1962"/>
      <c r="DL249" s="1962"/>
      <c r="DM249" s="1962"/>
      <c r="DN249" s="1962"/>
      <c r="DO249" s="1962"/>
      <c r="DP249" s="1962"/>
      <c r="DQ249" s="1962"/>
      <c r="DR249" s="1962"/>
      <c r="DS249" s="1962"/>
      <c r="DT249" s="1962"/>
      <c r="DU249" s="1962"/>
      <c r="DV249" s="1962"/>
      <c r="DW249" s="1962"/>
      <c r="DX249" s="1962"/>
      <c r="DY249" s="1962"/>
      <c r="DZ249" s="1962"/>
      <c r="EA249" s="1962"/>
      <c r="EB249" s="1962"/>
      <c r="EC249" s="1962"/>
      <c r="ED249" s="1962"/>
      <c r="EE249" s="1962"/>
      <c r="EF249" s="1962"/>
      <c r="EG249" s="1962"/>
      <c r="EH249" s="1962"/>
      <c r="EI249" s="1962"/>
      <c r="EJ249" s="1962"/>
      <c r="EK249" s="1962"/>
      <c r="EL249" s="1962"/>
      <c r="EM249" s="1962"/>
      <c r="EN249" s="1962"/>
      <c r="EO249" s="1962"/>
      <c r="EP249" s="1962"/>
      <c r="EQ249" s="1962"/>
      <c r="ER249" s="1962"/>
      <c r="ES249" s="1962"/>
      <c r="ET249" s="1962"/>
      <c r="EU249" s="1962"/>
      <c r="EV249" s="1962"/>
      <c r="EW249" s="1962"/>
      <c r="EX249" s="1962"/>
      <c r="EY249" s="1962"/>
      <c r="FF249" s="1853"/>
    </row>
    <row r="250" spans="3:162" ht="9" customHeight="1" thickBot="1">
      <c r="C250" s="87"/>
      <c r="D250" s="87"/>
      <c r="E250" s="362"/>
      <c r="F250" s="1953"/>
      <c r="G250" s="1953"/>
      <c r="H250" s="1953"/>
      <c r="I250" s="1953"/>
      <c r="J250" s="1953"/>
      <c r="K250" s="1953"/>
      <c r="L250" s="1953"/>
      <c r="M250" s="1953"/>
      <c r="N250" s="1953"/>
      <c r="O250" s="1953"/>
      <c r="P250" s="1953"/>
      <c r="Q250" s="1953"/>
      <c r="R250" s="1953"/>
      <c r="S250" s="1953"/>
      <c r="T250" s="1953"/>
      <c r="U250" s="1953"/>
      <c r="V250" s="1953"/>
      <c r="W250" s="1953"/>
      <c r="X250" s="1953"/>
      <c r="Y250" s="1953"/>
      <c r="Z250" s="1953"/>
      <c r="AA250" s="1953"/>
      <c r="AB250" s="1953"/>
      <c r="AC250" s="1953"/>
      <c r="AD250" s="1953"/>
      <c r="AE250" s="1953"/>
      <c r="AF250" s="1953"/>
      <c r="AG250" s="1953"/>
      <c r="AH250" s="1953"/>
      <c r="AI250" s="1953"/>
      <c r="AJ250" s="1953"/>
      <c r="AK250" s="1953"/>
      <c r="AL250" s="1953"/>
      <c r="AM250" s="1953"/>
      <c r="AN250" s="1953"/>
      <c r="AO250" s="365"/>
      <c r="AP250" s="109"/>
      <c r="AQ250" s="1957"/>
      <c r="AR250" s="1955"/>
      <c r="AS250" s="1955"/>
      <c r="AT250" s="1955"/>
      <c r="AU250" s="1955"/>
      <c r="AV250" s="1955"/>
      <c r="AW250" s="1955"/>
      <c r="AX250" s="1955"/>
      <c r="AY250" s="1955"/>
      <c r="AZ250" s="1955"/>
      <c r="BA250" s="1955"/>
      <c r="BB250" s="1955"/>
      <c r="BC250" s="1955"/>
      <c r="BD250" s="1955"/>
      <c r="BE250" s="1955"/>
      <c r="BF250" s="1955"/>
      <c r="BG250" s="1955"/>
      <c r="BH250" s="1955"/>
      <c r="BI250" s="1955"/>
      <c r="BJ250" s="1955"/>
      <c r="BK250" s="1955"/>
      <c r="BL250" s="1955"/>
      <c r="BM250" s="1955"/>
      <c r="BN250" s="1955"/>
      <c r="BO250" s="1955"/>
      <c r="BP250" s="1955"/>
      <c r="BQ250" s="1955"/>
      <c r="BR250" s="1955"/>
      <c r="BS250" s="1955"/>
      <c r="BT250" s="1955"/>
      <c r="BU250" s="1955"/>
      <c r="BV250" s="1955"/>
      <c r="BW250" s="1955"/>
      <c r="BX250" s="1955"/>
      <c r="BY250" s="1955"/>
      <c r="BZ250" s="1955"/>
      <c r="CA250" s="1955"/>
      <c r="CB250" s="1955"/>
      <c r="CC250" s="1955"/>
      <c r="CD250" s="1955"/>
      <c r="CE250" s="1955"/>
      <c r="CF250" s="1955"/>
      <c r="CG250" s="1955"/>
      <c r="CH250" s="1955"/>
      <c r="CI250" s="1955"/>
      <c r="CJ250" s="1955"/>
      <c r="CK250" s="1955"/>
      <c r="CL250" s="1955"/>
      <c r="CM250" s="1955"/>
      <c r="CN250" s="1955"/>
      <c r="CO250" s="1955"/>
      <c r="CP250" s="1955"/>
      <c r="CQ250" s="1955"/>
      <c r="CR250" s="1955"/>
      <c r="CS250" s="1955"/>
      <c r="CT250" s="1955"/>
      <c r="CU250" s="1955"/>
      <c r="CV250" s="1955"/>
      <c r="CW250" s="1955"/>
      <c r="CX250" s="1955"/>
      <c r="CY250" s="1955"/>
      <c r="CZ250" s="1955"/>
      <c r="DA250" s="1955"/>
      <c r="DB250" s="1955"/>
      <c r="DC250" s="1955"/>
      <c r="DD250" s="1955"/>
      <c r="DE250" s="1955"/>
      <c r="DF250" s="1955"/>
      <c r="DG250" s="1955"/>
      <c r="DH250" s="1956"/>
      <c r="DI250" s="252"/>
      <c r="DJ250" s="252"/>
      <c r="DK250" s="1963"/>
      <c r="DL250" s="1963"/>
      <c r="DM250" s="1963"/>
      <c r="DN250" s="1963"/>
      <c r="DO250" s="1963"/>
      <c r="DP250" s="1963"/>
      <c r="DQ250" s="1963"/>
      <c r="DR250" s="1963"/>
      <c r="DS250" s="1963"/>
      <c r="DT250" s="1963"/>
      <c r="DU250" s="1963"/>
      <c r="DV250" s="1963"/>
      <c r="DW250" s="1963"/>
      <c r="DX250" s="1963"/>
      <c r="DY250" s="1963"/>
      <c r="DZ250" s="1963"/>
      <c r="EA250" s="1963"/>
      <c r="EB250" s="1963"/>
      <c r="EC250" s="1963"/>
      <c r="ED250" s="1963"/>
      <c r="EE250" s="1963"/>
      <c r="EF250" s="1963"/>
      <c r="EG250" s="1963"/>
      <c r="EH250" s="1963"/>
      <c r="EI250" s="1963"/>
      <c r="EJ250" s="1963"/>
      <c r="EK250" s="1963"/>
      <c r="EL250" s="1963"/>
      <c r="EM250" s="1963"/>
      <c r="EN250" s="1963"/>
      <c r="EO250" s="1963"/>
      <c r="EP250" s="1963"/>
      <c r="EQ250" s="1963"/>
      <c r="ER250" s="1963"/>
      <c r="ES250" s="1963"/>
      <c r="ET250" s="1963"/>
      <c r="EU250" s="1963"/>
      <c r="EV250" s="1963"/>
      <c r="EW250" s="1963"/>
      <c r="EX250" s="1963"/>
      <c r="EY250" s="1963"/>
      <c r="FF250" s="1854"/>
    </row>
    <row r="251" spans="3:162" ht="9" customHeight="1">
      <c r="C251" s="87"/>
      <c r="D251" s="87"/>
      <c r="E251" s="362"/>
      <c r="F251" s="1951" t="s">
        <v>6199</v>
      </c>
      <c r="G251" s="1911"/>
      <c r="H251" s="1911"/>
      <c r="I251" s="1911"/>
      <c r="J251" s="1911"/>
      <c r="K251" s="1911"/>
      <c r="L251" s="1911"/>
      <c r="M251" s="1911"/>
      <c r="N251" s="1911"/>
      <c r="O251" s="1911"/>
      <c r="P251" s="1911"/>
      <c r="Q251" s="1911"/>
      <c r="R251" s="1911"/>
      <c r="S251" s="1911"/>
      <c r="T251" s="1911"/>
      <c r="U251" s="1911"/>
      <c r="V251" s="1911"/>
      <c r="W251" s="1911"/>
      <c r="X251" s="1911"/>
      <c r="Y251" s="1911"/>
      <c r="Z251" s="1911"/>
      <c r="AA251" s="1911"/>
      <c r="AB251" s="1911"/>
      <c r="AC251" s="1911"/>
      <c r="AD251" s="1911"/>
      <c r="AE251" s="1911"/>
      <c r="AF251" s="1911"/>
      <c r="AG251" s="1911"/>
      <c r="AH251" s="1911"/>
      <c r="AI251" s="1911"/>
      <c r="AJ251" s="1911"/>
      <c r="AK251" s="1911"/>
      <c r="AL251" s="1911"/>
      <c r="AM251" s="1911"/>
      <c r="AN251" s="1911"/>
      <c r="AO251" s="365"/>
      <c r="AP251" s="109"/>
      <c r="AQ251" s="1954" t="str">
        <f>IF(Background&lt;&gt;"None",INDEX(BackgroundData,MATCH(Background,BackgroundList,0),4),"")</f>
        <v/>
      </c>
      <c r="AR251" s="1955"/>
      <c r="AS251" s="1955"/>
      <c r="AT251" s="1955"/>
      <c r="AU251" s="1955"/>
      <c r="AV251" s="1955"/>
      <c r="AW251" s="1955"/>
      <c r="AX251" s="1955"/>
      <c r="AY251" s="1955"/>
      <c r="AZ251" s="1955"/>
      <c r="BA251" s="1955"/>
      <c r="BB251" s="1955"/>
      <c r="BC251" s="1955"/>
      <c r="BD251" s="1955"/>
      <c r="BE251" s="1955"/>
      <c r="BF251" s="1955"/>
      <c r="BG251" s="1955"/>
      <c r="BH251" s="1955"/>
      <c r="BI251" s="1955"/>
      <c r="BJ251" s="1955"/>
      <c r="BK251" s="1955"/>
      <c r="BL251" s="1955"/>
      <c r="BM251" s="1955"/>
      <c r="BN251" s="1955"/>
      <c r="BO251" s="1955"/>
      <c r="BP251" s="1955"/>
      <c r="BQ251" s="1955"/>
      <c r="BR251" s="1955"/>
      <c r="BS251" s="1955"/>
      <c r="BT251" s="1955"/>
      <c r="BU251" s="1955"/>
      <c r="BV251" s="1955"/>
      <c r="BW251" s="1955"/>
      <c r="BX251" s="1955"/>
      <c r="BY251" s="1955"/>
      <c r="BZ251" s="1955"/>
      <c r="CA251" s="1955"/>
      <c r="CB251" s="1955"/>
      <c r="CC251" s="1955"/>
      <c r="CD251" s="1955"/>
      <c r="CE251" s="1955"/>
      <c r="CF251" s="1955"/>
      <c r="CG251" s="1955"/>
      <c r="CH251" s="1955"/>
      <c r="CI251" s="1955"/>
      <c r="CJ251" s="1955"/>
      <c r="CK251" s="1955"/>
      <c r="CL251" s="1955"/>
      <c r="CM251" s="1955"/>
      <c r="CN251" s="1955"/>
      <c r="CO251" s="1955"/>
      <c r="CP251" s="1955"/>
      <c r="CQ251" s="1955"/>
      <c r="CR251" s="1955"/>
      <c r="CS251" s="1955"/>
      <c r="CT251" s="1955"/>
      <c r="CU251" s="1955"/>
      <c r="CV251" s="1955"/>
      <c r="CW251" s="1955"/>
      <c r="CX251" s="1955"/>
      <c r="CY251" s="1955"/>
      <c r="CZ251" s="1955"/>
      <c r="DA251" s="1955"/>
      <c r="DB251" s="1955"/>
      <c r="DC251" s="1955"/>
      <c r="DD251" s="1955"/>
      <c r="DE251" s="1955"/>
      <c r="DF251" s="1955"/>
      <c r="DG251" s="1955"/>
      <c r="DH251" s="1956"/>
      <c r="DI251" s="252"/>
      <c r="DJ251" s="252"/>
      <c r="DK251" s="1961" t="str">
        <f>IF(Race="","",IF(NOT(ISERROR(FF251)),MID(StarshipManeuversTaken,FF247+1,FF251-FF247-1),""))</f>
        <v/>
      </c>
      <c r="DL251" s="1962"/>
      <c r="DM251" s="1962"/>
      <c r="DN251" s="1962"/>
      <c r="DO251" s="1962"/>
      <c r="DP251" s="1962"/>
      <c r="DQ251" s="1962"/>
      <c r="DR251" s="1962"/>
      <c r="DS251" s="1962"/>
      <c r="DT251" s="1962"/>
      <c r="DU251" s="1962"/>
      <c r="DV251" s="1962"/>
      <c r="DW251" s="1962"/>
      <c r="DX251" s="1962"/>
      <c r="DY251" s="1962"/>
      <c r="DZ251" s="1962"/>
      <c r="EA251" s="1962"/>
      <c r="EB251" s="1962"/>
      <c r="EC251" s="1962"/>
      <c r="ED251" s="1962"/>
      <c r="EE251" s="1962"/>
      <c r="EF251" s="1962"/>
      <c r="EG251" s="1962"/>
      <c r="EH251" s="1962"/>
      <c r="EI251" s="1962"/>
      <c r="EJ251" s="1962"/>
      <c r="EK251" s="1962"/>
      <c r="EL251" s="1962"/>
      <c r="EM251" s="1962"/>
      <c r="EN251" s="1962"/>
      <c r="EO251" s="1962"/>
      <c r="EP251" s="1962"/>
      <c r="EQ251" s="1962"/>
      <c r="ER251" s="1962"/>
      <c r="ES251" s="1962"/>
      <c r="ET251" s="1962"/>
      <c r="EU251" s="1962"/>
      <c r="EV251" s="1962"/>
      <c r="EW251" s="1962"/>
      <c r="EX251" s="1962"/>
      <c r="EY251" s="1962"/>
      <c r="FF251" s="1853" t="e">
        <f>FIND(";",StarshipManeuversTaken,FF247+1)</f>
        <v>#VALUE!</v>
      </c>
    </row>
    <row r="252" spans="3:162" ht="9" customHeight="1">
      <c r="C252" s="87"/>
      <c r="D252" s="87"/>
      <c r="E252" s="362"/>
      <c r="F252" s="1911"/>
      <c r="G252" s="1911"/>
      <c r="H252" s="1911"/>
      <c r="I252" s="1911"/>
      <c r="J252" s="1911"/>
      <c r="K252" s="1911"/>
      <c r="L252" s="1911"/>
      <c r="M252" s="1911"/>
      <c r="N252" s="1911"/>
      <c r="O252" s="1911"/>
      <c r="P252" s="1911"/>
      <c r="Q252" s="1911"/>
      <c r="R252" s="1911"/>
      <c r="S252" s="1911"/>
      <c r="T252" s="1911"/>
      <c r="U252" s="1911"/>
      <c r="V252" s="1911"/>
      <c r="W252" s="1911"/>
      <c r="X252" s="1911"/>
      <c r="Y252" s="1911"/>
      <c r="Z252" s="1911"/>
      <c r="AA252" s="1911"/>
      <c r="AB252" s="1911"/>
      <c r="AC252" s="1911"/>
      <c r="AD252" s="1911"/>
      <c r="AE252" s="1911"/>
      <c r="AF252" s="1911"/>
      <c r="AG252" s="1911"/>
      <c r="AH252" s="1911"/>
      <c r="AI252" s="1911"/>
      <c r="AJ252" s="1911"/>
      <c r="AK252" s="1911"/>
      <c r="AL252" s="1911"/>
      <c r="AM252" s="1911"/>
      <c r="AN252" s="1911"/>
      <c r="AO252" s="365"/>
      <c r="AP252" s="252"/>
      <c r="AQ252" s="1957"/>
      <c r="AR252" s="1955"/>
      <c r="AS252" s="1955"/>
      <c r="AT252" s="1955"/>
      <c r="AU252" s="1955"/>
      <c r="AV252" s="1955"/>
      <c r="AW252" s="1955"/>
      <c r="AX252" s="1955"/>
      <c r="AY252" s="1955"/>
      <c r="AZ252" s="1955"/>
      <c r="BA252" s="1955"/>
      <c r="BB252" s="1955"/>
      <c r="BC252" s="1955"/>
      <c r="BD252" s="1955"/>
      <c r="BE252" s="1955"/>
      <c r="BF252" s="1955"/>
      <c r="BG252" s="1955"/>
      <c r="BH252" s="1955"/>
      <c r="BI252" s="1955"/>
      <c r="BJ252" s="1955"/>
      <c r="BK252" s="1955"/>
      <c r="BL252" s="1955"/>
      <c r="BM252" s="1955"/>
      <c r="BN252" s="1955"/>
      <c r="BO252" s="1955"/>
      <c r="BP252" s="1955"/>
      <c r="BQ252" s="1955"/>
      <c r="BR252" s="1955"/>
      <c r="BS252" s="1955"/>
      <c r="BT252" s="1955"/>
      <c r="BU252" s="1955"/>
      <c r="BV252" s="1955"/>
      <c r="BW252" s="1955"/>
      <c r="BX252" s="1955"/>
      <c r="BY252" s="1955"/>
      <c r="BZ252" s="1955"/>
      <c r="CA252" s="1955"/>
      <c r="CB252" s="1955"/>
      <c r="CC252" s="1955"/>
      <c r="CD252" s="1955"/>
      <c r="CE252" s="1955"/>
      <c r="CF252" s="1955"/>
      <c r="CG252" s="1955"/>
      <c r="CH252" s="1955"/>
      <c r="CI252" s="1955"/>
      <c r="CJ252" s="1955"/>
      <c r="CK252" s="1955"/>
      <c r="CL252" s="1955"/>
      <c r="CM252" s="1955"/>
      <c r="CN252" s="1955"/>
      <c r="CO252" s="1955"/>
      <c r="CP252" s="1955"/>
      <c r="CQ252" s="1955"/>
      <c r="CR252" s="1955"/>
      <c r="CS252" s="1955"/>
      <c r="CT252" s="1955"/>
      <c r="CU252" s="1955"/>
      <c r="CV252" s="1955"/>
      <c r="CW252" s="1955"/>
      <c r="CX252" s="1955"/>
      <c r="CY252" s="1955"/>
      <c r="CZ252" s="1955"/>
      <c r="DA252" s="1955"/>
      <c r="DB252" s="1955"/>
      <c r="DC252" s="1955"/>
      <c r="DD252" s="1955"/>
      <c r="DE252" s="1955"/>
      <c r="DF252" s="1955"/>
      <c r="DG252" s="1955"/>
      <c r="DH252" s="1956"/>
      <c r="DI252" s="252"/>
      <c r="DJ252" s="252"/>
      <c r="DK252" s="1962"/>
      <c r="DL252" s="1962"/>
      <c r="DM252" s="1962"/>
      <c r="DN252" s="1962"/>
      <c r="DO252" s="1962"/>
      <c r="DP252" s="1962"/>
      <c r="DQ252" s="1962"/>
      <c r="DR252" s="1962"/>
      <c r="DS252" s="1962"/>
      <c r="DT252" s="1962"/>
      <c r="DU252" s="1962"/>
      <c r="DV252" s="1962"/>
      <c r="DW252" s="1962"/>
      <c r="DX252" s="1962"/>
      <c r="DY252" s="1962"/>
      <c r="DZ252" s="1962"/>
      <c r="EA252" s="1962"/>
      <c r="EB252" s="1962"/>
      <c r="EC252" s="1962"/>
      <c r="ED252" s="1962"/>
      <c r="EE252" s="1962"/>
      <c r="EF252" s="1962"/>
      <c r="EG252" s="1962"/>
      <c r="EH252" s="1962"/>
      <c r="EI252" s="1962"/>
      <c r="EJ252" s="1962"/>
      <c r="EK252" s="1962"/>
      <c r="EL252" s="1962"/>
      <c r="EM252" s="1962"/>
      <c r="EN252" s="1962"/>
      <c r="EO252" s="1962"/>
      <c r="EP252" s="1962"/>
      <c r="EQ252" s="1962"/>
      <c r="ER252" s="1962"/>
      <c r="ES252" s="1962"/>
      <c r="ET252" s="1962"/>
      <c r="EU252" s="1962"/>
      <c r="EV252" s="1962"/>
      <c r="EW252" s="1962"/>
      <c r="EX252" s="1962"/>
      <c r="EY252" s="1962"/>
      <c r="FF252" s="1853"/>
    </row>
    <row r="253" spans="3:162" ht="9" customHeight="1" thickBot="1">
      <c r="C253" s="87"/>
      <c r="D253" s="87"/>
      <c r="E253" s="362"/>
      <c r="F253" s="1912"/>
      <c r="G253" s="1912"/>
      <c r="H253" s="1912"/>
      <c r="I253" s="1912"/>
      <c r="J253" s="1912"/>
      <c r="K253" s="1912"/>
      <c r="L253" s="1912"/>
      <c r="M253" s="1912"/>
      <c r="N253" s="1912"/>
      <c r="O253" s="1912"/>
      <c r="P253" s="1912"/>
      <c r="Q253" s="1912"/>
      <c r="R253" s="1912"/>
      <c r="S253" s="1912"/>
      <c r="T253" s="1912"/>
      <c r="U253" s="1912"/>
      <c r="V253" s="1912"/>
      <c r="W253" s="1912"/>
      <c r="X253" s="1912"/>
      <c r="Y253" s="1912"/>
      <c r="Z253" s="1912"/>
      <c r="AA253" s="1912"/>
      <c r="AB253" s="1912"/>
      <c r="AC253" s="1912"/>
      <c r="AD253" s="1912"/>
      <c r="AE253" s="1912"/>
      <c r="AF253" s="1912"/>
      <c r="AG253" s="1912"/>
      <c r="AH253" s="1912"/>
      <c r="AI253" s="1912"/>
      <c r="AJ253" s="1912"/>
      <c r="AK253" s="1912"/>
      <c r="AL253" s="1912"/>
      <c r="AM253" s="1912"/>
      <c r="AN253" s="1912"/>
      <c r="AO253" s="364"/>
      <c r="AP253" s="252"/>
      <c r="AQ253" s="1957"/>
      <c r="AR253" s="1955"/>
      <c r="AS253" s="1955"/>
      <c r="AT253" s="1955"/>
      <c r="AU253" s="1955"/>
      <c r="AV253" s="1955"/>
      <c r="AW253" s="1955"/>
      <c r="AX253" s="1955"/>
      <c r="AY253" s="1955"/>
      <c r="AZ253" s="1955"/>
      <c r="BA253" s="1955"/>
      <c r="BB253" s="1955"/>
      <c r="BC253" s="1955"/>
      <c r="BD253" s="1955"/>
      <c r="BE253" s="1955"/>
      <c r="BF253" s="1955"/>
      <c r="BG253" s="1955"/>
      <c r="BH253" s="1955"/>
      <c r="BI253" s="1955"/>
      <c r="BJ253" s="1955"/>
      <c r="BK253" s="1955"/>
      <c r="BL253" s="1955"/>
      <c r="BM253" s="1955"/>
      <c r="BN253" s="1955"/>
      <c r="BO253" s="1955"/>
      <c r="BP253" s="1955"/>
      <c r="BQ253" s="1955"/>
      <c r="BR253" s="1955"/>
      <c r="BS253" s="1955"/>
      <c r="BT253" s="1955"/>
      <c r="BU253" s="1955"/>
      <c r="BV253" s="1955"/>
      <c r="BW253" s="1955"/>
      <c r="BX253" s="1955"/>
      <c r="BY253" s="1955"/>
      <c r="BZ253" s="1955"/>
      <c r="CA253" s="1955"/>
      <c r="CB253" s="1955"/>
      <c r="CC253" s="1955"/>
      <c r="CD253" s="1955"/>
      <c r="CE253" s="1955"/>
      <c r="CF253" s="1955"/>
      <c r="CG253" s="1955"/>
      <c r="CH253" s="1955"/>
      <c r="CI253" s="1955"/>
      <c r="CJ253" s="1955"/>
      <c r="CK253" s="1955"/>
      <c r="CL253" s="1955"/>
      <c r="CM253" s="1955"/>
      <c r="CN253" s="1955"/>
      <c r="CO253" s="1955"/>
      <c r="CP253" s="1955"/>
      <c r="CQ253" s="1955"/>
      <c r="CR253" s="1955"/>
      <c r="CS253" s="1955"/>
      <c r="CT253" s="1955"/>
      <c r="CU253" s="1955"/>
      <c r="CV253" s="1955"/>
      <c r="CW253" s="1955"/>
      <c r="CX253" s="1955"/>
      <c r="CY253" s="1955"/>
      <c r="CZ253" s="1955"/>
      <c r="DA253" s="1955"/>
      <c r="DB253" s="1955"/>
      <c r="DC253" s="1955"/>
      <c r="DD253" s="1955"/>
      <c r="DE253" s="1955"/>
      <c r="DF253" s="1955"/>
      <c r="DG253" s="1955"/>
      <c r="DH253" s="1956"/>
      <c r="DI253" s="109"/>
      <c r="DJ253" s="109"/>
      <c r="DK253" s="1962"/>
      <c r="DL253" s="1962"/>
      <c r="DM253" s="1962"/>
      <c r="DN253" s="1962"/>
      <c r="DO253" s="1962"/>
      <c r="DP253" s="1962"/>
      <c r="DQ253" s="1962"/>
      <c r="DR253" s="1962"/>
      <c r="DS253" s="1962"/>
      <c r="DT253" s="1962"/>
      <c r="DU253" s="1962"/>
      <c r="DV253" s="1962"/>
      <c r="DW253" s="1962"/>
      <c r="DX253" s="1962"/>
      <c r="DY253" s="1962"/>
      <c r="DZ253" s="1962"/>
      <c r="EA253" s="1962"/>
      <c r="EB253" s="1962"/>
      <c r="EC253" s="1962"/>
      <c r="ED253" s="1962"/>
      <c r="EE253" s="1962"/>
      <c r="EF253" s="1962"/>
      <c r="EG253" s="1962"/>
      <c r="EH253" s="1962"/>
      <c r="EI253" s="1962"/>
      <c r="EJ253" s="1962"/>
      <c r="EK253" s="1962"/>
      <c r="EL253" s="1962"/>
      <c r="EM253" s="1962"/>
      <c r="EN253" s="1962"/>
      <c r="EO253" s="1962"/>
      <c r="EP253" s="1962"/>
      <c r="EQ253" s="1962"/>
      <c r="ER253" s="1962"/>
      <c r="ES253" s="1962"/>
      <c r="ET253" s="1962"/>
      <c r="EU253" s="1962"/>
      <c r="EV253" s="1962"/>
      <c r="EW253" s="1962"/>
      <c r="EX253" s="1962"/>
      <c r="EY253" s="1962"/>
      <c r="FF253" s="1853"/>
    </row>
    <row r="254" spans="3:162" ht="9" customHeight="1" thickBot="1">
      <c r="C254" s="87"/>
      <c r="D254" s="87"/>
      <c r="E254" s="362"/>
      <c r="F254" s="1910" t="s">
        <v>4057</v>
      </c>
      <c r="G254" s="1911"/>
      <c r="H254" s="1911"/>
      <c r="I254" s="1911"/>
      <c r="J254" s="1911"/>
      <c r="K254" s="1911"/>
      <c r="L254" s="1911"/>
      <c r="M254" s="1911"/>
      <c r="N254" s="1911"/>
      <c r="O254" s="1911"/>
      <c r="P254" s="1911"/>
      <c r="Q254" s="1911"/>
      <c r="R254" s="1911"/>
      <c r="S254" s="1911"/>
      <c r="T254" s="1911"/>
      <c r="U254" s="1911"/>
      <c r="V254" s="1911"/>
      <c r="W254" s="1911"/>
      <c r="X254" s="1911"/>
      <c r="Y254" s="1911"/>
      <c r="Z254" s="1911"/>
      <c r="AA254" s="1911"/>
      <c r="AB254" s="1911"/>
      <c r="AC254" s="1911"/>
      <c r="AD254" s="1911"/>
      <c r="AE254" s="1911"/>
      <c r="AF254" s="1911"/>
      <c r="AG254" s="1911"/>
      <c r="AH254" s="1911"/>
      <c r="AI254" s="1911"/>
      <c r="AJ254" s="1911"/>
      <c r="AK254" s="1911"/>
      <c r="AL254" s="1911"/>
      <c r="AM254" s="1911"/>
      <c r="AN254" s="1911"/>
      <c r="AO254" s="365"/>
      <c r="AP254" s="252"/>
      <c r="AQ254" s="1957"/>
      <c r="AR254" s="1955"/>
      <c r="AS254" s="1955"/>
      <c r="AT254" s="1955"/>
      <c r="AU254" s="1955"/>
      <c r="AV254" s="1955"/>
      <c r="AW254" s="1955"/>
      <c r="AX254" s="1955"/>
      <c r="AY254" s="1955"/>
      <c r="AZ254" s="1955"/>
      <c r="BA254" s="1955"/>
      <c r="BB254" s="1955"/>
      <c r="BC254" s="1955"/>
      <c r="BD254" s="1955"/>
      <c r="BE254" s="1955"/>
      <c r="BF254" s="1955"/>
      <c r="BG254" s="1955"/>
      <c r="BH254" s="1955"/>
      <c r="BI254" s="1955"/>
      <c r="BJ254" s="1955"/>
      <c r="BK254" s="1955"/>
      <c r="BL254" s="1955"/>
      <c r="BM254" s="1955"/>
      <c r="BN254" s="1955"/>
      <c r="BO254" s="1955"/>
      <c r="BP254" s="1955"/>
      <c r="BQ254" s="1955"/>
      <c r="BR254" s="1955"/>
      <c r="BS254" s="1955"/>
      <c r="BT254" s="1955"/>
      <c r="BU254" s="1955"/>
      <c r="BV254" s="1955"/>
      <c r="BW254" s="1955"/>
      <c r="BX254" s="1955"/>
      <c r="BY254" s="1955"/>
      <c r="BZ254" s="1955"/>
      <c r="CA254" s="1955"/>
      <c r="CB254" s="1955"/>
      <c r="CC254" s="1955"/>
      <c r="CD254" s="1955"/>
      <c r="CE254" s="1955"/>
      <c r="CF254" s="1955"/>
      <c r="CG254" s="1955"/>
      <c r="CH254" s="1955"/>
      <c r="CI254" s="1955"/>
      <c r="CJ254" s="1955"/>
      <c r="CK254" s="1955"/>
      <c r="CL254" s="1955"/>
      <c r="CM254" s="1955"/>
      <c r="CN254" s="1955"/>
      <c r="CO254" s="1955"/>
      <c r="CP254" s="1955"/>
      <c r="CQ254" s="1955"/>
      <c r="CR254" s="1955"/>
      <c r="CS254" s="1955"/>
      <c r="CT254" s="1955"/>
      <c r="CU254" s="1955"/>
      <c r="CV254" s="1955"/>
      <c r="CW254" s="1955"/>
      <c r="CX254" s="1955"/>
      <c r="CY254" s="1955"/>
      <c r="CZ254" s="1955"/>
      <c r="DA254" s="1955"/>
      <c r="DB254" s="1955"/>
      <c r="DC254" s="1955"/>
      <c r="DD254" s="1955"/>
      <c r="DE254" s="1955"/>
      <c r="DF254" s="1955"/>
      <c r="DG254" s="1955"/>
      <c r="DH254" s="1956"/>
      <c r="DI254" s="252"/>
      <c r="DJ254" s="252"/>
      <c r="DK254" s="1963"/>
      <c r="DL254" s="1963"/>
      <c r="DM254" s="1963"/>
      <c r="DN254" s="1963"/>
      <c r="DO254" s="1963"/>
      <c r="DP254" s="1963"/>
      <c r="DQ254" s="1963"/>
      <c r="DR254" s="1963"/>
      <c r="DS254" s="1963"/>
      <c r="DT254" s="1963"/>
      <c r="DU254" s="1963"/>
      <c r="DV254" s="1963"/>
      <c r="DW254" s="1963"/>
      <c r="DX254" s="1963"/>
      <c r="DY254" s="1963"/>
      <c r="DZ254" s="1963"/>
      <c r="EA254" s="1963"/>
      <c r="EB254" s="1963"/>
      <c r="EC254" s="1963"/>
      <c r="ED254" s="1963"/>
      <c r="EE254" s="1963"/>
      <c r="EF254" s="1963"/>
      <c r="EG254" s="1963"/>
      <c r="EH254" s="1963"/>
      <c r="EI254" s="1963"/>
      <c r="EJ254" s="1963"/>
      <c r="EK254" s="1963"/>
      <c r="EL254" s="1963"/>
      <c r="EM254" s="1963"/>
      <c r="EN254" s="1963"/>
      <c r="EO254" s="1963"/>
      <c r="EP254" s="1963"/>
      <c r="EQ254" s="1963"/>
      <c r="ER254" s="1963"/>
      <c r="ES254" s="1963"/>
      <c r="ET254" s="1963"/>
      <c r="EU254" s="1963"/>
      <c r="EV254" s="1963"/>
      <c r="EW254" s="1963"/>
      <c r="EX254" s="1963"/>
      <c r="EY254" s="1963"/>
      <c r="FF254" s="1854"/>
    </row>
    <row r="255" spans="3:162" ht="9" customHeight="1">
      <c r="C255" s="87"/>
      <c r="D255" s="87"/>
      <c r="E255" s="362"/>
      <c r="F255" s="1911"/>
      <c r="G255" s="1911"/>
      <c r="H255" s="1911"/>
      <c r="I255" s="1911"/>
      <c r="J255" s="1911"/>
      <c r="K255" s="1911"/>
      <c r="L255" s="1911"/>
      <c r="M255" s="1911"/>
      <c r="N255" s="1911"/>
      <c r="O255" s="1911"/>
      <c r="P255" s="1911"/>
      <c r="Q255" s="1911"/>
      <c r="R255" s="1911"/>
      <c r="S255" s="1911"/>
      <c r="T255" s="1911"/>
      <c r="U255" s="1911"/>
      <c r="V255" s="1911"/>
      <c r="W255" s="1911"/>
      <c r="X255" s="1911"/>
      <c r="Y255" s="1911"/>
      <c r="Z255" s="1911"/>
      <c r="AA255" s="1911"/>
      <c r="AB255" s="1911"/>
      <c r="AC255" s="1911"/>
      <c r="AD255" s="1911"/>
      <c r="AE255" s="1911"/>
      <c r="AF255" s="1911"/>
      <c r="AG255" s="1911"/>
      <c r="AH255" s="1911"/>
      <c r="AI255" s="1911"/>
      <c r="AJ255" s="1911"/>
      <c r="AK255" s="1911"/>
      <c r="AL255" s="1911"/>
      <c r="AM255" s="1911"/>
      <c r="AN255" s="1911"/>
      <c r="AO255" s="365"/>
      <c r="AP255" s="109"/>
      <c r="AQ255" s="1954" t="str">
        <f>IF(Background&lt;&gt;"None",INDEX(BackgroundData,MATCH(Background,BackgroundList,0),4),"")</f>
        <v/>
      </c>
      <c r="AR255" s="1955"/>
      <c r="AS255" s="1955"/>
      <c r="AT255" s="1955"/>
      <c r="AU255" s="1955"/>
      <c r="AV255" s="1955"/>
      <c r="AW255" s="1955"/>
      <c r="AX255" s="1955"/>
      <c r="AY255" s="1955"/>
      <c r="AZ255" s="1955"/>
      <c r="BA255" s="1955"/>
      <c r="BB255" s="1955"/>
      <c r="BC255" s="1955"/>
      <c r="BD255" s="1955"/>
      <c r="BE255" s="1955"/>
      <c r="BF255" s="1955"/>
      <c r="BG255" s="1955"/>
      <c r="BH255" s="1955"/>
      <c r="BI255" s="1955"/>
      <c r="BJ255" s="1955"/>
      <c r="BK255" s="1955"/>
      <c r="BL255" s="1955"/>
      <c r="BM255" s="1955"/>
      <c r="BN255" s="1955"/>
      <c r="BO255" s="1955"/>
      <c r="BP255" s="1955"/>
      <c r="BQ255" s="1955"/>
      <c r="BR255" s="1955"/>
      <c r="BS255" s="1955"/>
      <c r="BT255" s="1955"/>
      <c r="BU255" s="1955"/>
      <c r="BV255" s="1955"/>
      <c r="BW255" s="1955"/>
      <c r="BX255" s="1955"/>
      <c r="BY255" s="1955"/>
      <c r="BZ255" s="1955"/>
      <c r="CA255" s="1955"/>
      <c r="CB255" s="1955"/>
      <c r="CC255" s="1955"/>
      <c r="CD255" s="1955"/>
      <c r="CE255" s="1955"/>
      <c r="CF255" s="1955"/>
      <c r="CG255" s="1955"/>
      <c r="CH255" s="1955"/>
      <c r="CI255" s="1955"/>
      <c r="CJ255" s="1955"/>
      <c r="CK255" s="1955"/>
      <c r="CL255" s="1955"/>
      <c r="CM255" s="1955"/>
      <c r="CN255" s="1955"/>
      <c r="CO255" s="1955"/>
      <c r="CP255" s="1955"/>
      <c r="CQ255" s="1955"/>
      <c r="CR255" s="1955"/>
      <c r="CS255" s="1955"/>
      <c r="CT255" s="1955"/>
      <c r="CU255" s="1955"/>
      <c r="CV255" s="1955"/>
      <c r="CW255" s="1955"/>
      <c r="CX255" s="1955"/>
      <c r="CY255" s="1955"/>
      <c r="CZ255" s="1955"/>
      <c r="DA255" s="1955"/>
      <c r="DB255" s="1955"/>
      <c r="DC255" s="1955"/>
      <c r="DD255" s="1955"/>
      <c r="DE255" s="1955"/>
      <c r="DF255" s="1955"/>
      <c r="DG255" s="1955"/>
      <c r="DH255" s="1956"/>
      <c r="DI255" s="252"/>
      <c r="DJ255" s="252"/>
      <c r="DK255" s="1961" t="str">
        <f>IF(Race="","",IF(NOT(ISERROR(FF255)),MID(StarshipManeuversTaken,FF251+1,FF255-FF251-1),""))</f>
        <v/>
      </c>
      <c r="DL255" s="1962"/>
      <c r="DM255" s="1962"/>
      <c r="DN255" s="1962"/>
      <c r="DO255" s="1962"/>
      <c r="DP255" s="1962"/>
      <c r="DQ255" s="1962"/>
      <c r="DR255" s="1962"/>
      <c r="DS255" s="1962"/>
      <c r="DT255" s="1962"/>
      <c r="DU255" s="1962"/>
      <c r="DV255" s="1962"/>
      <c r="DW255" s="1962"/>
      <c r="DX255" s="1962"/>
      <c r="DY255" s="1962"/>
      <c r="DZ255" s="1962"/>
      <c r="EA255" s="1962"/>
      <c r="EB255" s="1962"/>
      <c r="EC255" s="1962"/>
      <c r="ED255" s="1962"/>
      <c r="EE255" s="1962"/>
      <c r="EF255" s="1962"/>
      <c r="EG255" s="1962"/>
      <c r="EH255" s="1962"/>
      <c r="EI255" s="1962"/>
      <c r="EJ255" s="1962"/>
      <c r="EK255" s="1962"/>
      <c r="EL255" s="1962"/>
      <c r="EM255" s="1962"/>
      <c r="EN255" s="1962"/>
      <c r="EO255" s="1962"/>
      <c r="EP255" s="1962"/>
      <c r="EQ255" s="1962"/>
      <c r="ER255" s="1962"/>
      <c r="ES255" s="1962"/>
      <c r="ET255" s="1962"/>
      <c r="EU255" s="1962"/>
      <c r="EV255" s="1962"/>
      <c r="EW255" s="1962"/>
      <c r="EX255" s="1962"/>
      <c r="EY255" s="1962"/>
      <c r="FF255" s="1853" t="e">
        <f>FIND(";",StarshipManeuversTaken,FF251+1)</f>
        <v>#VALUE!</v>
      </c>
    </row>
    <row r="256" spans="3:162" ht="9" customHeight="1" thickBot="1">
      <c r="C256" s="87"/>
      <c r="D256" s="87"/>
      <c r="E256" s="362"/>
      <c r="F256" s="1912"/>
      <c r="G256" s="1912"/>
      <c r="H256" s="1912"/>
      <c r="I256" s="1912"/>
      <c r="J256" s="1912"/>
      <c r="K256" s="1912"/>
      <c r="L256" s="1912"/>
      <c r="M256" s="1912"/>
      <c r="N256" s="1912"/>
      <c r="O256" s="1912"/>
      <c r="P256" s="1912"/>
      <c r="Q256" s="1912"/>
      <c r="R256" s="1912"/>
      <c r="S256" s="1912"/>
      <c r="T256" s="1912"/>
      <c r="U256" s="1912"/>
      <c r="V256" s="1912"/>
      <c r="W256" s="1912"/>
      <c r="X256" s="1912"/>
      <c r="Y256" s="1912"/>
      <c r="Z256" s="1912"/>
      <c r="AA256" s="1912"/>
      <c r="AB256" s="1912"/>
      <c r="AC256" s="1912"/>
      <c r="AD256" s="1912"/>
      <c r="AE256" s="1912"/>
      <c r="AF256" s="1912"/>
      <c r="AG256" s="1912"/>
      <c r="AH256" s="1912"/>
      <c r="AI256" s="1912"/>
      <c r="AJ256" s="1912"/>
      <c r="AK256" s="1912"/>
      <c r="AL256" s="1912"/>
      <c r="AM256" s="1912"/>
      <c r="AN256" s="1912"/>
      <c r="AO256" s="365"/>
      <c r="AP256" s="252"/>
      <c r="AQ256" s="1957"/>
      <c r="AR256" s="1955"/>
      <c r="AS256" s="1955"/>
      <c r="AT256" s="1955"/>
      <c r="AU256" s="1955"/>
      <c r="AV256" s="1955"/>
      <c r="AW256" s="1955"/>
      <c r="AX256" s="1955"/>
      <c r="AY256" s="1955"/>
      <c r="AZ256" s="1955"/>
      <c r="BA256" s="1955"/>
      <c r="BB256" s="1955"/>
      <c r="BC256" s="1955"/>
      <c r="BD256" s="1955"/>
      <c r="BE256" s="1955"/>
      <c r="BF256" s="1955"/>
      <c r="BG256" s="1955"/>
      <c r="BH256" s="1955"/>
      <c r="BI256" s="1955"/>
      <c r="BJ256" s="1955"/>
      <c r="BK256" s="1955"/>
      <c r="BL256" s="1955"/>
      <c r="BM256" s="1955"/>
      <c r="BN256" s="1955"/>
      <c r="BO256" s="1955"/>
      <c r="BP256" s="1955"/>
      <c r="BQ256" s="1955"/>
      <c r="BR256" s="1955"/>
      <c r="BS256" s="1955"/>
      <c r="BT256" s="1955"/>
      <c r="BU256" s="1955"/>
      <c r="BV256" s="1955"/>
      <c r="BW256" s="1955"/>
      <c r="BX256" s="1955"/>
      <c r="BY256" s="1955"/>
      <c r="BZ256" s="1955"/>
      <c r="CA256" s="1955"/>
      <c r="CB256" s="1955"/>
      <c r="CC256" s="1955"/>
      <c r="CD256" s="1955"/>
      <c r="CE256" s="1955"/>
      <c r="CF256" s="1955"/>
      <c r="CG256" s="1955"/>
      <c r="CH256" s="1955"/>
      <c r="CI256" s="1955"/>
      <c r="CJ256" s="1955"/>
      <c r="CK256" s="1955"/>
      <c r="CL256" s="1955"/>
      <c r="CM256" s="1955"/>
      <c r="CN256" s="1955"/>
      <c r="CO256" s="1955"/>
      <c r="CP256" s="1955"/>
      <c r="CQ256" s="1955"/>
      <c r="CR256" s="1955"/>
      <c r="CS256" s="1955"/>
      <c r="CT256" s="1955"/>
      <c r="CU256" s="1955"/>
      <c r="CV256" s="1955"/>
      <c r="CW256" s="1955"/>
      <c r="CX256" s="1955"/>
      <c r="CY256" s="1955"/>
      <c r="CZ256" s="1955"/>
      <c r="DA256" s="1955"/>
      <c r="DB256" s="1955"/>
      <c r="DC256" s="1955"/>
      <c r="DD256" s="1955"/>
      <c r="DE256" s="1955"/>
      <c r="DF256" s="1955"/>
      <c r="DG256" s="1955"/>
      <c r="DH256" s="1956"/>
      <c r="DI256" s="252"/>
      <c r="DJ256" s="252"/>
      <c r="DK256" s="1962"/>
      <c r="DL256" s="1962"/>
      <c r="DM256" s="1962"/>
      <c r="DN256" s="1962"/>
      <c r="DO256" s="1962"/>
      <c r="DP256" s="1962"/>
      <c r="DQ256" s="1962"/>
      <c r="DR256" s="1962"/>
      <c r="DS256" s="1962"/>
      <c r="DT256" s="1962"/>
      <c r="DU256" s="1962"/>
      <c r="DV256" s="1962"/>
      <c r="DW256" s="1962"/>
      <c r="DX256" s="1962"/>
      <c r="DY256" s="1962"/>
      <c r="DZ256" s="1962"/>
      <c r="EA256" s="1962"/>
      <c r="EB256" s="1962"/>
      <c r="EC256" s="1962"/>
      <c r="ED256" s="1962"/>
      <c r="EE256" s="1962"/>
      <c r="EF256" s="1962"/>
      <c r="EG256" s="1962"/>
      <c r="EH256" s="1962"/>
      <c r="EI256" s="1962"/>
      <c r="EJ256" s="1962"/>
      <c r="EK256" s="1962"/>
      <c r="EL256" s="1962"/>
      <c r="EM256" s="1962"/>
      <c r="EN256" s="1962"/>
      <c r="EO256" s="1962"/>
      <c r="EP256" s="1962"/>
      <c r="EQ256" s="1962"/>
      <c r="ER256" s="1962"/>
      <c r="ES256" s="1962"/>
      <c r="ET256" s="1962"/>
      <c r="EU256" s="1962"/>
      <c r="EV256" s="1962"/>
      <c r="EW256" s="1962"/>
      <c r="EX256" s="1962"/>
      <c r="EY256" s="1962"/>
      <c r="FF256" s="1853"/>
    </row>
    <row r="257" spans="3:162" ht="9" customHeight="1">
      <c r="C257" s="87"/>
      <c r="D257" s="87"/>
      <c r="E257" s="362"/>
      <c r="F257" s="1910" t="s">
        <v>4353</v>
      </c>
      <c r="G257" s="1911"/>
      <c r="H257" s="1911"/>
      <c r="I257" s="1911"/>
      <c r="J257" s="1911"/>
      <c r="K257" s="1911"/>
      <c r="L257" s="1911"/>
      <c r="M257" s="1911"/>
      <c r="N257" s="1911"/>
      <c r="O257" s="1911"/>
      <c r="P257" s="1911"/>
      <c r="Q257" s="1911"/>
      <c r="R257" s="1911"/>
      <c r="S257" s="1911"/>
      <c r="T257" s="1911"/>
      <c r="U257" s="1911"/>
      <c r="V257" s="1911"/>
      <c r="W257" s="1911"/>
      <c r="X257" s="1911"/>
      <c r="Y257" s="1911"/>
      <c r="Z257" s="1911"/>
      <c r="AA257" s="1911"/>
      <c r="AB257" s="1911"/>
      <c r="AC257" s="1911"/>
      <c r="AD257" s="1911"/>
      <c r="AE257" s="1911"/>
      <c r="AF257" s="1911"/>
      <c r="AG257" s="1911"/>
      <c r="AH257" s="1911"/>
      <c r="AI257" s="1911"/>
      <c r="AJ257" s="1911"/>
      <c r="AK257" s="1911"/>
      <c r="AL257" s="1911"/>
      <c r="AM257" s="1911"/>
      <c r="AN257" s="1911"/>
      <c r="AO257" s="365"/>
      <c r="AP257" s="252"/>
      <c r="AQ257" s="1957"/>
      <c r="AR257" s="1955"/>
      <c r="AS257" s="1955"/>
      <c r="AT257" s="1955"/>
      <c r="AU257" s="1955"/>
      <c r="AV257" s="1955"/>
      <c r="AW257" s="1955"/>
      <c r="AX257" s="1955"/>
      <c r="AY257" s="1955"/>
      <c r="AZ257" s="1955"/>
      <c r="BA257" s="1955"/>
      <c r="BB257" s="1955"/>
      <c r="BC257" s="1955"/>
      <c r="BD257" s="1955"/>
      <c r="BE257" s="1955"/>
      <c r="BF257" s="1955"/>
      <c r="BG257" s="1955"/>
      <c r="BH257" s="1955"/>
      <c r="BI257" s="1955"/>
      <c r="BJ257" s="1955"/>
      <c r="BK257" s="1955"/>
      <c r="BL257" s="1955"/>
      <c r="BM257" s="1955"/>
      <c r="BN257" s="1955"/>
      <c r="BO257" s="1955"/>
      <c r="BP257" s="1955"/>
      <c r="BQ257" s="1955"/>
      <c r="BR257" s="1955"/>
      <c r="BS257" s="1955"/>
      <c r="BT257" s="1955"/>
      <c r="BU257" s="1955"/>
      <c r="BV257" s="1955"/>
      <c r="BW257" s="1955"/>
      <c r="BX257" s="1955"/>
      <c r="BY257" s="1955"/>
      <c r="BZ257" s="1955"/>
      <c r="CA257" s="1955"/>
      <c r="CB257" s="1955"/>
      <c r="CC257" s="1955"/>
      <c r="CD257" s="1955"/>
      <c r="CE257" s="1955"/>
      <c r="CF257" s="1955"/>
      <c r="CG257" s="1955"/>
      <c r="CH257" s="1955"/>
      <c r="CI257" s="1955"/>
      <c r="CJ257" s="1955"/>
      <c r="CK257" s="1955"/>
      <c r="CL257" s="1955"/>
      <c r="CM257" s="1955"/>
      <c r="CN257" s="1955"/>
      <c r="CO257" s="1955"/>
      <c r="CP257" s="1955"/>
      <c r="CQ257" s="1955"/>
      <c r="CR257" s="1955"/>
      <c r="CS257" s="1955"/>
      <c r="CT257" s="1955"/>
      <c r="CU257" s="1955"/>
      <c r="CV257" s="1955"/>
      <c r="CW257" s="1955"/>
      <c r="CX257" s="1955"/>
      <c r="CY257" s="1955"/>
      <c r="CZ257" s="1955"/>
      <c r="DA257" s="1955"/>
      <c r="DB257" s="1955"/>
      <c r="DC257" s="1955"/>
      <c r="DD257" s="1955"/>
      <c r="DE257" s="1955"/>
      <c r="DF257" s="1955"/>
      <c r="DG257" s="1955"/>
      <c r="DH257" s="1956"/>
      <c r="DI257" s="109"/>
      <c r="DJ257" s="109"/>
      <c r="DK257" s="1962"/>
      <c r="DL257" s="1962"/>
      <c r="DM257" s="1962"/>
      <c r="DN257" s="1962"/>
      <c r="DO257" s="1962"/>
      <c r="DP257" s="1962"/>
      <c r="DQ257" s="1962"/>
      <c r="DR257" s="1962"/>
      <c r="DS257" s="1962"/>
      <c r="DT257" s="1962"/>
      <c r="DU257" s="1962"/>
      <c r="DV257" s="1962"/>
      <c r="DW257" s="1962"/>
      <c r="DX257" s="1962"/>
      <c r="DY257" s="1962"/>
      <c r="DZ257" s="1962"/>
      <c r="EA257" s="1962"/>
      <c r="EB257" s="1962"/>
      <c r="EC257" s="1962"/>
      <c r="ED257" s="1962"/>
      <c r="EE257" s="1962"/>
      <c r="EF257" s="1962"/>
      <c r="EG257" s="1962"/>
      <c r="EH257" s="1962"/>
      <c r="EI257" s="1962"/>
      <c r="EJ257" s="1962"/>
      <c r="EK257" s="1962"/>
      <c r="EL257" s="1962"/>
      <c r="EM257" s="1962"/>
      <c r="EN257" s="1962"/>
      <c r="EO257" s="1962"/>
      <c r="EP257" s="1962"/>
      <c r="EQ257" s="1962"/>
      <c r="ER257" s="1962"/>
      <c r="ES257" s="1962"/>
      <c r="ET257" s="1962"/>
      <c r="EU257" s="1962"/>
      <c r="EV257" s="1962"/>
      <c r="EW257" s="1962"/>
      <c r="EX257" s="1962"/>
      <c r="EY257" s="1962"/>
      <c r="FF257" s="1853"/>
    </row>
    <row r="258" spans="3:162" ht="9" customHeight="1" thickBot="1">
      <c r="C258" s="87"/>
      <c r="D258" s="87"/>
      <c r="E258" s="362"/>
      <c r="F258" s="1911"/>
      <c r="G258" s="1911"/>
      <c r="H258" s="1911"/>
      <c r="I258" s="1911"/>
      <c r="J258" s="1911"/>
      <c r="K258" s="1911"/>
      <c r="L258" s="1911"/>
      <c r="M258" s="1911"/>
      <c r="N258" s="1911"/>
      <c r="O258" s="1911"/>
      <c r="P258" s="1911"/>
      <c r="Q258" s="1911"/>
      <c r="R258" s="1911"/>
      <c r="S258" s="1911"/>
      <c r="T258" s="1911"/>
      <c r="U258" s="1911"/>
      <c r="V258" s="1911"/>
      <c r="W258" s="1911"/>
      <c r="X258" s="1911"/>
      <c r="Y258" s="1911"/>
      <c r="Z258" s="1911"/>
      <c r="AA258" s="1911"/>
      <c r="AB258" s="1911"/>
      <c r="AC258" s="1911"/>
      <c r="AD258" s="1911"/>
      <c r="AE258" s="1911"/>
      <c r="AF258" s="1911"/>
      <c r="AG258" s="1911"/>
      <c r="AH258" s="1911"/>
      <c r="AI258" s="1911"/>
      <c r="AJ258" s="1911"/>
      <c r="AK258" s="1911"/>
      <c r="AL258" s="1911"/>
      <c r="AM258" s="1911"/>
      <c r="AN258" s="1911"/>
      <c r="AO258" s="365"/>
      <c r="AP258" s="252"/>
      <c r="AQ258" s="1957"/>
      <c r="AR258" s="1955"/>
      <c r="AS258" s="1955"/>
      <c r="AT258" s="1955"/>
      <c r="AU258" s="1955"/>
      <c r="AV258" s="1955"/>
      <c r="AW258" s="1955"/>
      <c r="AX258" s="1955"/>
      <c r="AY258" s="1955"/>
      <c r="AZ258" s="1955"/>
      <c r="BA258" s="1955"/>
      <c r="BB258" s="1955"/>
      <c r="BC258" s="1955"/>
      <c r="BD258" s="1955"/>
      <c r="BE258" s="1955"/>
      <c r="BF258" s="1955"/>
      <c r="BG258" s="1955"/>
      <c r="BH258" s="1955"/>
      <c r="BI258" s="1955"/>
      <c r="BJ258" s="1955"/>
      <c r="BK258" s="1955"/>
      <c r="BL258" s="1955"/>
      <c r="BM258" s="1955"/>
      <c r="BN258" s="1955"/>
      <c r="BO258" s="1955"/>
      <c r="BP258" s="1955"/>
      <c r="BQ258" s="1955"/>
      <c r="BR258" s="1955"/>
      <c r="BS258" s="1955"/>
      <c r="BT258" s="1955"/>
      <c r="BU258" s="1955"/>
      <c r="BV258" s="1955"/>
      <c r="BW258" s="1955"/>
      <c r="BX258" s="1955"/>
      <c r="BY258" s="1955"/>
      <c r="BZ258" s="1955"/>
      <c r="CA258" s="1955"/>
      <c r="CB258" s="1955"/>
      <c r="CC258" s="1955"/>
      <c r="CD258" s="1955"/>
      <c r="CE258" s="1955"/>
      <c r="CF258" s="1955"/>
      <c r="CG258" s="1955"/>
      <c r="CH258" s="1955"/>
      <c r="CI258" s="1955"/>
      <c r="CJ258" s="1955"/>
      <c r="CK258" s="1955"/>
      <c r="CL258" s="1955"/>
      <c r="CM258" s="1955"/>
      <c r="CN258" s="1955"/>
      <c r="CO258" s="1955"/>
      <c r="CP258" s="1955"/>
      <c r="CQ258" s="1955"/>
      <c r="CR258" s="1955"/>
      <c r="CS258" s="1955"/>
      <c r="CT258" s="1955"/>
      <c r="CU258" s="1955"/>
      <c r="CV258" s="1955"/>
      <c r="CW258" s="1955"/>
      <c r="CX258" s="1955"/>
      <c r="CY258" s="1955"/>
      <c r="CZ258" s="1955"/>
      <c r="DA258" s="1955"/>
      <c r="DB258" s="1955"/>
      <c r="DC258" s="1955"/>
      <c r="DD258" s="1955"/>
      <c r="DE258" s="1955"/>
      <c r="DF258" s="1955"/>
      <c r="DG258" s="1955"/>
      <c r="DH258" s="1956"/>
      <c r="DI258" s="252"/>
      <c r="DJ258" s="252"/>
      <c r="DK258" s="1963"/>
      <c r="DL258" s="1963"/>
      <c r="DM258" s="1963"/>
      <c r="DN258" s="1963"/>
      <c r="DO258" s="1963"/>
      <c r="DP258" s="1963"/>
      <c r="DQ258" s="1963"/>
      <c r="DR258" s="1963"/>
      <c r="DS258" s="1963"/>
      <c r="DT258" s="1963"/>
      <c r="DU258" s="1963"/>
      <c r="DV258" s="1963"/>
      <c r="DW258" s="1963"/>
      <c r="DX258" s="1963"/>
      <c r="DY258" s="1963"/>
      <c r="DZ258" s="1963"/>
      <c r="EA258" s="1963"/>
      <c r="EB258" s="1963"/>
      <c r="EC258" s="1963"/>
      <c r="ED258" s="1963"/>
      <c r="EE258" s="1963"/>
      <c r="EF258" s="1963"/>
      <c r="EG258" s="1963"/>
      <c r="EH258" s="1963"/>
      <c r="EI258" s="1963"/>
      <c r="EJ258" s="1963"/>
      <c r="EK258" s="1963"/>
      <c r="EL258" s="1963"/>
      <c r="EM258" s="1963"/>
      <c r="EN258" s="1963"/>
      <c r="EO258" s="1963"/>
      <c r="EP258" s="1963"/>
      <c r="EQ258" s="1963"/>
      <c r="ER258" s="1963"/>
      <c r="ES258" s="1963"/>
      <c r="ET258" s="1963"/>
      <c r="EU258" s="1963"/>
      <c r="EV258" s="1963"/>
      <c r="EW258" s="1963"/>
      <c r="EX258" s="1963"/>
      <c r="EY258" s="1963"/>
      <c r="FF258" s="1854"/>
    </row>
    <row r="259" spans="3:162" ht="9" customHeight="1" thickBot="1">
      <c r="C259" s="87"/>
      <c r="D259" s="87"/>
      <c r="E259" s="362"/>
      <c r="F259" s="1912"/>
      <c r="G259" s="1912"/>
      <c r="H259" s="1912"/>
      <c r="I259" s="1912"/>
      <c r="J259" s="1912"/>
      <c r="K259" s="1912"/>
      <c r="L259" s="1912"/>
      <c r="M259" s="1912"/>
      <c r="N259" s="1912"/>
      <c r="O259" s="1912"/>
      <c r="P259" s="1912"/>
      <c r="Q259" s="1912"/>
      <c r="R259" s="1912"/>
      <c r="S259" s="1912"/>
      <c r="T259" s="1912"/>
      <c r="U259" s="1912"/>
      <c r="V259" s="1912"/>
      <c r="W259" s="1912"/>
      <c r="X259" s="1912"/>
      <c r="Y259" s="1912"/>
      <c r="Z259" s="1912"/>
      <c r="AA259" s="1912"/>
      <c r="AB259" s="1912"/>
      <c r="AC259" s="1912"/>
      <c r="AD259" s="1912"/>
      <c r="AE259" s="1912"/>
      <c r="AF259" s="1912"/>
      <c r="AG259" s="1912"/>
      <c r="AH259" s="1912"/>
      <c r="AI259" s="1912"/>
      <c r="AJ259" s="1912"/>
      <c r="AK259" s="1912"/>
      <c r="AL259" s="1912"/>
      <c r="AM259" s="1912"/>
      <c r="AN259" s="1912"/>
      <c r="AO259" s="365"/>
      <c r="AP259" s="109"/>
      <c r="AQ259" s="1954" t="str">
        <f>IF(Background&lt;&gt;"None",INDEX(BackgroundData,MATCH(Background,BackgroundList,0),4),"")</f>
        <v/>
      </c>
      <c r="AR259" s="1955"/>
      <c r="AS259" s="1955"/>
      <c r="AT259" s="1955"/>
      <c r="AU259" s="1955"/>
      <c r="AV259" s="1955"/>
      <c r="AW259" s="1955"/>
      <c r="AX259" s="1955"/>
      <c r="AY259" s="1955"/>
      <c r="AZ259" s="1955"/>
      <c r="BA259" s="1955"/>
      <c r="BB259" s="1955"/>
      <c r="BC259" s="1955"/>
      <c r="BD259" s="1955"/>
      <c r="BE259" s="1955"/>
      <c r="BF259" s="1955"/>
      <c r="BG259" s="1955"/>
      <c r="BH259" s="1955"/>
      <c r="BI259" s="1955"/>
      <c r="BJ259" s="1955"/>
      <c r="BK259" s="1955"/>
      <c r="BL259" s="1955"/>
      <c r="BM259" s="1955"/>
      <c r="BN259" s="1955"/>
      <c r="BO259" s="1955"/>
      <c r="BP259" s="1955"/>
      <c r="BQ259" s="1955"/>
      <c r="BR259" s="1955"/>
      <c r="BS259" s="1955"/>
      <c r="BT259" s="1955"/>
      <c r="BU259" s="1955"/>
      <c r="BV259" s="1955"/>
      <c r="BW259" s="1955"/>
      <c r="BX259" s="1955"/>
      <c r="BY259" s="1955"/>
      <c r="BZ259" s="1955"/>
      <c r="CA259" s="1955"/>
      <c r="CB259" s="1955"/>
      <c r="CC259" s="1955"/>
      <c r="CD259" s="1955"/>
      <c r="CE259" s="1955"/>
      <c r="CF259" s="1955"/>
      <c r="CG259" s="1955"/>
      <c r="CH259" s="1955"/>
      <c r="CI259" s="1955"/>
      <c r="CJ259" s="1955"/>
      <c r="CK259" s="1955"/>
      <c r="CL259" s="1955"/>
      <c r="CM259" s="1955"/>
      <c r="CN259" s="1955"/>
      <c r="CO259" s="1955"/>
      <c r="CP259" s="1955"/>
      <c r="CQ259" s="1955"/>
      <c r="CR259" s="1955"/>
      <c r="CS259" s="1955"/>
      <c r="CT259" s="1955"/>
      <c r="CU259" s="1955"/>
      <c r="CV259" s="1955"/>
      <c r="CW259" s="1955"/>
      <c r="CX259" s="1955"/>
      <c r="CY259" s="1955"/>
      <c r="CZ259" s="1955"/>
      <c r="DA259" s="1955"/>
      <c r="DB259" s="1955"/>
      <c r="DC259" s="1955"/>
      <c r="DD259" s="1955"/>
      <c r="DE259" s="1955"/>
      <c r="DF259" s="1955"/>
      <c r="DG259" s="1955"/>
      <c r="DH259" s="1956"/>
      <c r="DI259" s="252"/>
      <c r="DJ259" s="252"/>
      <c r="DK259" s="1961" t="str">
        <f>IF(Race="","",IF(NOT(ISERROR(FF259)),MID(StarshipManeuversTaken,FF255+1,FF259-FF255-1),""))</f>
        <v/>
      </c>
      <c r="DL259" s="1962"/>
      <c r="DM259" s="1962"/>
      <c r="DN259" s="1962"/>
      <c r="DO259" s="1962"/>
      <c r="DP259" s="1962"/>
      <c r="DQ259" s="1962"/>
      <c r="DR259" s="1962"/>
      <c r="DS259" s="1962"/>
      <c r="DT259" s="1962"/>
      <c r="DU259" s="1962"/>
      <c r="DV259" s="1962"/>
      <c r="DW259" s="1962"/>
      <c r="DX259" s="1962"/>
      <c r="DY259" s="1962"/>
      <c r="DZ259" s="1962"/>
      <c r="EA259" s="1962"/>
      <c r="EB259" s="1962"/>
      <c r="EC259" s="1962"/>
      <c r="ED259" s="1962"/>
      <c r="EE259" s="1962"/>
      <c r="EF259" s="1962"/>
      <c r="EG259" s="1962"/>
      <c r="EH259" s="1962"/>
      <c r="EI259" s="1962"/>
      <c r="EJ259" s="1962"/>
      <c r="EK259" s="1962"/>
      <c r="EL259" s="1962"/>
      <c r="EM259" s="1962"/>
      <c r="EN259" s="1962"/>
      <c r="EO259" s="1962"/>
      <c r="EP259" s="1962"/>
      <c r="EQ259" s="1962"/>
      <c r="ER259" s="1962"/>
      <c r="ES259" s="1962"/>
      <c r="ET259" s="1962"/>
      <c r="EU259" s="1962"/>
      <c r="EV259" s="1962"/>
      <c r="EW259" s="1962"/>
      <c r="EX259" s="1962"/>
      <c r="EY259" s="1962"/>
      <c r="FF259" s="1853" t="e">
        <f>FIND(";",StarshipManeuversTaken,FF255+1)</f>
        <v>#VALUE!</v>
      </c>
    </row>
    <row r="260" spans="3:162" ht="9" customHeight="1">
      <c r="C260" s="87"/>
      <c r="D260" s="87"/>
      <c r="E260" s="362"/>
      <c r="F260" s="1910"/>
      <c r="G260" s="1911"/>
      <c r="H260" s="1911"/>
      <c r="I260" s="1911"/>
      <c r="J260" s="1911"/>
      <c r="K260" s="1911"/>
      <c r="L260" s="1911"/>
      <c r="M260" s="1911"/>
      <c r="N260" s="1911"/>
      <c r="O260" s="1911"/>
      <c r="P260" s="1911"/>
      <c r="Q260" s="1911"/>
      <c r="R260" s="1911"/>
      <c r="S260" s="1911"/>
      <c r="T260" s="1911"/>
      <c r="U260" s="1911"/>
      <c r="V260" s="1911"/>
      <c r="W260" s="1911"/>
      <c r="X260" s="1911"/>
      <c r="Y260" s="1911"/>
      <c r="Z260" s="1911"/>
      <c r="AA260" s="1911"/>
      <c r="AB260" s="1911"/>
      <c r="AC260" s="1911"/>
      <c r="AD260" s="1911"/>
      <c r="AE260" s="1911"/>
      <c r="AF260" s="1911"/>
      <c r="AG260" s="1911"/>
      <c r="AH260" s="1911"/>
      <c r="AI260" s="1911"/>
      <c r="AJ260" s="1911"/>
      <c r="AK260" s="1911"/>
      <c r="AL260" s="1911"/>
      <c r="AM260" s="1911"/>
      <c r="AN260" s="1911"/>
      <c r="AO260" s="365"/>
      <c r="AP260" s="252"/>
      <c r="AQ260" s="1957"/>
      <c r="AR260" s="1955"/>
      <c r="AS260" s="1955"/>
      <c r="AT260" s="1955"/>
      <c r="AU260" s="1955"/>
      <c r="AV260" s="1955"/>
      <c r="AW260" s="1955"/>
      <c r="AX260" s="1955"/>
      <c r="AY260" s="1955"/>
      <c r="AZ260" s="1955"/>
      <c r="BA260" s="1955"/>
      <c r="BB260" s="1955"/>
      <c r="BC260" s="1955"/>
      <c r="BD260" s="1955"/>
      <c r="BE260" s="1955"/>
      <c r="BF260" s="1955"/>
      <c r="BG260" s="1955"/>
      <c r="BH260" s="1955"/>
      <c r="BI260" s="1955"/>
      <c r="BJ260" s="1955"/>
      <c r="BK260" s="1955"/>
      <c r="BL260" s="1955"/>
      <c r="BM260" s="1955"/>
      <c r="BN260" s="1955"/>
      <c r="BO260" s="1955"/>
      <c r="BP260" s="1955"/>
      <c r="BQ260" s="1955"/>
      <c r="BR260" s="1955"/>
      <c r="BS260" s="1955"/>
      <c r="BT260" s="1955"/>
      <c r="BU260" s="1955"/>
      <c r="BV260" s="1955"/>
      <c r="BW260" s="1955"/>
      <c r="BX260" s="1955"/>
      <c r="BY260" s="1955"/>
      <c r="BZ260" s="1955"/>
      <c r="CA260" s="1955"/>
      <c r="CB260" s="1955"/>
      <c r="CC260" s="1955"/>
      <c r="CD260" s="1955"/>
      <c r="CE260" s="1955"/>
      <c r="CF260" s="1955"/>
      <c r="CG260" s="1955"/>
      <c r="CH260" s="1955"/>
      <c r="CI260" s="1955"/>
      <c r="CJ260" s="1955"/>
      <c r="CK260" s="1955"/>
      <c r="CL260" s="1955"/>
      <c r="CM260" s="1955"/>
      <c r="CN260" s="1955"/>
      <c r="CO260" s="1955"/>
      <c r="CP260" s="1955"/>
      <c r="CQ260" s="1955"/>
      <c r="CR260" s="1955"/>
      <c r="CS260" s="1955"/>
      <c r="CT260" s="1955"/>
      <c r="CU260" s="1955"/>
      <c r="CV260" s="1955"/>
      <c r="CW260" s="1955"/>
      <c r="CX260" s="1955"/>
      <c r="CY260" s="1955"/>
      <c r="CZ260" s="1955"/>
      <c r="DA260" s="1955"/>
      <c r="DB260" s="1955"/>
      <c r="DC260" s="1955"/>
      <c r="DD260" s="1955"/>
      <c r="DE260" s="1955"/>
      <c r="DF260" s="1955"/>
      <c r="DG260" s="1955"/>
      <c r="DH260" s="1956"/>
      <c r="DI260" s="252"/>
      <c r="DJ260" s="252"/>
      <c r="DK260" s="1962"/>
      <c r="DL260" s="1962"/>
      <c r="DM260" s="1962"/>
      <c r="DN260" s="1962"/>
      <c r="DO260" s="1962"/>
      <c r="DP260" s="1962"/>
      <c r="DQ260" s="1962"/>
      <c r="DR260" s="1962"/>
      <c r="DS260" s="1962"/>
      <c r="DT260" s="1962"/>
      <c r="DU260" s="1962"/>
      <c r="DV260" s="1962"/>
      <c r="DW260" s="1962"/>
      <c r="DX260" s="1962"/>
      <c r="DY260" s="1962"/>
      <c r="DZ260" s="1962"/>
      <c r="EA260" s="1962"/>
      <c r="EB260" s="1962"/>
      <c r="EC260" s="1962"/>
      <c r="ED260" s="1962"/>
      <c r="EE260" s="1962"/>
      <c r="EF260" s="1962"/>
      <c r="EG260" s="1962"/>
      <c r="EH260" s="1962"/>
      <c r="EI260" s="1962"/>
      <c r="EJ260" s="1962"/>
      <c r="EK260" s="1962"/>
      <c r="EL260" s="1962"/>
      <c r="EM260" s="1962"/>
      <c r="EN260" s="1962"/>
      <c r="EO260" s="1962"/>
      <c r="EP260" s="1962"/>
      <c r="EQ260" s="1962"/>
      <c r="ER260" s="1962"/>
      <c r="ES260" s="1962"/>
      <c r="ET260" s="1962"/>
      <c r="EU260" s="1962"/>
      <c r="EV260" s="1962"/>
      <c r="EW260" s="1962"/>
      <c r="EX260" s="1962"/>
      <c r="EY260" s="1962"/>
      <c r="FF260" s="1853"/>
    </row>
    <row r="261" spans="3:162" ht="9" customHeight="1">
      <c r="C261" s="87"/>
      <c r="D261" s="87"/>
      <c r="E261" s="362"/>
      <c r="F261" s="1911"/>
      <c r="G261" s="1911"/>
      <c r="H261" s="1911"/>
      <c r="I261" s="1911"/>
      <c r="J261" s="1911"/>
      <c r="K261" s="1911"/>
      <c r="L261" s="1911"/>
      <c r="M261" s="1911"/>
      <c r="N261" s="1911"/>
      <c r="O261" s="1911"/>
      <c r="P261" s="1911"/>
      <c r="Q261" s="1911"/>
      <c r="R261" s="1911"/>
      <c r="S261" s="1911"/>
      <c r="T261" s="1911"/>
      <c r="U261" s="1911"/>
      <c r="V261" s="1911"/>
      <c r="W261" s="1911"/>
      <c r="X261" s="1911"/>
      <c r="Y261" s="1911"/>
      <c r="Z261" s="1911"/>
      <c r="AA261" s="1911"/>
      <c r="AB261" s="1911"/>
      <c r="AC261" s="1911"/>
      <c r="AD261" s="1911"/>
      <c r="AE261" s="1911"/>
      <c r="AF261" s="1911"/>
      <c r="AG261" s="1911"/>
      <c r="AH261" s="1911"/>
      <c r="AI261" s="1911"/>
      <c r="AJ261" s="1911"/>
      <c r="AK261" s="1911"/>
      <c r="AL261" s="1911"/>
      <c r="AM261" s="1911"/>
      <c r="AN261" s="1911"/>
      <c r="AO261" s="365"/>
      <c r="AP261" s="252"/>
      <c r="AQ261" s="1957"/>
      <c r="AR261" s="1955"/>
      <c r="AS261" s="1955"/>
      <c r="AT261" s="1955"/>
      <c r="AU261" s="1955"/>
      <c r="AV261" s="1955"/>
      <c r="AW261" s="1955"/>
      <c r="AX261" s="1955"/>
      <c r="AY261" s="1955"/>
      <c r="AZ261" s="1955"/>
      <c r="BA261" s="1955"/>
      <c r="BB261" s="1955"/>
      <c r="BC261" s="1955"/>
      <c r="BD261" s="1955"/>
      <c r="BE261" s="1955"/>
      <c r="BF261" s="1955"/>
      <c r="BG261" s="1955"/>
      <c r="BH261" s="1955"/>
      <c r="BI261" s="1955"/>
      <c r="BJ261" s="1955"/>
      <c r="BK261" s="1955"/>
      <c r="BL261" s="1955"/>
      <c r="BM261" s="1955"/>
      <c r="BN261" s="1955"/>
      <c r="BO261" s="1955"/>
      <c r="BP261" s="1955"/>
      <c r="BQ261" s="1955"/>
      <c r="BR261" s="1955"/>
      <c r="BS261" s="1955"/>
      <c r="BT261" s="1955"/>
      <c r="BU261" s="1955"/>
      <c r="BV261" s="1955"/>
      <c r="BW261" s="1955"/>
      <c r="BX261" s="1955"/>
      <c r="BY261" s="1955"/>
      <c r="BZ261" s="1955"/>
      <c r="CA261" s="1955"/>
      <c r="CB261" s="1955"/>
      <c r="CC261" s="1955"/>
      <c r="CD261" s="1955"/>
      <c r="CE261" s="1955"/>
      <c r="CF261" s="1955"/>
      <c r="CG261" s="1955"/>
      <c r="CH261" s="1955"/>
      <c r="CI261" s="1955"/>
      <c r="CJ261" s="1955"/>
      <c r="CK261" s="1955"/>
      <c r="CL261" s="1955"/>
      <c r="CM261" s="1955"/>
      <c r="CN261" s="1955"/>
      <c r="CO261" s="1955"/>
      <c r="CP261" s="1955"/>
      <c r="CQ261" s="1955"/>
      <c r="CR261" s="1955"/>
      <c r="CS261" s="1955"/>
      <c r="CT261" s="1955"/>
      <c r="CU261" s="1955"/>
      <c r="CV261" s="1955"/>
      <c r="CW261" s="1955"/>
      <c r="CX261" s="1955"/>
      <c r="CY261" s="1955"/>
      <c r="CZ261" s="1955"/>
      <c r="DA261" s="1955"/>
      <c r="DB261" s="1955"/>
      <c r="DC261" s="1955"/>
      <c r="DD261" s="1955"/>
      <c r="DE261" s="1955"/>
      <c r="DF261" s="1955"/>
      <c r="DG261" s="1955"/>
      <c r="DH261" s="1956"/>
      <c r="DK261" s="1962"/>
      <c r="DL261" s="1962"/>
      <c r="DM261" s="1962"/>
      <c r="DN261" s="1962"/>
      <c r="DO261" s="1962"/>
      <c r="DP261" s="1962"/>
      <c r="DQ261" s="1962"/>
      <c r="DR261" s="1962"/>
      <c r="DS261" s="1962"/>
      <c r="DT261" s="1962"/>
      <c r="DU261" s="1962"/>
      <c r="DV261" s="1962"/>
      <c r="DW261" s="1962"/>
      <c r="DX261" s="1962"/>
      <c r="DY261" s="1962"/>
      <c r="DZ261" s="1962"/>
      <c r="EA261" s="1962"/>
      <c r="EB261" s="1962"/>
      <c r="EC261" s="1962"/>
      <c r="ED261" s="1962"/>
      <c r="EE261" s="1962"/>
      <c r="EF261" s="1962"/>
      <c r="EG261" s="1962"/>
      <c r="EH261" s="1962"/>
      <c r="EI261" s="1962"/>
      <c r="EJ261" s="1962"/>
      <c r="EK261" s="1962"/>
      <c r="EL261" s="1962"/>
      <c r="EM261" s="1962"/>
      <c r="EN261" s="1962"/>
      <c r="EO261" s="1962"/>
      <c r="EP261" s="1962"/>
      <c r="EQ261" s="1962"/>
      <c r="ER261" s="1962"/>
      <c r="ES261" s="1962"/>
      <c r="ET261" s="1962"/>
      <c r="EU261" s="1962"/>
      <c r="EV261" s="1962"/>
      <c r="EW261" s="1962"/>
      <c r="EX261" s="1962"/>
      <c r="EY261" s="1962"/>
      <c r="FF261" s="1853"/>
    </row>
    <row r="262" spans="3:162" ht="9" customHeight="1" thickBot="1">
      <c r="C262" s="87"/>
      <c r="D262" s="87"/>
      <c r="E262" s="362"/>
      <c r="F262" s="1912"/>
      <c r="G262" s="1912"/>
      <c r="H262" s="1912"/>
      <c r="I262" s="1912"/>
      <c r="J262" s="1912"/>
      <c r="K262" s="1912"/>
      <c r="L262" s="1912"/>
      <c r="M262" s="1912"/>
      <c r="N262" s="1912"/>
      <c r="O262" s="1912"/>
      <c r="P262" s="1912"/>
      <c r="Q262" s="1912"/>
      <c r="R262" s="1912"/>
      <c r="S262" s="1912"/>
      <c r="T262" s="1912"/>
      <c r="U262" s="1912"/>
      <c r="V262" s="1912"/>
      <c r="W262" s="1912"/>
      <c r="X262" s="1912"/>
      <c r="Y262" s="1912"/>
      <c r="Z262" s="1912"/>
      <c r="AA262" s="1912"/>
      <c r="AB262" s="1912"/>
      <c r="AC262" s="1912"/>
      <c r="AD262" s="1912"/>
      <c r="AE262" s="1912"/>
      <c r="AF262" s="1912"/>
      <c r="AG262" s="1912"/>
      <c r="AH262" s="1912"/>
      <c r="AI262" s="1912"/>
      <c r="AJ262" s="1912"/>
      <c r="AK262" s="1912"/>
      <c r="AL262" s="1912"/>
      <c r="AM262" s="1912"/>
      <c r="AN262" s="1912"/>
      <c r="AO262" s="365"/>
      <c r="AP262" s="252"/>
      <c r="AQ262" s="1958"/>
      <c r="AR262" s="1959"/>
      <c r="AS262" s="1959"/>
      <c r="AT262" s="1959"/>
      <c r="AU262" s="1959"/>
      <c r="AV262" s="1959"/>
      <c r="AW262" s="1959"/>
      <c r="AX262" s="1959"/>
      <c r="AY262" s="1959"/>
      <c r="AZ262" s="1959"/>
      <c r="BA262" s="1959"/>
      <c r="BB262" s="1959"/>
      <c r="BC262" s="1959"/>
      <c r="BD262" s="1959"/>
      <c r="BE262" s="1959"/>
      <c r="BF262" s="1959"/>
      <c r="BG262" s="1959"/>
      <c r="BH262" s="1959"/>
      <c r="BI262" s="1959"/>
      <c r="BJ262" s="1959"/>
      <c r="BK262" s="1959"/>
      <c r="BL262" s="1959"/>
      <c r="BM262" s="1959"/>
      <c r="BN262" s="1959"/>
      <c r="BO262" s="1959"/>
      <c r="BP262" s="1959"/>
      <c r="BQ262" s="1959"/>
      <c r="BR262" s="1959"/>
      <c r="BS262" s="1959"/>
      <c r="BT262" s="1959"/>
      <c r="BU262" s="1959"/>
      <c r="BV262" s="1959"/>
      <c r="BW262" s="1959"/>
      <c r="BX262" s="1959"/>
      <c r="BY262" s="1959"/>
      <c r="BZ262" s="1959"/>
      <c r="CA262" s="1959"/>
      <c r="CB262" s="1959"/>
      <c r="CC262" s="1959"/>
      <c r="CD262" s="1959"/>
      <c r="CE262" s="1959"/>
      <c r="CF262" s="1959"/>
      <c r="CG262" s="1959"/>
      <c r="CH262" s="1959"/>
      <c r="CI262" s="1959"/>
      <c r="CJ262" s="1959"/>
      <c r="CK262" s="1959"/>
      <c r="CL262" s="1959"/>
      <c r="CM262" s="1959"/>
      <c r="CN262" s="1959"/>
      <c r="CO262" s="1959"/>
      <c r="CP262" s="1959"/>
      <c r="CQ262" s="1959"/>
      <c r="CR262" s="1959"/>
      <c r="CS262" s="1959"/>
      <c r="CT262" s="1959"/>
      <c r="CU262" s="1959"/>
      <c r="CV262" s="1959"/>
      <c r="CW262" s="1959"/>
      <c r="CX262" s="1959"/>
      <c r="CY262" s="1959"/>
      <c r="CZ262" s="1959"/>
      <c r="DA262" s="1959"/>
      <c r="DB262" s="1959"/>
      <c r="DC262" s="1959"/>
      <c r="DD262" s="1959"/>
      <c r="DE262" s="1959"/>
      <c r="DF262" s="1959"/>
      <c r="DG262" s="1959"/>
      <c r="DH262" s="1960"/>
      <c r="DK262" s="1963"/>
      <c r="DL262" s="1963"/>
      <c r="DM262" s="1963"/>
      <c r="DN262" s="1963"/>
      <c r="DO262" s="1963"/>
      <c r="DP262" s="1963"/>
      <c r="DQ262" s="1963"/>
      <c r="DR262" s="1963"/>
      <c r="DS262" s="1963"/>
      <c r="DT262" s="1963"/>
      <c r="DU262" s="1963"/>
      <c r="DV262" s="1963"/>
      <c r="DW262" s="1963"/>
      <c r="DX262" s="1963"/>
      <c r="DY262" s="1963"/>
      <c r="DZ262" s="1963"/>
      <c r="EA262" s="1963"/>
      <c r="EB262" s="1963"/>
      <c r="EC262" s="1963"/>
      <c r="ED262" s="1963"/>
      <c r="EE262" s="1963"/>
      <c r="EF262" s="1963"/>
      <c r="EG262" s="1963"/>
      <c r="EH262" s="1963"/>
      <c r="EI262" s="1963"/>
      <c r="EJ262" s="1963"/>
      <c r="EK262" s="1963"/>
      <c r="EL262" s="1963"/>
      <c r="EM262" s="1963"/>
      <c r="EN262" s="1963"/>
      <c r="EO262" s="1963"/>
      <c r="EP262" s="1963"/>
      <c r="EQ262" s="1963"/>
      <c r="ER262" s="1963"/>
      <c r="ES262" s="1963"/>
      <c r="ET262" s="1963"/>
      <c r="EU262" s="1963"/>
      <c r="EV262" s="1963"/>
      <c r="EW262" s="1963"/>
      <c r="EX262" s="1963"/>
      <c r="EY262" s="1963"/>
      <c r="FF262" s="1854"/>
    </row>
    <row r="263" spans="3:162" ht="9" customHeight="1">
      <c r="C263" s="87"/>
      <c r="D263" s="87"/>
      <c r="E263" s="362"/>
      <c r="F263" s="109"/>
      <c r="G263" s="370"/>
      <c r="H263" s="370"/>
      <c r="I263" s="370"/>
      <c r="J263" s="370"/>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364"/>
      <c r="AP263" s="109"/>
    </row>
    <row r="264" spans="3:162" ht="9" customHeight="1" thickBot="1">
      <c r="C264" s="87"/>
      <c r="D264" s="87"/>
      <c r="E264" s="361"/>
      <c r="F264" s="109"/>
      <c r="G264" s="370"/>
      <c r="H264" s="370"/>
      <c r="I264" s="370"/>
      <c r="J264" s="370"/>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371"/>
      <c r="AI264" s="371"/>
      <c r="AJ264" s="371"/>
      <c r="AK264" s="371"/>
      <c r="AL264" s="371"/>
      <c r="AM264" s="371"/>
      <c r="AN264" s="371"/>
      <c r="AO264" s="358"/>
      <c r="AP264" s="87"/>
      <c r="AQ264" s="87"/>
      <c r="AR264" s="87"/>
      <c r="AS264" s="87"/>
      <c r="AT264" s="87"/>
      <c r="AU264" s="87"/>
      <c r="AV264" s="372"/>
      <c r="AW264" s="372"/>
      <c r="AX264" s="372"/>
      <c r="AY264" s="372"/>
      <c r="AZ264" s="372"/>
      <c r="BA264" s="372"/>
      <c r="BB264" s="372"/>
      <c r="BC264" s="372"/>
      <c r="BD264" s="372"/>
      <c r="BE264" s="372"/>
      <c r="BF264" s="372"/>
      <c r="BG264" s="372"/>
      <c r="BH264" s="372"/>
      <c r="BI264" s="372"/>
      <c r="BJ264" s="372"/>
      <c r="BK264" s="372"/>
      <c r="BL264" s="372"/>
      <c r="BM264" s="372"/>
      <c r="BN264" s="372"/>
      <c r="BO264" s="372"/>
      <c r="BP264" s="372"/>
      <c r="BQ264" s="372"/>
      <c r="BR264" s="372"/>
      <c r="BS264" s="372"/>
      <c r="BT264" s="372"/>
      <c r="BU264" s="372"/>
      <c r="BV264" s="372"/>
      <c r="BW264" s="372"/>
      <c r="BX264" s="372"/>
      <c r="BY264" s="372"/>
      <c r="BZ264" s="372"/>
      <c r="CA264" s="372"/>
      <c r="CB264" s="372"/>
      <c r="CC264" s="372"/>
      <c r="CD264" s="87"/>
      <c r="CE264" s="87"/>
      <c r="CF264" s="87"/>
      <c r="CG264" s="87"/>
      <c r="CH264" s="87"/>
      <c r="CI264" s="87"/>
      <c r="CJ264" s="87"/>
      <c r="CK264" s="373"/>
      <c r="CL264" s="373"/>
      <c r="CM264" s="373"/>
      <c r="CN264" s="373"/>
      <c r="CO264" s="373"/>
      <c r="CP264" s="373"/>
      <c r="CQ264" s="373"/>
      <c r="CR264" s="373"/>
      <c r="CS264" s="373"/>
      <c r="CT264" s="373"/>
      <c r="CU264" s="373"/>
      <c r="CV264" s="373"/>
      <c r="CW264" s="373"/>
      <c r="CX264" s="373"/>
      <c r="CY264" s="373"/>
      <c r="CZ264" s="373"/>
      <c r="DA264" s="373"/>
      <c r="DB264" s="373"/>
      <c r="DC264" s="373"/>
      <c r="DD264" s="373"/>
      <c r="DE264" s="373"/>
      <c r="DF264" s="373"/>
      <c r="DG264" s="373"/>
      <c r="DH264" s="373"/>
      <c r="DI264" s="373"/>
      <c r="DJ264" s="373"/>
      <c r="DK264" s="373"/>
      <c r="DL264" s="373"/>
      <c r="DM264" s="373"/>
      <c r="DN264" s="373"/>
      <c r="DO264" s="373"/>
      <c r="DP264" s="373"/>
      <c r="DQ264" s="373"/>
      <c r="DR264" s="373"/>
      <c r="DS264" s="373"/>
      <c r="DT264" s="373"/>
      <c r="DU264" s="87"/>
    </row>
    <row r="265" spans="3:162" ht="9" customHeight="1" thickBot="1">
      <c r="C265" s="87"/>
      <c r="D265" s="87"/>
      <c r="E265" s="87"/>
      <c r="F265" s="361"/>
      <c r="G265" s="88"/>
      <c r="H265" s="88"/>
      <c r="I265" s="88"/>
      <c r="J265" s="88"/>
      <c r="K265" s="87"/>
      <c r="L265" s="87"/>
      <c r="M265" s="87"/>
      <c r="N265" s="87"/>
      <c r="O265" s="87"/>
      <c r="P265" s="87"/>
      <c r="Q265" s="87"/>
      <c r="R265" s="87"/>
      <c r="S265" s="87"/>
      <c r="T265" s="87"/>
      <c r="U265" s="87"/>
      <c r="V265" s="87"/>
      <c r="W265" s="87"/>
      <c r="X265" s="87"/>
      <c r="Y265" s="87"/>
      <c r="Z265" s="87"/>
      <c r="AA265" s="87"/>
      <c r="AB265" s="87"/>
      <c r="AC265" s="87"/>
      <c r="AD265" s="87"/>
      <c r="AE265" s="87"/>
      <c r="AF265" s="87"/>
      <c r="AG265" s="358"/>
      <c r="AH265" s="87"/>
      <c r="AI265" s="87"/>
      <c r="AJ265" s="87"/>
      <c r="AK265" s="372"/>
      <c r="AL265" s="372"/>
      <c r="AM265" s="372"/>
      <c r="AN265" s="372"/>
      <c r="AO265" s="372"/>
      <c r="AP265" s="372"/>
      <c r="AQ265" s="372"/>
      <c r="AR265" s="372"/>
      <c r="AS265" s="372"/>
      <c r="AT265" s="372"/>
      <c r="AU265" s="374"/>
      <c r="AV265" s="87"/>
      <c r="AW265" s="87"/>
      <c r="AX265" s="87"/>
      <c r="AY265" s="375"/>
      <c r="AZ265" s="375"/>
      <c r="BA265" s="375"/>
      <c r="BB265" s="375"/>
      <c r="BC265" s="375"/>
      <c r="BD265" s="375"/>
      <c r="BE265" s="375"/>
      <c r="BF265" s="375"/>
      <c r="BG265" s="375"/>
      <c r="BH265" s="375"/>
      <c r="BI265" s="375"/>
      <c r="BJ265" s="375"/>
      <c r="BK265" s="375"/>
      <c r="BL265" s="375"/>
      <c r="BM265" s="375"/>
      <c r="BN265" s="375"/>
      <c r="BO265" s="375"/>
      <c r="BP265" s="375"/>
      <c r="BQ265" s="375"/>
      <c r="BR265" s="375"/>
      <c r="BS265" s="375"/>
      <c r="BT265" s="375"/>
      <c r="BU265" s="87"/>
      <c r="BV265" s="87"/>
      <c r="BW265" s="87"/>
      <c r="BX265" s="87"/>
      <c r="BY265" s="87"/>
      <c r="BZ265" s="87"/>
      <c r="CA265" s="87"/>
      <c r="CB265" s="87"/>
      <c r="CC265" s="87"/>
      <c r="CD265" s="376"/>
      <c r="CE265" s="87"/>
      <c r="CF265" s="87"/>
      <c r="CG265" s="87"/>
      <c r="CH265" s="87"/>
      <c r="CI265" s="87"/>
      <c r="CJ265" s="87"/>
      <c r="CK265" s="377"/>
      <c r="CL265" s="87"/>
      <c r="CM265" s="1945"/>
      <c r="CN265" s="1945"/>
      <c r="CO265" s="1945"/>
      <c r="CP265" s="1945"/>
      <c r="CQ265" s="1945"/>
      <c r="CR265" s="1945"/>
      <c r="CS265" s="1945"/>
      <c r="CT265" s="1945"/>
      <c r="CU265" s="1945"/>
      <c r="CV265" s="1945"/>
      <c r="CW265" s="1945"/>
      <c r="CX265" s="1945"/>
      <c r="CY265" s="1945"/>
      <c r="CZ265" s="1945"/>
      <c r="DA265" s="1945"/>
      <c r="DB265" s="1945"/>
      <c r="DC265" s="1945"/>
      <c r="DD265" s="1945"/>
      <c r="DE265" s="1945"/>
      <c r="DF265" s="1945"/>
      <c r="DG265" s="1945"/>
      <c r="DH265" s="1945"/>
      <c r="DI265" s="1945"/>
      <c r="DJ265" s="1945"/>
      <c r="DK265" s="1945"/>
      <c r="DL265" s="1945"/>
      <c r="DM265" s="1945"/>
      <c r="DN265" s="1945"/>
      <c r="DO265" s="1945"/>
      <c r="DP265" s="1945"/>
      <c r="DQ265" s="1945"/>
      <c r="DR265" s="1945"/>
      <c r="DS265" s="1945"/>
      <c r="DT265" s="1946"/>
      <c r="DU265" s="87"/>
    </row>
    <row r="266" spans="3:162" ht="9" customHeight="1" thickBot="1">
      <c r="C266" s="87"/>
      <c r="D266" s="87"/>
      <c r="E266" s="87"/>
      <c r="F266" s="87"/>
      <c r="G266" s="361"/>
      <c r="H266" s="378"/>
      <c r="I266" s="378"/>
      <c r="J266" s="378"/>
      <c r="K266" s="371"/>
      <c r="L266" s="371"/>
      <c r="M266" s="371"/>
      <c r="N266" s="371"/>
      <c r="O266" s="371"/>
      <c r="P266" s="371"/>
      <c r="Q266" s="371"/>
      <c r="R266" s="371"/>
      <c r="S266" s="371"/>
      <c r="T266" s="371"/>
      <c r="U266" s="371"/>
      <c r="V266" s="371"/>
      <c r="W266" s="371"/>
      <c r="X266" s="371"/>
      <c r="Y266" s="371"/>
      <c r="Z266" s="371"/>
      <c r="AA266" s="371"/>
      <c r="AB266" s="371"/>
      <c r="AC266" s="371"/>
      <c r="AD266" s="371"/>
      <c r="AE266" s="371"/>
      <c r="AF266" s="358"/>
      <c r="AG266" s="87"/>
      <c r="AH266" s="87"/>
      <c r="AI266" s="87"/>
      <c r="AJ266" s="379"/>
      <c r="AK266" s="372"/>
      <c r="AL266" s="372"/>
      <c r="AM266" s="372"/>
      <c r="AN266" s="372"/>
      <c r="AO266" s="372"/>
      <c r="AP266" s="372"/>
      <c r="AQ266" s="372"/>
      <c r="AR266" s="372"/>
      <c r="AS266" s="372"/>
      <c r="AT266" s="372"/>
      <c r="AU266" s="372"/>
      <c r="AV266" s="372"/>
      <c r="AW266" s="372"/>
      <c r="AX266" s="374"/>
      <c r="AY266" s="87"/>
      <c r="AZ266" s="87"/>
      <c r="BA266" s="87"/>
      <c r="BB266" s="87"/>
      <c r="BC266" s="87"/>
      <c r="BD266" s="87"/>
      <c r="BE266" s="87"/>
      <c r="BF266" s="87"/>
      <c r="BG266" s="87"/>
      <c r="BH266" s="87"/>
      <c r="BI266" s="87"/>
      <c r="BJ266" s="87"/>
      <c r="BK266" s="87"/>
      <c r="BL266" s="87"/>
      <c r="BM266" s="87"/>
      <c r="BN266" s="87"/>
      <c r="BO266" s="87"/>
      <c r="BP266" s="87"/>
      <c r="BQ266" s="87"/>
      <c r="BR266" s="87"/>
      <c r="BS266" s="87"/>
      <c r="BT266" s="87"/>
      <c r="BU266" s="376"/>
      <c r="BV266" s="372"/>
      <c r="BW266" s="372"/>
      <c r="BX266" s="372"/>
      <c r="BY266" s="372"/>
      <c r="BZ266" s="372"/>
      <c r="CA266" s="372"/>
      <c r="CB266" s="372"/>
      <c r="CC266" s="372"/>
      <c r="CD266" s="372"/>
      <c r="CE266" s="380"/>
      <c r="CF266" s="87"/>
      <c r="CG266" s="87"/>
      <c r="CH266" s="87"/>
      <c r="CI266" s="87"/>
      <c r="CJ266" s="87"/>
      <c r="CK266" s="87"/>
      <c r="CL266" s="377"/>
      <c r="CM266" s="1947"/>
      <c r="CN266" s="1947"/>
      <c r="CO266" s="1947"/>
      <c r="CP266" s="1947"/>
      <c r="CQ266" s="1947"/>
      <c r="CR266" s="1947"/>
      <c r="CS266" s="1947"/>
      <c r="CT266" s="1947"/>
      <c r="CU266" s="1947"/>
      <c r="CV266" s="1947"/>
      <c r="CW266" s="1947"/>
      <c r="CX266" s="1947"/>
      <c r="CY266" s="1947"/>
      <c r="CZ266" s="1947"/>
      <c r="DA266" s="1947"/>
      <c r="DB266" s="1947"/>
      <c r="DC266" s="1947"/>
      <c r="DD266" s="1947"/>
      <c r="DE266" s="1947"/>
      <c r="DF266" s="1947"/>
      <c r="DG266" s="1947"/>
      <c r="DH266" s="1947"/>
      <c r="DI266" s="1947"/>
      <c r="DJ266" s="1947"/>
      <c r="DK266" s="1947"/>
      <c r="DL266" s="1947"/>
      <c r="DM266" s="1947"/>
      <c r="DN266" s="1947"/>
      <c r="DO266" s="1947"/>
      <c r="DP266" s="1947"/>
      <c r="DQ266" s="1947"/>
      <c r="DR266" s="1947"/>
      <c r="DS266" s="1947"/>
      <c r="DT266" s="1948"/>
      <c r="DU266" s="87"/>
    </row>
    <row r="267" spans="3:162" ht="9" customHeight="1">
      <c r="C267" s="87"/>
      <c r="D267" s="87"/>
      <c r="E267" s="87"/>
      <c r="F267" s="87"/>
      <c r="G267" s="88"/>
      <c r="H267" s="88"/>
      <c r="I267" s="88"/>
      <c r="J267" s="88"/>
      <c r="K267" s="87"/>
      <c r="L267" s="87"/>
      <c r="M267" s="87"/>
      <c r="N267" s="87"/>
      <c r="O267" s="87"/>
      <c r="P267" s="87"/>
      <c r="Q267" s="87"/>
      <c r="R267" s="87"/>
      <c r="S267" s="87"/>
      <c r="T267" s="87"/>
      <c r="U267" s="87"/>
      <c r="V267" s="87"/>
      <c r="W267" s="87"/>
      <c r="X267" s="87"/>
      <c r="Y267" s="87"/>
      <c r="Z267" s="87"/>
      <c r="AA267" s="87"/>
      <c r="AB267" s="87"/>
      <c r="AC267" s="87"/>
      <c r="AD267" s="87"/>
      <c r="AE267" s="87"/>
      <c r="AF267" s="87"/>
      <c r="AG267" s="87"/>
      <c r="AH267" s="87"/>
      <c r="AI267" s="87"/>
      <c r="AJ267" s="87"/>
      <c r="AK267" s="87"/>
      <c r="AL267" s="87"/>
      <c r="AM267" s="87"/>
      <c r="AN267" s="87"/>
      <c r="AO267" s="87"/>
      <c r="AP267" s="87"/>
      <c r="AQ267" s="87"/>
      <c r="AR267" s="87"/>
      <c r="AS267" s="87"/>
      <c r="AT267" s="87"/>
      <c r="AU267" s="87"/>
      <c r="AV267" s="87"/>
      <c r="AW267" s="87"/>
      <c r="AX267" s="87"/>
      <c r="AY267" s="87"/>
      <c r="AZ267" s="87"/>
      <c r="BA267" s="87"/>
      <c r="BB267" s="87"/>
      <c r="BC267" s="87"/>
      <c r="BD267" s="87"/>
      <c r="BE267" s="87"/>
      <c r="BF267" s="87"/>
      <c r="BG267" s="87"/>
      <c r="BH267" s="87"/>
      <c r="BI267" s="87"/>
      <c r="BJ267" s="87"/>
      <c r="BK267" s="87"/>
      <c r="BL267" s="87"/>
      <c r="BM267" s="87"/>
      <c r="BN267" s="87"/>
      <c r="BO267" s="87"/>
      <c r="BP267" s="87"/>
      <c r="BQ267" s="87"/>
      <c r="BR267" s="87"/>
      <c r="BS267" s="87"/>
      <c r="BT267" s="87"/>
      <c r="BU267" s="87"/>
      <c r="BV267" s="87"/>
      <c r="BW267" s="87"/>
      <c r="BX267" s="87"/>
      <c r="BY267" s="87"/>
      <c r="BZ267" s="87"/>
      <c r="CA267" s="87"/>
      <c r="CB267" s="87"/>
      <c r="CC267" s="87"/>
      <c r="CD267" s="87"/>
      <c r="CE267" s="87"/>
      <c r="CF267" s="87"/>
      <c r="CG267" s="87"/>
      <c r="CH267" s="87"/>
      <c r="CI267" s="87"/>
      <c r="CJ267" s="87"/>
      <c r="CK267" s="87"/>
      <c r="CL267" s="87"/>
      <c r="CM267" s="87"/>
      <c r="CN267" s="87"/>
      <c r="CO267" s="87"/>
      <c r="CP267" s="87"/>
      <c r="CQ267" s="87"/>
      <c r="CR267" s="87"/>
      <c r="CS267" s="87"/>
      <c r="CT267" s="87"/>
      <c r="CU267" s="87"/>
      <c r="CV267" s="87"/>
      <c r="CW267" s="87"/>
      <c r="CX267" s="87"/>
      <c r="CY267" s="87"/>
      <c r="CZ267" s="87"/>
      <c r="DA267" s="87"/>
      <c r="DB267" s="87"/>
      <c r="DC267" s="87"/>
      <c r="DD267" s="87"/>
      <c r="DE267" s="87"/>
      <c r="DF267" s="87"/>
      <c r="DG267" s="87"/>
      <c r="DH267" s="87"/>
      <c r="DI267" s="87"/>
      <c r="DJ267" s="87"/>
      <c r="DK267" s="87"/>
      <c r="DL267" s="87"/>
      <c r="DM267" s="87"/>
      <c r="DN267" s="87"/>
      <c r="DO267" s="87"/>
      <c r="DP267" s="87"/>
      <c r="DQ267" s="87"/>
      <c r="DR267" s="87"/>
      <c r="DS267" s="87"/>
      <c r="DT267" s="87"/>
      <c r="DU267" s="87"/>
    </row>
  </sheetData>
  <mergeCells count="352">
    <mergeCell ref="EA181:ED184"/>
    <mergeCell ref="DO181:DR184"/>
    <mergeCell ref="EI181:EL184"/>
    <mergeCell ref="M143:O149"/>
    <mergeCell ref="EQ181:ET184"/>
    <mergeCell ref="CW187:DO188"/>
    <mergeCell ref="AQ228:CP229"/>
    <mergeCell ref="AQ231:DH234"/>
    <mergeCell ref="P174:AR176"/>
    <mergeCell ref="AW174:BF176"/>
    <mergeCell ref="BK174:BS175"/>
    <mergeCell ref="BT174:CK176"/>
    <mergeCell ref="U167:CK169"/>
    <mergeCell ref="P172:W173"/>
    <mergeCell ref="AW172:BC173"/>
    <mergeCell ref="EQ177:ET180"/>
    <mergeCell ref="DK177:DN180"/>
    <mergeCell ref="DO177:DR180"/>
    <mergeCell ref="DS177:DV180"/>
    <mergeCell ref="DW177:DZ180"/>
    <mergeCell ref="EA177:ED180"/>
    <mergeCell ref="EE177:EH180"/>
    <mergeCell ref="CY172:ET176"/>
    <mergeCell ref="DS181:DV184"/>
    <mergeCell ref="DW181:DZ184"/>
    <mergeCell ref="BK155:BR156"/>
    <mergeCell ref="P157:AR159"/>
    <mergeCell ref="AW157:BF159"/>
    <mergeCell ref="BK157:BS158"/>
    <mergeCell ref="BT157:CK159"/>
    <mergeCell ref="AP161:AS162"/>
    <mergeCell ref="BI161:BN162"/>
    <mergeCell ref="R162:AK164"/>
    <mergeCell ref="AT162:BD164"/>
    <mergeCell ref="P155:W156"/>
    <mergeCell ref="AW155:BC156"/>
    <mergeCell ref="D47:E92"/>
    <mergeCell ref="AI48:AR49"/>
    <mergeCell ref="AV48:BE49"/>
    <mergeCell ref="G73:N75"/>
    <mergeCell ref="O73:AD75"/>
    <mergeCell ref="AJ73:AQ75"/>
    <mergeCell ref="AW73:BD75"/>
    <mergeCell ref="X133:CN135"/>
    <mergeCell ref="Q132:V133"/>
    <mergeCell ref="BW50:CR53"/>
    <mergeCell ref="CK71:CT75"/>
    <mergeCell ref="BY72:CG74"/>
    <mergeCell ref="BS70:BS71"/>
    <mergeCell ref="BO49:BQ52"/>
    <mergeCell ref="BL50:BN55"/>
    <mergeCell ref="P115:Y117"/>
    <mergeCell ref="AD115:AK117"/>
    <mergeCell ref="AR115:AU117"/>
    <mergeCell ref="AX115:BE117"/>
    <mergeCell ref="BK115:BR117"/>
    <mergeCell ref="BX108:CE110"/>
    <mergeCell ref="G87:N89"/>
    <mergeCell ref="O87:AD89"/>
    <mergeCell ref="AJ87:AQ89"/>
    <mergeCell ref="EI30:EP34"/>
    <mergeCell ref="DK39:DU40"/>
    <mergeCell ref="DW39:EH42"/>
    <mergeCell ref="C38:D38"/>
    <mergeCell ref="X39:AA40"/>
    <mergeCell ref="AB39:AF42"/>
    <mergeCell ref="AK39:AR40"/>
    <mergeCell ref="AS39:AZ42"/>
    <mergeCell ref="C40:C42"/>
    <mergeCell ref="CF29:DF32"/>
    <mergeCell ref="S31:T32"/>
    <mergeCell ref="BE39:BK40"/>
    <mergeCell ref="BL39:BQ42"/>
    <mergeCell ref="BV39:CB40"/>
    <mergeCell ref="CC39:CH42"/>
    <mergeCell ref="X29:AD30"/>
    <mergeCell ref="AE29:BS32"/>
    <mergeCell ref="CM39:CT40"/>
    <mergeCell ref="CU39:DF42"/>
    <mergeCell ref="BX29:CE30"/>
    <mergeCell ref="F37:I37"/>
    <mergeCell ref="X34:AE35"/>
    <mergeCell ref="AF34:BM37"/>
    <mergeCell ref="BR34:BY35"/>
    <mergeCell ref="BZ34:CP37"/>
    <mergeCell ref="CU34:CZ35"/>
    <mergeCell ref="DA34:DF37"/>
    <mergeCell ref="G80:N82"/>
    <mergeCell ref="O80:AD82"/>
    <mergeCell ref="AJ80:AQ82"/>
    <mergeCell ref="AW80:BD82"/>
    <mergeCell ref="BY80:CG82"/>
    <mergeCell ref="CK79:CT83"/>
    <mergeCell ref="DB62:DI64"/>
    <mergeCell ref="S43:T44"/>
    <mergeCell ref="DQ50:EL53"/>
    <mergeCell ref="G52:N54"/>
    <mergeCell ref="O52:AD54"/>
    <mergeCell ref="AJ52:AQ54"/>
    <mergeCell ref="AW52:BD54"/>
    <mergeCell ref="DV54:EH56"/>
    <mergeCell ref="DB78:DI80"/>
    <mergeCell ref="ET64:EX66"/>
    <mergeCell ref="EY64:EZ66"/>
    <mergeCell ref="ET55:EX57"/>
    <mergeCell ref="EY55:EZ57"/>
    <mergeCell ref="BP56:CA58"/>
    <mergeCell ref="CD56:CL58"/>
    <mergeCell ref="G59:N61"/>
    <mergeCell ref="O59:AD61"/>
    <mergeCell ref="AJ59:AQ61"/>
    <mergeCell ref="AW59:BD61"/>
    <mergeCell ref="DB59:DR60"/>
    <mergeCell ref="G66:N68"/>
    <mergeCell ref="O66:AD68"/>
    <mergeCell ref="AJ66:AQ68"/>
    <mergeCell ref="AW66:BD68"/>
    <mergeCell ref="BQ66:BR70"/>
    <mergeCell ref="BT68:BT69"/>
    <mergeCell ref="EC62:ES68"/>
    <mergeCell ref="DW63:EA66"/>
    <mergeCell ref="BS63:CF65"/>
    <mergeCell ref="ET73:EX75"/>
    <mergeCell ref="EY73:EZ75"/>
    <mergeCell ref="DB67:DQ68"/>
    <mergeCell ref="EC71:ES77"/>
    <mergeCell ref="DB70:DI72"/>
    <mergeCell ref="DW72:EA75"/>
    <mergeCell ref="DB75:DR76"/>
    <mergeCell ref="ET82:EX84"/>
    <mergeCell ref="EY82:EZ84"/>
    <mergeCell ref="DB83:DQ84"/>
    <mergeCell ref="EC80:ES86"/>
    <mergeCell ref="DW81:EA84"/>
    <mergeCell ref="DB86:DI88"/>
    <mergeCell ref="ET91:EX93"/>
    <mergeCell ref="EY91:EZ93"/>
    <mergeCell ref="BO86:BO87"/>
    <mergeCell ref="EC89:ES95"/>
    <mergeCell ref="AW87:BD89"/>
    <mergeCell ref="BP88:BQ89"/>
    <mergeCell ref="BY88:CG90"/>
    <mergeCell ref="P93:AK96"/>
    <mergeCell ref="DB91:DQ92"/>
    <mergeCell ref="AW96:BF97"/>
    <mergeCell ref="BJ96:BS97"/>
    <mergeCell ref="BW96:CF97"/>
    <mergeCell ref="DB94:DI96"/>
    <mergeCell ref="AC97:AL99"/>
    <mergeCell ref="AW98:BF99"/>
    <mergeCell ref="BJ98:BS99"/>
    <mergeCell ref="BW98:CF99"/>
    <mergeCell ref="CJ98:CS99"/>
    <mergeCell ref="CK87:CW91"/>
    <mergeCell ref="DB99:DS100"/>
    <mergeCell ref="BR90:BV90"/>
    <mergeCell ref="EX132:EY139"/>
    <mergeCell ref="I138:J146"/>
    <mergeCell ref="CX124:ET147"/>
    <mergeCell ref="P108:Y110"/>
    <mergeCell ref="AD108:AK110"/>
    <mergeCell ref="AR108:AU110"/>
    <mergeCell ref="AX108:BE110"/>
    <mergeCell ref="BK108:BR110"/>
    <mergeCell ref="DV98:EH100"/>
    <mergeCell ref="I117:J120"/>
    <mergeCell ref="CX119:ET122"/>
    <mergeCell ref="ET100:EX102"/>
    <mergeCell ref="EY100:EZ102"/>
    <mergeCell ref="P101:Y103"/>
    <mergeCell ref="AD101:AK103"/>
    <mergeCell ref="AR101:AU103"/>
    <mergeCell ref="AX101:BE103"/>
    <mergeCell ref="BK101:BR103"/>
    <mergeCell ref="BX101:CE103"/>
    <mergeCell ref="EC101:ES104"/>
    <mergeCell ref="CK101:CR103"/>
    <mergeCell ref="EX120:EY127"/>
    <mergeCell ref="BX115:CE117"/>
    <mergeCell ref="DB102:DI104"/>
    <mergeCell ref="AW189:BC190"/>
    <mergeCell ref="ER106:ES113"/>
    <mergeCell ref="I126:J133"/>
    <mergeCell ref="CF128:CN130"/>
    <mergeCell ref="S121:Z122"/>
    <mergeCell ref="S123:AU125"/>
    <mergeCell ref="AZ121:BF122"/>
    <mergeCell ref="AZ123:BI125"/>
    <mergeCell ref="Q127:T128"/>
    <mergeCell ref="U128:AN130"/>
    <mergeCell ref="AS127:AV128"/>
    <mergeCell ref="AW128:BG130"/>
    <mergeCell ref="BN123:BV124"/>
    <mergeCell ref="CK108:CR110"/>
    <mergeCell ref="DB113:DP116"/>
    <mergeCell ref="DX113:EL116"/>
    <mergeCell ref="DX108:EL111"/>
    <mergeCell ref="DB108:DP111"/>
    <mergeCell ref="CK115:CR117"/>
    <mergeCell ref="BW123:CN125"/>
    <mergeCell ref="BL127:BQ128"/>
    <mergeCell ref="BR128:CE130"/>
    <mergeCell ref="M126:O132"/>
    <mergeCell ref="EE181:EH184"/>
    <mergeCell ref="AZ138:BF139"/>
    <mergeCell ref="BN138:BU139"/>
    <mergeCell ref="S140:AU142"/>
    <mergeCell ref="AZ140:BI142"/>
    <mergeCell ref="BN140:BV141"/>
    <mergeCell ref="BW140:CN142"/>
    <mergeCell ref="BR145:CE147"/>
    <mergeCell ref="Q149:V150"/>
    <mergeCell ref="X150:CN152"/>
    <mergeCell ref="Q144:T145"/>
    <mergeCell ref="AS144:AV145"/>
    <mergeCell ref="BL144:BQ145"/>
    <mergeCell ref="U145:AN147"/>
    <mergeCell ref="AW145:BG147"/>
    <mergeCell ref="CF145:CN147"/>
    <mergeCell ref="EK196:EQ197"/>
    <mergeCell ref="ER196:EX199"/>
    <mergeCell ref="CY196:DB199"/>
    <mergeCell ref="DC196:DF199"/>
    <mergeCell ref="DK196:DO199"/>
    <mergeCell ref="DP187:EC188"/>
    <mergeCell ref="ED187:EV188"/>
    <mergeCell ref="DP196:DS199"/>
    <mergeCell ref="DX196:EB199"/>
    <mergeCell ref="EC196:EF199"/>
    <mergeCell ref="DG191:ED194"/>
    <mergeCell ref="EI191:EL192"/>
    <mergeCell ref="EM191:ES194"/>
    <mergeCell ref="CM265:DT266"/>
    <mergeCell ref="F242:AN244"/>
    <mergeCell ref="F245:AN247"/>
    <mergeCell ref="F248:AN250"/>
    <mergeCell ref="F251:AN253"/>
    <mergeCell ref="F254:AN256"/>
    <mergeCell ref="F257:AN259"/>
    <mergeCell ref="F239:AN241"/>
    <mergeCell ref="F236:AN238"/>
    <mergeCell ref="F260:AN262"/>
    <mergeCell ref="AQ235:DH238"/>
    <mergeCell ref="AQ239:DH242"/>
    <mergeCell ref="AQ243:DH246"/>
    <mergeCell ref="AQ247:DH250"/>
    <mergeCell ref="AQ251:DH254"/>
    <mergeCell ref="AQ255:DH258"/>
    <mergeCell ref="AQ259:DH262"/>
    <mergeCell ref="DK259:EY262"/>
    <mergeCell ref="DK255:EY258"/>
    <mergeCell ref="DK251:EY254"/>
    <mergeCell ref="DK247:EY250"/>
    <mergeCell ref="DK243:EY246"/>
    <mergeCell ref="DK239:EY242"/>
    <mergeCell ref="DK235:EY238"/>
    <mergeCell ref="DP224:DT225"/>
    <mergeCell ref="DU224:EF227"/>
    <mergeCell ref="EK224:EO225"/>
    <mergeCell ref="EP224:EX227"/>
    <mergeCell ref="CY224:DC225"/>
    <mergeCell ref="DD224:DK227"/>
    <mergeCell ref="DC201:EX217"/>
    <mergeCell ref="N212:Q213"/>
    <mergeCell ref="AP212:AS213"/>
    <mergeCell ref="BI212:BN213"/>
    <mergeCell ref="R213:AK215"/>
    <mergeCell ref="AT213:BD215"/>
    <mergeCell ref="BO213:CB215"/>
    <mergeCell ref="U201:CK203"/>
    <mergeCell ref="P206:W207"/>
    <mergeCell ref="AW206:BC207"/>
    <mergeCell ref="BK206:BR207"/>
    <mergeCell ref="P208:AR210"/>
    <mergeCell ref="AW208:BF210"/>
    <mergeCell ref="BK208:BS209"/>
    <mergeCell ref="BT208:CK210"/>
    <mergeCell ref="F224:AN226"/>
    <mergeCell ref="F227:AN229"/>
    <mergeCell ref="CC213:CK215"/>
    <mergeCell ref="N200:S201"/>
    <mergeCell ref="F230:AN232"/>
    <mergeCell ref="F233:AN235"/>
    <mergeCell ref="CV201:DB202"/>
    <mergeCell ref="CV219:DB222"/>
    <mergeCell ref="J194:L200"/>
    <mergeCell ref="J211:L217"/>
    <mergeCell ref="CX149:ET152"/>
    <mergeCell ref="CX154:ET170"/>
    <mergeCell ref="N217:S218"/>
    <mergeCell ref="U218:CK220"/>
    <mergeCell ref="BT191:CK193"/>
    <mergeCell ref="N195:Q196"/>
    <mergeCell ref="AP195:AS196"/>
    <mergeCell ref="BI195:BN196"/>
    <mergeCell ref="R196:AK198"/>
    <mergeCell ref="AT196:BD198"/>
    <mergeCell ref="BO196:CB198"/>
    <mergeCell ref="CC196:CK198"/>
    <mergeCell ref="DC219:EX222"/>
    <mergeCell ref="N183:S184"/>
    <mergeCell ref="U184:CK186"/>
    <mergeCell ref="CY191:DF192"/>
    <mergeCell ref="P189:W190"/>
    <mergeCell ref="BK189:BR190"/>
    <mergeCell ref="P191:AR193"/>
    <mergeCell ref="AW191:BF193"/>
    <mergeCell ref="BK191:BS192"/>
    <mergeCell ref="DQ23:EL26"/>
    <mergeCell ref="DL35:DM36"/>
    <mergeCell ref="DJ31:DK32"/>
    <mergeCell ref="EK37:EL38"/>
    <mergeCell ref="DS28:ED29"/>
    <mergeCell ref="EI28:EM29"/>
    <mergeCell ref="DS30:DZ34"/>
    <mergeCell ref="DC177:DF180"/>
    <mergeCell ref="BN121:BU122"/>
    <mergeCell ref="DG177:DJ180"/>
    <mergeCell ref="EI177:EL180"/>
    <mergeCell ref="EM177:EP180"/>
    <mergeCell ref="EO106:EP117"/>
    <mergeCell ref="DW90:EA93"/>
    <mergeCell ref="EM181:EP184"/>
    <mergeCell ref="CY181:DB184"/>
    <mergeCell ref="DC181:DF184"/>
    <mergeCell ref="DG181:DJ184"/>
    <mergeCell ref="DK181:DN184"/>
    <mergeCell ref="S138:Z139"/>
    <mergeCell ref="J160:L166"/>
    <mergeCell ref="J177:L183"/>
    <mergeCell ref="CC179:CK181"/>
    <mergeCell ref="N178:Q179"/>
    <mergeCell ref="AP178:AS179"/>
    <mergeCell ref="BI178:BN179"/>
    <mergeCell ref="R179:AK181"/>
    <mergeCell ref="AT179:BD181"/>
    <mergeCell ref="CY177:DB180"/>
    <mergeCell ref="BO179:CB181"/>
    <mergeCell ref="N161:Q162"/>
    <mergeCell ref="BO162:CB164"/>
    <mergeCell ref="BK172:BR173"/>
    <mergeCell ref="CC162:CK164"/>
    <mergeCell ref="N166:S167"/>
    <mergeCell ref="FF235:FF238"/>
    <mergeCell ref="FF243:FF246"/>
    <mergeCell ref="FF239:FF242"/>
    <mergeCell ref="FF247:FF250"/>
    <mergeCell ref="FF251:FF254"/>
    <mergeCell ref="FF255:FF258"/>
    <mergeCell ref="FF259:FF262"/>
    <mergeCell ref="DN230:EL233"/>
    <mergeCell ref="EO231:EY232"/>
  </mergeCells>
  <conditionalFormatting sqref="CY177:ET184">
    <cfRule type="expression" dxfId="50" priority="1">
      <formula>CY177&gt;MIN(DSP,Wisdom)</formula>
    </cfRule>
    <cfRule type="colorScale" priority="2">
      <colorScale>
        <cfvo type="min"/>
        <cfvo type="formula" val="MIN(DSP,Wisdom)/2"/>
        <cfvo type="formula" val="MIN(DSP,Wisdom)"/>
        <color rgb="FFFF463B"/>
        <color rgb="FFB00000"/>
        <color rgb="FF600000"/>
      </colorScale>
    </cfRule>
    <cfRule type="expression" dxfId="49" priority="3">
      <formula>CY177&gt;MIN(Wisdom,DSP)</formula>
    </cfRule>
    <cfRule type="expression" dxfId="48" priority="4">
      <formula>CY177&lt;=DSP</formula>
    </cfRule>
  </conditionalFormatting>
  <pageMargins left="0.70866141732283472" right="0.31496062992125984" top="0.35433070866141736" bottom="0.35433070866141736" header="0.31496062992125984" footer="0.31496062992125984"/>
  <pageSetup paperSize="9" scale="32" orientation="portrait" r:id="rId1"/>
  <drawing r:id="rId2"/>
  <legacyDrawing r:id="rId3"/>
  <oleObjects>
    <mc:AlternateContent xmlns:mc="http://schemas.openxmlformats.org/markup-compatibility/2006">
      <mc:Choice Requires="x14">
        <oleObject progId="Photoshop.Image.8" shapeId="17409" r:id="rId4">
          <objectPr defaultSize="0" autoPict="0" r:id="rId5">
            <anchor moveWithCells="1">
              <from>
                <xdr:col>16</xdr:col>
                <xdr:colOff>38100</xdr:colOff>
                <xdr:row>0</xdr:row>
                <xdr:rowOff>50800</xdr:rowOff>
              </from>
              <to>
                <xdr:col>111</xdr:col>
                <xdr:colOff>12700</xdr:colOff>
                <xdr:row>26</xdr:row>
                <xdr:rowOff>19050</xdr:rowOff>
              </to>
            </anchor>
          </objectPr>
        </oleObject>
      </mc:Choice>
      <mc:Fallback>
        <oleObject progId="Photoshop.Image.8" shapeId="17409" r:id="rId4"/>
      </mc:Fallback>
    </mc:AlternateContent>
  </oleObjec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A1:JX280"/>
  <sheetViews>
    <sheetView showGridLines="0" showRowColHeaders="0" zoomScale="40" zoomScaleNormal="40" zoomScaleSheetLayoutView="50" workbookViewId="0"/>
  </sheetViews>
  <sheetFormatPr defaultColWidth="1.7265625" defaultRowHeight="9" customHeight="1"/>
  <cols>
    <col min="15" max="184" width="1.54296875" customWidth="1"/>
    <col min="185" max="185" width="4" style="694" hidden="1" customWidth="1"/>
    <col min="186" max="186" width="9.81640625" style="694" hidden="1" customWidth="1"/>
    <col min="187" max="187" width="10.1796875" style="694" hidden="1" customWidth="1"/>
    <col min="188" max="188" width="9.81640625" style="694" hidden="1" customWidth="1"/>
    <col min="189" max="189" width="3.26953125" style="694" hidden="1" customWidth="1"/>
    <col min="190" max="191" width="10.1796875" style="694" hidden="1" customWidth="1"/>
    <col min="192" max="192" width="1.7265625" style="694" hidden="1" customWidth="1"/>
    <col min="193" max="193" width="5.453125" style="694" hidden="1" customWidth="1"/>
    <col min="194" max="194" width="35.54296875" style="694" hidden="1" customWidth="1"/>
    <col min="195" max="196" width="1.7265625" style="694" hidden="1" customWidth="1"/>
    <col min="197" max="197" width="6.26953125" style="694" hidden="1" customWidth="1"/>
    <col min="198" max="198" width="13.81640625" style="694" hidden="1" customWidth="1"/>
    <col min="199" max="199" width="1.7265625" style="694" hidden="1" customWidth="1"/>
    <col min="200" max="200" width="5.81640625" style="694" hidden="1" customWidth="1"/>
    <col min="201" max="201" width="9.81640625" style="694" hidden="1" customWidth="1"/>
    <col min="202" max="202" width="1.7265625" style="694" hidden="1" customWidth="1"/>
    <col min="203" max="203" width="5.81640625" style="694" hidden="1" customWidth="1"/>
    <col min="204" max="204" width="9.81640625" style="694" hidden="1" customWidth="1"/>
    <col min="205" max="205" width="1.7265625" style="694" hidden="1" customWidth="1"/>
    <col min="206" max="206" width="7.26953125" style="694" hidden="1" customWidth="1"/>
    <col min="207" max="207" width="9.81640625" style="694" hidden="1" customWidth="1"/>
    <col min="208" max="284" width="1.7265625" style="694" hidden="1" customWidth="1"/>
  </cols>
  <sheetData>
    <row r="1" spans="1:190" ht="9" customHeight="1">
      <c r="A1" s="87"/>
      <c r="B1" s="87"/>
      <c r="C1" s="87"/>
      <c r="D1" s="87"/>
      <c r="E1" s="88"/>
      <c r="F1" s="88"/>
      <c r="G1" s="88"/>
      <c r="H1" s="88"/>
      <c r="I1" s="88"/>
      <c r="J1" s="88"/>
      <c r="K1" s="88"/>
      <c r="L1" s="88"/>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524"/>
      <c r="EC1" s="524"/>
      <c r="ED1" s="524"/>
      <c r="EE1" s="524"/>
      <c r="EF1" s="524"/>
      <c r="EG1" s="524"/>
      <c r="EH1" s="524"/>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row>
    <row r="2" spans="1:190" ht="9" customHeight="1" thickBot="1">
      <c r="A2" s="109"/>
      <c r="B2" s="109"/>
      <c r="C2" s="118"/>
      <c r="D2" s="118"/>
      <c r="E2" s="118"/>
      <c r="F2" s="118"/>
      <c r="L2" s="105"/>
      <c r="M2" s="105"/>
      <c r="N2" s="105"/>
      <c r="O2" s="105"/>
      <c r="P2" s="105"/>
      <c r="Q2" s="105"/>
      <c r="R2" s="105"/>
      <c r="S2" s="105"/>
      <c r="T2" s="385"/>
      <c r="U2" s="385"/>
      <c r="V2" s="385"/>
      <c r="W2" s="385"/>
      <c r="X2" s="385"/>
      <c r="Y2" s="1264"/>
      <c r="Z2" s="1264"/>
      <c r="AA2" s="1264"/>
      <c r="AB2" s="1264"/>
      <c r="AC2" s="1264"/>
      <c r="AD2" s="1264"/>
      <c r="AE2" s="1264"/>
      <c r="AF2" s="1264"/>
      <c r="AG2" s="1264"/>
      <c r="AH2" s="1264"/>
      <c r="AI2" s="1264"/>
      <c r="AJ2" s="1264"/>
      <c r="AK2" s="1264"/>
      <c r="AL2" s="1264"/>
      <c r="AM2" s="1264"/>
      <c r="AN2" s="1264"/>
      <c r="AO2" s="1264"/>
      <c r="AP2" s="1264"/>
      <c r="AQ2" s="1264"/>
      <c r="BD2" s="87"/>
      <c r="BE2" s="87"/>
      <c r="BF2" s="87"/>
      <c r="BG2" s="87"/>
      <c r="BH2" s="87"/>
      <c r="BI2" s="87"/>
      <c r="BJ2" s="87"/>
      <c r="BK2" s="87"/>
      <c r="BL2" s="87"/>
      <c r="BM2" s="87"/>
      <c r="BN2" s="87"/>
      <c r="BO2" s="87"/>
      <c r="BP2" s="87"/>
      <c r="BQ2" s="87"/>
      <c r="BR2" s="87"/>
      <c r="BS2" s="87"/>
      <c r="BT2" s="87"/>
      <c r="BU2" s="87"/>
      <c r="BV2" s="87"/>
      <c r="BW2" s="87"/>
      <c r="BX2" s="87"/>
      <c r="BY2" s="87"/>
      <c r="BZ2" s="87"/>
      <c r="CA2" s="111"/>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row>
    <row r="3" spans="1:190" ht="9" customHeight="1" thickTop="1" thickBot="1">
      <c r="A3" s="109"/>
      <c r="B3" s="87"/>
      <c r="C3" s="90"/>
      <c r="D3" s="1865" t="s">
        <v>3632</v>
      </c>
      <c r="E3" s="1865"/>
      <c r="F3" s="1865"/>
      <c r="G3" s="1865"/>
      <c r="H3" s="1865"/>
      <c r="I3" s="1865"/>
      <c r="J3" s="1865"/>
      <c r="K3" s="1865"/>
      <c r="L3" s="1865"/>
      <c r="M3" s="1865"/>
      <c r="N3" s="1865"/>
      <c r="O3" s="1865"/>
      <c r="P3" s="1865"/>
      <c r="Q3" s="1865"/>
      <c r="R3" s="1865"/>
      <c r="S3" s="1865"/>
      <c r="T3" s="1865"/>
      <c r="U3" s="2050" t="str">
        <f>IF(Campaign&lt;&gt;"",Campaign,"")</f>
        <v/>
      </c>
      <c r="V3" s="2050"/>
      <c r="W3" s="2050"/>
      <c r="X3" s="2050"/>
      <c r="Y3" s="2050"/>
      <c r="Z3" s="2050"/>
      <c r="AA3" s="2050"/>
      <c r="AB3" s="2050"/>
      <c r="AC3" s="2050"/>
      <c r="AD3" s="2050"/>
      <c r="AE3" s="2050"/>
      <c r="AF3" s="2050"/>
      <c r="AG3" s="2050"/>
      <c r="AH3" s="2050"/>
      <c r="AI3" s="2050"/>
      <c r="AJ3" s="2050"/>
      <c r="AK3" s="2050"/>
      <c r="AL3" s="2050"/>
      <c r="AM3" s="2050"/>
      <c r="AN3" s="2050"/>
      <c r="AO3" s="2050"/>
      <c r="AP3" s="2050"/>
      <c r="AQ3" s="2050"/>
      <c r="AR3" s="2050"/>
      <c r="AS3" s="2050"/>
      <c r="AT3" s="2050"/>
      <c r="AU3" s="2050"/>
      <c r="AV3" s="2050"/>
      <c r="AW3" s="2050"/>
      <c r="AX3" s="2050"/>
      <c r="AY3" s="2050"/>
      <c r="AZ3" s="2050"/>
      <c r="BA3" s="2050"/>
      <c r="BB3" s="91"/>
      <c r="BC3" s="87"/>
      <c r="BD3" s="1264"/>
      <c r="BE3" s="90"/>
      <c r="BF3" s="2178" t="s">
        <v>6170</v>
      </c>
      <c r="BG3" s="2178"/>
      <c r="BH3" s="2178"/>
      <c r="BI3" s="2178"/>
      <c r="BJ3" s="2175">
        <f>XP</f>
        <v>0</v>
      </c>
      <c r="BK3" s="2175"/>
      <c r="BL3" s="2175"/>
      <c r="BM3" s="2175"/>
      <c r="BN3" s="2175"/>
      <c r="BO3" s="2175"/>
      <c r="BP3" s="2175"/>
      <c r="BQ3" s="2175"/>
      <c r="BR3" s="2175"/>
      <c r="BS3" s="2175"/>
      <c r="BT3" s="2175"/>
      <c r="BU3" s="2175"/>
      <c r="BV3" s="2175"/>
      <c r="BW3" s="2175"/>
      <c r="BX3" s="2175"/>
      <c r="BY3" s="2175"/>
      <c r="BZ3" s="91"/>
      <c r="CA3" s="111"/>
      <c r="CB3" s="87"/>
      <c r="CC3" s="87"/>
      <c r="CD3" s="87"/>
      <c r="CE3" s="87"/>
      <c r="CF3" s="87"/>
      <c r="CG3" s="386"/>
      <c r="CH3" s="386"/>
      <c r="CI3" s="386"/>
      <c r="CJ3" s="386"/>
      <c r="CK3" s="386"/>
      <c r="CL3" s="386"/>
      <c r="CM3" s="386"/>
      <c r="CN3" s="386"/>
      <c r="CO3" s="386"/>
      <c r="CP3" s="386"/>
      <c r="CQ3" s="386"/>
      <c r="CR3" s="386"/>
      <c r="CS3" s="386"/>
      <c r="CT3" s="386"/>
      <c r="CU3" s="386"/>
      <c r="CV3" s="386"/>
      <c r="CW3" s="386"/>
      <c r="CX3" s="386"/>
      <c r="CY3" s="386"/>
      <c r="CZ3" s="386"/>
      <c r="DA3" s="386"/>
      <c r="DB3" s="386"/>
      <c r="DC3" s="386"/>
      <c r="DD3" s="386"/>
      <c r="DE3" s="386"/>
      <c r="DF3" s="386"/>
      <c r="DG3" s="386"/>
      <c r="DH3" s="386"/>
      <c r="DI3" s="386"/>
      <c r="DJ3" s="386"/>
      <c r="DK3" s="387"/>
      <c r="DL3" s="387"/>
      <c r="DM3" s="387"/>
      <c r="DN3" s="387"/>
      <c r="DO3" s="387"/>
      <c r="DP3" s="387"/>
      <c r="DQ3" s="387"/>
      <c r="DR3" s="387"/>
      <c r="DS3" s="387"/>
      <c r="DT3" s="387"/>
      <c r="DU3" s="387"/>
      <c r="DV3" s="387"/>
      <c r="DW3" s="387"/>
      <c r="DX3" s="387"/>
      <c r="DY3" s="387"/>
      <c r="DZ3" s="387"/>
      <c r="EA3" s="387"/>
      <c r="EB3" s="387"/>
      <c r="EC3" s="387"/>
      <c r="ED3" s="387"/>
      <c r="EE3" s="387"/>
      <c r="EF3" s="387"/>
      <c r="EG3" s="387"/>
      <c r="EH3" s="387"/>
      <c r="EI3" s="387"/>
      <c r="EJ3" s="387"/>
      <c r="EK3" s="387"/>
      <c r="EL3" s="387"/>
      <c r="EM3" s="387"/>
      <c r="EN3" s="387"/>
      <c r="EO3" s="387"/>
      <c r="EP3" s="387"/>
      <c r="EQ3" s="387"/>
      <c r="ER3" s="387"/>
      <c r="ES3" s="387"/>
      <c r="ET3" s="387"/>
      <c r="EU3" s="387"/>
      <c r="EV3" s="387"/>
      <c r="EW3" s="387"/>
      <c r="EX3" s="387"/>
      <c r="EY3" s="387"/>
      <c r="EZ3" s="387"/>
      <c r="FA3" s="387"/>
      <c r="FB3" s="387"/>
      <c r="FC3" s="387"/>
      <c r="FD3" s="387"/>
      <c r="FE3" s="387"/>
      <c r="FF3" s="387"/>
      <c r="FG3" s="387"/>
      <c r="FH3" s="387"/>
      <c r="FI3" s="387"/>
      <c r="FJ3" s="87"/>
      <c r="FK3" s="87"/>
      <c r="FL3" s="87"/>
      <c r="FM3" s="87"/>
      <c r="FN3" s="87"/>
      <c r="FO3" s="87"/>
      <c r="FP3" s="87"/>
      <c r="FQ3" s="87"/>
      <c r="FR3" s="87"/>
      <c r="FS3" s="87"/>
      <c r="FT3" s="87"/>
      <c r="FU3" s="87"/>
      <c r="FV3" s="87"/>
      <c r="FW3" s="87"/>
      <c r="FX3" s="87"/>
      <c r="FY3" s="87"/>
      <c r="FZ3" s="87"/>
      <c r="GA3" s="87"/>
    </row>
    <row r="4" spans="1:190" ht="9" customHeight="1" thickTop="1" thickBot="1">
      <c r="A4" s="109"/>
      <c r="B4" s="1265"/>
      <c r="C4" s="98"/>
      <c r="D4" s="1866"/>
      <c r="E4" s="1866"/>
      <c r="F4" s="1866"/>
      <c r="G4" s="1866"/>
      <c r="H4" s="1866"/>
      <c r="I4" s="1866"/>
      <c r="J4" s="1866"/>
      <c r="K4" s="1866"/>
      <c r="L4" s="1866"/>
      <c r="M4" s="1866"/>
      <c r="N4" s="1866"/>
      <c r="O4" s="1866"/>
      <c r="P4" s="1866"/>
      <c r="Q4" s="1866"/>
      <c r="R4" s="1866"/>
      <c r="S4" s="1866"/>
      <c r="T4" s="1866"/>
      <c r="U4" s="2051"/>
      <c r="V4" s="2051"/>
      <c r="W4" s="2051"/>
      <c r="X4" s="2051"/>
      <c r="Y4" s="2051"/>
      <c r="Z4" s="2051"/>
      <c r="AA4" s="2051"/>
      <c r="AB4" s="2051"/>
      <c r="AC4" s="2051"/>
      <c r="AD4" s="2051"/>
      <c r="AE4" s="2051"/>
      <c r="AF4" s="2051"/>
      <c r="AG4" s="2051"/>
      <c r="AH4" s="2051"/>
      <c r="AI4" s="2051"/>
      <c r="AJ4" s="2051"/>
      <c r="AK4" s="2051"/>
      <c r="AL4" s="2051"/>
      <c r="AM4" s="2051"/>
      <c r="AN4" s="2051"/>
      <c r="AO4" s="2051"/>
      <c r="AP4" s="2051"/>
      <c r="AQ4" s="2051"/>
      <c r="AR4" s="2051"/>
      <c r="AS4" s="2051"/>
      <c r="AT4" s="2051"/>
      <c r="AU4" s="2051"/>
      <c r="AV4" s="2051"/>
      <c r="AW4" s="2051"/>
      <c r="AX4" s="2051"/>
      <c r="AY4" s="2051"/>
      <c r="AZ4" s="2051"/>
      <c r="BA4" s="2051"/>
      <c r="BB4" s="100"/>
      <c r="BC4" s="658"/>
      <c r="BD4" s="1264"/>
      <c r="BE4" s="98"/>
      <c r="BF4" s="1981"/>
      <c r="BG4" s="1981"/>
      <c r="BH4" s="1981"/>
      <c r="BI4" s="1981"/>
      <c r="BJ4" s="2176"/>
      <c r="BK4" s="2176"/>
      <c r="BL4" s="2176"/>
      <c r="BM4" s="2176"/>
      <c r="BN4" s="2176"/>
      <c r="BO4" s="2176"/>
      <c r="BP4" s="2176"/>
      <c r="BQ4" s="2176"/>
      <c r="BR4" s="2176"/>
      <c r="BS4" s="2176"/>
      <c r="BT4" s="2176"/>
      <c r="BU4" s="2176"/>
      <c r="BV4" s="2176"/>
      <c r="BW4" s="2176"/>
      <c r="BX4" s="2176"/>
      <c r="BY4" s="2176"/>
      <c r="BZ4" s="100"/>
      <c r="CA4" s="111"/>
      <c r="CB4" s="87"/>
      <c r="CC4" s="87"/>
      <c r="CD4" s="87"/>
      <c r="CE4" s="87"/>
      <c r="CF4" s="388"/>
      <c r="CG4" s="386"/>
      <c r="CH4" s="386"/>
      <c r="CI4" s="386"/>
      <c r="CJ4" s="386"/>
      <c r="CK4" s="386"/>
      <c r="CL4" s="386"/>
      <c r="CM4" s="386"/>
      <c r="CN4" s="386"/>
      <c r="CO4" s="386"/>
      <c r="CP4" s="386"/>
      <c r="CQ4" s="386"/>
      <c r="CR4" s="386"/>
      <c r="CS4" s="386"/>
      <c r="CT4" s="386"/>
      <c r="CU4" s="386"/>
      <c r="CV4" s="386"/>
      <c r="CW4" s="386"/>
      <c r="CX4" s="386"/>
      <c r="CY4" s="87"/>
      <c r="CZ4" s="87"/>
      <c r="DA4" s="87"/>
      <c r="DB4" s="87"/>
      <c r="DC4" s="87"/>
      <c r="DD4" s="87"/>
      <c r="DE4" s="87"/>
      <c r="DF4" s="87"/>
      <c r="DG4" s="87"/>
      <c r="DH4" s="87"/>
      <c r="DI4" s="87"/>
      <c r="DJ4" s="87"/>
      <c r="DK4" s="389"/>
      <c r="DL4" s="87"/>
      <c r="DM4" s="87"/>
      <c r="DN4" s="87"/>
      <c r="DO4" s="87"/>
      <c r="DP4" s="2108"/>
      <c r="DQ4" s="2108"/>
      <c r="DR4" s="2108"/>
      <c r="DS4" s="2108"/>
      <c r="DT4" s="2108"/>
      <c r="DU4" s="2108"/>
      <c r="DV4" s="2108"/>
      <c r="DW4" s="2108"/>
      <c r="DX4" s="2108"/>
      <c r="DY4" s="2108"/>
      <c r="DZ4" s="2108"/>
      <c r="EA4" s="2108"/>
      <c r="EB4" s="2108"/>
      <c r="EC4" s="2111"/>
      <c r="ED4" s="2111"/>
      <c r="EE4" s="2111"/>
      <c r="EF4" s="2111"/>
      <c r="EG4" s="2111"/>
      <c r="EH4" s="2111"/>
      <c r="EI4" s="2111"/>
      <c r="EJ4" s="2111"/>
      <c r="EK4" s="2111"/>
      <c r="EL4" s="2111"/>
      <c r="EM4" s="2111"/>
      <c r="EN4" s="2111"/>
      <c r="EO4" s="2111"/>
      <c r="EP4" s="2111"/>
      <c r="EQ4" s="2111"/>
      <c r="ER4" s="2111"/>
      <c r="ES4" s="2094"/>
      <c r="ET4" s="2094"/>
      <c r="EU4" s="2094"/>
      <c r="EV4" s="2094"/>
      <c r="EW4" s="2094"/>
      <c r="EX4" s="2094"/>
      <c r="EY4" s="2094"/>
      <c r="EZ4" s="2094"/>
      <c r="FA4" s="2094"/>
      <c r="FB4" s="2094"/>
      <c r="FC4" s="2094"/>
      <c r="FD4" s="2094"/>
      <c r="FE4" s="2094"/>
      <c r="FF4" s="2094"/>
      <c r="FG4" s="2094"/>
      <c r="FH4" s="2094"/>
      <c r="FI4" s="2094"/>
      <c r="FJ4" s="2094"/>
      <c r="FK4" s="2094"/>
      <c r="FL4" s="2094"/>
      <c r="FM4" s="2094"/>
      <c r="FN4" s="2094"/>
      <c r="FO4" s="2094"/>
      <c r="FP4" s="2094"/>
      <c r="FQ4" s="2094"/>
      <c r="FR4" s="2094"/>
      <c r="FS4" s="2094"/>
      <c r="FT4" s="2094"/>
      <c r="FU4" s="390"/>
      <c r="FV4" s="87"/>
      <c r="FW4" s="87"/>
      <c r="FX4" s="87"/>
      <c r="FY4" s="87"/>
      <c r="FZ4" s="87"/>
      <c r="GA4" s="87"/>
    </row>
    <row r="5" spans="1:190" ht="9" customHeight="1" thickTop="1" thickBot="1">
      <c r="A5" s="109"/>
      <c r="B5" s="118"/>
      <c r="C5" s="98"/>
      <c r="D5" s="1213"/>
      <c r="E5" s="1213"/>
      <c r="F5" s="1213"/>
      <c r="G5" s="1213"/>
      <c r="H5" s="1213"/>
      <c r="I5" s="1213"/>
      <c r="J5" s="1213"/>
      <c r="K5" s="1213"/>
      <c r="L5" s="1213"/>
      <c r="M5" s="1213"/>
      <c r="N5" s="1213"/>
      <c r="O5" s="1213"/>
      <c r="P5" s="1213"/>
      <c r="Q5" s="1213"/>
      <c r="R5" s="1213"/>
      <c r="S5" s="1213"/>
      <c r="T5" s="1213"/>
      <c r="U5" s="2051"/>
      <c r="V5" s="2051"/>
      <c r="W5" s="2051"/>
      <c r="X5" s="2051"/>
      <c r="Y5" s="2051"/>
      <c r="Z5" s="2051"/>
      <c r="AA5" s="2051"/>
      <c r="AB5" s="2051"/>
      <c r="AC5" s="2051"/>
      <c r="AD5" s="2051"/>
      <c r="AE5" s="2051"/>
      <c r="AF5" s="2051"/>
      <c r="AG5" s="2051"/>
      <c r="AH5" s="2051"/>
      <c r="AI5" s="2051"/>
      <c r="AJ5" s="2051"/>
      <c r="AK5" s="2051"/>
      <c r="AL5" s="2051"/>
      <c r="AM5" s="2051"/>
      <c r="AN5" s="2051"/>
      <c r="AO5" s="2051"/>
      <c r="AP5" s="2051"/>
      <c r="AQ5" s="2051"/>
      <c r="AR5" s="2051"/>
      <c r="AS5" s="2051"/>
      <c r="AT5" s="2051"/>
      <c r="AU5" s="2051"/>
      <c r="AV5" s="2051"/>
      <c r="AW5" s="2051"/>
      <c r="AX5" s="2051"/>
      <c r="AY5" s="2051"/>
      <c r="AZ5" s="2051"/>
      <c r="BA5" s="2051"/>
      <c r="BB5" s="100"/>
      <c r="BC5" s="118"/>
      <c r="BD5" s="1264"/>
      <c r="BE5" s="98"/>
      <c r="BF5" s="181"/>
      <c r="BG5" s="181"/>
      <c r="BH5" s="105"/>
      <c r="BI5" s="105"/>
      <c r="BJ5" s="2176"/>
      <c r="BK5" s="2176"/>
      <c r="BL5" s="2176"/>
      <c r="BM5" s="2176"/>
      <c r="BN5" s="2176"/>
      <c r="BO5" s="2176"/>
      <c r="BP5" s="2176"/>
      <c r="BQ5" s="2176"/>
      <c r="BR5" s="2176"/>
      <c r="BS5" s="2176"/>
      <c r="BT5" s="2176"/>
      <c r="BU5" s="2176"/>
      <c r="BV5" s="2176"/>
      <c r="BW5" s="2176"/>
      <c r="BX5" s="2176"/>
      <c r="BY5" s="2176"/>
      <c r="BZ5" s="100"/>
      <c r="CA5" s="111"/>
      <c r="CB5" s="87"/>
      <c r="CC5" s="87"/>
      <c r="CD5" s="87"/>
      <c r="CE5" s="386"/>
      <c r="CF5" s="386"/>
      <c r="CG5" s="386"/>
      <c r="CH5" s="386"/>
      <c r="CI5" s="386"/>
      <c r="CJ5" s="386"/>
      <c r="CK5" s="386"/>
      <c r="CL5" s="386"/>
      <c r="CM5" s="386"/>
      <c r="CN5" s="386"/>
      <c r="CO5" s="386"/>
      <c r="CP5" s="386"/>
      <c r="CQ5" s="386"/>
      <c r="CR5" s="386"/>
      <c r="CS5" s="386"/>
      <c r="CT5" s="386"/>
      <c r="CU5" s="386"/>
      <c r="CV5" s="386"/>
      <c r="CW5" s="386"/>
      <c r="CX5" s="386"/>
      <c r="CY5" s="389"/>
      <c r="CZ5" s="87"/>
      <c r="DA5" s="87"/>
      <c r="DB5" s="87"/>
      <c r="DC5" s="87"/>
      <c r="DD5" s="87"/>
      <c r="DE5" s="87"/>
      <c r="DF5" s="87"/>
      <c r="DG5" s="87"/>
      <c r="DH5" s="87"/>
      <c r="DI5" s="87"/>
      <c r="DJ5" s="87"/>
      <c r="DK5" s="87"/>
      <c r="DL5" s="389"/>
      <c r="DM5" s="87"/>
      <c r="DN5" s="87"/>
      <c r="DO5" s="87"/>
      <c r="DP5" s="2109"/>
      <c r="DQ5" s="2109"/>
      <c r="DR5" s="2109"/>
      <c r="DS5" s="2109"/>
      <c r="DT5" s="2109"/>
      <c r="DU5" s="2109"/>
      <c r="DV5" s="2109"/>
      <c r="DW5" s="2109"/>
      <c r="DX5" s="2109"/>
      <c r="DY5" s="2109"/>
      <c r="DZ5" s="2109"/>
      <c r="EA5" s="2109"/>
      <c r="EB5" s="2109"/>
      <c r="EC5" s="2080"/>
      <c r="ED5" s="2080"/>
      <c r="EE5" s="2080"/>
      <c r="EF5" s="2080"/>
      <c r="EG5" s="2080"/>
      <c r="EH5" s="2080"/>
      <c r="EI5" s="2080"/>
      <c r="EJ5" s="2080"/>
      <c r="EK5" s="2080"/>
      <c r="EL5" s="2080"/>
      <c r="EM5" s="2080"/>
      <c r="EN5" s="2080"/>
      <c r="EO5" s="2080"/>
      <c r="EP5" s="2080"/>
      <c r="EQ5" s="2080"/>
      <c r="ER5" s="2080"/>
      <c r="ES5" s="2095"/>
      <c r="ET5" s="2095"/>
      <c r="EU5" s="2095"/>
      <c r="EV5" s="2095"/>
      <c r="EW5" s="2095"/>
      <c r="EX5" s="2095"/>
      <c r="EY5" s="2095"/>
      <c r="EZ5" s="2095"/>
      <c r="FA5" s="2095"/>
      <c r="FB5" s="2095"/>
      <c r="FC5" s="2095"/>
      <c r="FD5" s="2095"/>
      <c r="FE5" s="2095"/>
      <c r="FF5" s="2095"/>
      <c r="FG5" s="2095"/>
      <c r="FH5" s="2095"/>
      <c r="FI5" s="2095"/>
      <c r="FJ5" s="2095"/>
      <c r="FK5" s="2095"/>
      <c r="FL5" s="2095"/>
      <c r="FM5" s="2095"/>
      <c r="FN5" s="2095"/>
      <c r="FO5" s="2095"/>
      <c r="FP5" s="2095"/>
      <c r="FQ5" s="2095"/>
      <c r="FR5" s="2095"/>
      <c r="FS5" s="2095"/>
      <c r="FT5" s="2095"/>
      <c r="FU5" s="87"/>
      <c r="FV5" s="390"/>
      <c r="FW5" s="87"/>
      <c r="FX5" s="87"/>
      <c r="FY5" s="87"/>
      <c r="FZ5" s="87"/>
      <c r="GA5" s="87"/>
    </row>
    <row r="6" spans="1:190" ht="9" customHeight="1" thickTop="1" thickBot="1">
      <c r="A6" s="87"/>
      <c r="B6" s="118"/>
      <c r="C6" s="94"/>
      <c r="D6" s="1238"/>
      <c r="E6" s="1238"/>
      <c r="F6" s="1238"/>
      <c r="G6" s="1238"/>
      <c r="H6" s="1238"/>
      <c r="I6" s="1238"/>
      <c r="J6" s="1238"/>
      <c r="K6" s="1238"/>
      <c r="L6" s="1238"/>
      <c r="M6" s="1238"/>
      <c r="N6" s="1238"/>
      <c r="O6" s="1238"/>
      <c r="P6" s="1238"/>
      <c r="Q6" s="1238"/>
      <c r="R6" s="1238"/>
      <c r="S6" s="1238"/>
      <c r="T6" s="1238"/>
      <c r="U6" s="2052"/>
      <c r="V6" s="2052"/>
      <c r="W6" s="2052"/>
      <c r="X6" s="2052"/>
      <c r="Y6" s="2052"/>
      <c r="Z6" s="2052"/>
      <c r="AA6" s="2052"/>
      <c r="AB6" s="2052"/>
      <c r="AC6" s="2052"/>
      <c r="AD6" s="2052"/>
      <c r="AE6" s="2052"/>
      <c r="AF6" s="2052"/>
      <c r="AG6" s="2052"/>
      <c r="AH6" s="2052"/>
      <c r="AI6" s="2052"/>
      <c r="AJ6" s="2052"/>
      <c r="AK6" s="2052"/>
      <c r="AL6" s="2052"/>
      <c r="AM6" s="2052"/>
      <c r="AN6" s="2052"/>
      <c r="AO6" s="2052"/>
      <c r="AP6" s="2052"/>
      <c r="AQ6" s="2052"/>
      <c r="AR6" s="2052"/>
      <c r="AS6" s="2052"/>
      <c r="AT6" s="2052"/>
      <c r="AU6" s="2052"/>
      <c r="AV6" s="2052"/>
      <c r="AW6" s="2052"/>
      <c r="AX6" s="2052"/>
      <c r="AY6" s="2052"/>
      <c r="AZ6" s="2052"/>
      <c r="BA6" s="2052"/>
      <c r="BB6" s="93"/>
      <c r="BC6" s="111"/>
      <c r="BD6" s="1264"/>
      <c r="BE6" s="94"/>
      <c r="BF6" s="96"/>
      <c r="BG6" s="96"/>
      <c r="BH6" s="108"/>
      <c r="BI6" s="108"/>
      <c r="BJ6" s="2177"/>
      <c r="BK6" s="2177"/>
      <c r="BL6" s="2177"/>
      <c r="BM6" s="2177"/>
      <c r="BN6" s="2177"/>
      <c r="BO6" s="2177"/>
      <c r="BP6" s="2177"/>
      <c r="BQ6" s="2177"/>
      <c r="BR6" s="2177"/>
      <c r="BS6" s="2177"/>
      <c r="BT6" s="2177"/>
      <c r="BU6" s="2177"/>
      <c r="BV6" s="2177"/>
      <c r="BW6" s="2177"/>
      <c r="BX6" s="2177"/>
      <c r="BY6" s="2177"/>
      <c r="BZ6" s="93"/>
      <c r="CA6" s="111"/>
      <c r="CB6" s="87"/>
      <c r="CC6" s="87"/>
      <c r="CD6" s="388"/>
      <c r="CE6" s="386"/>
      <c r="CF6" s="386"/>
      <c r="CG6" s="386"/>
      <c r="CH6" s="386"/>
      <c r="CI6" s="386"/>
      <c r="CJ6" s="386"/>
      <c r="CK6" s="386"/>
      <c r="CL6" s="386"/>
      <c r="CM6" s="386"/>
      <c r="CN6" s="386"/>
      <c r="CO6" s="386"/>
      <c r="CP6" s="386"/>
      <c r="CQ6" s="386"/>
      <c r="CR6" s="386"/>
      <c r="CS6" s="386"/>
      <c r="CT6" s="386"/>
      <c r="CU6" s="386"/>
      <c r="CV6" s="386"/>
      <c r="CW6" s="386"/>
      <c r="CX6" s="386"/>
      <c r="CY6" s="389"/>
      <c r="CZ6" s="389"/>
      <c r="DA6" s="87"/>
      <c r="DB6" s="87"/>
      <c r="DC6" s="87"/>
      <c r="DD6" s="87"/>
      <c r="DE6" s="87"/>
      <c r="DF6" s="87"/>
      <c r="DG6" s="87"/>
      <c r="DH6" s="87"/>
      <c r="DI6" s="87"/>
      <c r="DJ6" s="87"/>
      <c r="DK6" s="87"/>
      <c r="DL6" s="87"/>
      <c r="DM6" s="389"/>
      <c r="DN6" s="87"/>
      <c r="DO6" s="87"/>
      <c r="DP6" s="2109"/>
      <c r="DQ6" s="2109"/>
      <c r="DR6" s="2109"/>
      <c r="DS6" s="2109"/>
      <c r="DT6" s="2109"/>
      <c r="DU6" s="2109"/>
      <c r="DV6" s="2109"/>
      <c r="DW6" s="2109"/>
      <c r="DX6" s="2109"/>
      <c r="DY6" s="2109"/>
      <c r="DZ6" s="2109"/>
      <c r="EA6" s="2109"/>
      <c r="EB6" s="2109"/>
      <c r="EC6" s="2080"/>
      <c r="ED6" s="2080"/>
      <c r="EE6" s="2080"/>
      <c r="EF6" s="2080"/>
      <c r="EG6" s="2080"/>
      <c r="EH6" s="2080"/>
      <c r="EI6" s="2080"/>
      <c r="EJ6" s="2080"/>
      <c r="EK6" s="2080"/>
      <c r="EL6" s="2080"/>
      <c r="EM6" s="2080"/>
      <c r="EN6" s="2080"/>
      <c r="EO6" s="2080"/>
      <c r="EP6" s="2080"/>
      <c r="EQ6" s="2080"/>
      <c r="ER6" s="2080"/>
      <c r="ES6" s="2095"/>
      <c r="ET6" s="2095"/>
      <c r="EU6" s="2095"/>
      <c r="EV6" s="2095"/>
      <c r="EW6" s="2095"/>
      <c r="EX6" s="2095"/>
      <c r="EY6" s="2095"/>
      <c r="EZ6" s="2095"/>
      <c r="FA6" s="2095"/>
      <c r="FB6" s="2095"/>
      <c r="FC6" s="2095"/>
      <c r="FD6" s="2095"/>
      <c r="FE6" s="2095"/>
      <c r="FF6" s="2095"/>
      <c r="FG6" s="2095"/>
      <c r="FH6" s="2095"/>
      <c r="FI6" s="2095"/>
      <c r="FJ6" s="2095"/>
      <c r="FK6" s="2095"/>
      <c r="FL6" s="2095"/>
      <c r="FM6" s="2095"/>
      <c r="FN6" s="2095"/>
      <c r="FO6" s="2095"/>
      <c r="FP6" s="2095"/>
      <c r="FQ6" s="2095"/>
      <c r="FR6" s="2095"/>
      <c r="FS6" s="2095"/>
      <c r="FT6" s="2095"/>
      <c r="FU6" s="87"/>
      <c r="FV6" s="87"/>
      <c r="FW6" s="390"/>
      <c r="FX6" s="87"/>
      <c r="FY6" s="87"/>
      <c r="FZ6" s="87"/>
      <c r="GA6" s="87"/>
    </row>
    <row r="7" spans="1:190" ht="9" customHeight="1" thickTop="1" thickBot="1">
      <c r="A7" s="87"/>
      <c r="B7" s="118"/>
      <c r="C7" s="88"/>
      <c r="D7" s="1239"/>
      <c r="E7" s="1239"/>
      <c r="F7" s="1239"/>
      <c r="G7" s="1239"/>
      <c r="H7" s="1239"/>
      <c r="I7" s="1192"/>
      <c r="J7" s="1192"/>
      <c r="K7" s="1192"/>
      <c r="L7" s="1192"/>
      <c r="M7" s="1192"/>
      <c r="N7" s="1192"/>
      <c r="O7" s="1192"/>
      <c r="P7" s="1192"/>
      <c r="Q7" s="1192"/>
      <c r="R7" s="1192"/>
      <c r="S7" s="1192"/>
      <c r="T7" s="1192"/>
      <c r="U7" s="87"/>
      <c r="V7" s="87"/>
      <c r="W7" s="87"/>
      <c r="X7" s="87"/>
      <c r="Y7" s="87"/>
      <c r="Z7" s="87"/>
      <c r="AA7" s="87"/>
      <c r="AB7" s="87"/>
      <c r="AC7" s="87"/>
      <c r="AD7" s="87"/>
      <c r="AE7" s="87"/>
      <c r="AF7" s="87"/>
      <c r="AG7" s="87"/>
      <c r="AH7" s="87"/>
      <c r="AI7" s="87"/>
      <c r="AJ7" s="87"/>
      <c r="AK7" s="87"/>
      <c r="AL7" s="87"/>
      <c r="AM7" s="87"/>
      <c r="BB7" s="1163"/>
      <c r="BC7" s="1163"/>
      <c r="BD7" s="109"/>
      <c r="BE7" s="1164"/>
      <c r="BF7" s="1164"/>
      <c r="BG7" s="1164"/>
      <c r="BH7" s="1164"/>
      <c r="BI7" s="1164"/>
      <c r="BJ7" s="109"/>
      <c r="BK7" s="109"/>
      <c r="BL7" s="109"/>
      <c r="BM7" s="109"/>
      <c r="BN7" s="109"/>
      <c r="BO7" s="109"/>
      <c r="BP7" s="109"/>
      <c r="BQ7" s="109"/>
      <c r="BR7" s="109"/>
      <c r="BS7" s="109"/>
      <c r="BT7" s="109"/>
      <c r="BU7" s="109"/>
      <c r="BV7" s="109"/>
      <c r="BW7" s="109"/>
      <c r="BX7" s="109"/>
      <c r="BY7" s="109"/>
      <c r="BZ7" s="109"/>
      <c r="CA7" s="118"/>
      <c r="CB7" s="87"/>
      <c r="CC7" s="391"/>
      <c r="CD7" s="391"/>
      <c r="CE7" s="391"/>
      <c r="CF7" s="391"/>
      <c r="CG7" s="391"/>
      <c r="CH7" s="391"/>
      <c r="CI7" s="391"/>
      <c r="CJ7" s="391"/>
      <c r="CK7" s="391"/>
      <c r="CL7" s="391"/>
      <c r="CM7" s="391"/>
      <c r="CN7" s="391"/>
      <c r="CO7" s="391"/>
      <c r="CP7" s="391"/>
      <c r="CQ7" s="391"/>
      <c r="CR7" s="391"/>
      <c r="CS7" s="391"/>
      <c r="CT7" s="391"/>
      <c r="CU7" s="391"/>
      <c r="CV7" s="391"/>
      <c r="CW7" s="391"/>
      <c r="CX7" s="391"/>
      <c r="CY7" s="389"/>
      <c r="CZ7" s="389"/>
      <c r="DA7" s="389"/>
      <c r="DB7" s="87"/>
      <c r="DC7" s="87"/>
      <c r="DD7" s="87"/>
      <c r="DE7" s="87"/>
      <c r="DF7" s="87"/>
      <c r="DG7" s="87"/>
      <c r="DH7" s="87"/>
      <c r="DI7" s="87"/>
      <c r="DJ7" s="87"/>
      <c r="DK7" s="87"/>
      <c r="DL7" s="87"/>
      <c r="DM7" s="87"/>
      <c r="DN7" s="389"/>
      <c r="DO7" s="87"/>
      <c r="DP7" s="2109"/>
      <c r="DQ7" s="2109"/>
      <c r="DR7" s="2109"/>
      <c r="DS7" s="2109"/>
      <c r="DT7" s="2109"/>
      <c r="DU7" s="2109"/>
      <c r="DV7" s="2109"/>
      <c r="DW7" s="2109"/>
      <c r="DX7" s="2109"/>
      <c r="DY7" s="2109"/>
      <c r="DZ7" s="2109"/>
      <c r="EA7" s="2109"/>
      <c r="EB7" s="2109"/>
      <c r="EC7" s="2080"/>
      <c r="ED7" s="2080"/>
      <c r="EE7" s="2080"/>
      <c r="EF7" s="2080"/>
      <c r="EG7" s="2080"/>
      <c r="EH7" s="2080"/>
      <c r="EI7" s="2080"/>
      <c r="EJ7" s="2080"/>
      <c r="EK7" s="2080"/>
      <c r="EL7" s="2080"/>
      <c r="EM7" s="2080"/>
      <c r="EN7" s="2080"/>
      <c r="EO7" s="2080"/>
      <c r="EP7" s="2080"/>
      <c r="EQ7" s="2080"/>
      <c r="ER7" s="2080"/>
      <c r="ES7" s="2095"/>
      <c r="ET7" s="2095"/>
      <c r="EU7" s="2095"/>
      <c r="EV7" s="2095"/>
      <c r="EW7" s="2095"/>
      <c r="EX7" s="2095"/>
      <c r="EY7" s="2095"/>
      <c r="EZ7" s="2095"/>
      <c r="FA7" s="2095"/>
      <c r="FB7" s="2095"/>
      <c r="FC7" s="2095"/>
      <c r="FD7" s="2095"/>
      <c r="FE7" s="2095"/>
      <c r="FF7" s="2095"/>
      <c r="FG7" s="2095"/>
      <c r="FH7" s="2095"/>
      <c r="FI7" s="2095"/>
      <c r="FJ7" s="2095"/>
      <c r="FK7" s="2095"/>
      <c r="FL7" s="2095"/>
      <c r="FM7" s="2095"/>
      <c r="FN7" s="2095"/>
      <c r="FO7" s="2095"/>
      <c r="FP7" s="2095"/>
      <c r="FQ7" s="2095"/>
      <c r="FR7" s="2095"/>
      <c r="FS7" s="2095"/>
      <c r="FT7" s="2095"/>
      <c r="FU7" s="87"/>
      <c r="FV7" s="87"/>
      <c r="FW7" s="87"/>
      <c r="FX7" s="390"/>
      <c r="FY7" s="87"/>
      <c r="FZ7" s="87"/>
      <c r="GA7" s="87"/>
    </row>
    <row r="8" spans="1:190" ht="9" customHeight="1" thickTop="1" thickBot="1">
      <c r="A8" s="87"/>
      <c r="B8" s="87"/>
      <c r="C8" s="305"/>
      <c r="D8" s="2097" t="s">
        <v>134</v>
      </c>
      <c r="E8" s="2097"/>
      <c r="F8" s="2097"/>
      <c r="G8" s="2097"/>
      <c r="H8" s="2097"/>
      <c r="I8" s="2097"/>
      <c r="J8" s="2097"/>
      <c r="K8" s="2097"/>
      <c r="L8" s="2097"/>
      <c r="M8" s="2097"/>
      <c r="N8" s="2097"/>
      <c r="O8" s="2097"/>
      <c r="P8" s="2097"/>
      <c r="Q8" s="2097"/>
      <c r="R8" s="2097"/>
      <c r="S8" s="2097"/>
      <c r="T8" s="2097"/>
      <c r="U8" s="2097"/>
      <c r="V8" s="2097"/>
      <c r="W8" s="2097"/>
      <c r="X8" s="2097"/>
      <c r="Y8" s="2097"/>
      <c r="Z8" s="2097"/>
      <c r="AA8" s="2097"/>
      <c r="AB8" s="2097"/>
      <c r="AC8" s="2097"/>
      <c r="AD8" s="2097"/>
      <c r="AE8" s="152"/>
      <c r="AF8" s="152"/>
      <c r="AG8" s="152"/>
      <c r="AH8" s="152"/>
      <c r="AI8" s="152"/>
      <c r="AJ8" s="152"/>
      <c r="AK8" s="152"/>
      <c r="AL8" s="152"/>
      <c r="AM8" s="152"/>
      <c r="AN8" s="152"/>
      <c r="AO8" s="152"/>
      <c r="AP8" s="152"/>
      <c r="AQ8" s="152"/>
      <c r="AR8" s="152"/>
      <c r="AS8" s="152"/>
      <c r="AT8" s="392"/>
      <c r="AU8" s="392"/>
      <c r="AV8" s="392"/>
      <c r="AW8" s="392"/>
      <c r="AX8" s="2100" t="s">
        <v>3633</v>
      </c>
      <c r="AY8" s="2100"/>
      <c r="AZ8" s="2100"/>
      <c r="BA8" s="2100"/>
      <c r="BB8" s="2100"/>
      <c r="BC8" s="2100"/>
      <c r="BD8" s="2100"/>
      <c r="BE8" s="283"/>
      <c r="BF8" s="145"/>
      <c r="BG8" s="145"/>
      <c r="BH8" s="145"/>
      <c r="BI8" s="145"/>
      <c r="BJ8" s="145"/>
      <c r="BK8" s="145"/>
      <c r="BL8" s="145"/>
      <c r="BM8" s="145"/>
      <c r="BN8" s="145"/>
      <c r="BO8" s="145"/>
      <c r="BP8" s="145"/>
      <c r="BQ8" s="145"/>
      <c r="BR8" s="145"/>
      <c r="BS8" s="145"/>
      <c r="BT8" s="145"/>
      <c r="BU8" s="145"/>
      <c r="BV8" s="145"/>
      <c r="BW8" s="87"/>
      <c r="BX8" s="87"/>
      <c r="BY8" s="87"/>
      <c r="BZ8" s="87"/>
      <c r="CA8" s="87"/>
      <c r="CB8" s="393"/>
      <c r="CC8" s="87"/>
      <c r="CD8" s="87"/>
      <c r="CE8" s="87"/>
      <c r="CF8" s="87"/>
      <c r="CG8" s="87"/>
      <c r="CH8" s="87"/>
      <c r="CI8" s="87"/>
      <c r="CJ8" s="87"/>
      <c r="CK8" s="87"/>
      <c r="CL8" s="87"/>
      <c r="CM8" s="87"/>
      <c r="CN8" s="87"/>
      <c r="CO8" s="87"/>
      <c r="CP8" s="87"/>
      <c r="CQ8" s="87"/>
      <c r="CR8" s="87"/>
      <c r="CS8" s="87"/>
      <c r="CT8" s="87"/>
      <c r="CU8" s="391"/>
      <c r="CV8" s="391"/>
      <c r="CW8" s="391"/>
      <c r="CX8" s="391"/>
      <c r="CY8" s="394"/>
      <c r="CZ8" s="389"/>
      <c r="DA8" s="395"/>
      <c r="DB8" s="389"/>
      <c r="DC8" s="386"/>
      <c r="DD8" s="386"/>
      <c r="DE8" s="386"/>
      <c r="DF8" s="386"/>
      <c r="DG8" s="386"/>
      <c r="DH8" s="386"/>
      <c r="DI8" s="386"/>
      <c r="DJ8" s="386"/>
      <c r="DK8" s="386"/>
      <c r="DL8" s="386"/>
      <c r="DM8" s="386"/>
      <c r="DN8" s="386"/>
      <c r="DO8" s="395"/>
      <c r="DP8" s="2110"/>
      <c r="DQ8" s="2110"/>
      <c r="DR8" s="2110"/>
      <c r="DS8" s="2110"/>
      <c r="DT8" s="2110"/>
      <c r="DU8" s="2110"/>
      <c r="DV8" s="2110"/>
      <c r="DW8" s="2110"/>
      <c r="DX8" s="2110"/>
      <c r="DY8" s="2110"/>
      <c r="DZ8" s="2110"/>
      <c r="EA8" s="2110"/>
      <c r="EB8" s="2110"/>
      <c r="EC8" s="2112"/>
      <c r="ED8" s="2112"/>
      <c r="EE8" s="2112"/>
      <c r="EF8" s="2112"/>
      <c r="EG8" s="2112"/>
      <c r="EH8" s="2112"/>
      <c r="EI8" s="2112"/>
      <c r="EJ8" s="2112"/>
      <c r="EK8" s="2112"/>
      <c r="EL8" s="2112"/>
      <c r="EM8" s="2112"/>
      <c r="EN8" s="2112"/>
      <c r="EO8" s="2112"/>
      <c r="EP8" s="2112"/>
      <c r="EQ8" s="2112"/>
      <c r="ER8" s="2112"/>
      <c r="ES8" s="2096"/>
      <c r="ET8" s="2096"/>
      <c r="EU8" s="2096"/>
      <c r="EV8" s="2096"/>
      <c r="EW8" s="2096"/>
      <c r="EX8" s="2096"/>
      <c r="EY8" s="2096"/>
      <c r="EZ8" s="2096"/>
      <c r="FA8" s="2096"/>
      <c r="FB8" s="2096"/>
      <c r="FC8" s="2096"/>
      <c r="FD8" s="2096"/>
      <c r="FE8" s="2096"/>
      <c r="FF8" s="2096"/>
      <c r="FG8" s="2096"/>
      <c r="FH8" s="2096"/>
      <c r="FI8" s="2096"/>
      <c r="FJ8" s="2096"/>
      <c r="FK8" s="2096"/>
      <c r="FL8" s="2096"/>
      <c r="FM8" s="2096"/>
      <c r="FN8" s="2096"/>
      <c r="FO8" s="2096"/>
      <c r="FP8" s="2096"/>
      <c r="FQ8" s="2096"/>
      <c r="FR8" s="2096"/>
      <c r="FS8" s="2096"/>
      <c r="FT8" s="2096"/>
      <c r="FU8" s="387"/>
      <c r="FV8" s="387"/>
      <c r="FW8" s="387"/>
      <c r="FX8" s="387"/>
      <c r="FY8" s="396"/>
      <c r="FZ8" s="87"/>
      <c r="GA8" s="87"/>
    </row>
    <row r="9" spans="1:190" ht="9" customHeight="1" thickTop="1" thickBot="1">
      <c r="A9" s="87"/>
      <c r="B9" s="305"/>
      <c r="C9" s="87"/>
      <c r="D9" s="2098"/>
      <c r="E9" s="2098"/>
      <c r="F9" s="2098"/>
      <c r="G9" s="2098"/>
      <c r="H9" s="2098"/>
      <c r="I9" s="2098"/>
      <c r="J9" s="2098"/>
      <c r="K9" s="2098"/>
      <c r="L9" s="2098"/>
      <c r="M9" s="2098"/>
      <c r="N9" s="2098"/>
      <c r="O9" s="2098"/>
      <c r="P9" s="2098"/>
      <c r="Q9" s="2098"/>
      <c r="R9" s="2098"/>
      <c r="S9" s="2098"/>
      <c r="T9" s="2098"/>
      <c r="U9" s="2098"/>
      <c r="V9" s="2098"/>
      <c r="W9" s="2098"/>
      <c r="X9" s="2098"/>
      <c r="Y9" s="2098"/>
      <c r="Z9" s="2098"/>
      <c r="AA9" s="2098"/>
      <c r="AB9" s="2098"/>
      <c r="AC9" s="2098"/>
      <c r="AD9" s="2098"/>
      <c r="AE9" s="109"/>
      <c r="AF9" s="109"/>
      <c r="AG9" s="109"/>
      <c r="AH9" s="109"/>
      <c r="AI9" s="109"/>
      <c r="AJ9" s="109"/>
      <c r="AK9" s="109"/>
      <c r="AL9" s="109"/>
      <c r="AM9" s="109"/>
      <c r="AN9" s="109"/>
      <c r="AO9" s="109"/>
      <c r="AP9" s="109"/>
      <c r="AQ9" s="109"/>
      <c r="AR9" s="109"/>
      <c r="AS9" s="109"/>
      <c r="AT9" s="397"/>
      <c r="AU9" s="397"/>
      <c r="AV9" s="397"/>
      <c r="AW9" s="397"/>
      <c r="AX9" s="2101"/>
      <c r="AY9" s="2101"/>
      <c r="AZ9" s="2101"/>
      <c r="BA9" s="2101"/>
      <c r="BB9" s="2101"/>
      <c r="BC9" s="2101"/>
      <c r="BD9" s="2101"/>
      <c r="BE9" s="87"/>
      <c r="BF9" s="283"/>
      <c r="BG9" s="145"/>
      <c r="BH9" s="145"/>
      <c r="BI9" s="145"/>
      <c r="BJ9" s="145"/>
      <c r="BK9" s="145"/>
      <c r="BL9" s="145"/>
      <c r="BM9" s="145"/>
      <c r="BN9" s="145"/>
      <c r="BO9" s="145"/>
      <c r="BP9" s="145"/>
      <c r="BQ9" s="145"/>
      <c r="BR9" s="145"/>
      <c r="BS9" s="145"/>
      <c r="BT9" s="145"/>
      <c r="BU9" s="145"/>
      <c r="BV9" s="145"/>
      <c r="BW9" s="398"/>
      <c r="BX9" s="87"/>
      <c r="BY9" s="87"/>
      <c r="BZ9" s="87"/>
      <c r="CA9" s="289"/>
      <c r="CB9" s="87"/>
      <c r="CC9" s="87"/>
      <c r="CD9" s="87"/>
      <c r="CE9" s="87"/>
      <c r="CF9" s="87"/>
      <c r="CG9" s="87"/>
      <c r="CH9" s="87"/>
      <c r="CI9" s="87"/>
      <c r="CJ9" s="87"/>
      <c r="CK9" s="87"/>
      <c r="CL9" s="87"/>
      <c r="CM9" s="87"/>
      <c r="CN9" s="87"/>
      <c r="CO9" s="87"/>
      <c r="CP9" s="87"/>
      <c r="CQ9" s="87"/>
      <c r="CR9" s="87"/>
      <c r="CS9" s="87"/>
      <c r="CT9" s="289"/>
      <c r="CU9" s="1233"/>
      <c r="CV9" s="1233"/>
      <c r="CW9" s="1233"/>
      <c r="CX9" s="1233"/>
      <c r="CY9" s="1233"/>
      <c r="CZ9" s="1233"/>
      <c r="DA9" s="1233"/>
      <c r="DB9" s="1233"/>
      <c r="DC9" s="1233"/>
      <c r="DD9" s="1233"/>
      <c r="DE9" s="1233"/>
      <c r="DF9" s="1233"/>
      <c r="DG9" s="1233"/>
      <c r="DH9" s="1233"/>
      <c r="DI9" s="1233"/>
      <c r="DJ9" s="1233"/>
      <c r="DK9" s="1233"/>
      <c r="DL9" s="1233"/>
      <c r="DM9" s="1233"/>
      <c r="DN9" s="1233"/>
      <c r="DO9" s="1233"/>
      <c r="DP9" s="1233"/>
      <c r="DQ9" s="1233"/>
      <c r="DR9" s="1233"/>
      <c r="DS9" s="1233"/>
      <c r="DT9" s="1233"/>
      <c r="DU9" s="1233"/>
      <c r="DV9" s="1233"/>
      <c r="DW9" s="1233"/>
      <c r="DX9" s="1233"/>
      <c r="DY9" s="1233"/>
      <c r="DZ9" s="1233"/>
      <c r="EA9" s="1233"/>
      <c r="EB9" s="1233"/>
      <c r="EC9" s="1233"/>
      <c r="ED9" s="1233"/>
      <c r="EE9" s="1233"/>
      <c r="EF9" s="1233"/>
      <c r="EG9" s="1233"/>
      <c r="EH9" s="1233"/>
      <c r="EI9" s="1233"/>
      <c r="EJ9" s="1233"/>
      <c r="EK9" s="1233"/>
      <c r="EL9" s="1233"/>
      <c r="EM9" s="1233"/>
      <c r="EN9" s="1233"/>
      <c r="EO9" s="1233"/>
      <c r="EP9" s="1233"/>
      <c r="EQ9" s="1233"/>
      <c r="ER9" s="1233"/>
      <c r="ES9" s="1233"/>
      <c r="ET9" s="1233"/>
      <c r="EU9" s="1233"/>
      <c r="EV9" s="1233"/>
      <c r="EW9" s="1233"/>
      <c r="EX9" s="1233"/>
      <c r="EY9" s="1233"/>
      <c r="EZ9" s="1233"/>
      <c r="FA9" s="1233"/>
      <c r="FB9" s="1233"/>
      <c r="FC9" s="1233"/>
      <c r="FD9" s="1233"/>
      <c r="FE9" s="1233"/>
      <c r="FF9" s="1233"/>
      <c r="FG9" s="1233"/>
      <c r="FH9" s="1233"/>
      <c r="FI9" s="1233"/>
      <c r="FJ9" s="1233"/>
      <c r="FK9" s="1233"/>
      <c r="FL9" s="1233"/>
      <c r="FM9" s="1233"/>
      <c r="FN9" s="1233"/>
      <c r="FO9" s="1233"/>
      <c r="FP9" s="2103" t="s">
        <v>3635</v>
      </c>
      <c r="FQ9" s="2103"/>
      <c r="FR9" s="2103"/>
      <c r="FS9" s="2103"/>
      <c r="FT9" s="1237"/>
      <c r="FU9" s="2103" t="s">
        <v>3634</v>
      </c>
      <c r="FV9" s="2103"/>
      <c r="FW9" s="2103"/>
      <c r="FX9" s="2103"/>
      <c r="FY9" s="87"/>
      <c r="FZ9" s="87"/>
      <c r="GA9" s="87"/>
    </row>
    <row r="10" spans="1:190" ht="9" customHeight="1" thickTop="1">
      <c r="A10" s="170"/>
      <c r="B10" s="87"/>
      <c r="C10" s="87"/>
      <c r="D10" s="2098"/>
      <c r="E10" s="2098"/>
      <c r="F10" s="2098"/>
      <c r="G10" s="2098"/>
      <c r="H10" s="2098"/>
      <c r="I10" s="2098"/>
      <c r="J10" s="2098"/>
      <c r="K10" s="2098"/>
      <c r="L10" s="2098"/>
      <c r="M10" s="2098"/>
      <c r="N10" s="2098"/>
      <c r="O10" s="2098"/>
      <c r="P10" s="2098"/>
      <c r="Q10" s="2098"/>
      <c r="R10" s="2098"/>
      <c r="S10" s="2098"/>
      <c r="T10" s="2098"/>
      <c r="U10" s="2098"/>
      <c r="V10" s="2098"/>
      <c r="W10" s="2098"/>
      <c r="X10" s="2098"/>
      <c r="Y10" s="2098"/>
      <c r="Z10" s="2098"/>
      <c r="AA10" s="2098"/>
      <c r="AB10" s="2098"/>
      <c r="AC10" s="2098"/>
      <c r="AD10" s="2098"/>
      <c r="AE10" s="109"/>
      <c r="AF10" s="109"/>
      <c r="AG10" s="109"/>
      <c r="AH10" s="109"/>
      <c r="AI10" s="109"/>
      <c r="AJ10" s="109"/>
      <c r="AK10" s="109"/>
      <c r="AL10" s="109"/>
      <c r="AM10" s="109"/>
      <c r="AN10" s="109"/>
      <c r="AO10" s="109"/>
      <c r="AP10" s="109"/>
      <c r="AQ10" s="109"/>
      <c r="AR10" s="109"/>
      <c r="AS10" s="109"/>
      <c r="AT10" s="397"/>
      <c r="AU10" s="397"/>
      <c r="AV10" s="397"/>
      <c r="AW10" s="397"/>
      <c r="AX10" s="2101"/>
      <c r="AY10" s="2101"/>
      <c r="AZ10" s="2101"/>
      <c r="BA10" s="2101"/>
      <c r="BB10" s="2101"/>
      <c r="BC10" s="2101"/>
      <c r="BD10" s="2101"/>
      <c r="BE10" s="87"/>
      <c r="BF10" s="170"/>
      <c r="BG10" s="109"/>
      <c r="BH10" s="109"/>
      <c r="BI10" s="109"/>
      <c r="BJ10" s="1191"/>
      <c r="BK10" s="1192"/>
      <c r="BL10" s="1192"/>
      <c r="BM10" s="1192"/>
      <c r="BN10" s="1192"/>
      <c r="BO10" s="1192"/>
      <c r="BP10" s="1192"/>
      <c r="BQ10" s="1192"/>
      <c r="BR10" s="1192"/>
      <c r="BS10" s="1192"/>
      <c r="BT10" s="1192"/>
      <c r="BU10" s="1192"/>
      <c r="BV10" s="1192"/>
      <c r="BW10" s="1192"/>
      <c r="BX10" s="1192"/>
      <c r="BY10" s="1192"/>
      <c r="BZ10" s="1193"/>
      <c r="CA10" s="1192"/>
      <c r="CB10" s="1192"/>
      <c r="CC10" s="1194"/>
      <c r="CD10" s="1918" t="s">
        <v>3636</v>
      </c>
      <c r="CE10" s="1918"/>
      <c r="CF10" s="1918"/>
      <c r="CG10" s="1918"/>
      <c r="CH10" s="1918"/>
      <c r="CI10" s="1918"/>
      <c r="CJ10" s="1918"/>
      <c r="CK10" s="1918"/>
      <c r="CL10" s="1918"/>
      <c r="CM10" s="1918"/>
      <c r="CN10" s="1918"/>
      <c r="CO10" s="1918"/>
      <c r="CP10" s="1918"/>
      <c r="CQ10" s="1918"/>
      <c r="CR10" s="1195"/>
      <c r="CS10" s="1193"/>
      <c r="CT10" s="87"/>
      <c r="CU10" s="1233"/>
      <c r="CV10" s="1233"/>
      <c r="CW10" s="1233"/>
      <c r="CX10" s="1233"/>
      <c r="CY10" s="1233"/>
      <c r="CZ10" s="1233"/>
      <c r="DA10" s="1233"/>
      <c r="DB10" s="1233"/>
      <c r="DC10" s="1233"/>
      <c r="DD10" s="1233"/>
      <c r="DE10" s="1233"/>
      <c r="DF10" s="1233"/>
      <c r="DG10" s="1233"/>
      <c r="DH10" s="1233"/>
      <c r="DI10" s="1233"/>
      <c r="DJ10" s="1233"/>
      <c r="DK10" s="1233"/>
      <c r="DL10" s="1233"/>
      <c r="DM10" s="1233"/>
      <c r="DN10" s="1233"/>
      <c r="DO10" s="1233"/>
      <c r="DP10" s="1233"/>
      <c r="DQ10" s="1233"/>
      <c r="DR10" s="1233"/>
      <c r="DS10" s="1233"/>
      <c r="DT10" s="1233"/>
      <c r="DU10" s="1233"/>
      <c r="DV10" s="1233"/>
      <c r="DW10" s="1233"/>
      <c r="DX10" s="1233"/>
      <c r="DY10" s="1233"/>
      <c r="DZ10" s="1233"/>
      <c r="EA10" s="1233"/>
      <c r="EB10" s="1233"/>
      <c r="EC10" s="1233"/>
      <c r="ED10" s="1233"/>
      <c r="EE10" s="1233"/>
      <c r="EF10" s="1233"/>
      <c r="EG10" s="1233"/>
      <c r="EH10" s="1233"/>
      <c r="EI10" s="1233"/>
      <c r="EJ10" s="1233"/>
      <c r="EK10" s="1233"/>
      <c r="EL10" s="1233"/>
      <c r="EM10" s="1233"/>
      <c r="EN10" s="1233"/>
      <c r="EO10" s="1233"/>
      <c r="EP10" s="1233"/>
      <c r="EQ10" s="1233"/>
      <c r="ER10" s="1233"/>
      <c r="ES10" s="1233"/>
      <c r="ET10" s="1233"/>
      <c r="EU10" s="1233"/>
      <c r="EV10" s="1233"/>
      <c r="EW10" s="1233"/>
      <c r="EX10" s="1233"/>
      <c r="EY10" s="1233"/>
      <c r="EZ10" s="1233"/>
      <c r="FA10" s="1233"/>
      <c r="FB10" s="1233"/>
      <c r="FC10" s="1233"/>
      <c r="FD10" s="1233"/>
      <c r="FE10" s="1233"/>
      <c r="FF10" s="1233"/>
      <c r="FG10" s="1233"/>
      <c r="FH10" s="1233"/>
      <c r="FI10" s="1233"/>
      <c r="FJ10" s="1233"/>
      <c r="FK10" s="1233"/>
      <c r="FL10" s="1233"/>
      <c r="FM10" s="1233"/>
      <c r="FN10" s="1233"/>
      <c r="FO10" s="1233"/>
      <c r="FP10" s="2103"/>
      <c r="FQ10" s="2103"/>
      <c r="FR10" s="2103"/>
      <c r="FS10" s="2103"/>
      <c r="FT10" s="1237"/>
      <c r="FU10" s="2103"/>
      <c r="FV10" s="2103"/>
      <c r="FW10" s="2103"/>
      <c r="FX10" s="2103"/>
      <c r="FY10" s="87"/>
      <c r="FZ10" s="87"/>
      <c r="GA10" s="87"/>
    </row>
    <row r="11" spans="1:190" ht="9" customHeight="1" thickBot="1">
      <c r="A11" s="170"/>
      <c r="B11" s="87"/>
      <c r="C11" s="87"/>
      <c r="D11" s="2099"/>
      <c r="E11" s="2099"/>
      <c r="F11" s="2099"/>
      <c r="G11" s="2099"/>
      <c r="H11" s="2099"/>
      <c r="I11" s="2099"/>
      <c r="J11" s="2099"/>
      <c r="K11" s="2099"/>
      <c r="L11" s="2099"/>
      <c r="M11" s="2099"/>
      <c r="N11" s="2099"/>
      <c r="O11" s="2099"/>
      <c r="P11" s="2099"/>
      <c r="Q11" s="2099"/>
      <c r="R11" s="2099"/>
      <c r="S11" s="2099"/>
      <c r="T11" s="2099"/>
      <c r="U11" s="2099"/>
      <c r="V11" s="2099"/>
      <c r="W11" s="2099"/>
      <c r="X11" s="2099"/>
      <c r="Y11" s="2099"/>
      <c r="Z11" s="2099"/>
      <c r="AA11" s="2099"/>
      <c r="AB11" s="2099"/>
      <c r="AC11" s="2099"/>
      <c r="AD11" s="2099"/>
      <c r="AE11" s="168"/>
      <c r="AF11" s="168"/>
      <c r="AG11" s="168"/>
      <c r="AH11" s="168"/>
      <c r="AI11" s="168"/>
      <c r="AJ11" s="168"/>
      <c r="AK11" s="168"/>
      <c r="AL11" s="168"/>
      <c r="AM11" s="168"/>
      <c r="AN11" s="168"/>
      <c r="AO11" s="168"/>
      <c r="AP11" s="168"/>
      <c r="AQ11" s="168"/>
      <c r="AR11" s="168"/>
      <c r="AS11" s="168"/>
      <c r="AT11" s="399"/>
      <c r="AU11" s="399"/>
      <c r="AV11" s="399"/>
      <c r="AW11" s="399"/>
      <c r="AX11" s="2102"/>
      <c r="AY11" s="2102"/>
      <c r="AZ11" s="2102"/>
      <c r="BA11" s="2102"/>
      <c r="BB11" s="2102"/>
      <c r="BC11" s="2102"/>
      <c r="BD11" s="2102"/>
      <c r="BE11" s="168"/>
      <c r="BF11" s="177"/>
      <c r="BG11" s="243"/>
      <c r="BH11" s="243"/>
      <c r="BI11" s="243"/>
      <c r="BJ11" s="1196"/>
      <c r="BK11" s="1196"/>
      <c r="BL11" s="1196"/>
      <c r="BM11" s="1196"/>
      <c r="BN11" s="1196"/>
      <c r="BO11" s="1197"/>
      <c r="BP11" s="1197"/>
      <c r="BQ11" s="1197"/>
      <c r="BR11" s="1197"/>
      <c r="BS11" s="1197"/>
      <c r="BT11" s="1197"/>
      <c r="BU11" s="1197"/>
      <c r="BV11" s="1197"/>
      <c r="BW11" s="1197"/>
      <c r="BX11" s="1197"/>
      <c r="BY11" s="1198"/>
      <c r="BZ11" s="1198"/>
      <c r="CA11" s="1198"/>
      <c r="CB11" s="1198"/>
      <c r="CC11" s="1199"/>
      <c r="CD11" s="1919"/>
      <c r="CE11" s="1919"/>
      <c r="CF11" s="1919"/>
      <c r="CG11" s="1919"/>
      <c r="CH11" s="1919"/>
      <c r="CI11" s="1919"/>
      <c r="CJ11" s="1919"/>
      <c r="CK11" s="1919"/>
      <c r="CL11" s="1919"/>
      <c r="CM11" s="1919"/>
      <c r="CN11" s="1919"/>
      <c r="CO11" s="1919"/>
      <c r="CP11" s="1919"/>
      <c r="CQ11" s="1919"/>
      <c r="CR11" s="1200"/>
      <c r="CS11" s="1192"/>
      <c r="CT11" s="87"/>
      <c r="CU11" s="2123" t="s">
        <v>3637</v>
      </c>
      <c r="CV11" s="2123"/>
      <c r="CW11" s="2123"/>
      <c r="CX11" s="2123"/>
      <c r="CY11" s="2123"/>
      <c r="CZ11" s="2123"/>
      <c r="DA11" s="2123"/>
      <c r="DB11" s="2123"/>
      <c r="DC11" s="2123"/>
      <c r="DD11" s="2123"/>
      <c r="DE11" s="1233"/>
      <c r="DF11" s="1233"/>
      <c r="DG11" s="1233"/>
      <c r="DH11" s="1233"/>
      <c r="DI11" s="1233"/>
      <c r="DJ11" s="2132" t="s">
        <v>3638</v>
      </c>
      <c r="DK11" s="2132"/>
      <c r="DL11" s="2132"/>
      <c r="DM11" s="2132"/>
      <c r="DN11" s="2132"/>
      <c r="DO11" s="2132"/>
      <c r="DP11" s="2132"/>
      <c r="DQ11" s="2132"/>
      <c r="DR11" s="2132"/>
      <c r="DS11" s="1233"/>
      <c r="DT11" s="1233"/>
      <c r="DU11" s="1233"/>
      <c r="DV11" s="2123" t="s">
        <v>3598</v>
      </c>
      <c r="DW11" s="2123"/>
      <c r="DX11" s="2123"/>
      <c r="DY11" s="2123"/>
      <c r="DZ11" s="2123"/>
      <c r="EA11" s="2123"/>
      <c r="EB11" s="2123"/>
      <c r="EC11" s="2123"/>
      <c r="ED11" s="2123"/>
      <c r="EE11" s="1233"/>
      <c r="EF11" s="1233"/>
      <c r="EG11" s="1233"/>
      <c r="EH11" s="2123"/>
      <c r="EI11" s="2123"/>
      <c r="EJ11" s="2123"/>
      <c r="EK11" s="2123"/>
      <c r="EL11" s="2123"/>
      <c r="EM11" s="2123"/>
      <c r="EN11" s="2123"/>
      <c r="EO11" s="2123"/>
      <c r="EP11" s="2123"/>
      <c r="EQ11" s="1233"/>
      <c r="ER11" s="1233"/>
      <c r="ES11" s="1233"/>
      <c r="ET11" s="2123" t="s">
        <v>3637</v>
      </c>
      <c r="EU11" s="2123"/>
      <c r="EV11" s="2123"/>
      <c r="EW11" s="2123"/>
      <c r="EX11" s="2123"/>
      <c r="EY11" s="2123"/>
      <c r="EZ11" s="2123"/>
      <c r="FA11" s="2123"/>
      <c r="FB11" s="2123"/>
      <c r="FC11" s="1233"/>
      <c r="FD11" s="1233"/>
      <c r="FE11" s="1233"/>
      <c r="FF11" s="1233"/>
      <c r="FG11" s="1233"/>
      <c r="FH11" s="1233"/>
      <c r="FI11" s="1233"/>
      <c r="FJ11" s="1233"/>
      <c r="FK11" s="1233"/>
      <c r="FL11" s="1233"/>
      <c r="FM11" s="1233"/>
      <c r="FN11" s="1233"/>
      <c r="FO11" s="1233"/>
      <c r="FP11" s="2103"/>
      <c r="FQ11" s="2103"/>
      <c r="FR11" s="2103"/>
      <c r="FS11" s="2103"/>
      <c r="FT11" s="1237"/>
      <c r="FU11" s="2103"/>
      <c r="FV11" s="2103"/>
      <c r="FW11" s="2103"/>
      <c r="FX11" s="2103"/>
      <c r="FY11" s="87"/>
      <c r="FZ11" s="87"/>
      <c r="GA11" s="87"/>
    </row>
    <row r="12" spans="1:190" ht="9" customHeight="1" thickTop="1" thickBot="1">
      <c r="A12" s="109"/>
      <c r="B12" s="400"/>
      <c r="C12" s="401"/>
      <c r="D12" s="401"/>
      <c r="E12" s="402"/>
      <c r="F12" s="402"/>
      <c r="G12" s="402"/>
      <c r="H12" s="402"/>
      <c r="I12" s="402"/>
      <c r="J12" s="402"/>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3"/>
      <c r="BG12" s="313"/>
      <c r="BH12" s="404"/>
      <c r="BI12" s="404"/>
      <c r="BJ12" s="1201"/>
      <c r="BK12" s="1202"/>
      <c r="BL12" s="1202"/>
      <c r="BM12" s="1202"/>
      <c r="BN12" s="1202"/>
      <c r="BO12" s="1203"/>
      <c r="BP12" s="1203"/>
      <c r="BQ12" s="1203"/>
      <c r="BR12" s="1203"/>
      <c r="BS12" s="1203"/>
      <c r="BT12" s="1203"/>
      <c r="BU12" s="1203"/>
      <c r="BV12" s="1203"/>
      <c r="BW12" s="1203"/>
      <c r="BX12" s="1204"/>
      <c r="BY12" s="1192"/>
      <c r="BZ12" s="1192"/>
      <c r="CA12" s="1192"/>
      <c r="CB12" s="1192"/>
      <c r="CC12" s="1199"/>
      <c r="CD12" s="1919"/>
      <c r="CE12" s="1919"/>
      <c r="CF12" s="1919"/>
      <c r="CG12" s="1919"/>
      <c r="CH12" s="1919"/>
      <c r="CI12" s="1919"/>
      <c r="CJ12" s="1919"/>
      <c r="CK12" s="1919"/>
      <c r="CL12" s="1919"/>
      <c r="CM12" s="1919"/>
      <c r="CN12" s="1919"/>
      <c r="CO12" s="1919"/>
      <c r="CP12" s="1919"/>
      <c r="CQ12" s="1919"/>
      <c r="CR12" s="1200"/>
      <c r="CS12" s="1192"/>
      <c r="CT12" s="87"/>
      <c r="CU12" s="2123"/>
      <c r="CV12" s="2123"/>
      <c r="CW12" s="2123"/>
      <c r="CX12" s="2123"/>
      <c r="CY12" s="2123"/>
      <c r="CZ12" s="2123"/>
      <c r="DA12" s="2123"/>
      <c r="DB12" s="2123"/>
      <c r="DC12" s="2123"/>
      <c r="DD12" s="2123"/>
      <c r="DE12" s="1233"/>
      <c r="DF12" s="1233"/>
      <c r="DG12" s="1233"/>
      <c r="DH12" s="1233"/>
      <c r="DI12" s="1233"/>
      <c r="DJ12" s="2132"/>
      <c r="DK12" s="2132"/>
      <c r="DL12" s="2132"/>
      <c r="DM12" s="2132"/>
      <c r="DN12" s="2132"/>
      <c r="DO12" s="2132"/>
      <c r="DP12" s="2132"/>
      <c r="DQ12" s="2132"/>
      <c r="DR12" s="2132"/>
      <c r="DS12" s="1233"/>
      <c r="DT12" s="1233"/>
      <c r="DU12" s="1233"/>
      <c r="DV12" s="2123"/>
      <c r="DW12" s="2123"/>
      <c r="DX12" s="2123"/>
      <c r="DY12" s="2123"/>
      <c r="DZ12" s="2123"/>
      <c r="EA12" s="2123"/>
      <c r="EB12" s="2123"/>
      <c r="EC12" s="2123"/>
      <c r="ED12" s="2123"/>
      <c r="EE12" s="1233"/>
      <c r="EF12" s="1233"/>
      <c r="EG12" s="1233"/>
      <c r="EH12" s="2123"/>
      <c r="EI12" s="2123"/>
      <c r="EJ12" s="2123"/>
      <c r="EK12" s="2123"/>
      <c r="EL12" s="2123"/>
      <c r="EM12" s="2123"/>
      <c r="EN12" s="2123"/>
      <c r="EO12" s="2123"/>
      <c r="EP12" s="2123"/>
      <c r="EQ12" s="1233"/>
      <c r="ER12" s="1233"/>
      <c r="ES12" s="1233"/>
      <c r="ET12" s="2123"/>
      <c r="EU12" s="2123"/>
      <c r="EV12" s="2123"/>
      <c r="EW12" s="2123"/>
      <c r="EX12" s="2123"/>
      <c r="EY12" s="2123"/>
      <c r="EZ12" s="2123"/>
      <c r="FA12" s="2123"/>
      <c r="FB12" s="2123"/>
      <c r="FC12" s="1233"/>
      <c r="FD12" s="1233"/>
      <c r="FE12" s="1233"/>
      <c r="FF12" s="1233"/>
      <c r="FG12" s="1233"/>
      <c r="FH12" s="1233"/>
      <c r="FI12" s="1233"/>
      <c r="FJ12" s="1233"/>
      <c r="FK12" s="1233"/>
      <c r="FL12" s="1233"/>
      <c r="FM12" s="1233"/>
      <c r="FN12" s="1233"/>
      <c r="FO12" s="1233"/>
      <c r="FP12" s="2103"/>
      <c r="FQ12" s="2103"/>
      <c r="FR12" s="2103"/>
      <c r="FS12" s="2103"/>
      <c r="FT12" s="1237"/>
      <c r="FU12" s="2103"/>
      <c r="FV12" s="2103"/>
      <c r="FW12" s="2103"/>
      <c r="FX12" s="2103"/>
      <c r="FY12" s="87"/>
      <c r="FZ12" s="87"/>
      <c r="GA12" s="87"/>
    </row>
    <row r="13" spans="1:190" ht="9" customHeight="1" thickTop="1" thickBot="1">
      <c r="A13" s="109"/>
      <c r="B13" s="313"/>
      <c r="C13" s="2113" t="str">
        <f>IF(Race="","",IF(NOT(ISERROR(GD13)),MID(EquipmentNameList,GD9+1,GD13-GD9-1),""))</f>
        <v/>
      </c>
      <c r="D13" s="2113"/>
      <c r="E13" s="2113"/>
      <c r="F13" s="2113"/>
      <c r="G13" s="2113"/>
      <c r="H13" s="2113"/>
      <c r="I13" s="2113"/>
      <c r="J13" s="2113"/>
      <c r="K13" s="2113"/>
      <c r="L13" s="2113"/>
      <c r="M13" s="2113"/>
      <c r="N13" s="2113"/>
      <c r="O13" s="2113"/>
      <c r="P13" s="2113"/>
      <c r="Q13" s="2113"/>
      <c r="R13" s="2113"/>
      <c r="S13" s="2113"/>
      <c r="T13" s="2113"/>
      <c r="U13" s="2113"/>
      <c r="V13" s="2113"/>
      <c r="W13" s="2113"/>
      <c r="X13" s="2113"/>
      <c r="Y13" s="2113"/>
      <c r="Z13" s="2113"/>
      <c r="AA13" s="2113"/>
      <c r="AB13" s="2113"/>
      <c r="AC13" s="2113"/>
      <c r="AD13" s="2113"/>
      <c r="AE13" s="2113"/>
      <c r="AF13" s="2113"/>
      <c r="AG13" s="2113"/>
      <c r="AH13" s="2113"/>
      <c r="AI13" s="2113"/>
      <c r="AJ13" s="2113"/>
      <c r="AK13" s="2113"/>
      <c r="AL13" s="2113"/>
      <c r="AM13" s="2113"/>
      <c r="AN13" s="2113"/>
      <c r="AO13" s="2113"/>
      <c r="AP13" s="2113"/>
      <c r="AQ13" s="2113"/>
      <c r="AR13" s="2113"/>
      <c r="AS13" s="2113"/>
      <c r="AT13" s="2113"/>
      <c r="AU13" s="2113"/>
      <c r="AV13" s="2113"/>
      <c r="AW13" s="2115" t="str">
        <f>IF(Race="","",IF(NOT(ISERROR(GE13)),VALUE(MID(EquipmentWeightList,GE9+1,GE13-GE9-1)),""))</f>
        <v/>
      </c>
      <c r="AX13" s="2115"/>
      <c r="AY13" s="2115"/>
      <c r="AZ13" s="2115"/>
      <c r="BA13" s="2115"/>
      <c r="BB13" s="2115"/>
      <c r="BC13" s="2115"/>
      <c r="BD13" s="2115"/>
      <c r="BE13" s="2115"/>
      <c r="BF13" s="405"/>
      <c r="BG13" s="406"/>
      <c r="BH13" s="301"/>
      <c r="BI13" s="301"/>
      <c r="BJ13" s="1205"/>
      <c r="BK13" s="1192"/>
      <c r="BL13" s="1192"/>
      <c r="BM13" s="1192"/>
      <c r="BN13" s="1192"/>
      <c r="BO13" s="2117"/>
      <c r="BP13" s="2117"/>
      <c r="BQ13" s="2117"/>
      <c r="BR13" s="2117"/>
      <c r="BS13" s="2117"/>
      <c r="BT13" s="2117"/>
      <c r="BU13" s="2117"/>
      <c r="BV13" s="2117"/>
      <c r="BW13" s="2118"/>
      <c r="BX13" s="1192"/>
      <c r="BY13" s="1192"/>
      <c r="BZ13" s="1192"/>
      <c r="CA13" s="1192"/>
      <c r="CB13" s="1192"/>
      <c r="CC13" s="1195"/>
      <c r="CD13" s="1920"/>
      <c r="CE13" s="1920"/>
      <c r="CF13" s="1920"/>
      <c r="CG13" s="1920"/>
      <c r="CH13" s="1920"/>
      <c r="CI13" s="1920"/>
      <c r="CJ13" s="1920"/>
      <c r="CK13" s="1920"/>
      <c r="CL13" s="1920"/>
      <c r="CM13" s="1920"/>
      <c r="CN13" s="1920"/>
      <c r="CO13" s="1920"/>
      <c r="CP13" s="1920"/>
      <c r="CQ13" s="1920"/>
      <c r="CR13" s="1194"/>
      <c r="CS13" s="1192"/>
      <c r="CT13" s="87"/>
      <c r="CU13" s="2105" t="s">
        <v>3600</v>
      </c>
      <c r="CV13" s="2105"/>
      <c r="CW13" s="2105"/>
      <c r="CX13" s="2105"/>
      <c r="CY13" s="2105"/>
      <c r="CZ13" s="2105"/>
      <c r="DA13" s="2105"/>
      <c r="DB13" s="2105"/>
      <c r="DC13" s="2105"/>
      <c r="DD13" s="2105"/>
      <c r="DE13" s="1233"/>
      <c r="DF13" s="1233"/>
      <c r="DG13" s="1233"/>
      <c r="DH13" s="1233"/>
      <c r="DI13" s="1233"/>
      <c r="DJ13" s="2105" t="s">
        <v>3570</v>
      </c>
      <c r="DK13" s="2105"/>
      <c r="DL13" s="2105"/>
      <c r="DM13" s="2105"/>
      <c r="DN13" s="2105"/>
      <c r="DO13" s="2105"/>
      <c r="DP13" s="2105"/>
      <c r="DQ13" s="2105"/>
      <c r="DR13" s="2105"/>
      <c r="DS13" s="1233"/>
      <c r="DT13" s="1233"/>
      <c r="DU13" s="1233"/>
      <c r="DV13" s="2105" t="s">
        <v>3601</v>
      </c>
      <c r="DW13" s="2105"/>
      <c r="DX13" s="2105"/>
      <c r="DY13" s="2105"/>
      <c r="DZ13" s="2105"/>
      <c r="EA13" s="2105"/>
      <c r="EB13" s="2105"/>
      <c r="EC13" s="2105"/>
      <c r="ED13" s="2105"/>
      <c r="EE13" s="1233"/>
      <c r="EF13" s="1233"/>
      <c r="EG13" s="1233"/>
      <c r="EH13" s="2105" t="s">
        <v>3639</v>
      </c>
      <c r="EI13" s="2105"/>
      <c r="EJ13" s="2105"/>
      <c r="EK13" s="2105"/>
      <c r="EL13" s="2105"/>
      <c r="EM13" s="2105"/>
      <c r="EN13" s="2105"/>
      <c r="EO13" s="2105"/>
      <c r="EP13" s="2105"/>
      <c r="EQ13" s="1233"/>
      <c r="ER13" s="1233"/>
      <c r="ES13" s="1233"/>
      <c r="ET13" s="2105" t="s">
        <v>3640</v>
      </c>
      <c r="EU13" s="2105"/>
      <c r="EV13" s="2105"/>
      <c r="EW13" s="2105"/>
      <c r="EX13" s="2105"/>
      <c r="EY13" s="2105"/>
      <c r="EZ13" s="2105"/>
      <c r="FA13" s="2105"/>
      <c r="FB13" s="2105"/>
      <c r="FC13" s="1233"/>
      <c r="FD13" s="1233"/>
      <c r="FE13" s="1233"/>
      <c r="FF13" s="2105" t="s">
        <v>3602</v>
      </c>
      <c r="FG13" s="2105"/>
      <c r="FH13" s="2105"/>
      <c r="FI13" s="2105"/>
      <c r="FJ13" s="2105"/>
      <c r="FK13" s="2105"/>
      <c r="FL13" s="2105"/>
      <c r="FM13" s="2105"/>
      <c r="FN13" s="2105"/>
      <c r="FO13" s="1233"/>
      <c r="FP13" s="2103"/>
      <c r="FQ13" s="2103"/>
      <c r="FR13" s="2103"/>
      <c r="FS13" s="2103"/>
      <c r="FT13" s="1232"/>
      <c r="FU13" s="2103"/>
      <c r="FV13" s="2103"/>
      <c r="FW13" s="2103"/>
      <c r="FX13" s="2103"/>
      <c r="FY13" s="87"/>
      <c r="FZ13" s="87"/>
      <c r="GA13" s="87"/>
      <c r="GC13" s="1853">
        <v>1</v>
      </c>
      <c r="GD13" s="1853" t="e">
        <f>FIND(";",EquipmentNameList,1)</f>
        <v>#VALUE!</v>
      </c>
      <c r="GE13" s="1853" t="e">
        <f>FIND(";",EquipmentWeightList,1)</f>
        <v>#VALUE!</v>
      </c>
      <c r="GF13" s="1853" t="e">
        <f>FIND(";",EquipmentNumberList,1)</f>
        <v>#VALUE!</v>
      </c>
    </row>
    <row r="14" spans="1:190" ht="9" customHeight="1" thickTop="1" thickBot="1">
      <c r="A14" s="109"/>
      <c r="B14" s="313"/>
      <c r="C14" s="2113"/>
      <c r="D14" s="2113"/>
      <c r="E14" s="2113"/>
      <c r="F14" s="2113"/>
      <c r="G14" s="2113"/>
      <c r="H14" s="2113"/>
      <c r="I14" s="2113"/>
      <c r="J14" s="2113"/>
      <c r="K14" s="2113"/>
      <c r="L14" s="2113"/>
      <c r="M14" s="2113"/>
      <c r="N14" s="2113"/>
      <c r="O14" s="2113"/>
      <c r="P14" s="2113"/>
      <c r="Q14" s="2113"/>
      <c r="R14" s="2113"/>
      <c r="S14" s="2113"/>
      <c r="T14" s="2113"/>
      <c r="U14" s="2113"/>
      <c r="V14" s="2113"/>
      <c r="W14" s="2113"/>
      <c r="X14" s="2113"/>
      <c r="Y14" s="2113"/>
      <c r="Z14" s="2113"/>
      <c r="AA14" s="2113"/>
      <c r="AB14" s="2113"/>
      <c r="AC14" s="2113"/>
      <c r="AD14" s="2113"/>
      <c r="AE14" s="2113"/>
      <c r="AF14" s="2113"/>
      <c r="AG14" s="2113"/>
      <c r="AH14" s="2113"/>
      <c r="AI14" s="2113"/>
      <c r="AJ14" s="2113"/>
      <c r="AK14" s="2113"/>
      <c r="AL14" s="2113"/>
      <c r="AM14" s="2113"/>
      <c r="AN14" s="2113"/>
      <c r="AO14" s="2113"/>
      <c r="AP14" s="2113"/>
      <c r="AQ14" s="2113"/>
      <c r="AR14" s="2113"/>
      <c r="AS14" s="2113"/>
      <c r="AT14" s="2113"/>
      <c r="AU14" s="2113"/>
      <c r="AV14" s="2113"/>
      <c r="AW14" s="2115"/>
      <c r="AX14" s="2115"/>
      <c r="AY14" s="2115"/>
      <c r="AZ14" s="2115"/>
      <c r="BA14" s="2115"/>
      <c r="BB14" s="2115"/>
      <c r="BC14" s="2115"/>
      <c r="BD14" s="2115"/>
      <c r="BE14" s="2115"/>
      <c r="BF14" s="405"/>
      <c r="BG14" s="407"/>
      <c r="BH14" s="301"/>
      <c r="BI14" s="301"/>
      <c r="BJ14" s="1205"/>
      <c r="BK14" s="1191"/>
      <c r="BL14" s="1191"/>
      <c r="BM14" s="1191"/>
      <c r="BN14" s="1191"/>
      <c r="BO14" s="2119"/>
      <c r="BP14" s="2119"/>
      <c r="BQ14" s="2119"/>
      <c r="BR14" s="2119"/>
      <c r="BS14" s="2119"/>
      <c r="BT14" s="2119"/>
      <c r="BU14" s="2119"/>
      <c r="BV14" s="2119"/>
      <c r="BW14" s="2120"/>
      <c r="BX14" s="1192"/>
      <c r="BY14" s="1192"/>
      <c r="BZ14" s="1192"/>
      <c r="CA14" s="1192"/>
      <c r="CB14" s="1192"/>
      <c r="CC14" s="1192"/>
      <c r="CD14" s="1192"/>
      <c r="CE14" s="1192"/>
      <c r="CF14" s="1192"/>
      <c r="CG14" s="1192"/>
      <c r="CH14" s="1192"/>
      <c r="CI14" s="1192"/>
      <c r="CJ14" s="1192"/>
      <c r="CK14" s="1192"/>
      <c r="CL14" s="1192"/>
      <c r="CM14" s="1192"/>
      <c r="CN14" s="1192"/>
      <c r="CO14" s="1192"/>
      <c r="CP14" s="1192"/>
      <c r="CQ14" s="1192"/>
      <c r="CR14" s="1192"/>
      <c r="CS14" s="1192"/>
      <c r="CT14" s="87"/>
      <c r="CU14" s="2105"/>
      <c r="CV14" s="2105"/>
      <c r="CW14" s="2105"/>
      <c r="CX14" s="2105"/>
      <c r="CY14" s="2105"/>
      <c r="CZ14" s="2105"/>
      <c r="DA14" s="2105"/>
      <c r="DB14" s="2105"/>
      <c r="DC14" s="2105"/>
      <c r="DD14" s="2105"/>
      <c r="DE14" s="1233"/>
      <c r="DF14" s="1233"/>
      <c r="DG14" s="1233"/>
      <c r="DH14" s="1233"/>
      <c r="DI14" s="1233"/>
      <c r="DJ14" s="2105"/>
      <c r="DK14" s="2105"/>
      <c r="DL14" s="2105"/>
      <c r="DM14" s="2105"/>
      <c r="DN14" s="2105"/>
      <c r="DO14" s="2105"/>
      <c r="DP14" s="2105"/>
      <c r="DQ14" s="2105"/>
      <c r="DR14" s="2105"/>
      <c r="DS14" s="1233"/>
      <c r="DT14" s="1233"/>
      <c r="DU14" s="1233"/>
      <c r="DV14" s="2105"/>
      <c r="DW14" s="2105"/>
      <c r="DX14" s="2105"/>
      <c r="DY14" s="2105"/>
      <c r="DZ14" s="2105"/>
      <c r="EA14" s="2105"/>
      <c r="EB14" s="2105"/>
      <c r="EC14" s="2105"/>
      <c r="ED14" s="2105"/>
      <c r="EE14" s="1233"/>
      <c r="EF14" s="1233"/>
      <c r="EG14" s="1233"/>
      <c r="EH14" s="2105"/>
      <c r="EI14" s="2105"/>
      <c r="EJ14" s="2105"/>
      <c r="EK14" s="2105"/>
      <c r="EL14" s="2105"/>
      <c r="EM14" s="2105"/>
      <c r="EN14" s="2105"/>
      <c r="EO14" s="2105"/>
      <c r="EP14" s="2105"/>
      <c r="EQ14" s="1233"/>
      <c r="ER14" s="1233"/>
      <c r="ES14" s="1233"/>
      <c r="ET14" s="2105"/>
      <c r="EU14" s="2105"/>
      <c r="EV14" s="2105"/>
      <c r="EW14" s="2105"/>
      <c r="EX14" s="2105"/>
      <c r="EY14" s="2105"/>
      <c r="EZ14" s="2105"/>
      <c r="FA14" s="2105"/>
      <c r="FB14" s="2105"/>
      <c r="FC14" s="1233"/>
      <c r="FD14" s="1233"/>
      <c r="FE14" s="1233"/>
      <c r="FF14" s="2105"/>
      <c r="FG14" s="2105"/>
      <c r="FH14" s="2105"/>
      <c r="FI14" s="2105"/>
      <c r="FJ14" s="2105"/>
      <c r="FK14" s="2105"/>
      <c r="FL14" s="2105"/>
      <c r="FM14" s="2105"/>
      <c r="FN14" s="2105"/>
      <c r="FO14" s="1233"/>
      <c r="FP14" s="2103"/>
      <c r="FQ14" s="2103"/>
      <c r="FR14" s="2103"/>
      <c r="FS14" s="2103"/>
      <c r="FT14" s="1232"/>
      <c r="FU14" s="2103"/>
      <c r="FV14" s="2103"/>
      <c r="FW14" s="2103"/>
      <c r="FX14" s="2103"/>
      <c r="FY14" s="408"/>
      <c r="FZ14" s="408"/>
      <c r="GA14" s="408"/>
      <c r="GC14" s="1853"/>
      <c r="GD14" s="1853"/>
      <c r="GE14" s="1853"/>
      <c r="GF14" s="1853"/>
    </row>
    <row r="15" spans="1:190" ht="9" customHeight="1" thickBot="1">
      <c r="A15" s="109"/>
      <c r="B15" s="313"/>
      <c r="C15" s="2114"/>
      <c r="D15" s="2114"/>
      <c r="E15" s="2114"/>
      <c r="F15" s="2114"/>
      <c r="G15" s="2114"/>
      <c r="H15" s="2114"/>
      <c r="I15" s="2114"/>
      <c r="J15" s="2114"/>
      <c r="K15" s="2114"/>
      <c r="L15" s="2114"/>
      <c r="M15" s="2114"/>
      <c r="N15" s="2114"/>
      <c r="O15" s="2114"/>
      <c r="P15" s="2114"/>
      <c r="Q15" s="2114"/>
      <c r="R15" s="2114"/>
      <c r="S15" s="2114"/>
      <c r="T15" s="2114"/>
      <c r="U15" s="2114"/>
      <c r="V15" s="2114"/>
      <c r="W15" s="2114"/>
      <c r="X15" s="2114"/>
      <c r="Y15" s="2114"/>
      <c r="Z15" s="2114"/>
      <c r="AA15" s="2114"/>
      <c r="AB15" s="2114"/>
      <c r="AC15" s="2114"/>
      <c r="AD15" s="2114"/>
      <c r="AE15" s="2114"/>
      <c r="AF15" s="2114"/>
      <c r="AG15" s="2114"/>
      <c r="AH15" s="2114"/>
      <c r="AI15" s="2114"/>
      <c r="AJ15" s="2114"/>
      <c r="AK15" s="2114"/>
      <c r="AL15" s="2114"/>
      <c r="AM15" s="2114"/>
      <c r="AN15" s="2114"/>
      <c r="AO15" s="2114"/>
      <c r="AP15" s="2114"/>
      <c r="AQ15" s="2114"/>
      <c r="AR15" s="2114"/>
      <c r="AS15" s="2114"/>
      <c r="AT15" s="2114"/>
      <c r="AU15" s="2114"/>
      <c r="AV15" s="2114"/>
      <c r="AW15" s="2116"/>
      <c r="AX15" s="2116"/>
      <c r="AY15" s="2116"/>
      <c r="AZ15" s="2116"/>
      <c r="BA15" s="2116"/>
      <c r="BB15" s="2116"/>
      <c r="BC15" s="2116"/>
      <c r="BD15" s="2116"/>
      <c r="BE15" s="2116"/>
      <c r="BF15" s="405"/>
      <c r="BG15" s="407"/>
      <c r="BH15" s="301"/>
      <c r="BI15" s="301"/>
      <c r="BJ15" s="1205"/>
      <c r="BK15" s="1191"/>
      <c r="BL15" s="1191"/>
      <c r="BM15" s="1191"/>
      <c r="BN15" s="1206"/>
      <c r="BO15" s="2121"/>
      <c r="BP15" s="2121"/>
      <c r="BQ15" s="2121"/>
      <c r="BR15" s="2121"/>
      <c r="BS15" s="2121"/>
      <c r="BT15" s="2121"/>
      <c r="BU15" s="2121"/>
      <c r="BV15" s="2121"/>
      <c r="BW15" s="2122"/>
      <c r="BX15" s="1207"/>
      <c r="BY15" s="1207"/>
      <c r="BZ15" s="1207"/>
      <c r="CA15" s="2106" t="s">
        <v>185</v>
      </c>
      <c r="CB15" s="2106"/>
      <c r="CC15" s="2106"/>
      <c r="CD15" s="2106"/>
      <c r="CE15" s="2106"/>
      <c r="CF15" s="2106"/>
      <c r="CG15" s="2106"/>
      <c r="CH15" s="2106"/>
      <c r="CI15" s="2106"/>
      <c r="CJ15" s="2106"/>
      <c r="CK15" s="2106"/>
      <c r="CL15" s="2106"/>
      <c r="CM15" s="2106"/>
      <c r="CN15" s="2106"/>
      <c r="CO15" s="2106"/>
      <c r="CP15" s="2106"/>
      <c r="CQ15" s="2106"/>
      <c r="CR15" s="2106"/>
      <c r="CS15" s="2106"/>
      <c r="CT15" s="87"/>
      <c r="CU15" s="1234" t="e">
        <f>HeroicLvl+ArmourFort</f>
        <v>#NAME?</v>
      </c>
      <c r="CV15" s="1235"/>
      <c r="CW15" s="1235"/>
      <c r="CX15" s="1235"/>
      <c r="CY15" s="1235"/>
      <c r="CZ15" s="1235"/>
      <c r="DA15" s="1235"/>
      <c r="DB15" s="1235"/>
      <c r="DC15" s="1235"/>
      <c r="DD15" s="1236"/>
      <c r="DE15" s="1233"/>
      <c r="DF15" s="1233"/>
      <c r="DG15" s="1233"/>
      <c r="DH15" s="1233"/>
      <c r="DI15" s="1233"/>
      <c r="DJ15" s="1234" t="e">
        <f>HeroicLvl+ArmourFort</f>
        <v>#NAME?</v>
      </c>
      <c r="DK15" s="1235"/>
      <c r="DL15" s="1235"/>
      <c r="DM15" s="1235"/>
      <c r="DN15" s="1235"/>
      <c r="DO15" s="1235"/>
      <c r="DP15" s="1235"/>
      <c r="DQ15" s="1235"/>
      <c r="DR15" s="1236"/>
      <c r="DS15" s="1233"/>
      <c r="DT15" s="1233"/>
      <c r="DU15" s="1233"/>
      <c r="DV15" s="1234"/>
      <c r="DW15" s="1235"/>
      <c r="DX15" s="1235"/>
      <c r="DY15" s="1235"/>
      <c r="DZ15" s="1235"/>
      <c r="EA15" s="1235"/>
      <c r="EB15" s="1235"/>
      <c r="EC15" s="1235"/>
      <c r="ED15" s="1236"/>
      <c r="EE15" s="1233"/>
      <c r="EF15" s="1233"/>
      <c r="EG15" s="1233"/>
      <c r="EH15" s="1234"/>
      <c r="EI15" s="1235"/>
      <c r="EJ15" s="1235"/>
      <c r="EK15" s="1235"/>
      <c r="EL15" s="1235"/>
      <c r="EM15" s="1235"/>
      <c r="EN15" s="1235"/>
      <c r="EO15" s="1235"/>
      <c r="EP15" s="1236"/>
      <c r="EQ15" s="1233"/>
      <c r="ER15" s="1233"/>
      <c r="ES15" s="1233"/>
      <c r="ET15" s="1234"/>
      <c r="EU15" s="1235"/>
      <c r="EV15" s="1235"/>
      <c r="EW15" s="1235"/>
      <c r="EX15" s="1235"/>
      <c r="EY15" s="1235"/>
      <c r="EZ15" s="1235"/>
      <c r="FA15" s="1235"/>
      <c r="FB15" s="1236"/>
      <c r="FC15" s="1233"/>
      <c r="FD15" s="1233"/>
      <c r="FE15" s="1233"/>
      <c r="FF15" s="1234"/>
      <c r="FG15" s="1235"/>
      <c r="FH15" s="1235"/>
      <c r="FI15" s="1235"/>
      <c r="FJ15" s="1235"/>
      <c r="FK15" s="1235"/>
      <c r="FL15" s="1235"/>
      <c r="FM15" s="1235"/>
      <c r="FN15" s="1236"/>
      <c r="FO15" s="1233"/>
      <c r="FP15" s="2104"/>
      <c r="FQ15" s="2104"/>
      <c r="FR15" s="2104"/>
      <c r="FS15" s="2104"/>
      <c r="FT15" s="1237"/>
      <c r="FU15" s="2104"/>
      <c r="FV15" s="2104"/>
      <c r="FW15" s="2104"/>
      <c r="FX15" s="2104"/>
      <c r="FY15" s="408"/>
      <c r="FZ15" s="408"/>
      <c r="GA15" s="408"/>
      <c r="GC15" s="1853"/>
      <c r="GD15" s="1853"/>
      <c r="GE15" s="1853"/>
      <c r="GF15" s="1853"/>
      <c r="GH15" s="1135" t="s">
        <v>6159</v>
      </c>
    </row>
    <row r="16" spans="1:190" ht="9" customHeight="1">
      <c r="A16" s="109"/>
      <c r="B16" s="313"/>
      <c r="C16" s="301"/>
      <c r="D16" s="301"/>
      <c r="E16" s="181"/>
      <c r="F16" s="181"/>
      <c r="G16" s="181"/>
      <c r="H16" s="181"/>
      <c r="I16" s="181"/>
      <c r="J16" s="181"/>
      <c r="K16" s="301"/>
      <c r="L16" s="301"/>
      <c r="M16" s="301"/>
      <c r="N16" s="301"/>
      <c r="O16" s="301"/>
      <c r="P16" s="301"/>
      <c r="Q16" s="301"/>
      <c r="R16" s="301"/>
      <c r="S16" s="301"/>
      <c r="T16" s="301"/>
      <c r="U16" s="301"/>
      <c r="V16" s="301"/>
      <c r="W16" s="301"/>
      <c r="X16" s="301"/>
      <c r="Y16" s="301"/>
      <c r="Z16" s="301"/>
      <c r="AA16" s="301"/>
      <c r="AB16" s="301"/>
      <c r="AC16" s="301"/>
      <c r="AD16" s="301"/>
      <c r="AE16" s="301"/>
      <c r="AF16" s="301"/>
      <c r="AG16" s="301"/>
      <c r="AH16" s="301"/>
      <c r="AI16" s="301"/>
      <c r="AJ16" s="301"/>
      <c r="AK16" s="301"/>
      <c r="AL16" s="301"/>
      <c r="AM16" s="301"/>
      <c r="AN16" s="301"/>
      <c r="AO16" s="301"/>
      <c r="AP16" s="301"/>
      <c r="AQ16" s="301"/>
      <c r="AR16" s="301"/>
      <c r="AS16" s="301"/>
      <c r="AT16" s="301"/>
      <c r="AU16" s="301"/>
      <c r="AV16" s="301"/>
      <c r="AW16" s="1087"/>
      <c r="AX16" s="1087"/>
      <c r="AY16" s="1087"/>
      <c r="AZ16" s="1087"/>
      <c r="BA16" s="1087"/>
      <c r="BB16" s="1087"/>
      <c r="BC16" s="1087"/>
      <c r="BD16" s="1087"/>
      <c r="BE16" s="1087"/>
      <c r="BF16" s="405"/>
      <c r="BG16" s="406"/>
      <c r="BH16" s="301"/>
      <c r="BI16" s="301"/>
      <c r="BJ16" s="1205"/>
      <c r="BK16" s="1191"/>
      <c r="BL16" s="1191"/>
      <c r="BM16" s="1191"/>
      <c r="BN16" s="1208"/>
      <c r="BO16" s="1207"/>
      <c r="BP16" s="1207"/>
      <c r="BQ16" s="1207"/>
      <c r="BR16" s="1207"/>
      <c r="BS16" s="1207"/>
      <c r="BT16" s="1207"/>
      <c r="BU16" s="1207"/>
      <c r="BV16" s="1207"/>
      <c r="BW16" s="1207"/>
      <c r="BX16" s="1207"/>
      <c r="BY16" s="1207"/>
      <c r="BZ16" s="1207"/>
      <c r="CA16" s="2106"/>
      <c r="CB16" s="2106"/>
      <c r="CC16" s="2106"/>
      <c r="CD16" s="2106"/>
      <c r="CE16" s="2106"/>
      <c r="CF16" s="2106"/>
      <c r="CG16" s="2106"/>
      <c r="CH16" s="2106"/>
      <c r="CI16" s="2106"/>
      <c r="CJ16" s="2106"/>
      <c r="CK16" s="2106"/>
      <c r="CL16" s="2106"/>
      <c r="CM16" s="2106"/>
      <c r="CN16" s="2106"/>
      <c r="CO16" s="2106"/>
      <c r="CP16" s="2106"/>
      <c r="CQ16" s="2106"/>
      <c r="CR16" s="2106"/>
      <c r="CS16" s="2106"/>
      <c r="CT16" s="87"/>
      <c r="CU16" s="166"/>
      <c r="CV16" s="2107">
        <f ca="1">Acrobatics</f>
        <v>0</v>
      </c>
      <c r="CW16" s="2107"/>
      <c r="CX16" s="2107"/>
      <c r="CY16" s="2107"/>
      <c r="CZ16" s="2107"/>
      <c r="DA16" s="2107"/>
      <c r="DB16" s="2107"/>
      <c r="DC16" s="2107"/>
      <c r="DD16" s="167"/>
      <c r="DE16" s="87"/>
      <c r="DF16" s="117"/>
      <c r="DG16" s="117"/>
      <c r="DH16" s="117"/>
      <c r="DI16" s="87"/>
      <c r="DJ16" s="166"/>
      <c r="DK16" s="1991">
        <f>ROUNDDOWN(CharacterLevel/2,0)</f>
        <v>0</v>
      </c>
      <c r="DL16" s="1991"/>
      <c r="DM16" s="1991"/>
      <c r="DN16" s="1991"/>
      <c r="DO16" s="1991"/>
      <c r="DP16" s="1991"/>
      <c r="DQ16" s="1991"/>
      <c r="DR16" s="167"/>
      <c r="DS16" s="87"/>
      <c r="DT16" s="87"/>
      <c r="DU16" s="87"/>
      <c r="DV16" s="166"/>
      <c r="DW16" s="1991" t="str">
        <f>DexMod</f>
        <v/>
      </c>
      <c r="DX16" s="1991"/>
      <c r="DY16" s="1991"/>
      <c r="DZ16" s="1991"/>
      <c r="EA16" s="1991"/>
      <c r="EB16" s="1991"/>
      <c r="EC16" s="1991"/>
      <c r="ED16" s="167"/>
      <c r="EE16" s="87"/>
      <c r="EF16" s="87"/>
      <c r="EG16" s="87"/>
      <c r="EH16" s="166"/>
      <c r="EI16" s="1991" t="str">
        <f>IF(CharacterLevel&gt;0,IF(OR(INDEX(SkillTable,MATCH(CA15,SkillList,0),4)="Yes",INDEX(SkillTable,MATCH(CA15,SkillList,0),5)="Yes"),5,0),"")</f>
        <v/>
      </c>
      <c r="EJ16" s="1991"/>
      <c r="EK16" s="1991"/>
      <c r="EL16" s="1991"/>
      <c r="EM16" s="1991"/>
      <c r="EN16" s="1991"/>
      <c r="EO16" s="1991"/>
      <c r="EP16" s="264"/>
      <c r="EQ16" s="265"/>
      <c r="ER16" s="265"/>
      <c r="ES16" s="265"/>
      <c r="ET16" s="266"/>
      <c r="EU16" s="1991" t="b">
        <f>IF(CharacterLevel&gt;0,IF(Skills!R11="Yes",5,0))</f>
        <v>0</v>
      </c>
      <c r="EV16" s="1991"/>
      <c r="EW16" s="1991"/>
      <c r="EX16" s="1991"/>
      <c r="EY16" s="1991"/>
      <c r="EZ16" s="1991"/>
      <c r="FA16" s="1991"/>
      <c r="FB16" s="167"/>
      <c r="FC16" s="265"/>
      <c r="FD16" s="265"/>
      <c r="FE16" s="265"/>
      <c r="FF16" s="266"/>
      <c r="FG16" s="1991">
        <f>ArmorPenalty+INDEX(SkillTable,MATCH(CA15,SkillList,0),12)</f>
        <v>0</v>
      </c>
      <c r="FH16" s="1991"/>
      <c r="FI16" s="1991"/>
      <c r="FJ16" s="1991"/>
      <c r="FK16" s="1991"/>
      <c r="FL16" s="1991"/>
      <c r="FM16" s="1991"/>
      <c r="FN16" s="167"/>
      <c r="FO16" s="87"/>
      <c r="FP16" s="2124" t="str">
        <f>IF(INDEX(SkillTable,MATCH(CA15,SkillList,0),77)&lt;&gt;"","×","")</f>
        <v/>
      </c>
      <c r="FQ16" s="2125"/>
      <c r="FR16" s="2125"/>
      <c r="FS16" s="2126"/>
      <c r="FT16" s="988"/>
      <c r="FU16" s="2124" t="str">
        <f>IF(INDEX(SkillTable,MATCH(CA15,SkillList,0),31)&lt;&gt;"","×","")</f>
        <v/>
      </c>
      <c r="FV16" s="2125"/>
      <c r="FW16" s="2125"/>
      <c r="FX16" s="2126"/>
      <c r="FY16" s="408"/>
      <c r="FZ16" s="408"/>
      <c r="GA16" s="408"/>
      <c r="GH16" s="1135" t="e">
        <f ca="1">IF(INDEX(SkillTable,MATCH(CA15,SkillList,0),14),1,0)</f>
        <v>#VALUE!</v>
      </c>
    </row>
    <row r="17" spans="1:190" ht="9" customHeight="1">
      <c r="A17" s="109"/>
      <c r="B17" s="313"/>
      <c r="C17" s="2113" t="str">
        <f>IF(Race="","",IF(NOT(ISERROR(GD17)),MID(EquipmentNameList,GD13+1,GD17-GD13-1),""))</f>
        <v/>
      </c>
      <c r="D17" s="2113"/>
      <c r="E17" s="2113"/>
      <c r="F17" s="2113"/>
      <c r="G17" s="2113"/>
      <c r="H17" s="2113"/>
      <c r="I17" s="2113"/>
      <c r="J17" s="2113"/>
      <c r="K17" s="2113"/>
      <c r="L17" s="2113"/>
      <c r="M17" s="2113"/>
      <c r="N17" s="2113"/>
      <c r="O17" s="2113"/>
      <c r="P17" s="2113"/>
      <c r="Q17" s="2113"/>
      <c r="R17" s="2113"/>
      <c r="S17" s="2113"/>
      <c r="T17" s="2113"/>
      <c r="U17" s="2113"/>
      <c r="V17" s="2113"/>
      <c r="W17" s="2113"/>
      <c r="X17" s="2113"/>
      <c r="Y17" s="2113"/>
      <c r="Z17" s="2113"/>
      <c r="AA17" s="2113"/>
      <c r="AB17" s="2113"/>
      <c r="AC17" s="2113"/>
      <c r="AD17" s="2113"/>
      <c r="AE17" s="2113"/>
      <c r="AF17" s="2113"/>
      <c r="AG17" s="2113"/>
      <c r="AH17" s="2113"/>
      <c r="AI17" s="2113"/>
      <c r="AJ17" s="2113"/>
      <c r="AK17" s="2113"/>
      <c r="AL17" s="2113"/>
      <c r="AM17" s="2113"/>
      <c r="AN17" s="2113"/>
      <c r="AO17" s="2113"/>
      <c r="AP17" s="2113"/>
      <c r="AQ17" s="2113"/>
      <c r="AR17" s="2113"/>
      <c r="AS17" s="2113"/>
      <c r="AT17" s="2113"/>
      <c r="AU17" s="2113"/>
      <c r="AV17" s="2113"/>
      <c r="AW17" s="2115" t="str">
        <f>IF(Race="","",IF(NOT(ISERROR(GE17)),VALUE(MID(EquipmentWeightList,GE13+1,GE17-GE13-1)),""))</f>
        <v/>
      </c>
      <c r="AX17" s="2115"/>
      <c r="AY17" s="2115"/>
      <c r="AZ17" s="2115"/>
      <c r="BA17" s="2115"/>
      <c r="BB17" s="2115"/>
      <c r="BC17" s="2115"/>
      <c r="BD17" s="2115"/>
      <c r="BE17" s="2115"/>
      <c r="BF17" s="405"/>
      <c r="BG17" s="406"/>
      <c r="BH17" s="301"/>
      <c r="BI17" s="301"/>
      <c r="BJ17" s="1205"/>
      <c r="BK17" s="1191"/>
      <c r="BL17" s="1191"/>
      <c r="BM17" s="1209"/>
      <c r="BN17" s="1206"/>
      <c r="BO17" s="1207"/>
      <c r="BP17" s="1207"/>
      <c r="BQ17" s="1207"/>
      <c r="BR17" s="1207"/>
      <c r="BS17" s="1207"/>
      <c r="BT17" s="1207"/>
      <c r="BU17" s="1207"/>
      <c r="BV17" s="1207"/>
      <c r="BW17" s="1207"/>
      <c r="BX17" s="1207"/>
      <c r="BY17" s="1207"/>
      <c r="BZ17" s="1207"/>
      <c r="CA17" s="2106"/>
      <c r="CB17" s="2106"/>
      <c r="CC17" s="2106"/>
      <c r="CD17" s="2106"/>
      <c r="CE17" s="2106"/>
      <c r="CF17" s="2106"/>
      <c r="CG17" s="2106"/>
      <c r="CH17" s="2106"/>
      <c r="CI17" s="2106"/>
      <c r="CJ17" s="2106"/>
      <c r="CK17" s="2106"/>
      <c r="CL17" s="2106"/>
      <c r="CM17" s="2106"/>
      <c r="CN17" s="2106"/>
      <c r="CO17" s="2106"/>
      <c r="CP17" s="2106"/>
      <c r="CQ17" s="2106"/>
      <c r="CR17" s="2106"/>
      <c r="CS17" s="2106"/>
      <c r="CT17" s="87"/>
      <c r="CU17" s="166"/>
      <c r="CV17" s="2107"/>
      <c r="CW17" s="2107"/>
      <c r="CX17" s="2107"/>
      <c r="CY17" s="2107"/>
      <c r="CZ17" s="2107"/>
      <c r="DA17" s="2107"/>
      <c r="DB17" s="2107"/>
      <c r="DC17" s="2107"/>
      <c r="DD17" s="167"/>
      <c r="DE17" s="87"/>
      <c r="DF17" s="87"/>
      <c r="DG17" s="87"/>
      <c r="DH17" s="87"/>
      <c r="DI17" s="87"/>
      <c r="DJ17" s="166"/>
      <c r="DK17" s="1991"/>
      <c r="DL17" s="1991"/>
      <c r="DM17" s="1991"/>
      <c r="DN17" s="1991"/>
      <c r="DO17" s="1991"/>
      <c r="DP17" s="1991"/>
      <c r="DQ17" s="1991"/>
      <c r="DR17" s="167"/>
      <c r="DS17" s="117"/>
      <c r="DT17" s="117"/>
      <c r="DU17" s="117"/>
      <c r="DV17" s="166"/>
      <c r="DW17" s="1991"/>
      <c r="DX17" s="1991"/>
      <c r="DY17" s="1991"/>
      <c r="DZ17" s="1991"/>
      <c r="EA17" s="1991"/>
      <c r="EB17" s="1991"/>
      <c r="EC17" s="1991"/>
      <c r="ED17" s="167"/>
      <c r="EE17" s="117"/>
      <c r="EF17" s="117"/>
      <c r="EG17" s="117"/>
      <c r="EH17" s="166"/>
      <c r="EI17" s="1991"/>
      <c r="EJ17" s="1991"/>
      <c r="EK17" s="1991"/>
      <c r="EL17" s="1991"/>
      <c r="EM17" s="1991"/>
      <c r="EN17" s="1991"/>
      <c r="EO17" s="1991"/>
      <c r="EP17" s="264"/>
      <c r="EQ17" s="117"/>
      <c r="ER17" s="117"/>
      <c r="ES17" s="117"/>
      <c r="ET17" s="266"/>
      <c r="EU17" s="1991"/>
      <c r="EV17" s="1991"/>
      <c r="EW17" s="1991"/>
      <c r="EX17" s="1991"/>
      <c r="EY17" s="1991"/>
      <c r="EZ17" s="1991"/>
      <c r="FA17" s="1991"/>
      <c r="FB17" s="167"/>
      <c r="FC17" s="117"/>
      <c r="FD17" s="117"/>
      <c r="FE17" s="117"/>
      <c r="FF17" s="266"/>
      <c r="FG17" s="1991"/>
      <c r="FH17" s="1991"/>
      <c r="FI17" s="1991"/>
      <c r="FJ17" s="1991"/>
      <c r="FK17" s="1991"/>
      <c r="FL17" s="1991"/>
      <c r="FM17" s="1991"/>
      <c r="FN17" s="167"/>
      <c r="FO17" s="117"/>
      <c r="FP17" s="2127"/>
      <c r="FQ17" s="2081"/>
      <c r="FR17" s="2081"/>
      <c r="FS17" s="2128"/>
      <c r="FT17" s="989"/>
      <c r="FU17" s="2127"/>
      <c r="FV17" s="2081"/>
      <c r="FW17" s="2081"/>
      <c r="FX17" s="2128"/>
      <c r="FY17" s="87"/>
      <c r="FZ17" s="87"/>
      <c r="GA17" s="87"/>
      <c r="GC17" s="1853">
        <f>GC13+1</f>
        <v>2</v>
      </c>
      <c r="GD17" s="1853" t="e">
        <f>FIND(";",EquipmentNameList,GD13+1)</f>
        <v>#VALUE!</v>
      </c>
      <c r="GE17" s="1853" t="e">
        <f>FIND(";",EquipmentWeightList,GE13+1)</f>
        <v>#VALUE!</v>
      </c>
      <c r="GF17" s="1853" t="e">
        <f>FIND(";",EquipmentNumberList,GF13+1)</f>
        <v>#VALUE!</v>
      </c>
    </row>
    <row r="18" spans="1:190" ht="9" customHeight="1" thickBot="1">
      <c r="A18" s="109"/>
      <c r="B18" s="313"/>
      <c r="C18" s="2113"/>
      <c r="D18" s="2113"/>
      <c r="E18" s="2113"/>
      <c r="F18" s="2113"/>
      <c r="G18" s="2113"/>
      <c r="H18" s="2113"/>
      <c r="I18" s="2113"/>
      <c r="J18" s="2113"/>
      <c r="K18" s="2113"/>
      <c r="L18" s="2113"/>
      <c r="M18" s="2113"/>
      <c r="N18" s="2113"/>
      <c r="O18" s="2113"/>
      <c r="P18" s="2113"/>
      <c r="Q18" s="2113"/>
      <c r="R18" s="2113"/>
      <c r="S18" s="2113"/>
      <c r="T18" s="2113"/>
      <c r="U18" s="2113"/>
      <c r="V18" s="2113"/>
      <c r="W18" s="2113"/>
      <c r="X18" s="2113"/>
      <c r="Y18" s="2113"/>
      <c r="Z18" s="2113"/>
      <c r="AA18" s="2113"/>
      <c r="AB18" s="2113"/>
      <c r="AC18" s="2113"/>
      <c r="AD18" s="2113"/>
      <c r="AE18" s="2113"/>
      <c r="AF18" s="2113"/>
      <c r="AG18" s="2113"/>
      <c r="AH18" s="2113"/>
      <c r="AI18" s="2113"/>
      <c r="AJ18" s="2113"/>
      <c r="AK18" s="2113"/>
      <c r="AL18" s="2113"/>
      <c r="AM18" s="2113"/>
      <c r="AN18" s="2113"/>
      <c r="AO18" s="2113"/>
      <c r="AP18" s="2113"/>
      <c r="AQ18" s="2113"/>
      <c r="AR18" s="2113"/>
      <c r="AS18" s="2113"/>
      <c r="AT18" s="2113"/>
      <c r="AU18" s="2113"/>
      <c r="AV18" s="2113"/>
      <c r="AW18" s="2115"/>
      <c r="AX18" s="2115"/>
      <c r="AY18" s="2115"/>
      <c r="AZ18" s="2115"/>
      <c r="BA18" s="2115"/>
      <c r="BB18" s="2115"/>
      <c r="BC18" s="2115"/>
      <c r="BD18" s="2115"/>
      <c r="BE18" s="2115"/>
      <c r="BF18" s="405"/>
      <c r="BG18" s="407"/>
      <c r="BH18" s="301"/>
      <c r="BI18" s="301"/>
      <c r="BJ18" s="1205"/>
      <c r="BK18" s="1191"/>
      <c r="BL18" s="1209"/>
      <c r="BM18" s="1191"/>
      <c r="BN18" s="1206"/>
      <c r="BO18" s="1207"/>
      <c r="BP18" s="1207"/>
      <c r="BQ18" s="1207"/>
      <c r="BR18" s="1207"/>
      <c r="BS18" s="1207"/>
      <c r="BT18" s="1207"/>
      <c r="BU18" s="1207"/>
      <c r="BV18" s="1207"/>
      <c r="BW18" s="1207"/>
      <c r="BX18" s="1207"/>
      <c r="BY18" s="1207"/>
      <c r="BZ18" s="1207"/>
      <c r="CA18" s="2106"/>
      <c r="CB18" s="2106"/>
      <c r="CC18" s="2106"/>
      <c r="CD18" s="2106"/>
      <c r="CE18" s="2106"/>
      <c r="CF18" s="2106"/>
      <c r="CG18" s="2106"/>
      <c r="CH18" s="2106"/>
      <c r="CI18" s="2106"/>
      <c r="CJ18" s="2106"/>
      <c r="CK18" s="2106"/>
      <c r="CL18" s="2106"/>
      <c r="CM18" s="2106"/>
      <c r="CN18" s="2106"/>
      <c r="CO18" s="2106"/>
      <c r="CP18" s="2106"/>
      <c r="CQ18" s="2106"/>
      <c r="CR18" s="2106"/>
      <c r="CS18" s="2106"/>
      <c r="CT18" s="87"/>
      <c r="CU18" s="166"/>
      <c r="CV18" s="2107"/>
      <c r="CW18" s="2107"/>
      <c r="CX18" s="2107"/>
      <c r="CY18" s="2107"/>
      <c r="CZ18" s="2107"/>
      <c r="DA18" s="2107"/>
      <c r="DB18" s="2107"/>
      <c r="DC18" s="2107"/>
      <c r="DD18" s="167"/>
      <c r="DE18" s="87"/>
      <c r="DF18" s="117"/>
      <c r="DG18" s="117"/>
      <c r="DH18" s="117"/>
      <c r="DI18" s="87"/>
      <c r="DJ18" s="166"/>
      <c r="DK18" s="1991"/>
      <c r="DL18" s="1991"/>
      <c r="DM18" s="1991"/>
      <c r="DN18" s="1991"/>
      <c r="DO18" s="1991"/>
      <c r="DP18" s="1991"/>
      <c r="DQ18" s="1991"/>
      <c r="DR18" s="167"/>
      <c r="DS18" s="87"/>
      <c r="DT18" s="87"/>
      <c r="DU18" s="87"/>
      <c r="DV18" s="166"/>
      <c r="DW18" s="1991"/>
      <c r="DX18" s="1991"/>
      <c r="DY18" s="1991"/>
      <c r="DZ18" s="1991"/>
      <c r="EA18" s="1991"/>
      <c r="EB18" s="1991"/>
      <c r="EC18" s="1991"/>
      <c r="ED18" s="167"/>
      <c r="EE18" s="87"/>
      <c r="EF18" s="87"/>
      <c r="EG18" s="87"/>
      <c r="EH18" s="166"/>
      <c r="EI18" s="1991"/>
      <c r="EJ18" s="1991"/>
      <c r="EK18" s="1991"/>
      <c r="EL18" s="1991"/>
      <c r="EM18" s="1991"/>
      <c r="EN18" s="1991"/>
      <c r="EO18" s="1991"/>
      <c r="EP18" s="264"/>
      <c r="EQ18" s="87"/>
      <c r="ER18" s="87"/>
      <c r="ES18" s="87"/>
      <c r="ET18" s="266"/>
      <c r="EU18" s="1991"/>
      <c r="EV18" s="1991"/>
      <c r="EW18" s="1991"/>
      <c r="EX18" s="1991"/>
      <c r="EY18" s="1991"/>
      <c r="EZ18" s="1991"/>
      <c r="FA18" s="1991"/>
      <c r="FB18" s="167"/>
      <c r="FC18" s="87"/>
      <c r="FD18" s="87"/>
      <c r="FE18" s="87"/>
      <c r="FF18" s="266"/>
      <c r="FG18" s="1991"/>
      <c r="FH18" s="1991"/>
      <c r="FI18" s="1991"/>
      <c r="FJ18" s="1991"/>
      <c r="FK18" s="1991"/>
      <c r="FL18" s="1991"/>
      <c r="FM18" s="1991"/>
      <c r="FN18" s="167"/>
      <c r="FO18" s="87"/>
      <c r="FP18" s="2129"/>
      <c r="FQ18" s="2130"/>
      <c r="FR18" s="2130"/>
      <c r="FS18" s="2131"/>
      <c r="FT18" s="988"/>
      <c r="FU18" s="2129"/>
      <c r="FV18" s="2130"/>
      <c r="FW18" s="2130"/>
      <c r="FX18" s="2131"/>
      <c r="FY18" s="87"/>
      <c r="FZ18" s="87"/>
      <c r="GA18" s="87"/>
      <c r="GC18" s="1853"/>
      <c r="GD18" s="1853"/>
      <c r="GE18" s="1853"/>
      <c r="GF18" s="1853"/>
    </row>
    <row r="19" spans="1:190" ht="9" customHeight="1" thickBot="1">
      <c r="A19" s="109"/>
      <c r="B19" s="313"/>
      <c r="C19" s="2114"/>
      <c r="D19" s="2114"/>
      <c r="E19" s="2114"/>
      <c r="F19" s="2114"/>
      <c r="G19" s="2114"/>
      <c r="H19" s="2114"/>
      <c r="I19" s="2114"/>
      <c r="J19" s="2114"/>
      <c r="K19" s="2114"/>
      <c r="L19" s="2114"/>
      <c r="M19" s="2114"/>
      <c r="N19" s="2114"/>
      <c r="O19" s="2114"/>
      <c r="P19" s="2114"/>
      <c r="Q19" s="2114"/>
      <c r="R19" s="2114"/>
      <c r="S19" s="2114"/>
      <c r="T19" s="2114"/>
      <c r="U19" s="2114"/>
      <c r="V19" s="2114"/>
      <c r="W19" s="2114"/>
      <c r="X19" s="2114"/>
      <c r="Y19" s="2114"/>
      <c r="Z19" s="2114"/>
      <c r="AA19" s="2114"/>
      <c r="AB19" s="2114"/>
      <c r="AC19" s="2114"/>
      <c r="AD19" s="2114"/>
      <c r="AE19" s="2114"/>
      <c r="AF19" s="2114"/>
      <c r="AG19" s="2114"/>
      <c r="AH19" s="2114"/>
      <c r="AI19" s="2114"/>
      <c r="AJ19" s="2114"/>
      <c r="AK19" s="2114"/>
      <c r="AL19" s="2114"/>
      <c r="AM19" s="2114"/>
      <c r="AN19" s="2114"/>
      <c r="AO19" s="2114"/>
      <c r="AP19" s="2114"/>
      <c r="AQ19" s="2114"/>
      <c r="AR19" s="2114"/>
      <c r="AS19" s="2114"/>
      <c r="AT19" s="2114"/>
      <c r="AU19" s="2114"/>
      <c r="AV19" s="2114"/>
      <c r="AW19" s="2116"/>
      <c r="AX19" s="2116"/>
      <c r="AY19" s="2116"/>
      <c r="AZ19" s="2116"/>
      <c r="BA19" s="2116"/>
      <c r="BB19" s="2116"/>
      <c r="BC19" s="2116"/>
      <c r="BD19" s="2116"/>
      <c r="BE19" s="2116"/>
      <c r="BF19" s="405"/>
      <c r="BG19" s="407"/>
      <c r="BH19" s="301"/>
      <c r="BI19" s="301"/>
      <c r="BJ19" s="1205"/>
      <c r="BK19" s="1209"/>
      <c r="BL19" s="1191"/>
      <c r="BM19" s="1191"/>
      <c r="BN19" s="1206"/>
      <c r="BO19" s="1207"/>
      <c r="BP19" s="1207"/>
      <c r="BQ19" s="1207"/>
      <c r="BR19" s="1207"/>
      <c r="BS19" s="1207"/>
      <c r="BT19" s="1207"/>
      <c r="BU19" s="1207"/>
      <c r="BV19" s="1207"/>
      <c r="BW19" s="1207"/>
      <c r="BX19" s="1207"/>
      <c r="BY19" s="1207"/>
      <c r="BZ19" s="1207"/>
      <c r="CA19" s="2106"/>
      <c r="CB19" s="2106"/>
      <c r="CC19" s="2106"/>
      <c r="CD19" s="2106"/>
      <c r="CE19" s="2106"/>
      <c r="CF19" s="2106"/>
      <c r="CG19" s="2106"/>
      <c r="CH19" s="2106"/>
      <c r="CI19" s="2106"/>
      <c r="CJ19" s="2106"/>
      <c r="CK19" s="2106"/>
      <c r="CL19" s="2106"/>
      <c r="CM19" s="2106"/>
      <c r="CN19" s="2106"/>
      <c r="CO19" s="2106"/>
      <c r="CP19" s="2106"/>
      <c r="CQ19" s="2106"/>
      <c r="CR19" s="2106"/>
      <c r="CS19" s="2106"/>
      <c r="CT19" s="87"/>
      <c r="CU19" s="160"/>
      <c r="CV19" s="409"/>
      <c r="CW19" s="409"/>
      <c r="CX19" s="409"/>
      <c r="CY19" s="409"/>
      <c r="CZ19" s="409"/>
      <c r="DA19" s="409"/>
      <c r="DB19" s="409"/>
      <c r="DC19" s="409"/>
      <c r="DD19" s="158"/>
      <c r="DE19" s="87"/>
      <c r="DF19" s="87"/>
      <c r="DG19" s="87"/>
      <c r="DH19" s="87"/>
      <c r="DI19" s="87"/>
      <c r="DJ19" s="160"/>
      <c r="DK19" s="240"/>
      <c r="DL19" s="240"/>
      <c r="DM19" s="240"/>
      <c r="DN19" s="240"/>
      <c r="DO19" s="240"/>
      <c r="DP19" s="240"/>
      <c r="DQ19" s="240"/>
      <c r="DR19" s="158"/>
      <c r="DS19" s="87"/>
      <c r="DT19" s="87"/>
      <c r="DU19" s="87"/>
      <c r="DV19" s="160"/>
      <c r="DW19" s="240"/>
      <c r="DX19" s="240"/>
      <c r="DY19" s="240"/>
      <c r="DZ19" s="240"/>
      <c r="EA19" s="240"/>
      <c r="EB19" s="240"/>
      <c r="EC19" s="240"/>
      <c r="ED19" s="158"/>
      <c r="EE19" s="87"/>
      <c r="EF19" s="87"/>
      <c r="EG19" s="87"/>
      <c r="EH19" s="160"/>
      <c r="EI19" s="204"/>
      <c r="EJ19" s="204"/>
      <c r="EK19" s="204"/>
      <c r="EL19" s="204"/>
      <c r="EM19" s="204"/>
      <c r="EN19" s="204"/>
      <c r="EO19" s="204"/>
      <c r="EP19" s="274"/>
      <c r="EQ19" s="87"/>
      <c r="ER19" s="87"/>
      <c r="ES19" s="87"/>
      <c r="ET19" s="203"/>
      <c r="EU19" s="204"/>
      <c r="EV19" s="204"/>
      <c r="EW19" s="204"/>
      <c r="EX19" s="204"/>
      <c r="EY19" s="204"/>
      <c r="EZ19" s="204"/>
      <c r="FA19" s="204"/>
      <c r="FB19" s="158"/>
      <c r="FC19" s="87"/>
      <c r="FD19" s="87"/>
      <c r="FE19" s="87"/>
      <c r="FF19" s="203"/>
      <c r="FG19" s="204"/>
      <c r="FH19" s="204"/>
      <c r="FI19" s="204"/>
      <c r="FJ19" s="204"/>
      <c r="FK19" s="204"/>
      <c r="FL19" s="204"/>
      <c r="FM19" s="204"/>
      <c r="FN19" s="158"/>
      <c r="FO19" s="87"/>
      <c r="FP19" s="988"/>
      <c r="FQ19" s="988"/>
      <c r="FR19" s="988"/>
      <c r="FS19" s="988"/>
      <c r="FT19" s="988"/>
      <c r="FU19" s="988"/>
      <c r="FV19" s="988"/>
      <c r="FW19" s="988"/>
      <c r="FX19" s="988"/>
      <c r="FY19" s="87"/>
      <c r="FZ19" s="87"/>
      <c r="GA19" s="87"/>
      <c r="GC19" s="1853"/>
      <c r="GD19" s="1853"/>
      <c r="GE19" s="1853"/>
      <c r="GF19" s="1853"/>
    </row>
    <row r="20" spans="1:190" ht="9" customHeight="1" thickBot="1">
      <c r="A20" s="109"/>
      <c r="B20" s="313"/>
      <c r="C20" s="301"/>
      <c r="D20" s="301"/>
      <c r="E20" s="643"/>
      <c r="F20" s="643"/>
      <c r="G20" s="643"/>
      <c r="H20" s="643"/>
      <c r="I20" s="643"/>
      <c r="J20" s="643"/>
      <c r="K20" s="301"/>
      <c r="L20" s="301"/>
      <c r="M20" s="301"/>
      <c r="N20" s="301"/>
      <c r="O20" s="301"/>
      <c r="P20" s="301"/>
      <c r="Q20" s="301"/>
      <c r="R20" s="301"/>
      <c r="S20" s="301"/>
      <c r="T20" s="301"/>
      <c r="U20" s="301"/>
      <c r="V20" s="301"/>
      <c r="W20" s="301"/>
      <c r="X20" s="301"/>
      <c r="Y20" s="301"/>
      <c r="Z20" s="301"/>
      <c r="AA20" s="301"/>
      <c r="AB20" s="301"/>
      <c r="AC20" s="301"/>
      <c r="AD20" s="301"/>
      <c r="AE20" s="301"/>
      <c r="AF20" s="301"/>
      <c r="AG20" s="301"/>
      <c r="AH20" s="301"/>
      <c r="AI20" s="301"/>
      <c r="AJ20" s="301"/>
      <c r="AK20" s="301"/>
      <c r="AL20" s="301"/>
      <c r="AM20" s="301"/>
      <c r="AN20" s="301"/>
      <c r="AO20" s="301"/>
      <c r="AP20" s="301"/>
      <c r="AQ20" s="301"/>
      <c r="AR20" s="301"/>
      <c r="AS20" s="301"/>
      <c r="AT20" s="301"/>
      <c r="AU20" s="301"/>
      <c r="AV20" s="301"/>
      <c r="AW20" s="1087"/>
      <c r="AX20" s="1087"/>
      <c r="AY20" s="1087"/>
      <c r="AZ20" s="1087"/>
      <c r="BA20" s="1087"/>
      <c r="BB20" s="1087"/>
      <c r="BC20" s="1087"/>
      <c r="BD20" s="1087"/>
      <c r="BE20" s="1087"/>
      <c r="BF20" s="405"/>
      <c r="BG20" s="406"/>
      <c r="BH20" s="301"/>
      <c r="BI20" s="301"/>
      <c r="BJ20" s="1210"/>
      <c r="BK20" s="1191"/>
      <c r="BL20" s="1191"/>
      <c r="BM20" s="1191"/>
      <c r="BN20" s="1191"/>
      <c r="BO20" s="1192"/>
      <c r="BP20" s="1192"/>
      <c r="BQ20" s="1192"/>
      <c r="BR20" s="1192"/>
      <c r="BS20" s="1192"/>
      <c r="BT20" s="1192"/>
      <c r="BU20" s="1192"/>
      <c r="BV20" s="1192"/>
      <c r="BW20" s="1192"/>
      <c r="BX20" s="1192"/>
      <c r="BY20" s="1192"/>
      <c r="BZ20" s="1192"/>
      <c r="CA20" s="1192"/>
      <c r="CB20" s="1192"/>
      <c r="CC20" s="1192"/>
      <c r="CD20" s="1192"/>
      <c r="CE20" s="1192"/>
      <c r="CF20" s="1192"/>
      <c r="CG20" s="1192"/>
      <c r="CH20" s="1192"/>
      <c r="CI20" s="1192"/>
      <c r="CJ20" s="1192"/>
      <c r="CK20" s="1192"/>
      <c r="CL20" s="1192"/>
      <c r="CM20" s="1192"/>
      <c r="CN20" s="1192"/>
      <c r="CO20" s="1192"/>
      <c r="CP20" s="1192"/>
      <c r="CQ20" s="1192"/>
      <c r="CR20" s="1192"/>
      <c r="CS20" s="1192"/>
      <c r="CT20" s="87"/>
      <c r="CU20" s="87"/>
      <c r="CV20" s="410"/>
      <c r="CW20" s="410"/>
      <c r="CX20" s="410"/>
      <c r="CY20" s="410"/>
      <c r="CZ20" s="410"/>
      <c r="DA20" s="410"/>
      <c r="DB20" s="410"/>
      <c r="DC20" s="410"/>
      <c r="DD20" s="87"/>
      <c r="DE20" s="87"/>
      <c r="DF20" s="87"/>
      <c r="DG20" s="87"/>
      <c r="DH20" s="87"/>
      <c r="DI20" s="87"/>
      <c r="DJ20" s="87"/>
      <c r="DK20" s="87"/>
      <c r="DL20" s="87"/>
      <c r="DM20" s="87"/>
      <c r="DN20" s="87"/>
      <c r="DO20" s="87"/>
      <c r="DP20" s="87"/>
      <c r="DQ20" s="87"/>
      <c r="DR20" s="87"/>
      <c r="DS20" s="87"/>
      <c r="DT20" s="87"/>
      <c r="DU20" s="87"/>
      <c r="DV20" s="87"/>
      <c r="DW20" s="87"/>
      <c r="DX20" s="87"/>
      <c r="DY20" s="87"/>
      <c r="DZ20" s="87"/>
      <c r="EA20" s="87"/>
      <c r="EB20" s="87"/>
      <c r="EC20" s="87"/>
      <c r="ED20" s="87"/>
      <c r="EE20" s="87"/>
      <c r="EF20" s="87"/>
      <c r="EG20" s="87"/>
      <c r="EH20" s="87"/>
      <c r="EI20" s="87"/>
      <c r="EJ20" s="87"/>
      <c r="EK20" s="87"/>
      <c r="EL20" s="87"/>
      <c r="EM20" s="87"/>
      <c r="EN20" s="87"/>
      <c r="EO20" s="87"/>
      <c r="EP20" s="87"/>
      <c r="EQ20" s="87"/>
      <c r="ER20" s="87"/>
      <c r="ES20" s="87"/>
      <c r="ET20" s="87"/>
      <c r="EU20" s="87"/>
      <c r="EV20" s="87"/>
      <c r="EW20" s="87"/>
      <c r="EX20" s="87"/>
      <c r="EY20" s="87"/>
      <c r="EZ20" s="87"/>
      <c r="FA20" s="87"/>
      <c r="FB20" s="87"/>
      <c r="FC20" s="87"/>
      <c r="FD20" s="87"/>
      <c r="FE20" s="87"/>
      <c r="FF20" s="87"/>
      <c r="FG20" s="87"/>
      <c r="FH20" s="87"/>
      <c r="FI20" s="87"/>
      <c r="FJ20" s="87"/>
      <c r="FK20" s="87"/>
      <c r="FL20" s="87"/>
      <c r="FM20" s="87"/>
      <c r="FN20" s="87"/>
      <c r="FO20" s="87"/>
      <c r="FP20" s="988"/>
      <c r="FQ20" s="988"/>
      <c r="FR20" s="988"/>
      <c r="FS20" s="988"/>
      <c r="FT20" s="988"/>
      <c r="FU20" s="988"/>
      <c r="FV20" s="988"/>
      <c r="FW20" s="988"/>
      <c r="FX20" s="988"/>
      <c r="FY20" s="87"/>
      <c r="FZ20" s="87"/>
      <c r="GA20" s="87"/>
      <c r="GC20" s="714"/>
      <c r="GD20" s="714"/>
      <c r="GE20" s="714"/>
      <c r="GF20" s="714"/>
    </row>
    <row r="21" spans="1:190" ht="9" customHeight="1" thickBot="1">
      <c r="A21" s="109"/>
      <c r="B21" s="313"/>
      <c r="C21" s="2113" t="str">
        <f>IF(Race="","",IF(NOT(ISERROR(GD21)),MID(EquipmentNameList,GD17+1,GD21-GD17-1),""))</f>
        <v/>
      </c>
      <c r="D21" s="2113"/>
      <c r="E21" s="2113"/>
      <c r="F21" s="2113"/>
      <c r="G21" s="2113"/>
      <c r="H21" s="2113"/>
      <c r="I21" s="2113"/>
      <c r="J21" s="2113"/>
      <c r="K21" s="2113"/>
      <c r="L21" s="2113"/>
      <c r="M21" s="2113"/>
      <c r="N21" s="2113"/>
      <c r="O21" s="2113"/>
      <c r="P21" s="2113"/>
      <c r="Q21" s="2113"/>
      <c r="R21" s="2113"/>
      <c r="S21" s="2113"/>
      <c r="T21" s="2113"/>
      <c r="U21" s="2113"/>
      <c r="V21" s="2113"/>
      <c r="W21" s="2113"/>
      <c r="X21" s="2113"/>
      <c r="Y21" s="2113"/>
      <c r="Z21" s="2113"/>
      <c r="AA21" s="2113"/>
      <c r="AB21" s="2113"/>
      <c r="AC21" s="2113"/>
      <c r="AD21" s="2113"/>
      <c r="AE21" s="2113"/>
      <c r="AF21" s="2113"/>
      <c r="AG21" s="2113"/>
      <c r="AH21" s="2113"/>
      <c r="AI21" s="2113"/>
      <c r="AJ21" s="2113"/>
      <c r="AK21" s="2113"/>
      <c r="AL21" s="2113"/>
      <c r="AM21" s="2113"/>
      <c r="AN21" s="2113"/>
      <c r="AO21" s="2113"/>
      <c r="AP21" s="2113"/>
      <c r="AQ21" s="2113"/>
      <c r="AR21" s="2113"/>
      <c r="AS21" s="2113"/>
      <c r="AT21" s="2113"/>
      <c r="AU21" s="2113"/>
      <c r="AV21" s="2113"/>
      <c r="AW21" s="2115" t="str">
        <f>IF(Race="","",IF(NOT(ISERROR(GE21)),VALUE(MID(EquipmentWeightList,GE17+1,GE21-GE17-1)),""))</f>
        <v/>
      </c>
      <c r="AX21" s="2115"/>
      <c r="AY21" s="2115"/>
      <c r="AZ21" s="2115"/>
      <c r="BA21" s="2115"/>
      <c r="BB21" s="2115"/>
      <c r="BC21" s="2115"/>
      <c r="BD21" s="2115"/>
      <c r="BE21" s="2115"/>
      <c r="BF21" s="405"/>
      <c r="BG21" s="406"/>
      <c r="BH21" s="301"/>
      <c r="BI21" s="405"/>
      <c r="BJ21" s="1205"/>
      <c r="BK21" s="1192"/>
      <c r="BL21" s="1192"/>
      <c r="BM21" s="1192"/>
      <c r="BN21" s="2106" t="s">
        <v>228</v>
      </c>
      <c r="BO21" s="2106"/>
      <c r="BP21" s="2106"/>
      <c r="BQ21" s="2106"/>
      <c r="BR21" s="2106"/>
      <c r="BS21" s="2106"/>
      <c r="BT21" s="2106"/>
      <c r="BU21" s="2106"/>
      <c r="BV21" s="2106"/>
      <c r="BW21" s="2106"/>
      <c r="BX21" s="2106"/>
      <c r="BY21" s="2106"/>
      <c r="BZ21" s="2106"/>
      <c r="CA21" s="2106"/>
      <c r="CB21" s="2106"/>
      <c r="CC21" s="2106"/>
      <c r="CD21" s="2106"/>
      <c r="CE21" s="2106"/>
      <c r="CF21" s="2106"/>
      <c r="CG21" s="2106"/>
      <c r="CH21" s="2106"/>
      <c r="CI21" s="2106"/>
      <c r="CJ21" s="2106"/>
      <c r="CK21" s="2106"/>
      <c r="CL21" s="2106"/>
      <c r="CM21" s="2106"/>
      <c r="CN21" s="2106"/>
      <c r="CO21" s="2106"/>
      <c r="CP21" s="2106"/>
      <c r="CQ21" s="2106"/>
      <c r="CR21" s="2106"/>
      <c r="CS21" s="2106"/>
      <c r="CT21" s="87"/>
      <c r="CU21" s="158" t="e">
        <f>HeroicLvl+ArmourFort</f>
        <v>#NAME?</v>
      </c>
      <c r="CV21" s="411"/>
      <c r="CW21" s="411"/>
      <c r="CX21" s="411"/>
      <c r="CY21" s="411"/>
      <c r="CZ21" s="411"/>
      <c r="DA21" s="411"/>
      <c r="DB21" s="411"/>
      <c r="DC21" s="411"/>
      <c r="DD21" s="160"/>
      <c r="DE21" s="87"/>
      <c r="DF21" s="87"/>
      <c r="DG21" s="87"/>
      <c r="DH21" s="87"/>
      <c r="DI21" s="87"/>
      <c r="DJ21" s="158" t="e">
        <f>HeroicLvl+ArmourFort</f>
        <v>#NAME?</v>
      </c>
      <c r="DK21" s="159"/>
      <c r="DL21" s="159"/>
      <c r="DM21" s="159"/>
      <c r="DN21" s="159"/>
      <c r="DO21" s="159"/>
      <c r="DP21" s="159"/>
      <c r="DQ21" s="159"/>
      <c r="DR21" s="160"/>
      <c r="DS21" s="87"/>
      <c r="DT21" s="87"/>
      <c r="DU21" s="87"/>
      <c r="DV21" s="158"/>
      <c r="DW21" s="159"/>
      <c r="DX21" s="159"/>
      <c r="DY21" s="159"/>
      <c r="DZ21" s="159"/>
      <c r="EA21" s="159"/>
      <c r="EB21" s="159"/>
      <c r="EC21" s="159"/>
      <c r="ED21" s="160"/>
      <c r="EE21" s="87"/>
      <c r="EF21" s="87"/>
      <c r="EG21" s="87"/>
      <c r="EH21" s="158"/>
      <c r="EI21" s="184"/>
      <c r="EJ21" s="184"/>
      <c r="EK21" s="184"/>
      <c r="EL21" s="184"/>
      <c r="EM21" s="184"/>
      <c r="EN21" s="184"/>
      <c r="EO21" s="184"/>
      <c r="EP21" s="160"/>
      <c r="EQ21" s="87"/>
      <c r="ER21" s="87"/>
      <c r="ES21" s="87"/>
      <c r="ET21" s="158"/>
      <c r="EU21" s="1649"/>
      <c r="EV21" s="1649"/>
      <c r="EW21" s="1649"/>
      <c r="EX21" s="1649"/>
      <c r="EY21" s="1649"/>
      <c r="EZ21" s="1649"/>
      <c r="FA21" s="1649"/>
      <c r="FB21" s="160"/>
      <c r="FC21" s="87"/>
      <c r="FD21" s="87"/>
      <c r="FE21" s="87"/>
      <c r="FF21" s="158"/>
      <c r="FG21" s="159"/>
      <c r="FH21" s="159"/>
      <c r="FI21" s="159"/>
      <c r="FJ21" s="159"/>
      <c r="FK21" s="159"/>
      <c r="FL21" s="159"/>
      <c r="FM21" s="159"/>
      <c r="FN21" s="160"/>
      <c r="FO21" s="87"/>
      <c r="FP21" s="988"/>
      <c r="FQ21" s="988"/>
      <c r="FR21" s="988"/>
      <c r="FS21" s="988"/>
      <c r="FT21" s="988"/>
      <c r="FU21" s="988"/>
      <c r="FV21" s="988"/>
      <c r="FW21" s="988"/>
      <c r="FX21" s="988"/>
      <c r="FY21" s="87"/>
      <c r="FZ21" s="87"/>
      <c r="GA21" s="87"/>
      <c r="GC21" s="1853">
        <f>GC17+1</f>
        <v>3</v>
      </c>
      <c r="GD21" s="1853" t="e">
        <f>FIND(";",EquipmentNameList,GD17+1)</f>
        <v>#VALUE!</v>
      </c>
      <c r="GE21" s="1853" t="e">
        <f>FIND(";",EquipmentWeightList,GE17+1)</f>
        <v>#VALUE!</v>
      </c>
      <c r="GF21" s="1853" t="e">
        <f>FIND(";",EquipmentNumberList,GF17+1)</f>
        <v>#VALUE!</v>
      </c>
    </row>
    <row r="22" spans="1:190" ht="9" customHeight="1">
      <c r="A22" s="109"/>
      <c r="B22" s="313"/>
      <c r="C22" s="2113"/>
      <c r="D22" s="2113"/>
      <c r="E22" s="2113"/>
      <c r="F22" s="2113"/>
      <c r="G22" s="2113"/>
      <c r="H22" s="2113"/>
      <c r="I22" s="2113"/>
      <c r="J22" s="2113"/>
      <c r="K22" s="2113"/>
      <c r="L22" s="2113"/>
      <c r="M22" s="2113"/>
      <c r="N22" s="2113"/>
      <c r="O22" s="2113"/>
      <c r="P22" s="2113"/>
      <c r="Q22" s="2113"/>
      <c r="R22" s="2113"/>
      <c r="S22" s="2113"/>
      <c r="T22" s="2113"/>
      <c r="U22" s="2113"/>
      <c r="V22" s="2113"/>
      <c r="W22" s="2113"/>
      <c r="X22" s="2113"/>
      <c r="Y22" s="2113"/>
      <c r="Z22" s="2113"/>
      <c r="AA22" s="2113"/>
      <c r="AB22" s="2113"/>
      <c r="AC22" s="2113"/>
      <c r="AD22" s="2113"/>
      <c r="AE22" s="2113"/>
      <c r="AF22" s="2113"/>
      <c r="AG22" s="2113"/>
      <c r="AH22" s="2113"/>
      <c r="AI22" s="2113"/>
      <c r="AJ22" s="2113"/>
      <c r="AK22" s="2113"/>
      <c r="AL22" s="2113"/>
      <c r="AM22" s="2113"/>
      <c r="AN22" s="2113"/>
      <c r="AO22" s="2113"/>
      <c r="AP22" s="2113"/>
      <c r="AQ22" s="2113"/>
      <c r="AR22" s="2113"/>
      <c r="AS22" s="2113"/>
      <c r="AT22" s="2113"/>
      <c r="AU22" s="2113"/>
      <c r="AV22" s="2113"/>
      <c r="AW22" s="2115"/>
      <c r="AX22" s="2115"/>
      <c r="AY22" s="2115"/>
      <c r="AZ22" s="2115"/>
      <c r="BA22" s="2115"/>
      <c r="BB22" s="2115"/>
      <c r="BC22" s="2115"/>
      <c r="BD22" s="2115"/>
      <c r="BE22" s="2115"/>
      <c r="BF22" s="405"/>
      <c r="BG22" s="407"/>
      <c r="BH22" s="301"/>
      <c r="BI22" s="405"/>
      <c r="BJ22" s="1205"/>
      <c r="BK22" s="1192"/>
      <c r="BL22" s="1192"/>
      <c r="BM22" s="1192"/>
      <c r="BN22" s="2106"/>
      <c r="BO22" s="2106"/>
      <c r="BP22" s="2106"/>
      <c r="BQ22" s="2106"/>
      <c r="BR22" s="2106"/>
      <c r="BS22" s="2106"/>
      <c r="BT22" s="2106"/>
      <c r="BU22" s="2106"/>
      <c r="BV22" s="2106"/>
      <c r="BW22" s="2106"/>
      <c r="BX22" s="2106"/>
      <c r="BY22" s="2106"/>
      <c r="BZ22" s="2106"/>
      <c r="CA22" s="2106"/>
      <c r="CB22" s="2106"/>
      <c r="CC22" s="2106"/>
      <c r="CD22" s="2106"/>
      <c r="CE22" s="2106"/>
      <c r="CF22" s="2106"/>
      <c r="CG22" s="2106"/>
      <c r="CH22" s="2106"/>
      <c r="CI22" s="2106"/>
      <c r="CJ22" s="2106"/>
      <c r="CK22" s="2106"/>
      <c r="CL22" s="2106"/>
      <c r="CM22" s="2106"/>
      <c r="CN22" s="2106"/>
      <c r="CO22" s="2106"/>
      <c r="CP22" s="2106"/>
      <c r="CQ22" s="2106"/>
      <c r="CR22" s="2106"/>
      <c r="CS22" s="2106"/>
      <c r="CT22" s="87"/>
      <c r="CU22" s="166"/>
      <c r="CV22" s="2107" t="e">
        <f ca="1">Climb</f>
        <v>#N/A</v>
      </c>
      <c r="CW22" s="2107"/>
      <c r="CX22" s="2107"/>
      <c r="CY22" s="2107"/>
      <c r="CZ22" s="2107"/>
      <c r="DA22" s="2107"/>
      <c r="DB22" s="2107"/>
      <c r="DC22" s="2107"/>
      <c r="DD22" s="167"/>
      <c r="DE22" s="87"/>
      <c r="DF22" s="117"/>
      <c r="DG22" s="117"/>
      <c r="DH22" s="117"/>
      <c r="DI22" s="87"/>
      <c r="DJ22" s="166"/>
      <c r="DK22" s="1991">
        <f>ROUNDDOWN(CharacterLevel/2,0)</f>
        <v>0</v>
      </c>
      <c r="DL22" s="1991"/>
      <c r="DM22" s="1991"/>
      <c r="DN22" s="1991"/>
      <c r="DO22" s="1991"/>
      <c r="DP22" s="1991"/>
      <c r="DQ22" s="1991"/>
      <c r="DR22" s="167"/>
      <c r="DS22" s="87"/>
      <c r="DT22" s="87"/>
      <c r="DU22" s="87"/>
      <c r="DV22" s="166"/>
      <c r="DW22" s="1991" t="str">
        <f>StrMod</f>
        <v/>
      </c>
      <c r="DX22" s="1991"/>
      <c r="DY22" s="1991"/>
      <c r="DZ22" s="1991"/>
      <c r="EA22" s="1991"/>
      <c r="EB22" s="1991"/>
      <c r="EC22" s="1991"/>
      <c r="ED22" s="167"/>
      <c r="EE22" s="87"/>
      <c r="EF22" s="87"/>
      <c r="EG22" s="87"/>
      <c r="EH22" s="166"/>
      <c r="EI22" s="1991" t="str">
        <f>IF(CharacterLevel&gt;0,IF(OR(INDEX(SkillTable,MATCH(BN21,SkillList,0),4)="Yes",INDEX(SkillTable,MATCH(BN21,SkillList,0),5)="Yes"),5,0),"")</f>
        <v/>
      </c>
      <c r="EJ22" s="1991"/>
      <c r="EK22" s="1991"/>
      <c r="EL22" s="1991"/>
      <c r="EM22" s="1991"/>
      <c r="EN22" s="1991"/>
      <c r="EO22" s="1991"/>
      <c r="EP22" s="264"/>
      <c r="EQ22" s="265"/>
      <c r="ER22" s="265"/>
      <c r="ES22" s="265"/>
      <c r="ET22" s="266"/>
      <c r="EU22" s="1991" t="b">
        <f>IF(CharacterLevel&gt;0,IF(Skills!R12="Yes",5,0))</f>
        <v>0</v>
      </c>
      <c r="EV22" s="1991"/>
      <c r="EW22" s="1991"/>
      <c r="EX22" s="1991"/>
      <c r="EY22" s="1991"/>
      <c r="EZ22" s="1991"/>
      <c r="FA22" s="1991"/>
      <c r="FB22" s="167"/>
      <c r="FC22" s="265"/>
      <c r="FD22" s="265"/>
      <c r="FE22" s="265"/>
      <c r="FF22" s="266"/>
      <c r="FG22" s="1991">
        <f>ArmorPenalty+INDEX(SkillTable,MATCH(BN21,SkillList,0),12)</f>
        <v>0</v>
      </c>
      <c r="FH22" s="1991"/>
      <c r="FI22" s="1991"/>
      <c r="FJ22" s="1991"/>
      <c r="FK22" s="1991"/>
      <c r="FL22" s="1991"/>
      <c r="FM22" s="1991"/>
      <c r="FN22" s="167"/>
      <c r="FO22" s="87"/>
      <c r="FP22" s="2124" t="str">
        <f>IF(INDEX(SkillTable,MATCH(BN21,SkillList,0),77)&lt;&gt;"","×","")</f>
        <v/>
      </c>
      <c r="FQ22" s="2125"/>
      <c r="FR22" s="2125"/>
      <c r="FS22" s="2126"/>
      <c r="FT22" s="988"/>
      <c r="FU22" s="2124" t="str">
        <f>IF(INDEX(SkillTable,MATCH(BN21,SkillList,0),31)&lt;&gt;"","×","")</f>
        <v/>
      </c>
      <c r="FV22" s="2125"/>
      <c r="FW22" s="2125"/>
      <c r="FX22" s="2126"/>
      <c r="FY22" s="87"/>
      <c r="FZ22" s="87"/>
      <c r="GA22" s="87"/>
      <c r="GC22" s="1853"/>
      <c r="GD22" s="1853"/>
      <c r="GE22" s="1853"/>
      <c r="GF22" s="1853"/>
      <c r="GH22" s="1135" t="e">
        <f ca="1">IF(INDEX(SkillTable,MATCH(BN21,SkillList,0),14),1,0)</f>
        <v>#VALUE!</v>
      </c>
    </row>
    <row r="23" spans="1:190" ht="9" customHeight="1" thickBot="1">
      <c r="A23" s="109"/>
      <c r="B23" s="313"/>
      <c r="C23" s="2114"/>
      <c r="D23" s="2114"/>
      <c r="E23" s="2114"/>
      <c r="F23" s="2114"/>
      <c r="G23" s="2114"/>
      <c r="H23" s="2114"/>
      <c r="I23" s="2114"/>
      <c r="J23" s="2114"/>
      <c r="K23" s="2114"/>
      <c r="L23" s="2114"/>
      <c r="M23" s="2114"/>
      <c r="N23" s="2114"/>
      <c r="O23" s="2114"/>
      <c r="P23" s="2114"/>
      <c r="Q23" s="2114"/>
      <c r="R23" s="2114"/>
      <c r="S23" s="2114"/>
      <c r="T23" s="2114"/>
      <c r="U23" s="2114"/>
      <c r="V23" s="2114"/>
      <c r="W23" s="2114"/>
      <c r="X23" s="2114"/>
      <c r="Y23" s="2114"/>
      <c r="Z23" s="2114"/>
      <c r="AA23" s="2114"/>
      <c r="AB23" s="2114"/>
      <c r="AC23" s="2114"/>
      <c r="AD23" s="2114"/>
      <c r="AE23" s="2114"/>
      <c r="AF23" s="2114"/>
      <c r="AG23" s="2114"/>
      <c r="AH23" s="2114"/>
      <c r="AI23" s="2114"/>
      <c r="AJ23" s="2114"/>
      <c r="AK23" s="2114"/>
      <c r="AL23" s="2114"/>
      <c r="AM23" s="2114"/>
      <c r="AN23" s="2114"/>
      <c r="AO23" s="2114"/>
      <c r="AP23" s="2114"/>
      <c r="AQ23" s="2114"/>
      <c r="AR23" s="2114"/>
      <c r="AS23" s="2114"/>
      <c r="AT23" s="2114"/>
      <c r="AU23" s="2114"/>
      <c r="AV23" s="2114"/>
      <c r="AW23" s="2116"/>
      <c r="AX23" s="2116"/>
      <c r="AY23" s="2116"/>
      <c r="AZ23" s="2116"/>
      <c r="BA23" s="2116"/>
      <c r="BB23" s="2116"/>
      <c r="BC23" s="2116"/>
      <c r="BD23" s="2116"/>
      <c r="BE23" s="2116"/>
      <c r="BF23" s="405"/>
      <c r="BG23" s="407"/>
      <c r="BH23" s="301"/>
      <c r="BI23" s="405"/>
      <c r="BJ23" s="1205"/>
      <c r="BK23" s="1192"/>
      <c r="BL23" s="1192"/>
      <c r="BM23" s="1192"/>
      <c r="BN23" s="2106"/>
      <c r="BO23" s="2106"/>
      <c r="BP23" s="2106"/>
      <c r="BQ23" s="2106"/>
      <c r="BR23" s="2106"/>
      <c r="BS23" s="2106"/>
      <c r="BT23" s="2106"/>
      <c r="BU23" s="2106"/>
      <c r="BV23" s="2106"/>
      <c r="BW23" s="2106"/>
      <c r="BX23" s="2106"/>
      <c r="BY23" s="2106"/>
      <c r="BZ23" s="2106"/>
      <c r="CA23" s="2106"/>
      <c r="CB23" s="2106"/>
      <c r="CC23" s="2106"/>
      <c r="CD23" s="2106"/>
      <c r="CE23" s="2106"/>
      <c r="CF23" s="2106"/>
      <c r="CG23" s="2106"/>
      <c r="CH23" s="2106"/>
      <c r="CI23" s="2106"/>
      <c r="CJ23" s="2106"/>
      <c r="CK23" s="2106"/>
      <c r="CL23" s="2106"/>
      <c r="CM23" s="2106"/>
      <c r="CN23" s="2106"/>
      <c r="CO23" s="2106"/>
      <c r="CP23" s="2106"/>
      <c r="CQ23" s="2106"/>
      <c r="CR23" s="2106"/>
      <c r="CS23" s="2106"/>
      <c r="CT23" s="87"/>
      <c r="CU23" s="166"/>
      <c r="CV23" s="2107"/>
      <c r="CW23" s="2107"/>
      <c r="CX23" s="2107"/>
      <c r="CY23" s="2107"/>
      <c r="CZ23" s="2107"/>
      <c r="DA23" s="2107"/>
      <c r="DB23" s="2107"/>
      <c r="DC23" s="2107"/>
      <c r="DD23" s="167"/>
      <c r="DE23" s="87"/>
      <c r="DF23" s="87"/>
      <c r="DG23" s="87"/>
      <c r="DH23" s="87"/>
      <c r="DI23" s="87"/>
      <c r="DJ23" s="166"/>
      <c r="DK23" s="1991"/>
      <c r="DL23" s="1991"/>
      <c r="DM23" s="1991"/>
      <c r="DN23" s="1991"/>
      <c r="DO23" s="1991"/>
      <c r="DP23" s="1991"/>
      <c r="DQ23" s="1991"/>
      <c r="DR23" s="167"/>
      <c r="DS23" s="117"/>
      <c r="DT23" s="117"/>
      <c r="DU23" s="117"/>
      <c r="DV23" s="166"/>
      <c r="DW23" s="1991"/>
      <c r="DX23" s="1991"/>
      <c r="DY23" s="1991"/>
      <c r="DZ23" s="1991"/>
      <c r="EA23" s="1991"/>
      <c r="EB23" s="1991"/>
      <c r="EC23" s="1991"/>
      <c r="ED23" s="167"/>
      <c r="EE23" s="117"/>
      <c r="EF23" s="117"/>
      <c r="EG23" s="117"/>
      <c r="EH23" s="166"/>
      <c r="EI23" s="1991"/>
      <c r="EJ23" s="1991"/>
      <c r="EK23" s="1991"/>
      <c r="EL23" s="1991"/>
      <c r="EM23" s="1991"/>
      <c r="EN23" s="1991"/>
      <c r="EO23" s="1991"/>
      <c r="EP23" s="264"/>
      <c r="EQ23" s="117"/>
      <c r="ER23" s="117"/>
      <c r="ES23" s="117"/>
      <c r="ET23" s="266"/>
      <c r="EU23" s="1991"/>
      <c r="EV23" s="1991"/>
      <c r="EW23" s="1991"/>
      <c r="EX23" s="1991"/>
      <c r="EY23" s="1991"/>
      <c r="EZ23" s="1991"/>
      <c r="FA23" s="1991"/>
      <c r="FB23" s="167"/>
      <c r="FC23" s="117"/>
      <c r="FD23" s="117"/>
      <c r="FE23" s="117"/>
      <c r="FF23" s="266"/>
      <c r="FG23" s="1991"/>
      <c r="FH23" s="1991"/>
      <c r="FI23" s="1991"/>
      <c r="FJ23" s="1991"/>
      <c r="FK23" s="1991"/>
      <c r="FL23" s="1991"/>
      <c r="FM23" s="1991"/>
      <c r="FN23" s="167"/>
      <c r="FO23" s="117"/>
      <c r="FP23" s="2127"/>
      <c r="FQ23" s="2081"/>
      <c r="FR23" s="2081"/>
      <c r="FS23" s="2128"/>
      <c r="FT23" s="989"/>
      <c r="FU23" s="2127"/>
      <c r="FV23" s="2081"/>
      <c r="FW23" s="2081"/>
      <c r="FX23" s="2128"/>
      <c r="FY23" s="87"/>
      <c r="FZ23" s="87"/>
      <c r="GA23" s="87"/>
      <c r="GC23" s="1853"/>
      <c r="GD23" s="1853"/>
      <c r="GE23" s="1853"/>
      <c r="GF23" s="1853"/>
    </row>
    <row r="24" spans="1:190" ht="9" customHeight="1" thickBot="1">
      <c r="A24" s="109"/>
      <c r="B24" s="313"/>
      <c r="C24" s="301"/>
      <c r="D24" s="301"/>
      <c r="E24" s="643"/>
      <c r="F24" s="643"/>
      <c r="G24" s="643"/>
      <c r="H24" s="643"/>
      <c r="I24" s="643"/>
      <c r="J24" s="643"/>
      <c r="K24" s="301"/>
      <c r="L24" s="301"/>
      <c r="M24" s="301"/>
      <c r="N24" s="301"/>
      <c r="O24" s="301"/>
      <c r="P24" s="301"/>
      <c r="Q24" s="301"/>
      <c r="R24" s="301"/>
      <c r="S24" s="301"/>
      <c r="T24" s="301"/>
      <c r="U24" s="301"/>
      <c r="V24" s="301"/>
      <c r="W24" s="301"/>
      <c r="X24" s="301"/>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1087"/>
      <c r="AX24" s="1087"/>
      <c r="AY24" s="1087"/>
      <c r="AZ24" s="1087"/>
      <c r="BA24" s="1087"/>
      <c r="BB24" s="1087"/>
      <c r="BC24" s="1087"/>
      <c r="BD24" s="1087"/>
      <c r="BE24" s="1087"/>
      <c r="BF24" s="405"/>
      <c r="BG24" s="406"/>
      <c r="BH24" s="301"/>
      <c r="BI24" s="405"/>
      <c r="BJ24" s="1205"/>
      <c r="BK24" s="1192"/>
      <c r="BL24" s="1192"/>
      <c r="BM24" s="1192"/>
      <c r="BN24" s="2106"/>
      <c r="BO24" s="2106"/>
      <c r="BP24" s="2106"/>
      <c r="BQ24" s="2106"/>
      <c r="BR24" s="2106"/>
      <c r="BS24" s="2106"/>
      <c r="BT24" s="2106"/>
      <c r="BU24" s="2106"/>
      <c r="BV24" s="2106"/>
      <c r="BW24" s="2106"/>
      <c r="BX24" s="2106"/>
      <c r="BY24" s="2106"/>
      <c r="BZ24" s="2106"/>
      <c r="CA24" s="2106"/>
      <c r="CB24" s="2106"/>
      <c r="CC24" s="2106"/>
      <c r="CD24" s="2106"/>
      <c r="CE24" s="2106"/>
      <c r="CF24" s="2106"/>
      <c r="CG24" s="2106"/>
      <c r="CH24" s="2106"/>
      <c r="CI24" s="2106"/>
      <c r="CJ24" s="2106"/>
      <c r="CK24" s="2106"/>
      <c r="CL24" s="2106"/>
      <c r="CM24" s="2106"/>
      <c r="CN24" s="2106"/>
      <c r="CO24" s="2106"/>
      <c r="CP24" s="2106"/>
      <c r="CQ24" s="2106"/>
      <c r="CR24" s="2106"/>
      <c r="CS24" s="2106"/>
      <c r="CT24" s="87"/>
      <c r="CU24" s="166"/>
      <c r="CV24" s="2107"/>
      <c r="CW24" s="2107"/>
      <c r="CX24" s="2107"/>
      <c r="CY24" s="2107"/>
      <c r="CZ24" s="2107"/>
      <c r="DA24" s="2107"/>
      <c r="DB24" s="2107"/>
      <c r="DC24" s="2107"/>
      <c r="DD24" s="167"/>
      <c r="DE24" s="87"/>
      <c r="DF24" s="117"/>
      <c r="DG24" s="117"/>
      <c r="DH24" s="117"/>
      <c r="DI24" s="87"/>
      <c r="DJ24" s="166"/>
      <c r="DK24" s="1991"/>
      <c r="DL24" s="1991"/>
      <c r="DM24" s="1991"/>
      <c r="DN24" s="1991"/>
      <c r="DO24" s="1991"/>
      <c r="DP24" s="1991"/>
      <c r="DQ24" s="1991"/>
      <c r="DR24" s="167"/>
      <c r="DS24" s="87"/>
      <c r="DT24" s="87"/>
      <c r="DU24" s="87"/>
      <c r="DV24" s="166"/>
      <c r="DW24" s="1991"/>
      <c r="DX24" s="1991"/>
      <c r="DY24" s="1991"/>
      <c r="DZ24" s="1991"/>
      <c r="EA24" s="1991"/>
      <c r="EB24" s="1991"/>
      <c r="EC24" s="1991"/>
      <c r="ED24" s="167"/>
      <c r="EE24" s="87"/>
      <c r="EF24" s="87"/>
      <c r="EG24" s="87"/>
      <c r="EH24" s="166"/>
      <c r="EI24" s="1991"/>
      <c r="EJ24" s="1991"/>
      <c r="EK24" s="1991"/>
      <c r="EL24" s="1991"/>
      <c r="EM24" s="1991"/>
      <c r="EN24" s="1991"/>
      <c r="EO24" s="1991"/>
      <c r="EP24" s="264"/>
      <c r="EQ24" s="87"/>
      <c r="ER24" s="87"/>
      <c r="ES24" s="87"/>
      <c r="ET24" s="266"/>
      <c r="EU24" s="1991"/>
      <c r="EV24" s="1991"/>
      <c r="EW24" s="1991"/>
      <c r="EX24" s="1991"/>
      <c r="EY24" s="1991"/>
      <c r="EZ24" s="1991"/>
      <c r="FA24" s="1991"/>
      <c r="FB24" s="167"/>
      <c r="FC24" s="87"/>
      <c r="FD24" s="87"/>
      <c r="FE24" s="87"/>
      <c r="FF24" s="266"/>
      <c r="FG24" s="1991"/>
      <c r="FH24" s="1991"/>
      <c r="FI24" s="1991"/>
      <c r="FJ24" s="1991"/>
      <c r="FK24" s="1991"/>
      <c r="FL24" s="1991"/>
      <c r="FM24" s="1991"/>
      <c r="FN24" s="167"/>
      <c r="FO24" s="87"/>
      <c r="FP24" s="2129"/>
      <c r="FQ24" s="2130"/>
      <c r="FR24" s="2130"/>
      <c r="FS24" s="2131"/>
      <c r="FT24" s="988"/>
      <c r="FU24" s="2129"/>
      <c r="FV24" s="2130"/>
      <c r="FW24" s="2130"/>
      <c r="FX24" s="2131"/>
      <c r="FY24" s="87"/>
      <c r="FZ24" s="87"/>
      <c r="GA24" s="87"/>
      <c r="GC24" s="714"/>
      <c r="GD24" s="714"/>
      <c r="GE24" s="714"/>
      <c r="GF24" s="714"/>
    </row>
    <row r="25" spans="1:190" ht="9" customHeight="1" thickBot="1">
      <c r="A25" s="109"/>
      <c r="B25" s="313"/>
      <c r="C25" s="2113" t="str">
        <f>IF(Race="","",IF(NOT(ISERROR(GD25)),MID(EquipmentNameList,GD21+1,GD25-GD21-1),""))</f>
        <v/>
      </c>
      <c r="D25" s="2113"/>
      <c r="E25" s="2113"/>
      <c r="F25" s="2113"/>
      <c r="G25" s="2113"/>
      <c r="H25" s="2113"/>
      <c r="I25" s="2113"/>
      <c r="J25" s="2113"/>
      <c r="K25" s="2113"/>
      <c r="L25" s="2113"/>
      <c r="M25" s="2113"/>
      <c r="N25" s="2113"/>
      <c r="O25" s="2113"/>
      <c r="P25" s="2113"/>
      <c r="Q25" s="2113"/>
      <c r="R25" s="2113"/>
      <c r="S25" s="2113"/>
      <c r="T25" s="2113"/>
      <c r="U25" s="2113"/>
      <c r="V25" s="2113"/>
      <c r="W25" s="2113"/>
      <c r="X25" s="2113"/>
      <c r="Y25" s="2113"/>
      <c r="Z25" s="2113"/>
      <c r="AA25" s="2113"/>
      <c r="AB25" s="2113"/>
      <c r="AC25" s="2113"/>
      <c r="AD25" s="2113"/>
      <c r="AE25" s="2113"/>
      <c r="AF25" s="2113"/>
      <c r="AG25" s="2113"/>
      <c r="AH25" s="2113"/>
      <c r="AI25" s="2113"/>
      <c r="AJ25" s="2113"/>
      <c r="AK25" s="2113"/>
      <c r="AL25" s="2113"/>
      <c r="AM25" s="2113"/>
      <c r="AN25" s="2113"/>
      <c r="AO25" s="2113"/>
      <c r="AP25" s="2113"/>
      <c r="AQ25" s="2113"/>
      <c r="AR25" s="2113"/>
      <c r="AS25" s="2113"/>
      <c r="AT25" s="2113"/>
      <c r="AU25" s="2113"/>
      <c r="AV25" s="2113"/>
      <c r="AW25" s="2115" t="str">
        <f>IF(Race="","",IF(NOT(ISERROR(GE25)),VALUE(MID(EquipmentWeightList,GE21+1,GE25-GE21-1)),""))</f>
        <v/>
      </c>
      <c r="AX25" s="2115"/>
      <c r="AY25" s="2115"/>
      <c r="AZ25" s="2115"/>
      <c r="BA25" s="2115"/>
      <c r="BB25" s="2115"/>
      <c r="BC25" s="2115"/>
      <c r="BD25" s="2115"/>
      <c r="BE25" s="2115"/>
      <c r="BF25" s="405"/>
      <c r="BG25" s="406"/>
      <c r="BH25" s="301"/>
      <c r="BI25" s="405"/>
      <c r="BJ25" s="1205"/>
      <c r="BK25" s="1192"/>
      <c r="BL25" s="1192"/>
      <c r="BM25" s="1192"/>
      <c r="BN25" s="2106"/>
      <c r="BO25" s="2106"/>
      <c r="BP25" s="2106"/>
      <c r="BQ25" s="2106"/>
      <c r="BR25" s="2106"/>
      <c r="BS25" s="2106"/>
      <c r="BT25" s="2106"/>
      <c r="BU25" s="2106"/>
      <c r="BV25" s="2106"/>
      <c r="BW25" s="2106"/>
      <c r="BX25" s="2106"/>
      <c r="BY25" s="2106"/>
      <c r="BZ25" s="2106"/>
      <c r="CA25" s="2106"/>
      <c r="CB25" s="2106"/>
      <c r="CC25" s="2106"/>
      <c r="CD25" s="2106"/>
      <c r="CE25" s="2106"/>
      <c r="CF25" s="2106"/>
      <c r="CG25" s="2106"/>
      <c r="CH25" s="2106"/>
      <c r="CI25" s="2106"/>
      <c r="CJ25" s="2106"/>
      <c r="CK25" s="2106"/>
      <c r="CL25" s="2106"/>
      <c r="CM25" s="2106"/>
      <c r="CN25" s="2106"/>
      <c r="CO25" s="2106"/>
      <c r="CP25" s="2106"/>
      <c r="CQ25" s="2106"/>
      <c r="CR25" s="2106"/>
      <c r="CS25" s="2106"/>
      <c r="CT25" s="87"/>
      <c r="CU25" s="160"/>
      <c r="CV25" s="409"/>
      <c r="CW25" s="409"/>
      <c r="CX25" s="409"/>
      <c r="CY25" s="409"/>
      <c r="CZ25" s="409"/>
      <c r="DA25" s="409"/>
      <c r="DB25" s="409"/>
      <c r="DC25" s="409"/>
      <c r="DD25" s="158"/>
      <c r="DE25" s="87"/>
      <c r="DF25" s="87"/>
      <c r="DG25" s="87"/>
      <c r="DH25" s="87"/>
      <c r="DI25" s="87"/>
      <c r="DJ25" s="160"/>
      <c r="DK25" s="240"/>
      <c r="DL25" s="240"/>
      <c r="DM25" s="240"/>
      <c r="DN25" s="240"/>
      <c r="DO25" s="240"/>
      <c r="DP25" s="240"/>
      <c r="DQ25" s="240"/>
      <c r="DR25" s="158"/>
      <c r="DS25" s="87"/>
      <c r="DT25" s="87"/>
      <c r="DU25" s="87"/>
      <c r="DV25" s="160"/>
      <c r="DW25" s="240"/>
      <c r="DX25" s="240"/>
      <c r="DY25" s="240"/>
      <c r="DZ25" s="240"/>
      <c r="EA25" s="240"/>
      <c r="EB25" s="240"/>
      <c r="EC25" s="240"/>
      <c r="ED25" s="158"/>
      <c r="EE25" s="87"/>
      <c r="EF25" s="87"/>
      <c r="EG25" s="87"/>
      <c r="EH25" s="160"/>
      <c r="EI25" s="204"/>
      <c r="EJ25" s="204"/>
      <c r="EK25" s="204"/>
      <c r="EL25" s="204"/>
      <c r="EM25" s="204"/>
      <c r="EN25" s="204"/>
      <c r="EO25" s="204"/>
      <c r="EP25" s="274"/>
      <c r="EQ25" s="87"/>
      <c r="ER25" s="87"/>
      <c r="ES25" s="87"/>
      <c r="ET25" s="203"/>
      <c r="EU25" s="204"/>
      <c r="EV25" s="204"/>
      <c r="EW25" s="204"/>
      <c r="EX25" s="204"/>
      <c r="EY25" s="204"/>
      <c r="EZ25" s="204"/>
      <c r="FA25" s="204"/>
      <c r="FB25" s="158"/>
      <c r="FC25" s="87"/>
      <c r="FD25" s="87"/>
      <c r="FE25" s="87"/>
      <c r="FF25" s="203"/>
      <c r="FG25" s="204"/>
      <c r="FH25" s="204"/>
      <c r="FI25" s="204"/>
      <c r="FJ25" s="204"/>
      <c r="FK25" s="204"/>
      <c r="FL25" s="204"/>
      <c r="FM25" s="204"/>
      <c r="FN25" s="158"/>
      <c r="FO25" s="87"/>
      <c r="FP25" s="988"/>
      <c r="FQ25" s="988"/>
      <c r="FR25" s="988"/>
      <c r="FS25" s="988"/>
      <c r="FT25" s="988"/>
      <c r="FU25" s="988"/>
      <c r="FV25" s="988"/>
      <c r="FW25" s="988"/>
      <c r="FX25" s="988"/>
      <c r="FY25" s="87"/>
      <c r="FZ25" s="87"/>
      <c r="GA25" s="87"/>
      <c r="GC25" s="1853">
        <f>GC21+1</f>
        <v>4</v>
      </c>
      <c r="GD25" s="1853" t="e">
        <f>FIND(";",EquipmentNameList,GD21+1)</f>
        <v>#VALUE!</v>
      </c>
      <c r="GE25" s="1853" t="e">
        <f>FIND(";",EquipmentWeightList,GE21+1)</f>
        <v>#VALUE!</v>
      </c>
      <c r="GF25" s="1853" t="e">
        <f>FIND(";",EquipmentNumberList,GF21+1)</f>
        <v>#VALUE!</v>
      </c>
    </row>
    <row r="26" spans="1:190" ht="9" customHeight="1" thickBot="1">
      <c r="A26" s="109"/>
      <c r="B26" s="313"/>
      <c r="C26" s="2113"/>
      <c r="D26" s="2113"/>
      <c r="E26" s="2113"/>
      <c r="F26" s="2113"/>
      <c r="G26" s="2113"/>
      <c r="H26" s="2113"/>
      <c r="I26" s="2113"/>
      <c r="J26" s="2113"/>
      <c r="K26" s="2113"/>
      <c r="L26" s="2113"/>
      <c r="M26" s="2113"/>
      <c r="N26" s="2113"/>
      <c r="O26" s="2113"/>
      <c r="P26" s="2113"/>
      <c r="Q26" s="2113"/>
      <c r="R26" s="2113"/>
      <c r="S26" s="2113"/>
      <c r="T26" s="2113"/>
      <c r="U26" s="2113"/>
      <c r="V26" s="2113"/>
      <c r="W26" s="2113"/>
      <c r="X26" s="2113"/>
      <c r="Y26" s="2113"/>
      <c r="Z26" s="2113"/>
      <c r="AA26" s="2113"/>
      <c r="AB26" s="2113"/>
      <c r="AC26" s="2113"/>
      <c r="AD26" s="2113"/>
      <c r="AE26" s="2113"/>
      <c r="AF26" s="2113"/>
      <c r="AG26" s="2113"/>
      <c r="AH26" s="2113"/>
      <c r="AI26" s="2113"/>
      <c r="AJ26" s="2113"/>
      <c r="AK26" s="2113"/>
      <c r="AL26" s="2113"/>
      <c r="AM26" s="2113"/>
      <c r="AN26" s="2113"/>
      <c r="AO26" s="2113"/>
      <c r="AP26" s="2113"/>
      <c r="AQ26" s="2113"/>
      <c r="AR26" s="2113"/>
      <c r="AS26" s="2113"/>
      <c r="AT26" s="2113"/>
      <c r="AU26" s="2113"/>
      <c r="AV26" s="2113"/>
      <c r="AW26" s="2115"/>
      <c r="AX26" s="2115"/>
      <c r="AY26" s="2115"/>
      <c r="AZ26" s="2115"/>
      <c r="BA26" s="2115"/>
      <c r="BB26" s="2115"/>
      <c r="BC26" s="2115"/>
      <c r="BD26" s="2115"/>
      <c r="BE26" s="2115"/>
      <c r="BF26" s="405"/>
      <c r="BG26" s="406"/>
      <c r="BH26" s="301"/>
      <c r="BI26" s="405"/>
      <c r="BJ26" s="1205"/>
      <c r="BK26" s="1192"/>
      <c r="BL26" s="1192"/>
      <c r="BM26" s="1192"/>
      <c r="BN26" s="1192"/>
      <c r="BO26" s="1192"/>
      <c r="BP26" s="1192"/>
      <c r="BQ26" s="1192"/>
      <c r="BR26" s="1192"/>
      <c r="BS26" s="1192"/>
      <c r="BT26" s="1192"/>
      <c r="BU26" s="1192"/>
      <c r="BV26" s="1192"/>
      <c r="BW26" s="1192"/>
      <c r="BX26" s="1192"/>
      <c r="BY26" s="1192"/>
      <c r="BZ26" s="1192"/>
      <c r="CA26" s="1192"/>
      <c r="CB26" s="1192"/>
      <c r="CC26" s="1192"/>
      <c r="CD26" s="1192"/>
      <c r="CE26" s="1192"/>
      <c r="CF26" s="1192"/>
      <c r="CG26" s="1192"/>
      <c r="CH26" s="1192"/>
      <c r="CI26" s="1192"/>
      <c r="CJ26" s="1192"/>
      <c r="CK26" s="1192"/>
      <c r="CL26" s="1192"/>
      <c r="CM26" s="1192"/>
      <c r="CN26" s="1192"/>
      <c r="CO26" s="1192"/>
      <c r="CP26" s="1192"/>
      <c r="CQ26" s="1192"/>
      <c r="CR26" s="1192"/>
      <c r="CS26" s="1192"/>
      <c r="CT26" s="87"/>
      <c r="CU26" s="87"/>
      <c r="CV26" s="410"/>
      <c r="CW26" s="410"/>
      <c r="CX26" s="410"/>
      <c r="CY26" s="410"/>
      <c r="CZ26" s="410"/>
      <c r="DA26" s="410"/>
      <c r="DB26" s="410"/>
      <c r="DC26" s="410"/>
      <c r="DD26" s="87"/>
      <c r="DE26" s="87"/>
      <c r="DF26" s="87"/>
      <c r="DG26" s="87"/>
      <c r="DH26" s="87"/>
      <c r="DI26" s="87"/>
      <c r="DJ26" s="87"/>
      <c r="DK26" s="87"/>
      <c r="DL26" s="87"/>
      <c r="DM26" s="87"/>
      <c r="DN26" s="87"/>
      <c r="DO26" s="87"/>
      <c r="DP26" s="87"/>
      <c r="DQ26" s="87"/>
      <c r="DR26" s="87"/>
      <c r="DS26" s="87"/>
      <c r="DT26" s="87"/>
      <c r="DU26" s="87"/>
      <c r="DV26" s="87"/>
      <c r="DW26" s="87"/>
      <c r="DX26" s="87"/>
      <c r="DY26" s="87"/>
      <c r="DZ26" s="87"/>
      <c r="EA26" s="87"/>
      <c r="EB26" s="87"/>
      <c r="EC26" s="87"/>
      <c r="ED26" s="87"/>
      <c r="EE26" s="87"/>
      <c r="EF26" s="87"/>
      <c r="EG26" s="87"/>
      <c r="EH26" s="87"/>
      <c r="EI26" s="87"/>
      <c r="EJ26" s="87"/>
      <c r="EK26" s="87"/>
      <c r="EL26" s="87"/>
      <c r="EM26" s="87"/>
      <c r="EN26" s="87"/>
      <c r="EO26" s="87"/>
      <c r="EP26" s="87"/>
      <c r="EQ26" s="87"/>
      <c r="ER26" s="87"/>
      <c r="ES26" s="87"/>
      <c r="ET26" s="87"/>
      <c r="EU26" s="87"/>
      <c r="EV26" s="87"/>
      <c r="EW26" s="87"/>
      <c r="EX26" s="87"/>
      <c r="EY26" s="87"/>
      <c r="EZ26" s="87"/>
      <c r="FA26" s="87"/>
      <c r="FB26" s="87"/>
      <c r="FC26" s="87"/>
      <c r="FD26" s="87"/>
      <c r="FE26" s="87"/>
      <c r="FF26" s="87"/>
      <c r="FG26" s="87"/>
      <c r="FH26" s="87"/>
      <c r="FI26" s="87"/>
      <c r="FJ26" s="87"/>
      <c r="FK26" s="87"/>
      <c r="FL26" s="87"/>
      <c r="FM26" s="87"/>
      <c r="FN26" s="87"/>
      <c r="FO26" s="87"/>
      <c r="FP26" s="988"/>
      <c r="FQ26" s="988"/>
      <c r="FR26" s="988"/>
      <c r="FS26" s="988"/>
      <c r="FT26" s="988"/>
      <c r="FU26" s="988"/>
      <c r="FV26" s="988"/>
      <c r="FW26" s="988"/>
      <c r="FX26" s="988"/>
      <c r="FY26" s="87"/>
      <c r="FZ26" s="87"/>
      <c r="GA26" s="87"/>
      <c r="GC26" s="1853"/>
      <c r="GD26" s="1853"/>
      <c r="GE26" s="1853"/>
      <c r="GF26" s="1853"/>
    </row>
    <row r="27" spans="1:190" ht="9" customHeight="1" thickBot="1">
      <c r="A27" s="109"/>
      <c r="B27" s="313"/>
      <c r="C27" s="2114"/>
      <c r="D27" s="2114"/>
      <c r="E27" s="2114"/>
      <c r="F27" s="2114"/>
      <c r="G27" s="2114"/>
      <c r="H27" s="2114"/>
      <c r="I27" s="2114"/>
      <c r="J27" s="2114"/>
      <c r="K27" s="2114"/>
      <c r="L27" s="2114"/>
      <c r="M27" s="2114"/>
      <c r="N27" s="2114"/>
      <c r="O27" s="2114"/>
      <c r="P27" s="2114"/>
      <c r="Q27" s="2114"/>
      <c r="R27" s="2114"/>
      <c r="S27" s="2114"/>
      <c r="T27" s="2114"/>
      <c r="U27" s="2114"/>
      <c r="V27" s="2114"/>
      <c r="W27" s="2114"/>
      <c r="X27" s="2114"/>
      <c r="Y27" s="2114"/>
      <c r="Z27" s="2114"/>
      <c r="AA27" s="2114"/>
      <c r="AB27" s="2114"/>
      <c r="AC27" s="2114"/>
      <c r="AD27" s="2114"/>
      <c r="AE27" s="2114"/>
      <c r="AF27" s="2114"/>
      <c r="AG27" s="2114"/>
      <c r="AH27" s="2114"/>
      <c r="AI27" s="2114"/>
      <c r="AJ27" s="2114"/>
      <c r="AK27" s="2114"/>
      <c r="AL27" s="2114"/>
      <c r="AM27" s="2114"/>
      <c r="AN27" s="2114"/>
      <c r="AO27" s="2114"/>
      <c r="AP27" s="2114"/>
      <c r="AQ27" s="2114"/>
      <c r="AR27" s="2114"/>
      <c r="AS27" s="2114"/>
      <c r="AT27" s="2114"/>
      <c r="AU27" s="2114"/>
      <c r="AV27" s="2114"/>
      <c r="AW27" s="2116"/>
      <c r="AX27" s="2116"/>
      <c r="AY27" s="2116"/>
      <c r="AZ27" s="2116"/>
      <c r="BA27" s="2116"/>
      <c r="BB27" s="2116"/>
      <c r="BC27" s="2116"/>
      <c r="BD27" s="2116"/>
      <c r="BE27" s="2116"/>
      <c r="BF27" s="405"/>
      <c r="BG27" s="406"/>
      <c r="BH27" s="301"/>
      <c r="BI27" s="405"/>
      <c r="BJ27" s="1205"/>
      <c r="BK27" s="1192"/>
      <c r="BL27" s="1192"/>
      <c r="BM27" s="1192"/>
      <c r="BN27" s="2106" t="s">
        <v>268</v>
      </c>
      <c r="BO27" s="2106"/>
      <c r="BP27" s="2106"/>
      <c r="BQ27" s="2106"/>
      <c r="BR27" s="2106"/>
      <c r="BS27" s="2106"/>
      <c r="BT27" s="2106"/>
      <c r="BU27" s="2106"/>
      <c r="BV27" s="2106"/>
      <c r="BW27" s="2106"/>
      <c r="BX27" s="2106"/>
      <c r="BY27" s="2106"/>
      <c r="BZ27" s="2106"/>
      <c r="CA27" s="2106"/>
      <c r="CB27" s="2106"/>
      <c r="CC27" s="2106"/>
      <c r="CD27" s="2106"/>
      <c r="CE27" s="2106"/>
      <c r="CF27" s="2106"/>
      <c r="CG27" s="2106"/>
      <c r="CH27" s="2106"/>
      <c r="CI27" s="2106"/>
      <c r="CJ27" s="2106"/>
      <c r="CK27" s="2106"/>
      <c r="CL27" s="2106"/>
      <c r="CM27" s="2106"/>
      <c r="CN27" s="2106"/>
      <c r="CO27" s="2106"/>
      <c r="CP27" s="2106"/>
      <c r="CQ27" s="2106"/>
      <c r="CR27" s="2106"/>
      <c r="CS27" s="2106"/>
      <c r="CT27" s="87"/>
      <c r="CU27" s="158" t="e">
        <f>HeroicLvl+ArmourFort</f>
        <v>#NAME?</v>
      </c>
      <c r="CV27" s="411"/>
      <c r="CW27" s="411"/>
      <c r="CX27" s="411"/>
      <c r="CY27" s="411"/>
      <c r="CZ27" s="411"/>
      <c r="DA27" s="411"/>
      <c r="DB27" s="411"/>
      <c r="DC27" s="411"/>
      <c r="DD27" s="160"/>
      <c r="DE27" s="87"/>
      <c r="DF27" s="87"/>
      <c r="DG27" s="87"/>
      <c r="DH27" s="87"/>
      <c r="DI27" s="87"/>
      <c r="DJ27" s="158" t="e">
        <f>HeroicLvl+ArmourFort</f>
        <v>#NAME?</v>
      </c>
      <c r="DK27" s="159"/>
      <c r="DL27" s="159"/>
      <c r="DM27" s="159"/>
      <c r="DN27" s="159"/>
      <c r="DO27" s="159"/>
      <c r="DP27" s="159"/>
      <c r="DQ27" s="159"/>
      <c r="DR27" s="160"/>
      <c r="DS27" s="87"/>
      <c r="DT27" s="87"/>
      <c r="DU27" s="87"/>
      <c r="DV27" s="158"/>
      <c r="DW27" s="159"/>
      <c r="DX27" s="159"/>
      <c r="DY27" s="159"/>
      <c r="DZ27" s="159"/>
      <c r="EA27" s="159"/>
      <c r="EB27" s="159"/>
      <c r="EC27" s="159"/>
      <c r="ED27" s="160"/>
      <c r="EE27" s="87"/>
      <c r="EF27" s="87"/>
      <c r="EG27" s="87"/>
      <c r="EH27" s="158"/>
      <c r="EI27" s="184"/>
      <c r="EJ27" s="184"/>
      <c r="EK27" s="184"/>
      <c r="EL27" s="184"/>
      <c r="EM27" s="184"/>
      <c r="EN27" s="184"/>
      <c r="EO27" s="184"/>
      <c r="EP27" s="160"/>
      <c r="EQ27" s="87"/>
      <c r="ER27" s="87"/>
      <c r="ES27" s="87"/>
      <c r="ET27" s="158"/>
      <c r="EU27" s="1649"/>
      <c r="EV27" s="1649"/>
      <c r="EW27" s="1649"/>
      <c r="EX27" s="1649"/>
      <c r="EY27" s="1649"/>
      <c r="EZ27" s="1649"/>
      <c r="FA27" s="1649"/>
      <c r="FB27" s="160"/>
      <c r="FC27" s="87"/>
      <c r="FD27" s="87"/>
      <c r="FE27" s="87"/>
      <c r="FF27" s="158"/>
      <c r="FG27" s="159"/>
      <c r="FH27" s="159"/>
      <c r="FI27" s="159"/>
      <c r="FJ27" s="159"/>
      <c r="FK27" s="159"/>
      <c r="FL27" s="159"/>
      <c r="FM27" s="159"/>
      <c r="FN27" s="160"/>
      <c r="FO27" s="87"/>
      <c r="FP27" s="988"/>
      <c r="FQ27" s="988"/>
      <c r="FR27" s="988"/>
      <c r="FS27" s="988"/>
      <c r="FT27" s="988"/>
      <c r="FU27" s="988"/>
      <c r="FV27" s="988"/>
      <c r="FW27" s="988"/>
      <c r="FX27" s="988"/>
      <c r="FY27" s="87"/>
      <c r="FZ27" s="87"/>
      <c r="GA27" s="87"/>
      <c r="GC27" s="1853"/>
      <c r="GD27" s="1853"/>
      <c r="GE27" s="1853"/>
      <c r="GF27" s="1853"/>
    </row>
    <row r="28" spans="1:190" ht="9" customHeight="1">
      <c r="A28" s="109"/>
      <c r="B28" s="313"/>
      <c r="C28" s="301"/>
      <c r="D28" s="301"/>
      <c r="E28" s="643"/>
      <c r="F28" s="643"/>
      <c r="G28" s="643"/>
      <c r="H28" s="643"/>
      <c r="I28" s="643"/>
      <c r="J28" s="643"/>
      <c r="K28" s="301"/>
      <c r="L28" s="301"/>
      <c r="M28" s="301"/>
      <c r="N28" s="301"/>
      <c r="O28" s="301"/>
      <c r="P28" s="301"/>
      <c r="Q28" s="301"/>
      <c r="R28" s="301"/>
      <c r="S28" s="301"/>
      <c r="T28" s="301"/>
      <c r="U28" s="301"/>
      <c r="V28" s="301"/>
      <c r="W28" s="301"/>
      <c r="X28" s="301"/>
      <c r="Y28" s="301"/>
      <c r="Z28" s="301"/>
      <c r="AA28" s="301"/>
      <c r="AB28" s="301"/>
      <c r="AC28" s="301"/>
      <c r="AD28" s="301"/>
      <c r="AE28" s="301"/>
      <c r="AF28" s="301"/>
      <c r="AG28" s="301"/>
      <c r="AH28" s="301"/>
      <c r="AI28" s="301"/>
      <c r="AJ28" s="301"/>
      <c r="AK28" s="301"/>
      <c r="AL28" s="301"/>
      <c r="AM28" s="301"/>
      <c r="AN28" s="301"/>
      <c r="AO28" s="301"/>
      <c r="AP28" s="301"/>
      <c r="AQ28" s="301"/>
      <c r="AR28" s="301"/>
      <c r="AS28" s="301"/>
      <c r="AT28" s="301"/>
      <c r="AU28" s="301"/>
      <c r="AV28" s="301"/>
      <c r="AW28" s="1087"/>
      <c r="AX28" s="1087"/>
      <c r="AY28" s="1087"/>
      <c r="AZ28" s="1087"/>
      <c r="BA28" s="1087"/>
      <c r="BB28" s="1087"/>
      <c r="BC28" s="1087"/>
      <c r="BD28" s="1087"/>
      <c r="BE28" s="1087"/>
      <c r="BF28" s="405"/>
      <c r="BG28" s="406"/>
      <c r="BH28" s="301"/>
      <c r="BI28" s="405"/>
      <c r="BJ28" s="1205"/>
      <c r="BK28" s="1192"/>
      <c r="BL28" s="1192"/>
      <c r="BM28" s="1192"/>
      <c r="BN28" s="2106"/>
      <c r="BO28" s="2106"/>
      <c r="BP28" s="2106"/>
      <c r="BQ28" s="2106"/>
      <c r="BR28" s="2106"/>
      <c r="BS28" s="2106"/>
      <c r="BT28" s="2106"/>
      <c r="BU28" s="2106"/>
      <c r="BV28" s="2106"/>
      <c r="BW28" s="2106"/>
      <c r="BX28" s="2106"/>
      <c r="BY28" s="2106"/>
      <c r="BZ28" s="2106"/>
      <c r="CA28" s="2106"/>
      <c r="CB28" s="2106"/>
      <c r="CC28" s="2106"/>
      <c r="CD28" s="2106"/>
      <c r="CE28" s="2106"/>
      <c r="CF28" s="2106"/>
      <c r="CG28" s="2106"/>
      <c r="CH28" s="2106"/>
      <c r="CI28" s="2106"/>
      <c r="CJ28" s="2106"/>
      <c r="CK28" s="2106"/>
      <c r="CL28" s="2106"/>
      <c r="CM28" s="2106"/>
      <c r="CN28" s="2106"/>
      <c r="CO28" s="2106"/>
      <c r="CP28" s="2106"/>
      <c r="CQ28" s="2106"/>
      <c r="CR28" s="2106"/>
      <c r="CS28" s="2106"/>
      <c r="CT28" s="87"/>
      <c r="CU28" s="166"/>
      <c r="CV28" s="2107">
        <f ca="1">Deception</f>
        <v>0</v>
      </c>
      <c r="CW28" s="2107"/>
      <c r="CX28" s="2107"/>
      <c r="CY28" s="2107"/>
      <c r="CZ28" s="2107"/>
      <c r="DA28" s="2107"/>
      <c r="DB28" s="2107"/>
      <c r="DC28" s="2107"/>
      <c r="DD28" s="167"/>
      <c r="DE28" s="87"/>
      <c r="DF28" s="117"/>
      <c r="DG28" s="117"/>
      <c r="DH28" s="117"/>
      <c r="DI28" s="87"/>
      <c r="DJ28" s="166"/>
      <c r="DK28" s="1991">
        <f>ROUNDDOWN(CharacterLevel/2,0)</f>
        <v>0</v>
      </c>
      <c r="DL28" s="1991"/>
      <c r="DM28" s="1991"/>
      <c r="DN28" s="1991"/>
      <c r="DO28" s="1991"/>
      <c r="DP28" s="1991"/>
      <c r="DQ28" s="1991"/>
      <c r="DR28" s="167"/>
      <c r="DS28" s="87"/>
      <c r="DT28" s="87"/>
      <c r="DU28" s="87"/>
      <c r="DV28" s="166"/>
      <c r="DW28" s="1991" t="str">
        <f>ChaMod</f>
        <v/>
      </c>
      <c r="DX28" s="1991"/>
      <c r="DY28" s="1991"/>
      <c r="DZ28" s="1991"/>
      <c r="EA28" s="1991"/>
      <c r="EB28" s="1991"/>
      <c r="EC28" s="1991"/>
      <c r="ED28" s="167"/>
      <c r="EE28" s="87"/>
      <c r="EF28" s="87"/>
      <c r="EG28" s="87"/>
      <c r="EH28" s="166"/>
      <c r="EI28" s="1991" t="str">
        <f>IF(CharacterLevel&gt;0,IF(OR(INDEX(SkillTable,MATCH(BN27,SkillList,0),4)="Yes",INDEX(SkillTable,MATCH(BN27,SkillList,0),5)="Yes"),5,0),"")</f>
        <v/>
      </c>
      <c r="EJ28" s="1991"/>
      <c r="EK28" s="1991"/>
      <c r="EL28" s="1991"/>
      <c r="EM28" s="1991"/>
      <c r="EN28" s="1991"/>
      <c r="EO28" s="1991"/>
      <c r="EP28" s="264"/>
      <c r="EQ28" s="265"/>
      <c r="ER28" s="265"/>
      <c r="ES28" s="265"/>
      <c r="ET28" s="266"/>
      <c r="EU28" s="1991" t="b">
        <f>IF(CharacterLevel&gt;0,IF(Skills!R13="Yes",5,0))</f>
        <v>0</v>
      </c>
      <c r="EV28" s="1991"/>
      <c r="EW28" s="1991"/>
      <c r="EX28" s="1991"/>
      <c r="EY28" s="1991"/>
      <c r="EZ28" s="1991"/>
      <c r="FA28" s="1991"/>
      <c r="FB28" s="167"/>
      <c r="FC28" s="265"/>
      <c r="FD28" s="265"/>
      <c r="FE28" s="265"/>
      <c r="FF28" s="266"/>
      <c r="FG28" s="1991">
        <f>ArmorPenalty+INDEX(SkillTable,MATCH(BN27,SkillList,0),12)</f>
        <v>0</v>
      </c>
      <c r="FH28" s="1991"/>
      <c r="FI28" s="1991"/>
      <c r="FJ28" s="1991"/>
      <c r="FK28" s="1991"/>
      <c r="FL28" s="1991"/>
      <c r="FM28" s="1991"/>
      <c r="FN28" s="167"/>
      <c r="FO28" s="87"/>
      <c r="FP28" s="2124" t="str">
        <f>IF(INDEX(SkillTable,MATCH(BN27,SkillList,0),77)&lt;&gt;"","×","")</f>
        <v/>
      </c>
      <c r="FQ28" s="2125"/>
      <c r="FR28" s="2125"/>
      <c r="FS28" s="2126"/>
      <c r="FT28" s="988"/>
      <c r="FU28" s="2124" t="str">
        <f>IF(INDEX(SkillTable,MATCH(BN27,SkillList,0),31)&lt;&gt;"","×","")</f>
        <v/>
      </c>
      <c r="FV28" s="2125"/>
      <c r="FW28" s="2125"/>
      <c r="FX28" s="2126"/>
      <c r="FY28" s="87"/>
      <c r="FZ28" s="87"/>
      <c r="GA28" s="87"/>
      <c r="GC28" s="714"/>
      <c r="GD28" s="714"/>
      <c r="GE28" s="714"/>
      <c r="GF28" s="714"/>
      <c r="GH28" s="1135" t="e">
        <f ca="1">IF(INDEX(SkillTable,MATCH(BN27,SkillList,0),14),1,0)</f>
        <v>#VALUE!</v>
      </c>
    </row>
    <row r="29" spans="1:190" ht="9" customHeight="1">
      <c r="A29" s="109"/>
      <c r="B29" s="313"/>
      <c r="C29" s="2113" t="str">
        <f>IF(Race="","",IF(NOT(ISERROR(GD29)),MID(EquipmentNameList,GD25+1,GD29-GD25-1),""))</f>
        <v/>
      </c>
      <c r="D29" s="2113"/>
      <c r="E29" s="2113"/>
      <c r="F29" s="2113"/>
      <c r="G29" s="2113"/>
      <c r="H29" s="2113"/>
      <c r="I29" s="2113"/>
      <c r="J29" s="2113"/>
      <c r="K29" s="2113"/>
      <c r="L29" s="2113"/>
      <c r="M29" s="2113"/>
      <c r="N29" s="2113"/>
      <c r="O29" s="2113"/>
      <c r="P29" s="2113"/>
      <c r="Q29" s="2113"/>
      <c r="R29" s="2113"/>
      <c r="S29" s="2113"/>
      <c r="T29" s="2113"/>
      <c r="U29" s="2113"/>
      <c r="V29" s="2113"/>
      <c r="W29" s="2113"/>
      <c r="X29" s="2113"/>
      <c r="Y29" s="2113"/>
      <c r="Z29" s="2113"/>
      <c r="AA29" s="2113"/>
      <c r="AB29" s="2113"/>
      <c r="AC29" s="2113"/>
      <c r="AD29" s="2113"/>
      <c r="AE29" s="2113"/>
      <c r="AF29" s="2113"/>
      <c r="AG29" s="2113"/>
      <c r="AH29" s="2113"/>
      <c r="AI29" s="2113"/>
      <c r="AJ29" s="2113"/>
      <c r="AK29" s="2113"/>
      <c r="AL29" s="2113"/>
      <c r="AM29" s="2113"/>
      <c r="AN29" s="2113"/>
      <c r="AO29" s="2113"/>
      <c r="AP29" s="2113"/>
      <c r="AQ29" s="2113"/>
      <c r="AR29" s="2113"/>
      <c r="AS29" s="2113"/>
      <c r="AT29" s="2113"/>
      <c r="AU29" s="2113"/>
      <c r="AV29" s="2113"/>
      <c r="AW29" s="2115" t="str">
        <f>IF(Race="","",IF(NOT(ISERROR(GE29)),VALUE(MID(EquipmentWeightList,GE25+1,GE29-GE25-1)),""))</f>
        <v/>
      </c>
      <c r="AX29" s="2115"/>
      <c r="AY29" s="2115"/>
      <c r="AZ29" s="2115"/>
      <c r="BA29" s="2115"/>
      <c r="BB29" s="2115"/>
      <c r="BC29" s="2115"/>
      <c r="BD29" s="2115"/>
      <c r="BE29" s="2115"/>
      <c r="BF29" s="405"/>
      <c r="BG29" s="406"/>
      <c r="BH29" s="301"/>
      <c r="BI29" s="405"/>
      <c r="BJ29" s="1205"/>
      <c r="BK29" s="1192"/>
      <c r="BL29" s="1192"/>
      <c r="BM29" s="1192"/>
      <c r="BN29" s="2106"/>
      <c r="BO29" s="2106"/>
      <c r="BP29" s="2106"/>
      <c r="BQ29" s="2106"/>
      <c r="BR29" s="2106"/>
      <c r="BS29" s="2106"/>
      <c r="BT29" s="2106"/>
      <c r="BU29" s="2106"/>
      <c r="BV29" s="2106"/>
      <c r="BW29" s="2106"/>
      <c r="BX29" s="2106"/>
      <c r="BY29" s="2106"/>
      <c r="BZ29" s="2106"/>
      <c r="CA29" s="2106"/>
      <c r="CB29" s="2106"/>
      <c r="CC29" s="2106"/>
      <c r="CD29" s="2106"/>
      <c r="CE29" s="2106"/>
      <c r="CF29" s="2106"/>
      <c r="CG29" s="2106"/>
      <c r="CH29" s="2106"/>
      <c r="CI29" s="2106"/>
      <c r="CJ29" s="2106"/>
      <c r="CK29" s="2106"/>
      <c r="CL29" s="2106"/>
      <c r="CM29" s="2106"/>
      <c r="CN29" s="2106"/>
      <c r="CO29" s="2106"/>
      <c r="CP29" s="2106"/>
      <c r="CQ29" s="2106"/>
      <c r="CR29" s="2106"/>
      <c r="CS29" s="2106"/>
      <c r="CT29" s="87"/>
      <c r="CU29" s="166"/>
      <c r="CV29" s="2107"/>
      <c r="CW29" s="2107"/>
      <c r="CX29" s="2107"/>
      <c r="CY29" s="2107"/>
      <c r="CZ29" s="2107"/>
      <c r="DA29" s="2107"/>
      <c r="DB29" s="2107"/>
      <c r="DC29" s="2107"/>
      <c r="DD29" s="167"/>
      <c r="DE29" s="87"/>
      <c r="DF29" s="87"/>
      <c r="DG29" s="87"/>
      <c r="DH29" s="87"/>
      <c r="DI29" s="87"/>
      <c r="DJ29" s="166"/>
      <c r="DK29" s="1991"/>
      <c r="DL29" s="1991"/>
      <c r="DM29" s="1991"/>
      <c r="DN29" s="1991"/>
      <c r="DO29" s="1991"/>
      <c r="DP29" s="1991"/>
      <c r="DQ29" s="1991"/>
      <c r="DR29" s="167"/>
      <c r="DS29" s="117"/>
      <c r="DT29" s="117"/>
      <c r="DU29" s="117"/>
      <c r="DV29" s="166"/>
      <c r="DW29" s="1991"/>
      <c r="DX29" s="1991"/>
      <c r="DY29" s="1991"/>
      <c r="DZ29" s="1991"/>
      <c r="EA29" s="1991"/>
      <c r="EB29" s="1991"/>
      <c r="EC29" s="1991"/>
      <c r="ED29" s="167"/>
      <c r="EE29" s="117"/>
      <c r="EF29" s="117"/>
      <c r="EG29" s="117"/>
      <c r="EH29" s="166"/>
      <c r="EI29" s="1991"/>
      <c r="EJ29" s="1991"/>
      <c r="EK29" s="1991"/>
      <c r="EL29" s="1991"/>
      <c r="EM29" s="1991"/>
      <c r="EN29" s="1991"/>
      <c r="EO29" s="1991"/>
      <c r="EP29" s="264"/>
      <c r="EQ29" s="117"/>
      <c r="ER29" s="117"/>
      <c r="ES29" s="117"/>
      <c r="ET29" s="266"/>
      <c r="EU29" s="1991"/>
      <c r="EV29" s="1991"/>
      <c r="EW29" s="1991"/>
      <c r="EX29" s="1991"/>
      <c r="EY29" s="1991"/>
      <c r="EZ29" s="1991"/>
      <c r="FA29" s="1991"/>
      <c r="FB29" s="167"/>
      <c r="FC29" s="117"/>
      <c r="FD29" s="117"/>
      <c r="FE29" s="117"/>
      <c r="FF29" s="266"/>
      <c r="FG29" s="1991"/>
      <c r="FH29" s="1991"/>
      <c r="FI29" s="1991"/>
      <c r="FJ29" s="1991"/>
      <c r="FK29" s="1991"/>
      <c r="FL29" s="1991"/>
      <c r="FM29" s="1991"/>
      <c r="FN29" s="167"/>
      <c r="FO29" s="117"/>
      <c r="FP29" s="2127"/>
      <c r="FQ29" s="2081"/>
      <c r="FR29" s="2081"/>
      <c r="FS29" s="2128"/>
      <c r="FT29" s="989"/>
      <c r="FU29" s="2127"/>
      <c r="FV29" s="2081"/>
      <c r="FW29" s="2081"/>
      <c r="FX29" s="2128"/>
      <c r="FY29" s="87"/>
      <c r="FZ29" s="87"/>
      <c r="GA29" s="87"/>
      <c r="GC29" s="1853">
        <f>GC25+1</f>
        <v>5</v>
      </c>
      <c r="GD29" s="1853" t="e">
        <f>FIND(";",EquipmentNameList,GD25+1)</f>
        <v>#VALUE!</v>
      </c>
      <c r="GE29" s="1853" t="e">
        <f>FIND(";",EquipmentWeightList,GE25+1)</f>
        <v>#VALUE!</v>
      </c>
      <c r="GF29" s="1853" t="e">
        <f>FIND(";",EquipmentNumberList,GF25+1)</f>
        <v>#VALUE!</v>
      </c>
      <c r="GH29" s="1133"/>
    </row>
    <row r="30" spans="1:190" ht="9" customHeight="1" thickBot="1">
      <c r="A30" s="109"/>
      <c r="B30" s="313"/>
      <c r="C30" s="2113"/>
      <c r="D30" s="2113"/>
      <c r="E30" s="2113"/>
      <c r="F30" s="2113"/>
      <c r="G30" s="2113"/>
      <c r="H30" s="2113"/>
      <c r="I30" s="2113"/>
      <c r="J30" s="2113"/>
      <c r="K30" s="2113"/>
      <c r="L30" s="2113"/>
      <c r="M30" s="2113"/>
      <c r="N30" s="2113"/>
      <c r="O30" s="2113"/>
      <c r="P30" s="2113"/>
      <c r="Q30" s="2113"/>
      <c r="R30" s="2113"/>
      <c r="S30" s="2113"/>
      <c r="T30" s="2113"/>
      <c r="U30" s="2113"/>
      <c r="V30" s="2113"/>
      <c r="W30" s="2113"/>
      <c r="X30" s="2113"/>
      <c r="Y30" s="2113"/>
      <c r="Z30" s="2113"/>
      <c r="AA30" s="2113"/>
      <c r="AB30" s="2113"/>
      <c r="AC30" s="2113"/>
      <c r="AD30" s="2113"/>
      <c r="AE30" s="2113"/>
      <c r="AF30" s="2113"/>
      <c r="AG30" s="2113"/>
      <c r="AH30" s="2113"/>
      <c r="AI30" s="2113"/>
      <c r="AJ30" s="2113"/>
      <c r="AK30" s="2113"/>
      <c r="AL30" s="2113"/>
      <c r="AM30" s="2113"/>
      <c r="AN30" s="2113"/>
      <c r="AO30" s="2113"/>
      <c r="AP30" s="2113"/>
      <c r="AQ30" s="2113"/>
      <c r="AR30" s="2113"/>
      <c r="AS30" s="2113"/>
      <c r="AT30" s="2113"/>
      <c r="AU30" s="2113"/>
      <c r="AV30" s="2113"/>
      <c r="AW30" s="2115"/>
      <c r="AX30" s="2115"/>
      <c r="AY30" s="2115"/>
      <c r="AZ30" s="2115"/>
      <c r="BA30" s="2115"/>
      <c r="BB30" s="2115"/>
      <c r="BC30" s="2115"/>
      <c r="BD30" s="2115"/>
      <c r="BE30" s="2115"/>
      <c r="BF30" s="405"/>
      <c r="BG30" s="406"/>
      <c r="BH30" s="301"/>
      <c r="BI30" s="405"/>
      <c r="BJ30" s="1205"/>
      <c r="BK30" s="1192"/>
      <c r="BL30" s="1192"/>
      <c r="BM30" s="1192"/>
      <c r="BN30" s="2106"/>
      <c r="BO30" s="2106"/>
      <c r="BP30" s="2106"/>
      <c r="BQ30" s="2106"/>
      <c r="BR30" s="2106"/>
      <c r="BS30" s="2106"/>
      <c r="BT30" s="2106"/>
      <c r="BU30" s="2106"/>
      <c r="BV30" s="2106"/>
      <c r="BW30" s="2106"/>
      <c r="BX30" s="2106"/>
      <c r="BY30" s="2106"/>
      <c r="BZ30" s="2106"/>
      <c r="CA30" s="2106"/>
      <c r="CB30" s="2106"/>
      <c r="CC30" s="2106"/>
      <c r="CD30" s="2106"/>
      <c r="CE30" s="2106"/>
      <c r="CF30" s="2106"/>
      <c r="CG30" s="2106"/>
      <c r="CH30" s="2106"/>
      <c r="CI30" s="2106"/>
      <c r="CJ30" s="2106"/>
      <c r="CK30" s="2106"/>
      <c r="CL30" s="2106"/>
      <c r="CM30" s="2106"/>
      <c r="CN30" s="2106"/>
      <c r="CO30" s="2106"/>
      <c r="CP30" s="2106"/>
      <c r="CQ30" s="2106"/>
      <c r="CR30" s="2106"/>
      <c r="CS30" s="2106"/>
      <c r="CT30" s="87"/>
      <c r="CU30" s="166"/>
      <c r="CV30" s="2107"/>
      <c r="CW30" s="2107"/>
      <c r="CX30" s="2107"/>
      <c r="CY30" s="2107"/>
      <c r="CZ30" s="2107"/>
      <c r="DA30" s="2107"/>
      <c r="DB30" s="2107"/>
      <c r="DC30" s="2107"/>
      <c r="DD30" s="167"/>
      <c r="DE30" s="87"/>
      <c r="DF30" s="117"/>
      <c r="DG30" s="117"/>
      <c r="DH30" s="117"/>
      <c r="DI30" s="87"/>
      <c r="DJ30" s="166"/>
      <c r="DK30" s="1991"/>
      <c r="DL30" s="1991"/>
      <c r="DM30" s="1991"/>
      <c r="DN30" s="1991"/>
      <c r="DO30" s="1991"/>
      <c r="DP30" s="1991"/>
      <c r="DQ30" s="1991"/>
      <c r="DR30" s="167"/>
      <c r="DS30" s="87"/>
      <c r="DT30" s="87"/>
      <c r="DU30" s="87"/>
      <c r="DV30" s="166"/>
      <c r="DW30" s="1991"/>
      <c r="DX30" s="1991"/>
      <c r="DY30" s="1991"/>
      <c r="DZ30" s="1991"/>
      <c r="EA30" s="1991"/>
      <c r="EB30" s="1991"/>
      <c r="EC30" s="1991"/>
      <c r="ED30" s="167"/>
      <c r="EE30" s="87"/>
      <c r="EF30" s="87"/>
      <c r="EG30" s="87"/>
      <c r="EH30" s="166"/>
      <c r="EI30" s="1991"/>
      <c r="EJ30" s="1991"/>
      <c r="EK30" s="1991"/>
      <c r="EL30" s="1991"/>
      <c r="EM30" s="1991"/>
      <c r="EN30" s="1991"/>
      <c r="EO30" s="1991"/>
      <c r="EP30" s="264"/>
      <c r="EQ30" s="87"/>
      <c r="ER30" s="87"/>
      <c r="ES30" s="87"/>
      <c r="ET30" s="266"/>
      <c r="EU30" s="1991"/>
      <c r="EV30" s="1991"/>
      <c r="EW30" s="1991"/>
      <c r="EX30" s="1991"/>
      <c r="EY30" s="1991"/>
      <c r="EZ30" s="1991"/>
      <c r="FA30" s="1991"/>
      <c r="FB30" s="167"/>
      <c r="FC30" s="87"/>
      <c r="FD30" s="87"/>
      <c r="FE30" s="87"/>
      <c r="FF30" s="266"/>
      <c r="FG30" s="1991"/>
      <c r="FH30" s="1991"/>
      <c r="FI30" s="1991"/>
      <c r="FJ30" s="1991"/>
      <c r="FK30" s="1991"/>
      <c r="FL30" s="1991"/>
      <c r="FM30" s="1991"/>
      <c r="FN30" s="167"/>
      <c r="FO30" s="87"/>
      <c r="FP30" s="2129"/>
      <c r="FQ30" s="2130"/>
      <c r="FR30" s="2130"/>
      <c r="FS30" s="2131"/>
      <c r="FT30" s="988"/>
      <c r="FU30" s="2129"/>
      <c r="FV30" s="2130"/>
      <c r="FW30" s="2130"/>
      <c r="FX30" s="2131"/>
      <c r="FY30" s="87"/>
      <c r="FZ30" s="87"/>
      <c r="GA30" s="87"/>
      <c r="GC30" s="1853"/>
      <c r="GD30" s="1853"/>
      <c r="GE30" s="1853"/>
      <c r="GF30" s="1853"/>
      <c r="GH30" s="1133"/>
    </row>
    <row r="31" spans="1:190" ht="9" customHeight="1" thickBot="1">
      <c r="A31" s="109"/>
      <c r="B31" s="313"/>
      <c r="C31" s="2114"/>
      <c r="D31" s="2114"/>
      <c r="E31" s="2114"/>
      <c r="F31" s="2114"/>
      <c r="G31" s="2114"/>
      <c r="H31" s="2114"/>
      <c r="I31" s="2114"/>
      <c r="J31" s="2114"/>
      <c r="K31" s="2114"/>
      <c r="L31" s="2114"/>
      <c r="M31" s="2114"/>
      <c r="N31" s="2114"/>
      <c r="O31" s="2114"/>
      <c r="P31" s="2114"/>
      <c r="Q31" s="2114"/>
      <c r="R31" s="2114"/>
      <c r="S31" s="2114"/>
      <c r="T31" s="2114"/>
      <c r="U31" s="2114"/>
      <c r="V31" s="2114"/>
      <c r="W31" s="2114"/>
      <c r="X31" s="2114"/>
      <c r="Y31" s="2114"/>
      <c r="Z31" s="2114"/>
      <c r="AA31" s="2114"/>
      <c r="AB31" s="2114"/>
      <c r="AC31" s="2114"/>
      <c r="AD31" s="2114"/>
      <c r="AE31" s="2114"/>
      <c r="AF31" s="2114"/>
      <c r="AG31" s="2114"/>
      <c r="AH31" s="2114"/>
      <c r="AI31" s="2114"/>
      <c r="AJ31" s="2114"/>
      <c r="AK31" s="2114"/>
      <c r="AL31" s="2114"/>
      <c r="AM31" s="2114"/>
      <c r="AN31" s="2114"/>
      <c r="AO31" s="2114"/>
      <c r="AP31" s="2114"/>
      <c r="AQ31" s="2114"/>
      <c r="AR31" s="2114"/>
      <c r="AS31" s="2114"/>
      <c r="AT31" s="2114"/>
      <c r="AU31" s="2114"/>
      <c r="AV31" s="2114"/>
      <c r="AW31" s="2116"/>
      <c r="AX31" s="2116"/>
      <c r="AY31" s="2116"/>
      <c r="AZ31" s="2116"/>
      <c r="BA31" s="2116"/>
      <c r="BB31" s="2116"/>
      <c r="BC31" s="2116"/>
      <c r="BD31" s="2116"/>
      <c r="BE31" s="2116"/>
      <c r="BF31" s="405"/>
      <c r="BG31" s="406"/>
      <c r="BH31" s="301"/>
      <c r="BI31" s="405"/>
      <c r="BJ31" s="1205"/>
      <c r="BK31" s="1192"/>
      <c r="BL31" s="1192"/>
      <c r="BM31" s="1192"/>
      <c r="BN31" s="2106"/>
      <c r="BO31" s="2106"/>
      <c r="BP31" s="2106"/>
      <c r="BQ31" s="2106"/>
      <c r="BR31" s="2106"/>
      <c r="BS31" s="2106"/>
      <c r="BT31" s="2106"/>
      <c r="BU31" s="2106"/>
      <c r="BV31" s="2106"/>
      <c r="BW31" s="2106"/>
      <c r="BX31" s="2106"/>
      <c r="BY31" s="2106"/>
      <c r="BZ31" s="2106"/>
      <c r="CA31" s="2106"/>
      <c r="CB31" s="2106"/>
      <c r="CC31" s="2106"/>
      <c r="CD31" s="2106"/>
      <c r="CE31" s="2106"/>
      <c r="CF31" s="2106"/>
      <c r="CG31" s="2106"/>
      <c r="CH31" s="2106"/>
      <c r="CI31" s="2106"/>
      <c r="CJ31" s="2106"/>
      <c r="CK31" s="2106"/>
      <c r="CL31" s="2106"/>
      <c r="CM31" s="2106"/>
      <c r="CN31" s="2106"/>
      <c r="CO31" s="2106"/>
      <c r="CP31" s="2106"/>
      <c r="CQ31" s="2106"/>
      <c r="CR31" s="2106"/>
      <c r="CS31" s="2106"/>
      <c r="CT31" s="87"/>
      <c r="CU31" s="160"/>
      <c r="CV31" s="409"/>
      <c r="CW31" s="409"/>
      <c r="CX31" s="409"/>
      <c r="CY31" s="409"/>
      <c r="CZ31" s="409"/>
      <c r="DA31" s="409"/>
      <c r="DB31" s="409"/>
      <c r="DC31" s="409"/>
      <c r="DD31" s="158"/>
      <c r="DE31" s="87"/>
      <c r="DF31" s="87"/>
      <c r="DG31" s="87"/>
      <c r="DH31" s="87"/>
      <c r="DI31" s="87"/>
      <c r="DJ31" s="160"/>
      <c r="DK31" s="240"/>
      <c r="DL31" s="240"/>
      <c r="DM31" s="240"/>
      <c r="DN31" s="240"/>
      <c r="DO31" s="240"/>
      <c r="DP31" s="240"/>
      <c r="DQ31" s="240"/>
      <c r="DR31" s="158"/>
      <c r="DS31" s="87"/>
      <c r="DT31" s="87"/>
      <c r="DU31" s="87"/>
      <c r="DV31" s="160"/>
      <c r="DW31" s="240"/>
      <c r="DX31" s="240"/>
      <c r="DY31" s="240"/>
      <c r="DZ31" s="240"/>
      <c r="EA31" s="240"/>
      <c r="EB31" s="240"/>
      <c r="EC31" s="240"/>
      <c r="ED31" s="158"/>
      <c r="EE31" s="87"/>
      <c r="EF31" s="87"/>
      <c r="EG31" s="87"/>
      <c r="EH31" s="160"/>
      <c r="EI31" s="204"/>
      <c r="EJ31" s="204"/>
      <c r="EK31" s="204"/>
      <c r="EL31" s="204"/>
      <c r="EM31" s="204"/>
      <c r="EN31" s="204"/>
      <c r="EO31" s="204"/>
      <c r="EP31" s="274"/>
      <c r="EQ31" s="87"/>
      <c r="ER31" s="87"/>
      <c r="ES31" s="87"/>
      <c r="ET31" s="203"/>
      <c r="EU31" s="204"/>
      <c r="EV31" s="204"/>
      <c r="EW31" s="204"/>
      <c r="EX31" s="204"/>
      <c r="EY31" s="204"/>
      <c r="EZ31" s="204"/>
      <c r="FA31" s="204"/>
      <c r="FB31" s="158"/>
      <c r="FC31" s="87"/>
      <c r="FD31" s="87"/>
      <c r="FE31" s="87"/>
      <c r="FF31" s="203"/>
      <c r="FG31" s="204"/>
      <c r="FH31" s="204"/>
      <c r="FI31" s="204"/>
      <c r="FJ31" s="204"/>
      <c r="FK31" s="204"/>
      <c r="FL31" s="204"/>
      <c r="FM31" s="204"/>
      <c r="FN31" s="158"/>
      <c r="FO31" s="87"/>
      <c r="FP31" s="988"/>
      <c r="FQ31" s="988"/>
      <c r="FR31" s="988"/>
      <c r="FS31" s="988"/>
      <c r="FT31" s="988"/>
      <c r="FU31" s="988"/>
      <c r="FV31" s="988"/>
      <c r="FW31" s="988"/>
      <c r="FX31" s="988"/>
      <c r="FY31" s="87"/>
      <c r="FZ31" s="87"/>
      <c r="GA31" s="87"/>
      <c r="GC31" s="1853"/>
      <c r="GD31" s="1853"/>
      <c r="GE31" s="1853"/>
      <c r="GF31" s="1853"/>
      <c r="GH31" s="1133"/>
    </row>
    <row r="32" spans="1:190" ht="9" customHeight="1" thickBot="1">
      <c r="A32" s="109"/>
      <c r="B32" s="313"/>
      <c r="C32" s="301"/>
      <c r="D32" s="301"/>
      <c r="E32" s="643"/>
      <c r="F32" s="643"/>
      <c r="G32" s="643"/>
      <c r="H32" s="643"/>
      <c r="I32" s="643"/>
      <c r="J32" s="643"/>
      <c r="K32" s="301"/>
      <c r="L32" s="301"/>
      <c r="M32" s="301"/>
      <c r="N32" s="301"/>
      <c r="O32" s="301"/>
      <c r="P32" s="301"/>
      <c r="Q32" s="301"/>
      <c r="R32" s="301"/>
      <c r="S32" s="301"/>
      <c r="T32" s="301"/>
      <c r="U32" s="301"/>
      <c r="V32" s="301"/>
      <c r="W32" s="301"/>
      <c r="X32" s="301"/>
      <c r="Y32" s="301"/>
      <c r="Z32" s="301"/>
      <c r="AA32" s="301"/>
      <c r="AB32" s="301"/>
      <c r="AC32" s="301"/>
      <c r="AD32" s="301"/>
      <c r="AE32" s="301"/>
      <c r="AF32" s="301"/>
      <c r="AG32" s="301"/>
      <c r="AH32" s="301"/>
      <c r="AI32" s="301"/>
      <c r="AJ32" s="301"/>
      <c r="AK32" s="301"/>
      <c r="AL32" s="301"/>
      <c r="AM32" s="301"/>
      <c r="AN32" s="301"/>
      <c r="AO32" s="301"/>
      <c r="AP32" s="301"/>
      <c r="AQ32" s="301"/>
      <c r="AR32" s="301"/>
      <c r="AS32" s="301"/>
      <c r="AT32" s="301"/>
      <c r="AU32" s="301"/>
      <c r="AV32" s="301"/>
      <c r="AW32" s="1087"/>
      <c r="AX32" s="1087"/>
      <c r="AY32" s="1087"/>
      <c r="AZ32" s="1087"/>
      <c r="BA32" s="1087"/>
      <c r="BB32" s="1087"/>
      <c r="BC32" s="1087"/>
      <c r="BD32" s="1087"/>
      <c r="BE32" s="1087"/>
      <c r="BF32" s="405"/>
      <c r="BG32" s="406"/>
      <c r="BH32" s="301"/>
      <c r="BI32" s="405"/>
      <c r="BJ32" s="1205"/>
      <c r="BK32" s="1192"/>
      <c r="BL32" s="1192"/>
      <c r="BM32" s="1192"/>
      <c r="BN32" s="1192"/>
      <c r="BO32" s="1192"/>
      <c r="BP32" s="1192"/>
      <c r="BQ32" s="1192"/>
      <c r="BR32" s="1192"/>
      <c r="BS32" s="1192"/>
      <c r="BT32" s="1192"/>
      <c r="BU32" s="1192"/>
      <c r="BV32" s="1192"/>
      <c r="BW32" s="1192"/>
      <c r="BX32" s="1192"/>
      <c r="BY32" s="1192"/>
      <c r="BZ32" s="1192"/>
      <c r="CA32" s="1192"/>
      <c r="CB32" s="1192"/>
      <c r="CC32" s="1192"/>
      <c r="CD32" s="1192"/>
      <c r="CE32" s="1192"/>
      <c r="CF32" s="1192"/>
      <c r="CG32" s="1192"/>
      <c r="CH32" s="1192"/>
      <c r="CI32" s="1192"/>
      <c r="CJ32" s="1192"/>
      <c r="CK32" s="1192"/>
      <c r="CL32" s="1192"/>
      <c r="CM32" s="1192"/>
      <c r="CN32" s="1192"/>
      <c r="CO32" s="1192"/>
      <c r="CP32" s="1192"/>
      <c r="CQ32" s="1192"/>
      <c r="CR32" s="1192"/>
      <c r="CS32" s="1192"/>
      <c r="CT32" s="87"/>
      <c r="CU32" s="87"/>
      <c r="CV32" s="410"/>
      <c r="CW32" s="410"/>
      <c r="CX32" s="410"/>
      <c r="CY32" s="410"/>
      <c r="CZ32" s="410"/>
      <c r="DA32" s="410"/>
      <c r="DB32" s="410"/>
      <c r="DC32" s="410"/>
      <c r="DD32" s="87"/>
      <c r="DE32" s="87"/>
      <c r="DF32" s="87"/>
      <c r="DG32" s="87"/>
      <c r="DH32" s="87"/>
      <c r="DI32" s="87"/>
      <c r="DJ32" s="87"/>
      <c r="DK32" s="87"/>
      <c r="DL32" s="87"/>
      <c r="DM32" s="87"/>
      <c r="DN32" s="87"/>
      <c r="DO32" s="87"/>
      <c r="DP32" s="87"/>
      <c r="DQ32" s="87"/>
      <c r="DR32" s="87"/>
      <c r="DS32" s="87"/>
      <c r="DT32" s="87"/>
      <c r="DU32" s="87"/>
      <c r="DV32" s="87"/>
      <c r="DW32" s="87"/>
      <c r="DX32" s="87"/>
      <c r="DY32" s="87"/>
      <c r="DZ32" s="87"/>
      <c r="EA32" s="87"/>
      <c r="EB32" s="87"/>
      <c r="EC32" s="87"/>
      <c r="ED32" s="87"/>
      <c r="EE32" s="87"/>
      <c r="EF32" s="87"/>
      <c r="EG32" s="87"/>
      <c r="EH32" s="87"/>
      <c r="EI32" s="87"/>
      <c r="EJ32" s="87"/>
      <c r="EK32" s="87"/>
      <c r="EL32" s="87"/>
      <c r="EM32" s="87"/>
      <c r="EN32" s="87"/>
      <c r="EO32" s="87"/>
      <c r="EP32" s="87"/>
      <c r="EQ32" s="87"/>
      <c r="ER32" s="87"/>
      <c r="ES32" s="87"/>
      <c r="ET32" s="87"/>
      <c r="EU32" s="87"/>
      <c r="EV32" s="87"/>
      <c r="EW32" s="87"/>
      <c r="EX32" s="87"/>
      <c r="EY32" s="87"/>
      <c r="EZ32" s="87"/>
      <c r="FA32" s="87"/>
      <c r="FB32" s="87"/>
      <c r="FC32" s="87"/>
      <c r="FD32" s="87"/>
      <c r="FE32" s="87"/>
      <c r="FF32" s="87"/>
      <c r="FG32" s="87"/>
      <c r="FH32" s="87"/>
      <c r="FI32" s="87"/>
      <c r="FJ32" s="87"/>
      <c r="FK32" s="87"/>
      <c r="FL32" s="87"/>
      <c r="FM32" s="87"/>
      <c r="FN32" s="87"/>
      <c r="FO32" s="87"/>
      <c r="FP32" s="988"/>
      <c r="FQ32" s="988"/>
      <c r="FR32" s="988"/>
      <c r="FS32" s="988"/>
      <c r="FT32" s="988"/>
      <c r="FU32" s="988"/>
      <c r="FV32" s="988"/>
      <c r="FW32" s="988"/>
      <c r="FX32" s="988"/>
      <c r="FY32" s="87"/>
      <c r="FZ32" s="87"/>
      <c r="GA32" s="87"/>
      <c r="GC32" s="714"/>
      <c r="GD32" s="714"/>
      <c r="GE32" s="714"/>
      <c r="GF32" s="714"/>
      <c r="GH32" s="1133"/>
    </row>
    <row r="33" spans="1:190" ht="9" customHeight="1" thickBot="1">
      <c r="A33" s="109"/>
      <c r="B33" s="313"/>
      <c r="C33" s="2113" t="str">
        <f>IF(Race="","",IF(NOT(ISERROR(GD33)),MID(EquipmentNameList,GD29+1,GD33-GD29-1),""))</f>
        <v/>
      </c>
      <c r="D33" s="2113"/>
      <c r="E33" s="2113"/>
      <c r="F33" s="2113"/>
      <c r="G33" s="2113"/>
      <c r="H33" s="2113"/>
      <c r="I33" s="2113"/>
      <c r="J33" s="2113"/>
      <c r="K33" s="2113"/>
      <c r="L33" s="2113"/>
      <c r="M33" s="2113"/>
      <c r="N33" s="2113"/>
      <c r="O33" s="2113"/>
      <c r="P33" s="2113"/>
      <c r="Q33" s="2113"/>
      <c r="R33" s="2113"/>
      <c r="S33" s="2113"/>
      <c r="T33" s="2113"/>
      <c r="U33" s="2113"/>
      <c r="V33" s="2113"/>
      <c r="W33" s="2113"/>
      <c r="X33" s="2113"/>
      <c r="Y33" s="2113"/>
      <c r="Z33" s="2113"/>
      <c r="AA33" s="2113"/>
      <c r="AB33" s="2113"/>
      <c r="AC33" s="2113"/>
      <c r="AD33" s="2113"/>
      <c r="AE33" s="2113"/>
      <c r="AF33" s="2113"/>
      <c r="AG33" s="2113"/>
      <c r="AH33" s="2113"/>
      <c r="AI33" s="2113"/>
      <c r="AJ33" s="2113"/>
      <c r="AK33" s="2113"/>
      <c r="AL33" s="2113"/>
      <c r="AM33" s="2113"/>
      <c r="AN33" s="2113"/>
      <c r="AO33" s="2113"/>
      <c r="AP33" s="2113"/>
      <c r="AQ33" s="2113"/>
      <c r="AR33" s="2113"/>
      <c r="AS33" s="2113"/>
      <c r="AT33" s="2113"/>
      <c r="AU33" s="2113"/>
      <c r="AV33" s="2113"/>
      <c r="AW33" s="2115" t="str">
        <f>IF(Race="","",IF(NOT(ISERROR(GE33)),VALUE(MID(EquipmentWeightList,GE29+1,GE33-GE29-1)),""))</f>
        <v/>
      </c>
      <c r="AX33" s="2115"/>
      <c r="AY33" s="2115"/>
      <c r="AZ33" s="2115"/>
      <c r="BA33" s="2115"/>
      <c r="BB33" s="2115"/>
      <c r="BC33" s="2115"/>
      <c r="BD33" s="2115"/>
      <c r="BE33" s="2115"/>
      <c r="BF33" s="405"/>
      <c r="BG33" s="406"/>
      <c r="BH33" s="301"/>
      <c r="BI33" s="405"/>
      <c r="BJ33" s="1205"/>
      <c r="BK33" s="1192"/>
      <c r="BL33" s="1192"/>
      <c r="BM33" s="1192"/>
      <c r="BN33" s="2106" t="s">
        <v>306</v>
      </c>
      <c r="BO33" s="2106"/>
      <c r="BP33" s="2106"/>
      <c r="BQ33" s="2106"/>
      <c r="BR33" s="2106"/>
      <c r="BS33" s="2106"/>
      <c r="BT33" s="2106"/>
      <c r="BU33" s="2106"/>
      <c r="BV33" s="2106"/>
      <c r="BW33" s="2106"/>
      <c r="BX33" s="2106"/>
      <c r="BY33" s="2106"/>
      <c r="BZ33" s="2106"/>
      <c r="CA33" s="2106"/>
      <c r="CB33" s="2106"/>
      <c r="CC33" s="2106"/>
      <c r="CD33" s="2106"/>
      <c r="CE33" s="2106"/>
      <c r="CF33" s="2106"/>
      <c r="CG33" s="2106"/>
      <c r="CH33" s="2106"/>
      <c r="CI33" s="2106"/>
      <c r="CJ33" s="2106"/>
      <c r="CK33" s="2106"/>
      <c r="CL33" s="2106"/>
      <c r="CM33" s="2106"/>
      <c r="CN33" s="2106"/>
      <c r="CO33" s="2106"/>
      <c r="CP33" s="2106"/>
      <c r="CQ33" s="2106"/>
      <c r="CR33" s="2106"/>
      <c r="CS33" s="2106"/>
      <c r="CT33" s="87"/>
      <c r="CU33" s="158" t="e">
        <f>HeroicLvl+ArmourFort</f>
        <v>#NAME?</v>
      </c>
      <c r="CV33" s="411"/>
      <c r="CW33" s="411"/>
      <c r="CX33" s="411"/>
      <c r="CY33" s="411"/>
      <c r="CZ33" s="411"/>
      <c r="DA33" s="411"/>
      <c r="DB33" s="411"/>
      <c r="DC33" s="411"/>
      <c r="DD33" s="160"/>
      <c r="DE33" s="87"/>
      <c r="DF33" s="87"/>
      <c r="DG33" s="87"/>
      <c r="DH33" s="87"/>
      <c r="DI33" s="87"/>
      <c r="DJ33" s="158" t="e">
        <f>HeroicLvl+ArmourFort</f>
        <v>#NAME?</v>
      </c>
      <c r="DK33" s="159"/>
      <c r="DL33" s="159"/>
      <c r="DM33" s="159"/>
      <c r="DN33" s="159"/>
      <c r="DO33" s="159"/>
      <c r="DP33" s="159"/>
      <c r="DQ33" s="159"/>
      <c r="DR33" s="160"/>
      <c r="DS33" s="87"/>
      <c r="DT33" s="87"/>
      <c r="DU33" s="87"/>
      <c r="DV33" s="158"/>
      <c r="DW33" s="159"/>
      <c r="DX33" s="159"/>
      <c r="DY33" s="159"/>
      <c r="DZ33" s="159"/>
      <c r="EA33" s="159"/>
      <c r="EB33" s="159"/>
      <c r="EC33" s="159"/>
      <c r="ED33" s="160"/>
      <c r="EE33" s="87"/>
      <c r="EF33" s="87"/>
      <c r="EG33" s="87"/>
      <c r="EH33" s="158"/>
      <c r="EI33" s="184"/>
      <c r="EJ33" s="184"/>
      <c r="EK33" s="184"/>
      <c r="EL33" s="184"/>
      <c r="EM33" s="184"/>
      <c r="EN33" s="184"/>
      <c r="EO33" s="184"/>
      <c r="EP33" s="160"/>
      <c r="EQ33" s="87"/>
      <c r="ER33" s="87"/>
      <c r="ES33" s="87"/>
      <c r="ET33" s="158"/>
      <c r="EU33" s="1649"/>
      <c r="EV33" s="1649"/>
      <c r="EW33" s="1649"/>
      <c r="EX33" s="1649"/>
      <c r="EY33" s="1649"/>
      <c r="EZ33" s="1649"/>
      <c r="FA33" s="1649"/>
      <c r="FB33" s="160"/>
      <c r="FC33" s="87"/>
      <c r="FD33" s="87"/>
      <c r="FE33" s="87"/>
      <c r="FF33" s="158"/>
      <c r="FG33" s="159"/>
      <c r="FH33" s="159"/>
      <c r="FI33" s="159"/>
      <c r="FJ33" s="159"/>
      <c r="FK33" s="159"/>
      <c r="FL33" s="159"/>
      <c r="FM33" s="159"/>
      <c r="FN33" s="160"/>
      <c r="FO33" s="87"/>
      <c r="FP33" s="988"/>
      <c r="FQ33" s="988"/>
      <c r="FR33" s="988"/>
      <c r="FS33" s="988"/>
      <c r="FT33" s="988"/>
      <c r="FU33" s="988"/>
      <c r="FV33" s="988"/>
      <c r="FW33" s="988"/>
      <c r="FX33" s="988"/>
      <c r="FY33" s="87"/>
      <c r="FZ33" s="87"/>
      <c r="GA33" s="87"/>
      <c r="GC33" s="1853">
        <f>GC29+1</f>
        <v>6</v>
      </c>
      <c r="GD33" s="1853" t="e">
        <f>FIND(";",EquipmentNameList,GD29+1)</f>
        <v>#VALUE!</v>
      </c>
      <c r="GE33" s="1853" t="e">
        <f>FIND(";",EquipmentWeightList,GE29+1)</f>
        <v>#VALUE!</v>
      </c>
      <c r="GF33" s="1853" t="e">
        <f>FIND(";",EquipmentNumberList,GF29+1)</f>
        <v>#VALUE!</v>
      </c>
      <c r="GH33" s="1133"/>
    </row>
    <row r="34" spans="1:190" ht="9" customHeight="1">
      <c r="A34" s="109"/>
      <c r="B34" s="313"/>
      <c r="C34" s="2113"/>
      <c r="D34" s="2113"/>
      <c r="E34" s="2113"/>
      <c r="F34" s="2113"/>
      <c r="G34" s="2113"/>
      <c r="H34" s="2113"/>
      <c r="I34" s="2113"/>
      <c r="J34" s="2113"/>
      <c r="K34" s="2113"/>
      <c r="L34" s="2113"/>
      <c r="M34" s="2113"/>
      <c r="N34" s="2113"/>
      <c r="O34" s="2113"/>
      <c r="P34" s="2113"/>
      <c r="Q34" s="2113"/>
      <c r="R34" s="2113"/>
      <c r="S34" s="2113"/>
      <c r="T34" s="2113"/>
      <c r="U34" s="2113"/>
      <c r="V34" s="2113"/>
      <c r="W34" s="2113"/>
      <c r="X34" s="2113"/>
      <c r="Y34" s="2113"/>
      <c r="Z34" s="2113"/>
      <c r="AA34" s="2113"/>
      <c r="AB34" s="2113"/>
      <c r="AC34" s="2113"/>
      <c r="AD34" s="2113"/>
      <c r="AE34" s="2113"/>
      <c r="AF34" s="2113"/>
      <c r="AG34" s="2113"/>
      <c r="AH34" s="2113"/>
      <c r="AI34" s="2113"/>
      <c r="AJ34" s="2113"/>
      <c r="AK34" s="2113"/>
      <c r="AL34" s="2113"/>
      <c r="AM34" s="2113"/>
      <c r="AN34" s="2113"/>
      <c r="AO34" s="2113"/>
      <c r="AP34" s="2113"/>
      <c r="AQ34" s="2113"/>
      <c r="AR34" s="2113"/>
      <c r="AS34" s="2113"/>
      <c r="AT34" s="2113"/>
      <c r="AU34" s="2113"/>
      <c r="AV34" s="2113"/>
      <c r="AW34" s="2115"/>
      <c r="AX34" s="2115"/>
      <c r="AY34" s="2115"/>
      <c r="AZ34" s="2115"/>
      <c r="BA34" s="2115"/>
      <c r="BB34" s="2115"/>
      <c r="BC34" s="2115"/>
      <c r="BD34" s="2115"/>
      <c r="BE34" s="2115"/>
      <c r="BF34" s="405"/>
      <c r="BG34" s="406"/>
      <c r="BH34" s="301"/>
      <c r="BI34" s="405"/>
      <c r="BJ34" s="1205"/>
      <c r="BK34" s="1192"/>
      <c r="BL34" s="1192"/>
      <c r="BM34" s="1192"/>
      <c r="BN34" s="2106"/>
      <c r="BO34" s="2106"/>
      <c r="BP34" s="2106"/>
      <c r="BQ34" s="2106"/>
      <c r="BR34" s="2106"/>
      <c r="BS34" s="2106"/>
      <c r="BT34" s="2106"/>
      <c r="BU34" s="2106"/>
      <c r="BV34" s="2106"/>
      <c r="BW34" s="2106"/>
      <c r="BX34" s="2106"/>
      <c r="BY34" s="2106"/>
      <c r="BZ34" s="2106"/>
      <c r="CA34" s="2106"/>
      <c r="CB34" s="2106"/>
      <c r="CC34" s="2106"/>
      <c r="CD34" s="2106"/>
      <c r="CE34" s="2106"/>
      <c r="CF34" s="2106"/>
      <c r="CG34" s="2106"/>
      <c r="CH34" s="2106"/>
      <c r="CI34" s="2106"/>
      <c r="CJ34" s="2106"/>
      <c r="CK34" s="2106"/>
      <c r="CL34" s="2106"/>
      <c r="CM34" s="2106"/>
      <c r="CN34" s="2106"/>
      <c r="CO34" s="2106"/>
      <c r="CP34" s="2106"/>
      <c r="CQ34" s="2106"/>
      <c r="CR34" s="2106"/>
      <c r="CS34" s="2106"/>
      <c r="CT34" s="87"/>
      <c r="CU34" s="166"/>
      <c r="CV34" s="2107">
        <f ca="1">Endurance</f>
        <v>0</v>
      </c>
      <c r="CW34" s="2107"/>
      <c r="CX34" s="2107"/>
      <c r="CY34" s="2107"/>
      <c r="CZ34" s="2107"/>
      <c r="DA34" s="2107"/>
      <c r="DB34" s="2107"/>
      <c r="DC34" s="2107"/>
      <c r="DD34" s="167"/>
      <c r="DE34" s="87"/>
      <c r="DF34" s="117"/>
      <c r="DG34" s="117"/>
      <c r="DH34" s="117"/>
      <c r="DI34" s="87"/>
      <c r="DJ34" s="166"/>
      <c r="DK34" s="1991">
        <f>ROUNDDOWN(CharacterLevel/2,0)</f>
        <v>0</v>
      </c>
      <c r="DL34" s="1991"/>
      <c r="DM34" s="1991"/>
      <c r="DN34" s="1991"/>
      <c r="DO34" s="1991"/>
      <c r="DP34" s="1991"/>
      <c r="DQ34" s="1991"/>
      <c r="DR34" s="167"/>
      <c r="DS34" s="87"/>
      <c r="DT34" s="87"/>
      <c r="DU34" s="87"/>
      <c r="DV34" s="166"/>
      <c r="DW34" s="1991" t="str">
        <f>ConMod</f>
        <v/>
      </c>
      <c r="DX34" s="1991"/>
      <c r="DY34" s="1991"/>
      <c r="DZ34" s="1991"/>
      <c r="EA34" s="1991"/>
      <c r="EB34" s="1991"/>
      <c r="EC34" s="1991"/>
      <c r="ED34" s="167"/>
      <c r="EE34" s="87"/>
      <c r="EF34" s="87"/>
      <c r="EG34" s="87"/>
      <c r="EH34" s="166"/>
      <c r="EI34" s="1991" t="str">
        <f>IF(CharacterLevel&gt;0,IF(OR(INDEX(SkillTable,MATCH(BN33,SkillList,0),4)="Yes",INDEX(SkillTable,MATCH(BN33,SkillList,0),5)="Yes"),5,0),"")</f>
        <v/>
      </c>
      <c r="EJ34" s="1991"/>
      <c r="EK34" s="1991"/>
      <c r="EL34" s="1991"/>
      <c r="EM34" s="1991"/>
      <c r="EN34" s="1991"/>
      <c r="EO34" s="1991"/>
      <c r="EP34" s="264"/>
      <c r="EQ34" s="265"/>
      <c r="ER34" s="265"/>
      <c r="ES34" s="265"/>
      <c r="ET34" s="266"/>
      <c r="EU34" s="1991" t="b">
        <f>IF(CharacterLevel&gt;0,IF(Skills!R14="Yes",5,0))</f>
        <v>0</v>
      </c>
      <c r="EV34" s="1991"/>
      <c r="EW34" s="1991"/>
      <c r="EX34" s="1991"/>
      <c r="EY34" s="1991"/>
      <c r="EZ34" s="1991"/>
      <c r="FA34" s="1991"/>
      <c r="FB34" s="167"/>
      <c r="FC34" s="265"/>
      <c r="FD34" s="265"/>
      <c r="FE34" s="265"/>
      <c r="FF34" s="266"/>
      <c r="FG34" s="1991">
        <f>ArmorPenalty+INDEX(SkillTable,MATCH(BN33,SkillList,0),12)</f>
        <v>0</v>
      </c>
      <c r="FH34" s="1991"/>
      <c r="FI34" s="1991"/>
      <c r="FJ34" s="1991"/>
      <c r="FK34" s="1991"/>
      <c r="FL34" s="1991"/>
      <c r="FM34" s="1991"/>
      <c r="FN34" s="167"/>
      <c r="FO34" s="87"/>
      <c r="FP34" s="2124" t="str">
        <f>IF(INDEX(SkillTable,MATCH(BN33,SkillList,0),77)&lt;&gt;"","×","")</f>
        <v/>
      </c>
      <c r="FQ34" s="2125"/>
      <c r="FR34" s="2125"/>
      <c r="FS34" s="2126"/>
      <c r="FT34" s="988"/>
      <c r="FU34" s="2124" t="str">
        <f>IF(INDEX(SkillTable,MATCH(BN33,SkillList,0),31)&lt;&gt;"","×","")</f>
        <v/>
      </c>
      <c r="FV34" s="2125"/>
      <c r="FW34" s="2125"/>
      <c r="FX34" s="2126"/>
      <c r="FY34" s="87"/>
      <c r="FZ34" s="87"/>
      <c r="GA34" s="87"/>
      <c r="GC34" s="1853"/>
      <c r="GD34" s="1853"/>
      <c r="GE34" s="1853"/>
      <c r="GF34" s="1853"/>
      <c r="GH34" s="1135" t="e">
        <f ca="1">IF(INDEX(SkillTable,MATCH(BN33,SkillList,0),14),1,0)</f>
        <v>#VALUE!</v>
      </c>
    </row>
    <row r="35" spans="1:190" ht="9" customHeight="1" thickBot="1">
      <c r="A35" s="301"/>
      <c r="B35" s="313"/>
      <c r="C35" s="2114"/>
      <c r="D35" s="2114"/>
      <c r="E35" s="2114"/>
      <c r="F35" s="2114"/>
      <c r="G35" s="2114"/>
      <c r="H35" s="2114"/>
      <c r="I35" s="2114"/>
      <c r="J35" s="2114"/>
      <c r="K35" s="2114"/>
      <c r="L35" s="2114"/>
      <c r="M35" s="2114"/>
      <c r="N35" s="2114"/>
      <c r="O35" s="2114"/>
      <c r="P35" s="2114"/>
      <c r="Q35" s="2114"/>
      <c r="R35" s="2114"/>
      <c r="S35" s="2114"/>
      <c r="T35" s="2114"/>
      <c r="U35" s="2114"/>
      <c r="V35" s="2114"/>
      <c r="W35" s="2114"/>
      <c r="X35" s="2114"/>
      <c r="Y35" s="2114"/>
      <c r="Z35" s="2114"/>
      <c r="AA35" s="2114"/>
      <c r="AB35" s="2114"/>
      <c r="AC35" s="2114"/>
      <c r="AD35" s="2114"/>
      <c r="AE35" s="2114"/>
      <c r="AF35" s="2114"/>
      <c r="AG35" s="2114"/>
      <c r="AH35" s="2114"/>
      <c r="AI35" s="2114"/>
      <c r="AJ35" s="2114"/>
      <c r="AK35" s="2114"/>
      <c r="AL35" s="2114"/>
      <c r="AM35" s="2114"/>
      <c r="AN35" s="2114"/>
      <c r="AO35" s="2114"/>
      <c r="AP35" s="2114"/>
      <c r="AQ35" s="2114"/>
      <c r="AR35" s="2114"/>
      <c r="AS35" s="2114"/>
      <c r="AT35" s="2114"/>
      <c r="AU35" s="2114"/>
      <c r="AV35" s="2114"/>
      <c r="AW35" s="2116"/>
      <c r="AX35" s="2116"/>
      <c r="AY35" s="2116"/>
      <c r="AZ35" s="2116"/>
      <c r="BA35" s="2116"/>
      <c r="BB35" s="2116"/>
      <c r="BC35" s="2116"/>
      <c r="BD35" s="2116"/>
      <c r="BE35" s="2116"/>
      <c r="BF35" s="405"/>
      <c r="BG35" s="406"/>
      <c r="BH35" s="301"/>
      <c r="BI35" s="405"/>
      <c r="BJ35" s="1205"/>
      <c r="BK35" s="1211"/>
      <c r="BL35" s="1211"/>
      <c r="BM35" s="1211"/>
      <c r="BN35" s="2106"/>
      <c r="BO35" s="2106"/>
      <c r="BP35" s="2106"/>
      <c r="BQ35" s="2106"/>
      <c r="BR35" s="2106"/>
      <c r="BS35" s="2106"/>
      <c r="BT35" s="2106"/>
      <c r="BU35" s="2106"/>
      <c r="BV35" s="2106"/>
      <c r="BW35" s="2106"/>
      <c r="BX35" s="2106"/>
      <c r="BY35" s="2106"/>
      <c r="BZ35" s="2106"/>
      <c r="CA35" s="2106"/>
      <c r="CB35" s="2106"/>
      <c r="CC35" s="2106"/>
      <c r="CD35" s="2106"/>
      <c r="CE35" s="2106"/>
      <c r="CF35" s="2106"/>
      <c r="CG35" s="2106"/>
      <c r="CH35" s="2106"/>
      <c r="CI35" s="2106"/>
      <c r="CJ35" s="2106"/>
      <c r="CK35" s="2106"/>
      <c r="CL35" s="2106"/>
      <c r="CM35" s="2106"/>
      <c r="CN35" s="2106"/>
      <c r="CO35" s="2106"/>
      <c r="CP35" s="2106"/>
      <c r="CQ35" s="2106"/>
      <c r="CR35" s="2106"/>
      <c r="CS35" s="2106"/>
      <c r="CT35" s="87"/>
      <c r="CU35" s="166"/>
      <c r="CV35" s="2107"/>
      <c r="CW35" s="2107"/>
      <c r="CX35" s="2107"/>
      <c r="CY35" s="2107"/>
      <c r="CZ35" s="2107"/>
      <c r="DA35" s="2107"/>
      <c r="DB35" s="2107"/>
      <c r="DC35" s="2107"/>
      <c r="DD35" s="167"/>
      <c r="DE35" s="87"/>
      <c r="DF35" s="87"/>
      <c r="DG35" s="87"/>
      <c r="DH35" s="87"/>
      <c r="DI35" s="87"/>
      <c r="DJ35" s="166"/>
      <c r="DK35" s="1991"/>
      <c r="DL35" s="1991"/>
      <c r="DM35" s="1991"/>
      <c r="DN35" s="1991"/>
      <c r="DO35" s="1991"/>
      <c r="DP35" s="1991"/>
      <c r="DQ35" s="1991"/>
      <c r="DR35" s="167"/>
      <c r="DS35" s="117"/>
      <c r="DT35" s="117"/>
      <c r="DU35" s="117"/>
      <c r="DV35" s="166"/>
      <c r="DW35" s="1991"/>
      <c r="DX35" s="1991"/>
      <c r="DY35" s="1991"/>
      <c r="DZ35" s="1991"/>
      <c r="EA35" s="1991"/>
      <c r="EB35" s="1991"/>
      <c r="EC35" s="1991"/>
      <c r="ED35" s="167"/>
      <c r="EE35" s="117"/>
      <c r="EF35" s="117"/>
      <c r="EG35" s="117"/>
      <c r="EH35" s="166"/>
      <c r="EI35" s="1991"/>
      <c r="EJ35" s="1991"/>
      <c r="EK35" s="1991"/>
      <c r="EL35" s="1991"/>
      <c r="EM35" s="1991"/>
      <c r="EN35" s="1991"/>
      <c r="EO35" s="1991"/>
      <c r="EP35" s="264"/>
      <c r="EQ35" s="117"/>
      <c r="ER35" s="117"/>
      <c r="ES35" s="117"/>
      <c r="ET35" s="266"/>
      <c r="EU35" s="1991"/>
      <c r="EV35" s="1991"/>
      <c r="EW35" s="1991"/>
      <c r="EX35" s="1991"/>
      <c r="EY35" s="1991"/>
      <c r="EZ35" s="1991"/>
      <c r="FA35" s="1991"/>
      <c r="FB35" s="167"/>
      <c r="FC35" s="117"/>
      <c r="FD35" s="117"/>
      <c r="FE35" s="117"/>
      <c r="FF35" s="266"/>
      <c r="FG35" s="1991"/>
      <c r="FH35" s="1991"/>
      <c r="FI35" s="1991"/>
      <c r="FJ35" s="1991"/>
      <c r="FK35" s="1991"/>
      <c r="FL35" s="1991"/>
      <c r="FM35" s="1991"/>
      <c r="FN35" s="167"/>
      <c r="FO35" s="117"/>
      <c r="FP35" s="2127"/>
      <c r="FQ35" s="2081"/>
      <c r="FR35" s="2081"/>
      <c r="FS35" s="2128"/>
      <c r="FT35" s="989"/>
      <c r="FU35" s="2127"/>
      <c r="FV35" s="2081"/>
      <c r="FW35" s="2081"/>
      <c r="FX35" s="2128"/>
      <c r="FY35" s="87"/>
      <c r="FZ35" s="87"/>
      <c r="GA35" s="87"/>
      <c r="GC35" s="1853"/>
      <c r="GD35" s="1853"/>
      <c r="GE35" s="1853"/>
      <c r="GF35" s="1853"/>
      <c r="GH35" s="1133"/>
    </row>
    <row r="36" spans="1:190" ht="9" customHeight="1" thickBot="1">
      <c r="A36" s="301"/>
      <c r="B36" s="313"/>
      <c r="C36" s="301"/>
      <c r="D36" s="301"/>
      <c r="E36" s="643"/>
      <c r="F36" s="643"/>
      <c r="G36" s="643"/>
      <c r="H36" s="643"/>
      <c r="I36" s="643"/>
      <c r="J36" s="643"/>
      <c r="K36" s="301"/>
      <c r="L36" s="301"/>
      <c r="M36" s="301"/>
      <c r="N36" s="301"/>
      <c r="O36" s="301"/>
      <c r="P36" s="301"/>
      <c r="Q36" s="301"/>
      <c r="R36" s="301"/>
      <c r="S36" s="301"/>
      <c r="T36" s="301"/>
      <c r="U36" s="301"/>
      <c r="V36" s="301"/>
      <c r="W36" s="301"/>
      <c r="X36" s="301"/>
      <c r="Y36" s="301"/>
      <c r="Z36" s="301"/>
      <c r="AA36" s="301"/>
      <c r="AB36" s="301"/>
      <c r="AC36" s="301"/>
      <c r="AD36" s="301"/>
      <c r="AE36" s="301"/>
      <c r="AF36" s="301"/>
      <c r="AG36" s="301"/>
      <c r="AH36" s="301"/>
      <c r="AI36" s="301"/>
      <c r="AJ36" s="301"/>
      <c r="AK36" s="301"/>
      <c r="AL36" s="301"/>
      <c r="AM36" s="301"/>
      <c r="AN36" s="301"/>
      <c r="AO36" s="301"/>
      <c r="AP36" s="301"/>
      <c r="AQ36" s="301"/>
      <c r="AR36" s="301"/>
      <c r="AS36" s="301"/>
      <c r="AT36" s="301"/>
      <c r="AU36" s="301"/>
      <c r="AV36" s="301"/>
      <c r="AW36" s="1087"/>
      <c r="AX36" s="1087"/>
      <c r="AY36" s="1087"/>
      <c r="AZ36" s="1087"/>
      <c r="BA36" s="1087"/>
      <c r="BB36" s="1087"/>
      <c r="BC36" s="1087"/>
      <c r="BD36" s="1087"/>
      <c r="BE36" s="1087"/>
      <c r="BF36" s="405"/>
      <c r="BG36" s="406"/>
      <c r="BH36" s="301"/>
      <c r="BI36" s="405"/>
      <c r="BJ36" s="1205"/>
      <c r="BK36" s="1211"/>
      <c r="BL36" s="1211"/>
      <c r="BM36" s="1211"/>
      <c r="BN36" s="2106"/>
      <c r="BO36" s="2106"/>
      <c r="BP36" s="2106"/>
      <c r="BQ36" s="2106"/>
      <c r="BR36" s="2106"/>
      <c r="BS36" s="2106"/>
      <c r="BT36" s="2106"/>
      <c r="BU36" s="2106"/>
      <c r="BV36" s="2106"/>
      <c r="BW36" s="2106"/>
      <c r="BX36" s="2106"/>
      <c r="BY36" s="2106"/>
      <c r="BZ36" s="2106"/>
      <c r="CA36" s="2106"/>
      <c r="CB36" s="2106"/>
      <c r="CC36" s="2106"/>
      <c r="CD36" s="2106"/>
      <c r="CE36" s="2106"/>
      <c r="CF36" s="2106"/>
      <c r="CG36" s="2106"/>
      <c r="CH36" s="2106"/>
      <c r="CI36" s="2106"/>
      <c r="CJ36" s="2106"/>
      <c r="CK36" s="2106"/>
      <c r="CL36" s="2106"/>
      <c r="CM36" s="2106"/>
      <c r="CN36" s="2106"/>
      <c r="CO36" s="2106"/>
      <c r="CP36" s="2106"/>
      <c r="CQ36" s="2106"/>
      <c r="CR36" s="2106"/>
      <c r="CS36" s="2106"/>
      <c r="CT36" s="87"/>
      <c r="CU36" s="166"/>
      <c r="CV36" s="2107"/>
      <c r="CW36" s="2107"/>
      <c r="CX36" s="2107"/>
      <c r="CY36" s="2107"/>
      <c r="CZ36" s="2107"/>
      <c r="DA36" s="2107"/>
      <c r="DB36" s="2107"/>
      <c r="DC36" s="2107"/>
      <c r="DD36" s="167"/>
      <c r="DE36" s="87"/>
      <c r="DF36" s="117"/>
      <c r="DG36" s="117"/>
      <c r="DH36" s="117"/>
      <c r="DI36" s="87"/>
      <c r="DJ36" s="166"/>
      <c r="DK36" s="1991"/>
      <c r="DL36" s="1991"/>
      <c r="DM36" s="1991"/>
      <c r="DN36" s="1991"/>
      <c r="DO36" s="1991"/>
      <c r="DP36" s="1991"/>
      <c r="DQ36" s="1991"/>
      <c r="DR36" s="167"/>
      <c r="DS36" s="87"/>
      <c r="DT36" s="87"/>
      <c r="DU36" s="87"/>
      <c r="DV36" s="166"/>
      <c r="DW36" s="1991"/>
      <c r="DX36" s="1991"/>
      <c r="DY36" s="1991"/>
      <c r="DZ36" s="1991"/>
      <c r="EA36" s="1991"/>
      <c r="EB36" s="1991"/>
      <c r="EC36" s="1991"/>
      <c r="ED36" s="167"/>
      <c r="EE36" s="87"/>
      <c r="EF36" s="87"/>
      <c r="EG36" s="87"/>
      <c r="EH36" s="166"/>
      <c r="EI36" s="1991"/>
      <c r="EJ36" s="1991"/>
      <c r="EK36" s="1991"/>
      <c r="EL36" s="1991"/>
      <c r="EM36" s="1991"/>
      <c r="EN36" s="1991"/>
      <c r="EO36" s="1991"/>
      <c r="EP36" s="264"/>
      <c r="EQ36" s="87"/>
      <c r="ER36" s="87"/>
      <c r="ES36" s="87"/>
      <c r="ET36" s="266"/>
      <c r="EU36" s="1991"/>
      <c r="EV36" s="1991"/>
      <c r="EW36" s="1991"/>
      <c r="EX36" s="1991"/>
      <c r="EY36" s="1991"/>
      <c r="EZ36" s="1991"/>
      <c r="FA36" s="1991"/>
      <c r="FB36" s="167"/>
      <c r="FC36" s="87"/>
      <c r="FD36" s="87"/>
      <c r="FE36" s="87"/>
      <c r="FF36" s="266"/>
      <c r="FG36" s="1991"/>
      <c r="FH36" s="1991"/>
      <c r="FI36" s="1991"/>
      <c r="FJ36" s="1991"/>
      <c r="FK36" s="1991"/>
      <c r="FL36" s="1991"/>
      <c r="FM36" s="1991"/>
      <c r="FN36" s="167"/>
      <c r="FO36" s="87"/>
      <c r="FP36" s="2129"/>
      <c r="FQ36" s="2130"/>
      <c r="FR36" s="2130"/>
      <c r="FS36" s="2131"/>
      <c r="FT36" s="988"/>
      <c r="FU36" s="2129"/>
      <c r="FV36" s="2130"/>
      <c r="FW36" s="2130"/>
      <c r="FX36" s="2131"/>
      <c r="FY36" s="87"/>
      <c r="FZ36" s="87"/>
      <c r="GA36" s="87"/>
      <c r="GC36" s="714"/>
      <c r="GD36" s="714"/>
      <c r="GE36" s="714"/>
      <c r="GF36" s="714"/>
      <c r="GH36" s="1133"/>
    </row>
    <row r="37" spans="1:190" ht="9" customHeight="1" thickBot="1">
      <c r="A37" s="301"/>
      <c r="B37" s="313"/>
      <c r="C37" s="2113" t="str">
        <f>IF(Race="","",IF(NOT(ISERROR(GD37)),MID(EquipmentNameList,GD33+1,GD37-GD33-1),""))</f>
        <v/>
      </c>
      <c r="D37" s="2113"/>
      <c r="E37" s="2113"/>
      <c r="F37" s="2113"/>
      <c r="G37" s="2113"/>
      <c r="H37" s="2113"/>
      <c r="I37" s="2113"/>
      <c r="J37" s="2113"/>
      <c r="K37" s="2113"/>
      <c r="L37" s="2113"/>
      <c r="M37" s="2113"/>
      <c r="N37" s="2113"/>
      <c r="O37" s="2113"/>
      <c r="P37" s="2113"/>
      <c r="Q37" s="2113"/>
      <c r="R37" s="2113"/>
      <c r="S37" s="2113"/>
      <c r="T37" s="2113"/>
      <c r="U37" s="2113"/>
      <c r="V37" s="2113"/>
      <c r="W37" s="2113"/>
      <c r="X37" s="2113"/>
      <c r="Y37" s="2113"/>
      <c r="Z37" s="2113"/>
      <c r="AA37" s="2113"/>
      <c r="AB37" s="2113"/>
      <c r="AC37" s="2113"/>
      <c r="AD37" s="2113"/>
      <c r="AE37" s="2113"/>
      <c r="AF37" s="2113"/>
      <c r="AG37" s="2113"/>
      <c r="AH37" s="2113"/>
      <c r="AI37" s="2113"/>
      <c r="AJ37" s="2113"/>
      <c r="AK37" s="2113"/>
      <c r="AL37" s="2113"/>
      <c r="AM37" s="2113"/>
      <c r="AN37" s="2113"/>
      <c r="AO37" s="2113"/>
      <c r="AP37" s="2113"/>
      <c r="AQ37" s="2113"/>
      <c r="AR37" s="2113"/>
      <c r="AS37" s="2113"/>
      <c r="AT37" s="2113"/>
      <c r="AU37" s="2113"/>
      <c r="AV37" s="2113"/>
      <c r="AW37" s="2115" t="str">
        <f>IF(Race="","",IF(NOT(ISERROR(GE37)),VALUE(MID(EquipmentWeightList,GE33+1,GE37-GE33-1)),""))</f>
        <v/>
      </c>
      <c r="AX37" s="2115"/>
      <c r="AY37" s="2115"/>
      <c r="AZ37" s="2115"/>
      <c r="BA37" s="2115"/>
      <c r="BB37" s="2115"/>
      <c r="BC37" s="2115"/>
      <c r="BD37" s="2115"/>
      <c r="BE37" s="2115"/>
      <c r="BF37" s="405"/>
      <c r="BG37" s="406"/>
      <c r="BH37" s="301"/>
      <c r="BI37" s="405"/>
      <c r="BJ37" s="1205"/>
      <c r="BK37" s="1211"/>
      <c r="BL37" s="1211"/>
      <c r="BM37" s="1211"/>
      <c r="BN37" s="2106"/>
      <c r="BO37" s="2106"/>
      <c r="BP37" s="2106"/>
      <c r="BQ37" s="2106"/>
      <c r="BR37" s="2106"/>
      <c r="BS37" s="2106"/>
      <c r="BT37" s="2106"/>
      <c r="BU37" s="2106"/>
      <c r="BV37" s="2106"/>
      <c r="BW37" s="2106"/>
      <c r="BX37" s="2106"/>
      <c r="BY37" s="2106"/>
      <c r="BZ37" s="2106"/>
      <c r="CA37" s="2106"/>
      <c r="CB37" s="2106"/>
      <c r="CC37" s="2106"/>
      <c r="CD37" s="2106"/>
      <c r="CE37" s="2106"/>
      <c r="CF37" s="2106"/>
      <c r="CG37" s="2106"/>
      <c r="CH37" s="2106"/>
      <c r="CI37" s="2106"/>
      <c r="CJ37" s="2106"/>
      <c r="CK37" s="2106"/>
      <c r="CL37" s="2106"/>
      <c r="CM37" s="2106"/>
      <c r="CN37" s="2106"/>
      <c r="CO37" s="2106"/>
      <c r="CP37" s="2106"/>
      <c r="CQ37" s="2106"/>
      <c r="CR37" s="2106"/>
      <c r="CS37" s="2106"/>
      <c r="CT37" s="87"/>
      <c r="CU37" s="160"/>
      <c r="CV37" s="409"/>
      <c r="CW37" s="409"/>
      <c r="CX37" s="409"/>
      <c r="CY37" s="409"/>
      <c r="CZ37" s="409"/>
      <c r="DA37" s="409"/>
      <c r="DB37" s="409"/>
      <c r="DC37" s="409"/>
      <c r="DD37" s="158"/>
      <c r="DE37" s="87"/>
      <c r="DF37" s="87"/>
      <c r="DG37" s="87"/>
      <c r="DH37" s="87"/>
      <c r="DI37" s="87"/>
      <c r="DJ37" s="160"/>
      <c r="DK37" s="240"/>
      <c r="DL37" s="240"/>
      <c r="DM37" s="240"/>
      <c r="DN37" s="240"/>
      <c r="DO37" s="240"/>
      <c r="DP37" s="240"/>
      <c r="DQ37" s="240"/>
      <c r="DR37" s="158"/>
      <c r="DS37" s="87"/>
      <c r="DT37" s="87"/>
      <c r="DU37" s="87"/>
      <c r="DV37" s="160"/>
      <c r="DW37" s="240"/>
      <c r="DX37" s="240"/>
      <c r="DY37" s="240"/>
      <c r="DZ37" s="240"/>
      <c r="EA37" s="240"/>
      <c r="EB37" s="240"/>
      <c r="EC37" s="240"/>
      <c r="ED37" s="158"/>
      <c r="EE37" s="87"/>
      <c r="EF37" s="87"/>
      <c r="EG37" s="87"/>
      <c r="EH37" s="160"/>
      <c r="EI37" s="204"/>
      <c r="EJ37" s="204"/>
      <c r="EK37" s="204"/>
      <c r="EL37" s="204"/>
      <c r="EM37" s="204"/>
      <c r="EN37" s="204"/>
      <c r="EO37" s="204"/>
      <c r="EP37" s="274"/>
      <c r="EQ37" s="87"/>
      <c r="ER37" s="87"/>
      <c r="ES37" s="87"/>
      <c r="ET37" s="203"/>
      <c r="EU37" s="204"/>
      <c r="EV37" s="204"/>
      <c r="EW37" s="204"/>
      <c r="EX37" s="204"/>
      <c r="EY37" s="204"/>
      <c r="EZ37" s="204"/>
      <c r="FA37" s="204"/>
      <c r="FB37" s="158"/>
      <c r="FC37" s="87"/>
      <c r="FD37" s="87"/>
      <c r="FE37" s="87"/>
      <c r="FF37" s="203"/>
      <c r="FG37" s="204"/>
      <c r="FH37" s="204"/>
      <c r="FI37" s="204"/>
      <c r="FJ37" s="204"/>
      <c r="FK37" s="204"/>
      <c r="FL37" s="204"/>
      <c r="FM37" s="204"/>
      <c r="FN37" s="158"/>
      <c r="FO37" s="87"/>
      <c r="FP37" s="988"/>
      <c r="FQ37" s="988"/>
      <c r="FR37" s="988"/>
      <c r="FS37" s="988"/>
      <c r="FT37" s="988"/>
      <c r="FU37" s="988"/>
      <c r="FV37" s="988"/>
      <c r="FW37" s="988"/>
      <c r="FX37" s="988"/>
      <c r="FY37" s="87"/>
      <c r="FZ37" s="87"/>
      <c r="GA37" s="87"/>
      <c r="GC37" s="1853">
        <f>GC33+1</f>
        <v>7</v>
      </c>
      <c r="GD37" s="1853" t="e">
        <f>FIND(";",EquipmentNameList,GD33+1)</f>
        <v>#VALUE!</v>
      </c>
      <c r="GE37" s="1853" t="e">
        <f>FIND(";",EquipmentWeightList,GE33+1)</f>
        <v>#VALUE!</v>
      </c>
      <c r="GF37" s="1853" t="e">
        <f>FIND(";",EquipmentNumberList,GF33+1)</f>
        <v>#VALUE!</v>
      </c>
      <c r="GH37" s="1133"/>
    </row>
    <row r="38" spans="1:190" ht="9" customHeight="1" thickBot="1">
      <c r="A38" s="301"/>
      <c r="B38" s="313"/>
      <c r="C38" s="2113"/>
      <c r="D38" s="2113"/>
      <c r="E38" s="2113"/>
      <c r="F38" s="2113"/>
      <c r="G38" s="2113"/>
      <c r="H38" s="2113"/>
      <c r="I38" s="2113"/>
      <c r="J38" s="2113"/>
      <c r="K38" s="2113"/>
      <c r="L38" s="2113"/>
      <c r="M38" s="2113"/>
      <c r="N38" s="2113"/>
      <c r="O38" s="2113"/>
      <c r="P38" s="2113"/>
      <c r="Q38" s="2113"/>
      <c r="R38" s="2113"/>
      <c r="S38" s="2113"/>
      <c r="T38" s="2113"/>
      <c r="U38" s="2113"/>
      <c r="V38" s="2113"/>
      <c r="W38" s="2113"/>
      <c r="X38" s="2113"/>
      <c r="Y38" s="2113"/>
      <c r="Z38" s="2113"/>
      <c r="AA38" s="2113"/>
      <c r="AB38" s="2113"/>
      <c r="AC38" s="2113"/>
      <c r="AD38" s="2113"/>
      <c r="AE38" s="2113"/>
      <c r="AF38" s="2113"/>
      <c r="AG38" s="2113"/>
      <c r="AH38" s="2113"/>
      <c r="AI38" s="2113"/>
      <c r="AJ38" s="2113"/>
      <c r="AK38" s="2113"/>
      <c r="AL38" s="2113"/>
      <c r="AM38" s="2113"/>
      <c r="AN38" s="2113"/>
      <c r="AO38" s="2113"/>
      <c r="AP38" s="2113"/>
      <c r="AQ38" s="2113"/>
      <c r="AR38" s="2113"/>
      <c r="AS38" s="2113"/>
      <c r="AT38" s="2113"/>
      <c r="AU38" s="2113"/>
      <c r="AV38" s="2113"/>
      <c r="AW38" s="2115"/>
      <c r="AX38" s="2115"/>
      <c r="AY38" s="2115"/>
      <c r="AZ38" s="2115"/>
      <c r="BA38" s="2115"/>
      <c r="BB38" s="2115"/>
      <c r="BC38" s="2115"/>
      <c r="BD38" s="2115"/>
      <c r="BE38" s="2115"/>
      <c r="BF38" s="405"/>
      <c r="BG38" s="406"/>
      <c r="BH38" s="301"/>
      <c r="BI38" s="405"/>
      <c r="BJ38" s="1205"/>
      <c r="BK38" s="1211"/>
      <c r="BL38" s="1211"/>
      <c r="BM38" s="1211"/>
      <c r="BN38" s="1211"/>
      <c r="BO38" s="1211"/>
      <c r="BP38" s="1211"/>
      <c r="BQ38" s="1211"/>
      <c r="BR38" s="1211"/>
      <c r="BS38" s="1211"/>
      <c r="BT38" s="1211"/>
      <c r="BU38" s="1211"/>
      <c r="BV38" s="1211"/>
      <c r="BW38" s="1211"/>
      <c r="BX38" s="1211"/>
      <c r="BY38" s="1211"/>
      <c r="BZ38" s="1211"/>
      <c r="CA38" s="1211"/>
      <c r="CB38" s="1211"/>
      <c r="CC38" s="1211"/>
      <c r="CD38" s="1211"/>
      <c r="CE38" s="1204"/>
      <c r="CF38" s="1204"/>
      <c r="CG38" s="1204"/>
      <c r="CH38" s="1204"/>
      <c r="CI38" s="1204"/>
      <c r="CJ38" s="1204"/>
      <c r="CK38" s="1204"/>
      <c r="CL38" s="1204"/>
      <c r="CM38" s="1204"/>
      <c r="CN38" s="1204"/>
      <c r="CO38" s="1204"/>
      <c r="CP38" s="1204"/>
      <c r="CQ38" s="1211"/>
      <c r="CR38" s="1211"/>
      <c r="CS38" s="1211"/>
      <c r="CT38" s="385"/>
      <c r="CU38" s="385"/>
      <c r="CV38" s="412"/>
      <c r="CW38" s="412"/>
      <c r="CX38" s="412"/>
      <c r="CY38" s="412"/>
      <c r="CZ38" s="412"/>
      <c r="DA38" s="412"/>
      <c r="DB38" s="412"/>
      <c r="DC38" s="412"/>
      <c r="DD38" s="385"/>
      <c r="DE38" s="385"/>
      <c r="DF38" s="385"/>
      <c r="DG38" s="385"/>
      <c r="DH38" s="385"/>
      <c r="DI38" s="385"/>
      <c r="DJ38" s="385"/>
      <c r="DK38" s="385"/>
      <c r="DL38" s="385"/>
      <c r="DM38" s="385"/>
      <c r="DN38" s="385"/>
      <c r="DO38" s="385"/>
      <c r="DP38" s="385"/>
      <c r="DQ38" s="301"/>
      <c r="DR38" s="95"/>
      <c r="DS38" s="95"/>
      <c r="DT38" s="95"/>
      <c r="DU38" s="95"/>
      <c r="DV38" s="95"/>
      <c r="DW38" s="95"/>
      <c r="DX38" s="95"/>
      <c r="DY38" s="95"/>
      <c r="DZ38" s="95"/>
      <c r="EA38" s="95"/>
      <c r="EB38" s="95"/>
      <c r="EC38" s="95"/>
      <c r="ED38" s="95"/>
      <c r="EE38" s="95"/>
      <c r="EF38" s="95"/>
      <c r="EG38" s="301"/>
      <c r="EH38" s="301"/>
      <c r="EI38" s="301"/>
      <c r="EJ38" s="301"/>
      <c r="EK38" s="301"/>
      <c r="EL38" s="301"/>
      <c r="EM38" s="301"/>
      <c r="EN38" s="301"/>
      <c r="EO38" s="301"/>
      <c r="EP38" s="301"/>
      <c r="EQ38" s="301"/>
      <c r="ER38" s="301"/>
      <c r="ES38" s="301"/>
      <c r="ET38" s="301"/>
      <c r="EU38" s="301"/>
      <c r="EV38" s="301"/>
      <c r="EW38" s="301"/>
      <c r="EX38" s="301"/>
      <c r="EY38" s="301"/>
      <c r="EZ38" s="301"/>
      <c r="FA38" s="301"/>
      <c r="FB38" s="301"/>
      <c r="FC38" s="301"/>
      <c r="FD38" s="301"/>
      <c r="FE38" s="384"/>
      <c r="FF38" s="384"/>
      <c r="FG38" s="301"/>
      <c r="FH38" s="301"/>
      <c r="FI38" s="301"/>
      <c r="FJ38" s="301"/>
      <c r="FK38" s="301"/>
      <c r="FL38" s="301"/>
      <c r="FM38" s="301"/>
      <c r="FN38" s="87"/>
      <c r="FO38" s="87"/>
      <c r="FP38" s="988"/>
      <c r="FQ38" s="988"/>
      <c r="FR38" s="988"/>
      <c r="FS38" s="988"/>
      <c r="FT38" s="988"/>
      <c r="FU38" s="988"/>
      <c r="FV38" s="988"/>
      <c r="FW38" s="988"/>
      <c r="FX38" s="988"/>
      <c r="FY38" s="87"/>
      <c r="FZ38" s="87"/>
      <c r="GA38" s="87"/>
      <c r="GC38" s="1853"/>
      <c r="GD38" s="1853"/>
      <c r="GE38" s="1853"/>
      <c r="GF38" s="1853"/>
      <c r="GH38" s="1133"/>
    </row>
    <row r="39" spans="1:190" ht="9" customHeight="1" thickBot="1">
      <c r="A39" s="301"/>
      <c r="B39" s="313"/>
      <c r="C39" s="2114"/>
      <c r="D39" s="2114"/>
      <c r="E39" s="2114"/>
      <c r="F39" s="2114"/>
      <c r="G39" s="2114"/>
      <c r="H39" s="2114"/>
      <c r="I39" s="2114"/>
      <c r="J39" s="2114"/>
      <c r="K39" s="2114"/>
      <c r="L39" s="2114"/>
      <c r="M39" s="2114"/>
      <c r="N39" s="2114"/>
      <c r="O39" s="2114"/>
      <c r="P39" s="2114"/>
      <c r="Q39" s="2114"/>
      <c r="R39" s="2114"/>
      <c r="S39" s="2114"/>
      <c r="T39" s="2114"/>
      <c r="U39" s="2114"/>
      <c r="V39" s="2114"/>
      <c r="W39" s="2114"/>
      <c r="X39" s="2114"/>
      <c r="Y39" s="2114"/>
      <c r="Z39" s="2114"/>
      <c r="AA39" s="2114"/>
      <c r="AB39" s="2114"/>
      <c r="AC39" s="2114"/>
      <c r="AD39" s="2114"/>
      <c r="AE39" s="2114"/>
      <c r="AF39" s="2114"/>
      <c r="AG39" s="2114"/>
      <c r="AH39" s="2114"/>
      <c r="AI39" s="2114"/>
      <c r="AJ39" s="2114"/>
      <c r="AK39" s="2114"/>
      <c r="AL39" s="2114"/>
      <c r="AM39" s="2114"/>
      <c r="AN39" s="2114"/>
      <c r="AO39" s="2114"/>
      <c r="AP39" s="2114"/>
      <c r="AQ39" s="2114"/>
      <c r="AR39" s="2114"/>
      <c r="AS39" s="2114"/>
      <c r="AT39" s="2114"/>
      <c r="AU39" s="2114"/>
      <c r="AV39" s="2114"/>
      <c r="AW39" s="2116"/>
      <c r="AX39" s="2116"/>
      <c r="AY39" s="2116"/>
      <c r="AZ39" s="2116"/>
      <c r="BA39" s="2116"/>
      <c r="BB39" s="2116"/>
      <c r="BC39" s="2116"/>
      <c r="BD39" s="2116"/>
      <c r="BE39" s="2116"/>
      <c r="BF39" s="405"/>
      <c r="BG39" s="406"/>
      <c r="BH39" s="301"/>
      <c r="BI39" s="405"/>
      <c r="BJ39" s="1205"/>
      <c r="BK39" s="1204"/>
      <c r="BL39" s="1204"/>
      <c r="BM39" s="1204"/>
      <c r="BN39" s="2106" t="s">
        <v>342</v>
      </c>
      <c r="BO39" s="2106"/>
      <c r="BP39" s="2106"/>
      <c r="BQ39" s="2106"/>
      <c r="BR39" s="2106"/>
      <c r="BS39" s="2106"/>
      <c r="BT39" s="2106"/>
      <c r="BU39" s="2106"/>
      <c r="BV39" s="2106"/>
      <c r="BW39" s="2106"/>
      <c r="BX39" s="2106"/>
      <c r="BY39" s="2106"/>
      <c r="BZ39" s="2106"/>
      <c r="CA39" s="2106"/>
      <c r="CB39" s="2106"/>
      <c r="CC39" s="2106"/>
      <c r="CD39" s="2106"/>
      <c r="CE39" s="2106"/>
      <c r="CF39" s="2106"/>
      <c r="CG39" s="2106"/>
      <c r="CH39" s="2106"/>
      <c r="CI39" s="2106"/>
      <c r="CJ39" s="2106"/>
      <c r="CK39" s="2106"/>
      <c r="CL39" s="2106"/>
      <c r="CM39" s="2106"/>
      <c r="CN39" s="2106"/>
      <c r="CO39" s="2106"/>
      <c r="CP39" s="2106"/>
      <c r="CQ39" s="2106"/>
      <c r="CR39" s="2106"/>
      <c r="CS39" s="2106"/>
      <c r="CT39" s="87"/>
      <c r="CU39" s="158" t="e">
        <f>HeroicLvl+ArmourFort</f>
        <v>#NAME?</v>
      </c>
      <c r="CV39" s="411"/>
      <c r="CW39" s="411"/>
      <c r="CX39" s="411"/>
      <c r="CY39" s="411"/>
      <c r="CZ39" s="411"/>
      <c r="DA39" s="411"/>
      <c r="DB39" s="411"/>
      <c r="DC39" s="411"/>
      <c r="DD39" s="160"/>
      <c r="DE39" s="87"/>
      <c r="DF39" s="87"/>
      <c r="DG39" s="87"/>
      <c r="DH39" s="87"/>
      <c r="DI39" s="87"/>
      <c r="DJ39" s="158" t="e">
        <f>HeroicLvl+ArmourFort</f>
        <v>#NAME?</v>
      </c>
      <c r="DK39" s="159"/>
      <c r="DL39" s="159"/>
      <c r="DM39" s="159"/>
      <c r="DN39" s="159"/>
      <c r="DO39" s="159"/>
      <c r="DP39" s="159"/>
      <c r="DQ39" s="159"/>
      <c r="DR39" s="160"/>
      <c r="DS39" s="87"/>
      <c r="DT39" s="87"/>
      <c r="DU39" s="87"/>
      <c r="DV39" s="158"/>
      <c r="DW39" s="159"/>
      <c r="DX39" s="159"/>
      <c r="DY39" s="159"/>
      <c r="DZ39" s="159"/>
      <c r="EA39" s="159"/>
      <c r="EB39" s="159"/>
      <c r="EC39" s="159"/>
      <c r="ED39" s="160"/>
      <c r="EE39" s="87"/>
      <c r="EF39" s="87"/>
      <c r="EG39" s="87"/>
      <c r="EH39" s="158"/>
      <c r="EI39" s="184"/>
      <c r="EJ39" s="184"/>
      <c r="EK39" s="184"/>
      <c r="EL39" s="184"/>
      <c r="EM39" s="184"/>
      <c r="EN39" s="184"/>
      <c r="EO39" s="184"/>
      <c r="EP39" s="160"/>
      <c r="EQ39" s="87"/>
      <c r="ER39" s="87"/>
      <c r="ES39" s="87"/>
      <c r="ET39" s="158"/>
      <c r="EU39" s="1649"/>
      <c r="EV39" s="1649"/>
      <c r="EW39" s="1649"/>
      <c r="EX39" s="1649"/>
      <c r="EY39" s="1649"/>
      <c r="EZ39" s="1649"/>
      <c r="FA39" s="1649"/>
      <c r="FB39" s="160"/>
      <c r="FC39" s="87"/>
      <c r="FD39" s="87"/>
      <c r="FE39" s="87"/>
      <c r="FF39" s="158"/>
      <c r="FG39" s="159"/>
      <c r="FH39" s="159"/>
      <c r="FI39" s="159"/>
      <c r="FJ39" s="159"/>
      <c r="FK39" s="159"/>
      <c r="FL39" s="159"/>
      <c r="FM39" s="159"/>
      <c r="FN39" s="160"/>
      <c r="FO39" s="87"/>
      <c r="FP39" s="988"/>
      <c r="FQ39" s="988"/>
      <c r="FR39" s="988"/>
      <c r="FS39" s="988"/>
      <c r="FT39" s="988"/>
      <c r="FU39" s="988"/>
      <c r="FV39" s="988"/>
      <c r="FW39" s="988"/>
      <c r="FX39" s="988"/>
      <c r="FY39" s="87"/>
      <c r="FZ39" s="87"/>
      <c r="GA39" s="87"/>
      <c r="GC39" s="1853"/>
      <c r="GD39" s="1853"/>
      <c r="GE39" s="1853"/>
      <c r="GF39" s="1853"/>
      <c r="GH39" s="1133"/>
    </row>
    <row r="40" spans="1:190" ht="9" customHeight="1">
      <c r="A40" s="301"/>
      <c r="B40" s="313"/>
      <c r="C40" s="301"/>
      <c r="D40" s="301"/>
      <c r="E40" s="643"/>
      <c r="F40" s="643"/>
      <c r="G40" s="643"/>
      <c r="H40" s="643"/>
      <c r="I40" s="643"/>
      <c r="J40" s="643"/>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1087"/>
      <c r="AX40" s="1087"/>
      <c r="AY40" s="1087"/>
      <c r="AZ40" s="1087"/>
      <c r="BA40" s="1087"/>
      <c r="BB40" s="1087"/>
      <c r="BC40" s="1087"/>
      <c r="BD40" s="1087"/>
      <c r="BE40" s="1087"/>
      <c r="BF40" s="405"/>
      <c r="BG40" s="406"/>
      <c r="BH40" s="301"/>
      <c r="BI40" s="405"/>
      <c r="BJ40" s="1205"/>
      <c r="BK40" s="1204"/>
      <c r="BL40" s="1204"/>
      <c r="BM40" s="1204"/>
      <c r="BN40" s="2106"/>
      <c r="BO40" s="2106"/>
      <c r="BP40" s="2106"/>
      <c r="BQ40" s="2106"/>
      <c r="BR40" s="2106"/>
      <c r="BS40" s="2106"/>
      <c r="BT40" s="2106"/>
      <c r="BU40" s="2106"/>
      <c r="BV40" s="2106"/>
      <c r="BW40" s="2106"/>
      <c r="BX40" s="2106"/>
      <c r="BY40" s="2106"/>
      <c r="BZ40" s="2106"/>
      <c r="CA40" s="2106"/>
      <c r="CB40" s="2106"/>
      <c r="CC40" s="2106"/>
      <c r="CD40" s="2106"/>
      <c r="CE40" s="2106"/>
      <c r="CF40" s="2106"/>
      <c r="CG40" s="2106"/>
      <c r="CH40" s="2106"/>
      <c r="CI40" s="2106"/>
      <c r="CJ40" s="2106"/>
      <c r="CK40" s="2106"/>
      <c r="CL40" s="2106"/>
      <c r="CM40" s="2106"/>
      <c r="CN40" s="2106"/>
      <c r="CO40" s="2106"/>
      <c r="CP40" s="2106"/>
      <c r="CQ40" s="2106"/>
      <c r="CR40" s="2106"/>
      <c r="CS40" s="2106"/>
      <c r="CT40" s="87"/>
      <c r="CU40" s="166"/>
      <c r="CV40" s="2107">
        <f ca="1">GatherInformation</f>
        <v>0</v>
      </c>
      <c r="CW40" s="2107"/>
      <c r="CX40" s="2107"/>
      <c r="CY40" s="2107"/>
      <c r="CZ40" s="2107"/>
      <c r="DA40" s="2107"/>
      <c r="DB40" s="2107"/>
      <c r="DC40" s="2107"/>
      <c r="DD40" s="167"/>
      <c r="DE40" s="87"/>
      <c r="DF40" s="117"/>
      <c r="DG40" s="117"/>
      <c r="DH40" s="117"/>
      <c r="DI40" s="87"/>
      <c r="DJ40" s="166"/>
      <c r="DK40" s="1991">
        <f>ROUNDDOWN(CharacterLevel/2,0)</f>
        <v>0</v>
      </c>
      <c r="DL40" s="1991"/>
      <c r="DM40" s="1991"/>
      <c r="DN40" s="1991"/>
      <c r="DO40" s="1991"/>
      <c r="DP40" s="1991"/>
      <c r="DQ40" s="1991"/>
      <c r="DR40" s="167"/>
      <c r="DS40" s="87"/>
      <c r="DT40" s="87"/>
      <c r="DU40" s="87"/>
      <c r="DV40" s="166"/>
      <c r="DW40" s="1991" t="str">
        <f>ChaMod</f>
        <v/>
      </c>
      <c r="DX40" s="1991"/>
      <c r="DY40" s="1991"/>
      <c r="DZ40" s="1991"/>
      <c r="EA40" s="1991"/>
      <c r="EB40" s="1991"/>
      <c r="EC40" s="1991"/>
      <c r="ED40" s="167"/>
      <c r="EE40" s="87"/>
      <c r="EF40" s="87"/>
      <c r="EG40" s="87"/>
      <c r="EH40" s="166"/>
      <c r="EI40" s="1991" t="str">
        <f>IF(CharacterLevel&gt;0,IF(OR(INDEX(SkillTable,MATCH(BN39,SkillList,0),4)="Yes",INDEX(SkillTable,MATCH(BN39,SkillList,0),5)="Yes"),5,0),"")</f>
        <v/>
      </c>
      <c r="EJ40" s="1991"/>
      <c r="EK40" s="1991"/>
      <c r="EL40" s="1991"/>
      <c r="EM40" s="1991"/>
      <c r="EN40" s="1991"/>
      <c r="EO40" s="1991"/>
      <c r="EP40" s="264"/>
      <c r="EQ40" s="265"/>
      <c r="ER40" s="265"/>
      <c r="ES40" s="265"/>
      <c r="ET40" s="266"/>
      <c r="EU40" s="1991" t="b">
        <f>IF(CharacterLevel&gt;0,IF(Skills!R15="Yes",5,0))</f>
        <v>0</v>
      </c>
      <c r="EV40" s="1991"/>
      <c r="EW40" s="1991"/>
      <c r="EX40" s="1991"/>
      <c r="EY40" s="1991"/>
      <c r="EZ40" s="1991"/>
      <c r="FA40" s="1991"/>
      <c r="FB40" s="167"/>
      <c r="FC40" s="265"/>
      <c r="FD40" s="265"/>
      <c r="FE40" s="265"/>
      <c r="FF40" s="266"/>
      <c r="FG40" s="1991">
        <f>ArmorPenalty+INDEX(SkillTable,MATCH(BN39,SkillList,0),12)</f>
        <v>0</v>
      </c>
      <c r="FH40" s="1991"/>
      <c r="FI40" s="1991"/>
      <c r="FJ40" s="1991"/>
      <c r="FK40" s="1991"/>
      <c r="FL40" s="1991"/>
      <c r="FM40" s="1991"/>
      <c r="FN40" s="167"/>
      <c r="FO40" s="87"/>
      <c r="FP40" s="2124" t="str">
        <f>IF(INDEX(SkillTable,MATCH(BN39,SkillList,0),77)&lt;&gt;"","×","")</f>
        <v/>
      </c>
      <c r="FQ40" s="2125"/>
      <c r="FR40" s="2125"/>
      <c r="FS40" s="2126"/>
      <c r="FT40" s="988"/>
      <c r="FU40" s="2124" t="str">
        <f>IF(INDEX(SkillTable,MATCH(BN39,SkillList,0),78)&lt;&gt;"","×","")</f>
        <v/>
      </c>
      <c r="FV40" s="2125"/>
      <c r="FW40" s="2125"/>
      <c r="FX40" s="2126"/>
      <c r="FY40" s="87"/>
      <c r="FZ40" s="87"/>
      <c r="GA40" s="87"/>
      <c r="GD40" s="714"/>
      <c r="GE40" s="714"/>
      <c r="GF40" s="714"/>
      <c r="GH40" s="1135" t="e">
        <f ca="1">IF(INDEX(SkillTable,MATCH(BN39,SkillList,0),14),1,0)</f>
        <v>#VALUE!</v>
      </c>
    </row>
    <row r="41" spans="1:190" ht="9" customHeight="1">
      <c r="A41" s="301"/>
      <c r="B41" s="313"/>
      <c r="C41" s="2113" t="str">
        <f>IF(Race="","",IF(NOT(ISERROR(GD41)),MID(EquipmentNameList,GD37+1,GD41-GD37-1),""))</f>
        <v/>
      </c>
      <c r="D41" s="2113"/>
      <c r="E41" s="2113"/>
      <c r="F41" s="2113"/>
      <c r="G41" s="2113"/>
      <c r="H41" s="2113"/>
      <c r="I41" s="2113"/>
      <c r="J41" s="2113"/>
      <c r="K41" s="2113"/>
      <c r="L41" s="2113"/>
      <c r="M41" s="2113"/>
      <c r="N41" s="2113"/>
      <c r="O41" s="2113"/>
      <c r="P41" s="2113"/>
      <c r="Q41" s="2113"/>
      <c r="R41" s="2113"/>
      <c r="S41" s="2113"/>
      <c r="T41" s="2113"/>
      <c r="U41" s="2113"/>
      <c r="V41" s="2113"/>
      <c r="W41" s="2113"/>
      <c r="X41" s="2113"/>
      <c r="Y41" s="2113"/>
      <c r="Z41" s="2113"/>
      <c r="AA41" s="2113"/>
      <c r="AB41" s="2113"/>
      <c r="AC41" s="2113"/>
      <c r="AD41" s="2113"/>
      <c r="AE41" s="2113"/>
      <c r="AF41" s="2113"/>
      <c r="AG41" s="2113"/>
      <c r="AH41" s="2113"/>
      <c r="AI41" s="2113"/>
      <c r="AJ41" s="2113"/>
      <c r="AK41" s="2113"/>
      <c r="AL41" s="2113"/>
      <c r="AM41" s="2113"/>
      <c r="AN41" s="2113"/>
      <c r="AO41" s="2113"/>
      <c r="AP41" s="2113"/>
      <c r="AQ41" s="2113"/>
      <c r="AR41" s="2113"/>
      <c r="AS41" s="2113"/>
      <c r="AT41" s="2113"/>
      <c r="AU41" s="2113"/>
      <c r="AV41" s="2113"/>
      <c r="AW41" s="2115" t="str">
        <f>IF(Race="","",IF(NOT(ISERROR(GE41)),VALUE(MID(EquipmentWeightList,GE37+1,GE41-GE37-1)),""))</f>
        <v/>
      </c>
      <c r="AX41" s="2115"/>
      <c r="AY41" s="2115"/>
      <c r="AZ41" s="2115"/>
      <c r="BA41" s="2115"/>
      <c r="BB41" s="2115"/>
      <c r="BC41" s="2115"/>
      <c r="BD41" s="2115"/>
      <c r="BE41" s="2115"/>
      <c r="BF41" s="405"/>
      <c r="BG41" s="406"/>
      <c r="BH41" s="301"/>
      <c r="BI41" s="405"/>
      <c r="BJ41" s="1205"/>
      <c r="BK41" s="1204"/>
      <c r="BL41" s="1204"/>
      <c r="BM41" s="1204"/>
      <c r="BN41" s="2106"/>
      <c r="BO41" s="2106"/>
      <c r="BP41" s="2106"/>
      <c r="BQ41" s="2106"/>
      <c r="BR41" s="2106"/>
      <c r="BS41" s="2106"/>
      <c r="BT41" s="2106"/>
      <c r="BU41" s="2106"/>
      <c r="BV41" s="2106"/>
      <c r="BW41" s="2106"/>
      <c r="BX41" s="2106"/>
      <c r="BY41" s="2106"/>
      <c r="BZ41" s="2106"/>
      <c r="CA41" s="2106"/>
      <c r="CB41" s="2106"/>
      <c r="CC41" s="2106"/>
      <c r="CD41" s="2106"/>
      <c r="CE41" s="2106"/>
      <c r="CF41" s="2106"/>
      <c r="CG41" s="2106"/>
      <c r="CH41" s="2106"/>
      <c r="CI41" s="2106"/>
      <c r="CJ41" s="2106"/>
      <c r="CK41" s="2106"/>
      <c r="CL41" s="2106"/>
      <c r="CM41" s="2106"/>
      <c r="CN41" s="2106"/>
      <c r="CO41" s="2106"/>
      <c r="CP41" s="2106"/>
      <c r="CQ41" s="2106"/>
      <c r="CR41" s="2106"/>
      <c r="CS41" s="2106"/>
      <c r="CT41" s="87"/>
      <c r="CU41" s="166"/>
      <c r="CV41" s="2107"/>
      <c r="CW41" s="2107"/>
      <c r="CX41" s="2107"/>
      <c r="CY41" s="2107"/>
      <c r="CZ41" s="2107"/>
      <c r="DA41" s="2107"/>
      <c r="DB41" s="2107"/>
      <c r="DC41" s="2107"/>
      <c r="DD41" s="167"/>
      <c r="DE41" s="87"/>
      <c r="DF41" s="87"/>
      <c r="DG41" s="87"/>
      <c r="DH41" s="87"/>
      <c r="DI41" s="87"/>
      <c r="DJ41" s="166"/>
      <c r="DK41" s="1991"/>
      <c r="DL41" s="1991"/>
      <c r="DM41" s="1991"/>
      <c r="DN41" s="1991"/>
      <c r="DO41" s="1991"/>
      <c r="DP41" s="1991"/>
      <c r="DQ41" s="1991"/>
      <c r="DR41" s="167"/>
      <c r="DS41" s="117"/>
      <c r="DT41" s="117"/>
      <c r="DU41" s="117"/>
      <c r="DV41" s="166"/>
      <c r="DW41" s="1991"/>
      <c r="DX41" s="1991"/>
      <c r="DY41" s="1991"/>
      <c r="DZ41" s="1991"/>
      <c r="EA41" s="1991"/>
      <c r="EB41" s="1991"/>
      <c r="EC41" s="1991"/>
      <c r="ED41" s="167"/>
      <c r="EE41" s="117"/>
      <c r="EF41" s="117"/>
      <c r="EG41" s="117"/>
      <c r="EH41" s="166"/>
      <c r="EI41" s="1991"/>
      <c r="EJ41" s="1991"/>
      <c r="EK41" s="1991"/>
      <c r="EL41" s="1991"/>
      <c r="EM41" s="1991"/>
      <c r="EN41" s="1991"/>
      <c r="EO41" s="1991"/>
      <c r="EP41" s="264"/>
      <c r="EQ41" s="117"/>
      <c r="ER41" s="117"/>
      <c r="ES41" s="117"/>
      <c r="ET41" s="266"/>
      <c r="EU41" s="1991"/>
      <c r="EV41" s="1991"/>
      <c r="EW41" s="1991"/>
      <c r="EX41" s="1991"/>
      <c r="EY41" s="1991"/>
      <c r="EZ41" s="1991"/>
      <c r="FA41" s="1991"/>
      <c r="FB41" s="167"/>
      <c r="FC41" s="117"/>
      <c r="FD41" s="117"/>
      <c r="FE41" s="117"/>
      <c r="FF41" s="266"/>
      <c r="FG41" s="1991"/>
      <c r="FH41" s="1991"/>
      <c r="FI41" s="1991"/>
      <c r="FJ41" s="1991"/>
      <c r="FK41" s="1991"/>
      <c r="FL41" s="1991"/>
      <c r="FM41" s="1991"/>
      <c r="FN41" s="167"/>
      <c r="FO41" s="117"/>
      <c r="FP41" s="2127"/>
      <c r="FQ41" s="2081"/>
      <c r="FR41" s="2081"/>
      <c r="FS41" s="2128"/>
      <c r="FT41" s="989"/>
      <c r="FU41" s="2127"/>
      <c r="FV41" s="2081"/>
      <c r="FW41" s="2081"/>
      <c r="FX41" s="2128"/>
      <c r="FY41" s="87"/>
      <c r="FZ41" s="87"/>
      <c r="GA41" s="87"/>
      <c r="GC41" s="1853">
        <f>GC37+1</f>
        <v>8</v>
      </c>
      <c r="GD41" s="1853" t="e">
        <f>FIND(";",EquipmentNameList,GD37+1)</f>
        <v>#VALUE!</v>
      </c>
      <c r="GE41" s="1853" t="e">
        <f>FIND(";",EquipmentWeightList,GE37+1)</f>
        <v>#VALUE!</v>
      </c>
      <c r="GF41" s="1853" t="e">
        <f>FIND(";",EquipmentNumberList,GF37+1)</f>
        <v>#VALUE!</v>
      </c>
      <c r="GH41" s="1133"/>
    </row>
    <row r="42" spans="1:190" ht="9" customHeight="1" thickBot="1">
      <c r="A42" s="301"/>
      <c r="B42" s="313"/>
      <c r="C42" s="2113"/>
      <c r="D42" s="2113"/>
      <c r="E42" s="2113"/>
      <c r="F42" s="2113"/>
      <c r="G42" s="2113"/>
      <c r="H42" s="2113"/>
      <c r="I42" s="2113"/>
      <c r="J42" s="2113"/>
      <c r="K42" s="2113"/>
      <c r="L42" s="2113"/>
      <c r="M42" s="2113"/>
      <c r="N42" s="2113"/>
      <c r="O42" s="2113"/>
      <c r="P42" s="2113"/>
      <c r="Q42" s="2113"/>
      <c r="R42" s="2113"/>
      <c r="S42" s="2113"/>
      <c r="T42" s="2113"/>
      <c r="U42" s="2113"/>
      <c r="V42" s="2113"/>
      <c r="W42" s="2113"/>
      <c r="X42" s="2113"/>
      <c r="Y42" s="2113"/>
      <c r="Z42" s="2113"/>
      <c r="AA42" s="2113"/>
      <c r="AB42" s="2113"/>
      <c r="AC42" s="2113"/>
      <c r="AD42" s="2113"/>
      <c r="AE42" s="2113"/>
      <c r="AF42" s="2113"/>
      <c r="AG42" s="2113"/>
      <c r="AH42" s="2113"/>
      <c r="AI42" s="2113"/>
      <c r="AJ42" s="2113"/>
      <c r="AK42" s="2113"/>
      <c r="AL42" s="2113"/>
      <c r="AM42" s="2113"/>
      <c r="AN42" s="2113"/>
      <c r="AO42" s="2113"/>
      <c r="AP42" s="2113"/>
      <c r="AQ42" s="2113"/>
      <c r="AR42" s="2113"/>
      <c r="AS42" s="2113"/>
      <c r="AT42" s="2113"/>
      <c r="AU42" s="2113"/>
      <c r="AV42" s="2113"/>
      <c r="AW42" s="2115"/>
      <c r="AX42" s="2115"/>
      <c r="AY42" s="2115"/>
      <c r="AZ42" s="2115"/>
      <c r="BA42" s="2115"/>
      <c r="BB42" s="2115"/>
      <c r="BC42" s="2115"/>
      <c r="BD42" s="2115"/>
      <c r="BE42" s="2115"/>
      <c r="BF42" s="405"/>
      <c r="BG42" s="406"/>
      <c r="BH42" s="301"/>
      <c r="BI42" s="405"/>
      <c r="BJ42" s="1205"/>
      <c r="BK42" s="1204"/>
      <c r="BL42" s="1204"/>
      <c r="BM42" s="1204"/>
      <c r="BN42" s="2106"/>
      <c r="BO42" s="2106"/>
      <c r="BP42" s="2106"/>
      <c r="BQ42" s="2106"/>
      <c r="BR42" s="2106"/>
      <c r="BS42" s="2106"/>
      <c r="BT42" s="2106"/>
      <c r="BU42" s="2106"/>
      <c r="BV42" s="2106"/>
      <c r="BW42" s="2106"/>
      <c r="BX42" s="2106"/>
      <c r="BY42" s="2106"/>
      <c r="BZ42" s="2106"/>
      <c r="CA42" s="2106"/>
      <c r="CB42" s="2106"/>
      <c r="CC42" s="2106"/>
      <c r="CD42" s="2106"/>
      <c r="CE42" s="2106"/>
      <c r="CF42" s="2106"/>
      <c r="CG42" s="2106"/>
      <c r="CH42" s="2106"/>
      <c r="CI42" s="2106"/>
      <c r="CJ42" s="2106"/>
      <c r="CK42" s="2106"/>
      <c r="CL42" s="2106"/>
      <c r="CM42" s="2106"/>
      <c r="CN42" s="2106"/>
      <c r="CO42" s="2106"/>
      <c r="CP42" s="2106"/>
      <c r="CQ42" s="2106"/>
      <c r="CR42" s="2106"/>
      <c r="CS42" s="2106"/>
      <c r="CT42" s="87"/>
      <c r="CU42" s="166"/>
      <c r="CV42" s="2107"/>
      <c r="CW42" s="2107"/>
      <c r="CX42" s="2107"/>
      <c r="CY42" s="2107"/>
      <c r="CZ42" s="2107"/>
      <c r="DA42" s="2107"/>
      <c r="DB42" s="2107"/>
      <c r="DC42" s="2107"/>
      <c r="DD42" s="167"/>
      <c r="DE42" s="87"/>
      <c r="DF42" s="117"/>
      <c r="DG42" s="117"/>
      <c r="DH42" s="117"/>
      <c r="DI42" s="87"/>
      <c r="DJ42" s="166"/>
      <c r="DK42" s="1991"/>
      <c r="DL42" s="1991"/>
      <c r="DM42" s="1991"/>
      <c r="DN42" s="1991"/>
      <c r="DO42" s="1991"/>
      <c r="DP42" s="1991"/>
      <c r="DQ42" s="1991"/>
      <c r="DR42" s="167"/>
      <c r="DS42" s="87"/>
      <c r="DT42" s="87"/>
      <c r="DU42" s="87"/>
      <c r="DV42" s="166"/>
      <c r="DW42" s="1991"/>
      <c r="DX42" s="1991"/>
      <c r="DY42" s="1991"/>
      <c r="DZ42" s="1991"/>
      <c r="EA42" s="1991"/>
      <c r="EB42" s="1991"/>
      <c r="EC42" s="1991"/>
      <c r="ED42" s="167"/>
      <c r="EE42" s="87"/>
      <c r="EF42" s="87"/>
      <c r="EG42" s="87"/>
      <c r="EH42" s="166"/>
      <c r="EI42" s="1991"/>
      <c r="EJ42" s="1991"/>
      <c r="EK42" s="1991"/>
      <c r="EL42" s="1991"/>
      <c r="EM42" s="1991"/>
      <c r="EN42" s="1991"/>
      <c r="EO42" s="1991"/>
      <c r="EP42" s="264"/>
      <c r="EQ42" s="87"/>
      <c r="ER42" s="87"/>
      <c r="ES42" s="87"/>
      <c r="ET42" s="266"/>
      <c r="EU42" s="1991"/>
      <c r="EV42" s="1991"/>
      <c r="EW42" s="1991"/>
      <c r="EX42" s="1991"/>
      <c r="EY42" s="1991"/>
      <c r="EZ42" s="1991"/>
      <c r="FA42" s="1991"/>
      <c r="FB42" s="167"/>
      <c r="FC42" s="87"/>
      <c r="FD42" s="87"/>
      <c r="FE42" s="87"/>
      <c r="FF42" s="266"/>
      <c r="FG42" s="1991"/>
      <c r="FH42" s="1991"/>
      <c r="FI42" s="1991"/>
      <c r="FJ42" s="1991"/>
      <c r="FK42" s="1991"/>
      <c r="FL42" s="1991"/>
      <c r="FM42" s="1991"/>
      <c r="FN42" s="167"/>
      <c r="FO42" s="87"/>
      <c r="FP42" s="2129"/>
      <c r="FQ42" s="2130"/>
      <c r="FR42" s="2130"/>
      <c r="FS42" s="2131"/>
      <c r="FT42" s="988"/>
      <c r="FU42" s="2129"/>
      <c r="FV42" s="2130"/>
      <c r="FW42" s="2130"/>
      <c r="FX42" s="2131"/>
      <c r="FY42" s="87"/>
      <c r="FZ42" s="87"/>
      <c r="GA42" s="87"/>
      <c r="GC42" s="1853"/>
      <c r="GD42" s="1853"/>
      <c r="GE42" s="1853"/>
      <c r="GF42" s="1853"/>
      <c r="GH42" s="1133"/>
    </row>
    <row r="43" spans="1:190" ht="9" customHeight="1" thickBot="1">
      <c r="A43" s="301"/>
      <c r="B43" s="313"/>
      <c r="C43" s="2114"/>
      <c r="D43" s="2114"/>
      <c r="E43" s="2114"/>
      <c r="F43" s="2114"/>
      <c r="G43" s="2114"/>
      <c r="H43" s="2114"/>
      <c r="I43" s="2114"/>
      <c r="J43" s="2114"/>
      <c r="K43" s="2114"/>
      <c r="L43" s="2114"/>
      <c r="M43" s="2114"/>
      <c r="N43" s="2114"/>
      <c r="O43" s="2114"/>
      <c r="P43" s="2114"/>
      <c r="Q43" s="2114"/>
      <c r="R43" s="2114"/>
      <c r="S43" s="2114"/>
      <c r="T43" s="2114"/>
      <c r="U43" s="2114"/>
      <c r="V43" s="2114"/>
      <c r="W43" s="2114"/>
      <c r="X43" s="2114"/>
      <c r="Y43" s="2114"/>
      <c r="Z43" s="2114"/>
      <c r="AA43" s="2114"/>
      <c r="AB43" s="2114"/>
      <c r="AC43" s="2114"/>
      <c r="AD43" s="2114"/>
      <c r="AE43" s="2114"/>
      <c r="AF43" s="2114"/>
      <c r="AG43" s="2114"/>
      <c r="AH43" s="2114"/>
      <c r="AI43" s="2114"/>
      <c r="AJ43" s="2114"/>
      <c r="AK43" s="2114"/>
      <c r="AL43" s="2114"/>
      <c r="AM43" s="2114"/>
      <c r="AN43" s="2114"/>
      <c r="AO43" s="2114"/>
      <c r="AP43" s="2114"/>
      <c r="AQ43" s="2114"/>
      <c r="AR43" s="2114"/>
      <c r="AS43" s="2114"/>
      <c r="AT43" s="2114"/>
      <c r="AU43" s="2114"/>
      <c r="AV43" s="2114"/>
      <c r="AW43" s="2116"/>
      <c r="AX43" s="2116"/>
      <c r="AY43" s="2116"/>
      <c r="AZ43" s="2116"/>
      <c r="BA43" s="2116"/>
      <c r="BB43" s="2116"/>
      <c r="BC43" s="2116"/>
      <c r="BD43" s="2116"/>
      <c r="BE43" s="2116"/>
      <c r="BF43" s="405"/>
      <c r="BG43" s="406"/>
      <c r="BH43" s="301"/>
      <c r="BI43" s="405"/>
      <c r="BJ43" s="1205"/>
      <c r="BK43" s="1204"/>
      <c r="BL43" s="1204"/>
      <c r="BM43" s="1204"/>
      <c r="BN43" s="2106"/>
      <c r="BO43" s="2106"/>
      <c r="BP43" s="2106"/>
      <c r="BQ43" s="2106"/>
      <c r="BR43" s="2106"/>
      <c r="BS43" s="2106"/>
      <c r="BT43" s="2106"/>
      <c r="BU43" s="2106"/>
      <c r="BV43" s="2106"/>
      <c r="BW43" s="2106"/>
      <c r="BX43" s="2106"/>
      <c r="BY43" s="2106"/>
      <c r="BZ43" s="2106"/>
      <c r="CA43" s="2106"/>
      <c r="CB43" s="2106"/>
      <c r="CC43" s="2106"/>
      <c r="CD43" s="2106"/>
      <c r="CE43" s="2106"/>
      <c r="CF43" s="2106"/>
      <c r="CG43" s="2106"/>
      <c r="CH43" s="2106"/>
      <c r="CI43" s="2106"/>
      <c r="CJ43" s="2106"/>
      <c r="CK43" s="2106"/>
      <c r="CL43" s="2106"/>
      <c r="CM43" s="2106"/>
      <c r="CN43" s="2106"/>
      <c r="CO43" s="2106"/>
      <c r="CP43" s="2106"/>
      <c r="CQ43" s="2106"/>
      <c r="CR43" s="2106"/>
      <c r="CS43" s="2106"/>
      <c r="CT43" s="87"/>
      <c r="CU43" s="160"/>
      <c r="CV43" s="409"/>
      <c r="CW43" s="409"/>
      <c r="CX43" s="409"/>
      <c r="CY43" s="409"/>
      <c r="CZ43" s="409"/>
      <c r="DA43" s="409"/>
      <c r="DB43" s="409"/>
      <c r="DC43" s="409"/>
      <c r="DD43" s="158"/>
      <c r="DE43" s="87"/>
      <c r="DF43" s="87"/>
      <c r="DG43" s="87"/>
      <c r="DH43" s="87"/>
      <c r="DI43" s="87"/>
      <c r="DJ43" s="160"/>
      <c r="DK43" s="240"/>
      <c r="DL43" s="240"/>
      <c r="DM43" s="240"/>
      <c r="DN43" s="240"/>
      <c r="DO43" s="240"/>
      <c r="DP43" s="240"/>
      <c r="DQ43" s="240"/>
      <c r="DR43" s="158"/>
      <c r="DS43" s="87"/>
      <c r="DT43" s="87"/>
      <c r="DU43" s="87"/>
      <c r="DV43" s="160"/>
      <c r="DW43" s="240"/>
      <c r="DX43" s="240"/>
      <c r="DY43" s="240"/>
      <c r="DZ43" s="240"/>
      <c r="EA43" s="240"/>
      <c r="EB43" s="240"/>
      <c r="EC43" s="240"/>
      <c r="ED43" s="158"/>
      <c r="EE43" s="87"/>
      <c r="EF43" s="87"/>
      <c r="EG43" s="87"/>
      <c r="EH43" s="160"/>
      <c r="EI43" s="204"/>
      <c r="EJ43" s="204"/>
      <c r="EK43" s="204"/>
      <c r="EL43" s="204"/>
      <c r="EM43" s="204"/>
      <c r="EN43" s="204"/>
      <c r="EO43" s="204"/>
      <c r="EP43" s="274"/>
      <c r="EQ43" s="87"/>
      <c r="ER43" s="87"/>
      <c r="ES43" s="87"/>
      <c r="ET43" s="203"/>
      <c r="EU43" s="204"/>
      <c r="EV43" s="204"/>
      <c r="EW43" s="204"/>
      <c r="EX43" s="204"/>
      <c r="EY43" s="204"/>
      <c r="EZ43" s="204"/>
      <c r="FA43" s="204"/>
      <c r="FB43" s="158"/>
      <c r="FC43" s="87"/>
      <c r="FD43" s="87"/>
      <c r="FE43" s="87"/>
      <c r="FF43" s="203"/>
      <c r="FG43" s="204"/>
      <c r="FH43" s="204"/>
      <c r="FI43" s="204"/>
      <c r="FJ43" s="204"/>
      <c r="FK43" s="204"/>
      <c r="FL43" s="204"/>
      <c r="FM43" s="204"/>
      <c r="FN43" s="158"/>
      <c r="FO43" s="87"/>
      <c r="FP43" s="988"/>
      <c r="FQ43" s="988"/>
      <c r="FR43" s="988"/>
      <c r="FS43" s="988"/>
      <c r="FT43" s="988"/>
      <c r="FU43" s="988"/>
      <c r="FV43" s="988"/>
      <c r="FW43" s="988"/>
      <c r="FX43" s="988"/>
      <c r="FY43" s="87"/>
      <c r="FZ43" s="87"/>
      <c r="GA43" s="87"/>
      <c r="GC43" s="1853"/>
      <c r="GD43" s="1853"/>
      <c r="GE43" s="1853"/>
      <c r="GF43" s="1853"/>
      <c r="GH43" s="1133"/>
    </row>
    <row r="44" spans="1:190" ht="9" customHeight="1" thickBot="1">
      <c r="A44" s="301"/>
      <c r="B44" s="313"/>
      <c r="C44" s="301"/>
      <c r="D44" s="301"/>
      <c r="E44" s="643"/>
      <c r="F44" s="643"/>
      <c r="G44" s="643"/>
      <c r="H44" s="643"/>
      <c r="I44" s="643"/>
      <c r="J44" s="643"/>
      <c r="K44" s="301"/>
      <c r="L44" s="301"/>
      <c r="M44" s="301"/>
      <c r="N44" s="301"/>
      <c r="O44" s="301"/>
      <c r="P44" s="301"/>
      <c r="Q44" s="301"/>
      <c r="R44" s="301"/>
      <c r="S44" s="301"/>
      <c r="T44" s="301"/>
      <c r="U44" s="301"/>
      <c r="V44" s="301"/>
      <c r="W44" s="301"/>
      <c r="X44" s="301"/>
      <c r="Y44" s="301"/>
      <c r="Z44" s="301"/>
      <c r="AA44" s="301"/>
      <c r="AB44" s="301"/>
      <c r="AC44" s="301"/>
      <c r="AD44" s="301"/>
      <c r="AE44" s="301"/>
      <c r="AF44" s="301"/>
      <c r="AG44" s="301"/>
      <c r="AH44" s="301"/>
      <c r="AI44" s="301"/>
      <c r="AJ44" s="301"/>
      <c r="AK44" s="301"/>
      <c r="AL44" s="301"/>
      <c r="AM44" s="301"/>
      <c r="AN44" s="301"/>
      <c r="AO44" s="301"/>
      <c r="AP44" s="301"/>
      <c r="AQ44" s="301"/>
      <c r="AR44" s="301"/>
      <c r="AS44" s="301"/>
      <c r="AT44" s="301"/>
      <c r="AU44" s="301"/>
      <c r="AV44" s="301"/>
      <c r="AW44" s="1087"/>
      <c r="AX44" s="1087"/>
      <c r="AY44" s="1087"/>
      <c r="AZ44" s="1087"/>
      <c r="BA44" s="1087"/>
      <c r="BB44" s="1087"/>
      <c r="BC44" s="1087"/>
      <c r="BD44" s="1087"/>
      <c r="BE44" s="1087"/>
      <c r="BF44" s="405"/>
      <c r="BG44" s="406"/>
      <c r="BH44" s="301"/>
      <c r="BI44" s="405"/>
      <c r="BJ44" s="1205"/>
      <c r="BK44" s="1204"/>
      <c r="BL44" s="1204"/>
      <c r="BM44" s="1204"/>
      <c r="BN44" s="1204"/>
      <c r="BO44" s="1204"/>
      <c r="BP44" s="1204"/>
      <c r="BQ44" s="1204"/>
      <c r="BR44" s="1204"/>
      <c r="BS44" s="1204"/>
      <c r="BT44" s="1204"/>
      <c r="BU44" s="1204"/>
      <c r="BV44" s="1204"/>
      <c r="BW44" s="1204"/>
      <c r="BX44" s="1204"/>
      <c r="BY44" s="1204"/>
      <c r="BZ44" s="1204"/>
      <c r="CA44" s="1204"/>
      <c r="CB44" s="1204"/>
      <c r="CC44" s="1204"/>
      <c r="CD44" s="1204"/>
      <c r="CE44" s="1204"/>
      <c r="CF44" s="1204"/>
      <c r="CG44" s="1204"/>
      <c r="CH44" s="1204"/>
      <c r="CI44" s="1204"/>
      <c r="CJ44" s="1204"/>
      <c r="CK44" s="1204"/>
      <c r="CL44" s="1204"/>
      <c r="CM44" s="1204"/>
      <c r="CN44" s="1204"/>
      <c r="CO44" s="1204"/>
      <c r="CP44" s="1204"/>
      <c r="CQ44" s="1204"/>
      <c r="CR44" s="1204"/>
      <c r="CS44" s="1204"/>
      <c r="CT44" s="105"/>
      <c r="CU44" s="105"/>
      <c r="CV44" s="413"/>
      <c r="CW44" s="413"/>
      <c r="CX44" s="413"/>
      <c r="CY44" s="413"/>
      <c r="CZ44" s="413"/>
      <c r="DA44" s="413"/>
      <c r="DB44" s="413"/>
      <c r="DC44" s="413"/>
      <c r="DD44" s="105"/>
      <c r="DE44" s="105"/>
      <c r="DF44" s="105"/>
      <c r="DG44" s="105"/>
      <c r="DH44" s="105"/>
      <c r="DI44" s="105"/>
      <c r="DJ44" s="105"/>
      <c r="DK44" s="105"/>
      <c r="DL44" s="105"/>
      <c r="DM44" s="105"/>
      <c r="DN44" s="105"/>
      <c r="DO44" s="105"/>
      <c r="DP44" s="105"/>
      <c r="DQ44" s="301"/>
      <c r="DR44" s="301"/>
      <c r="DS44" s="301"/>
      <c r="DT44" s="301"/>
      <c r="DU44" s="301"/>
      <c r="DV44" s="301"/>
      <c r="DW44" s="301"/>
      <c r="DX44" s="301"/>
      <c r="DY44" s="301"/>
      <c r="DZ44" s="301"/>
      <c r="EA44" s="301"/>
      <c r="EB44" s="301"/>
      <c r="EC44" s="301"/>
      <c r="ED44" s="301"/>
      <c r="EE44" s="301"/>
      <c r="EF44" s="301"/>
      <c r="EG44" s="301"/>
      <c r="EH44" s="301"/>
      <c r="EI44" s="301"/>
      <c r="EJ44" s="301"/>
      <c r="EK44" s="301"/>
      <c r="EL44" s="301"/>
      <c r="EM44" s="301"/>
      <c r="EN44" s="301"/>
      <c r="EO44" s="301"/>
      <c r="EP44" s="301"/>
      <c r="EQ44" s="301"/>
      <c r="ER44" s="301"/>
      <c r="ES44" s="301"/>
      <c r="ET44" s="301"/>
      <c r="EU44" s="301"/>
      <c r="EV44" s="301"/>
      <c r="EW44" s="301"/>
      <c r="EX44" s="301"/>
      <c r="EY44" s="301"/>
      <c r="EZ44" s="301"/>
      <c r="FA44" s="301"/>
      <c r="FB44" s="301"/>
      <c r="FC44" s="301"/>
      <c r="FD44" s="301"/>
      <c r="FE44" s="301"/>
      <c r="FF44" s="301"/>
      <c r="FG44" s="301"/>
      <c r="FH44" s="301"/>
      <c r="FI44" s="301"/>
      <c r="FJ44" s="301"/>
      <c r="FK44" s="301"/>
      <c r="FL44" s="301"/>
      <c r="FM44" s="301"/>
      <c r="FN44" s="87"/>
      <c r="FO44" s="87"/>
      <c r="FP44" s="988"/>
      <c r="FQ44" s="988"/>
      <c r="FR44" s="988"/>
      <c r="FS44" s="988"/>
      <c r="FT44" s="988"/>
      <c r="FU44" s="988"/>
      <c r="FV44" s="988"/>
      <c r="FW44" s="988"/>
      <c r="FX44" s="988"/>
      <c r="FY44" s="87"/>
      <c r="FZ44" s="87"/>
      <c r="GA44" s="87"/>
      <c r="GD44" s="714"/>
      <c r="GE44" s="714"/>
      <c r="GF44" s="714"/>
      <c r="GH44" s="1133"/>
    </row>
    <row r="45" spans="1:190" ht="9" customHeight="1" thickBot="1">
      <c r="A45" s="301"/>
      <c r="B45" s="313"/>
      <c r="C45" s="2113" t="str">
        <f>IF(Race="","",IF(NOT(ISERROR(GD45)),MID(EquipmentNameList,GD41+1,GD45-GD41-1),""))</f>
        <v/>
      </c>
      <c r="D45" s="2113"/>
      <c r="E45" s="2113"/>
      <c r="F45" s="2113"/>
      <c r="G45" s="2113"/>
      <c r="H45" s="2113"/>
      <c r="I45" s="2113"/>
      <c r="J45" s="2113"/>
      <c r="K45" s="2113"/>
      <c r="L45" s="2113"/>
      <c r="M45" s="2113"/>
      <c r="N45" s="2113"/>
      <c r="O45" s="2113"/>
      <c r="P45" s="2113"/>
      <c r="Q45" s="2113"/>
      <c r="R45" s="2113"/>
      <c r="S45" s="2113"/>
      <c r="T45" s="2113"/>
      <c r="U45" s="2113"/>
      <c r="V45" s="2113"/>
      <c r="W45" s="2113"/>
      <c r="X45" s="2113"/>
      <c r="Y45" s="2113"/>
      <c r="Z45" s="2113"/>
      <c r="AA45" s="2113"/>
      <c r="AB45" s="2113"/>
      <c r="AC45" s="2113"/>
      <c r="AD45" s="2113"/>
      <c r="AE45" s="2113"/>
      <c r="AF45" s="2113"/>
      <c r="AG45" s="2113"/>
      <c r="AH45" s="2113"/>
      <c r="AI45" s="2113"/>
      <c r="AJ45" s="2113"/>
      <c r="AK45" s="2113"/>
      <c r="AL45" s="2113"/>
      <c r="AM45" s="2113"/>
      <c r="AN45" s="2113"/>
      <c r="AO45" s="2113"/>
      <c r="AP45" s="2113"/>
      <c r="AQ45" s="2113"/>
      <c r="AR45" s="2113"/>
      <c r="AS45" s="2113"/>
      <c r="AT45" s="2113"/>
      <c r="AU45" s="2113"/>
      <c r="AV45" s="2113"/>
      <c r="AW45" s="2115" t="str">
        <f>IF(Race="","",IF(NOT(ISERROR(GE45)),VALUE(MID(EquipmentWeightList,GE41+1,GE45-GE41-1)),""))</f>
        <v/>
      </c>
      <c r="AX45" s="2115"/>
      <c r="AY45" s="2115"/>
      <c r="AZ45" s="2115"/>
      <c r="BA45" s="2115"/>
      <c r="BB45" s="2115"/>
      <c r="BC45" s="2115"/>
      <c r="BD45" s="2115"/>
      <c r="BE45" s="2115"/>
      <c r="BF45" s="405"/>
      <c r="BG45" s="406"/>
      <c r="BH45" s="301"/>
      <c r="BI45" s="405"/>
      <c r="BJ45" s="1205"/>
      <c r="BK45" s="1212"/>
      <c r="BL45" s="1212"/>
      <c r="BM45" s="1212"/>
      <c r="BN45" s="2106" t="s">
        <v>375</v>
      </c>
      <c r="BO45" s="2106"/>
      <c r="BP45" s="2106"/>
      <c r="BQ45" s="2106"/>
      <c r="BR45" s="2106"/>
      <c r="BS45" s="2106"/>
      <c r="BT45" s="2106"/>
      <c r="BU45" s="2106"/>
      <c r="BV45" s="2106"/>
      <c r="BW45" s="2106"/>
      <c r="BX45" s="2106"/>
      <c r="BY45" s="2106"/>
      <c r="BZ45" s="2106"/>
      <c r="CA45" s="2106"/>
      <c r="CB45" s="2106"/>
      <c r="CC45" s="2106"/>
      <c r="CD45" s="2106"/>
      <c r="CE45" s="2106"/>
      <c r="CF45" s="2106"/>
      <c r="CG45" s="2106"/>
      <c r="CH45" s="2106"/>
      <c r="CI45" s="2106"/>
      <c r="CJ45" s="2106"/>
      <c r="CK45" s="2106"/>
      <c r="CL45" s="2106"/>
      <c r="CM45" s="2106"/>
      <c r="CN45" s="2106"/>
      <c r="CO45" s="2106"/>
      <c r="CP45" s="2106"/>
      <c r="CQ45" s="2106"/>
      <c r="CR45" s="2106"/>
      <c r="CS45" s="2106"/>
      <c r="CT45" s="87"/>
      <c r="CU45" s="158" t="e">
        <f>HeroicLvl+ArmourFort</f>
        <v>#NAME?</v>
      </c>
      <c r="CV45" s="411"/>
      <c r="CW45" s="411"/>
      <c r="CX45" s="411"/>
      <c r="CY45" s="411"/>
      <c r="CZ45" s="411"/>
      <c r="DA45" s="411"/>
      <c r="DB45" s="411"/>
      <c r="DC45" s="411"/>
      <c r="DD45" s="160"/>
      <c r="DE45" s="87"/>
      <c r="DF45" s="87"/>
      <c r="DG45" s="87"/>
      <c r="DH45" s="87"/>
      <c r="DI45" s="87"/>
      <c r="DJ45" s="158" t="e">
        <f>HeroicLvl+ArmourFort</f>
        <v>#NAME?</v>
      </c>
      <c r="DK45" s="159"/>
      <c r="DL45" s="159"/>
      <c r="DM45" s="159"/>
      <c r="DN45" s="159"/>
      <c r="DO45" s="159"/>
      <c r="DP45" s="159"/>
      <c r="DQ45" s="159"/>
      <c r="DR45" s="160"/>
      <c r="DS45" s="87"/>
      <c r="DT45" s="87"/>
      <c r="DU45" s="87"/>
      <c r="DV45" s="158"/>
      <c r="DW45" s="159"/>
      <c r="DX45" s="159"/>
      <c r="DY45" s="159"/>
      <c r="DZ45" s="159"/>
      <c r="EA45" s="159"/>
      <c r="EB45" s="159"/>
      <c r="EC45" s="159"/>
      <c r="ED45" s="160"/>
      <c r="EE45" s="87"/>
      <c r="EF45" s="87"/>
      <c r="EG45" s="87"/>
      <c r="EH45" s="158"/>
      <c r="EI45" s="184"/>
      <c r="EJ45" s="184"/>
      <c r="EK45" s="184"/>
      <c r="EL45" s="184"/>
      <c r="EM45" s="184"/>
      <c r="EN45" s="184"/>
      <c r="EO45" s="184"/>
      <c r="EP45" s="160"/>
      <c r="EQ45" s="87"/>
      <c r="ER45" s="87"/>
      <c r="ES45" s="87"/>
      <c r="ET45" s="158"/>
      <c r="EU45" s="1649"/>
      <c r="EV45" s="1649"/>
      <c r="EW45" s="1649"/>
      <c r="EX45" s="1649"/>
      <c r="EY45" s="1649"/>
      <c r="EZ45" s="1649"/>
      <c r="FA45" s="1649"/>
      <c r="FB45" s="160"/>
      <c r="FC45" s="87"/>
      <c r="FD45" s="87"/>
      <c r="FE45" s="87"/>
      <c r="FF45" s="158"/>
      <c r="FG45" s="159"/>
      <c r="FH45" s="159"/>
      <c r="FI45" s="159"/>
      <c r="FJ45" s="159"/>
      <c r="FK45" s="159"/>
      <c r="FL45" s="159"/>
      <c r="FM45" s="159"/>
      <c r="FN45" s="160"/>
      <c r="FO45" s="87"/>
      <c r="FP45" s="988"/>
      <c r="FQ45" s="988"/>
      <c r="FR45" s="988"/>
      <c r="FS45" s="988"/>
      <c r="FT45" s="988"/>
      <c r="FU45" s="988"/>
      <c r="FV45" s="988"/>
      <c r="FW45" s="988"/>
      <c r="FX45" s="988"/>
      <c r="FY45" s="87"/>
      <c r="FZ45" s="87"/>
      <c r="GA45" s="87"/>
      <c r="GC45" s="1853">
        <f>GC41+1</f>
        <v>9</v>
      </c>
      <c r="GD45" s="1853" t="e">
        <f>FIND(";",EquipmentNameList,GD41+1)</f>
        <v>#VALUE!</v>
      </c>
      <c r="GE45" s="1853" t="e">
        <f>FIND(";",EquipmentWeightList,GE41+1)</f>
        <v>#VALUE!</v>
      </c>
      <c r="GF45" s="1853" t="e">
        <f>FIND(";",EquipmentNumberList,GF41+1)</f>
        <v>#VALUE!</v>
      </c>
      <c r="GH45" s="1133"/>
    </row>
    <row r="46" spans="1:190" ht="9" customHeight="1">
      <c r="A46" s="301"/>
      <c r="B46" s="313"/>
      <c r="C46" s="2113"/>
      <c r="D46" s="2113"/>
      <c r="E46" s="2113"/>
      <c r="F46" s="2113"/>
      <c r="G46" s="2113"/>
      <c r="H46" s="2113"/>
      <c r="I46" s="2113"/>
      <c r="J46" s="2113"/>
      <c r="K46" s="2113"/>
      <c r="L46" s="2113"/>
      <c r="M46" s="2113"/>
      <c r="N46" s="2113"/>
      <c r="O46" s="2113"/>
      <c r="P46" s="2113"/>
      <c r="Q46" s="2113"/>
      <c r="R46" s="2113"/>
      <c r="S46" s="2113"/>
      <c r="T46" s="2113"/>
      <c r="U46" s="2113"/>
      <c r="V46" s="2113"/>
      <c r="W46" s="2113"/>
      <c r="X46" s="2113"/>
      <c r="Y46" s="2113"/>
      <c r="Z46" s="2113"/>
      <c r="AA46" s="2113"/>
      <c r="AB46" s="2113"/>
      <c r="AC46" s="2113"/>
      <c r="AD46" s="2113"/>
      <c r="AE46" s="2113"/>
      <c r="AF46" s="2113"/>
      <c r="AG46" s="2113"/>
      <c r="AH46" s="2113"/>
      <c r="AI46" s="2113"/>
      <c r="AJ46" s="2113"/>
      <c r="AK46" s="2113"/>
      <c r="AL46" s="2113"/>
      <c r="AM46" s="2113"/>
      <c r="AN46" s="2113"/>
      <c r="AO46" s="2113"/>
      <c r="AP46" s="2113"/>
      <c r="AQ46" s="2113"/>
      <c r="AR46" s="2113"/>
      <c r="AS46" s="2113"/>
      <c r="AT46" s="2113"/>
      <c r="AU46" s="2113"/>
      <c r="AV46" s="2113"/>
      <c r="AW46" s="2115"/>
      <c r="AX46" s="2115"/>
      <c r="AY46" s="2115"/>
      <c r="AZ46" s="2115"/>
      <c r="BA46" s="2115"/>
      <c r="BB46" s="2115"/>
      <c r="BC46" s="2115"/>
      <c r="BD46" s="2115"/>
      <c r="BE46" s="2115"/>
      <c r="BF46" s="405"/>
      <c r="BG46" s="406"/>
      <c r="BH46" s="301"/>
      <c r="BI46" s="405"/>
      <c r="BJ46" s="1205"/>
      <c r="BK46" s="1212"/>
      <c r="BL46" s="1212"/>
      <c r="BM46" s="1212"/>
      <c r="BN46" s="2106"/>
      <c r="BO46" s="2106"/>
      <c r="BP46" s="2106"/>
      <c r="BQ46" s="2106"/>
      <c r="BR46" s="2106"/>
      <c r="BS46" s="2106"/>
      <c r="BT46" s="2106"/>
      <c r="BU46" s="2106"/>
      <c r="BV46" s="2106"/>
      <c r="BW46" s="2106"/>
      <c r="BX46" s="2106"/>
      <c r="BY46" s="2106"/>
      <c r="BZ46" s="2106"/>
      <c r="CA46" s="2106"/>
      <c r="CB46" s="2106"/>
      <c r="CC46" s="2106"/>
      <c r="CD46" s="2106"/>
      <c r="CE46" s="2106"/>
      <c r="CF46" s="2106"/>
      <c r="CG46" s="2106"/>
      <c r="CH46" s="2106"/>
      <c r="CI46" s="2106"/>
      <c r="CJ46" s="2106"/>
      <c r="CK46" s="2106"/>
      <c r="CL46" s="2106"/>
      <c r="CM46" s="2106"/>
      <c r="CN46" s="2106"/>
      <c r="CO46" s="2106"/>
      <c r="CP46" s="2106"/>
      <c r="CQ46" s="2106"/>
      <c r="CR46" s="2106"/>
      <c r="CS46" s="2106"/>
      <c r="CT46" s="87"/>
      <c r="CU46" s="166"/>
      <c r="CV46" s="2107">
        <f ca="1">Initiative</f>
        <v>0</v>
      </c>
      <c r="CW46" s="2107"/>
      <c r="CX46" s="2107"/>
      <c r="CY46" s="2107"/>
      <c r="CZ46" s="2107"/>
      <c r="DA46" s="2107"/>
      <c r="DB46" s="2107"/>
      <c r="DC46" s="2107"/>
      <c r="DD46" s="167"/>
      <c r="DE46" s="87"/>
      <c r="DF46" s="117"/>
      <c r="DG46" s="117"/>
      <c r="DH46" s="117"/>
      <c r="DI46" s="87"/>
      <c r="DJ46" s="166"/>
      <c r="DK46" s="1991">
        <f>ROUNDDOWN(CharacterLevel/2,0)</f>
        <v>0</v>
      </c>
      <c r="DL46" s="1991"/>
      <c r="DM46" s="1991"/>
      <c r="DN46" s="1991"/>
      <c r="DO46" s="1991"/>
      <c r="DP46" s="1991"/>
      <c r="DQ46" s="1991"/>
      <c r="DR46" s="167"/>
      <c r="DS46" s="87"/>
      <c r="DT46" s="87"/>
      <c r="DU46" s="87"/>
      <c r="DV46" s="166"/>
      <c r="DW46" s="1991" t="str">
        <f>DexMod</f>
        <v/>
      </c>
      <c r="DX46" s="1991"/>
      <c r="DY46" s="1991"/>
      <c r="DZ46" s="1991"/>
      <c r="EA46" s="1991"/>
      <c r="EB46" s="1991"/>
      <c r="EC46" s="1991"/>
      <c r="ED46" s="167"/>
      <c r="EE46" s="87"/>
      <c r="EF46" s="87"/>
      <c r="EG46" s="87"/>
      <c r="EH46" s="166"/>
      <c r="EI46" s="1991" t="str">
        <f>IF(CharacterLevel&gt;0,IF(OR(INDEX(SkillTable,MATCH(BN45,SkillList,0),4)="Yes",INDEX(SkillTable,MATCH(BN45,SkillList,0),5)="Yes"),5,0),"")</f>
        <v/>
      </c>
      <c r="EJ46" s="1991"/>
      <c r="EK46" s="1991"/>
      <c r="EL46" s="1991"/>
      <c r="EM46" s="1991"/>
      <c r="EN46" s="1991"/>
      <c r="EO46" s="1991"/>
      <c r="EP46" s="264"/>
      <c r="EQ46" s="265"/>
      <c r="ER46" s="265"/>
      <c r="ES46" s="265"/>
      <c r="ET46" s="266"/>
      <c r="EU46" s="1991" t="b">
        <f>IF(CharacterLevel&gt;0,IF(Skills!R16="Yes",5,0))</f>
        <v>0</v>
      </c>
      <c r="EV46" s="1991"/>
      <c r="EW46" s="1991"/>
      <c r="EX46" s="1991"/>
      <c r="EY46" s="1991"/>
      <c r="EZ46" s="1991"/>
      <c r="FA46" s="1991"/>
      <c r="FB46" s="167"/>
      <c r="FC46" s="265"/>
      <c r="FD46" s="265"/>
      <c r="FE46" s="265"/>
      <c r="FF46" s="266"/>
      <c r="FG46" s="1991">
        <f>ArmorPenalty+INDEX(SkillTable,MATCH(BN45,SkillList,0),12)</f>
        <v>0</v>
      </c>
      <c r="FH46" s="1991"/>
      <c r="FI46" s="1991"/>
      <c r="FJ46" s="1991"/>
      <c r="FK46" s="1991"/>
      <c r="FL46" s="1991"/>
      <c r="FM46" s="1991"/>
      <c r="FN46" s="167"/>
      <c r="FO46" s="87"/>
      <c r="FP46" s="2124" t="str">
        <f>IF(INDEX(SkillTable,MATCH(BN45,SkillList,0),77)&lt;&gt;"","×","")</f>
        <v/>
      </c>
      <c r="FQ46" s="2125"/>
      <c r="FR46" s="2125"/>
      <c r="FS46" s="2126"/>
      <c r="FT46" s="988"/>
      <c r="FU46" s="2124" t="str">
        <f>IF(INDEX(SkillTable,MATCH(BN45,SkillList,0),78)&lt;&gt;"","×","")</f>
        <v/>
      </c>
      <c r="FV46" s="2125"/>
      <c r="FW46" s="2125"/>
      <c r="FX46" s="2126"/>
      <c r="FY46" s="87"/>
      <c r="FZ46" s="87"/>
      <c r="GA46" s="87"/>
      <c r="GC46" s="1853"/>
      <c r="GD46" s="1853"/>
      <c r="GE46" s="1853"/>
      <c r="GF46" s="1853"/>
      <c r="GH46" s="1135" t="e">
        <f ca="1">IF(INDEX(SkillTable,MATCH(BN45,SkillList,0),14),1,0)</f>
        <v>#VALUE!</v>
      </c>
    </row>
    <row r="47" spans="1:190" ht="9" customHeight="1" thickBot="1">
      <c r="A47" s="301"/>
      <c r="B47" s="313"/>
      <c r="C47" s="2114"/>
      <c r="D47" s="2114"/>
      <c r="E47" s="2114"/>
      <c r="F47" s="2114"/>
      <c r="G47" s="2114"/>
      <c r="H47" s="2114"/>
      <c r="I47" s="2114"/>
      <c r="J47" s="2114"/>
      <c r="K47" s="2114"/>
      <c r="L47" s="2114"/>
      <c r="M47" s="2114"/>
      <c r="N47" s="2114"/>
      <c r="O47" s="2114"/>
      <c r="P47" s="2114"/>
      <c r="Q47" s="2114"/>
      <c r="R47" s="2114"/>
      <c r="S47" s="2114"/>
      <c r="T47" s="2114"/>
      <c r="U47" s="2114"/>
      <c r="V47" s="2114"/>
      <c r="W47" s="2114"/>
      <c r="X47" s="2114"/>
      <c r="Y47" s="2114"/>
      <c r="Z47" s="2114"/>
      <c r="AA47" s="2114"/>
      <c r="AB47" s="2114"/>
      <c r="AC47" s="2114"/>
      <c r="AD47" s="2114"/>
      <c r="AE47" s="2114"/>
      <c r="AF47" s="2114"/>
      <c r="AG47" s="2114"/>
      <c r="AH47" s="2114"/>
      <c r="AI47" s="2114"/>
      <c r="AJ47" s="2114"/>
      <c r="AK47" s="2114"/>
      <c r="AL47" s="2114"/>
      <c r="AM47" s="2114"/>
      <c r="AN47" s="2114"/>
      <c r="AO47" s="2114"/>
      <c r="AP47" s="2114"/>
      <c r="AQ47" s="2114"/>
      <c r="AR47" s="2114"/>
      <c r="AS47" s="2114"/>
      <c r="AT47" s="2114"/>
      <c r="AU47" s="2114"/>
      <c r="AV47" s="2114"/>
      <c r="AW47" s="2116"/>
      <c r="AX47" s="2116"/>
      <c r="AY47" s="2116"/>
      <c r="AZ47" s="2116"/>
      <c r="BA47" s="2116"/>
      <c r="BB47" s="2116"/>
      <c r="BC47" s="2116"/>
      <c r="BD47" s="2116"/>
      <c r="BE47" s="2116"/>
      <c r="BF47" s="405"/>
      <c r="BG47" s="406"/>
      <c r="BH47" s="301"/>
      <c r="BI47" s="405"/>
      <c r="BJ47" s="1205"/>
      <c r="BK47" s="1204"/>
      <c r="BL47" s="1204"/>
      <c r="BM47" s="1204"/>
      <c r="BN47" s="2106"/>
      <c r="BO47" s="2106"/>
      <c r="BP47" s="2106"/>
      <c r="BQ47" s="2106"/>
      <c r="BR47" s="2106"/>
      <c r="BS47" s="2106"/>
      <c r="BT47" s="2106"/>
      <c r="BU47" s="2106"/>
      <c r="BV47" s="2106"/>
      <c r="BW47" s="2106"/>
      <c r="BX47" s="2106"/>
      <c r="BY47" s="2106"/>
      <c r="BZ47" s="2106"/>
      <c r="CA47" s="2106"/>
      <c r="CB47" s="2106"/>
      <c r="CC47" s="2106"/>
      <c r="CD47" s="2106"/>
      <c r="CE47" s="2106"/>
      <c r="CF47" s="2106"/>
      <c r="CG47" s="2106"/>
      <c r="CH47" s="2106"/>
      <c r="CI47" s="2106"/>
      <c r="CJ47" s="2106"/>
      <c r="CK47" s="2106"/>
      <c r="CL47" s="2106"/>
      <c r="CM47" s="2106"/>
      <c r="CN47" s="2106"/>
      <c r="CO47" s="2106"/>
      <c r="CP47" s="2106"/>
      <c r="CQ47" s="2106"/>
      <c r="CR47" s="2106"/>
      <c r="CS47" s="2106"/>
      <c r="CT47" s="87"/>
      <c r="CU47" s="166"/>
      <c r="CV47" s="2107"/>
      <c r="CW47" s="2107"/>
      <c r="CX47" s="2107"/>
      <c r="CY47" s="2107"/>
      <c r="CZ47" s="2107"/>
      <c r="DA47" s="2107"/>
      <c r="DB47" s="2107"/>
      <c r="DC47" s="2107"/>
      <c r="DD47" s="167"/>
      <c r="DE47" s="87"/>
      <c r="DF47" s="87"/>
      <c r="DG47" s="87"/>
      <c r="DH47" s="87"/>
      <c r="DI47" s="87"/>
      <c r="DJ47" s="166"/>
      <c r="DK47" s="1991"/>
      <c r="DL47" s="1991"/>
      <c r="DM47" s="1991"/>
      <c r="DN47" s="1991"/>
      <c r="DO47" s="1991"/>
      <c r="DP47" s="1991"/>
      <c r="DQ47" s="1991"/>
      <c r="DR47" s="167"/>
      <c r="DS47" s="117"/>
      <c r="DT47" s="117"/>
      <c r="DU47" s="117"/>
      <c r="DV47" s="166"/>
      <c r="DW47" s="1991"/>
      <c r="DX47" s="1991"/>
      <c r="DY47" s="1991"/>
      <c r="DZ47" s="1991"/>
      <c r="EA47" s="1991"/>
      <c r="EB47" s="1991"/>
      <c r="EC47" s="1991"/>
      <c r="ED47" s="167"/>
      <c r="EE47" s="117"/>
      <c r="EF47" s="117"/>
      <c r="EG47" s="117"/>
      <c r="EH47" s="166"/>
      <c r="EI47" s="1991"/>
      <c r="EJ47" s="1991"/>
      <c r="EK47" s="1991"/>
      <c r="EL47" s="1991"/>
      <c r="EM47" s="1991"/>
      <c r="EN47" s="1991"/>
      <c r="EO47" s="1991"/>
      <c r="EP47" s="264"/>
      <c r="EQ47" s="117"/>
      <c r="ER47" s="117"/>
      <c r="ES47" s="117"/>
      <c r="ET47" s="266"/>
      <c r="EU47" s="1991"/>
      <c r="EV47" s="1991"/>
      <c r="EW47" s="1991"/>
      <c r="EX47" s="1991"/>
      <c r="EY47" s="1991"/>
      <c r="EZ47" s="1991"/>
      <c r="FA47" s="1991"/>
      <c r="FB47" s="167"/>
      <c r="FC47" s="117"/>
      <c r="FD47" s="117"/>
      <c r="FE47" s="117"/>
      <c r="FF47" s="266"/>
      <c r="FG47" s="1991"/>
      <c r="FH47" s="1991"/>
      <c r="FI47" s="1991"/>
      <c r="FJ47" s="1991"/>
      <c r="FK47" s="1991"/>
      <c r="FL47" s="1991"/>
      <c r="FM47" s="1991"/>
      <c r="FN47" s="167"/>
      <c r="FO47" s="117"/>
      <c r="FP47" s="2127"/>
      <c r="FQ47" s="2081"/>
      <c r="FR47" s="2081"/>
      <c r="FS47" s="2128"/>
      <c r="FT47" s="989"/>
      <c r="FU47" s="2127"/>
      <c r="FV47" s="2081"/>
      <c r="FW47" s="2081"/>
      <c r="FX47" s="2128"/>
      <c r="FY47" s="87"/>
      <c r="FZ47" s="87"/>
      <c r="GA47" s="87"/>
      <c r="GC47" s="1853"/>
      <c r="GD47" s="1853"/>
      <c r="GE47" s="1853"/>
      <c r="GF47" s="1853"/>
      <c r="GH47" s="1133"/>
    </row>
    <row r="48" spans="1:190" ht="9" customHeight="1" thickBot="1">
      <c r="A48" s="301"/>
      <c r="B48" s="313"/>
      <c r="C48" s="301"/>
      <c r="D48" s="301"/>
      <c r="E48" s="643"/>
      <c r="F48" s="643"/>
      <c r="G48" s="643"/>
      <c r="H48" s="643"/>
      <c r="I48" s="643"/>
      <c r="J48" s="643"/>
      <c r="K48" s="301"/>
      <c r="L48" s="301"/>
      <c r="M48" s="301"/>
      <c r="N48" s="301"/>
      <c r="O48" s="301"/>
      <c r="P48" s="301"/>
      <c r="Q48" s="301"/>
      <c r="R48" s="301"/>
      <c r="S48" s="301"/>
      <c r="T48" s="301"/>
      <c r="U48" s="301"/>
      <c r="V48" s="301"/>
      <c r="W48" s="301"/>
      <c r="X48" s="301"/>
      <c r="Y48" s="301"/>
      <c r="Z48" s="301"/>
      <c r="AA48" s="301"/>
      <c r="AB48" s="301"/>
      <c r="AC48" s="301"/>
      <c r="AD48" s="301"/>
      <c r="AE48" s="301"/>
      <c r="AF48" s="301"/>
      <c r="AG48" s="301"/>
      <c r="AH48" s="301"/>
      <c r="AI48" s="301"/>
      <c r="AJ48" s="301"/>
      <c r="AK48" s="301"/>
      <c r="AL48" s="301"/>
      <c r="AM48" s="301"/>
      <c r="AN48" s="301"/>
      <c r="AO48" s="301"/>
      <c r="AP48" s="301"/>
      <c r="AQ48" s="301"/>
      <c r="AR48" s="301"/>
      <c r="AS48" s="301"/>
      <c r="AT48" s="301"/>
      <c r="AU48" s="301"/>
      <c r="AV48" s="301"/>
      <c r="AW48" s="1087"/>
      <c r="AX48" s="1087"/>
      <c r="AY48" s="1087"/>
      <c r="AZ48" s="1087"/>
      <c r="BA48" s="1087"/>
      <c r="BB48" s="1087"/>
      <c r="BC48" s="1087"/>
      <c r="BD48" s="1087"/>
      <c r="BE48" s="1087"/>
      <c r="BF48" s="405"/>
      <c r="BG48" s="406"/>
      <c r="BH48" s="301"/>
      <c r="BI48" s="405"/>
      <c r="BJ48" s="1205"/>
      <c r="BK48" s="1204"/>
      <c r="BL48" s="1204"/>
      <c r="BM48" s="1204"/>
      <c r="BN48" s="2106"/>
      <c r="BO48" s="2106"/>
      <c r="BP48" s="2106"/>
      <c r="BQ48" s="2106"/>
      <c r="BR48" s="2106"/>
      <c r="BS48" s="2106"/>
      <c r="BT48" s="2106"/>
      <c r="BU48" s="2106"/>
      <c r="BV48" s="2106"/>
      <c r="BW48" s="2106"/>
      <c r="BX48" s="2106"/>
      <c r="BY48" s="2106"/>
      <c r="BZ48" s="2106"/>
      <c r="CA48" s="2106"/>
      <c r="CB48" s="2106"/>
      <c r="CC48" s="2106"/>
      <c r="CD48" s="2106"/>
      <c r="CE48" s="2106"/>
      <c r="CF48" s="2106"/>
      <c r="CG48" s="2106"/>
      <c r="CH48" s="2106"/>
      <c r="CI48" s="2106"/>
      <c r="CJ48" s="2106"/>
      <c r="CK48" s="2106"/>
      <c r="CL48" s="2106"/>
      <c r="CM48" s="2106"/>
      <c r="CN48" s="2106"/>
      <c r="CO48" s="2106"/>
      <c r="CP48" s="2106"/>
      <c r="CQ48" s="2106"/>
      <c r="CR48" s="2106"/>
      <c r="CS48" s="2106"/>
      <c r="CT48" s="87"/>
      <c r="CU48" s="166"/>
      <c r="CV48" s="2107"/>
      <c r="CW48" s="2107"/>
      <c r="CX48" s="2107"/>
      <c r="CY48" s="2107"/>
      <c r="CZ48" s="2107"/>
      <c r="DA48" s="2107"/>
      <c r="DB48" s="2107"/>
      <c r="DC48" s="2107"/>
      <c r="DD48" s="167"/>
      <c r="DE48" s="87"/>
      <c r="DF48" s="117"/>
      <c r="DG48" s="117"/>
      <c r="DH48" s="117"/>
      <c r="DI48" s="87"/>
      <c r="DJ48" s="166"/>
      <c r="DK48" s="1991"/>
      <c r="DL48" s="1991"/>
      <c r="DM48" s="1991"/>
      <c r="DN48" s="1991"/>
      <c r="DO48" s="1991"/>
      <c r="DP48" s="1991"/>
      <c r="DQ48" s="1991"/>
      <c r="DR48" s="167"/>
      <c r="DS48" s="87"/>
      <c r="DT48" s="87"/>
      <c r="DU48" s="87"/>
      <c r="DV48" s="166"/>
      <c r="DW48" s="1991"/>
      <c r="DX48" s="1991"/>
      <c r="DY48" s="1991"/>
      <c r="DZ48" s="1991"/>
      <c r="EA48" s="1991"/>
      <c r="EB48" s="1991"/>
      <c r="EC48" s="1991"/>
      <c r="ED48" s="167"/>
      <c r="EE48" s="87"/>
      <c r="EF48" s="87"/>
      <c r="EG48" s="87"/>
      <c r="EH48" s="166"/>
      <c r="EI48" s="1991"/>
      <c r="EJ48" s="1991"/>
      <c r="EK48" s="1991"/>
      <c r="EL48" s="1991"/>
      <c r="EM48" s="1991"/>
      <c r="EN48" s="1991"/>
      <c r="EO48" s="1991"/>
      <c r="EP48" s="264"/>
      <c r="EQ48" s="87"/>
      <c r="ER48" s="87"/>
      <c r="ES48" s="87"/>
      <c r="ET48" s="266"/>
      <c r="EU48" s="1991"/>
      <c r="EV48" s="1991"/>
      <c r="EW48" s="1991"/>
      <c r="EX48" s="1991"/>
      <c r="EY48" s="1991"/>
      <c r="EZ48" s="1991"/>
      <c r="FA48" s="1991"/>
      <c r="FB48" s="167"/>
      <c r="FC48" s="87"/>
      <c r="FD48" s="87"/>
      <c r="FE48" s="87"/>
      <c r="FF48" s="266"/>
      <c r="FG48" s="1991"/>
      <c r="FH48" s="1991"/>
      <c r="FI48" s="1991"/>
      <c r="FJ48" s="1991"/>
      <c r="FK48" s="1991"/>
      <c r="FL48" s="1991"/>
      <c r="FM48" s="1991"/>
      <c r="FN48" s="167"/>
      <c r="FO48" s="87"/>
      <c r="FP48" s="2129"/>
      <c r="FQ48" s="2130"/>
      <c r="FR48" s="2130"/>
      <c r="FS48" s="2131"/>
      <c r="FT48" s="988"/>
      <c r="FU48" s="2129"/>
      <c r="FV48" s="2130"/>
      <c r="FW48" s="2130"/>
      <c r="FX48" s="2131"/>
      <c r="FY48" s="87"/>
      <c r="FZ48" s="87"/>
      <c r="GA48" s="87"/>
      <c r="GF48" s="714"/>
      <c r="GH48" s="1133"/>
    </row>
    <row r="49" spans="1:190" ht="9" customHeight="1" thickBot="1">
      <c r="A49" s="301"/>
      <c r="B49" s="313"/>
      <c r="C49" s="2113" t="str">
        <f>IF(Race="","",IF(NOT(ISERROR(GD49)),MID(EquipmentNameList,GD45+1,GD49-GD45-1),""))</f>
        <v/>
      </c>
      <c r="D49" s="2113"/>
      <c r="E49" s="2113"/>
      <c r="F49" s="2113"/>
      <c r="G49" s="2113"/>
      <c r="H49" s="2113"/>
      <c r="I49" s="2113"/>
      <c r="J49" s="2113"/>
      <c r="K49" s="2113"/>
      <c r="L49" s="2113"/>
      <c r="M49" s="2113"/>
      <c r="N49" s="2113"/>
      <c r="O49" s="2113"/>
      <c r="P49" s="2113"/>
      <c r="Q49" s="2113"/>
      <c r="R49" s="2113"/>
      <c r="S49" s="2113"/>
      <c r="T49" s="2113"/>
      <c r="U49" s="2113"/>
      <c r="V49" s="2113"/>
      <c r="W49" s="2113"/>
      <c r="X49" s="2113"/>
      <c r="Y49" s="2113"/>
      <c r="Z49" s="2113"/>
      <c r="AA49" s="2113"/>
      <c r="AB49" s="2113"/>
      <c r="AC49" s="2113"/>
      <c r="AD49" s="2113"/>
      <c r="AE49" s="2113"/>
      <c r="AF49" s="2113"/>
      <c r="AG49" s="2113"/>
      <c r="AH49" s="2113"/>
      <c r="AI49" s="2113"/>
      <c r="AJ49" s="2113"/>
      <c r="AK49" s="2113"/>
      <c r="AL49" s="2113"/>
      <c r="AM49" s="2113"/>
      <c r="AN49" s="2113"/>
      <c r="AO49" s="2113"/>
      <c r="AP49" s="2113"/>
      <c r="AQ49" s="2113"/>
      <c r="AR49" s="2113"/>
      <c r="AS49" s="2113"/>
      <c r="AT49" s="2113"/>
      <c r="AU49" s="2113"/>
      <c r="AV49" s="2113"/>
      <c r="AW49" s="2115" t="str">
        <f>IF(Race="","",IF(NOT(ISERROR(GE49)),VALUE(MID(EquipmentWeightList,GE45+1,GE49-GE45-1)),""))</f>
        <v/>
      </c>
      <c r="AX49" s="2115"/>
      <c r="AY49" s="2115"/>
      <c r="AZ49" s="2115"/>
      <c r="BA49" s="2115"/>
      <c r="BB49" s="2115"/>
      <c r="BC49" s="2115"/>
      <c r="BD49" s="2115"/>
      <c r="BE49" s="2115"/>
      <c r="BF49" s="405"/>
      <c r="BG49" s="406"/>
      <c r="BH49" s="301"/>
      <c r="BI49" s="405"/>
      <c r="BJ49" s="1205"/>
      <c r="BK49" s="1205"/>
      <c r="BL49" s="1205"/>
      <c r="BM49" s="1205"/>
      <c r="BN49" s="2106"/>
      <c r="BO49" s="2106"/>
      <c r="BP49" s="2106"/>
      <c r="BQ49" s="2106"/>
      <c r="BR49" s="2106"/>
      <c r="BS49" s="2106"/>
      <c r="BT49" s="2106"/>
      <c r="BU49" s="2106"/>
      <c r="BV49" s="2106"/>
      <c r="BW49" s="2106"/>
      <c r="BX49" s="2106"/>
      <c r="BY49" s="2106"/>
      <c r="BZ49" s="2106"/>
      <c r="CA49" s="2106"/>
      <c r="CB49" s="2106"/>
      <c r="CC49" s="2106"/>
      <c r="CD49" s="2106"/>
      <c r="CE49" s="2106"/>
      <c r="CF49" s="2106"/>
      <c r="CG49" s="2106"/>
      <c r="CH49" s="2106"/>
      <c r="CI49" s="2106"/>
      <c r="CJ49" s="2106"/>
      <c r="CK49" s="2106"/>
      <c r="CL49" s="2106"/>
      <c r="CM49" s="2106"/>
      <c r="CN49" s="2106"/>
      <c r="CO49" s="2106"/>
      <c r="CP49" s="2106"/>
      <c r="CQ49" s="2106"/>
      <c r="CR49" s="2106"/>
      <c r="CS49" s="2106"/>
      <c r="CT49" s="87"/>
      <c r="CU49" s="160"/>
      <c r="CV49" s="409"/>
      <c r="CW49" s="409"/>
      <c r="CX49" s="409"/>
      <c r="CY49" s="409"/>
      <c r="CZ49" s="409"/>
      <c r="DA49" s="409"/>
      <c r="DB49" s="409"/>
      <c r="DC49" s="409"/>
      <c r="DD49" s="158"/>
      <c r="DE49" s="87"/>
      <c r="DF49" s="87"/>
      <c r="DG49" s="87"/>
      <c r="DH49" s="87"/>
      <c r="DI49" s="87"/>
      <c r="DJ49" s="160"/>
      <c r="DK49" s="240"/>
      <c r="DL49" s="240"/>
      <c r="DM49" s="240"/>
      <c r="DN49" s="240"/>
      <c r="DO49" s="240"/>
      <c r="DP49" s="240"/>
      <c r="DQ49" s="240"/>
      <c r="DR49" s="158"/>
      <c r="DS49" s="87"/>
      <c r="DT49" s="87"/>
      <c r="DU49" s="87"/>
      <c r="DV49" s="160"/>
      <c r="DW49" s="240"/>
      <c r="DX49" s="240"/>
      <c r="DY49" s="240"/>
      <c r="DZ49" s="240"/>
      <c r="EA49" s="240"/>
      <c r="EB49" s="240"/>
      <c r="EC49" s="240"/>
      <c r="ED49" s="158"/>
      <c r="EE49" s="87"/>
      <c r="EF49" s="87"/>
      <c r="EG49" s="87"/>
      <c r="EH49" s="160"/>
      <c r="EI49" s="204"/>
      <c r="EJ49" s="204"/>
      <c r="EK49" s="204"/>
      <c r="EL49" s="204"/>
      <c r="EM49" s="204"/>
      <c r="EN49" s="204"/>
      <c r="EO49" s="204"/>
      <c r="EP49" s="274"/>
      <c r="EQ49" s="87"/>
      <c r="ER49" s="87"/>
      <c r="ES49" s="87"/>
      <c r="ET49" s="203"/>
      <c r="EU49" s="204"/>
      <c r="EV49" s="204"/>
      <c r="EW49" s="204"/>
      <c r="EX49" s="204"/>
      <c r="EY49" s="204"/>
      <c r="EZ49" s="204"/>
      <c r="FA49" s="204"/>
      <c r="FB49" s="158"/>
      <c r="FC49" s="87"/>
      <c r="FD49" s="87"/>
      <c r="FE49" s="87"/>
      <c r="FF49" s="203"/>
      <c r="FG49" s="204"/>
      <c r="FH49" s="204"/>
      <c r="FI49" s="204"/>
      <c r="FJ49" s="204"/>
      <c r="FK49" s="204"/>
      <c r="FL49" s="204"/>
      <c r="FM49" s="204"/>
      <c r="FN49" s="158"/>
      <c r="FO49" s="87"/>
      <c r="FP49" s="988"/>
      <c r="FQ49" s="988"/>
      <c r="FR49" s="988"/>
      <c r="FS49" s="988"/>
      <c r="FT49" s="988"/>
      <c r="FU49" s="988"/>
      <c r="FV49" s="988"/>
      <c r="FW49" s="988"/>
      <c r="FX49" s="988"/>
      <c r="FY49" s="87"/>
      <c r="FZ49" s="87"/>
      <c r="GA49" s="87"/>
      <c r="GC49" s="1853">
        <f>GC45+1</f>
        <v>10</v>
      </c>
      <c r="GD49" s="1853" t="e">
        <f>FIND(";",EquipmentNameList,GD45+1)</f>
        <v>#VALUE!</v>
      </c>
      <c r="GE49" s="1853" t="e">
        <f>FIND(";",EquipmentWeightList,GE45+1)</f>
        <v>#VALUE!</v>
      </c>
      <c r="GF49" s="1853" t="e">
        <f>FIND(";",EquipmentNumberList,GF45+1)</f>
        <v>#VALUE!</v>
      </c>
      <c r="GH49" s="1133"/>
    </row>
    <row r="50" spans="1:190" ht="9" customHeight="1" thickBot="1">
      <c r="A50" s="301"/>
      <c r="B50" s="313"/>
      <c r="C50" s="2113"/>
      <c r="D50" s="2113"/>
      <c r="E50" s="2113"/>
      <c r="F50" s="2113"/>
      <c r="G50" s="2113"/>
      <c r="H50" s="2113"/>
      <c r="I50" s="2113"/>
      <c r="J50" s="2113"/>
      <c r="K50" s="2113"/>
      <c r="L50" s="2113"/>
      <c r="M50" s="2113"/>
      <c r="N50" s="2113"/>
      <c r="O50" s="2113"/>
      <c r="P50" s="2113"/>
      <c r="Q50" s="2113"/>
      <c r="R50" s="2113"/>
      <c r="S50" s="2113"/>
      <c r="T50" s="2113"/>
      <c r="U50" s="2113"/>
      <c r="V50" s="2113"/>
      <c r="W50" s="2113"/>
      <c r="X50" s="2113"/>
      <c r="Y50" s="2113"/>
      <c r="Z50" s="2113"/>
      <c r="AA50" s="2113"/>
      <c r="AB50" s="2113"/>
      <c r="AC50" s="2113"/>
      <c r="AD50" s="2113"/>
      <c r="AE50" s="2113"/>
      <c r="AF50" s="2113"/>
      <c r="AG50" s="2113"/>
      <c r="AH50" s="2113"/>
      <c r="AI50" s="2113"/>
      <c r="AJ50" s="2113"/>
      <c r="AK50" s="2113"/>
      <c r="AL50" s="2113"/>
      <c r="AM50" s="2113"/>
      <c r="AN50" s="2113"/>
      <c r="AO50" s="2113"/>
      <c r="AP50" s="2113"/>
      <c r="AQ50" s="2113"/>
      <c r="AR50" s="2113"/>
      <c r="AS50" s="2113"/>
      <c r="AT50" s="2113"/>
      <c r="AU50" s="2113"/>
      <c r="AV50" s="2113"/>
      <c r="AW50" s="2115"/>
      <c r="AX50" s="2115"/>
      <c r="AY50" s="2115"/>
      <c r="AZ50" s="2115"/>
      <c r="BA50" s="2115"/>
      <c r="BB50" s="2115"/>
      <c r="BC50" s="2115"/>
      <c r="BD50" s="2115"/>
      <c r="BE50" s="2115"/>
      <c r="BF50" s="405"/>
      <c r="BG50" s="406"/>
      <c r="BH50" s="301"/>
      <c r="BI50" s="405"/>
      <c r="BJ50" s="1205"/>
      <c r="BK50" s="1205"/>
      <c r="BL50" s="1205"/>
      <c r="BM50" s="1205"/>
      <c r="BN50" s="1205"/>
      <c r="BO50" s="1205"/>
      <c r="BP50" s="1205"/>
      <c r="BQ50" s="1205"/>
      <c r="BR50" s="1205"/>
      <c r="BS50" s="1205"/>
      <c r="BT50" s="1205"/>
      <c r="BU50" s="1205"/>
      <c r="BV50" s="1205"/>
      <c r="BW50" s="1205"/>
      <c r="BX50" s="1205"/>
      <c r="BY50" s="1205"/>
      <c r="BZ50" s="1205"/>
      <c r="CA50" s="1205"/>
      <c r="CB50" s="1205"/>
      <c r="CC50" s="1205"/>
      <c r="CD50" s="1205"/>
      <c r="CE50" s="1205"/>
      <c r="CF50" s="1205"/>
      <c r="CG50" s="1205"/>
      <c r="CH50" s="1205"/>
      <c r="CI50" s="1205"/>
      <c r="CJ50" s="1205"/>
      <c r="CK50" s="1205"/>
      <c r="CL50" s="1205"/>
      <c r="CM50" s="1205"/>
      <c r="CN50" s="1205"/>
      <c r="CO50" s="1205"/>
      <c r="CP50" s="1205"/>
      <c r="CQ50" s="1205"/>
      <c r="CR50" s="1205"/>
      <c r="CS50" s="1205"/>
      <c r="CT50" s="301"/>
      <c r="CU50" s="301"/>
      <c r="CV50" s="414"/>
      <c r="CW50" s="414"/>
      <c r="CX50" s="414"/>
      <c r="CY50" s="414"/>
      <c r="CZ50" s="414"/>
      <c r="DA50" s="414"/>
      <c r="DB50" s="414"/>
      <c r="DC50" s="414"/>
      <c r="DD50" s="301"/>
      <c r="DE50" s="301"/>
      <c r="DF50" s="301"/>
      <c r="DG50" s="301"/>
      <c r="DH50" s="301"/>
      <c r="DI50" s="301"/>
      <c r="DJ50" s="301"/>
      <c r="DK50" s="301"/>
      <c r="DL50" s="301"/>
      <c r="DM50" s="301"/>
      <c r="DN50" s="301"/>
      <c r="DO50" s="301"/>
      <c r="DP50" s="301"/>
      <c r="DQ50" s="301"/>
      <c r="DR50" s="301"/>
      <c r="DS50" s="301"/>
      <c r="DT50" s="301"/>
      <c r="DU50" s="301"/>
      <c r="DV50" s="301"/>
      <c r="DW50" s="301"/>
      <c r="DX50" s="301"/>
      <c r="DY50" s="301"/>
      <c r="DZ50" s="301"/>
      <c r="EA50" s="301"/>
      <c r="EB50" s="301"/>
      <c r="EC50" s="301"/>
      <c r="ED50" s="301"/>
      <c r="EE50" s="301"/>
      <c r="EF50" s="301"/>
      <c r="EG50" s="301"/>
      <c r="EH50" s="301"/>
      <c r="EI50" s="301"/>
      <c r="EJ50" s="301"/>
      <c r="EK50" s="301"/>
      <c r="EL50" s="301"/>
      <c r="EM50" s="301"/>
      <c r="EN50" s="301"/>
      <c r="EO50" s="301"/>
      <c r="EP50" s="301"/>
      <c r="EQ50" s="301"/>
      <c r="ER50" s="301"/>
      <c r="ES50" s="301"/>
      <c r="ET50" s="301"/>
      <c r="EU50" s="301"/>
      <c r="EV50" s="301"/>
      <c r="EW50" s="301"/>
      <c r="EX50" s="301"/>
      <c r="EY50" s="301"/>
      <c r="EZ50" s="301"/>
      <c r="FA50" s="301"/>
      <c r="FB50" s="301"/>
      <c r="FC50" s="301"/>
      <c r="FD50" s="301"/>
      <c r="FE50" s="301"/>
      <c r="FF50" s="301"/>
      <c r="FG50" s="301"/>
      <c r="FH50" s="301"/>
      <c r="FI50" s="301"/>
      <c r="FJ50" s="301"/>
      <c r="FK50" s="301"/>
      <c r="FL50" s="301"/>
      <c r="FM50" s="301"/>
      <c r="FN50" s="87"/>
      <c r="FO50" s="87"/>
      <c r="FP50" s="988"/>
      <c r="FQ50" s="988"/>
      <c r="FR50" s="988"/>
      <c r="FS50" s="988"/>
      <c r="FT50" s="988"/>
      <c r="FU50" s="988"/>
      <c r="FV50" s="988"/>
      <c r="FW50" s="988"/>
      <c r="FX50" s="988"/>
      <c r="FY50" s="87"/>
      <c r="FZ50" s="87"/>
      <c r="GA50" s="87"/>
      <c r="GC50" s="1853"/>
      <c r="GD50" s="1853"/>
      <c r="GE50" s="1853"/>
      <c r="GF50" s="1853"/>
      <c r="GH50" s="1133"/>
    </row>
    <row r="51" spans="1:190" ht="9" customHeight="1" thickBot="1">
      <c r="A51" s="301"/>
      <c r="B51" s="313"/>
      <c r="C51" s="2114"/>
      <c r="D51" s="2114"/>
      <c r="E51" s="2114"/>
      <c r="F51" s="2114"/>
      <c r="G51" s="2114"/>
      <c r="H51" s="2114"/>
      <c r="I51" s="2114"/>
      <c r="J51" s="2114"/>
      <c r="K51" s="2114"/>
      <c r="L51" s="2114"/>
      <c r="M51" s="2114"/>
      <c r="N51" s="2114"/>
      <c r="O51" s="2114"/>
      <c r="P51" s="2114"/>
      <c r="Q51" s="2114"/>
      <c r="R51" s="2114"/>
      <c r="S51" s="2114"/>
      <c r="T51" s="2114"/>
      <c r="U51" s="2114"/>
      <c r="V51" s="2114"/>
      <c r="W51" s="2114"/>
      <c r="X51" s="2114"/>
      <c r="Y51" s="2114"/>
      <c r="Z51" s="2114"/>
      <c r="AA51" s="2114"/>
      <c r="AB51" s="2114"/>
      <c r="AC51" s="2114"/>
      <c r="AD51" s="2114"/>
      <c r="AE51" s="2114"/>
      <c r="AF51" s="2114"/>
      <c r="AG51" s="2114"/>
      <c r="AH51" s="2114"/>
      <c r="AI51" s="2114"/>
      <c r="AJ51" s="2114"/>
      <c r="AK51" s="2114"/>
      <c r="AL51" s="2114"/>
      <c r="AM51" s="2114"/>
      <c r="AN51" s="2114"/>
      <c r="AO51" s="2114"/>
      <c r="AP51" s="2114"/>
      <c r="AQ51" s="2114"/>
      <c r="AR51" s="2114"/>
      <c r="AS51" s="2114"/>
      <c r="AT51" s="2114"/>
      <c r="AU51" s="2114"/>
      <c r="AV51" s="2114"/>
      <c r="AW51" s="2116"/>
      <c r="AX51" s="2116"/>
      <c r="AY51" s="2116"/>
      <c r="AZ51" s="2116"/>
      <c r="BA51" s="2116"/>
      <c r="BB51" s="2116"/>
      <c r="BC51" s="2116"/>
      <c r="BD51" s="2116"/>
      <c r="BE51" s="2116"/>
      <c r="BF51" s="405"/>
      <c r="BG51" s="406"/>
      <c r="BH51" s="301"/>
      <c r="BI51" s="405"/>
      <c r="BJ51" s="1205"/>
      <c r="BK51" s="1205"/>
      <c r="BL51" s="1205"/>
      <c r="BM51" s="1205"/>
      <c r="BN51" s="2106" t="s">
        <v>407</v>
      </c>
      <c r="BO51" s="2106"/>
      <c r="BP51" s="2106"/>
      <c r="BQ51" s="2106"/>
      <c r="BR51" s="2106"/>
      <c r="BS51" s="2106"/>
      <c r="BT51" s="2106"/>
      <c r="BU51" s="2106"/>
      <c r="BV51" s="2106"/>
      <c r="BW51" s="2106"/>
      <c r="BX51" s="2106"/>
      <c r="BY51" s="2106"/>
      <c r="BZ51" s="2106"/>
      <c r="CA51" s="2106"/>
      <c r="CB51" s="2106"/>
      <c r="CC51" s="2106"/>
      <c r="CD51" s="2106"/>
      <c r="CE51" s="2106"/>
      <c r="CF51" s="2106"/>
      <c r="CG51" s="2106"/>
      <c r="CH51" s="2106"/>
      <c r="CI51" s="2106"/>
      <c r="CJ51" s="2106"/>
      <c r="CK51" s="2106"/>
      <c r="CL51" s="2106"/>
      <c r="CM51" s="2106"/>
      <c r="CN51" s="2106"/>
      <c r="CO51" s="2106"/>
      <c r="CP51" s="2106"/>
      <c r="CQ51" s="2106"/>
      <c r="CR51" s="2106"/>
      <c r="CS51" s="2106"/>
      <c r="CT51" s="87"/>
      <c r="CU51" s="158" t="e">
        <f>HeroicLvl+ArmourFort</f>
        <v>#NAME?</v>
      </c>
      <c r="CV51" s="411"/>
      <c r="CW51" s="411"/>
      <c r="CX51" s="411"/>
      <c r="CY51" s="411"/>
      <c r="CZ51" s="411"/>
      <c r="DA51" s="411"/>
      <c r="DB51" s="411"/>
      <c r="DC51" s="411"/>
      <c r="DD51" s="160"/>
      <c r="DE51" s="87"/>
      <c r="DF51" s="87"/>
      <c r="DG51" s="87"/>
      <c r="DH51" s="87"/>
      <c r="DI51" s="87"/>
      <c r="DJ51" s="158" t="e">
        <f>HeroicLvl+ArmourFort</f>
        <v>#NAME?</v>
      </c>
      <c r="DK51" s="159"/>
      <c r="DL51" s="159"/>
      <c r="DM51" s="159"/>
      <c r="DN51" s="159"/>
      <c r="DO51" s="159"/>
      <c r="DP51" s="159"/>
      <c r="DQ51" s="159"/>
      <c r="DR51" s="160"/>
      <c r="DS51" s="87"/>
      <c r="DT51" s="87"/>
      <c r="DU51" s="87"/>
      <c r="DV51" s="158"/>
      <c r="DW51" s="159"/>
      <c r="DX51" s="159"/>
      <c r="DY51" s="159"/>
      <c r="DZ51" s="159"/>
      <c r="EA51" s="159"/>
      <c r="EB51" s="159"/>
      <c r="EC51" s="159"/>
      <c r="ED51" s="160"/>
      <c r="EE51" s="87"/>
      <c r="EF51" s="87"/>
      <c r="EG51" s="87"/>
      <c r="EH51" s="158"/>
      <c r="EI51" s="184"/>
      <c r="EJ51" s="184"/>
      <c r="EK51" s="184"/>
      <c r="EL51" s="184"/>
      <c r="EM51" s="184"/>
      <c r="EN51" s="184"/>
      <c r="EO51" s="184"/>
      <c r="EP51" s="160"/>
      <c r="EQ51" s="87"/>
      <c r="ER51" s="87"/>
      <c r="ES51" s="87"/>
      <c r="ET51" s="158"/>
      <c r="EU51" s="1649"/>
      <c r="EV51" s="1649"/>
      <c r="EW51" s="1649"/>
      <c r="EX51" s="1649"/>
      <c r="EY51" s="1649"/>
      <c r="EZ51" s="1649"/>
      <c r="FA51" s="1649"/>
      <c r="FB51" s="160"/>
      <c r="FC51" s="87"/>
      <c r="FD51" s="87"/>
      <c r="FE51" s="87"/>
      <c r="FF51" s="158"/>
      <c r="FG51" s="159"/>
      <c r="FH51" s="159"/>
      <c r="FI51" s="159"/>
      <c r="FJ51" s="159"/>
      <c r="FK51" s="159"/>
      <c r="FL51" s="159"/>
      <c r="FM51" s="159"/>
      <c r="FN51" s="160"/>
      <c r="FO51" s="87"/>
      <c r="FP51" s="988"/>
      <c r="FQ51" s="988"/>
      <c r="FR51" s="988"/>
      <c r="FS51" s="988"/>
      <c r="FT51" s="988"/>
      <c r="FU51" s="988"/>
      <c r="FV51" s="988"/>
      <c r="FW51" s="988"/>
      <c r="FX51" s="988"/>
      <c r="FY51" s="87"/>
      <c r="FZ51" s="87"/>
      <c r="GA51" s="87"/>
      <c r="GC51" s="1853"/>
      <c r="GD51" s="1853"/>
      <c r="GE51" s="1853"/>
      <c r="GF51" s="1853"/>
      <c r="GH51" s="1133"/>
    </row>
    <row r="52" spans="1:190" ht="9" customHeight="1">
      <c r="A52" s="301"/>
      <c r="B52" s="313"/>
      <c r="C52" s="301"/>
      <c r="D52" s="301"/>
      <c r="E52" s="643"/>
      <c r="F52" s="643"/>
      <c r="G52" s="643"/>
      <c r="H52" s="643"/>
      <c r="I52" s="643"/>
      <c r="J52" s="643"/>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1087"/>
      <c r="AX52" s="1087"/>
      <c r="AY52" s="1087"/>
      <c r="AZ52" s="1087"/>
      <c r="BA52" s="1087"/>
      <c r="BB52" s="1087"/>
      <c r="BC52" s="1087"/>
      <c r="BD52" s="1087"/>
      <c r="BE52" s="1087"/>
      <c r="BF52" s="405"/>
      <c r="BG52" s="406"/>
      <c r="BH52" s="301"/>
      <c r="BI52" s="405"/>
      <c r="BJ52" s="1205"/>
      <c r="BK52" s="1205"/>
      <c r="BL52" s="1205"/>
      <c r="BM52" s="1205"/>
      <c r="BN52" s="2106"/>
      <c r="BO52" s="2106"/>
      <c r="BP52" s="2106"/>
      <c r="BQ52" s="2106"/>
      <c r="BR52" s="2106"/>
      <c r="BS52" s="2106"/>
      <c r="BT52" s="2106"/>
      <c r="BU52" s="2106"/>
      <c r="BV52" s="2106"/>
      <c r="BW52" s="2106"/>
      <c r="BX52" s="2106"/>
      <c r="BY52" s="2106"/>
      <c r="BZ52" s="2106"/>
      <c r="CA52" s="2106"/>
      <c r="CB52" s="2106"/>
      <c r="CC52" s="2106"/>
      <c r="CD52" s="2106"/>
      <c r="CE52" s="2106"/>
      <c r="CF52" s="2106"/>
      <c r="CG52" s="2106"/>
      <c r="CH52" s="2106"/>
      <c r="CI52" s="2106"/>
      <c r="CJ52" s="2106"/>
      <c r="CK52" s="2106"/>
      <c r="CL52" s="2106"/>
      <c r="CM52" s="2106"/>
      <c r="CN52" s="2106"/>
      <c r="CO52" s="2106"/>
      <c r="CP52" s="2106"/>
      <c r="CQ52" s="2106"/>
      <c r="CR52" s="2106"/>
      <c r="CS52" s="2106"/>
      <c r="CT52" s="87"/>
      <c r="CU52" s="166"/>
      <c r="CV52" s="2107">
        <f ca="1">Jump</f>
        <v>0</v>
      </c>
      <c r="CW52" s="2107"/>
      <c r="CX52" s="2107"/>
      <c r="CY52" s="2107"/>
      <c r="CZ52" s="2107"/>
      <c r="DA52" s="2107"/>
      <c r="DB52" s="2107"/>
      <c r="DC52" s="2107"/>
      <c r="DD52" s="167"/>
      <c r="DE52" s="87"/>
      <c r="DF52" s="117"/>
      <c r="DG52" s="117"/>
      <c r="DH52" s="117"/>
      <c r="DI52" s="87"/>
      <c r="DJ52" s="166"/>
      <c r="DK52" s="1991">
        <f>ROUNDDOWN(CharacterLevel/2,0)</f>
        <v>0</v>
      </c>
      <c r="DL52" s="1991"/>
      <c r="DM52" s="1991"/>
      <c r="DN52" s="1991"/>
      <c r="DO52" s="1991"/>
      <c r="DP52" s="1991"/>
      <c r="DQ52" s="1991"/>
      <c r="DR52" s="167"/>
      <c r="DS52" s="87"/>
      <c r="DT52" s="87"/>
      <c r="DU52" s="87"/>
      <c r="DV52" s="166"/>
      <c r="DW52" s="1991" t="str">
        <f>StrMod</f>
        <v/>
      </c>
      <c r="DX52" s="1991"/>
      <c r="DY52" s="1991"/>
      <c r="DZ52" s="1991"/>
      <c r="EA52" s="1991"/>
      <c r="EB52" s="1991"/>
      <c r="EC52" s="1991"/>
      <c r="ED52" s="167"/>
      <c r="EE52" s="87"/>
      <c r="EF52" s="87"/>
      <c r="EG52" s="87"/>
      <c r="EH52" s="166"/>
      <c r="EI52" s="1991" t="str">
        <f>IF(CharacterLevel&gt;0,IF(OR(INDEX(SkillTable,MATCH(BN51,SkillList,0),4)="Yes",INDEX(SkillTable,MATCH(BN51,SkillList,0),5)="Yes"),5,0),"")</f>
        <v/>
      </c>
      <c r="EJ52" s="1991"/>
      <c r="EK52" s="1991"/>
      <c r="EL52" s="1991"/>
      <c r="EM52" s="1991"/>
      <c r="EN52" s="1991"/>
      <c r="EO52" s="1991"/>
      <c r="EP52" s="264"/>
      <c r="EQ52" s="265"/>
      <c r="ER52" s="265"/>
      <c r="ES52" s="265"/>
      <c r="ET52" s="266"/>
      <c r="EU52" s="1991" t="b">
        <f>IF(CharacterLevel&gt;0,IF(Skills!R17="Yes",5,0))</f>
        <v>0</v>
      </c>
      <c r="EV52" s="1991"/>
      <c r="EW52" s="1991"/>
      <c r="EX52" s="1991"/>
      <c r="EY52" s="1991"/>
      <c r="EZ52" s="1991"/>
      <c r="FA52" s="1991"/>
      <c r="FB52" s="167"/>
      <c r="FC52" s="265"/>
      <c r="FD52" s="265"/>
      <c r="FE52" s="265"/>
      <c r="FF52" s="266"/>
      <c r="FG52" s="1991">
        <f>ArmorPenalty+INDEX(SkillTable,MATCH(BN51,SkillList,0),12)</f>
        <v>0</v>
      </c>
      <c r="FH52" s="1991"/>
      <c r="FI52" s="1991"/>
      <c r="FJ52" s="1991"/>
      <c r="FK52" s="1991"/>
      <c r="FL52" s="1991"/>
      <c r="FM52" s="1991"/>
      <c r="FN52" s="167"/>
      <c r="FO52" s="87"/>
      <c r="FP52" s="2124" t="str">
        <f>IF(INDEX(SkillTable,MATCH(BN51,SkillList,0),77)&lt;&gt;"","×","")</f>
        <v/>
      </c>
      <c r="FQ52" s="2125"/>
      <c r="FR52" s="2125"/>
      <c r="FS52" s="2126"/>
      <c r="FT52" s="988"/>
      <c r="FU52" s="2124" t="str">
        <f>IF(INDEX(SkillTable,MATCH(BN51,SkillList,0),78)&lt;&gt;"","×","")</f>
        <v/>
      </c>
      <c r="FV52" s="2125"/>
      <c r="FW52" s="2125"/>
      <c r="FX52" s="2126"/>
      <c r="FY52" s="87"/>
      <c r="FZ52" s="87"/>
      <c r="GA52" s="87"/>
      <c r="GD52" s="714"/>
      <c r="GE52" s="714"/>
      <c r="GF52" s="714"/>
      <c r="GH52" s="1135" t="e">
        <f ca="1">IF(INDEX(SkillTable,MATCH(BN51,SkillList,0),14),1,0)</f>
        <v>#VALUE!</v>
      </c>
    </row>
    <row r="53" spans="1:190" ht="9" customHeight="1">
      <c r="A53" s="301"/>
      <c r="B53" s="313"/>
      <c r="C53" s="2113" t="str">
        <f>IF(Race="","",IF(NOT(ISERROR(GD53)),MID(EquipmentNameList,GD49+1,GD53-GD49-1),""))</f>
        <v/>
      </c>
      <c r="D53" s="2113"/>
      <c r="E53" s="2113"/>
      <c r="F53" s="2113"/>
      <c r="G53" s="2113"/>
      <c r="H53" s="2113"/>
      <c r="I53" s="2113"/>
      <c r="J53" s="2113"/>
      <c r="K53" s="2113"/>
      <c r="L53" s="2113"/>
      <c r="M53" s="2113"/>
      <c r="N53" s="2113"/>
      <c r="O53" s="2113"/>
      <c r="P53" s="2113"/>
      <c r="Q53" s="2113"/>
      <c r="R53" s="2113"/>
      <c r="S53" s="2113"/>
      <c r="T53" s="2113"/>
      <c r="U53" s="2113"/>
      <c r="V53" s="2113"/>
      <c r="W53" s="2113"/>
      <c r="X53" s="2113"/>
      <c r="Y53" s="2113"/>
      <c r="Z53" s="2113"/>
      <c r="AA53" s="2113"/>
      <c r="AB53" s="2113"/>
      <c r="AC53" s="2113"/>
      <c r="AD53" s="2113"/>
      <c r="AE53" s="2113"/>
      <c r="AF53" s="2113"/>
      <c r="AG53" s="2113"/>
      <c r="AH53" s="2113"/>
      <c r="AI53" s="2113"/>
      <c r="AJ53" s="2113"/>
      <c r="AK53" s="2113"/>
      <c r="AL53" s="2113"/>
      <c r="AM53" s="2113"/>
      <c r="AN53" s="2113"/>
      <c r="AO53" s="2113"/>
      <c r="AP53" s="2113"/>
      <c r="AQ53" s="2113"/>
      <c r="AR53" s="2113"/>
      <c r="AS53" s="2113"/>
      <c r="AT53" s="2113"/>
      <c r="AU53" s="2113"/>
      <c r="AV53" s="2113"/>
      <c r="AW53" s="2115" t="str">
        <f>IF(Race="","",IF(NOT(ISERROR(GE53)),VALUE(MID(EquipmentWeightList,GE49+1,GE53-GE49-1)),""))</f>
        <v/>
      </c>
      <c r="AX53" s="2115"/>
      <c r="AY53" s="2115"/>
      <c r="AZ53" s="2115"/>
      <c r="BA53" s="2115"/>
      <c r="BB53" s="2115"/>
      <c r="BC53" s="2115"/>
      <c r="BD53" s="2115"/>
      <c r="BE53" s="2115"/>
      <c r="BF53" s="405"/>
      <c r="BG53" s="406"/>
      <c r="BH53" s="301"/>
      <c r="BI53" s="405"/>
      <c r="BJ53" s="1205"/>
      <c r="BK53" s="1205"/>
      <c r="BL53" s="1205"/>
      <c r="BM53" s="1205"/>
      <c r="BN53" s="2106"/>
      <c r="BO53" s="2106"/>
      <c r="BP53" s="2106"/>
      <c r="BQ53" s="2106"/>
      <c r="BR53" s="2106"/>
      <c r="BS53" s="2106"/>
      <c r="BT53" s="2106"/>
      <c r="BU53" s="2106"/>
      <c r="BV53" s="2106"/>
      <c r="BW53" s="2106"/>
      <c r="BX53" s="2106"/>
      <c r="BY53" s="2106"/>
      <c r="BZ53" s="2106"/>
      <c r="CA53" s="2106"/>
      <c r="CB53" s="2106"/>
      <c r="CC53" s="2106"/>
      <c r="CD53" s="2106"/>
      <c r="CE53" s="2106"/>
      <c r="CF53" s="2106"/>
      <c r="CG53" s="2106"/>
      <c r="CH53" s="2106"/>
      <c r="CI53" s="2106"/>
      <c r="CJ53" s="2106"/>
      <c r="CK53" s="2106"/>
      <c r="CL53" s="2106"/>
      <c r="CM53" s="2106"/>
      <c r="CN53" s="2106"/>
      <c r="CO53" s="2106"/>
      <c r="CP53" s="2106"/>
      <c r="CQ53" s="2106"/>
      <c r="CR53" s="2106"/>
      <c r="CS53" s="2106"/>
      <c r="CT53" s="87"/>
      <c r="CU53" s="166"/>
      <c r="CV53" s="2107"/>
      <c r="CW53" s="2107"/>
      <c r="CX53" s="2107"/>
      <c r="CY53" s="2107"/>
      <c r="CZ53" s="2107"/>
      <c r="DA53" s="2107"/>
      <c r="DB53" s="2107"/>
      <c r="DC53" s="2107"/>
      <c r="DD53" s="167"/>
      <c r="DE53" s="87"/>
      <c r="DF53" s="87"/>
      <c r="DG53" s="87"/>
      <c r="DH53" s="87"/>
      <c r="DI53" s="87"/>
      <c r="DJ53" s="166"/>
      <c r="DK53" s="1991"/>
      <c r="DL53" s="1991"/>
      <c r="DM53" s="1991"/>
      <c r="DN53" s="1991"/>
      <c r="DO53" s="1991"/>
      <c r="DP53" s="1991"/>
      <c r="DQ53" s="1991"/>
      <c r="DR53" s="167"/>
      <c r="DS53" s="117"/>
      <c r="DT53" s="117"/>
      <c r="DU53" s="117"/>
      <c r="DV53" s="166"/>
      <c r="DW53" s="1991"/>
      <c r="DX53" s="1991"/>
      <c r="DY53" s="1991"/>
      <c r="DZ53" s="1991"/>
      <c r="EA53" s="1991"/>
      <c r="EB53" s="1991"/>
      <c r="EC53" s="1991"/>
      <c r="ED53" s="167"/>
      <c r="EE53" s="117"/>
      <c r="EF53" s="117"/>
      <c r="EG53" s="117"/>
      <c r="EH53" s="166"/>
      <c r="EI53" s="1991"/>
      <c r="EJ53" s="1991"/>
      <c r="EK53" s="1991"/>
      <c r="EL53" s="1991"/>
      <c r="EM53" s="1991"/>
      <c r="EN53" s="1991"/>
      <c r="EO53" s="1991"/>
      <c r="EP53" s="264"/>
      <c r="EQ53" s="117"/>
      <c r="ER53" s="117"/>
      <c r="ES53" s="117"/>
      <c r="ET53" s="266"/>
      <c r="EU53" s="1991"/>
      <c r="EV53" s="1991"/>
      <c r="EW53" s="1991"/>
      <c r="EX53" s="1991"/>
      <c r="EY53" s="1991"/>
      <c r="EZ53" s="1991"/>
      <c r="FA53" s="1991"/>
      <c r="FB53" s="167"/>
      <c r="FC53" s="117"/>
      <c r="FD53" s="117"/>
      <c r="FE53" s="117"/>
      <c r="FF53" s="266"/>
      <c r="FG53" s="1991"/>
      <c r="FH53" s="1991"/>
      <c r="FI53" s="1991"/>
      <c r="FJ53" s="1991"/>
      <c r="FK53" s="1991"/>
      <c r="FL53" s="1991"/>
      <c r="FM53" s="1991"/>
      <c r="FN53" s="167"/>
      <c r="FO53" s="117"/>
      <c r="FP53" s="2127"/>
      <c r="FQ53" s="2081"/>
      <c r="FR53" s="2081"/>
      <c r="FS53" s="2128"/>
      <c r="FT53" s="989"/>
      <c r="FU53" s="2127"/>
      <c r="FV53" s="2081"/>
      <c r="FW53" s="2081"/>
      <c r="FX53" s="2128"/>
      <c r="FY53" s="87"/>
      <c r="FZ53" s="87"/>
      <c r="GA53" s="87"/>
      <c r="GC53" s="1853">
        <f>GC49+1</f>
        <v>11</v>
      </c>
      <c r="GD53" s="1853" t="e">
        <f>FIND(";",EquipmentNameList,GD49+1)</f>
        <v>#VALUE!</v>
      </c>
      <c r="GE53" s="1853" t="e">
        <f>FIND(";",EquipmentWeightList,GE49+1)</f>
        <v>#VALUE!</v>
      </c>
      <c r="GF53" s="1853" t="e">
        <f>FIND(";",EquipmentNumberList,GF49+1)</f>
        <v>#VALUE!</v>
      </c>
      <c r="GH53" s="1133"/>
    </row>
    <row r="54" spans="1:190" ht="9" customHeight="1" thickBot="1">
      <c r="A54" s="301"/>
      <c r="B54" s="313"/>
      <c r="C54" s="2113"/>
      <c r="D54" s="2113"/>
      <c r="E54" s="2113"/>
      <c r="F54" s="2113"/>
      <c r="G54" s="2113"/>
      <c r="H54" s="2113"/>
      <c r="I54" s="2113"/>
      <c r="J54" s="2113"/>
      <c r="K54" s="2113"/>
      <c r="L54" s="2113"/>
      <c r="M54" s="2113"/>
      <c r="N54" s="2113"/>
      <c r="O54" s="2113"/>
      <c r="P54" s="2113"/>
      <c r="Q54" s="2113"/>
      <c r="R54" s="2113"/>
      <c r="S54" s="2113"/>
      <c r="T54" s="2113"/>
      <c r="U54" s="2113"/>
      <c r="V54" s="2113"/>
      <c r="W54" s="2113"/>
      <c r="X54" s="2113"/>
      <c r="Y54" s="2113"/>
      <c r="Z54" s="2113"/>
      <c r="AA54" s="2113"/>
      <c r="AB54" s="2113"/>
      <c r="AC54" s="2113"/>
      <c r="AD54" s="2113"/>
      <c r="AE54" s="2113"/>
      <c r="AF54" s="2113"/>
      <c r="AG54" s="2113"/>
      <c r="AH54" s="2113"/>
      <c r="AI54" s="2113"/>
      <c r="AJ54" s="2113"/>
      <c r="AK54" s="2113"/>
      <c r="AL54" s="2113"/>
      <c r="AM54" s="2113"/>
      <c r="AN54" s="2113"/>
      <c r="AO54" s="2113"/>
      <c r="AP54" s="2113"/>
      <c r="AQ54" s="2113"/>
      <c r="AR54" s="2113"/>
      <c r="AS54" s="2113"/>
      <c r="AT54" s="2113"/>
      <c r="AU54" s="2113"/>
      <c r="AV54" s="2113"/>
      <c r="AW54" s="2115"/>
      <c r="AX54" s="2115"/>
      <c r="AY54" s="2115"/>
      <c r="AZ54" s="2115"/>
      <c r="BA54" s="2115"/>
      <c r="BB54" s="2115"/>
      <c r="BC54" s="2115"/>
      <c r="BD54" s="2115"/>
      <c r="BE54" s="2115"/>
      <c r="BF54" s="405"/>
      <c r="BG54" s="406"/>
      <c r="BH54" s="301"/>
      <c r="BI54" s="405"/>
      <c r="BJ54" s="1205"/>
      <c r="BK54" s="1205"/>
      <c r="BL54" s="1205"/>
      <c r="BM54" s="1205"/>
      <c r="BN54" s="2106"/>
      <c r="BO54" s="2106"/>
      <c r="BP54" s="2106"/>
      <c r="BQ54" s="2106"/>
      <c r="BR54" s="2106"/>
      <c r="BS54" s="2106"/>
      <c r="BT54" s="2106"/>
      <c r="BU54" s="2106"/>
      <c r="BV54" s="2106"/>
      <c r="BW54" s="2106"/>
      <c r="BX54" s="2106"/>
      <c r="BY54" s="2106"/>
      <c r="BZ54" s="2106"/>
      <c r="CA54" s="2106"/>
      <c r="CB54" s="2106"/>
      <c r="CC54" s="2106"/>
      <c r="CD54" s="2106"/>
      <c r="CE54" s="2106"/>
      <c r="CF54" s="2106"/>
      <c r="CG54" s="2106"/>
      <c r="CH54" s="2106"/>
      <c r="CI54" s="2106"/>
      <c r="CJ54" s="2106"/>
      <c r="CK54" s="2106"/>
      <c r="CL54" s="2106"/>
      <c r="CM54" s="2106"/>
      <c r="CN54" s="2106"/>
      <c r="CO54" s="2106"/>
      <c r="CP54" s="2106"/>
      <c r="CQ54" s="2106"/>
      <c r="CR54" s="2106"/>
      <c r="CS54" s="2106"/>
      <c r="CT54" s="87"/>
      <c r="CU54" s="166"/>
      <c r="CV54" s="2107"/>
      <c r="CW54" s="2107"/>
      <c r="CX54" s="2107"/>
      <c r="CY54" s="2107"/>
      <c r="CZ54" s="2107"/>
      <c r="DA54" s="2107"/>
      <c r="DB54" s="2107"/>
      <c r="DC54" s="2107"/>
      <c r="DD54" s="167"/>
      <c r="DE54" s="87"/>
      <c r="DF54" s="117"/>
      <c r="DG54" s="117"/>
      <c r="DH54" s="117"/>
      <c r="DI54" s="87"/>
      <c r="DJ54" s="166"/>
      <c r="DK54" s="1991"/>
      <c r="DL54" s="1991"/>
      <c r="DM54" s="1991"/>
      <c r="DN54" s="1991"/>
      <c r="DO54" s="1991"/>
      <c r="DP54" s="1991"/>
      <c r="DQ54" s="1991"/>
      <c r="DR54" s="167"/>
      <c r="DS54" s="87"/>
      <c r="DT54" s="87"/>
      <c r="DU54" s="87"/>
      <c r="DV54" s="166"/>
      <c r="DW54" s="1991"/>
      <c r="DX54" s="1991"/>
      <c r="DY54" s="1991"/>
      <c r="DZ54" s="1991"/>
      <c r="EA54" s="1991"/>
      <c r="EB54" s="1991"/>
      <c r="EC54" s="1991"/>
      <c r="ED54" s="167"/>
      <c r="EE54" s="87"/>
      <c r="EF54" s="87"/>
      <c r="EG54" s="87"/>
      <c r="EH54" s="166"/>
      <c r="EI54" s="1991"/>
      <c r="EJ54" s="1991"/>
      <c r="EK54" s="1991"/>
      <c r="EL54" s="1991"/>
      <c r="EM54" s="1991"/>
      <c r="EN54" s="1991"/>
      <c r="EO54" s="1991"/>
      <c r="EP54" s="264"/>
      <c r="EQ54" s="87"/>
      <c r="ER54" s="87"/>
      <c r="ES54" s="87"/>
      <c r="ET54" s="266"/>
      <c r="EU54" s="1991"/>
      <c r="EV54" s="1991"/>
      <c r="EW54" s="1991"/>
      <c r="EX54" s="1991"/>
      <c r="EY54" s="1991"/>
      <c r="EZ54" s="1991"/>
      <c r="FA54" s="1991"/>
      <c r="FB54" s="167"/>
      <c r="FC54" s="87"/>
      <c r="FD54" s="87"/>
      <c r="FE54" s="87"/>
      <c r="FF54" s="266"/>
      <c r="FG54" s="1991"/>
      <c r="FH54" s="1991"/>
      <c r="FI54" s="1991"/>
      <c r="FJ54" s="1991"/>
      <c r="FK54" s="1991"/>
      <c r="FL54" s="1991"/>
      <c r="FM54" s="1991"/>
      <c r="FN54" s="167"/>
      <c r="FO54" s="87"/>
      <c r="FP54" s="2129"/>
      <c r="FQ54" s="2130"/>
      <c r="FR54" s="2130"/>
      <c r="FS54" s="2131"/>
      <c r="FT54" s="988"/>
      <c r="FU54" s="2129"/>
      <c r="FV54" s="2130"/>
      <c r="FW54" s="2130"/>
      <c r="FX54" s="2131"/>
      <c r="FY54" s="87"/>
      <c r="FZ54" s="87"/>
      <c r="GA54" s="87"/>
      <c r="GC54" s="1853"/>
      <c r="GD54" s="1853"/>
      <c r="GE54" s="1853"/>
      <c r="GF54" s="1853"/>
      <c r="GH54" s="1133"/>
    </row>
    <row r="55" spans="1:190" ht="9" customHeight="1" thickBot="1">
      <c r="A55" s="301"/>
      <c r="B55" s="313"/>
      <c r="C55" s="2114"/>
      <c r="D55" s="2114"/>
      <c r="E55" s="2114"/>
      <c r="F55" s="2114"/>
      <c r="G55" s="2114"/>
      <c r="H55" s="2114"/>
      <c r="I55" s="2114"/>
      <c r="J55" s="2114"/>
      <c r="K55" s="2114"/>
      <c r="L55" s="2114"/>
      <c r="M55" s="2114"/>
      <c r="N55" s="2114"/>
      <c r="O55" s="2114"/>
      <c r="P55" s="2114"/>
      <c r="Q55" s="2114"/>
      <c r="R55" s="2114"/>
      <c r="S55" s="2114"/>
      <c r="T55" s="2114"/>
      <c r="U55" s="2114"/>
      <c r="V55" s="2114"/>
      <c r="W55" s="2114"/>
      <c r="X55" s="2114"/>
      <c r="Y55" s="2114"/>
      <c r="Z55" s="2114"/>
      <c r="AA55" s="2114"/>
      <c r="AB55" s="2114"/>
      <c r="AC55" s="2114"/>
      <c r="AD55" s="2114"/>
      <c r="AE55" s="2114"/>
      <c r="AF55" s="2114"/>
      <c r="AG55" s="2114"/>
      <c r="AH55" s="2114"/>
      <c r="AI55" s="2114"/>
      <c r="AJ55" s="2114"/>
      <c r="AK55" s="2114"/>
      <c r="AL55" s="2114"/>
      <c r="AM55" s="2114"/>
      <c r="AN55" s="2114"/>
      <c r="AO55" s="2114"/>
      <c r="AP55" s="2114"/>
      <c r="AQ55" s="2114"/>
      <c r="AR55" s="2114"/>
      <c r="AS55" s="2114"/>
      <c r="AT55" s="2114"/>
      <c r="AU55" s="2114"/>
      <c r="AV55" s="2114"/>
      <c r="AW55" s="2116"/>
      <c r="AX55" s="2116"/>
      <c r="AY55" s="2116"/>
      <c r="AZ55" s="2116"/>
      <c r="BA55" s="2116"/>
      <c r="BB55" s="2116"/>
      <c r="BC55" s="2116"/>
      <c r="BD55" s="2116"/>
      <c r="BE55" s="2116"/>
      <c r="BF55" s="405"/>
      <c r="BG55" s="406"/>
      <c r="BH55" s="301"/>
      <c r="BI55" s="405"/>
      <c r="BJ55" s="1205"/>
      <c r="BK55" s="1205"/>
      <c r="BL55" s="1205"/>
      <c r="BM55" s="1205"/>
      <c r="BN55" s="2106"/>
      <c r="BO55" s="2106"/>
      <c r="BP55" s="2106"/>
      <c r="BQ55" s="2106"/>
      <c r="BR55" s="2106"/>
      <c r="BS55" s="2106"/>
      <c r="BT55" s="2106"/>
      <c r="BU55" s="2106"/>
      <c r="BV55" s="2106"/>
      <c r="BW55" s="2106"/>
      <c r="BX55" s="2106"/>
      <c r="BY55" s="2106"/>
      <c r="BZ55" s="2106"/>
      <c r="CA55" s="2106"/>
      <c r="CB55" s="2106"/>
      <c r="CC55" s="2106"/>
      <c r="CD55" s="2106"/>
      <c r="CE55" s="2106"/>
      <c r="CF55" s="2106"/>
      <c r="CG55" s="2106"/>
      <c r="CH55" s="2106"/>
      <c r="CI55" s="2106"/>
      <c r="CJ55" s="2106"/>
      <c r="CK55" s="2106"/>
      <c r="CL55" s="2106"/>
      <c r="CM55" s="2106"/>
      <c r="CN55" s="2106"/>
      <c r="CO55" s="2106"/>
      <c r="CP55" s="2106"/>
      <c r="CQ55" s="2106"/>
      <c r="CR55" s="2106"/>
      <c r="CS55" s="2106"/>
      <c r="CT55" s="87"/>
      <c r="CU55" s="160"/>
      <c r="CV55" s="409"/>
      <c r="CW55" s="409"/>
      <c r="CX55" s="409"/>
      <c r="CY55" s="409"/>
      <c r="CZ55" s="409"/>
      <c r="DA55" s="409"/>
      <c r="DB55" s="409"/>
      <c r="DC55" s="409"/>
      <c r="DD55" s="158"/>
      <c r="DE55" s="87"/>
      <c r="DF55" s="87"/>
      <c r="DG55" s="87"/>
      <c r="DH55" s="87"/>
      <c r="DI55" s="87"/>
      <c r="DJ55" s="160"/>
      <c r="DK55" s="240"/>
      <c r="DL55" s="240"/>
      <c r="DM55" s="240"/>
      <c r="DN55" s="240"/>
      <c r="DO55" s="240"/>
      <c r="DP55" s="240"/>
      <c r="DQ55" s="240"/>
      <c r="DR55" s="158"/>
      <c r="DS55" s="87"/>
      <c r="DT55" s="87"/>
      <c r="DU55" s="87"/>
      <c r="DV55" s="160"/>
      <c r="DW55" s="240"/>
      <c r="DX55" s="240"/>
      <c r="DY55" s="240"/>
      <c r="DZ55" s="240"/>
      <c r="EA55" s="240"/>
      <c r="EB55" s="240"/>
      <c r="EC55" s="240"/>
      <c r="ED55" s="158"/>
      <c r="EE55" s="87"/>
      <c r="EF55" s="87"/>
      <c r="EG55" s="87"/>
      <c r="EH55" s="160"/>
      <c r="EI55" s="204"/>
      <c r="EJ55" s="204"/>
      <c r="EK55" s="204"/>
      <c r="EL55" s="204"/>
      <c r="EM55" s="204"/>
      <c r="EN55" s="204"/>
      <c r="EO55" s="204"/>
      <c r="EP55" s="274"/>
      <c r="EQ55" s="87"/>
      <c r="ER55" s="87"/>
      <c r="ES55" s="87"/>
      <c r="ET55" s="203"/>
      <c r="EU55" s="204"/>
      <c r="EV55" s="204"/>
      <c r="EW55" s="204"/>
      <c r="EX55" s="204"/>
      <c r="EY55" s="204"/>
      <c r="EZ55" s="204"/>
      <c r="FA55" s="204"/>
      <c r="FB55" s="158"/>
      <c r="FC55" s="87"/>
      <c r="FD55" s="87"/>
      <c r="FE55" s="87"/>
      <c r="FF55" s="203"/>
      <c r="FG55" s="204"/>
      <c r="FH55" s="204"/>
      <c r="FI55" s="204"/>
      <c r="FJ55" s="204"/>
      <c r="FK55" s="204"/>
      <c r="FL55" s="204"/>
      <c r="FM55" s="204"/>
      <c r="FN55" s="158"/>
      <c r="FO55" s="87"/>
      <c r="FP55" s="988"/>
      <c r="FQ55" s="988"/>
      <c r="FR55" s="988"/>
      <c r="FS55" s="988"/>
      <c r="FT55" s="988"/>
      <c r="FU55" s="988"/>
      <c r="FV55" s="988"/>
      <c r="FW55" s="988"/>
      <c r="FX55" s="988"/>
      <c r="FY55" s="87"/>
      <c r="FZ55" s="87"/>
      <c r="GA55" s="87"/>
      <c r="GC55" s="1853"/>
      <c r="GD55" s="1853"/>
      <c r="GE55" s="1853"/>
      <c r="GF55" s="1853"/>
      <c r="GH55" s="1133"/>
    </row>
    <row r="56" spans="1:190" ht="9" customHeight="1" thickBot="1">
      <c r="A56" s="301"/>
      <c r="B56" s="313"/>
      <c r="C56" s="301"/>
      <c r="D56" s="301"/>
      <c r="E56" s="643"/>
      <c r="F56" s="643"/>
      <c r="G56" s="643"/>
      <c r="H56" s="643"/>
      <c r="I56" s="643"/>
      <c r="J56" s="643"/>
      <c r="K56" s="301"/>
      <c r="L56" s="301"/>
      <c r="M56" s="301"/>
      <c r="N56" s="301"/>
      <c r="O56" s="301"/>
      <c r="P56" s="301"/>
      <c r="Q56" s="301"/>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1087"/>
      <c r="AX56" s="1087"/>
      <c r="AY56" s="1087"/>
      <c r="AZ56" s="1087"/>
      <c r="BA56" s="1087"/>
      <c r="BB56" s="1087"/>
      <c r="BC56" s="1087"/>
      <c r="BD56" s="1087"/>
      <c r="BE56" s="1087"/>
      <c r="BF56" s="405"/>
      <c r="BG56" s="406"/>
      <c r="BH56" s="301"/>
      <c r="BI56" s="405"/>
      <c r="BJ56" s="1205"/>
      <c r="BK56" s="1205"/>
      <c r="BL56" s="1205"/>
      <c r="BM56" s="1205"/>
      <c r="BN56" s="1205"/>
      <c r="BO56" s="1205"/>
      <c r="BP56" s="1213"/>
      <c r="BQ56" s="1213"/>
      <c r="BR56" s="1213"/>
      <c r="BS56" s="1213"/>
      <c r="BT56" s="1213"/>
      <c r="BU56" s="1213"/>
      <c r="BV56" s="1213"/>
      <c r="BW56" s="1213"/>
      <c r="BX56" s="1213"/>
      <c r="BY56" s="1213"/>
      <c r="BZ56" s="1213"/>
      <c r="CA56" s="1213"/>
      <c r="CB56" s="1213"/>
      <c r="CC56" s="1205"/>
      <c r="CD56" s="1205"/>
      <c r="CE56" s="1205"/>
      <c r="CF56" s="1205"/>
      <c r="CG56" s="1205"/>
      <c r="CH56" s="1214"/>
      <c r="CI56" s="1214"/>
      <c r="CJ56" s="1214"/>
      <c r="CK56" s="1214"/>
      <c r="CL56" s="1214"/>
      <c r="CM56" s="1214"/>
      <c r="CN56" s="1214"/>
      <c r="CO56" s="1214"/>
      <c r="CP56" s="1214"/>
      <c r="CQ56" s="1214"/>
      <c r="CR56" s="1214"/>
      <c r="CS56" s="1214"/>
      <c r="CT56" s="415"/>
      <c r="CU56" s="415"/>
      <c r="CV56" s="416"/>
      <c r="CW56" s="416"/>
      <c r="CX56" s="416"/>
      <c r="CY56" s="416"/>
      <c r="CZ56" s="416"/>
      <c r="DA56" s="416"/>
      <c r="DB56" s="416"/>
      <c r="DC56" s="416"/>
      <c r="DD56" s="301"/>
      <c r="DE56" s="301"/>
      <c r="DF56" s="301"/>
      <c r="DG56" s="301"/>
      <c r="DH56" s="301"/>
      <c r="DI56" s="301"/>
      <c r="DJ56" s="301"/>
      <c r="DK56" s="301"/>
      <c r="DL56" s="301"/>
      <c r="DM56" s="301"/>
      <c r="DN56" s="301"/>
      <c r="DO56" s="301"/>
      <c r="DP56" s="301"/>
      <c r="DQ56" s="301"/>
      <c r="DR56" s="301"/>
      <c r="DS56" s="301"/>
      <c r="DT56" s="301"/>
      <c r="DU56" s="301"/>
      <c r="DV56" s="301"/>
      <c r="DW56" s="301"/>
      <c r="DX56" s="301"/>
      <c r="DY56" s="301"/>
      <c r="DZ56" s="415"/>
      <c r="EA56" s="415"/>
      <c r="EB56" s="415"/>
      <c r="EC56" s="415"/>
      <c r="ED56" s="415"/>
      <c r="EE56" s="415"/>
      <c r="EF56" s="415"/>
      <c r="EG56" s="415"/>
      <c r="EH56" s="415"/>
      <c r="EI56" s="415"/>
      <c r="EJ56" s="415"/>
      <c r="EK56" s="415"/>
      <c r="EL56" s="415"/>
      <c r="EM56" s="415"/>
      <c r="EN56" s="415"/>
      <c r="EO56" s="415"/>
      <c r="EP56" s="415"/>
      <c r="EQ56" s="415"/>
      <c r="ER56" s="415"/>
      <c r="ES56" s="415"/>
      <c r="ET56" s="415"/>
      <c r="EU56" s="301"/>
      <c r="EV56" s="301"/>
      <c r="EW56" s="301"/>
      <c r="EX56" s="301"/>
      <c r="EY56" s="301"/>
      <c r="EZ56" s="301"/>
      <c r="FA56" s="301"/>
      <c r="FB56" s="301"/>
      <c r="FC56" s="301"/>
      <c r="FD56" s="301"/>
      <c r="FE56" s="301"/>
      <c r="FF56" s="301"/>
      <c r="FG56" s="301"/>
      <c r="FH56" s="301"/>
      <c r="FI56" s="301"/>
      <c r="FJ56" s="301"/>
      <c r="FK56" s="301"/>
      <c r="FL56" s="301"/>
      <c r="FM56" s="301"/>
      <c r="FN56" s="87"/>
      <c r="FO56" s="87"/>
      <c r="FP56" s="988"/>
      <c r="FQ56" s="988"/>
      <c r="FR56" s="988"/>
      <c r="FS56" s="988"/>
      <c r="FT56" s="988"/>
      <c r="FU56" s="988"/>
      <c r="FV56" s="988"/>
      <c r="FW56" s="988"/>
      <c r="FX56" s="988"/>
      <c r="FY56" s="87"/>
      <c r="FZ56" s="87"/>
      <c r="GA56" s="87"/>
      <c r="GD56" s="714"/>
      <c r="GE56" s="714"/>
      <c r="GF56" s="714"/>
      <c r="GH56" s="1133"/>
    </row>
    <row r="57" spans="1:190" ht="9" customHeight="1" thickBot="1">
      <c r="A57" s="301"/>
      <c r="B57" s="313"/>
      <c r="C57" s="2113" t="str">
        <f>IF(Race="","",IF(NOT(ISERROR(GD57)),MID(EquipmentNameList,GD53+1,GD57-GD53-1),""))</f>
        <v/>
      </c>
      <c r="D57" s="2113"/>
      <c r="E57" s="2113"/>
      <c r="F57" s="2113"/>
      <c r="G57" s="2113"/>
      <c r="H57" s="2113"/>
      <c r="I57" s="2113"/>
      <c r="J57" s="2113"/>
      <c r="K57" s="2113"/>
      <c r="L57" s="2113"/>
      <c r="M57" s="2113"/>
      <c r="N57" s="2113"/>
      <c r="O57" s="2113"/>
      <c r="P57" s="2113"/>
      <c r="Q57" s="2113"/>
      <c r="R57" s="2113"/>
      <c r="S57" s="2113"/>
      <c r="T57" s="2113"/>
      <c r="U57" s="2113"/>
      <c r="V57" s="2113"/>
      <c r="W57" s="2113"/>
      <c r="X57" s="2113"/>
      <c r="Y57" s="2113"/>
      <c r="Z57" s="2113"/>
      <c r="AA57" s="2113"/>
      <c r="AB57" s="2113"/>
      <c r="AC57" s="2113"/>
      <c r="AD57" s="2113"/>
      <c r="AE57" s="2113"/>
      <c r="AF57" s="2113"/>
      <c r="AG57" s="2113"/>
      <c r="AH57" s="2113"/>
      <c r="AI57" s="2113"/>
      <c r="AJ57" s="2113"/>
      <c r="AK57" s="2113"/>
      <c r="AL57" s="2113"/>
      <c r="AM57" s="2113"/>
      <c r="AN57" s="2113"/>
      <c r="AO57" s="2113"/>
      <c r="AP57" s="2113"/>
      <c r="AQ57" s="2113"/>
      <c r="AR57" s="2113"/>
      <c r="AS57" s="2113"/>
      <c r="AT57" s="2113"/>
      <c r="AU57" s="2113"/>
      <c r="AV57" s="2113"/>
      <c r="AW57" s="2115" t="str">
        <f>IF(Race="","",IF(NOT(ISERROR(GE57)),VALUE(MID(EquipmentWeightList,GE53+1,GE57-GE53-1)),""))</f>
        <v/>
      </c>
      <c r="AX57" s="2115"/>
      <c r="AY57" s="2115"/>
      <c r="AZ57" s="2115"/>
      <c r="BA57" s="2115"/>
      <c r="BB57" s="2115"/>
      <c r="BC57" s="2115"/>
      <c r="BD57" s="2115"/>
      <c r="BE57" s="2115"/>
      <c r="BF57" s="405"/>
      <c r="BG57" s="406"/>
      <c r="BH57" s="301"/>
      <c r="BI57" s="405"/>
      <c r="BJ57" s="2133" t="str">
        <f>Skills!C18</f>
        <v>Knowledge (Bureaucracy)</v>
      </c>
      <c r="BK57" s="2134"/>
      <c r="BL57" s="2134"/>
      <c r="BM57" s="2134"/>
      <c r="BN57" s="2134"/>
      <c r="BO57" s="2134"/>
      <c r="BP57" s="2134"/>
      <c r="BQ57" s="2134"/>
      <c r="BR57" s="2134"/>
      <c r="BS57" s="2134"/>
      <c r="BT57" s="2134"/>
      <c r="BU57" s="2134"/>
      <c r="BV57" s="2134"/>
      <c r="BW57" s="2134"/>
      <c r="BX57" s="2134"/>
      <c r="BY57" s="2134"/>
      <c r="BZ57" s="2134"/>
      <c r="CA57" s="2134"/>
      <c r="CB57" s="2134"/>
      <c r="CC57" s="2134"/>
      <c r="CD57" s="2134"/>
      <c r="CE57" s="2134"/>
      <c r="CF57" s="2134"/>
      <c r="CG57" s="2134"/>
      <c r="CH57" s="2134"/>
      <c r="CI57" s="2134"/>
      <c r="CJ57" s="2134"/>
      <c r="CK57" s="2134"/>
      <c r="CL57" s="2134"/>
      <c r="CM57" s="2134"/>
      <c r="CN57" s="2134"/>
      <c r="CO57" s="2134"/>
      <c r="CP57" s="2134"/>
      <c r="CQ57" s="2134"/>
      <c r="CR57" s="2134"/>
      <c r="CS57" s="2134"/>
      <c r="CT57" s="87"/>
      <c r="CU57" s="158" t="e">
        <f>HeroicLvl+ArmourFort</f>
        <v>#NAME?</v>
      </c>
      <c r="CV57" s="411"/>
      <c r="CW57" s="411"/>
      <c r="CX57" s="411"/>
      <c r="CY57" s="411"/>
      <c r="CZ57" s="411"/>
      <c r="DA57" s="411"/>
      <c r="DB57" s="411"/>
      <c r="DC57" s="411"/>
      <c r="DD57" s="160"/>
      <c r="DE57" s="87"/>
      <c r="DF57" s="87"/>
      <c r="DG57" s="87"/>
      <c r="DH57" s="87"/>
      <c r="DI57" s="87"/>
      <c r="DJ57" s="158" t="e">
        <f>HeroicLvl+ArmourFort</f>
        <v>#NAME?</v>
      </c>
      <c r="DK57" s="159"/>
      <c r="DL57" s="159"/>
      <c r="DM57" s="159"/>
      <c r="DN57" s="159"/>
      <c r="DO57" s="159"/>
      <c r="DP57" s="159"/>
      <c r="DQ57" s="159"/>
      <c r="DR57" s="160"/>
      <c r="DS57" s="87"/>
      <c r="DT57" s="87"/>
      <c r="DU57" s="87"/>
      <c r="DV57" s="158"/>
      <c r="DW57" s="159"/>
      <c r="DX57" s="159"/>
      <c r="DY57" s="159"/>
      <c r="DZ57" s="159"/>
      <c r="EA57" s="159"/>
      <c r="EB57" s="159"/>
      <c r="EC57" s="159"/>
      <c r="ED57" s="160"/>
      <c r="EE57" s="87"/>
      <c r="EF57" s="87"/>
      <c r="EG57" s="87"/>
      <c r="EH57" s="158"/>
      <c r="EI57" s="184"/>
      <c r="EJ57" s="184"/>
      <c r="EK57" s="184"/>
      <c r="EL57" s="184"/>
      <c r="EM57" s="184"/>
      <c r="EN57" s="184"/>
      <c r="EO57" s="184"/>
      <c r="EP57" s="160"/>
      <c r="EQ57" s="87"/>
      <c r="ER57" s="87"/>
      <c r="ES57" s="87"/>
      <c r="ET57" s="158"/>
      <c r="EU57" s="1649"/>
      <c r="EV57" s="1649"/>
      <c r="EW57" s="1649"/>
      <c r="EX57" s="1649"/>
      <c r="EY57" s="1649"/>
      <c r="EZ57" s="1649"/>
      <c r="FA57" s="1649"/>
      <c r="FB57" s="160"/>
      <c r="FC57" s="87"/>
      <c r="FD57" s="87"/>
      <c r="FE57" s="87"/>
      <c r="FF57" s="158"/>
      <c r="FG57" s="159"/>
      <c r="FH57" s="159"/>
      <c r="FI57" s="159"/>
      <c r="FJ57" s="159"/>
      <c r="FK57" s="159"/>
      <c r="FL57" s="159"/>
      <c r="FM57" s="159"/>
      <c r="FN57" s="160"/>
      <c r="FO57" s="87"/>
      <c r="FP57" s="988"/>
      <c r="FQ57" s="988"/>
      <c r="FR57" s="988"/>
      <c r="FS57" s="988"/>
      <c r="FT57" s="988"/>
      <c r="FU57" s="988"/>
      <c r="FV57" s="988"/>
      <c r="FW57" s="988"/>
      <c r="FX57" s="988"/>
      <c r="FY57" s="87"/>
      <c r="FZ57" s="87"/>
      <c r="GA57" s="87"/>
      <c r="GC57" s="1853">
        <f>GC53+1</f>
        <v>12</v>
      </c>
      <c r="GD57" s="1853" t="e">
        <f>FIND(";",EquipmentNameList,GD53+1)</f>
        <v>#VALUE!</v>
      </c>
      <c r="GE57" s="1853" t="e">
        <f>FIND(";",EquipmentWeightList,GE53+1)</f>
        <v>#VALUE!</v>
      </c>
      <c r="GF57" s="1853" t="e">
        <f>FIND(";",EquipmentNumberList,GF53+1)</f>
        <v>#VALUE!</v>
      </c>
      <c r="GH57" s="1133"/>
    </row>
    <row r="58" spans="1:190" ht="9" customHeight="1">
      <c r="A58" s="301"/>
      <c r="B58" s="313"/>
      <c r="C58" s="2113"/>
      <c r="D58" s="2113"/>
      <c r="E58" s="2113"/>
      <c r="F58" s="2113"/>
      <c r="G58" s="2113"/>
      <c r="H58" s="2113"/>
      <c r="I58" s="2113"/>
      <c r="J58" s="2113"/>
      <c r="K58" s="2113"/>
      <c r="L58" s="2113"/>
      <c r="M58" s="2113"/>
      <c r="N58" s="2113"/>
      <c r="O58" s="2113"/>
      <c r="P58" s="2113"/>
      <c r="Q58" s="2113"/>
      <c r="R58" s="2113"/>
      <c r="S58" s="2113"/>
      <c r="T58" s="2113"/>
      <c r="U58" s="2113"/>
      <c r="V58" s="2113"/>
      <c r="W58" s="2113"/>
      <c r="X58" s="2113"/>
      <c r="Y58" s="2113"/>
      <c r="Z58" s="2113"/>
      <c r="AA58" s="2113"/>
      <c r="AB58" s="2113"/>
      <c r="AC58" s="2113"/>
      <c r="AD58" s="2113"/>
      <c r="AE58" s="2113"/>
      <c r="AF58" s="2113"/>
      <c r="AG58" s="2113"/>
      <c r="AH58" s="2113"/>
      <c r="AI58" s="2113"/>
      <c r="AJ58" s="2113"/>
      <c r="AK58" s="2113"/>
      <c r="AL58" s="2113"/>
      <c r="AM58" s="2113"/>
      <c r="AN58" s="2113"/>
      <c r="AO58" s="2113"/>
      <c r="AP58" s="2113"/>
      <c r="AQ58" s="2113"/>
      <c r="AR58" s="2113"/>
      <c r="AS58" s="2113"/>
      <c r="AT58" s="2113"/>
      <c r="AU58" s="2113"/>
      <c r="AV58" s="2113"/>
      <c r="AW58" s="2115"/>
      <c r="AX58" s="2115"/>
      <c r="AY58" s="2115"/>
      <c r="AZ58" s="2115"/>
      <c r="BA58" s="2115"/>
      <c r="BB58" s="2115"/>
      <c r="BC58" s="2115"/>
      <c r="BD58" s="2115"/>
      <c r="BE58" s="2115"/>
      <c r="BF58" s="405"/>
      <c r="BG58" s="406"/>
      <c r="BH58" s="301"/>
      <c r="BI58" s="405"/>
      <c r="BJ58" s="2133"/>
      <c r="BK58" s="2134"/>
      <c r="BL58" s="2134"/>
      <c r="BM58" s="2134"/>
      <c r="BN58" s="2134"/>
      <c r="BO58" s="2134"/>
      <c r="BP58" s="2134"/>
      <c r="BQ58" s="2134"/>
      <c r="BR58" s="2134"/>
      <c r="BS58" s="2134"/>
      <c r="BT58" s="2134"/>
      <c r="BU58" s="2134"/>
      <c r="BV58" s="2134"/>
      <c r="BW58" s="2134"/>
      <c r="BX58" s="2134"/>
      <c r="BY58" s="2134"/>
      <c r="BZ58" s="2134"/>
      <c r="CA58" s="2134"/>
      <c r="CB58" s="2134"/>
      <c r="CC58" s="2134"/>
      <c r="CD58" s="2134"/>
      <c r="CE58" s="2134"/>
      <c r="CF58" s="2134"/>
      <c r="CG58" s="2134"/>
      <c r="CH58" s="2134"/>
      <c r="CI58" s="2134"/>
      <c r="CJ58" s="2134"/>
      <c r="CK58" s="2134"/>
      <c r="CL58" s="2134"/>
      <c r="CM58" s="2134"/>
      <c r="CN58" s="2134"/>
      <c r="CO58" s="2134"/>
      <c r="CP58" s="2134"/>
      <c r="CQ58" s="2134"/>
      <c r="CR58" s="2134"/>
      <c r="CS58" s="2134"/>
      <c r="CT58" s="87"/>
      <c r="CU58" s="166"/>
      <c r="CV58" s="2107">
        <f ca="1">KnowledgeBureaucracy</f>
        <v>0</v>
      </c>
      <c r="CW58" s="2107"/>
      <c r="CX58" s="2107"/>
      <c r="CY58" s="2107"/>
      <c r="CZ58" s="2107"/>
      <c r="DA58" s="2107"/>
      <c r="DB58" s="2107"/>
      <c r="DC58" s="2107"/>
      <c r="DD58" s="167"/>
      <c r="DE58" s="87"/>
      <c r="DF58" s="117"/>
      <c r="DG58" s="117"/>
      <c r="DH58" s="117"/>
      <c r="DI58" s="87"/>
      <c r="DJ58" s="166"/>
      <c r="DK58" s="1991">
        <f>ROUNDDOWN(CharacterLevel/2,0)</f>
        <v>0</v>
      </c>
      <c r="DL58" s="1991"/>
      <c r="DM58" s="1991"/>
      <c r="DN58" s="1991"/>
      <c r="DO58" s="1991"/>
      <c r="DP58" s="1991"/>
      <c r="DQ58" s="1991"/>
      <c r="DR58" s="167"/>
      <c r="DS58" s="87"/>
      <c r="DT58" s="87"/>
      <c r="DU58" s="87"/>
      <c r="DV58" s="166"/>
      <c r="DW58" s="1991" t="str">
        <f>IntMod</f>
        <v/>
      </c>
      <c r="DX58" s="1991"/>
      <c r="DY58" s="1991"/>
      <c r="DZ58" s="1991"/>
      <c r="EA58" s="1991"/>
      <c r="EB58" s="1991"/>
      <c r="EC58" s="1991"/>
      <c r="ED58" s="167"/>
      <c r="EE58" s="87"/>
      <c r="EF58" s="87"/>
      <c r="EG58" s="87"/>
      <c r="EH58" s="166"/>
      <c r="EI58" s="1991" t="str">
        <f>IF(CharacterLevel&gt;0,IF(OR(INDEX(SkillTable,MATCH(BJ57,SkillList,0),4)="Yes",INDEX(SkillTable,MATCH(BJ57,SkillList,0),5)="Yes"),5,0),"")</f>
        <v/>
      </c>
      <c r="EJ58" s="1991"/>
      <c r="EK58" s="1991"/>
      <c r="EL58" s="1991"/>
      <c r="EM58" s="1991"/>
      <c r="EN58" s="1991"/>
      <c r="EO58" s="1991"/>
      <c r="EP58" s="264"/>
      <c r="EQ58" s="265"/>
      <c r="ER58" s="265"/>
      <c r="ES58" s="265"/>
      <c r="ET58" s="266"/>
      <c r="EU58" s="1991" t="b">
        <f>IF(CharacterLevel&gt;0,IF(Skills!R18="Yes",5,0))</f>
        <v>0</v>
      </c>
      <c r="EV58" s="1991"/>
      <c r="EW58" s="1991"/>
      <c r="EX58" s="1991"/>
      <c r="EY58" s="1991"/>
      <c r="EZ58" s="1991"/>
      <c r="FA58" s="1991"/>
      <c r="FB58" s="167"/>
      <c r="FC58" s="265"/>
      <c r="FD58" s="265"/>
      <c r="FE58" s="265"/>
      <c r="FF58" s="266"/>
      <c r="FG58" s="1991">
        <f>ArmorPenalty+INDEX(SkillTable,MATCH(BJ57,SkillList,0),12)</f>
        <v>0</v>
      </c>
      <c r="FH58" s="1991"/>
      <c r="FI58" s="1991"/>
      <c r="FJ58" s="1991"/>
      <c r="FK58" s="1991"/>
      <c r="FL58" s="1991"/>
      <c r="FM58" s="1991"/>
      <c r="FN58" s="167"/>
      <c r="FO58" s="87"/>
      <c r="FP58" s="2124" t="str">
        <f>IF(INDEX(SkillTable,MATCH(BJ57,SkillList,0),77)&lt;&gt;"","×","")</f>
        <v/>
      </c>
      <c r="FQ58" s="2125"/>
      <c r="FR58" s="2125"/>
      <c r="FS58" s="2126"/>
      <c r="FT58" s="988"/>
      <c r="FU58" s="2124" t="str">
        <f>IF(INDEX(SkillTable,MATCH(BJ57,SkillList,0),78)&lt;&gt;"","×","")</f>
        <v/>
      </c>
      <c r="FV58" s="2125"/>
      <c r="FW58" s="2125"/>
      <c r="FX58" s="2126"/>
      <c r="FY58" s="87"/>
      <c r="FZ58" s="87"/>
      <c r="GA58" s="87"/>
      <c r="GC58" s="1853"/>
      <c r="GD58" s="1853"/>
      <c r="GE58" s="1853"/>
      <c r="GF58" s="1853"/>
      <c r="GH58" s="1135" t="e">
        <f ca="1">IF(INDEX(SkillTable,MATCH(BJ57,SkillList,0),14),1,0)</f>
        <v>#VALUE!</v>
      </c>
    </row>
    <row r="59" spans="1:190" ht="9" customHeight="1" thickBot="1">
      <c r="A59" s="301"/>
      <c r="B59" s="313"/>
      <c r="C59" s="2114"/>
      <c r="D59" s="2114"/>
      <c r="E59" s="2114"/>
      <c r="F59" s="2114"/>
      <c r="G59" s="2114"/>
      <c r="H59" s="2114"/>
      <c r="I59" s="2114"/>
      <c r="J59" s="2114"/>
      <c r="K59" s="2114"/>
      <c r="L59" s="2114"/>
      <c r="M59" s="2114"/>
      <c r="N59" s="2114"/>
      <c r="O59" s="2114"/>
      <c r="P59" s="2114"/>
      <c r="Q59" s="2114"/>
      <c r="R59" s="2114"/>
      <c r="S59" s="2114"/>
      <c r="T59" s="2114"/>
      <c r="U59" s="2114"/>
      <c r="V59" s="2114"/>
      <c r="W59" s="2114"/>
      <c r="X59" s="2114"/>
      <c r="Y59" s="2114"/>
      <c r="Z59" s="2114"/>
      <c r="AA59" s="2114"/>
      <c r="AB59" s="2114"/>
      <c r="AC59" s="2114"/>
      <c r="AD59" s="2114"/>
      <c r="AE59" s="2114"/>
      <c r="AF59" s="2114"/>
      <c r="AG59" s="2114"/>
      <c r="AH59" s="2114"/>
      <c r="AI59" s="2114"/>
      <c r="AJ59" s="2114"/>
      <c r="AK59" s="2114"/>
      <c r="AL59" s="2114"/>
      <c r="AM59" s="2114"/>
      <c r="AN59" s="2114"/>
      <c r="AO59" s="2114"/>
      <c r="AP59" s="2114"/>
      <c r="AQ59" s="2114"/>
      <c r="AR59" s="2114"/>
      <c r="AS59" s="2114"/>
      <c r="AT59" s="2114"/>
      <c r="AU59" s="2114"/>
      <c r="AV59" s="2114"/>
      <c r="AW59" s="2116"/>
      <c r="AX59" s="2116"/>
      <c r="AY59" s="2116"/>
      <c r="AZ59" s="2116"/>
      <c r="BA59" s="2116"/>
      <c r="BB59" s="2116"/>
      <c r="BC59" s="2116"/>
      <c r="BD59" s="2116"/>
      <c r="BE59" s="2116"/>
      <c r="BF59" s="405"/>
      <c r="BG59" s="406"/>
      <c r="BH59" s="301"/>
      <c r="BI59" s="405"/>
      <c r="BJ59" s="2133"/>
      <c r="BK59" s="2134"/>
      <c r="BL59" s="2134"/>
      <c r="BM59" s="2134"/>
      <c r="BN59" s="2134"/>
      <c r="BO59" s="2134"/>
      <c r="BP59" s="2134"/>
      <c r="BQ59" s="2134"/>
      <c r="BR59" s="2134"/>
      <c r="BS59" s="2134"/>
      <c r="BT59" s="2134"/>
      <c r="BU59" s="2134"/>
      <c r="BV59" s="2134"/>
      <c r="BW59" s="2134"/>
      <c r="BX59" s="2134"/>
      <c r="BY59" s="2134"/>
      <c r="BZ59" s="2134"/>
      <c r="CA59" s="2134"/>
      <c r="CB59" s="2134"/>
      <c r="CC59" s="2134"/>
      <c r="CD59" s="2134"/>
      <c r="CE59" s="2134"/>
      <c r="CF59" s="2134"/>
      <c r="CG59" s="2134"/>
      <c r="CH59" s="2134"/>
      <c r="CI59" s="2134"/>
      <c r="CJ59" s="2134"/>
      <c r="CK59" s="2134"/>
      <c r="CL59" s="2134"/>
      <c r="CM59" s="2134"/>
      <c r="CN59" s="2134"/>
      <c r="CO59" s="2134"/>
      <c r="CP59" s="2134"/>
      <c r="CQ59" s="2134"/>
      <c r="CR59" s="2134"/>
      <c r="CS59" s="2134"/>
      <c r="CT59" s="87"/>
      <c r="CU59" s="166"/>
      <c r="CV59" s="2107"/>
      <c r="CW59" s="2107"/>
      <c r="CX59" s="2107"/>
      <c r="CY59" s="2107"/>
      <c r="CZ59" s="2107"/>
      <c r="DA59" s="2107"/>
      <c r="DB59" s="2107"/>
      <c r="DC59" s="2107"/>
      <c r="DD59" s="167"/>
      <c r="DE59" s="87"/>
      <c r="DF59" s="87"/>
      <c r="DG59" s="87"/>
      <c r="DH59" s="87"/>
      <c r="DI59" s="87"/>
      <c r="DJ59" s="166"/>
      <c r="DK59" s="1991"/>
      <c r="DL59" s="1991"/>
      <c r="DM59" s="1991"/>
      <c r="DN59" s="1991"/>
      <c r="DO59" s="1991"/>
      <c r="DP59" s="1991"/>
      <c r="DQ59" s="1991"/>
      <c r="DR59" s="167"/>
      <c r="DS59" s="117"/>
      <c r="DT59" s="117"/>
      <c r="DU59" s="117"/>
      <c r="DV59" s="166"/>
      <c r="DW59" s="1991"/>
      <c r="DX59" s="1991"/>
      <c r="DY59" s="1991"/>
      <c r="DZ59" s="1991"/>
      <c r="EA59" s="1991"/>
      <c r="EB59" s="1991"/>
      <c r="EC59" s="1991"/>
      <c r="ED59" s="167"/>
      <c r="EE59" s="117"/>
      <c r="EF59" s="117"/>
      <c r="EG59" s="117"/>
      <c r="EH59" s="166"/>
      <c r="EI59" s="1991"/>
      <c r="EJ59" s="1991"/>
      <c r="EK59" s="1991"/>
      <c r="EL59" s="1991"/>
      <c r="EM59" s="1991"/>
      <c r="EN59" s="1991"/>
      <c r="EO59" s="1991"/>
      <c r="EP59" s="264"/>
      <c r="EQ59" s="117"/>
      <c r="ER59" s="117"/>
      <c r="ES59" s="117"/>
      <c r="ET59" s="266"/>
      <c r="EU59" s="1991"/>
      <c r="EV59" s="1991"/>
      <c r="EW59" s="1991"/>
      <c r="EX59" s="1991"/>
      <c r="EY59" s="1991"/>
      <c r="EZ59" s="1991"/>
      <c r="FA59" s="1991"/>
      <c r="FB59" s="167"/>
      <c r="FC59" s="117"/>
      <c r="FD59" s="117"/>
      <c r="FE59" s="117"/>
      <c r="FF59" s="266"/>
      <c r="FG59" s="1991"/>
      <c r="FH59" s="1991"/>
      <c r="FI59" s="1991"/>
      <c r="FJ59" s="1991"/>
      <c r="FK59" s="1991"/>
      <c r="FL59" s="1991"/>
      <c r="FM59" s="1991"/>
      <c r="FN59" s="167"/>
      <c r="FO59" s="117"/>
      <c r="FP59" s="2127"/>
      <c r="FQ59" s="2081"/>
      <c r="FR59" s="2081"/>
      <c r="FS59" s="2128"/>
      <c r="FT59" s="989"/>
      <c r="FU59" s="2127"/>
      <c r="FV59" s="2081"/>
      <c r="FW59" s="2081"/>
      <c r="FX59" s="2128"/>
      <c r="FY59" s="87"/>
      <c r="FZ59" s="87"/>
      <c r="GA59" s="87"/>
      <c r="GC59" s="1853"/>
      <c r="GD59" s="1853"/>
      <c r="GE59" s="1853"/>
      <c r="GF59" s="1853"/>
      <c r="GH59" s="1133"/>
    </row>
    <row r="60" spans="1:190" ht="9" customHeight="1" thickBot="1">
      <c r="A60" s="301"/>
      <c r="B60" s="313"/>
      <c r="C60" s="301"/>
      <c r="D60" s="301"/>
      <c r="E60" s="643"/>
      <c r="F60" s="643"/>
      <c r="G60" s="643"/>
      <c r="H60" s="643"/>
      <c r="I60" s="643"/>
      <c r="J60" s="643"/>
      <c r="K60" s="301"/>
      <c r="L60" s="301"/>
      <c r="M60" s="301"/>
      <c r="N60" s="301"/>
      <c r="O60" s="301"/>
      <c r="P60" s="301"/>
      <c r="Q60" s="301"/>
      <c r="R60" s="301"/>
      <c r="S60" s="301"/>
      <c r="T60" s="301"/>
      <c r="U60" s="301"/>
      <c r="V60" s="301"/>
      <c r="W60" s="301"/>
      <c r="X60" s="301"/>
      <c r="Y60" s="301"/>
      <c r="Z60" s="301"/>
      <c r="AA60" s="301"/>
      <c r="AB60" s="301"/>
      <c r="AC60" s="301"/>
      <c r="AD60" s="301"/>
      <c r="AE60" s="301"/>
      <c r="AF60" s="301"/>
      <c r="AG60" s="301"/>
      <c r="AH60" s="301"/>
      <c r="AI60" s="301"/>
      <c r="AJ60" s="301"/>
      <c r="AK60" s="301"/>
      <c r="AL60" s="301"/>
      <c r="AM60" s="301"/>
      <c r="AN60" s="301"/>
      <c r="AO60" s="301"/>
      <c r="AP60" s="301"/>
      <c r="AQ60" s="301"/>
      <c r="AR60" s="301"/>
      <c r="AS60" s="301"/>
      <c r="AT60" s="301"/>
      <c r="AU60" s="301"/>
      <c r="AV60" s="301"/>
      <c r="AW60" s="1087"/>
      <c r="AX60" s="1087"/>
      <c r="AY60" s="1087"/>
      <c r="AZ60" s="1087"/>
      <c r="BA60" s="1087"/>
      <c r="BB60" s="1087"/>
      <c r="BC60" s="1087"/>
      <c r="BD60" s="1087"/>
      <c r="BE60" s="1087"/>
      <c r="BF60" s="405"/>
      <c r="BG60" s="406"/>
      <c r="BH60" s="301"/>
      <c r="BI60" s="405"/>
      <c r="BJ60" s="2133"/>
      <c r="BK60" s="2134"/>
      <c r="BL60" s="2134"/>
      <c r="BM60" s="2134"/>
      <c r="BN60" s="2134"/>
      <c r="BO60" s="2134"/>
      <c r="BP60" s="2134"/>
      <c r="BQ60" s="2134"/>
      <c r="BR60" s="2134"/>
      <c r="BS60" s="2134"/>
      <c r="BT60" s="2134"/>
      <c r="BU60" s="2134"/>
      <c r="BV60" s="2134"/>
      <c r="BW60" s="2134"/>
      <c r="BX60" s="2134"/>
      <c r="BY60" s="2134"/>
      <c r="BZ60" s="2134"/>
      <c r="CA60" s="2134"/>
      <c r="CB60" s="2134"/>
      <c r="CC60" s="2134"/>
      <c r="CD60" s="2134"/>
      <c r="CE60" s="2134"/>
      <c r="CF60" s="2134"/>
      <c r="CG60" s="2134"/>
      <c r="CH60" s="2134"/>
      <c r="CI60" s="2134"/>
      <c r="CJ60" s="2134"/>
      <c r="CK60" s="2134"/>
      <c r="CL60" s="2134"/>
      <c r="CM60" s="2134"/>
      <c r="CN60" s="2134"/>
      <c r="CO60" s="2134"/>
      <c r="CP60" s="2134"/>
      <c r="CQ60" s="2134"/>
      <c r="CR60" s="2134"/>
      <c r="CS60" s="2134"/>
      <c r="CT60" s="87"/>
      <c r="CU60" s="166"/>
      <c r="CV60" s="2107"/>
      <c r="CW60" s="2107"/>
      <c r="CX60" s="2107"/>
      <c r="CY60" s="2107"/>
      <c r="CZ60" s="2107"/>
      <c r="DA60" s="2107"/>
      <c r="DB60" s="2107"/>
      <c r="DC60" s="2107"/>
      <c r="DD60" s="167"/>
      <c r="DE60" s="87"/>
      <c r="DF60" s="117"/>
      <c r="DG60" s="117"/>
      <c r="DH60" s="117"/>
      <c r="DI60" s="87"/>
      <c r="DJ60" s="166"/>
      <c r="DK60" s="1991"/>
      <c r="DL60" s="1991"/>
      <c r="DM60" s="1991"/>
      <c r="DN60" s="1991"/>
      <c r="DO60" s="1991"/>
      <c r="DP60" s="1991"/>
      <c r="DQ60" s="1991"/>
      <c r="DR60" s="167"/>
      <c r="DS60" s="87"/>
      <c r="DT60" s="87"/>
      <c r="DU60" s="87"/>
      <c r="DV60" s="166"/>
      <c r="DW60" s="1991"/>
      <c r="DX60" s="1991"/>
      <c r="DY60" s="1991"/>
      <c r="DZ60" s="1991"/>
      <c r="EA60" s="1991"/>
      <c r="EB60" s="1991"/>
      <c r="EC60" s="1991"/>
      <c r="ED60" s="167"/>
      <c r="EE60" s="87"/>
      <c r="EF60" s="87"/>
      <c r="EG60" s="87"/>
      <c r="EH60" s="166"/>
      <c r="EI60" s="1991"/>
      <c r="EJ60" s="1991"/>
      <c r="EK60" s="1991"/>
      <c r="EL60" s="1991"/>
      <c r="EM60" s="1991"/>
      <c r="EN60" s="1991"/>
      <c r="EO60" s="1991"/>
      <c r="EP60" s="264"/>
      <c r="EQ60" s="87"/>
      <c r="ER60" s="87"/>
      <c r="ES60" s="87"/>
      <c r="ET60" s="266"/>
      <c r="EU60" s="1991"/>
      <c r="EV60" s="1991"/>
      <c r="EW60" s="1991"/>
      <c r="EX60" s="1991"/>
      <c r="EY60" s="1991"/>
      <c r="EZ60" s="1991"/>
      <c r="FA60" s="1991"/>
      <c r="FB60" s="167"/>
      <c r="FC60" s="87"/>
      <c r="FD60" s="87"/>
      <c r="FE60" s="87"/>
      <c r="FF60" s="266"/>
      <c r="FG60" s="1991"/>
      <c r="FH60" s="1991"/>
      <c r="FI60" s="1991"/>
      <c r="FJ60" s="1991"/>
      <c r="FK60" s="1991"/>
      <c r="FL60" s="1991"/>
      <c r="FM60" s="1991"/>
      <c r="FN60" s="167"/>
      <c r="FO60" s="87"/>
      <c r="FP60" s="2129"/>
      <c r="FQ60" s="2130"/>
      <c r="FR60" s="2130"/>
      <c r="FS60" s="2131"/>
      <c r="FT60" s="988"/>
      <c r="FU60" s="2129"/>
      <c r="FV60" s="2130"/>
      <c r="FW60" s="2130"/>
      <c r="FX60" s="2131"/>
      <c r="FY60" s="87"/>
      <c r="FZ60" s="87"/>
      <c r="GA60" s="87"/>
      <c r="GD60" s="714"/>
      <c r="GE60" s="714"/>
      <c r="GF60" s="714"/>
      <c r="GH60" s="1133"/>
    </row>
    <row r="61" spans="1:190" ht="9" customHeight="1" thickBot="1">
      <c r="A61" s="301"/>
      <c r="B61" s="313"/>
      <c r="C61" s="2113" t="str">
        <f>IF(Race="","",IF(NOT(ISERROR(GD61)),MID(EquipmentNameList,GD57+1,GD61-GD57-1),""))</f>
        <v/>
      </c>
      <c r="D61" s="2113"/>
      <c r="E61" s="2113"/>
      <c r="F61" s="2113"/>
      <c r="G61" s="2113"/>
      <c r="H61" s="2113"/>
      <c r="I61" s="2113"/>
      <c r="J61" s="2113"/>
      <c r="K61" s="2113"/>
      <c r="L61" s="2113"/>
      <c r="M61" s="2113"/>
      <c r="N61" s="2113"/>
      <c r="O61" s="2113"/>
      <c r="P61" s="2113"/>
      <c r="Q61" s="2113"/>
      <c r="R61" s="2113"/>
      <c r="S61" s="2113"/>
      <c r="T61" s="2113"/>
      <c r="U61" s="2113"/>
      <c r="V61" s="2113"/>
      <c r="W61" s="2113"/>
      <c r="X61" s="2113"/>
      <c r="Y61" s="2113"/>
      <c r="Z61" s="2113"/>
      <c r="AA61" s="2113"/>
      <c r="AB61" s="2113"/>
      <c r="AC61" s="2113"/>
      <c r="AD61" s="2113"/>
      <c r="AE61" s="2113"/>
      <c r="AF61" s="2113"/>
      <c r="AG61" s="2113"/>
      <c r="AH61" s="2113"/>
      <c r="AI61" s="2113"/>
      <c r="AJ61" s="2113"/>
      <c r="AK61" s="2113"/>
      <c r="AL61" s="2113"/>
      <c r="AM61" s="2113"/>
      <c r="AN61" s="2113"/>
      <c r="AO61" s="2113"/>
      <c r="AP61" s="2113"/>
      <c r="AQ61" s="2113"/>
      <c r="AR61" s="2113"/>
      <c r="AS61" s="2113"/>
      <c r="AT61" s="2113"/>
      <c r="AU61" s="2113"/>
      <c r="AV61" s="2113"/>
      <c r="AW61" s="2115" t="str">
        <f>IF(Race="","",IF(NOT(ISERROR(GE61)),VALUE(MID(EquipmentWeightList,GE57+1,GE61-GE57-1)),""))</f>
        <v/>
      </c>
      <c r="AX61" s="2115"/>
      <c r="AY61" s="2115"/>
      <c r="AZ61" s="2115"/>
      <c r="BA61" s="2115"/>
      <c r="BB61" s="2115"/>
      <c r="BC61" s="2115"/>
      <c r="BD61" s="2115"/>
      <c r="BE61" s="2115"/>
      <c r="BF61" s="405"/>
      <c r="BG61" s="406"/>
      <c r="BH61" s="301"/>
      <c r="BI61" s="405"/>
      <c r="BJ61" s="2133"/>
      <c r="BK61" s="2134"/>
      <c r="BL61" s="2134"/>
      <c r="BM61" s="2134"/>
      <c r="BN61" s="2134"/>
      <c r="BO61" s="2134"/>
      <c r="BP61" s="2134"/>
      <c r="BQ61" s="2134"/>
      <c r="BR61" s="2134"/>
      <c r="BS61" s="2134"/>
      <c r="BT61" s="2134"/>
      <c r="BU61" s="2134"/>
      <c r="BV61" s="2134"/>
      <c r="BW61" s="2134"/>
      <c r="BX61" s="2134"/>
      <c r="BY61" s="2134"/>
      <c r="BZ61" s="2134"/>
      <c r="CA61" s="2134"/>
      <c r="CB61" s="2134"/>
      <c r="CC61" s="2134"/>
      <c r="CD61" s="2134"/>
      <c r="CE61" s="2134"/>
      <c r="CF61" s="2134"/>
      <c r="CG61" s="2134"/>
      <c r="CH61" s="2134"/>
      <c r="CI61" s="2134"/>
      <c r="CJ61" s="2134"/>
      <c r="CK61" s="2134"/>
      <c r="CL61" s="2134"/>
      <c r="CM61" s="2134"/>
      <c r="CN61" s="2134"/>
      <c r="CO61" s="2134"/>
      <c r="CP61" s="2134"/>
      <c r="CQ61" s="2134"/>
      <c r="CR61" s="2134"/>
      <c r="CS61" s="2134"/>
      <c r="CT61" s="87"/>
      <c r="CU61" s="160"/>
      <c r="CV61" s="409"/>
      <c r="CW61" s="409"/>
      <c r="CX61" s="409"/>
      <c r="CY61" s="409"/>
      <c r="CZ61" s="409"/>
      <c r="DA61" s="409"/>
      <c r="DB61" s="409"/>
      <c r="DC61" s="409"/>
      <c r="DD61" s="158"/>
      <c r="DE61" s="87"/>
      <c r="DF61" s="87"/>
      <c r="DG61" s="87"/>
      <c r="DH61" s="87"/>
      <c r="DI61" s="87"/>
      <c r="DJ61" s="160"/>
      <c r="DK61" s="240"/>
      <c r="DL61" s="240"/>
      <c r="DM61" s="240"/>
      <c r="DN61" s="240"/>
      <c r="DO61" s="240"/>
      <c r="DP61" s="240"/>
      <c r="DQ61" s="240"/>
      <c r="DR61" s="158"/>
      <c r="DS61" s="87"/>
      <c r="DT61" s="87"/>
      <c r="DU61" s="87"/>
      <c r="DV61" s="160"/>
      <c r="DW61" s="240"/>
      <c r="DX61" s="240"/>
      <c r="DY61" s="240"/>
      <c r="DZ61" s="240"/>
      <c r="EA61" s="240"/>
      <c r="EB61" s="240"/>
      <c r="EC61" s="240"/>
      <c r="ED61" s="158"/>
      <c r="EE61" s="87"/>
      <c r="EF61" s="87"/>
      <c r="EG61" s="87"/>
      <c r="EH61" s="160"/>
      <c r="EI61" s="204"/>
      <c r="EJ61" s="204"/>
      <c r="EK61" s="204"/>
      <c r="EL61" s="204"/>
      <c r="EM61" s="204"/>
      <c r="EN61" s="204"/>
      <c r="EO61" s="204"/>
      <c r="EP61" s="274"/>
      <c r="EQ61" s="87"/>
      <c r="ER61" s="87"/>
      <c r="ES61" s="87"/>
      <c r="ET61" s="203"/>
      <c r="EU61" s="204"/>
      <c r="EV61" s="204"/>
      <c r="EW61" s="204"/>
      <c r="EX61" s="204"/>
      <c r="EY61" s="204"/>
      <c r="EZ61" s="204"/>
      <c r="FA61" s="204"/>
      <c r="FB61" s="158"/>
      <c r="FC61" s="87"/>
      <c r="FD61" s="87"/>
      <c r="FE61" s="87"/>
      <c r="FF61" s="203"/>
      <c r="FG61" s="204"/>
      <c r="FH61" s="204"/>
      <c r="FI61" s="204"/>
      <c r="FJ61" s="204"/>
      <c r="FK61" s="204"/>
      <c r="FL61" s="204"/>
      <c r="FM61" s="204"/>
      <c r="FN61" s="158"/>
      <c r="FO61" s="87"/>
      <c r="FP61" s="988"/>
      <c r="FQ61" s="988"/>
      <c r="FR61" s="988"/>
      <c r="FS61" s="988"/>
      <c r="FT61" s="988"/>
      <c r="FU61" s="988"/>
      <c r="FV61" s="988"/>
      <c r="FW61" s="988"/>
      <c r="FX61" s="988"/>
      <c r="FY61" s="87"/>
      <c r="FZ61" s="87"/>
      <c r="GA61" s="87"/>
      <c r="GC61" s="1853">
        <f>GC57+1</f>
        <v>13</v>
      </c>
      <c r="GD61" s="1853" t="e">
        <f>FIND(";",EquipmentNameList,GD57+1)</f>
        <v>#VALUE!</v>
      </c>
      <c r="GE61" s="1853" t="e">
        <f>FIND(";",EquipmentWeightList,GE57+1)</f>
        <v>#VALUE!</v>
      </c>
      <c r="GF61" s="1853" t="e">
        <f>FIND(";",EquipmentNumberList,GF57+1)</f>
        <v>#VALUE!</v>
      </c>
      <c r="GH61" s="1133"/>
    </row>
    <row r="62" spans="1:190" ht="9" customHeight="1" thickBot="1">
      <c r="A62" s="301"/>
      <c r="B62" s="313"/>
      <c r="C62" s="2113"/>
      <c r="D62" s="2113"/>
      <c r="E62" s="2113"/>
      <c r="F62" s="2113"/>
      <c r="G62" s="2113"/>
      <c r="H62" s="2113"/>
      <c r="I62" s="2113"/>
      <c r="J62" s="2113"/>
      <c r="K62" s="2113"/>
      <c r="L62" s="2113"/>
      <c r="M62" s="2113"/>
      <c r="N62" s="2113"/>
      <c r="O62" s="2113"/>
      <c r="P62" s="2113"/>
      <c r="Q62" s="2113"/>
      <c r="R62" s="2113"/>
      <c r="S62" s="2113"/>
      <c r="T62" s="2113"/>
      <c r="U62" s="2113"/>
      <c r="V62" s="2113"/>
      <c r="W62" s="2113"/>
      <c r="X62" s="2113"/>
      <c r="Y62" s="2113"/>
      <c r="Z62" s="2113"/>
      <c r="AA62" s="2113"/>
      <c r="AB62" s="2113"/>
      <c r="AC62" s="2113"/>
      <c r="AD62" s="2113"/>
      <c r="AE62" s="2113"/>
      <c r="AF62" s="2113"/>
      <c r="AG62" s="2113"/>
      <c r="AH62" s="2113"/>
      <c r="AI62" s="2113"/>
      <c r="AJ62" s="2113"/>
      <c r="AK62" s="2113"/>
      <c r="AL62" s="2113"/>
      <c r="AM62" s="2113"/>
      <c r="AN62" s="2113"/>
      <c r="AO62" s="2113"/>
      <c r="AP62" s="2113"/>
      <c r="AQ62" s="2113"/>
      <c r="AR62" s="2113"/>
      <c r="AS62" s="2113"/>
      <c r="AT62" s="2113"/>
      <c r="AU62" s="2113"/>
      <c r="AV62" s="2113"/>
      <c r="AW62" s="2115"/>
      <c r="AX62" s="2115"/>
      <c r="AY62" s="2115"/>
      <c r="AZ62" s="2115"/>
      <c r="BA62" s="2115"/>
      <c r="BB62" s="2115"/>
      <c r="BC62" s="2115"/>
      <c r="BD62" s="2115"/>
      <c r="BE62" s="2115"/>
      <c r="BF62" s="405"/>
      <c r="BG62" s="406"/>
      <c r="BH62" s="301"/>
      <c r="BI62" s="405"/>
      <c r="BJ62" s="1205"/>
      <c r="BK62" s="1205"/>
      <c r="BL62" s="1205"/>
      <c r="BM62" s="1205"/>
      <c r="BN62" s="1205"/>
      <c r="BO62" s="1205"/>
      <c r="BP62" s="1205"/>
      <c r="BQ62" s="1205"/>
      <c r="BR62" s="1205"/>
      <c r="BS62" s="1205"/>
      <c r="BT62" s="1205"/>
      <c r="BU62" s="1205"/>
      <c r="BV62" s="1205"/>
      <c r="BW62" s="1205"/>
      <c r="BX62" s="1205"/>
      <c r="BY62" s="1205"/>
      <c r="BZ62" s="1205"/>
      <c r="CA62" s="1215"/>
      <c r="CB62" s="1215"/>
      <c r="CC62" s="1215"/>
      <c r="CD62" s="1215"/>
      <c r="CE62" s="1215"/>
      <c r="CF62" s="1215"/>
      <c r="CG62" s="1215"/>
      <c r="CH62" s="1215"/>
      <c r="CI62" s="1215"/>
      <c r="CJ62" s="1215"/>
      <c r="CK62" s="1215"/>
      <c r="CL62" s="1215"/>
      <c r="CM62" s="1205"/>
      <c r="CN62" s="1216"/>
      <c r="CO62" s="1217"/>
      <c r="CP62" s="1217"/>
      <c r="CQ62" s="1217"/>
      <c r="CR62" s="1217"/>
      <c r="CS62" s="1217"/>
      <c r="CT62" s="417"/>
      <c r="CU62" s="417"/>
      <c r="CV62" s="418"/>
      <c r="CW62" s="418"/>
      <c r="CX62" s="416"/>
      <c r="CY62" s="414"/>
      <c r="CZ62" s="414"/>
      <c r="DA62" s="414"/>
      <c r="DB62" s="414"/>
      <c r="DC62" s="414"/>
      <c r="DD62" s="301"/>
      <c r="DE62" s="301"/>
      <c r="DF62" s="301"/>
      <c r="DG62" s="301"/>
      <c r="DH62" s="301"/>
      <c r="DI62" s="301"/>
      <c r="DJ62" s="301"/>
      <c r="DK62" s="301"/>
      <c r="DL62" s="301"/>
      <c r="DM62" s="301"/>
      <c r="DN62" s="301"/>
      <c r="DO62" s="301"/>
      <c r="DP62" s="301"/>
      <c r="DQ62" s="301"/>
      <c r="DR62" s="301"/>
      <c r="DS62" s="301"/>
      <c r="DT62" s="301"/>
      <c r="DU62" s="301"/>
      <c r="DV62" s="301"/>
      <c r="DW62" s="301"/>
      <c r="DX62" s="301"/>
      <c r="DY62" s="301"/>
      <c r="DZ62" s="301"/>
      <c r="EA62" s="301"/>
      <c r="EB62" s="301"/>
      <c r="EC62" s="301"/>
      <c r="ED62" s="301"/>
      <c r="EE62" s="301"/>
      <c r="EF62" s="301"/>
      <c r="EG62" s="301"/>
      <c r="EH62" s="301"/>
      <c r="EI62" s="301"/>
      <c r="EJ62" s="301"/>
      <c r="EK62" s="301"/>
      <c r="EL62" s="301"/>
      <c r="EM62" s="301"/>
      <c r="EN62" s="301"/>
      <c r="EO62" s="301"/>
      <c r="EP62" s="301"/>
      <c r="EQ62" s="301"/>
      <c r="ER62" s="301"/>
      <c r="ES62" s="301"/>
      <c r="ET62" s="301"/>
      <c r="EU62" s="301"/>
      <c r="EV62" s="301"/>
      <c r="EW62" s="301"/>
      <c r="EX62" s="301"/>
      <c r="EY62" s="301"/>
      <c r="EZ62" s="301"/>
      <c r="FA62" s="384"/>
      <c r="FB62" s="384"/>
      <c r="FC62" s="384"/>
      <c r="FD62" s="384"/>
      <c r="FE62" s="384"/>
      <c r="FF62" s="301"/>
      <c r="FG62" s="301"/>
      <c r="FH62" s="301"/>
      <c r="FI62" s="301"/>
      <c r="FJ62" s="301"/>
      <c r="FK62" s="301"/>
      <c r="FL62" s="301"/>
      <c r="FM62" s="301"/>
      <c r="FN62" s="87"/>
      <c r="FO62" s="87"/>
      <c r="FP62" s="988"/>
      <c r="FQ62" s="988"/>
      <c r="FR62" s="988"/>
      <c r="FS62" s="988"/>
      <c r="FT62" s="988"/>
      <c r="FU62" s="988"/>
      <c r="FV62" s="988"/>
      <c r="FW62" s="988"/>
      <c r="FX62" s="988"/>
      <c r="FY62" s="87"/>
      <c r="FZ62" s="87"/>
      <c r="GA62" s="87"/>
      <c r="GC62" s="1853"/>
      <c r="GD62" s="1853"/>
      <c r="GE62" s="1853"/>
      <c r="GF62" s="1853"/>
      <c r="GH62" s="1133"/>
    </row>
    <row r="63" spans="1:190" ht="9" customHeight="1" thickBot="1">
      <c r="A63" s="301"/>
      <c r="B63" s="313"/>
      <c r="C63" s="2114"/>
      <c r="D63" s="2114"/>
      <c r="E63" s="2114"/>
      <c r="F63" s="2114"/>
      <c r="G63" s="2114"/>
      <c r="H63" s="2114"/>
      <c r="I63" s="2114"/>
      <c r="J63" s="2114"/>
      <c r="K63" s="2114"/>
      <c r="L63" s="2114"/>
      <c r="M63" s="2114"/>
      <c r="N63" s="2114"/>
      <c r="O63" s="2114"/>
      <c r="P63" s="2114"/>
      <c r="Q63" s="2114"/>
      <c r="R63" s="2114"/>
      <c r="S63" s="2114"/>
      <c r="T63" s="2114"/>
      <c r="U63" s="2114"/>
      <c r="V63" s="2114"/>
      <c r="W63" s="2114"/>
      <c r="X63" s="2114"/>
      <c r="Y63" s="2114"/>
      <c r="Z63" s="2114"/>
      <c r="AA63" s="2114"/>
      <c r="AB63" s="2114"/>
      <c r="AC63" s="2114"/>
      <c r="AD63" s="2114"/>
      <c r="AE63" s="2114"/>
      <c r="AF63" s="2114"/>
      <c r="AG63" s="2114"/>
      <c r="AH63" s="2114"/>
      <c r="AI63" s="2114"/>
      <c r="AJ63" s="2114"/>
      <c r="AK63" s="2114"/>
      <c r="AL63" s="2114"/>
      <c r="AM63" s="2114"/>
      <c r="AN63" s="2114"/>
      <c r="AO63" s="2114"/>
      <c r="AP63" s="2114"/>
      <c r="AQ63" s="2114"/>
      <c r="AR63" s="2114"/>
      <c r="AS63" s="2114"/>
      <c r="AT63" s="2114"/>
      <c r="AU63" s="2114"/>
      <c r="AV63" s="2114"/>
      <c r="AW63" s="2116"/>
      <c r="AX63" s="2116"/>
      <c r="AY63" s="2116"/>
      <c r="AZ63" s="2116"/>
      <c r="BA63" s="2116"/>
      <c r="BB63" s="2116"/>
      <c r="BC63" s="2116"/>
      <c r="BD63" s="2116"/>
      <c r="BE63" s="2116"/>
      <c r="BF63" s="405"/>
      <c r="BG63" s="406"/>
      <c r="BH63" s="301"/>
      <c r="BI63" s="405"/>
      <c r="BJ63" s="2133" t="str">
        <f>Skills!C19</f>
        <v>Knowledge (Galactic Lore)</v>
      </c>
      <c r="BK63" s="2134"/>
      <c r="BL63" s="2134"/>
      <c r="BM63" s="2134"/>
      <c r="BN63" s="2134"/>
      <c r="BO63" s="2134"/>
      <c r="BP63" s="2134"/>
      <c r="BQ63" s="2134"/>
      <c r="BR63" s="2134"/>
      <c r="BS63" s="2134"/>
      <c r="BT63" s="2134"/>
      <c r="BU63" s="2134"/>
      <c r="BV63" s="2134"/>
      <c r="BW63" s="2134"/>
      <c r="BX63" s="2134"/>
      <c r="BY63" s="2134"/>
      <c r="BZ63" s="2134"/>
      <c r="CA63" s="2134"/>
      <c r="CB63" s="2134"/>
      <c r="CC63" s="2134"/>
      <c r="CD63" s="2134"/>
      <c r="CE63" s="2134"/>
      <c r="CF63" s="2134"/>
      <c r="CG63" s="2134"/>
      <c r="CH63" s="2134"/>
      <c r="CI63" s="2134"/>
      <c r="CJ63" s="2134"/>
      <c r="CK63" s="2134"/>
      <c r="CL63" s="2134"/>
      <c r="CM63" s="2134"/>
      <c r="CN63" s="2134"/>
      <c r="CO63" s="2134"/>
      <c r="CP63" s="2134"/>
      <c r="CQ63" s="2134"/>
      <c r="CR63" s="2134"/>
      <c r="CS63" s="2134"/>
      <c r="CT63" s="87"/>
      <c r="CU63" s="158" t="e">
        <f>HeroicLvl+ArmourFort</f>
        <v>#NAME?</v>
      </c>
      <c r="CV63" s="411"/>
      <c r="CW63" s="411"/>
      <c r="CX63" s="411"/>
      <c r="CY63" s="411"/>
      <c r="CZ63" s="411"/>
      <c r="DA63" s="411"/>
      <c r="DB63" s="411"/>
      <c r="DC63" s="411"/>
      <c r="DD63" s="160"/>
      <c r="DE63" s="87"/>
      <c r="DF63" s="87"/>
      <c r="DG63" s="87"/>
      <c r="DH63" s="87"/>
      <c r="DI63" s="87"/>
      <c r="DJ63" s="158" t="e">
        <f>HeroicLvl+ArmourFort</f>
        <v>#NAME?</v>
      </c>
      <c r="DK63" s="159"/>
      <c r="DL63" s="159"/>
      <c r="DM63" s="159"/>
      <c r="DN63" s="159"/>
      <c r="DO63" s="159"/>
      <c r="DP63" s="159"/>
      <c r="DQ63" s="159"/>
      <c r="DR63" s="160"/>
      <c r="DS63" s="87"/>
      <c r="DT63" s="87"/>
      <c r="DU63" s="87"/>
      <c r="DV63" s="158"/>
      <c r="DW63" s="159"/>
      <c r="DX63" s="159"/>
      <c r="DY63" s="159"/>
      <c r="DZ63" s="159"/>
      <c r="EA63" s="159"/>
      <c r="EB63" s="159"/>
      <c r="EC63" s="159"/>
      <c r="ED63" s="160"/>
      <c r="EE63" s="87"/>
      <c r="EF63" s="87"/>
      <c r="EG63" s="87"/>
      <c r="EH63" s="158"/>
      <c r="EI63" s="184"/>
      <c r="EJ63" s="184"/>
      <c r="EK63" s="184"/>
      <c r="EL63" s="184"/>
      <c r="EM63" s="184"/>
      <c r="EN63" s="184"/>
      <c r="EO63" s="184"/>
      <c r="EP63" s="160"/>
      <c r="EQ63" s="87"/>
      <c r="ER63" s="87"/>
      <c r="ES63" s="87"/>
      <c r="ET63" s="158"/>
      <c r="EU63" s="1649"/>
      <c r="EV63" s="1649"/>
      <c r="EW63" s="1649"/>
      <c r="EX63" s="1649"/>
      <c r="EY63" s="1649"/>
      <c r="EZ63" s="1649"/>
      <c r="FA63" s="1649"/>
      <c r="FB63" s="160"/>
      <c r="FC63" s="87"/>
      <c r="FD63" s="87"/>
      <c r="FE63" s="87"/>
      <c r="FF63" s="158"/>
      <c r="FG63" s="159"/>
      <c r="FH63" s="159"/>
      <c r="FI63" s="159"/>
      <c r="FJ63" s="159"/>
      <c r="FK63" s="159"/>
      <c r="FL63" s="159"/>
      <c r="FM63" s="159"/>
      <c r="FN63" s="160"/>
      <c r="FO63" s="87"/>
      <c r="FP63" s="988"/>
      <c r="FQ63" s="988"/>
      <c r="FR63" s="988"/>
      <c r="FS63" s="988"/>
      <c r="FT63" s="988"/>
      <c r="FU63" s="988"/>
      <c r="FV63" s="988"/>
      <c r="FW63" s="988"/>
      <c r="FX63" s="988"/>
      <c r="FY63" s="87"/>
      <c r="FZ63" s="87"/>
      <c r="GA63" s="87"/>
      <c r="GC63" s="1853"/>
      <c r="GD63" s="1853"/>
      <c r="GE63" s="1853"/>
      <c r="GF63" s="1853"/>
      <c r="GH63" s="1133"/>
    </row>
    <row r="64" spans="1:190" ht="9" customHeight="1">
      <c r="A64" s="301"/>
      <c r="B64" s="313"/>
      <c r="C64" s="301"/>
      <c r="D64" s="301"/>
      <c r="E64" s="643"/>
      <c r="F64" s="643"/>
      <c r="G64" s="643"/>
      <c r="H64" s="643"/>
      <c r="I64" s="643"/>
      <c r="J64" s="643"/>
      <c r="K64" s="301"/>
      <c r="L64" s="301"/>
      <c r="M64" s="301"/>
      <c r="N64" s="301"/>
      <c r="O64" s="301"/>
      <c r="P64" s="301"/>
      <c r="Q64" s="301"/>
      <c r="R64" s="301"/>
      <c r="S64" s="301"/>
      <c r="T64" s="301"/>
      <c r="U64" s="301"/>
      <c r="V64" s="301"/>
      <c r="W64" s="301"/>
      <c r="X64" s="301"/>
      <c r="Y64" s="301"/>
      <c r="Z64" s="301"/>
      <c r="AA64" s="301"/>
      <c r="AB64" s="301"/>
      <c r="AC64" s="301"/>
      <c r="AD64" s="301"/>
      <c r="AE64" s="301"/>
      <c r="AF64" s="301"/>
      <c r="AG64" s="301"/>
      <c r="AH64" s="301"/>
      <c r="AI64" s="301"/>
      <c r="AJ64" s="301"/>
      <c r="AK64" s="301"/>
      <c r="AL64" s="301"/>
      <c r="AM64" s="301"/>
      <c r="AN64" s="301"/>
      <c r="AO64" s="301"/>
      <c r="AP64" s="301"/>
      <c r="AQ64" s="301"/>
      <c r="AR64" s="301"/>
      <c r="AS64" s="301"/>
      <c r="AT64" s="301"/>
      <c r="AU64" s="301"/>
      <c r="AV64" s="301"/>
      <c r="AW64" s="1087"/>
      <c r="AX64" s="1087"/>
      <c r="AY64" s="1087"/>
      <c r="AZ64" s="1087"/>
      <c r="BA64" s="1087"/>
      <c r="BB64" s="1087"/>
      <c r="BC64" s="1087"/>
      <c r="BD64" s="1087"/>
      <c r="BE64" s="1087"/>
      <c r="BF64" s="405"/>
      <c r="BG64" s="406"/>
      <c r="BH64" s="301"/>
      <c r="BI64" s="405"/>
      <c r="BJ64" s="2133"/>
      <c r="BK64" s="2134"/>
      <c r="BL64" s="2134"/>
      <c r="BM64" s="2134"/>
      <c r="BN64" s="2134"/>
      <c r="BO64" s="2134"/>
      <c r="BP64" s="2134"/>
      <c r="BQ64" s="2134"/>
      <c r="BR64" s="2134"/>
      <c r="BS64" s="2134"/>
      <c r="BT64" s="2134"/>
      <c r="BU64" s="2134"/>
      <c r="BV64" s="2134"/>
      <c r="BW64" s="2134"/>
      <c r="BX64" s="2134"/>
      <c r="BY64" s="2134"/>
      <c r="BZ64" s="2134"/>
      <c r="CA64" s="2134"/>
      <c r="CB64" s="2134"/>
      <c r="CC64" s="2134"/>
      <c r="CD64" s="2134"/>
      <c r="CE64" s="2134"/>
      <c r="CF64" s="2134"/>
      <c r="CG64" s="2134"/>
      <c r="CH64" s="2134"/>
      <c r="CI64" s="2134"/>
      <c r="CJ64" s="2134"/>
      <c r="CK64" s="2134"/>
      <c r="CL64" s="2134"/>
      <c r="CM64" s="2134"/>
      <c r="CN64" s="2134"/>
      <c r="CO64" s="2134"/>
      <c r="CP64" s="2134"/>
      <c r="CQ64" s="2134"/>
      <c r="CR64" s="2134"/>
      <c r="CS64" s="2134"/>
      <c r="CT64" s="87"/>
      <c r="CU64" s="166"/>
      <c r="CV64" s="2107">
        <f ca="1">KnowledgeGalacticLore</f>
        <v>0</v>
      </c>
      <c r="CW64" s="2107"/>
      <c r="CX64" s="2107"/>
      <c r="CY64" s="2107"/>
      <c r="CZ64" s="2107"/>
      <c r="DA64" s="2107"/>
      <c r="DB64" s="2107"/>
      <c r="DC64" s="2107"/>
      <c r="DD64" s="167"/>
      <c r="DE64" s="87"/>
      <c r="DF64" s="117"/>
      <c r="DG64" s="117"/>
      <c r="DH64" s="117"/>
      <c r="DI64" s="87"/>
      <c r="DJ64" s="166"/>
      <c r="DK64" s="1991">
        <f>ROUNDDOWN(CharacterLevel/2,0)</f>
        <v>0</v>
      </c>
      <c r="DL64" s="1991"/>
      <c r="DM64" s="1991"/>
      <c r="DN64" s="1991"/>
      <c r="DO64" s="1991"/>
      <c r="DP64" s="1991"/>
      <c r="DQ64" s="1991"/>
      <c r="DR64" s="167"/>
      <c r="DS64" s="87"/>
      <c r="DT64" s="87"/>
      <c r="DU64" s="87"/>
      <c r="DV64" s="166"/>
      <c r="DW64" s="1991" t="str">
        <f>IntMod</f>
        <v/>
      </c>
      <c r="DX64" s="1991"/>
      <c r="DY64" s="1991"/>
      <c r="DZ64" s="1991"/>
      <c r="EA64" s="1991"/>
      <c r="EB64" s="1991"/>
      <c r="EC64" s="1991"/>
      <c r="ED64" s="167"/>
      <c r="EE64" s="87"/>
      <c r="EF64" s="87"/>
      <c r="EG64" s="87"/>
      <c r="EH64" s="166"/>
      <c r="EI64" s="1991" t="str">
        <f>IF(CharacterLevel&gt;0,IF(OR(INDEX(SkillTable,MATCH(BJ63,SkillList,0),4)="Yes",INDEX(SkillTable,MATCH(BJ63,SkillList,0),5)="Yes"),5,0),"")</f>
        <v/>
      </c>
      <c r="EJ64" s="1991"/>
      <c r="EK64" s="1991"/>
      <c r="EL64" s="1991"/>
      <c r="EM64" s="1991"/>
      <c r="EN64" s="1991"/>
      <c r="EO64" s="1991"/>
      <c r="EP64" s="264"/>
      <c r="EQ64" s="265"/>
      <c r="ER64" s="265"/>
      <c r="ES64" s="265"/>
      <c r="ET64" s="266"/>
      <c r="EU64" s="1991" t="b">
        <f>IF(CharacterLevel&gt;0,IF(Skills!R19="Yes",5,0))</f>
        <v>0</v>
      </c>
      <c r="EV64" s="1991"/>
      <c r="EW64" s="1991"/>
      <c r="EX64" s="1991"/>
      <c r="EY64" s="1991"/>
      <c r="EZ64" s="1991"/>
      <c r="FA64" s="1991"/>
      <c r="FB64" s="167"/>
      <c r="FC64" s="265"/>
      <c r="FD64" s="265"/>
      <c r="FE64" s="265"/>
      <c r="FF64" s="266"/>
      <c r="FG64" s="1991">
        <f>ArmorPenalty+INDEX(SkillTable,MATCH(BJ63,SkillList,0),12)</f>
        <v>0</v>
      </c>
      <c r="FH64" s="1991"/>
      <c r="FI64" s="1991"/>
      <c r="FJ64" s="1991"/>
      <c r="FK64" s="1991"/>
      <c r="FL64" s="1991"/>
      <c r="FM64" s="1991"/>
      <c r="FN64" s="167"/>
      <c r="FO64" s="87"/>
      <c r="FP64" s="2124" t="str">
        <f>IF(INDEX(SkillTable,MATCH(BJ63,SkillList,0),77)&lt;&gt;"","×","")</f>
        <v/>
      </c>
      <c r="FQ64" s="2125"/>
      <c r="FR64" s="2125"/>
      <c r="FS64" s="2126"/>
      <c r="FT64" s="988"/>
      <c r="FU64" s="2124" t="str">
        <f>IF(INDEX(SkillTable,MATCH(BJ63,SkillList,0),78)&lt;&gt;"","×","")</f>
        <v/>
      </c>
      <c r="FV64" s="2125"/>
      <c r="FW64" s="2125"/>
      <c r="FX64" s="2126"/>
      <c r="FY64" s="87"/>
      <c r="FZ64" s="87"/>
      <c r="GA64" s="87"/>
      <c r="GF64" s="714"/>
      <c r="GH64" s="1135" t="e">
        <f ca="1">IF(INDEX(SkillTable,MATCH(BJ63,SkillList,0),14),1,0)</f>
        <v>#VALUE!</v>
      </c>
    </row>
    <row r="65" spans="1:190" ht="9" customHeight="1">
      <c r="A65" s="301"/>
      <c r="B65" s="313"/>
      <c r="C65" s="2113" t="str">
        <f>IF(Race="","",IF(NOT(ISERROR(GD65)),MID(EquipmentNameList,GD61+1,GD65-GD61-1),""))</f>
        <v/>
      </c>
      <c r="D65" s="2113"/>
      <c r="E65" s="2113"/>
      <c r="F65" s="2113"/>
      <c r="G65" s="2113"/>
      <c r="H65" s="2113"/>
      <c r="I65" s="2113"/>
      <c r="J65" s="2113"/>
      <c r="K65" s="2113"/>
      <c r="L65" s="2113"/>
      <c r="M65" s="2113"/>
      <c r="N65" s="2113"/>
      <c r="O65" s="2113"/>
      <c r="P65" s="2113"/>
      <c r="Q65" s="2113"/>
      <c r="R65" s="2113"/>
      <c r="S65" s="2113"/>
      <c r="T65" s="2113"/>
      <c r="U65" s="2113"/>
      <c r="V65" s="2113"/>
      <c r="W65" s="2113"/>
      <c r="X65" s="2113"/>
      <c r="Y65" s="2113"/>
      <c r="Z65" s="2113"/>
      <c r="AA65" s="2113"/>
      <c r="AB65" s="2113"/>
      <c r="AC65" s="2113"/>
      <c r="AD65" s="2113"/>
      <c r="AE65" s="2113"/>
      <c r="AF65" s="2113"/>
      <c r="AG65" s="2113"/>
      <c r="AH65" s="2113"/>
      <c r="AI65" s="2113"/>
      <c r="AJ65" s="2113"/>
      <c r="AK65" s="2113"/>
      <c r="AL65" s="2113"/>
      <c r="AM65" s="2113"/>
      <c r="AN65" s="2113"/>
      <c r="AO65" s="2113"/>
      <c r="AP65" s="2113"/>
      <c r="AQ65" s="2113"/>
      <c r="AR65" s="2113"/>
      <c r="AS65" s="2113"/>
      <c r="AT65" s="2113"/>
      <c r="AU65" s="2113"/>
      <c r="AV65" s="2113"/>
      <c r="AW65" s="2115" t="str">
        <f>IF(Race="","",IF(NOT(ISERROR(GE65)),VALUE(MID(EquipmentWeightList,GE61+1,GE65-GE61-1)),""))</f>
        <v/>
      </c>
      <c r="AX65" s="2115"/>
      <c r="AY65" s="2115"/>
      <c r="AZ65" s="2115"/>
      <c r="BA65" s="2115"/>
      <c r="BB65" s="2115"/>
      <c r="BC65" s="2115"/>
      <c r="BD65" s="2115"/>
      <c r="BE65" s="2115"/>
      <c r="BF65" s="405"/>
      <c r="BG65" s="406"/>
      <c r="BH65" s="301"/>
      <c r="BI65" s="405"/>
      <c r="BJ65" s="2133"/>
      <c r="BK65" s="2134"/>
      <c r="BL65" s="2134"/>
      <c r="BM65" s="2134"/>
      <c r="BN65" s="2134"/>
      <c r="BO65" s="2134"/>
      <c r="BP65" s="2134"/>
      <c r="BQ65" s="2134"/>
      <c r="BR65" s="2134"/>
      <c r="BS65" s="2134"/>
      <c r="BT65" s="2134"/>
      <c r="BU65" s="2134"/>
      <c r="BV65" s="2134"/>
      <c r="BW65" s="2134"/>
      <c r="BX65" s="2134"/>
      <c r="BY65" s="2134"/>
      <c r="BZ65" s="2134"/>
      <c r="CA65" s="2134"/>
      <c r="CB65" s="2134"/>
      <c r="CC65" s="2134"/>
      <c r="CD65" s="2134"/>
      <c r="CE65" s="2134"/>
      <c r="CF65" s="2134"/>
      <c r="CG65" s="2134"/>
      <c r="CH65" s="2134"/>
      <c r="CI65" s="2134"/>
      <c r="CJ65" s="2134"/>
      <c r="CK65" s="2134"/>
      <c r="CL65" s="2134"/>
      <c r="CM65" s="2134"/>
      <c r="CN65" s="2134"/>
      <c r="CO65" s="2134"/>
      <c r="CP65" s="2134"/>
      <c r="CQ65" s="2134"/>
      <c r="CR65" s="2134"/>
      <c r="CS65" s="2134"/>
      <c r="CT65" s="87"/>
      <c r="CU65" s="166"/>
      <c r="CV65" s="2107"/>
      <c r="CW65" s="2107"/>
      <c r="CX65" s="2107"/>
      <c r="CY65" s="2107"/>
      <c r="CZ65" s="2107"/>
      <c r="DA65" s="2107"/>
      <c r="DB65" s="2107"/>
      <c r="DC65" s="2107"/>
      <c r="DD65" s="167"/>
      <c r="DE65" s="87"/>
      <c r="DF65" s="87"/>
      <c r="DG65" s="87"/>
      <c r="DH65" s="87"/>
      <c r="DI65" s="87"/>
      <c r="DJ65" s="166"/>
      <c r="DK65" s="1991"/>
      <c r="DL65" s="1991"/>
      <c r="DM65" s="1991"/>
      <c r="DN65" s="1991"/>
      <c r="DO65" s="1991"/>
      <c r="DP65" s="1991"/>
      <c r="DQ65" s="1991"/>
      <c r="DR65" s="167"/>
      <c r="DS65" s="117"/>
      <c r="DT65" s="117"/>
      <c r="DU65" s="117"/>
      <c r="DV65" s="166"/>
      <c r="DW65" s="1991"/>
      <c r="DX65" s="1991"/>
      <c r="DY65" s="1991"/>
      <c r="DZ65" s="1991"/>
      <c r="EA65" s="1991"/>
      <c r="EB65" s="1991"/>
      <c r="EC65" s="1991"/>
      <c r="ED65" s="167"/>
      <c r="EE65" s="117"/>
      <c r="EF65" s="117"/>
      <c r="EG65" s="117"/>
      <c r="EH65" s="166"/>
      <c r="EI65" s="1991"/>
      <c r="EJ65" s="1991"/>
      <c r="EK65" s="1991"/>
      <c r="EL65" s="1991"/>
      <c r="EM65" s="1991"/>
      <c r="EN65" s="1991"/>
      <c r="EO65" s="1991"/>
      <c r="EP65" s="264"/>
      <c r="EQ65" s="117"/>
      <c r="ER65" s="117"/>
      <c r="ES65" s="117"/>
      <c r="ET65" s="266"/>
      <c r="EU65" s="1991"/>
      <c r="EV65" s="1991"/>
      <c r="EW65" s="1991"/>
      <c r="EX65" s="1991"/>
      <c r="EY65" s="1991"/>
      <c r="EZ65" s="1991"/>
      <c r="FA65" s="1991"/>
      <c r="FB65" s="167"/>
      <c r="FC65" s="117"/>
      <c r="FD65" s="117"/>
      <c r="FE65" s="117"/>
      <c r="FF65" s="266"/>
      <c r="FG65" s="1991"/>
      <c r="FH65" s="1991"/>
      <c r="FI65" s="1991"/>
      <c r="FJ65" s="1991"/>
      <c r="FK65" s="1991"/>
      <c r="FL65" s="1991"/>
      <c r="FM65" s="1991"/>
      <c r="FN65" s="167"/>
      <c r="FO65" s="117"/>
      <c r="FP65" s="2127"/>
      <c r="FQ65" s="2081"/>
      <c r="FR65" s="2081"/>
      <c r="FS65" s="2128"/>
      <c r="FT65" s="989"/>
      <c r="FU65" s="2127"/>
      <c r="FV65" s="2081"/>
      <c r="FW65" s="2081"/>
      <c r="FX65" s="2128"/>
      <c r="FY65" s="87"/>
      <c r="FZ65" s="87"/>
      <c r="GA65" s="87"/>
      <c r="GC65" s="1853">
        <f>GC61+1</f>
        <v>14</v>
      </c>
      <c r="GD65" s="1853" t="e">
        <f>FIND(";",EquipmentNameList,GD61+1)</f>
        <v>#VALUE!</v>
      </c>
      <c r="GE65" s="1853" t="e">
        <f>FIND(";",EquipmentWeightList,GE61+1)</f>
        <v>#VALUE!</v>
      </c>
      <c r="GF65" s="1853" t="e">
        <f>FIND(";",EquipmentNumberList,GF61+1)</f>
        <v>#VALUE!</v>
      </c>
      <c r="GH65" s="1133"/>
    </row>
    <row r="66" spans="1:190" ht="9" customHeight="1" thickBot="1">
      <c r="A66" s="301"/>
      <c r="B66" s="313"/>
      <c r="C66" s="2113"/>
      <c r="D66" s="2113"/>
      <c r="E66" s="2113"/>
      <c r="F66" s="2113"/>
      <c r="G66" s="2113"/>
      <c r="H66" s="2113"/>
      <c r="I66" s="2113"/>
      <c r="J66" s="2113"/>
      <c r="K66" s="2113"/>
      <c r="L66" s="2113"/>
      <c r="M66" s="2113"/>
      <c r="N66" s="2113"/>
      <c r="O66" s="2113"/>
      <c r="P66" s="2113"/>
      <c r="Q66" s="2113"/>
      <c r="R66" s="2113"/>
      <c r="S66" s="2113"/>
      <c r="T66" s="2113"/>
      <c r="U66" s="2113"/>
      <c r="V66" s="2113"/>
      <c r="W66" s="2113"/>
      <c r="X66" s="2113"/>
      <c r="Y66" s="2113"/>
      <c r="Z66" s="2113"/>
      <c r="AA66" s="2113"/>
      <c r="AB66" s="2113"/>
      <c r="AC66" s="2113"/>
      <c r="AD66" s="2113"/>
      <c r="AE66" s="2113"/>
      <c r="AF66" s="2113"/>
      <c r="AG66" s="2113"/>
      <c r="AH66" s="2113"/>
      <c r="AI66" s="2113"/>
      <c r="AJ66" s="2113"/>
      <c r="AK66" s="2113"/>
      <c r="AL66" s="2113"/>
      <c r="AM66" s="2113"/>
      <c r="AN66" s="2113"/>
      <c r="AO66" s="2113"/>
      <c r="AP66" s="2113"/>
      <c r="AQ66" s="2113"/>
      <c r="AR66" s="2113"/>
      <c r="AS66" s="2113"/>
      <c r="AT66" s="2113"/>
      <c r="AU66" s="2113"/>
      <c r="AV66" s="2113"/>
      <c r="AW66" s="2115"/>
      <c r="AX66" s="2115"/>
      <c r="AY66" s="2115"/>
      <c r="AZ66" s="2115"/>
      <c r="BA66" s="2115"/>
      <c r="BB66" s="2115"/>
      <c r="BC66" s="2115"/>
      <c r="BD66" s="2115"/>
      <c r="BE66" s="2115"/>
      <c r="BF66" s="405"/>
      <c r="BG66" s="406"/>
      <c r="BH66" s="301"/>
      <c r="BI66" s="405"/>
      <c r="BJ66" s="2133"/>
      <c r="BK66" s="2134"/>
      <c r="BL66" s="2134"/>
      <c r="BM66" s="2134"/>
      <c r="BN66" s="2134"/>
      <c r="BO66" s="2134"/>
      <c r="BP66" s="2134"/>
      <c r="BQ66" s="2134"/>
      <c r="BR66" s="2134"/>
      <c r="BS66" s="2134"/>
      <c r="BT66" s="2134"/>
      <c r="BU66" s="2134"/>
      <c r="BV66" s="2134"/>
      <c r="BW66" s="2134"/>
      <c r="BX66" s="2134"/>
      <c r="BY66" s="2134"/>
      <c r="BZ66" s="2134"/>
      <c r="CA66" s="2134"/>
      <c r="CB66" s="2134"/>
      <c r="CC66" s="2134"/>
      <c r="CD66" s="2134"/>
      <c r="CE66" s="2134"/>
      <c r="CF66" s="2134"/>
      <c r="CG66" s="2134"/>
      <c r="CH66" s="2134"/>
      <c r="CI66" s="2134"/>
      <c r="CJ66" s="2134"/>
      <c r="CK66" s="2134"/>
      <c r="CL66" s="2134"/>
      <c r="CM66" s="2134"/>
      <c r="CN66" s="2134"/>
      <c r="CO66" s="2134"/>
      <c r="CP66" s="2134"/>
      <c r="CQ66" s="2134"/>
      <c r="CR66" s="2134"/>
      <c r="CS66" s="2134"/>
      <c r="CT66" s="87"/>
      <c r="CU66" s="166"/>
      <c r="CV66" s="2107"/>
      <c r="CW66" s="2107"/>
      <c r="CX66" s="2107"/>
      <c r="CY66" s="2107"/>
      <c r="CZ66" s="2107"/>
      <c r="DA66" s="2107"/>
      <c r="DB66" s="2107"/>
      <c r="DC66" s="2107"/>
      <c r="DD66" s="167"/>
      <c r="DE66" s="87"/>
      <c r="DF66" s="117"/>
      <c r="DG66" s="117"/>
      <c r="DH66" s="117"/>
      <c r="DI66" s="87"/>
      <c r="DJ66" s="166"/>
      <c r="DK66" s="1991"/>
      <c r="DL66" s="1991"/>
      <c r="DM66" s="1991"/>
      <c r="DN66" s="1991"/>
      <c r="DO66" s="1991"/>
      <c r="DP66" s="1991"/>
      <c r="DQ66" s="1991"/>
      <c r="DR66" s="167"/>
      <c r="DS66" s="87"/>
      <c r="DT66" s="87"/>
      <c r="DU66" s="87"/>
      <c r="DV66" s="166"/>
      <c r="DW66" s="1991"/>
      <c r="DX66" s="1991"/>
      <c r="DY66" s="1991"/>
      <c r="DZ66" s="1991"/>
      <c r="EA66" s="1991"/>
      <c r="EB66" s="1991"/>
      <c r="EC66" s="1991"/>
      <c r="ED66" s="167"/>
      <c r="EE66" s="87"/>
      <c r="EF66" s="87"/>
      <c r="EG66" s="87"/>
      <c r="EH66" s="166"/>
      <c r="EI66" s="1991"/>
      <c r="EJ66" s="1991"/>
      <c r="EK66" s="1991"/>
      <c r="EL66" s="1991"/>
      <c r="EM66" s="1991"/>
      <c r="EN66" s="1991"/>
      <c r="EO66" s="1991"/>
      <c r="EP66" s="264"/>
      <c r="EQ66" s="87"/>
      <c r="ER66" s="87"/>
      <c r="ES66" s="87"/>
      <c r="ET66" s="266"/>
      <c r="EU66" s="1991"/>
      <c r="EV66" s="1991"/>
      <c r="EW66" s="1991"/>
      <c r="EX66" s="1991"/>
      <c r="EY66" s="1991"/>
      <c r="EZ66" s="1991"/>
      <c r="FA66" s="1991"/>
      <c r="FB66" s="167"/>
      <c r="FC66" s="87"/>
      <c r="FD66" s="87"/>
      <c r="FE66" s="87"/>
      <c r="FF66" s="266"/>
      <c r="FG66" s="1991"/>
      <c r="FH66" s="1991"/>
      <c r="FI66" s="1991"/>
      <c r="FJ66" s="1991"/>
      <c r="FK66" s="1991"/>
      <c r="FL66" s="1991"/>
      <c r="FM66" s="1991"/>
      <c r="FN66" s="167"/>
      <c r="FO66" s="87"/>
      <c r="FP66" s="2129"/>
      <c r="FQ66" s="2130"/>
      <c r="FR66" s="2130"/>
      <c r="FS66" s="2131"/>
      <c r="FT66" s="988"/>
      <c r="FU66" s="2129"/>
      <c r="FV66" s="2130"/>
      <c r="FW66" s="2130"/>
      <c r="FX66" s="2131"/>
      <c r="FY66" s="87"/>
      <c r="FZ66" s="87"/>
      <c r="GA66" s="87"/>
      <c r="GC66" s="1853"/>
      <c r="GD66" s="1853"/>
      <c r="GE66" s="1853"/>
      <c r="GF66" s="1853"/>
      <c r="GH66" s="1133"/>
    </row>
    <row r="67" spans="1:190" ht="9" customHeight="1" thickBot="1">
      <c r="A67" s="301"/>
      <c r="B67" s="313"/>
      <c r="C67" s="2114"/>
      <c r="D67" s="2114"/>
      <c r="E67" s="2114"/>
      <c r="F67" s="2114"/>
      <c r="G67" s="2114"/>
      <c r="H67" s="2114"/>
      <c r="I67" s="2114"/>
      <c r="J67" s="2114"/>
      <c r="K67" s="2114"/>
      <c r="L67" s="2114"/>
      <c r="M67" s="2114"/>
      <c r="N67" s="2114"/>
      <c r="O67" s="2114"/>
      <c r="P67" s="2114"/>
      <c r="Q67" s="2114"/>
      <c r="R67" s="2114"/>
      <c r="S67" s="2114"/>
      <c r="T67" s="2114"/>
      <c r="U67" s="2114"/>
      <c r="V67" s="2114"/>
      <c r="W67" s="2114"/>
      <c r="X67" s="2114"/>
      <c r="Y67" s="2114"/>
      <c r="Z67" s="2114"/>
      <c r="AA67" s="2114"/>
      <c r="AB67" s="2114"/>
      <c r="AC67" s="2114"/>
      <c r="AD67" s="2114"/>
      <c r="AE67" s="2114"/>
      <c r="AF67" s="2114"/>
      <c r="AG67" s="2114"/>
      <c r="AH67" s="2114"/>
      <c r="AI67" s="2114"/>
      <c r="AJ67" s="2114"/>
      <c r="AK67" s="2114"/>
      <c r="AL67" s="2114"/>
      <c r="AM67" s="2114"/>
      <c r="AN67" s="2114"/>
      <c r="AO67" s="2114"/>
      <c r="AP67" s="2114"/>
      <c r="AQ67" s="2114"/>
      <c r="AR67" s="2114"/>
      <c r="AS67" s="2114"/>
      <c r="AT67" s="2114"/>
      <c r="AU67" s="2114"/>
      <c r="AV67" s="2114"/>
      <c r="AW67" s="2116"/>
      <c r="AX67" s="2116"/>
      <c r="AY67" s="2116"/>
      <c r="AZ67" s="2116"/>
      <c r="BA67" s="2116"/>
      <c r="BB67" s="2116"/>
      <c r="BC67" s="2116"/>
      <c r="BD67" s="2116"/>
      <c r="BE67" s="2116"/>
      <c r="BF67" s="405"/>
      <c r="BG67" s="406"/>
      <c r="BH67" s="301"/>
      <c r="BI67" s="405"/>
      <c r="BJ67" s="2133"/>
      <c r="BK67" s="2134"/>
      <c r="BL67" s="2134"/>
      <c r="BM67" s="2134"/>
      <c r="BN67" s="2134"/>
      <c r="BO67" s="2134"/>
      <c r="BP67" s="2134"/>
      <c r="BQ67" s="2134"/>
      <c r="BR67" s="2134"/>
      <c r="BS67" s="2134"/>
      <c r="BT67" s="2134"/>
      <c r="BU67" s="2134"/>
      <c r="BV67" s="2134"/>
      <c r="BW67" s="2134"/>
      <c r="BX67" s="2134"/>
      <c r="BY67" s="2134"/>
      <c r="BZ67" s="2134"/>
      <c r="CA67" s="2134"/>
      <c r="CB67" s="2134"/>
      <c r="CC67" s="2134"/>
      <c r="CD67" s="2134"/>
      <c r="CE67" s="2134"/>
      <c r="CF67" s="2134"/>
      <c r="CG67" s="2134"/>
      <c r="CH67" s="2134"/>
      <c r="CI67" s="2134"/>
      <c r="CJ67" s="2134"/>
      <c r="CK67" s="2134"/>
      <c r="CL67" s="2134"/>
      <c r="CM67" s="2134"/>
      <c r="CN67" s="2134"/>
      <c r="CO67" s="2134"/>
      <c r="CP67" s="2134"/>
      <c r="CQ67" s="2134"/>
      <c r="CR67" s="2134"/>
      <c r="CS67" s="2134"/>
      <c r="CT67" s="87"/>
      <c r="CU67" s="160"/>
      <c r="CV67" s="409"/>
      <c r="CW67" s="409"/>
      <c r="CX67" s="409"/>
      <c r="CY67" s="409"/>
      <c r="CZ67" s="409"/>
      <c r="DA67" s="409"/>
      <c r="DB67" s="409"/>
      <c r="DC67" s="409"/>
      <c r="DD67" s="158"/>
      <c r="DE67" s="87"/>
      <c r="DF67" s="87"/>
      <c r="DG67" s="87"/>
      <c r="DH67" s="87"/>
      <c r="DI67" s="87"/>
      <c r="DJ67" s="160"/>
      <c r="DK67" s="240"/>
      <c r="DL67" s="240"/>
      <c r="DM67" s="240"/>
      <c r="DN67" s="240"/>
      <c r="DO67" s="240"/>
      <c r="DP67" s="240"/>
      <c r="DQ67" s="240"/>
      <c r="DR67" s="158"/>
      <c r="DS67" s="87"/>
      <c r="DT67" s="87"/>
      <c r="DU67" s="87"/>
      <c r="DV67" s="160"/>
      <c r="DW67" s="240"/>
      <c r="DX67" s="240"/>
      <c r="DY67" s="240"/>
      <c r="DZ67" s="240"/>
      <c r="EA67" s="240"/>
      <c r="EB67" s="240"/>
      <c r="EC67" s="240"/>
      <c r="ED67" s="158"/>
      <c r="EE67" s="87"/>
      <c r="EF67" s="87"/>
      <c r="EG67" s="87"/>
      <c r="EH67" s="160"/>
      <c r="EI67" s="204"/>
      <c r="EJ67" s="204"/>
      <c r="EK67" s="204"/>
      <c r="EL67" s="204"/>
      <c r="EM67" s="204"/>
      <c r="EN67" s="204"/>
      <c r="EO67" s="204"/>
      <c r="EP67" s="274"/>
      <c r="EQ67" s="87"/>
      <c r="ER67" s="87"/>
      <c r="ES67" s="87"/>
      <c r="ET67" s="203"/>
      <c r="EU67" s="204"/>
      <c r="EV67" s="204"/>
      <c r="EW67" s="204"/>
      <c r="EX67" s="204"/>
      <c r="EY67" s="204"/>
      <c r="EZ67" s="204"/>
      <c r="FA67" s="204"/>
      <c r="FB67" s="158"/>
      <c r="FC67" s="87"/>
      <c r="FD67" s="87"/>
      <c r="FE67" s="87"/>
      <c r="FF67" s="203"/>
      <c r="FG67" s="204"/>
      <c r="FH67" s="204"/>
      <c r="FI67" s="204"/>
      <c r="FJ67" s="204"/>
      <c r="FK67" s="204"/>
      <c r="FL67" s="204"/>
      <c r="FM67" s="204"/>
      <c r="FN67" s="158"/>
      <c r="FO67" s="87"/>
      <c r="FP67" s="988"/>
      <c r="FQ67" s="988"/>
      <c r="FR67" s="988"/>
      <c r="FS67" s="988"/>
      <c r="FT67" s="988"/>
      <c r="FU67" s="988"/>
      <c r="FV67" s="988"/>
      <c r="FW67" s="988"/>
      <c r="FX67" s="988"/>
      <c r="FY67" s="87"/>
      <c r="FZ67" s="87"/>
      <c r="GA67" s="87"/>
      <c r="GC67" s="1853"/>
      <c r="GD67" s="1853"/>
      <c r="GE67" s="1853"/>
      <c r="GF67" s="1853"/>
      <c r="GH67" s="1133"/>
    </row>
    <row r="68" spans="1:190" ht="9" customHeight="1" thickBot="1">
      <c r="A68" s="301"/>
      <c r="B68" s="313"/>
      <c r="C68" s="301"/>
      <c r="D68" s="301"/>
      <c r="E68" s="643"/>
      <c r="F68" s="643"/>
      <c r="G68" s="643"/>
      <c r="H68" s="643"/>
      <c r="I68" s="643"/>
      <c r="J68" s="643"/>
      <c r="K68" s="301"/>
      <c r="L68" s="301"/>
      <c r="M68" s="301"/>
      <c r="N68" s="301"/>
      <c r="O68" s="301"/>
      <c r="P68" s="301"/>
      <c r="Q68" s="301"/>
      <c r="R68" s="301"/>
      <c r="S68" s="301"/>
      <c r="T68" s="301"/>
      <c r="U68" s="301"/>
      <c r="V68" s="301"/>
      <c r="W68" s="301"/>
      <c r="X68" s="301"/>
      <c r="Y68" s="301"/>
      <c r="Z68" s="301"/>
      <c r="AA68" s="301"/>
      <c r="AB68" s="301"/>
      <c r="AC68" s="301"/>
      <c r="AD68" s="301"/>
      <c r="AE68" s="301"/>
      <c r="AF68" s="301"/>
      <c r="AG68" s="301"/>
      <c r="AH68" s="301"/>
      <c r="AI68" s="301"/>
      <c r="AJ68" s="301"/>
      <c r="AK68" s="301"/>
      <c r="AL68" s="301"/>
      <c r="AM68" s="301"/>
      <c r="AN68" s="301"/>
      <c r="AO68" s="301"/>
      <c r="AP68" s="301"/>
      <c r="AQ68" s="301"/>
      <c r="AR68" s="301"/>
      <c r="AS68" s="301"/>
      <c r="AT68" s="301"/>
      <c r="AU68" s="301"/>
      <c r="AV68" s="301"/>
      <c r="AW68" s="1087"/>
      <c r="AX68" s="1087"/>
      <c r="AY68" s="1087"/>
      <c r="AZ68" s="1087"/>
      <c r="BA68" s="1087"/>
      <c r="BB68" s="1087"/>
      <c r="BC68" s="1087"/>
      <c r="BD68" s="1087"/>
      <c r="BE68" s="1087"/>
      <c r="BF68" s="405"/>
      <c r="BG68" s="406"/>
      <c r="BH68" s="301"/>
      <c r="BI68" s="405"/>
      <c r="BJ68" s="1218"/>
      <c r="BK68" s="1219"/>
      <c r="BL68" s="1219"/>
      <c r="BM68" s="1219"/>
      <c r="BN68" s="1219"/>
      <c r="BO68" s="1219"/>
      <c r="BP68" s="1219"/>
      <c r="BQ68" s="1219"/>
      <c r="BR68" s="1219"/>
      <c r="BS68" s="1219"/>
      <c r="BT68" s="1219"/>
      <c r="BU68" s="1219"/>
      <c r="BV68" s="1219"/>
      <c r="BW68" s="1219"/>
      <c r="BX68" s="1219"/>
      <c r="BY68" s="1219"/>
      <c r="BZ68" s="1219"/>
      <c r="CA68" s="1219"/>
      <c r="CB68" s="1219"/>
      <c r="CC68" s="1219"/>
      <c r="CD68" s="1219"/>
      <c r="CE68" s="1219"/>
      <c r="CF68" s="1219"/>
      <c r="CG68" s="1219"/>
      <c r="CH68" s="1219"/>
      <c r="CI68" s="1219"/>
      <c r="CJ68" s="1219"/>
      <c r="CK68" s="1219"/>
      <c r="CL68" s="1219"/>
      <c r="CM68" s="1219"/>
      <c r="CN68" s="1219"/>
      <c r="CO68" s="1219"/>
      <c r="CP68" s="1219"/>
      <c r="CQ68" s="1219"/>
      <c r="CR68" s="1219"/>
      <c r="CS68" s="1219"/>
      <c r="CT68" s="87"/>
      <c r="CU68" s="109"/>
      <c r="CV68" s="420"/>
      <c r="CW68" s="420"/>
      <c r="CX68" s="420"/>
      <c r="CY68" s="420"/>
      <c r="CZ68" s="420"/>
      <c r="DA68" s="420"/>
      <c r="DB68" s="420"/>
      <c r="DC68" s="420"/>
      <c r="DD68" s="109"/>
      <c r="DE68" s="87"/>
      <c r="DF68" s="87"/>
      <c r="DG68" s="87"/>
      <c r="DH68" s="87"/>
      <c r="DI68" s="87"/>
      <c r="DJ68" s="109"/>
      <c r="DK68" s="109"/>
      <c r="DL68" s="109"/>
      <c r="DM68" s="109"/>
      <c r="DN68" s="109"/>
      <c r="DO68" s="109"/>
      <c r="DP68" s="109"/>
      <c r="DQ68" s="109"/>
      <c r="DR68" s="109"/>
      <c r="DS68" s="87"/>
      <c r="DT68" s="87"/>
      <c r="DU68" s="87"/>
      <c r="DV68" s="109"/>
      <c r="DW68" s="109"/>
      <c r="DX68" s="109"/>
      <c r="DY68" s="109"/>
      <c r="DZ68" s="109"/>
      <c r="EA68" s="109"/>
      <c r="EB68" s="109"/>
      <c r="EC68" s="109"/>
      <c r="ED68" s="109"/>
      <c r="EE68" s="87"/>
      <c r="EF68" s="87"/>
      <c r="EG68" s="87"/>
      <c r="EH68" s="109"/>
      <c r="EI68" s="282"/>
      <c r="EJ68" s="282"/>
      <c r="EK68" s="282"/>
      <c r="EL68" s="282"/>
      <c r="EM68" s="282"/>
      <c r="EN68" s="282"/>
      <c r="EO68" s="282"/>
      <c r="EP68" s="282"/>
      <c r="EQ68" s="87"/>
      <c r="ER68" s="87"/>
      <c r="ES68" s="87"/>
      <c r="ET68" s="282"/>
      <c r="EU68" s="282"/>
      <c r="EV68" s="282"/>
      <c r="EW68" s="282"/>
      <c r="EX68" s="282"/>
      <c r="EY68" s="282"/>
      <c r="EZ68" s="282"/>
      <c r="FA68" s="282"/>
      <c r="FB68" s="109"/>
      <c r="FC68" s="87"/>
      <c r="FD68" s="87"/>
      <c r="FE68" s="87"/>
      <c r="FF68" s="282"/>
      <c r="FG68" s="282"/>
      <c r="FH68" s="282"/>
      <c r="FI68" s="282"/>
      <c r="FJ68" s="282"/>
      <c r="FK68" s="282"/>
      <c r="FL68" s="282"/>
      <c r="FM68" s="282"/>
      <c r="FN68" s="109"/>
      <c r="FO68" s="87"/>
      <c r="FP68" s="988"/>
      <c r="FQ68" s="988"/>
      <c r="FR68" s="988"/>
      <c r="FS68" s="988"/>
      <c r="FT68" s="988"/>
      <c r="FU68" s="988"/>
      <c r="FV68" s="988"/>
      <c r="FW68" s="988"/>
      <c r="FX68" s="988"/>
      <c r="FY68" s="87"/>
      <c r="FZ68" s="87"/>
      <c r="GA68" s="87"/>
      <c r="GF68" s="714"/>
      <c r="GH68" s="1133"/>
    </row>
    <row r="69" spans="1:190" ht="9" customHeight="1" thickBot="1">
      <c r="A69" s="301"/>
      <c r="B69" s="313"/>
      <c r="C69" s="2113" t="str">
        <f>IF(Race="","",IF(NOT(ISERROR(GD69)),MID(EquipmentNameList,GD65+1,GD69-GD65-1),""))</f>
        <v/>
      </c>
      <c r="D69" s="2113"/>
      <c r="E69" s="2113"/>
      <c r="F69" s="2113"/>
      <c r="G69" s="2113"/>
      <c r="H69" s="2113"/>
      <c r="I69" s="2113"/>
      <c r="J69" s="2113"/>
      <c r="K69" s="2113"/>
      <c r="L69" s="2113"/>
      <c r="M69" s="2113"/>
      <c r="N69" s="2113"/>
      <c r="O69" s="2113"/>
      <c r="P69" s="2113"/>
      <c r="Q69" s="2113"/>
      <c r="R69" s="2113"/>
      <c r="S69" s="2113"/>
      <c r="T69" s="2113"/>
      <c r="U69" s="2113"/>
      <c r="V69" s="2113"/>
      <c r="W69" s="2113"/>
      <c r="X69" s="2113"/>
      <c r="Y69" s="2113"/>
      <c r="Z69" s="2113"/>
      <c r="AA69" s="2113"/>
      <c r="AB69" s="2113"/>
      <c r="AC69" s="2113"/>
      <c r="AD69" s="2113"/>
      <c r="AE69" s="2113"/>
      <c r="AF69" s="2113"/>
      <c r="AG69" s="2113"/>
      <c r="AH69" s="2113"/>
      <c r="AI69" s="2113"/>
      <c r="AJ69" s="2113"/>
      <c r="AK69" s="2113"/>
      <c r="AL69" s="2113"/>
      <c r="AM69" s="2113"/>
      <c r="AN69" s="2113"/>
      <c r="AO69" s="2113"/>
      <c r="AP69" s="2113"/>
      <c r="AQ69" s="2113"/>
      <c r="AR69" s="2113"/>
      <c r="AS69" s="2113"/>
      <c r="AT69" s="2113"/>
      <c r="AU69" s="2113"/>
      <c r="AV69" s="2113"/>
      <c r="AW69" s="2115" t="str">
        <f>IF(Race="","",IF(NOT(ISERROR(GE69)),VALUE(MID(EquipmentWeightList,GE65+1,GE69-GE65-1)),""))</f>
        <v/>
      </c>
      <c r="AX69" s="2115"/>
      <c r="AY69" s="2115"/>
      <c r="AZ69" s="2115"/>
      <c r="BA69" s="2115"/>
      <c r="BB69" s="2115"/>
      <c r="BC69" s="2115"/>
      <c r="BD69" s="2115"/>
      <c r="BE69" s="2115"/>
      <c r="BF69" s="405"/>
      <c r="BG69" s="406"/>
      <c r="BH69" s="301"/>
      <c r="BI69" s="405"/>
      <c r="BJ69" s="2133" t="str">
        <f>Skills!C20</f>
        <v>Knowledge (Life Sciences)</v>
      </c>
      <c r="BK69" s="2134"/>
      <c r="BL69" s="2134"/>
      <c r="BM69" s="2134"/>
      <c r="BN69" s="2134"/>
      <c r="BO69" s="2134"/>
      <c r="BP69" s="2134"/>
      <c r="BQ69" s="2134"/>
      <c r="BR69" s="2134"/>
      <c r="BS69" s="2134"/>
      <c r="BT69" s="2134"/>
      <c r="BU69" s="2134"/>
      <c r="BV69" s="2134"/>
      <c r="BW69" s="2134"/>
      <c r="BX69" s="2134"/>
      <c r="BY69" s="2134"/>
      <c r="BZ69" s="2134"/>
      <c r="CA69" s="2134"/>
      <c r="CB69" s="2134"/>
      <c r="CC69" s="2134"/>
      <c r="CD69" s="2134"/>
      <c r="CE69" s="2134"/>
      <c r="CF69" s="2134"/>
      <c r="CG69" s="2134"/>
      <c r="CH69" s="2134"/>
      <c r="CI69" s="2134"/>
      <c r="CJ69" s="2134"/>
      <c r="CK69" s="2134"/>
      <c r="CL69" s="2134"/>
      <c r="CM69" s="2134"/>
      <c r="CN69" s="2134"/>
      <c r="CO69" s="2134"/>
      <c r="CP69" s="2134"/>
      <c r="CQ69" s="2134"/>
      <c r="CR69" s="2134"/>
      <c r="CS69" s="2134"/>
      <c r="CT69" s="87"/>
      <c r="CU69" s="158" t="e">
        <f>HeroicLvl+ArmourFort</f>
        <v>#NAME?</v>
      </c>
      <c r="CV69" s="411"/>
      <c r="CW69" s="411"/>
      <c r="CX69" s="411"/>
      <c r="CY69" s="411"/>
      <c r="CZ69" s="411"/>
      <c r="DA69" s="411"/>
      <c r="DB69" s="411"/>
      <c r="DC69" s="411"/>
      <c r="DD69" s="160"/>
      <c r="DE69" s="87"/>
      <c r="DF69" s="87"/>
      <c r="DG69" s="87"/>
      <c r="DH69" s="87"/>
      <c r="DI69" s="87"/>
      <c r="DJ69" s="158" t="e">
        <f>HeroicLvl+ArmourFort</f>
        <v>#NAME?</v>
      </c>
      <c r="DK69" s="159"/>
      <c r="DL69" s="159"/>
      <c r="DM69" s="159"/>
      <c r="DN69" s="159"/>
      <c r="DO69" s="159"/>
      <c r="DP69" s="159"/>
      <c r="DQ69" s="159"/>
      <c r="DR69" s="160"/>
      <c r="DS69" s="87"/>
      <c r="DT69" s="87"/>
      <c r="DU69" s="87"/>
      <c r="DV69" s="158"/>
      <c r="DW69" s="159"/>
      <c r="DX69" s="159"/>
      <c r="DY69" s="159"/>
      <c r="DZ69" s="159"/>
      <c r="EA69" s="159"/>
      <c r="EB69" s="159"/>
      <c r="EC69" s="159"/>
      <c r="ED69" s="160"/>
      <c r="EE69" s="87"/>
      <c r="EF69" s="87"/>
      <c r="EG69" s="87"/>
      <c r="EH69" s="158"/>
      <c r="EI69" s="184"/>
      <c r="EJ69" s="184"/>
      <c r="EK69" s="184"/>
      <c r="EL69" s="184"/>
      <c r="EM69" s="184"/>
      <c r="EN69" s="184"/>
      <c r="EO69" s="184"/>
      <c r="EP69" s="160"/>
      <c r="EQ69" s="87"/>
      <c r="ER69" s="87"/>
      <c r="ES69" s="87"/>
      <c r="ET69" s="158"/>
      <c r="EU69" s="1649"/>
      <c r="EV69" s="1649"/>
      <c r="EW69" s="1649"/>
      <c r="EX69" s="1649"/>
      <c r="EY69" s="1649"/>
      <c r="EZ69" s="1649"/>
      <c r="FA69" s="1649"/>
      <c r="FB69" s="160"/>
      <c r="FC69" s="87"/>
      <c r="FD69" s="87"/>
      <c r="FE69" s="87"/>
      <c r="FF69" s="158"/>
      <c r="FG69" s="159"/>
      <c r="FH69" s="159"/>
      <c r="FI69" s="159"/>
      <c r="FJ69" s="159"/>
      <c r="FK69" s="159"/>
      <c r="FL69" s="159"/>
      <c r="FM69" s="159"/>
      <c r="FN69" s="160"/>
      <c r="FO69" s="87"/>
      <c r="FP69" s="988"/>
      <c r="FQ69" s="988"/>
      <c r="FR69" s="988"/>
      <c r="FS69" s="988"/>
      <c r="FT69" s="988"/>
      <c r="FU69" s="988"/>
      <c r="FV69" s="988"/>
      <c r="FW69" s="988"/>
      <c r="FX69" s="988"/>
      <c r="FY69" s="87"/>
      <c r="FZ69" s="87"/>
      <c r="GA69" s="87"/>
      <c r="GC69" s="1853">
        <f>GC65+1</f>
        <v>15</v>
      </c>
      <c r="GD69" s="1853" t="e">
        <f>FIND(";",EquipmentNameList,GD65+1)</f>
        <v>#VALUE!</v>
      </c>
      <c r="GE69" s="1853" t="e">
        <f>FIND(";",EquipmentWeightList,GE65+1)</f>
        <v>#VALUE!</v>
      </c>
      <c r="GF69" s="1853" t="e">
        <f>FIND(";",EquipmentNumberList,GF65+1)</f>
        <v>#VALUE!</v>
      </c>
      <c r="GH69" s="1133"/>
    </row>
    <row r="70" spans="1:190" ht="9" customHeight="1">
      <c r="A70" s="301"/>
      <c r="B70" s="313"/>
      <c r="C70" s="2113"/>
      <c r="D70" s="2113"/>
      <c r="E70" s="2113"/>
      <c r="F70" s="2113"/>
      <c r="G70" s="2113"/>
      <c r="H70" s="2113"/>
      <c r="I70" s="2113"/>
      <c r="J70" s="2113"/>
      <c r="K70" s="2113"/>
      <c r="L70" s="2113"/>
      <c r="M70" s="2113"/>
      <c r="N70" s="2113"/>
      <c r="O70" s="2113"/>
      <c r="P70" s="2113"/>
      <c r="Q70" s="2113"/>
      <c r="R70" s="2113"/>
      <c r="S70" s="2113"/>
      <c r="T70" s="2113"/>
      <c r="U70" s="2113"/>
      <c r="V70" s="2113"/>
      <c r="W70" s="2113"/>
      <c r="X70" s="2113"/>
      <c r="Y70" s="2113"/>
      <c r="Z70" s="2113"/>
      <c r="AA70" s="2113"/>
      <c r="AB70" s="2113"/>
      <c r="AC70" s="2113"/>
      <c r="AD70" s="2113"/>
      <c r="AE70" s="2113"/>
      <c r="AF70" s="2113"/>
      <c r="AG70" s="2113"/>
      <c r="AH70" s="2113"/>
      <c r="AI70" s="2113"/>
      <c r="AJ70" s="2113"/>
      <c r="AK70" s="2113"/>
      <c r="AL70" s="2113"/>
      <c r="AM70" s="2113"/>
      <c r="AN70" s="2113"/>
      <c r="AO70" s="2113"/>
      <c r="AP70" s="2113"/>
      <c r="AQ70" s="2113"/>
      <c r="AR70" s="2113"/>
      <c r="AS70" s="2113"/>
      <c r="AT70" s="2113"/>
      <c r="AU70" s="2113"/>
      <c r="AV70" s="2113"/>
      <c r="AW70" s="2115"/>
      <c r="AX70" s="2115"/>
      <c r="AY70" s="2115"/>
      <c r="AZ70" s="2115"/>
      <c r="BA70" s="2115"/>
      <c r="BB70" s="2115"/>
      <c r="BC70" s="2115"/>
      <c r="BD70" s="2115"/>
      <c r="BE70" s="2115"/>
      <c r="BF70" s="405"/>
      <c r="BG70" s="406"/>
      <c r="BH70" s="301"/>
      <c r="BI70" s="405"/>
      <c r="BJ70" s="2133"/>
      <c r="BK70" s="2134"/>
      <c r="BL70" s="2134"/>
      <c r="BM70" s="2134"/>
      <c r="BN70" s="2134"/>
      <c r="BO70" s="2134"/>
      <c r="BP70" s="2134"/>
      <c r="BQ70" s="2134"/>
      <c r="BR70" s="2134"/>
      <c r="BS70" s="2134"/>
      <c r="BT70" s="2134"/>
      <c r="BU70" s="2134"/>
      <c r="BV70" s="2134"/>
      <c r="BW70" s="2134"/>
      <c r="BX70" s="2134"/>
      <c r="BY70" s="2134"/>
      <c r="BZ70" s="2134"/>
      <c r="CA70" s="2134"/>
      <c r="CB70" s="2134"/>
      <c r="CC70" s="2134"/>
      <c r="CD70" s="2134"/>
      <c r="CE70" s="2134"/>
      <c r="CF70" s="2134"/>
      <c r="CG70" s="2134"/>
      <c r="CH70" s="2134"/>
      <c r="CI70" s="2134"/>
      <c r="CJ70" s="2134"/>
      <c r="CK70" s="2134"/>
      <c r="CL70" s="2134"/>
      <c r="CM70" s="2134"/>
      <c r="CN70" s="2134"/>
      <c r="CO70" s="2134"/>
      <c r="CP70" s="2134"/>
      <c r="CQ70" s="2134"/>
      <c r="CR70" s="2134"/>
      <c r="CS70" s="2134"/>
      <c r="CT70" s="87"/>
      <c r="CU70" s="166"/>
      <c r="CV70" s="2107">
        <f ca="1">KnowledgeLifeSciences</f>
        <v>0</v>
      </c>
      <c r="CW70" s="2107"/>
      <c r="CX70" s="2107"/>
      <c r="CY70" s="2107"/>
      <c r="CZ70" s="2107"/>
      <c r="DA70" s="2107"/>
      <c r="DB70" s="2107"/>
      <c r="DC70" s="2107"/>
      <c r="DD70" s="167"/>
      <c r="DE70" s="87"/>
      <c r="DF70" s="117"/>
      <c r="DG70" s="117"/>
      <c r="DH70" s="117"/>
      <c r="DI70" s="87"/>
      <c r="DJ70" s="166"/>
      <c r="DK70" s="1991">
        <f>ROUNDDOWN(CharacterLevel/2,0)</f>
        <v>0</v>
      </c>
      <c r="DL70" s="1991"/>
      <c r="DM70" s="1991"/>
      <c r="DN70" s="1991"/>
      <c r="DO70" s="1991"/>
      <c r="DP70" s="1991"/>
      <c r="DQ70" s="1991"/>
      <c r="DR70" s="167"/>
      <c r="DS70" s="87"/>
      <c r="DT70" s="87"/>
      <c r="DU70" s="87"/>
      <c r="DV70" s="166"/>
      <c r="DW70" s="1991" t="str">
        <f>IntMod</f>
        <v/>
      </c>
      <c r="DX70" s="1991"/>
      <c r="DY70" s="1991"/>
      <c r="DZ70" s="1991"/>
      <c r="EA70" s="1991"/>
      <c r="EB70" s="1991"/>
      <c r="EC70" s="1991"/>
      <c r="ED70" s="167"/>
      <c r="EE70" s="87"/>
      <c r="EF70" s="87"/>
      <c r="EG70" s="87"/>
      <c r="EH70" s="166"/>
      <c r="EI70" s="1991" t="str">
        <f>IF(CharacterLevel&gt;0,IF(OR(INDEX(SkillTable,MATCH(BJ69,SkillList,0),4)="Yes",INDEX(SkillTable,MATCH(BJ69,SkillList,0),5)="Yes"),5,0),"")</f>
        <v/>
      </c>
      <c r="EJ70" s="1991"/>
      <c r="EK70" s="1991"/>
      <c r="EL70" s="1991"/>
      <c r="EM70" s="1991"/>
      <c r="EN70" s="1991"/>
      <c r="EO70" s="1991"/>
      <c r="EP70" s="264"/>
      <c r="EQ70" s="265"/>
      <c r="ER70" s="265"/>
      <c r="ES70" s="265"/>
      <c r="ET70" s="266"/>
      <c r="EU70" s="1991" t="b">
        <f>IF(CharacterLevel&gt;0,IF(Skills!R20="Yes",5,0))</f>
        <v>0</v>
      </c>
      <c r="EV70" s="1991"/>
      <c r="EW70" s="1991"/>
      <c r="EX70" s="1991"/>
      <c r="EY70" s="1991"/>
      <c r="EZ70" s="1991"/>
      <c r="FA70" s="1991"/>
      <c r="FB70" s="167"/>
      <c r="FC70" s="265"/>
      <c r="FD70" s="265"/>
      <c r="FE70" s="265"/>
      <c r="FF70" s="266"/>
      <c r="FG70" s="1991">
        <f>ArmorPenalty+INDEX(SkillTable,MATCH(BJ69,SkillList,0),12)</f>
        <v>0</v>
      </c>
      <c r="FH70" s="1991"/>
      <c r="FI70" s="1991"/>
      <c r="FJ70" s="1991"/>
      <c r="FK70" s="1991"/>
      <c r="FL70" s="1991"/>
      <c r="FM70" s="1991"/>
      <c r="FN70" s="167"/>
      <c r="FO70" s="87"/>
      <c r="FP70" s="2124" t="str">
        <f>IF(INDEX(SkillTable,MATCH(BJ69,SkillList,0),77)&lt;&gt;"","×","")</f>
        <v/>
      </c>
      <c r="FQ70" s="2125"/>
      <c r="FR70" s="2125"/>
      <c r="FS70" s="2126"/>
      <c r="FT70" s="988"/>
      <c r="FU70" s="2124" t="str">
        <f>IF(INDEX(SkillTable,MATCH(BJ69,SkillList,0),78)&lt;&gt;"","×","")</f>
        <v/>
      </c>
      <c r="FV70" s="2125"/>
      <c r="FW70" s="2125"/>
      <c r="FX70" s="2126"/>
      <c r="FY70" s="87"/>
      <c r="FZ70" s="87"/>
      <c r="GA70" s="87"/>
      <c r="GC70" s="1853"/>
      <c r="GD70" s="1853"/>
      <c r="GE70" s="1853"/>
      <c r="GF70" s="1853"/>
      <c r="GH70" s="1135" t="e">
        <f ca="1">IF(INDEX(SkillTable,MATCH(BJ69,SkillList,0),14),1,0)</f>
        <v>#VALUE!</v>
      </c>
    </row>
    <row r="71" spans="1:190" ht="9" customHeight="1" thickBot="1">
      <c r="A71" s="301"/>
      <c r="B71" s="313"/>
      <c r="C71" s="2114"/>
      <c r="D71" s="2114"/>
      <c r="E71" s="2114"/>
      <c r="F71" s="2114"/>
      <c r="G71" s="2114"/>
      <c r="H71" s="2114"/>
      <c r="I71" s="2114"/>
      <c r="J71" s="2114"/>
      <c r="K71" s="2114"/>
      <c r="L71" s="2114"/>
      <c r="M71" s="2114"/>
      <c r="N71" s="2114"/>
      <c r="O71" s="2114"/>
      <c r="P71" s="2114"/>
      <c r="Q71" s="2114"/>
      <c r="R71" s="2114"/>
      <c r="S71" s="2114"/>
      <c r="T71" s="2114"/>
      <c r="U71" s="2114"/>
      <c r="V71" s="2114"/>
      <c r="W71" s="2114"/>
      <c r="X71" s="2114"/>
      <c r="Y71" s="2114"/>
      <c r="Z71" s="2114"/>
      <c r="AA71" s="2114"/>
      <c r="AB71" s="2114"/>
      <c r="AC71" s="2114"/>
      <c r="AD71" s="2114"/>
      <c r="AE71" s="2114"/>
      <c r="AF71" s="2114"/>
      <c r="AG71" s="2114"/>
      <c r="AH71" s="2114"/>
      <c r="AI71" s="2114"/>
      <c r="AJ71" s="2114"/>
      <c r="AK71" s="2114"/>
      <c r="AL71" s="2114"/>
      <c r="AM71" s="2114"/>
      <c r="AN71" s="2114"/>
      <c r="AO71" s="2114"/>
      <c r="AP71" s="2114"/>
      <c r="AQ71" s="2114"/>
      <c r="AR71" s="2114"/>
      <c r="AS71" s="2114"/>
      <c r="AT71" s="2114"/>
      <c r="AU71" s="2114"/>
      <c r="AV71" s="2114"/>
      <c r="AW71" s="2116"/>
      <c r="AX71" s="2116"/>
      <c r="AY71" s="2116"/>
      <c r="AZ71" s="2116"/>
      <c r="BA71" s="2116"/>
      <c r="BB71" s="2116"/>
      <c r="BC71" s="2116"/>
      <c r="BD71" s="2116"/>
      <c r="BE71" s="2116"/>
      <c r="BF71" s="405"/>
      <c r="BG71" s="406"/>
      <c r="BH71" s="301"/>
      <c r="BI71" s="405"/>
      <c r="BJ71" s="2133"/>
      <c r="BK71" s="2134"/>
      <c r="BL71" s="2134"/>
      <c r="BM71" s="2134"/>
      <c r="BN71" s="2134"/>
      <c r="BO71" s="2134"/>
      <c r="BP71" s="2134"/>
      <c r="BQ71" s="2134"/>
      <c r="BR71" s="2134"/>
      <c r="BS71" s="2134"/>
      <c r="BT71" s="2134"/>
      <c r="BU71" s="2134"/>
      <c r="BV71" s="2134"/>
      <c r="BW71" s="2134"/>
      <c r="BX71" s="2134"/>
      <c r="BY71" s="2134"/>
      <c r="BZ71" s="2134"/>
      <c r="CA71" s="2134"/>
      <c r="CB71" s="2134"/>
      <c r="CC71" s="2134"/>
      <c r="CD71" s="2134"/>
      <c r="CE71" s="2134"/>
      <c r="CF71" s="2134"/>
      <c r="CG71" s="2134"/>
      <c r="CH71" s="2134"/>
      <c r="CI71" s="2134"/>
      <c r="CJ71" s="2134"/>
      <c r="CK71" s="2134"/>
      <c r="CL71" s="2134"/>
      <c r="CM71" s="2134"/>
      <c r="CN71" s="2134"/>
      <c r="CO71" s="2134"/>
      <c r="CP71" s="2134"/>
      <c r="CQ71" s="2134"/>
      <c r="CR71" s="2134"/>
      <c r="CS71" s="2134"/>
      <c r="CT71" s="87"/>
      <c r="CU71" s="166"/>
      <c r="CV71" s="2107"/>
      <c r="CW71" s="2107"/>
      <c r="CX71" s="2107"/>
      <c r="CY71" s="2107"/>
      <c r="CZ71" s="2107"/>
      <c r="DA71" s="2107"/>
      <c r="DB71" s="2107"/>
      <c r="DC71" s="2107"/>
      <c r="DD71" s="167"/>
      <c r="DE71" s="87"/>
      <c r="DF71" s="87"/>
      <c r="DG71" s="87"/>
      <c r="DH71" s="87"/>
      <c r="DI71" s="87"/>
      <c r="DJ71" s="166"/>
      <c r="DK71" s="1991"/>
      <c r="DL71" s="1991"/>
      <c r="DM71" s="1991"/>
      <c r="DN71" s="1991"/>
      <c r="DO71" s="1991"/>
      <c r="DP71" s="1991"/>
      <c r="DQ71" s="1991"/>
      <c r="DR71" s="167"/>
      <c r="DS71" s="117"/>
      <c r="DT71" s="117"/>
      <c r="DU71" s="117"/>
      <c r="DV71" s="166"/>
      <c r="DW71" s="1991"/>
      <c r="DX71" s="1991"/>
      <c r="DY71" s="1991"/>
      <c r="DZ71" s="1991"/>
      <c r="EA71" s="1991"/>
      <c r="EB71" s="1991"/>
      <c r="EC71" s="1991"/>
      <c r="ED71" s="167"/>
      <c r="EE71" s="117"/>
      <c r="EF71" s="117"/>
      <c r="EG71" s="117"/>
      <c r="EH71" s="166"/>
      <c r="EI71" s="1991"/>
      <c r="EJ71" s="1991"/>
      <c r="EK71" s="1991"/>
      <c r="EL71" s="1991"/>
      <c r="EM71" s="1991"/>
      <c r="EN71" s="1991"/>
      <c r="EO71" s="1991"/>
      <c r="EP71" s="264"/>
      <c r="EQ71" s="117"/>
      <c r="ER71" s="117"/>
      <c r="ES71" s="117"/>
      <c r="ET71" s="266"/>
      <c r="EU71" s="1991"/>
      <c r="EV71" s="1991"/>
      <c r="EW71" s="1991"/>
      <c r="EX71" s="1991"/>
      <c r="EY71" s="1991"/>
      <c r="EZ71" s="1991"/>
      <c r="FA71" s="1991"/>
      <c r="FB71" s="167"/>
      <c r="FC71" s="117"/>
      <c r="FD71" s="117"/>
      <c r="FE71" s="117"/>
      <c r="FF71" s="266"/>
      <c r="FG71" s="1991"/>
      <c r="FH71" s="1991"/>
      <c r="FI71" s="1991"/>
      <c r="FJ71" s="1991"/>
      <c r="FK71" s="1991"/>
      <c r="FL71" s="1991"/>
      <c r="FM71" s="1991"/>
      <c r="FN71" s="167"/>
      <c r="FO71" s="117"/>
      <c r="FP71" s="2127"/>
      <c r="FQ71" s="2081"/>
      <c r="FR71" s="2081"/>
      <c r="FS71" s="2128"/>
      <c r="FT71" s="989"/>
      <c r="FU71" s="2127"/>
      <c r="FV71" s="2081"/>
      <c r="FW71" s="2081"/>
      <c r="FX71" s="2128"/>
      <c r="FY71" s="87"/>
      <c r="FZ71" s="87"/>
      <c r="GA71" s="87"/>
      <c r="GC71" s="1853"/>
      <c r="GD71" s="1853"/>
      <c r="GE71" s="1853"/>
      <c r="GF71" s="1853"/>
      <c r="GH71" s="1133"/>
    </row>
    <row r="72" spans="1:190" ht="9" customHeight="1" thickBot="1">
      <c r="A72" s="301"/>
      <c r="B72" s="313"/>
      <c r="C72" s="301"/>
      <c r="D72" s="301"/>
      <c r="E72" s="643"/>
      <c r="F72" s="643"/>
      <c r="G72" s="643"/>
      <c r="H72" s="643"/>
      <c r="I72" s="643"/>
      <c r="J72" s="643"/>
      <c r="K72" s="301"/>
      <c r="L72" s="301"/>
      <c r="M72" s="301"/>
      <c r="N72" s="301"/>
      <c r="O72" s="301"/>
      <c r="P72" s="301"/>
      <c r="Q72" s="301"/>
      <c r="R72" s="301"/>
      <c r="S72" s="301"/>
      <c r="T72" s="301"/>
      <c r="U72" s="301"/>
      <c r="V72" s="301"/>
      <c r="W72" s="301"/>
      <c r="X72" s="301"/>
      <c r="Y72" s="301"/>
      <c r="Z72" s="301"/>
      <c r="AA72" s="301"/>
      <c r="AB72" s="301"/>
      <c r="AC72" s="301"/>
      <c r="AD72" s="301"/>
      <c r="AE72" s="301"/>
      <c r="AF72" s="301"/>
      <c r="AG72" s="301"/>
      <c r="AH72" s="301"/>
      <c r="AI72" s="301"/>
      <c r="AJ72" s="301"/>
      <c r="AK72" s="301"/>
      <c r="AL72" s="301"/>
      <c r="AM72" s="301"/>
      <c r="AN72" s="301"/>
      <c r="AO72" s="301"/>
      <c r="AP72" s="301"/>
      <c r="AQ72" s="301"/>
      <c r="AR72" s="301"/>
      <c r="AS72" s="301"/>
      <c r="AT72" s="301"/>
      <c r="AU72" s="301"/>
      <c r="AV72" s="301"/>
      <c r="AW72" s="1087"/>
      <c r="AX72" s="1087"/>
      <c r="AY72" s="1087"/>
      <c r="AZ72" s="1087"/>
      <c r="BA72" s="1087"/>
      <c r="BB72" s="1087"/>
      <c r="BC72" s="1087"/>
      <c r="BD72" s="1087"/>
      <c r="BE72" s="1087"/>
      <c r="BF72" s="405"/>
      <c r="BG72" s="406"/>
      <c r="BH72" s="301"/>
      <c r="BI72" s="405"/>
      <c r="BJ72" s="2133"/>
      <c r="BK72" s="2134"/>
      <c r="BL72" s="2134"/>
      <c r="BM72" s="2134"/>
      <c r="BN72" s="2134"/>
      <c r="BO72" s="2134"/>
      <c r="BP72" s="2134"/>
      <c r="BQ72" s="2134"/>
      <c r="BR72" s="2134"/>
      <c r="BS72" s="2134"/>
      <c r="BT72" s="2134"/>
      <c r="BU72" s="2134"/>
      <c r="BV72" s="2134"/>
      <c r="BW72" s="2134"/>
      <c r="BX72" s="2134"/>
      <c r="BY72" s="2134"/>
      <c r="BZ72" s="2134"/>
      <c r="CA72" s="2134"/>
      <c r="CB72" s="2134"/>
      <c r="CC72" s="2134"/>
      <c r="CD72" s="2134"/>
      <c r="CE72" s="2134"/>
      <c r="CF72" s="2134"/>
      <c r="CG72" s="2134"/>
      <c r="CH72" s="2134"/>
      <c r="CI72" s="2134"/>
      <c r="CJ72" s="2134"/>
      <c r="CK72" s="2134"/>
      <c r="CL72" s="2134"/>
      <c r="CM72" s="2134"/>
      <c r="CN72" s="2134"/>
      <c r="CO72" s="2134"/>
      <c r="CP72" s="2134"/>
      <c r="CQ72" s="2134"/>
      <c r="CR72" s="2134"/>
      <c r="CS72" s="2134"/>
      <c r="CT72" s="87"/>
      <c r="CU72" s="166"/>
      <c r="CV72" s="2107"/>
      <c r="CW72" s="2107"/>
      <c r="CX72" s="2107"/>
      <c r="CY72" s="2107"/>
      <c r="CZ72" s="2107"/>
      <c r="DA72" s="2107"/>
      <c r="DB72" s="2107"/>
      <c r="DC72" s="2107"/>
      <c r="DD72" s="167"/>
      <c r="DE72" s="87"/>
      <c r="DF72" s="117"/>
      <c r="DG72" s="117"/>
      <c r="DH72" s="117"/>
      <c r="DI72" s="87"/>
      <c r="DJ72" s="166"/>
      <c r="DK72" s="1991"/>
      <c r="DL72" s="1991"/>
      <c r="DM72" s="1991"/>
      <c r="DN72" s="1991"/>
      <c r="DO72" s="1991"/>
      <c r="DP72" s="1991"/>
      <c r="DQ72" s="1991"/>
      <c r="DR72" s="167"/>
      <c r="DS72" s="87"/>
      <c r="DT72" s="87"/>
      <c r="DU72" s="87"/>
      <c r="DV72" s="166"/>
      <c r="DW72" s="1991"/>
      <c r="DX72" s="1991"/>
      <c r="DY72" s="1991"/>
      <c r="DZ72" s="1991"/>
      <c r="EA72" s="1991"/>
      <c r="EB72" s="1991"/>
      <c r="EC72" s="1991"/>
      <c r="ED72" s="167"/>
      <c r="EE72" s="87"/>
      <c r="EF72" s="87"/>
      <c r="EG72" s="87"/>
      <c r="EH72" s="166"/>
      <c r="EI72" s="1991"/>
      <c r="EJ72" s="1991"/>
      <c r="EK72" s="1991"/>
      <c r="EL72" s="1991"/>
      <c r="EM72" s="1991"/>
      <c r="EN72" s="1991"/>
      <c r="EO72" s="1991"/>
      <c r="EP72" s="264"/>
      <c r="EQ72" s="87"/>
      <c r="ER72" s="87"/>
      <c r="ES72" s="87"/>
      <c r="ET72" s="266"/>
      <c r="EU72" s="1991"/>
      <c r="EV72" s="1991"/>
      <c r="EW72" s="1991"/>
      <c r="EX72" s="1991"/>
      <c r="EY72" s="1991"/>
      <c r="EZ72" s="1991"/>
      <c r="FA72" s="1991"/>
      <c r="FB72" s="167"/>
      <c r="FC72" s="87"/>
      <c r="FD72" s="87"/>
      <c r="FE72" s="87"/>
      <c r="FF72" s="266"/>
      <c r="FG72" s="1991"/>
      <c r="FH72" s="1991"/>
      <c r="FI72" s="1991"/>
      <c r="FJ72" s="1991"/>
      <c r="FK72" s="1991"/>
      <c r="FL72" s="1991"/>
      <c r="FM72" s="1991"/>
      <c r="FN72" s="167"/>
      <c r="FO72" s="87"/>
      <c r="FP72" s="2129"/>
      <c r="FQ72" s="2130"/>
      <c r="FR72" s="2130"/>
      <c r="FS72" s="2131"/>
      <c r="FT72" s="988"/>
      <c r="FU72" s="2129"/>
      <c r="FV72" s="2130"/>
      <c r="FW72" s="2130"/>
      <c r="FX72" s="2131"/>
      <c r="FY72" s="87"/>
      <c r="FZ72" s="87"/>
      <c r="GA72" s="87"/>
      <c r="GF72" s="714"/>
      <c r="GH72" s="1133"/>
    </row>
    <row r="73" spans="1:190" ht="9" customHeight="1" thickBot="1">
      <c r="A73" s="301"/>
      <c r="B73" s="313"/>
      <c r="C73" s="2113" t="str">
        <f>IF(Race="","",IF(NOT(ISERROR(GD73)),MID(EquipmentNameList,GD69+1,GD73-GD69-1),""))</f>
        <v/>
      </c>
      <c r="D73" s="2113"/>
      <c r="E73" s="2113"/>
      <c r="F73" s="2113"/>
      <c r="G73" s="2113"/>
      <c r="H73" s="2113"/>
      <c r="I73" s="2113"/>
      <c r="J73" s="2113"/>
      <c r="K73" s="2113"/>
      <c r="L73" s="2113"/>
      <c r="M73" s="2113"/>
      <c r="N73" s="2113"/>
      <c r="O73" s="2113"/>
      <c r="P73" s="2113"/>
      <c r="Q73" s="2113"/>
      <c r="R73" s="2113"/>
      <c r="S73" s="2113"/>
      <c r="T73" s="2113"/>
      <c r="U73" s="2113"/>
      <c r="V73" s="2113"/>
      <c r="W73" s="2113"/>
      <c r="X73" s="2113"/>
      <c r="Y73" s="2113"/>
      <c r="Z73" s="2113"/>
      <c r="AA73" s="2113"/>
      <c r="AB73" s="2113"/>
      <c r="AC73" s="2113"/>
      <c r="AD73" s="2113"/>
      <c r="AE73" s="2113"/>
      <c r="AF73" s="2113"/>
      <c r="AG73" s="2113"/>
      <c r="AH73" s="2113"/>
      <c r="AI73" s="2113"/>
      <c r="AJ73" s="2113"/>
      <c r="AK73" s="2113"/>
      <c r="AL73" s="2113"/>
      <c r="AM73" s="2113"/>
      <c r="AN73" s="2113"/>
      <c r="AO73" s="2113"/>
      <c r="AP73" s="2113"/>
      <c r="AQ73" s="2113"/>
      <c r="AR73" s="2113"/>
      <c r="AS73" s="2113"/>
      <c r="AT73" s="2113"/>
      <c r="AU73" s="2113"/>
      <c r="AV73" s="2113"/>
      <c r="AW73" s="2115" t="str">
        <f>IF(Race="","",IF(NOT(ISERROR(GE73)),VALUE(MID(EquipmentWeightList,GE69+1,GE73-GE69-1)),""))</f>
        <v/>
      </c>
      <c r="AX73" s="2115"/>
      <c r="AY73" s="2115"/>
      <c r="AZ73" s="2115"/>
      <c r="BA73" s="2115"/>
      <c r="BB73" s="2115"/>
      <c r="BC73" s="2115"/>
      <c r="BD73" s="2115"/>
      <c r="BE73" s="2115"/>
      <c r="BF73" s="405"/>
      <c r="BG73" s="406"/>
      <c r="BH73" s="301"/>
      <c r="BI73" s="405"/>
      <c r="BJ73" s="2133"/>
      <c r="BK73" s="2134"/>
      <c r="BL73" s="2134"/>
      <c r="BM73" s="2134"/>
      <c r="BN73" s="2134"/>
      <c r="BO73" s="2134"/>
      <c r="BP73" s="2134"/>
      <c r="BQ73" s="2134"/>
      <c r="BR73" s="2134"/>
      <c r="BS73" s="2134"/>
      <c r="BT73" s="2134"/>
      <c r="BU73" s="2134"/>
      <c r="BV73" s="2134"/>
      <c r="BW73" s="2134"/>
      <c r="BX73" s="2134"/>
      <c r="BY73" s="2134"/>
      <c r="BZ73" s="2134"/>
      <c r="CA73" s="2134"/>
      <c r="CB73" s="2134"/>
      <c r="CC73" s="2134"/>
      <c r="CD73" s="2134"/>
      <c r="CE73" s="2134"/>
      <c r="CF73" s="2134"/>
      <c r="CG73" s="2134"/>
      <c r="CH73" s="2134"/>
      <c r="CI73" s="2134"/>
      <c r="CJ73" s="2134"/>
      <c r="CK73" s="2134"/>
      <c r="CL73" s="2134"/>
      <c r="CM73" s="2134"/>
      <c r="CN73" s="2134"/>
      <c r="CO73" s="2134"/>
      <c r="CP73" s="2134"/>
      <c r="CQ73" s="2134"/>
      <c r="CR73" s="2134"/>
      <c r="CS73" s="2134"/>
      <c r="CT73" s="87"/>
      <c r="CU73" s="160"/>
      <c r="CV73" s="409"/>
      <c r="CW73" s="409"/>
      <c r="CX73" s="409"/>
      <c r="CY73" s="409"/>
      <c r="CZ73" s="409"/>
      <c r="DA73" s="409"/>
      <c r="DB73" s="409"/>
      <c r="DC73" s="409"/>
      <c r="DD73" s="158"/>
      <c r="DE73" s="87"/>
      <c r="DF73" s="87"/>
      <c r="DG73" s="87"/>
      <c r="DH73" s="87"/>
      <c r="DI73" s="87"/>
      <c r="DJ73" s="160"/>
      <c r="DK73" s="240"/>
      <c r="DL73" s="240"/>
      <c r="DM73" s="240"/>
      <c r="DN73" s="240"/>
      <c r="DO73" s="240"/>
      <c r="DP73" s="240"/>
      <c r="DQ73" s="240"/>
      <c r="DR73" s="158"/>
      <c r="DS73" s="87"/>
      <c r="DT73" s="87"/>
      <c r="DU73" s="87"/>
      <c r="DV73" s="160"/>
      <c r="DW73" s="240"/>
      <c r="DX73" s="240"/>
      <c r="DY73" s="240"/>
      <c r="DZ73" s="240"/>
      <c r="EA73" s="240"/>
      <c r="EB73" s="240"/>
      <c r="EC73" s="240"/>
      <c r="ED73" s="158"/>
      <c r="EE73" s="87"/>
      <c r="EF73" s="87"/>
      <c r="EG73" s="87"/>
      <c r="EH73" s="160"/>
      <c r="EI73" s="204"/>
      <c r="EJ73" s="204"/>
      <c r="EK73" s="204"/>
      <c r="EL73" s="204"/>
      <c r="EM73" s="204"/>
      <c r="EN73" s="204"/>
      <c r="EO73" s="204"/>
      <c r="EP73" s="274"/>
      <c r="EQ73" s="87"/>
      <c r="ER73" s="87"/>
      <c r="ES73" s="87"/>
      <c r="ET73" s="203"/>
      <c r="EU73" s="204"/>
      <c r="EV73" s="204"/>
      <c r="EW73" s="204"/>
      <c r="EX73" s="204"/>
      <c r="EY73" s="204"/>
      <c r="EZ73" s="204"/>
      <c r="FA73" s="204"/>
      <c r="FB73" s="158"/>
      <c r="FC73" s="87"/>
      <c r="FD73" s="87"/>
      <c r="FE73" s="87"/>
      <c r="FF73" s="203"/>
      <c r="FG73" s="204"/>
      <c r="FH73" s="204"/>
      <c r="FI73" s="204"/>
      <c r="FJ73" s="204"/>
      <c r="FK73" s="204"/>
      <c r="FL73" s="204"/>
      <c r="FM73" s="204"/>
      <c r="FN73" s="158"/>
      <c r="FO73" s="87"/>
      <c r="FP73" s="988"/>
      <c r="FQ73" s="988"/>
      <c r="FR73" s="988"/>
      <c r="FS73" s="988"/>
      <c r="FT73" s="988"/>
      <c r="FU73" s="988"/>
      <c r="FV73" s="988"/>
      <c r="FW73" s="988"/>
      <c r="FX73" s="988"/>
      <c r="FY73" s="87"/>
      <c r="FZ73" s="87"/>
      <c r="GA73" s="87"/>
      <c r="GC73" s="1853">
        <f>GC69+1</f>
        <v>16</v>
      </c>
      <c r="GD73" s="1853" t="e">
        <f>FIND(";",EquipmentNameList,GD69+1)</f>
        <v>#VALUE!</v>
      </c>
      <c r="GE73" s="1853" t="e">
        <f>FIND(";",EquipmentWeightList,GE69+1)</f>
        <v>#VALUE!</v>
      </c>
      <c r="GF73" s="1853" t="e">
        <f>FIND(";",EquipmentNumberList,GF69+1)</f>
        <v>#VALUE!</v>
      </c>
      <c r="GH73" s="1133"/>
    </row>
    <row r="74" spans="1:190" ht="9" customHeight="1" thickBot="1">
      <c r="A74" s="301"/>
      <c r="B74" s="313"/>
      <c r="C74" s="2113"/>
      <c r="D74" s="2113"/>
      <c r="E74" s="2113"/>
      <c r="F74" s="2113"/>
      <c r="G74" s="2113"/>
      <c r="H74" s="2113"/>
      <c r="I74" s="2113"/>
      <c r="J74" s="2113"/>
      <c r="K74" s="2113"/>
      <c r="L74" s="2113"/>
      <c r="M74" s="2113"/>
      <c r="N74" s="2113"/>
      <c r="O74" s="2113"/>
      <c r="P74" s="2113"/>
      <c r="Q74" s="2113"/>
      <c r="R74" s="2113"/>
      <c r="S74" s="2113"/>
      <c r="T74" s="2113"/>
      <c r="U74" s="2113"/>
      <c r="V74" s="2113"/>
      <c r="W74" s="2113"/>
      <c r="X74" s="2113"/>
      <c r="Y74" s="2113"/>
      <c r="Z74" s="2113"/>
      <c r="AA74" s="2113"/>
      <c r="AB74" s="2113"/>
      <c r="AC74" s="2113"/>
      <c r="AD74" s="2113"/>
      <c r="AE74" s="2113"/>
      <c r="AF74" s="2113"/>
      <c r="AG74" s="2113"/>
      <c r="AH74" s="2113"/>
      <c r="AI74" s="2113"/>
      <c r="AJ74" s="2113"/>
      <c r="AK74" s="2113"/>
      <c r="AL74" s="2113"/>
      <c r="AM74" s="2113"/>
      <c r="AN74" s="2113"/>
      <c r="AO74" s="2113"/>
      <c r="AP74" s="2113"/>
      <c r="AQ74" s="2113"/>
      <c r="AR74" s="2113"/>
      <c r="AS74" s="2113"/>
      <c r="AT74" s="2113"/>
      <c r="AU74" s="2113"/>
      <c r="AV74" s="2113"/>
      <c r="AW74" s="2115"/>
      <c r="AX74" s="2115"/>
      <c r="AY74" s="2115"/>
      <c r="AZ74" s="2115"/>
      <c r="BA74" s="2115"/>
      <c r="BB74" s="2115"/>
      <c r="BC74" s="2115"/>
      <c r="BD74" s="2115"/>
      <c r="BE74" s="2115"/>
      <c r="BF74" s="405"/>
      <c r="BG74" s="406"/>
      <c r="BH74" s="301"/>
      <c r="BI74" s="405"/>
      <c r="BJ74" s="1205"/>
      <c r="BK74" s="1205"/>
      <c r="BL74" s="1205"/>
      <c r="BM74" s="1205"/>
      <c r="BN74" s="1205"/>
      <c r="BO74" s="1205"/>
      <c r="BP74" s="1205"/>
      <c r="BQ74" s="1205"/>
      <c r="BR74" s="1205"/>
      <c r="BS74" s="1205"/>
      <c r="BT74" s="1205"/>
      <c r="BU74" s="1205"/>
      <c r="BV74" s="1205"/>
      <c r="BW74" s="1205"/>
      <c r="BX74" s="1205"/>
      <c r="BY74" s="1205"/>
      <c r="BZ74" s="1205"/>
      <c r="CA74" s="1215"/>
      <c r="CB74" s="1215"/>
      <c r="CC74" s="1215"/>
      <c r="CD74" s="1215"/>
      <c r="CE74" s="1215"/>
      <c r="CF74" s="1215"/>
      <c r="CG74" s="1215"/>
      <c r="CH74" s="1215"/>
      <c r="CI74" s="1215"/>
      <c r="CJ74" s="1215"/>
      <c r="CK74" s="1215"/>
      <c r="CL74" s="1215"/>
      <c r="CM74" s="1205"/>
      <c r="CN74" s="1216"/>
      <c r="CO74" s="1217"/>
      <c r="CP74" s="1217"/>
      <c r="CQ74" s="1217"/>
      <c r="CR74" s="1217"/>
      <c r="CS74" s="1217"/>
      <c r="CT74" s="417"/>
      <c r="CU74" s="417"/>
      <c r="CV74" s="418"/>
      <c r="CW74" s="418"/>
      <c r="CX74" s="416"/>
      <c r="CY74" s="414"/>
      <c r="CZ74" s="414"/>
      <c r="DA74" s="414"/>
      <c r="DB74" s="414"/>
      <c r="DC74" s="414"/>
      <c r="DD74" s="301"/>
      <c r="DE74" s="301"/>
      <c r="DF74" s="301"/>
      <c r="DG74" s="301"/>
      <c r="DH74" s="301"/>
      <c r="DI74" s="301"/>
      <c r="DJ74" s="301"/>
      <c r="DK74" s="301"/>
      <c r="DL74" s="301"/>
      <c r="DM74" s="301"/>
      <c r="DN74" s="301"/>
      <c r="DO74" s="301"/>
      <c r="DP74" s="301"/>
      <c r="DQ74" s="301"/>
      <c r="DR74" s="301"/>
      <c r="DS74" s="301"/>
      <c r="DT74" s="301"/>
      <c r="DU74" s="301"/>
      <c r="DV74" s="301"/>
      <c r="DW74" s="301"/>
      <c r="DX74" s="301"/>
      <c r="DY74" s="301"/>
      <c r="DZ74" s="301"/>
      <c r="EA74" s="301"/>
      <c r="EB74" s="301"/>
      <c r="EC74" s="301"/>
      <c r="ED74" s="301"/>
      <c r="EE74" s="301"/>
      <c r="EF74" s="301"/>
      <c r="EG74" s="301"/>
      <c r="EH74" s="301"/>
      <c r="EI74" s="301"/>
      <c r="EJ74" s="301"/>
      <c r="EK74" s="301"/>
      <c r="EL74" s="301"/>
      <c r="EM74" s="301"/>
      <c r="EN74" s="301"/>
      <c r="EO74" s="301"/>
      <c r="EP74" s="301"/>
      <c r="EQ74" s="301"/>
      <c r="ER74" s="301"/>
      <c r="ES74" s="301"/>
      <c r="ET74" s="301"/>
      <c r="EU74" s="301"/>
      <c r="EV74" s="301"/>
      <c r="EW74" s="301"/>
      <c r="EX74" s="301"/>
      <c r="EY74" s="301"/>
      <c r="EZ74" s="301"/>
      <c r="FA74" s="384"/>
      <c r="FB74" s="384"/>
      <c r="FC74" s="384"/>
      <c r="FD74" s="384"/>
      <c r="FE74" s="384"/>
      <c r="FF74" s="301"/>
      <c r="FG74" s="301"/>
      <c r="FH74" s="301"/>
      <c r="FI74" s="301"/>
      <c r="FJ74" s="301"/>
      <c r="FK74" s="301"/>
      <c r="FL74" s="301"/>
      <c r="FM74" s="301"/>
      <c r="FN74" s="87"/>
      <c r="FO74" s="87"/>
      <c r="FP74" s="988"/>
      <c r="FQ74" s="988"/>
      <c r="FR74" s="988"/>
      <c r="FS74" s="988"/>
      <c r="FT74" s="988"/>
      <c r="FU74" s="988"/>
      <c r="FV74" s="988"/>
      <c r="FW74" s="988"/>
      <c r="FX74" s="988"/>
      <c r="FY74" s="87"/>
      <c r="FZ74" s="87"/>
      <c r="GA74" s="87"/>
      <c r="GC74" s="1853"/>
      <c r="GD74" s="1853"/>
      <c r="GE74" s="1853"/>
      <c r="GF74" s="1853"/>
      <c r="GH74" s="1133"/>
    </row>
    <row r="75" spans="1:190" ht="9" customHeight="1" thickBot="1">
      <c r="A75" s="301"/>
      <c r="B75" s="313"/>
      <c r="C75" s="2114"/>
      <c r="D75" s="2114"/>
      <c r="E75" s="2114"/>
      <c r="F75" s="2114"/>
      <c r="G75" s="2114"/>
      <c r="H75" s="2114"/>
      <c r="I75" s="2114"/>
      <c r="J75" s="2114"/>
      <c r="K75" s="2114"/>
      <c r="L75" s="2114"/>
      <c r="M75" s="2114"/>
      <c r="N75" s="2114"/>
      <c r="O75" s="2114"/>
      <c r="P75" s="2114"/>
      <c r="Q75" s="2114"/>
      <c r="R75" s="2114"/>
      <c r="S75" s="2114"/>
      <c r="T75" s="2114"/>
      <c r="U75" s="2114"/>
      <c r="V75" s="2114"/>
      <c r="W75" s="2114"/>
      <c r="X75" s="2114"/>
      <c r="Y75" s="2114"/>
      <c r="Z75" s="2114"/>
      <c r="AA75" s="2114"/>
      <c r="AB75" s="2114"/>
      <c r="AC75" s="2114"/>
      <c r="AD75" s="2114"/>
      <c r="AE75" s="2114"/>
      <c r="AF75" s="2114"/>
      <c r="AG75" s="2114"/>
      <c r="AH75" s="2114"/>
      <c r="AI75" s="2114"/>
      <c r="AJ75" s="2114"/>
      <c r="AK75" s="2114"/>
      <c r="AL75" s="2114"/>
      <c r="AM75" s="2114"/>
      <c r="AN75" s="2114"/>
      <c r="AO75" s="2114"/>
      <c r="AP75" s="2114"/>
      <c r="AQ75" s="2114"/>
      <c r="AR75" s="2114"/>
      <c r="AS75" s="2114"/>
      <c r="AT75" s="2114"/>
      <c r="AU75" s="2114"/>
      <c r="AV75" s="2114"/>
      <c r="AW75" s="2116"/>
      <c r="AX75" s="2116"/>
      <c r="AY75" s="2116"/>
      <c r="AZ75" s="2116"/>
      <c r="BA75" s="2116"/>
      <c r="BB75" s="2116"/>
      <c r="BC75" s="2116"/>
      <c r="BD75" s="2116"/>
      <c r="BE75" s="2116"/>
      <c r="BF75" s="405"/>
      <c r="BG75" s="406"/>
      <c r="BH75" s="301"/>
      <c r="BI75" s="405"/>
      <c r="BJ75" s="2133" t="str">
        <f>Skills!C21</f>
        <v>Knowledge (Physical Sciences)</v>
      </c>
      <c r="BK75" s="2134"/>
      <c r="BL75" s="2134"/>
      <c r="BM75" s="2134"/>
      <c r="BN75" s="2134"/>
      <c r="BO75" s="2134"/>
      <c r="BP75" s="2134"/>
      <c r="BQ75" s="2134"/>
      <c r="BR75" s="2134"/>
      <c r="BS75" s="2134"/>
      <c r="BT75" s="2134"/>
      <c r="BU75" s="2134"/>
      <c r="BV75" s="2134"/>
      <c r="BW75" s="2134"/>
      <c r="BX75" s="2134"/>
      <c r="BY75" s="2134"/>
      <c r="BZ75" s="2134"/>
      <c r="CA75" s="2134"/>
      <c r="CB75" s="2134"/>
      <c r="CC75" s="2134"/>
      <c r="CD75" s="2134"/>
      <c r="CE75" s="2134"/>
      <c r="CF75" s="2134"/>
      <c r="CG75" s="2134"/>
      <c r="CH75" s="2134"/>
      <c r="CI75" s="2134"/>
      <c r="CJ75" s="2134"/>
      <c r="CK75" s="2134"/>
      <c r="CL75" s="2134"/>
      <c r="CM75" s="2134"/>
      <c r="CN75" s="2134"/>
      <c r="CO75" s="2134"/>
      <c r="CP75" s="2134"/>
      <c r="CQ75" s="2134"/>
      <c r="CR75" s="2134"/>
      <c r="CS75" s="2134"/>
      <c r="CT75" s="87"/>
      <c r="CU75" s="158" t="e">
        <f>HeroicLvl+ArmourFort</f>
        <v>#NAME?</v>
      </c>
      <c r="CV75" s="411"/>
      <c r="CW75" s="411"/>
      <c r="CX75" s="411"/>
      <c r="CY75" s="411"/>
      <c r="CZ75" s="411"/>
      <c r="DA75" s="411"/>
      <c r="DB75" s="411"/>
      <c r="DC75" s="411"/>
      <c r="DD75" s="160"/>
      <c r="DE75" s="87"/>
      <c r="DF75" s="87"/>
      <c r="DG75" s="87"/>
      <c r="DH75" s="87"/>
      <c r="DI75" s="87"/>
      <c r="DJ75" s="158" t="e">
        <f>HeroicLvl+ArmourFort</f>
        <v>#NAME?</v>
      </c>
      <c r="DK75" s="159"/>
      <c r="DL75" s="159"/>
      <c r="DM75" s="159"/>
      <c r="DN75" s="159"/>
      <c r="DO75" s="159"/>
      <c r="DP75" s="159"/>
      <c r="DQ75" s="159"/>
      <c r="DR75" s="160"/>
      <c r="DS75" s="87"/>
      <c r="DT75" s="87"/>
      <c r="DU75" s="87"/>
      <c r="DV75" s="158"/>
      <c r="DW75" s="159"/>
      <c r="DX75" s="159"/>
      <c r="DY75" s="159"/>
      <c r="DZ75" s="159"/>
      <c r="EA75" s="159"/>
      <c r="EB75" s="159"/>
      <c r="EC75" s="159"/>
      <c r="ED75" s="160"/>
      <c r="EE75" s="87"/>
      <c r="EF75" s="87"/>
      <c r="EG75" s="87"/>
      <c r="EH75" s="158"/>
      <c r="EI75" s="184"/>
      <c r="EJ75" s="184"/>
      <c r="EK75" s="184"/>
      <c r="EL75" s="184"/>
      <c r="EM75" s="184"/>
      <c r="EN75" s="184"/>
      <c r="EO75" s="184"/>
      <c r="EP75" s="160"/>
      <c r="EQ75" s="87"/>
      <c r="ER75" s="87"/>
      <c r="ES75" s="87"/>
      <c r="ET75" s="158"/>
      <c r="EU75" s="1649"/>
      <c r="EV75" s="1649"/>
      <c r="EW75" s="1649"/>
      <c r="EX75" s="1649"/>
      <c r="EY75" s="1649"/>
      <c r="EZ75" s="1649"/>
      <c r="FA75" s="1649"/>
      <c r="FB75" s="160"/>
      <c r="FC75" s="87"/>
      <c r="FD75" s="87"/>
      <c r="FE75" s="87"/>
      <c r="FF75" s="158"/>
      <c r="FG75" s="159"/>
      <c r="FH75" s="159"/>
      <c r="FI75" s="159"/>
      <c r="FJ75" s="159"/>
      <c r="FK75" s="159"/>
      <c r="FL75" s="159"/>
      <c r="FM75" s="159"/>
      <c r="FN75" s="160"/>
      <c r="FO75" s="87"/>
      <c r="FP75" s="988"/>
      <c r="FQ75" s="988"/>
      <c r="FR75" s="988"/>
      <c r="FS75" s="988"/>
      <c r="FT75" s="988"/>
      <c r="FU75" s="988"/>
      <c r="FV75" s="988"/>
      <c r="FW75" s="988"/>
      <c r="FX75" s="988"/>
      <c r="FY75" s="87"/>
      <c r="FZ75" s="87"/>
      <c r="GA75" s="87"/>
      <c r="GC75" s="1853"/>
      <c r="GD75" s="1853"/>
      <c r="GE75" s="1853"/>
      <c r="GF75" s="1853"/>
      <c r="GH75" s="1133"/>
    </row>
    <row r="76" spans="1:190" ht="9" customHeight="1">
      <c r="A76" s="301"/>
      <c r="B76" s="313"/>
      <c r="C76" s="301"/>
      <c r="D76" s="301"/>
      <c r="E76" s="643"/>
      <c r="F76" s="643"/>
      <c r="G76" s="643"/>
      <c r="H76" s="643"/>
      <c r="I76" s="643"/>
      <c r="J76" s="643"/>
      <c r="K76" s="301"/>
      <c r="L76" s="301"/>
      <c r="M76" s="301"/>
      <c r="N76" s="301"/>
      <c r="O76" s="301"/>
      <c r="P76" s="301"/>
      <c r="Q76" s="301"/>
      <c r="R76" s="301"/>
      <c r="S76" s="301"/>
      <c r="T76" s="301"/>
      <c r="U76" s="301"/>
      <c r="V76" s="301"/>
      <c r="W76" s="301"/>
      <c r="X76" s="301"/>
      <c r="Y76" s="301"/>
      <c r="Z76" s="301"/>
      <c r="AA76" s="301"/>
      <c r="AB76" s="301"/>
      <c r="AC76" s="301"/>
      <c r="AD76" s="301"/>
      <c r="AE76" s="301"/>
      <c r="AF76" s="301"/>
      <c r="AG76" s="301"/>
      <c r="AH76" s="301"/>
      <c r="AI76" s="301"/>
      <c r="AJ76" s="301"/>
      <c r="AK76" s="301"/>
      <c r="AL76" s="301"/>
      <c r="AM76" s="301"/>
      <c r="AN76" s="301"/>
      <c r="AO76" s="301"/>
      <c r="AP76" s="301"/>
      <c r="AQ76" s="301"/>
      <c r="AR76" s="301"/>
      <c r="AS76" s="301"/>
      <c r="AT76" s="301"/>
      <c r="AU76" s="301"/>
      <c r="AV76" s="301"/>
      <c r="AW76" s="1087"/>
      <c r="AX76" s="1087"/>
      <c r="AY76" s="1087"/>
      <c r="AZ76" s="1087"/>
      <c r="BA76" s="1087"/>
      <c r="BB76" s="1087"/>
      <c r="BC76" s="1087"/>
      <c r="BD76" s="1087"/>
      <c r="BE76" s="1087"/>
      <c r="BF76" s="405"/>
      <c r="BG76" s="406"/>
      <c r="BH76" s="301"/>
      <c r="BI76" s="405"/>
      <c r="BJ76" s="2133"/>
      <c r="BK76" s="2134"/>
      <c r="BL76" s="2134"/>
      <c r="BM76" s="2134"/>
      <c r="BN76" s="2134"/>
      <c r="BO76" s="2134"/>
      <c r="BP76" s="2134"/>
      <c r="BQ76" s="2134"/>
      <c r="BR76" s="2134"/>
      <c r="BS76" s="2134"/>
      <c r="BT76" s="2134"/>
      <c r="BU76" s="2134"/>
      <c r="BV76" s="2134"/>
      <c r="BW76" s="2134"/>
      <c r="BX76" s="2134"/>
      <c r="BY76" s="2134"/>
      <c r="BZ76" s="2134"/>
      <c r="CA76" s="2134"/>
      <c r="CB76" s="2134"/>
      <c r="CC76" s="2134"/>
      <c r="CD76" s="2134"/>
      <c r="CE76" s="2134"/>
      <c r="CF76" s="2134"/>
      <c r="CG76" s="2134"/>
      <c r="CH76" s="2134"/>
      <c r="CI76" s="2134"/>
      <c r="CJ76" s="2134"/>
      <c r="CK76" s="2134"/>
      <c r="CL76" s="2134"/>
      <c r="CM76" s="2134"/>
      <c r="CN76" s="2134"/>
      <c r="CO76" s="2134"/>
      <c r="CP76" s="2134"/>
      <c r="CQ76" s="2134"/>
      <c r="CR76" s="2134"/>
      <c r="CS76" s="2134"/>
      <c r="CT76" s="87"/>
      <c r="CU76" s="166"/>
      <c r="CV76" s="2107">
        <f ca="1">KnowledgePhysicalSciences</f>
        <v>0</v>
      </c>
      <c r="CW76" s="2107"/>
      <c r="CX76" s="2107"/>
      <c r="CY76" s="2107"/>
      <c r="CZ76" s="2107"/>
      <c r="DA76" s="2107"/>
      <c r="DB76" s="2107"/>
      <c r="DC76" s="2107"/>
      <c r="DD76" s="167"/>
      <c r="DE76" s="87"/>
      <c r="DF76" s="117"/>
      <c r="DG76" s="117"/>
      <c r="DH76" s="117"/>
      <c r="DI76" s="87"/>
      <c r="DJ76" s="166"/>
      <c r="DK76" s="1991">
        <f>ROUNDDOWN(CharacterLevel/2,0)</f>
        <v>0</v>
      </c>
      <c r="DL76" s="1991"/>
      <c r="DM76" s="1991"/>
      <c r="DN76" s="1991"/>
      <c r="DO76" s="1991"/>
      <c r="DP76" s="1991"/>
      <c r="DQ76" s="1991"/>
      <c r="DR76" s="167"/>
      <c r="DS76" s="87"/>
      <c r="DT76" s="87"/>
      <c r="DU76" s="87"/>
      <c r="DV76" s="166"/>
      <c r="DW76" s="1991" t="str">
        <f>IntMod</f>
        <v/>
      </c>
      <c r="DX76" s="1991"/>
      <c r="DY76" s="1991"/>
      <c r="DZ76" s="1991"/>
      <c r="EA76" s="1991"/>
      <c r="EB76" s="1991"/>
      <c r="EC76" s="1991"/>
      <c r="ED76" s="167"/>
      <c r="EE76" s="87"/>
      <c r="EF76" s="87"/>
      <c r="EG76" s="87"/>
      <c r="EH76" s="166"/>
      <c r="EI76" s="1991" t="str">
        <f>IF(CharacterLevel&gt;0,IF(OR(INDEX(SkillTable,MATCH(BJ75,SkillList,0),4)="Yes",INDEX(SkillTable,MATCH(BJ75,SkillList,0),5)="Yes"),5,0),"")</f>
        <v/>
      </c>
      <c r="EJ76" s="1991"/>
      <c r="EK76" s="1991"/>
      <c r="EL76" s="1991"/>
      <c r="EM76" s="1991"/>
      <c r="EN76" s="1991"/>
      <c r="EO76" s="1991"/>
      <c r="EP76" s="264"/>
      <c r="EQ76" s="265"/>
      <c r="ER76" s="265"/>
      <c r="ES76" s="265"/>
      <c r="ET76" s="266"/>
      <c r="EU76" s="1991" t="b">
        <f>IF(CharacterLevel&gt;0,IF(Skills!R21="Yes",5,0))</f>
        <v>0</v>
      </c>
      <c r="EV76" s="1991"/>
      <c r="EW76" s="1991"/>
      <c r="EX76" s="1991"/>
      <c r="EY76" s="1991"/>
      <c r="EZ76" s="1991"/>
      <c r="FA76" s="1991"/>
      <c r="FB76" s="167"/>
      <c r="FC76" s="265"/>
      <c r="FD76" s="265"/>
      <c r="FE76" s="265"/>
      <c r="FF76" s="266"/>
      <c r="FG76" s="1991">
        <f>ArmorPenalty+INDEX(SkillTable,MATCH(BJ75,SkillList,0),12)</f>
        <v>0</v>
      </c>
      <c r="FH76" s="1991"/>
      <c r="FI76" s="1991"/>
      <c r="FJ76" s="1991"/>
      <c r="FK76" s="1991"/>
      <c r="FL76" s="1991"/>
      <c r="FM76" s="1991"/>
      <c r="FN76" s="167"/>
      <c r="FO76" s="87"/>
      <c r="FP76" s="2124" t="str">
        <f>IF(INDEX(SkillTable,MATCH(BJ75,SkillList,0),77)&lt;&gt;"","×","")</f>
        <v/>
      </c>
      <c r="FQ76" s="2125"/>
      <c r="FR76" s="2125"/>
      <c r="FS76" s="2126"/>
      <c r="FT76" s="988"/>
      <c r="FU76" s="2124" t="str">
        <f>IF(INDEX(SkillTable,MATCH(BJ75,SkillList,0),78)&lt;&gt;"","×","")</f>
        <v/>
      </c>
      <c r="FV76" s="2125"/>
      <c r="FW76" s="2125"/>
      <c r="FX76" s="2126"/>
      <c r="FY76" s="87"/>
      <c r="FZ76" s="87"/>
      <c r="GA76" s="87"/>
      <c r="GD76" s="714"/>
      <c r="GE76" s="714"/>
      <c r="GF76" s="714"/>
      <c r="GH76" s="1135" t="e">
        <f ca="1">IF(INDEX(SkillTable,MATCH(BJ75,SkillList,0),14),1,0)</f>
        <v>#VALUE!</v>
      </c>
    </row>
    <row r="77" spans="1:190" ht="9" customHeight="1">
      <c r="A77" s="301"/>
      <c r="B77" s="313"/>
      <c r="C77" s="2113" t="str">
        <f>IF(Race="","",IF(NOT(ISERROR(GD77)),MID(EquipmentNameList,GD73+1,GD77-GD73-1),""))</f>
        <v/>
      </c>
      <c r="D77" s="2113"/>
      <c r="E77" s="2113"/>
      <c r="F77" s="2113"/>
      <c r="G77" s="2113"/>
      <c r="H77" s="2113"/>
      <c r="I77" s="2113"/>
      <c r="J77" s="2113"/>
      <c r="K77" s="2113"/>
      <c r="L77" s="2113"/>
      <c r="M77" s="2113"/>
      <c r="N77" s="2113"/>
      <c r="O77" s="2113"/>
      <c r="P77" s="2113"/>
      <c r="Q77" s="2113"/>
      <c r="R77" s="2113"/>
      <c r="S77" s="2113"/>
      <c r="T77" s="2113"/>
      <c r="U77" s="2113"/>
      <c r="V77" s="2113"/>
      <c r="W77" s="2113"/>
      <c r="X77" s="2113"/>
      <c r="Y77" s="2113"/>
      <c r="Z77" s="2113"/>
      <c r="AA77" s="2113"/>
      <c r="AB77" s="2113"/>
      <c r="AC77" s="2113"/>
      <c r="AD77" s="2113"/>
      <c r="AE77" s="2113"/>
      <c r="AF77" s="2113"/>
      <c r="AG77" s="2113"/>
      <c r="AH77" s="2113"/>
      <c r="AI77" s="2113"/>
      <c r="AJ77" s="2113"/>
      <c r="AK77" s="2113"/>
      <c r="AL77" s="2113"/>
      <c r="AM77" s="2113"/>
      <c r="AN77" s="2113"/>
      <c r="AO77" s="2113"/>
      <c r="AP77" s="2113"/>
      <c r="AQ77" s="2113"/>
      <c r="AR77" s="2113"/>
      <c r="AS77" s="2113"/>
      <c r="AT77" s="2113"/>
      <c r="AU77" s="2113"/>
      <c r="AV77" s="2113"/>
      <c r="AW77" s="2115" t="str">
        <f>IF(Race="","",IF(NOT(ISERROR(GE77)),VALUE(MID(EquipmentWeightList,GE73+1,GE77-GE73-1)),""))</f>
        <v/>
      </c>
      <c r="AX77" s="2115"/>
      <c r="AY77" s="2115"/>
      <c r="AZ77" s="2115"/>
      <c r="BA77" s="2115"/>
      <c r="BB77" s="2115"/>
      <c r="BC77" s="2115"/>
      <c r="BD77" s="2115"/>
      <c r="BE77" s="2115"/>
      <c r="BF77" s="405"/>
      <c r="BG77" s="406"/>
      <c r="BH77" s="301"/>
      <c r="BI77" s="405"/>
      <c r="BJ77" s="2133"/>
      <c r="BK77" s="2134"/>
      <c r="BL77" s="2134"/>
      <c r="BM77" s="2134"/>
      <c r="BN77" s="2134"/>
      <c r="BO77" s="2134"/>
      <c r="BP77" s="2134"/>
      <c r="BQ77" s="2134"/>
      <c r="BR77" s="2134"/>
      <c r="BS77" s="2134"/>
      <c r="BT77" s="2134"/>
      <c r="BU77" s="2134"/>
      <c r="BV77" s="2134"/>
      <c r="BW77" s="2134"/>
      <c r="BX77" s="2134"/>
      <c r="BY77" s="2134"/>
      <c r="BZ77" s="2134"/>
      <c r="CA77" s="2134"/>
      <c r="CB77" s="2134"/>
      <c r="CC77" s="2134"/>
      <c r="CD77" s="2134"/>
      <c r="CE77" s="2134"/>
      <c r="CF77" s="2134"/>
      <c r="CG77" s="2134"/>
      <c r="CH77" s="2134"/>
      <c r="CI77" s="2134"/>
      <c r="CJ77" s="2134"/>
      <c r="CK77" s="2134"/>
      <c r="CL77" s="2134"/>
      <c r="CM77" s="2134"/>
      <c r="CN77" s="2134"/>
      <c r="CO77" s="2134"/>
      <c r="CP77" s="2134"/>
      <c r="CQ77" s="2134"/>
      <c r="CR77" s="2134"/>
      <c r="CS77" s="2134"/>
      <c r="CT77" s="87"/>
      <c r="CU77" s="166"/>
      <c r="CV77" s="2107"/>
      <c r="CW77" s="2107"/>
      <c r="CX77" s="2107"/>
      <c r="CY77" s="2107"/>
      <c r="CZ77" s="2107"/>
      <c r="DA77" s="2107"/>
      <c r="DB77" s="2107"/>
      <c r="DC77" s="2107"/>
      <c r="DD77" s="167"/>
      <c r="DE77" s="87"/>
      <c r="DF77" s="87"/>
      <c r="DG77" s="87"/>
      <c r="DH77" s="87"/>
      <c r="DI77" s="87"/>
      <c r="DJ77" s="166"/>
      <c r="DK77" s="1991"/>
      <c r="DL77" s="1991"/>
      <c r="DM77" s="1991"/>
      <c r="DN77" s="1991"/>
      <c r="DO77" s="1991"/>
      <c r="DP77" s="1991"/>
      <c r="DQ77" s="1991"/>
      <c r="DR77" s="167"/>
      <c r="DS77" s="117"/>
      <c r="DT77" s="117"/>
      <c r="DU77" s="117"/>
      <c r="DV77" s="166"/>
      <c r="DW77" s="1991"/>
      <c r="DX77" s="1991"/>
      <c r="DY77" s="1991"/>
      <c r="DZ77" s="1991"/>
      <c r="EA77" s="1991"/>
      <c r="EB77" s="1991"/>
      <c r="EC77" s="1991"/>
      <c r="ED77" s="167"/>
      <c r="EE77" s="117"/>
      <c r="EF77" s="117"/>
      <c r="EG77" s="117"/>
      <c r="EH77" s="166"/>
      <c r="EI77" s="1991"/>
      <c r="EJ77" s="1991"/>
      <c r="EK77" s="1991"/>
      <c r="EL77" s="1991"/>
      <c r="EM77" s="1991"/>
      <c r="EN77" s="1991"/>
      <c r="EO77" s="1991"/>
      <c r="EP77" s="264"/>
      <c r="EQ77" s="117"/>
      <c r="ER77" s="117"/>
      <c r="ES77" s="117"/>
      <c r="ET77" s="266"/>
      <c r="EU77" s="1991"/>
      <c r="EV77" s="1991"/>
      <c r="EW77" s="1991"/>
      <c r="EX77" s="1991"/>
      <c r="EY77" s="1991"/>
      <c r="EZ77" s="1991"/>
      <c r="FA77" s="1991"/>
      <c r="FB77" s="167"/>
      <c r="FC77" s="117"/>
      <c r="FD77" s="117"/>
      <c r="FE77" s="117"/>
      <c r="FF77" s="266"/>
      <c r="FG77" s="1991"/>
      <c r="FH77" s="1991"/>
      <c r="FI77" s="1991"/>
      <c r="FJ77" s="1991"/>
      <c r="FK77" s="1991"/>
      <c r="FL77" s="1991"/>
      <c r="FM77" s="1991"/>
      <c r="FN77" s="167"/>
      <c r="FO77" s="117"/>
      <c r="FP77" s="2127"/>
      <c r="FQ77" s="2081"/>
      <c r="FR77" s="2081"/>
      <c r="FS77" s="2128"/>
      <c r="FT77" s="989"/>
      <c r="FU77" s="2127"/>
      <c r="FV77" s="2081"/>
      <c r="FW77" s="2081"/>
      <c r="FX77" s="2128"/>
      <c r="FY77" s="87"/>
      <c r="FZ77" s="87"/>
      <c r="GA77" s="87"/>
      <c r="GC77" s="1853">
        <f>GC73+1</f>
        <v>17</v>
      </c>
      <c r="GD77" s="1853" t="e">
        <f>FIND(";",EquipmentNameList,GD73+1)</f>
        <v>#VALUE!</v>
      </c>
      <c r="GE77" s="1853" t="e">
        <f>FIND(";",EquipmentWeightList,GE73+1)</f>
        <v>#VALUE!</v>
      </c>
      <c r="GF77" s="1853" t="e">
        <f>FIND(";",EquipmentNumberList,GF73+1)</f>
        <v>#VALUE!</v>
      </c>
      <c r="GH77" s="1133"/>
    </row>
    <row r="78" spans="1:190" ht="9" customHeight="1" thickBot="1">
      <c r="A78" s="301"/>
      <c r="B78" s="313"/>
      <c r="C78" s="2113"/>
      <c r="D78" s="2113"/>
      <c r="E78" s="2113"/>
      <c r="F78" s="2113"/>
      <c r="G78" s="2113"/>
      <c r="H78" s="2113"/>
      <c r="I78" s="2113"/>
      <c r="J78" s="2113"/>
      <c r="K78" s="2113"/>
      <c r="L78" s="2113"/>
      <c r="M78" s="2113"/>
      <c r="N78" s="2113"/>
      <c r="O78" s="2113"/>
      <c r="P78" s="2113"/>
      <c r="Q78" s="2113"/>
      <c r="R78" s="2113"/>
      <c r="S78" s="2113"/>
      <c r="T78" s="2113"/>
      <c r="U78" s="2113"/>
      <c r="V78" s="2113"/>
      <c r="W78" s="2113"/>
      <c r="X78" s="2113"/>
      <c r="Y78" s="2113"/>
      <c r="Z78" s="2113"/>
      <c r="AA78" s="2113"/>
      <c r="AB78" s="2113"/>
      <c r="AC78" s="2113"/>
      <c r="AD78" s="2113"/>
      <c r="AE78" s="2113"/>
      <c r="AF78" s="2113"/>
      <c r="AG78" s="2113"/>
      <c r="AH78" s="2113"/>
      <c r="AI78" s="2113"/>
      <c r="AJ78" s="2113"/>
      <c r="AK78" s="2113"/>
      <c r="AL78" s="2113"/>
      <c r="AM78" s="2113"/>
      <c r="AN78" s="2113"/>
      <c r="AO78" s="2113"/>
      <c r="AP78" s="2113"/>
      <c r="AQ78" s="2113"/>
      <c r="AR78" s="2113"/>
      <c r="AS78" s="2113"/>
      <c r="AT78" s="2113"/>
      <c r="AU78" s="2113"/>
      <c r="AV78" s="2113"/>
      <c r="AW78" s="2115"/>
      <c r="AX78" s="2115"/>
      <c r="AY78" s="2115"/>
      <c r="AZ78" s="2115"/>
      <c r="BA78" s="2115"/>
      <c r="BB78" s="2115"/>
      <c r="BC78" s="2115"/>
      <c r="BD78" s="2115"/>
      <c r="BE78" s="2115"/>
      <c r="BF78" s="405"/>
      <c r="BG78" s="406"/>
      <c r="BH78" s="301"/>
      <c r="BI78" s="405"/>
      <c r="BJ78" s="2133"/>
      <c r="BK78" s="2134"/>
      <c r="BL78" s="2134"/>
      <c r="BM78" s="2134"/>
      <c r="BN78" s="2134"/>
      <c r="BO78" s="2134"/>
      <c r="BP78" s="2134"/>
      <c r="BQ78" s="2134"/>
      <c r="BR78" s="2134"/>
      <c r="BS78" s="2134"/>
      <c r="BT78" s="2134"/>
      <c r="BU78" s="2134"/>
      <c r="BV78" s="2134"/>
      <c r="BW78" s="2134"/>
      <c r="BX78" s="2134"/>
      <c r="BY78" s="2134"/>
      <c r="BZ78" s="2134"/>
      <c r="CA78" s="2134"/>
      <c r="CB78" s="2134"/>
      <c r="CC78" s="2134"/>
      <c r="CD78" s="2134"/>
      <c r="CE78" s="2134"/>
      <c r="CF78" s="2134"/>
      <c r="CG78" s="2134"/>
      <c r="CH78" s="2134"/>
      <c r="CI78" s="2134"/>
      <c r="CJ78" s="2134"/>
      <c r="CK78" s="2134"/>
      <c r="CL78" s="2134"/>
      <c r="CM78" s="2134"/>
      <c r="CN78" s="2134"/>
      <c r="CO78" s="2134"/>
      <c r="CP78" s="2134"/>
      <c r="CQ78" s="2134"/>
      <c r="CR78" s="2134"/>
      <c r="CS78" s="2134"/>
      <c r="CT78" s="87"/>
      <c r="CU78" s="166"/>
      <c r="CV78" s="2107"/>
      <c r="CW78" s="2107"/>
      <c r="CX78" s="2107"/>
      <c r="CY78" s="2107"/>
      <c r="CZ78" s="2107"/>
      <c r="DA78" s="2107"/>
      <c r="DB78" s="2107"/>
      <c r="DC78" s="2107"/>
      <c r="DD78" s="167"/>
      <c r="DE78" s="87"/>
      <c r="DF78" s="117"/>
      <c r="DG78" s="117"/>
      <c r="DH78" s="117"/>
      <c r="DI78" s="87"/>
      <c r="DJ78" s="166"/>
      <c r="DK78" s="1991"/>
      <c r="DL78" s="1991"/>
      <c r="DM78" s="1991"/>
      <c r="DN78" s="1991"/>
      <c r="DO78" s="1991"/>
      <c r="DP78" s="1991"/>
      <c r="DQ78" s="1991"/>
      <c r="DR78" s="167"/>
      <c r="DS78" s="87"/>
      <c r="DT78" s="87"/>
      <c r="DU78" s="87"/>
      <c r="DV78" s="166"/>
      <c r="DW78" s="1991"/>
      <c r="DX78" s="1991"/>
      <c r="DY78" s="1991"/>
      <c r="DZ78" s="1991"/>
      <c r="EA78" s="1991"/>
      <c r="EB78" s="1991"/>
      <c r="EC78" s="1991"/>
      <c r="ED78" s="167"/>
      <c r="EE78" s="87"/>
      <c r="EF78" s="87"/>
      <c r="EG78" s="87"/>
      <c r="EH78" s="166"/>
      <c r="EI78" s="1991"/>
      <c r="EJ78" s="1991"/>
      <c r="EK78" s="1991"/>
      <c r="EL78" s="1991"/>
      <c r="EM78" s="1991"/>
      <c r="EN78" s="1991"/>
      <c r="EO78" s="1991"/>
      <c r="EP78" s="264"/>
      <c r="EQ78" s="87"/>
      <c r="ER78" s="87"/>
      <c r="ES78" s="87"/>
      <c r="ET78" s="266"/>
      <c r="EU78" s="1991"/>
      <c r="EV78" s="1991"/>
      <c r="EW78" s="1991"/>
      <c r="EX78" s="1991"/>
      <c r="EY78" s="1991"/>
      <c r="EZ78" s="1991"/>
      <c r="FA78" s="1991"/>
      <c r="FB78" s="167"/>
      <c r="FC78" s="87"/>
      <c r="FD78" s="87"/>
      <c r="FE78" s="87"/>
      <c r="FF78" s="266"/>
      <c r="FG78" s="1991"/>
      <c r="FH78" s="1991"/>
      <c r="FI78" s="1991"/>
      <c r="FJ78" s="1991"/>
      <c r="FK78" s="1991"/>
      <c r="FL78" s="1991"/>
      <c r="FM78" s="1991"/>
      <c r="FN78" s="167"/>
      <c r="FO78" s="87"/>
      <c r="FP78" s="2129"/>
      <c r="FQ78" s="2130"/>
      <c r="FR78" s="2130"/>
      <c r="FS78" s="2131"/>
      <c r="FT78" s="988"/>
      <c r="FU78" s="2129"/>
      <c r="FV78" s="2130"/>
      <c r="FW78" s="2130"/>
      <c r="FX78" s="2131"/>
      <c r="FY78" s="87"/>
      <c r="FZ78" s="87"/>
      <c r="GA78" s="87"/>
      <c r="GC78" s="1853"/>
      <c r="GD78" s="1853"/>
      <c r="GE78" s="1853"/>
      <c r="GF78" s="1853"/>
      <c r="GH78" s="1133"/>
    </row>
    <row r="79" spans="1:190" ht="9" customHeight="1" thickBot="1">
      <c r="A79" s="301"/>
      <c r="B79" s="313"/>
      <c r="C79" s="2114"/>
      <c r="D79" s="2114"/>
      <c r="E79" s="2114"/>
      <c r="F79" s="2114"/>
      <c r="G79" s="2114"/>
      <c r="H79" s="2114"/>
      <c r="I79" s="2114"/>
      <c r="J79" s="2114"/>
      <c r="K79" s="2114"/>
      <c r="L79" s="2114"/>
      <c r="M79" s="2114"/>
      <c r="N79" s="2114"/>
      <c r="O79" s="2114"/>
      <c r="P79" s="2114"/>
      <c r="Q79" s="2114"/>
      <c r="R79" s="2114"/>
      <c r="S79" s="2114"/>
      <c r="T79" s="2114"/>
      <c r="U79" s="2114"/>
      <c r="V79" s="2114"/>
      <c r="W79" s="2114"/>
      <c r="X79" s="2114"/>
      <c r="Y79" s="2114"/>
      <c r="Z79" s="2114"/>
      <c r="AA79" s="2114"/>
      <c r="AB79" s="2114"/>
      <c r="AC79" s="2114"/>
      <c r="AD79" s="2114"/>
      <c r="AE79" s="2114"/>
      <c r="AF79" s="2114"/>
      <c r="AG79" s="2114"/>
      <c r="AH79" s="2114"/>
      <c r="AI79" s="2114"/>
      <c r="AJ79" s="2114"/>
      <c r="AK79" s="2114"/>
      <c r="AL79" s="2114"/>
      <c r="AM79" s="2114"/>
      <c r="AN79" s="2114"/>
      <c r="AO79" s="2114"/>
      <c r="AP79" s="2114"/>
      <c r="AQ79" s="2114"/>
      <c r="AR79" s="2114"/>
      <c r="AS79" s="2114"/>
      <c r="AT79" s="2114"/>
      <c r="AU79" s="2114"/>
      <c r="AV79" s="2114"/>
      <c r="AW79" s="2116"/>
      <c r="AX79" s="2116"/>
      <c r="AY79" s="2116"/>
      <c r="AZ79" s="2116"/>
      <c r="BA79" s="2116"/>
      <c r="BB79" s="2116"/>
      <c r="BC79" s="2116"/>
      <c r="BD79" s="2116"/>
      <c r="BE79" s="2116"/>
      <c r="BF79" s="405"/>
      <c r="BG79" s="406"/>
      <c r="BH79" s="301"/>
      <c r="BI79" s="405"/>
      <c r="BJ79" s="2133"/>
      <c r="BK79" s="2134"/>
      <c r="BL79" s="2134"/>
      <c r="BM79" s="2134"/>
      <c r="BN79" s="2134"/>
      <c r="BO79" s="2134"/>
      <c r="BP79" s="2134"/>
      <c r="BQ79" s="2134"/>
      <c r="BR79" s="2134"/>
      <c r="BS79" s="2134"/>
      <c r="BT79" s="2134"/>
      <c r="BU79" s="2134"/>
      <c r="BV79" s="2134"/>
      <c r="BW79" s="2134"/>
      <c r="BX79" s="2134"/>
      <c r="BY79" s="2134"/>
      <c r="BZ79" s="2134"/>
      <c r="CA79" s="2134"/>
      <c r="CB79" s="2134"/>
      <c r="CC79" s="2134"/>
      <c r="CD79" s="2134"/>
      <c r="CE79" s="2134"/>
      <c r="CF79" s="2134"/>
      <c r="CG79" s="2134"/>
      <c r="CH79" s="2134"/>
      <c r="CI79" s="2134"/>
      <c r="CJ79" s="2134"/>
      <c r="CK79" s="2134"/>
      <c r="CL79" s="2134"/>
      <c r="CM79" s="2134"/>
      <c r="CN79" s="2134"/>
      <c r="CO79" s="2134"/>
      <c r="CP79" s="2134"/>
      <c r="CQ79" s="2134"/>
      <c r="CR79" s="2134"/>
      <c r="CS79" s="2134"/>
      <c r="CT79" s="87"/>
      <c r="CU79" s="160"/>
      <c r="CV79" s="409"/>
      <c r="CW79" s="409"/>
      <c r="CX79" s="409"/>
      <c r="CY79" s="409"/>
      <c r="CZ79" s="409"/>
      <c r="DA79" s="409"/>
      <c r="DB79" s="409"/>
      <c r="DC79" s="409"/>
      <c r="DD79" s="158"/>
      <c r="DE79" s="87"/>
      <c r="DF79" s="87"/>
      <c r="DG79" s="87"/>
      <c r="DH79" s="87"/>
      <c r="DI79" s="87"/>
      <c r="DJ79" s="160"/>
      <c r="DK79" s="240"/>
      <c r="DL79" s="240"/>
      <c r="DM79" s="240"/>
      <c r="DN79" s="240"/>
      <c r="DO79" s="240"/>
      <c r="DP79" s="240"/>
      <c r="DQ79" s="240"/>
      <c r="DR79" s="158"/>
      <c r="DS79" s="87"/>
      <c r="DT79" s="87"/>
      <c r="DU79" s="87"/>
      <c r="DV79" s="160"/>
      <c r="DW79" s="240"/>
      <c r="DX79" s="240"/>
      <c r="DY79" s="240"/>
      <c r="DZ79" s="240"/>
      <c r="EA79" s="240"/>
      <c r="EB79" s="240"/>
      <c r="EC79" s="240"/>
      <c r="ED79" s="158"/>
      <c r="EE79" s="87"/>
      <c r="EF79" s="87"/>
      <c r="EG79" s="87"/>
      <c r="EH79" s="160"/>
      <c r="EI79" s="204"/>
      <c r="EJ79" s="204"/>
      <c r="EK79" s="204"/>
      <c r="EL79" s="204"/>
      <c r="EM79" s="204"/>
      <c r="EN79" s="204"/>
      <c r="EO79" s="204"/>
      <c r="EP79" s="274"/>
      <c r="EQ79" s="87"/>
      <c r="ER79" s="87"/>
      <c r="ES79" s="87"/>
      <c r="ET79" s="203"/>
      <c r="EU79" s="204"/>
      <c r="EV79" s="204"/>
      <c r="EW79" s="204"/>
      <c r="EX79" s="204"/>
      <c r="EY79" s="204"/>
      <c r="EZ79" s="204"/>
      <c r="FA79" s="204"/>
      <c r="FB79" s="158"/>
      <c r="FC79" s="87"/>
      <c r="FD79" s="87"/>
      <c r="FE79" s="87"/>
      <c r="FF79" s="203"/>
      <c r="FG79" s="204"/>
      <c r="FH79" s="204"/>
      <c r="FI79" s="204"/>
      <c r="FJ79" s="204"/>
      <c r="FK79" s="204"/>
      <c r="FL79" s="204"/>
      <c r="FM79" s="204"/>
      <c r="FN79" s="158"/>
      <c r="FO79" s="87"/>
      <c r="FP79" s="988"/>
      <c r="FQ79" s="988"/>
      <c r="FR79" s="988"/>
      <c r="FS79" s="988"/>
      <c r="FT79" s="988"/>
      <c r="FU79" s="988"/>
      <c r="FV79" s="988"/>
      <c r="FW79" s="988"/>
      <c r="FX79" s="988"/>
      <c r="FY79" s="87"/>
      <c r="FZ79" s="87"/>
      <c r="GA79" s="87"/>
      <c r="GC79" s="1853"/>
      <c r="GD79" s="1853"/>
      <c r="GE79" s="1853"/>
      <c r="GF79" s="1853"/>
      <c r="GH79" s="1133"/>
    </row>
    <row r="80" spans="1:190" ht="9" customHeight="1" thickBot="1">
      <c r="A80" s="301"/>
      <c r="B80" s="313"/>
      <c r="C80" s="301"/>
      <c r="D80" s="301"/>
      <c r="E80" s="643"/>
      <c r="F80" s="643"/>
      <c r="G80" s="643"/>
      <c r="H80" s="643"/>
      <c r="I80" s="643"/>
      <c r="J80" s="643"/>
      <c r="K80" s="301"/>
      <c r="L80" s="301"/>
      <c r="M80" s="301"/>
      <c r="N80" s="301"/>
      <c r="O80" s="301"/>
      <c r="P80" s="301"/>
      <c r="Q80" s="301"/>
      <c r="R80" s="301"/>
      <c r="S80" s="301"/>
      <c r="T80" s="301"/>
      <c r="U80" s="301"/>
      <c r="V80" s="301"/>
      <c r="W80" s="301"/>
      <c r="X80" s="301"/>
      <c r="Y80" s="301"/>
      <c r="Z80" s="301"/>
      <c r="AA80" s="301"/>
      <c r="AB80" s="301"/>
      <c r="AC80" s="301"/>
      <c r="AD80" s="301"/>
      <c r="AE80" s="301"/>
      <c r="AF80" s="301"/>
      <c r="AG80" s="301"/>
      <c r="AH80" s="301"/>
      <c r="AI80" s="301"/>
      <c r="AJ80" s="301"/>
      <c r="AK80" s="301"/>
      <c r="AL80" s="301"/>
      <c r="AM80" s="301"/>
      <c r="AN80" s="301"/>
      <c r="AO80" s="301"/>
      <c r="AP80" s="301"/>
      <c r="AQ80" s="301"/>
      <c r="AR80" s="301"/>
      <c r="AS80" s="301"/>
      <c r="AT80" s="301"/>
      <c r="AU80" s="301"/>
      <c r="AV80" s="301"/>
      <c r="AW80" s="1087"/>
      <c r="AX80" s="1087"/>
      <c r="AY80" s="1087"/>
      <c r="AZ80" s="1087"/>
      <c r="BA80" s="1087"/>
      <c r="BB80" s="1087"/>
      <c r="BC80" s="1087"/>
      <c r="BD80" s="1087"/>
      <c r="BE80" s="1087"/>
      <c r="BF80" s="405"/>
      <c r="BG80" s="406"/>
      <c r="BH80" s="301"/>
      <c r="BI80" s="405"/>
      <c r="BJ80" s="1205"/>
      <c r="BK80" s="1205"/>
      <c r="BL80" s="1205"/>
      <c r="BM80" s="1205"/>
      <c r="BN80" s="1205"/>
      <c r="BO80" s="1205"/>
      <c r="BP80" s="1205"/>
      <c r="BQ80" s="1205"/>
      <c r="BR80" s="1205"/>
      <c r="BS80" s="1205"/>
      <c r="BT80" s="1205"/>
      <c r="BU80" s="1205"/>
      <c r="BV80" s="1205"/>
      <c r="BW80" s="1205"/>
      <c r="BX80" s="1205"/>
      <c r="BY80" s="1205"/>
      <c r="BZ80" s="1205"/>
      <c r="CA80" s="1205"/>
      <c r="CB80" s="1205"/>
      <c r="CC80" s="1205"/>
      <c r="CD80" s="1205"/>
      <c r="CE80" s="1205"/>
      <c r="CF80" s="1205"/>
      <c r="CG80" s="1205"/>
      <c r="CH80" s="1205"/>
      <c r="CI80" s="1205"/>
      <c r="CJ80" s="1205"/>
      <c r="CK80" s="1205"/>
      <c r="CL80" s="1205"/>
      <c r="CM80" s="1205"/>
      <c r="CN80" s="1205"/>
      <c r="CO80" s="1205"/>
      <c r="CP80" s="1205"/>
      <c r="CQ80" s="1205"/>
      <c r="CR80" s="1205"/>
      <c r="CS80" s="1205"/>
      <c r="CT80" s="421"/>
      <c r="CU80" s="421"/>
      <c r="CV80" s="422"/>
      <c r="CW80" s="422"/>
      <c r="CX80" s="422"/>
      <c r="CY80" s="422"/>
      <c r="CZ80" s="422"/>
      <c r="DA80" s="422"/>
      <c r="DB80" s="422"/>
      <c r="DC80" s="422"/>
      <c r="DD80" s="421"/>
      <c r="DE80" s="421"/>
      <c r="DF80" s="301"/>
      <c r="DG80" s="301"/>
      <c r="DH80" s="301"/>
      <c r="DI80" s="301"/>
      <c r="DJ80" s="301"/>
      <c r="DK80" s="423"/>
      <c r="DL80" s="424"/>
      <c r="DM80" s="424"/>
      <c r="DN80" s="424"/>
      <c r="DO80" s="424"/>
      <c r="DP80" s="424"/>
      <c r="DQ80" s="424"/>
      <c r="DR80" s="424"/>
      <c r="DS80" s="301"/>
      <c r="DT80" s="301"/>
      <c r="DU80" s="301"/>
      <c r="DV80" s="301"/>
      <c r="DW80" s="301"/>
      <c r="DX80" s="301"/>
      <c r="DY80" s="301"/>
      <c r="DZ80" s="301"/>
      <c r="EA80" s="301"/>
      <c r="EB80" s="301"/>
      <c r="EC80" s="301"/>
      <c r="ED80" s="301"/>
      <c r="EE80" s="301"/>
      <c r="EF80" s="301"/>
      <c r="EG80" s="301"/>
      <c r="EH80" s="301"/>
      <c r="EI80" s="301"/>
      <c r="EJ80" s="301"/>
      <c r="EK80" s="425"/>
      <c r="EL80" s="425"/>
      <c r="EM80" s="425"/>
      <c r="EN80" s="425"/>
      <c r="EO80" s="425"/>
      <c r="EP80" s="425"/>
      <c r="EQ80" s="425"/>
      <c r="ER80" s="425"/>
      <c r="ES80" s="425"/>
      <c r="ET80" s="425"/>
      <c r="EU80" s="425"/>
      <c r="EV80" s="425"/>
      <c r="EW80" s="425"/>
      <c r="EX80" s="425"/>
      <c r="EY80" s="425"/>
      <c r="EZ80" s="425"/>
      <c r="FA80" s="301"/>
      <c r="FB80" s="301"/>
      <c r="FC80" s="301"/>
      <c r="FD80" s="301"/>
      <c r="FE80" s="301"/>
      <c r="FF80" s="301"/>
      <c r="FG80" s="301"/>
      <c r="FH80" s="301"/>
      <c r="FI80" s="301"/>
      <c r="FJ80" s="301"/>
      <c r="FK80" s="301"/>
      <c r="FL80" s="301"/>
      <c r="FM80" s="301"/>
      <c r="FN80" s="87"/>
      <c r="FO80" s="87"/>
      <c r="FP80" s="988"/>
      <c r="FQ80" s="988"/>
      <c r="FR80" s="988"/>
      <c r="FS80" s="988"/>
      <c r="FT80" s="988"/>
      <c r="FU80" s="988"/>
      <c r="FV80" s="988"/>
      <c r="FW80" s="988"/>
      <c r="FX80" s="988"/>
      <c r="FY80" s="87"/>
      <c r="FZ80" s="87"/>
      <c r="GA80" s="87"/>
      <c r="GD80" s="714"/>
      <c r="GE80" s="714"/>
      <c r="GF80" s="714"/>
      <c r="GH80" s="1133"/>
    </row>
    <row r="81" spans="1:284" s="581" customFormat="1" ht="9" customHeight="1" thickBot="1">
      <c r="A81" s="301"/>
      <c r="B81" s="313"/>
      <c r="C81" s="2113" t="str">
        <f>IF(Race="","",IF(NOT(ISERROR(GD81)),MID(EquipmentNameList,GD77+1,GD81-GD77-1),""))</f>
        <v/>
      </c>
      <c r="D81" s="2113"/>
      <c r="E81" s="2113"/>
      <c r="F81" s="2113"/>
      <c r="G81" s="2113"/>
      <c r="H81" s="2113"/>
      <c r="I81" s="2113"/>
      <c r="J81" s="2113"/>
      <c r="K81" s="2113"/>
      <c r="L81" s="2113"/>
      <c r="M81" s="2113"/>
      <c r="N81" s="2113"/>
      <c r="O81" s="2113"/>
      <c r="P81" s="2113"/>
      <c r="Q81" s="2113"/>
      <c r="R81" s="2113"/>
      <c r="S81" s="2113"/>
      <c r="T81" s="2113"/>
      <c r="U81" s="2113"/>
      <c r="V81" s="2113"/>
      <c r="W81" s="2113"/>
      <c r="X81" s="2113"/>
      <c r="Y81" s="2113"/>
      <c r="Z81" s="2113"/>
      <c r="AA81" s="2113"/>
      <c r="AB81" s="2113"/>
      <c r="AC81" s="2113"/>
      <c r="AD81" s="2113"/>
      <c r="AE81" s="2113"/>
      <c r="AF81" s="2113"/>
      <c r="AG81" s="2113"/>
      <c r="AH81" s="2113"/>
      <c r="AI81" s="2113"/>
      <c r="AJ81" s="2113"/>
      <c r="AK81" s="2113"/>
      <c r="AL81" s="2113"/>
      <c r="AM81" s="2113"/>
      <c r="AN81" s="2113"/>
      <c r="AO81" s="2113"/>
      <c r="AP81" s="2113"/>
      <c r="AQ81" s="2113"/>
      <c r="AR81" s="2113"/>
      <c r="AS81" s="2113"/>
      <c r="AT81" s="2113"/>
      <c r="AU81" s="2113"/>
      <c r="AV81" s="2113"/>
      <c r="AW81" s="2115" t="str">
        <f>IF(Race="","",IF(NOT(ISERROR(GE81)),VALUE(MID(EquipmentWeightList,GE77+1,GE81-GE77-1)),""))</f>
        <v/>
      </c>
      <c r="AX81" s="2115"/>
      <c r="AY81" s="2115"/>
      <c r="AZ81" s="2115"/>
      <c r="BA81" s="2115"/>
      <c r="BB81" s="2115"/>
      <c r="BC81" s="2115"/>
      <c r="BD81" s="2115"/>
      <c r="BE81" s="2115"/>
      <c r="BF81" s="405"/>
      <c r="BG81" s="406"/>
      <c r="BH81" s="301"/>
      <c r="BI81" s="405"/>
      <c r="BJ81" s="2133" t="str">
        <f>Skills!C22</f>
        <v>Knowledge (Social Sciences)</v>
      </c>
      <c r="BK81" s="2134"/>
      <c r="BL81" s="2134"/>
      <c r="BM81" s="2134"/>
      <c r="BN81" s="2134"/>
      <c r="BO81" s="2134"/>
      <c r="BP81" s="2134"/>
      <c r="BQ81" s="2134"/>
      <c r="BR81" s="2134"/>
      <c r="BS81" s="2134"/>
      <c r="BT81" s="2134"/>
      <c r="BU81" s="2134"/>
      <c r="BV81" s="2134"/>
      <c r="BW81" s="2134"/>
      <c r="BX81" s="2134"/>
      <c r="BY81" s="2134"/>
      <c r="BZ81" s="2134"/>
      <c r="CA81" s="2134"/>
      <c r="CB81" s="2134"/>
      <c r="CC81" s="2134"/>
      <c r="CD81" s="2134"/>
      <c r="CE81" s="2134"/>
      <c r="CF81" s="2134"/>
      <c r="CG81" s="2134"/>
      <c r="CH81" s="2134"/>
      <c r="CI81" s="2134"/>
      <c r="CJ81" s="2134"/>
      <c r="CK81" s="2134"/>
      <c r="CL81" s="2134"/>
      <c r="CM81" s="2134"/>
      <c r="CN81" s="2134"/>
      <c r="CO81" s="2134"/>
      <c r="CP81" s="2134"/>
      <c r="CQ81" s="2134"/>
      <c r="CR81" s="2134"/>
      <c r="CS81" s="2134"/>
      <c r="CT81" s="87"/>
      <c r="CU81" s="158" t="e">
        <f>HeroicLvl+ArmourFort</f>
        <v>#NAME?</v>
      </c>
      <c r="CV81" s="411"/>
      <c r="CW81" s="411"/>
      <c r="CX81" s="411"/>
      <c r="CY81" s="411"/>
      <c r="CZ81" s="411"/>
      <c r="DA81" s="411"/>
      <c r="DB81" s="411"/>
      <c r="DC81" s="411"/>
      <c r="DD81" s="160"/>
      <c r="DE81" s="87"/>
      <c r="DF81" s="87"/>
      <c r="DG81" s="87"/>
      <c r="DH81" s="87"/>
      <c r="DI81" s="87"/>
      <c r="DJ81" s="158" t="e">
        <f>HeroicLvl+ArmourFort</f>
        <v>#NAME?</v>
      </c>
      <c r="DK81" s="159"/>
      <c r="DL81" s="159"/>
      <c r="DM81" s="159"/>
      <c r="DN81" s="159"/>
      <c r="DO81" s="159"/>
      <c r="DP81" s="159"/>
      <c r="DQ81" s="159"/>
      <c r="DR81" s="160"/>
      <c r="DS81" s="87"/>
      <c r="DT81" s="87"/>
      <c r="DU81" s="87"/>
      <c r="DV81" s="158"/>
      <c r="DW81" s="159"/>
      <c r="DX81" s="159"/>
      <c r="DY81" s="159"/>
      <c r="DZ81" s="159"/>
      <c r="EA81" s="159"/>
      <c r="EB81" s="159"/>
      <c r="EC81" s="159"/>
      <c r="ED81" s="160"/>
      <c r="EE81" s="87"/>
      <c r="EF81" s="87"/>
      <c r="EG81" s="87"/>
      <c r="EH81" s="158"/>
      <c r="EI81" s="184"/>
      <c r="EJ81" s="184"/>
      <c r="EK81" s="184"/>
      <c r="EL81" s="184"/>
      <c r="EM81" s="184"/>
      <c r="EN81" s="184"/>
      <c r="EO81" s="184"/>
      <c r="EP81" s="160"/>
      <c r="EQ81" s="87"/>
      <c r="ER81" s="87"/>
      <c r="ES81" s="87"/>
      <c r="ET81" s="158"/>
      <c r="EU81" s="1649"/>
      <c r="EV81" s="1649"/>
      <c r="EW81" s="1649"/>
      <c r="EX81" s="1649"/>
      <c r="EY81" s="1649"/>
      <c r="EZ81" s="1649"/>
      <c r="FA81" s="1649"/>
      <c r="FB81" s="160"/>
      <c r="FC81" s="87"/>
      <c r="FD81" s="87"/>
      <c r="FE81" s="87"/>
      <c r="FF81" s="158"/>
      <c r="FG81" s="159"/>
      <c r="FH81" s="159"/>
      <c r="FI81" s="159"/>
      <c r="FJ81" s="159"/>
      <c r="FK81" s="159"/>
      <c r="FL81" s="159"/>
      <c r="FM81" s="159"/>
      <c r="FN81" s="160"/>
      <c r="FO81" s="87"/>
      <c r="FP81" s="988"/>
      <c r="FQ81" s="988"/>
      <c r="FR81" s="988"/>
      <c r="FS81" s="988"/>
      <c r="FT81" s="988"/>
      <c r="FU81" s="988"/>
      <c r="FV81" s="988"/>
      <c r="FW81" s="988"/>
      <c r="FX81" s="988"/>
      <c r="FY81" s="87"/>
      <c r="FZ81" s="87"/>
      <c r="GA81" s="87"/>
      <c r="GC81" s="1853">
        <f>GC77+1</f>
        <v>18</v>
      </c>
      <c r="GD81" s="1853" t="e">
        <f>FIND(";",EquipmentNameList,GD77+1)</f>
        <v>#VALUE!</v>
      </c>
      <c r="GE81" s="1853" t="e">
        <f>FIND(";",EquipmentWeightList,GE77+1)</f>
        <v>#VALUE!</v>
      </c>
      <c r="GF81" s="1853" t="e">
        <f>FIND(";",EquipmentNumberList,GF77+1)</f>
        <v>#VALUE!</v>
      </c>
      <c r="GG81" s="694"/>
      <c r="GH81" s="1133"/>
      <c r="GI81" s="694"/>
      <c r="GJ81" s="694"/>
      <c r="GK81" s="694"/>
      <c r="GL81" s="694"/>
      <c r="GM81" s="694"/>
      <c r="GN81" s="694"/>
      <c r="GO81" s="694"/>
      <c r="GP81" s="694"/>
      <c r="GQ81" s="694"/>
      <c r="GR81" s="694"/>
      <c r="GS81" s="694"/>
      <c r="GT81" s="694"/>
      <c r="GU81" s="694"/>
      <c r="GV81" s="694"/>
      <c r="GW81" s="694"/>
      <c r="GX81" s="694"/>
      <c r="GY81" s="694"/>
      <c r="GZ81" s="694"/>
      <c r="HA81" s="694"/>
      <c r="HB81" s="694"/>
      <c r="HC81" s="694"/>
      <c r="HD81" s="694"/>
      <c r="HE81" s="694"/>
      <c r="HF81" s="694"/>
      <c r="HG81" s="694"/>
      <c r="HH81" s="694"/>
      <c r="HI81" s="694"/>
      <c r="HJ81" s="694"/>
      <c r="HK81" s="694"/>
      <c r="HL81" s="694"/>
      <c r="HM81" s="694"/>
      <c r="HN81" s="694"/>
      <c r="HO81" s="694"/>
      <c r="HP81" s="694"/>
      <c r="HQ81" s="694"/>
      <c r="HR81" s="694"/>
      <c r="HS81" s="694"/>
      <c r="HT81" s="694"/>
      <c r="HU81" s="694"/>
      <c r="HV81" s="694"/>
      <c r="HW81" s="694"/>
      <c r="HX81" s="694"/>
      <c r="HY81" s="694"/>
      <c r="HZ81" s="694"/>
      <c r="IA81" s="694"/>
      <c r="IB81" s="694"/>
      <c r="IC81" s="694"/>
      <c r="ID81" s="694"/>
      <c r="IE81" s="694"/>
      <c r="IF81" s="694"/>
      <c r="IG81" s="694"/>
      <c r="IH81" s="694"/>
      <c r="II81" s="694"/>
      <c r="IJ81" s="694"/>
      <c r="IK81" s="694"/>
      <c r="IL81" s="694"/>
      <c r="IM81" s="694"/>
      <c r="IN81" s="694"/>
      <c r="IO81" s="694"/>
      <c r="IP81" s="694"/>
      <c r="IQ81" s="694"/>
      <c r="IR81" s="694"/>
      <c r="IS81" s="694"/>
      <c r="IT81" s="694"/>
      <c r="IU81" s="694"/>
      <c r="IV81" s="694"/>
      <c r="IW81" s="694"/>
      <c r="IX81" s="694"/>
      <c r="IY81" s="694"/>
      <c r="IZ81" s="694"/>
      <c r="JA81" s="694"/>
      <c r="JB81" s="694"/>
      <c r="JC81" s="694"/>
      <c r="JD81" s="694"/>
      <c r="JE81" s="694"/>
      <c r="JF81" s="694"/>
      <c r="JG81" s="694"/>
      <c r="JH81" s="694"/>
      <c r="JI81" s="694"/>
      <c r="JJ81" s="694"/>
      <c r="JK81" s="694"/>
      <c r="JL81" s="694"/>
      <c r="JM81" s="694"/>
      <c r="JN81" s="694"/>
      <c r="JO81" s="694"/>
      <c r="JP81" s="694"/>
      <c r="JQ81" s="694"/>
      <c r="JR81" s="694"/>
      <c r="JS81" s="694"/>
      <c r="JT81" s="694"/>
      <c r="JU81" s="694"/>
      <c r="JV81" s="694"/>
      <c r="JW81" s="694"/>
      <c r="JX81" s="694"/>
    </row>
    <row r="82" spans="1:284" s="581" customFormat="1" ht="9" customHeight="1">
      <c r="A82" s="301"/>
      <c r="B82" s="313"/>
      <c r="C82" s="2113"/>
      <c r="D82" s="2113"/>
      <c r="E82" s="2113"/>
      <c r="F82" s="211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13"/>
      <c r="AK82" s="2113"/>
      <c r="AL82" s="2113"/>
      <c r="AM82" s="2113"/>
      <c r="AN82" s="2113"/>
      <c r="AO82" s="2113"/>
      <c r="AP82" s="2113"/>
      <c r="AQ82" s="2113"/>
      <c r="AR82" s="2113"/>
      <c r="AS82" s="2113"/>
      <c r="AT82" s="2113"/>
      <c r="AU82" s="2113"/>
      <c r="AV82" s="2113"/>
      <c r="AW82" s="2115"/>
      <c r="AX82" s="2115"/>
      <c r="AY82" s="2115"/>
      <c r="AZ82" s="2115"/>
      <c r="BA82" s="2115"/>
      <c r="BB82" s="2115"/>
      <c r="BC82" s="2115"/>
      <c r="BD82" s="2115"/>
      <c r="BE82" s="2115"/>
      <c r="BF82" s="405"/>
      <c r="BG82" s="406"/>
      <c r="BH82" s="301"/>
      <c r="BI82" s="405"/>
      <c r="BJ82" s="2133"/>
      <c r="BK82" s="2134"/>
      <c r="BL82" s="2134"/>
      <c r="BM82" s="2134"/>
      <c r="BN82" s="2134"/>
      <c r="BO82" s="2134"/>
      <c r="BP82" s="2134"/>
      <c r="BQ82" s="2134"/>
      <c r="BR82" s="2134"/>
      <c r="BS82" s="2134"/>
      <c r="BT82" s="2134"/>
      <c r="BU82" s="2134"/>
      <c r="BV82" s="2134"/>
      <c r="BW82" s="2134"/>
      <c r="BX82" s="2134"/>
      <c r="BY82" s="2134"/>
      <c r="BZ82" s="2134"/>
      <c r="CA82" s="2134"/>
      <c r="CB82" s="2134"/>
      <c r="CC82" s="2134"/>
      <c r="CD82" s="2134"/>
      <c r="CE82" s="2134"/>
      <c r="CF82" s="2134"/>
      <c r="CG82" s="2134"/>
      <c r="CH82" s="2134"/>
      <c r="CI82" s="2134"/>
      <c r="CJ82" s="2134"/>
      <c r="CK82" s="2134"/>
      <c r="CL82" s="2134"/>
      <c r="CM82" s="2134"/>
      <c r="CN82" s="2134"/>
      <c r="CO82" s="2134"/>
      <c r="CP82" s="2134"/>
      <c r="CQ82" s="2134"/>
      <c r="CR82" s="2134"/>
      <c r="CS82" s="2134"/>
      <c r="CT82" s="87"/>
      <c r="CU82" s="166"/>
      <c r="CV82" s="2107">
        <f ca="1">KnowledgeSocialSciences</f>
        <v>0</v>
      </c>
      <c r="CW82" s="2107"/>
      <c r="CX82" s="2107"/>
      <c r="CY82" s="2107"/>
      <c r="CZ82" s="2107"/>
      <c r="DA82" s="2107"/>
      <c r="DB82" s="2107"/>
      <c r="DC82" s="2107"/>
      <c r="DD82" s="167"/>
      <c r="DE82" s="87"/>
      <c r="DF82" s="117"/>
      <c r="DG82" s="117"/>
      <c r="DH82" s="117"/>
      <c r="DI82" s="87"/>
      <c r="DJ82" s="166"/>
      <c r="DK82" s="1991">
        <f>ROUNDDOWN(CharacterLevel/2,0)</f>
        <v>0</v>
      </c>
      <c r="DL82" s="1991"/>
      <c r="DM82" s="1991"/>
      <c r="DN82" s="1991"/>
      <c r="DO82" s="1991"/>
      <c r="DP82" s="1991"/>
      <c r="DQ82" s="1991"/>
      <c r="DR82" s="167"/>
      <c r="DS82" s="87"/>
      <c r="DT82" s="87"/>
      <c r="DU82" s="87"/>
      <c r="DV82" s="166"/>
      <c r="DW82" s="1991" t="str">
        <f>IntMod</f>
        <v/>
      </c>
      <c r="DX82" s="1991"/>
      <c r="DY82" s="1991"/>
      <c r="DZ82" s="1991"/>
      <c r="EA82" s="1991"/>
      <c r="EB82" s="1991"/>
      <c r="EC82" s="1991"/>
      <c r="ED82" s="167"/>
      <c r="EE82" s="87"/>
      <c r="EF82" s="87"/>
      <c r="EG82" s="87"/>
      <c r="EH82" s="166"/>
      <c r="EI82" s="1991" t="str">
        <f>IF(CharacterLevel&gt;0,IF(OR(INDEX(SkillTable,MATCH(BJ81,SkillList,0),4)="Yes",INDEX(SkillTable,MATCH(BJ81,SkillList,0),5)="Yes"),5,0),"")</f>
        <v/>
      </c>
      <c r="EJ82" s="1991"/>
      <c r="EK82" s="1991"/>
      <c r="EL82" s="1991"/>
      <c r="EM82" s="1991"/>
      <c r="EN82" s="1991"/>
      <c r="EO82" s="1991"/>
      <c r="EP82" s="264"/>
      <c r="EQ82" s="265"/>
      <c r="ER82" s="265"/>
      <c r="ES82" s="265"/>
      <c r="ET82" s="266"/>
      <c r="EU82" s="1991" t="b">
        <f>IF(CharacterLevel&gt;0,IF(Skills!R22="Yes",5,0))</f>
        <v>0</v>
      </c>
      <c r="EV82" s="1991"/>
      <c r="EW82" s="1991"/>
      <c r="EX82" s="1991"/>
      <c r="EY82" s="1991"/>
      <c r="EZ82" s="1991"/>
      <c r="FA82" s="1991"/>
      <c r="FB82" s="167"/>
      <c r="FC82" s="265"/>
      <c r="FD82" s="265"/>
      <c r="FE82" s="265"/>
      <c r="FF82" s="266"/>
      <c r="FG82" s="1991">
        <f>ArmorPenalty+INDEX(SkillTable,MATCH(BJ81,SkillList,0),12)</f>
        <v>0</v>
      </c>
      <c r="FH82" s="1991"/>
      <c r="FI82" s="1991"/>
      <c r="FJ82" s="1991"/>
      <c r="FK82" s="1991"/>
      <c r="FL82" s="1991"/>
      <c r="FM82" s="1991"/>
      <c r="FN82" s="167"/>
      <c r="FO82" s="87"/>
      <c r="FP82" s="2124" t="str">
        <f>IF(INDEX(SkillTable,MATCH(BJ81,SkillList,0),77)&lt;&gt;"","×","")</f>
        <v/>
      </c>
      <c r="FQ82" s="2125"/>
      <c r="FR82" s="2125"/>
      <c r="FS82" s="2126"/>
      <c r="FT82" s="988"/>
      <c r="FU82" s="2124" t="str">
        <f>IF(INDEX(SkillTable,MATCH(BJ81,SkillList,0),78)&lt;&gt;"","×","")</f>
        <v/>
      </c>
      <c r="FV82" s="2125"/>
      <c r="FW82" s="2125"/>
      <c r="FX82" s="2126"/>
      <c r="FY82" s="87"/>
      <c r="FZ82" s="87"/>
      <c r="GA82" s="87"/>
      <c r="GC82" s="1853"/>
      <c r="GD82" s="1853"/>
      <c r="GE82" s="1853"/>
      <c r="GF82" s="1853"/>
      <c r="GG82" s="694"/>
      <c r="GH82" s="1135" t="e">
        <f ca="1">IF(INDEX(SkillTable,MATCH(BJ81,SkillList,0),14),1,0)</f>
        <v>#VALUE!</v>
      </c>
      <c r="GI82" s="694"/>
      <c r="GJ82" s="694"/>
      <c r="GK82" s="694"/>
      <c r="GL82" s="694"/>
      <c r="GM82" s="694"/>
      <c r="GN82" s="694"/>
      <c r="GO82" s="694"/>
      <c r="GP82" s="694"/>
      <c r="GQ82" s="694"/>
      <c r="GR82" s="694"/>
      <c r="GS82" s="694"/>
      <c r="GT82" s="694"/>
      <c r="GU82" s="694"/>
      <c r="GV82" s="694"/>
      <c r="GW82" s="694"/>
      <c r="GX82" s="694"/>
      <c r="GY82" s="694"/>
      <c r="GZ82" s="694"/>
      <c r="HA82" s="694"/>
      <c r="HB82" s="694"/>
      <c r="HC82" s="694"/>
      <c r="HD82" s="694"/>
      <c r="HE82" s="694"/>
      <c r="HF82" s="694"/>
      <c r="HG82" s="694"/>
      <c r="HH82" s="694"/>
      <c r="HI82" s="694"/>
      <c r="HJ82" s="694"/>
      <c r="HK82" s="694"/>
      <c r="HL82" s="694"/>
      <c r="HM82" s="694"/>
      <c r="HN82" s="694"/>
      <c r="HO82" s="694"/>
      <c r="HP82" s="694"/>
      <c r="HQ82" s="694"/>
      <c r="HR82" s="694"/>
      <c r="HS82" s="694"/>
      <c r="HT82" s="694"/>
      <c r="HU82" s="694"/>
      <c r="HV82" s="694"/>
      <c r="HW82" s="694"/>
      <c r="HX82" s="694"/>
      <c r="HY82" s="694"/>
      <c r="HZ82" s="694"/>
      <c r="IA82" s="694"/>
      <c r="IB82" s="694"/>
      <c r="IC82" s="694"/>
      <c r="ID82" s="694"/>
      <c r="IE82" s="694"/>
      <c r="IF82" s="694"/>
      <c r="IG82" s="694"/>
      <c r="IH82" s="694"/>
      <c r="II82" s="694"/>
      <c r="IJ82" s="694"/>
      <c r="IK82" s="694"/>
      <c r="IL82" s="694"/>
      <c r="IM82" s="694"/>
      <c r="IN82" s="694"/>
      <c r="IO82" s="694"/>
      <c r="IP82" s="694"/>
      <c r="IQ82" s="694"/>
      <c r="IR82" s="694"/>
      <c r="IS82" s="694"/>
      <c r="IT82" s="694"/>
      <c r="IU82" s="694"/>
      <c r="IV82" s="694"/>
      <c r="IW82" s="694"/>
      <c r="IX82" s="694"/>
      <c r="IY82" s="694"/>
      <c r="IZ82" s="694"/>
      <c r="JA82" s="694"/>
      <c r="JB82" s="694"/>
      <c r="JC82" s="694"/>
      <c r="JD82" s="694"/>
      <c r="JE82" s="694"/>
      <c r="JF82" s="694"/>
      <c r="JG82" s="694"/>
      <c r="JH82" s="694"/>
      <c r="JI82" s="694"/>
      <c r="JJ82" s="694"/>
      <c r="JK82" s="694"/>
      <c r="JL82" s="694"/>
      <c r="JM82" s="694"/>
      <c r="JN82" s="694"/>
      <c r="JO82" s="694"/>
      <c r="JP82" s="694"/>
      <c r="JQ82" s="694"/>
      <c r="JR82" s="694"/>
      <c r="JS82" s="694"/>
      <c r="JT82" s="694"/>
      <c r="JU82" s="694"/>
      <c r="JV82" s="694"/>
      <c r="JW82" s="694"/>
      <c r="JX82" s="694"/>
    </row>
    <row r="83" spans="1:284" s="581" customFormat="1" ht="9" customHeight="1" thickBot="1">
      <c r="A83" s="301"/>
      <c r="B83" s="313"/>
      <c r="C83" s="2114"/>
      <c r="D83" s="2114"/>
      <c r="E83" s="2114"/>
      <c r="F83" s="2114"/>
      <c r="G83" s="2114"/>
      <c r="H83" s="2114"/>
      <c r="I83" s="2114"/>
      <c r="J83" s="2114"/>
      <c r="K83" s="2114"/>
      <c r="L83" s="2114"/>
      <c r="M83" s="2114"/>
      <c r="N83" s="2114"/>
      <c r="O83" s="2114"/>
      <c r="P83" s="2114"/>
      <c r="Q83" s="2114"/>
      <c r="R83" s="2114"/>
      <c r="S83" s="2114"/>
      <c r="T83" s="2114"/>
      <c r="U83" s="2114"/>
      <c r="V83" s="2114"/>
      <c r="W83" s="2114"/>
      <c r="X83" s="2114"/>
      <c r="Y83" s="2114"/>
      <c r="Z83" s="2114"/>
      <c r="AA83" s="2114"/>
      <c r="AB83" s="2114"/>
      <c r="AC83" s="2114"/>
      <c r="AD83" s="2114"/>
      <c r="AE83" s="2114"/>
      <c r="AF83" s="2114"/>
      <c r="AG83" s="2114"/>
      <c r="AH83" s="2114"/>
      <c r="AI83" s="2114"/>
      <c r="AJ83" s="2114"/>
      <c r="AK83" s="2114"/>
      <c r="AL83" s="2114"/>
      <c r="AM83" s="2114"/>
      <c r="AN83" s="2114"/>
      <c r="AO83" s="2114"/>
      <c r="AP83" s="2114"/>
      <c r="AQ83" s="2114"/>
      <c r="AR83" s="2114"/>
      <c r="AS83" s="2114"/>
      <c r="AT83" s="2114"/>
      <c r="AU83" s="2114"/>
      <c r="AV83" s="2114"/>
      <c r="AW83" s="2116"/>
      <c r="AX83" s="2116"/>
      <c r="AY83" s="2116"/>
      <c r="AZ83" s="2116"/>
      <c r="BA83" s="2116"/>
      <c r="BB83" s="2116"/>
      <c r="BC83" s="2116"/>
      <c r="BD83" s="2116"/>
      <c r="BE83" s="2116"/>
      <c r="BF83" s="405"/>
      <c r="BG83" s="406"/>
      <c r="BH83" s="301"/>
      <c r="BI83" s="405"/>
      <c r="BJ83" s="2133"/>
      <c r="BK83" s="2134"/>
      <c r="BL83" s="2134"/>
      <c r="BM83" s="2134"/>
      <c r="BN83" s="2134"/>
      <c r="BO83" s="2134"/>
      <c r="BP83" s="2134"/>
      <c r="BQ83" s="2134"/>
      <c r="BR83" s="2134"/>
      <c r="BS83" s="2134"/>
      <c r="BT83" s="2134"/>
      <c r="BU83" s="2134"/>
      <c r="BV83" s="2134"/>
      <c r="BW83" s="2134"/>
      <c r="BX83" s="2134"/>
      <c r="BY83" s="2134"/>
      <c r="BZ83" s="2134"/>
      <c r="CA83" s="2134"/>
      <c r="CB83" s="2134"/>
      <c r="CC83" s="2134"/>
      <c r="CD83" s="2134"/>
      <c r="CE83" s="2134"/>
      <c r="CF83" s="2134"/>
      <c r="CG83" s="2134"/>
      <c r="CH83" s="2134"/>
      <c r="CI83" s="2134"/>
      <c r="CJ83" s="2134"/>
      <c r="CK83" s="2134"/>
      <c r="CL83" s="2134"/>
      <c r="CM83" s="2134"/>
      <c r="CN83" s="2134"/>
      <c r="CO83" s="2134"/>
      <c r="CP83" s="2134"/>
      <c r="CQ83" s="2134"/>
      <c r="CR83" s="2134"/>
      <c r="CS83" s="2134"/>
      <c r="CT83" s="87"/>
      <c r="CU83" s="166"/>
      <c r="CV83" s="2107"/>
      <c r="CW83" s="2107"/>
      <c r="CX83" s="2107"/>
      <c r="CY83" s="2107"/>
      <c r="CZ83" s="2107"/>
      <c r="DA83" s="2107"/>
      <c r="DB83" s="2107"/>
      <c r="DC83" s="2107"/>
      <c r="DD83" s="167"/>
      <c r="DE83" s="87"/>
      <c r="DF83" s="87"/>
      <c r="DG83" s="87"/>
      <c r="DH83" s="87"/>
      <c r="DI83" s="87"/>
      <c r="DJ83" s="166"/>
      <c r="DK83" s="1991"/>
      <c r="DL83" s="1991"/>
      <c r="DM83" s="1991"/>
      <c r="DN83" s="1991"/>
      <c r="DO83" s="1991"/>
      <c r="DP83" s="1991"/>
      <c r="DQ83" s="1991"/>
      <c r="DR83" s="167"/>
      <c r="DS83" s="117"/>
      <c r="DT83" s="117"/>
      <c r="DU83" s="117"/>
      <c r="DV83" s="166"/>
      <c r="DW83" s="1991"/>
      <c r="DX83" s="1991"/>
      <c r="DY83" s="1991"/>
      <c r="DZ83" s="1991"/>
      <c r="EA83" s="1991"/>
      <c r="EB83" s="1991"/>
      <c r="EC83" s="1991"/>
      <c r="ED83" s="167"/>
      <c r="EE83" s="117"/>
      <c r="EF83" s="117"/>
      <c r="EG83" s="117"/>
      <c r="EH83" s="166"/>
      <c r="EI83" s="1991"/>
      <c r="EJ83" s="1991"/>
      <c r="EK83" s="1991"/>
      <c r="EL83" s="1991"/>
      <c r="EM83" s="1991"/>
      <c r="EN83" s="1991"/>
      <c r="EO83" s="1991"/>
      <c r="EP83" s="264"/>
      <c r="EQ83" s="117"/>
      <c r="ER83" s="117"/>
      <c r="ES83" s="117"/>
      <c r="ET83" s="266"/>
      <c r="EU83" s="1991"/>
      <c r="EV83" s="1991"/>
      <c r="EW83" s="1991"/>
      <c r="EX83" s="1991"/>
      <c r="EY83" s="1991"/>
      <c r="EZ83" s="1991"/>
      <c r="FA83" s="1991"/>
      <c r="FB83" s="167"/>
      <c r="FC83" s="117"/>
      <c r="FD83" s="117"/>
      <c r="FE83" s="117"/>
      <c r="FF83" s="266"/>
      <c r="FG83" s="1991"/>
      <c r="FH83" s="1991"/>
      <c r="FI83" s="1991"/>
      <c r="FJ83" s="1991"/>
      <c r="FK83" s="1991"/>
      <c r="FL83" s="1991"/>
      <c r="FM83" s="1991"/>
      <c r="FN83" s="167"/>
      <c r="FO83" s="117"/>
      <c r="FP83" s="2127"/>
      <c r="FQ83" s="2081"/>
      <c r="FR83" s="2081"/>
      <c r="FS83" s="2128"/>
      <c r="FT83" s="989"/>
      <c r="FU83" s="2127"/>
      <c r="FV83" s="2081"/>
      <c r="FW83" s="2081"/>
      <c r="FX83" s="2128"/>
      <c r="FY83" s="87"/>
      <c r="FZ83" s="87"/>
      <c r="GA83" s="87"/>
      <c r="GC83" s="1853"/>
      <c r="GD83" s="1853"/>
      <c r="GE83" s="1853"/>
      <c r="GF83" s="1853"/>
      <c r="GG83" s="694"/>
      <c r="GH83" s="1133"/>
      <c r="GI83" s="694"/>
      <c r="GJ83" s="694"/>
      <c r="GK83" s="694"/>
      <c r="GL83" s="694"/>
      <c r="GM83" s="694"/>
      <c r="GN83" s="694"/>
      <c r="GO83" s="694"/>
      <c r="GP83" s="694"/>
      <c r="GQ83" s="694"/>
      <c r="GR83" s="694"/>
      <c r="GS83" s="694"/>
      <c r="GT83" s="694"/>
      <c r="GU83" s="694"/>
      <c r="GV83" s="694"/>
      <c r="GW83" s="694"/>
      <c r="GX83" s="694"/>
      <c r="GY83" s="694"/>
      <c r="GZ83" s="694"/>
      <c r="HA83" s="694"/>
      <c r="HB83" s="694"/>
      <c r="HC83" s="694"/>
      <c r="HD83" s="694"/>
      <c r="HE83" s="694"/>
      <c r="HF83" s="694"/>
      <c r="HG83" s="694"/>
      <c r="HH83" s="694"/>
      <c r="HI83" s="694"/>
      <c r="HJ83" s="694"/>
      <c r="HK83" s="694"/>
      <c r="HL83" s="694"/>
      <c r="HM83" s="694"/>
      <c r="HN83" s="694"/>
      <c r="HO83" s="694"/>
      <c r="HP83" s="694"/>
      <c r="HQ83" s="694"/>
      <c r="HR83" s="694"/>
      <c r="HS83" s="694"/>
      <c r="HT83" s="694"/>
      <c r="HU83" s="694"/>
      <c r="HV83" s="694"/>
      <c r="HW83" s="694"/>
      <c r="HX83" s="694"/>
      <c r="HY83" s="694"/>
      <c r="HZ83" s="694"/>
      <c r="IA83" s="694"/>
      <c r="IB83" s="694"/>
      <c r="IC83" s="694"/>
      <c r="ID83" s="694"/>
      <c r="IE83" s="694"/>
      <c r="IF83" s="694"/>
      <c r="IG83" s="694"/>
      <c r="IH83" s="694"/>
      <c r="II83" s="694"/>
      <c r="IJ83" s="694"/>
      <c r="IK83" s="694"/>
      <c r="IL83" s="694"/>
      <c r="IM83" s="694"/>
      <c r="IN83" s="694"/>
      <c r="IO83" s="694"/>
      <c r="IP83" s="694"/>
      <c r="IQ83" s="694"/>
      <c r="IR83" s="694"/>
      <c r="IS83" s="694"/>
      <c r="IT83" s="694"/>
      <c r="IU83" s="694"/>
      <c r="IV83" s="694"/>
      <c r="IW83" s="694"/>
      <c r="IX83" s="694"/>
      <c r="IY83" s="694"/>
      <c r="IZ83" s="694"/>
      <c r="JA83" s="694"/>
      <c r="JB83" s="694"/>
      <c r="JC83" s="694"/>
      <c r="JD83" s="694"/>
      <c r="JE83" s="694"/>
      <c r="JF83" s="694"/>
      <c r="JG83" s="694"/>
      <c r="JH83" s="694"/>
      <c r="JI83" s="694"/>
      <c r="JJ83" s="694"/>
      <c r="JK83" s="694"/>
      <c r="JL83" s="694"/>
      <c r="JM83" s="694"/>
      <c r="JN83" s="694"/>
      <c r="JO83" s="694"/>
      <c r="JP83" s="694"/>
      <c r="JQ83" s="694"/>
      <c r="JR83" s="694"/>
      <c r="JS83" s="694"/>
      <c r="JT83" s="694"/>
      <c r="JU83" s="694"/>
      <c r="JV83" s="694"/>
      <c r="JW83" s="694"/>
      <c r="JX83" s="694"/>
    </row>
    <row r="84" spans="1:284" s="581" customFormat="1" ht="9" customHeight="1" thickBot="1">
      <c r="A84" s="301"/>
      <c r="B84" s="313"/>
      <c r="C84" s="301"/>
      <c r="D84" s="301"/>
      <c r="E84" s="643"/>
      <c r="F84" s="643"/>
      <c r="G84" s="643"/>
      <c r="H84" s="643"/>
      <c r="I84" s="643"/>
      <c r="J84" s="643"/>
      <c r="K84" s="301"/>
      <c r="L84" s="301"/>
      <c r="M84" s="301"/>
      <c r="N84" s="301"/>
      <c r="O84" s="301"/>
      <c r="P84" s="301"/>
      <c r="Q84" s="301"/>
      <c r="R84" s="301"/>
      <c r="S84" s="301"/>
      <c r="T84" s="301"/>
      <c r="U84" s="301"/>
      <c r="V84" s="301"/>
      <c r="W84" s="301"/>
      <c r="X84" s="301"/>
      <c r="Y84" s="301"/>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1087"/>
      <c r="AX84" s="1087"/>
      <c r="AY84" s="1087"/>
      <c r="AZ84" s="1087"/>
      <c r="BA84" s="1087"/>
      <c r="BB84" s="1087"/>
      <c r="BC84" s="1087"/>
      <c r="BD84" s="1087"/>
      <c r="BE84" s="1087"/>
      <c r="BF84" s="405"/>
      <c r="BG84" s="406"/>
      <c r="BH84" s="301"/>
      <c r="BI84" s="405"/>
      <c r="BJ84" s="2133"/>
      <c r="BK84" s="2134"/>
      <c r="BL84" s="2134"/>
      <c r="BM84" s="2134"/>
      <c r="BN84" s="2134"/>
      <c r="BO84" s="2134"/>
      <c r="BP84" s="2134"/>
      <c r="BQ84" s="2134"/>
      <c r="BR84" s="2134"/>
      <c r="BS84" s="2134"/>
      <c r="BT84" s="2134"/>
      <c r="BU84" s="2134"/>
      <c r="BV84" s="2134"/>
      <c r="BW84" s="2134"/>
      <c r="BX84" s="2134"/>
      <c r="BY84" s="2134"/>
      <c r="BZ84" s="2134"/>
      <c r="CA84" s="2134"/>
      <c r="CB84" s="2134"/>
      <c r="CC84" s="2134"/>
      <c r="CD84" s="2134"/>
      <c r="CE84" s="2134"/>
      <c r="CF84" s="2134"/>
      <c r="CG84" s="2134"/>
      <c r="CH84" s="2134"/>
      <c r="CI84" s="2134"/>
      <c r="CJ84" s="2134"/>
      <c r="CK84" s="2134"/>
      <c r="CL84" s="2134"/>
      <c r="CM84" s="2134"/>
      <c r="CN84" s="2134"/>
      <c r="CO84" s="2134"/>
      <c r="CP84" s="2134"/>
      <c r="CQ84" s="2134"/>
      <c r="CR84" s="2134"/>
      <c r="CS84" s="2134"/>
      <c r="CT84" s="87"/>
      <c r="CU84" s="166"/>
      <c r="CV84" s="2107"/>
      <c r="CW84" s="2107"/>
      <c r="CX84" s="2107"/>
      <c r="CY84" s="2107"/>
      <c r="CZ84" s="2107"/>
      <c r="DA84" s="2107"/>
      <c r="DB84" s="2107"/>
      <c r="DC84" s="2107"/>
      <c r="DD84" s="167"/>
      <c r="DE84" s="87"/>
      <c r="DF84" s="117"/>
      <c r="DG84" s="117"/>
      <c r="DH84" s="117"/>
      <c r="DI84" s="87"/>
      <c r="DJ84" s="166"/>
      <c r="DK84" s="1991"/>
      <c r="DL84" s="1991"/>
      <c r="DM84" s="1991"/>
      <c r="DN84" s="1991"/>
      <c r="DO84" s="1991"/>
      <c r="DP84" s="1991"/>
      <c r="DQ84" s="1991"/>
      <c r="DR84" s="167"/>
      <c r="DS84" s="87"/>
      <c r="DT84" s="87"/>
      <c r="DU84" s="87"/>
      <c r="DV84" s="166"/>
      <c r="DW84" s="1991"/>
      <c r="DX84" s="1991"/>
      <c r="DY84" s="1991"/>
      <c r="DZ84" s="1991"/>
      <c r="EA84" s="1991"/>
      <c r="EB84" s="1991"/>
      <c r="EC84" s="1991"/>
      <c r="ED84" s="167"/>
      <c r="EE84" s="87"/>
      <c r="EF84" s="87"/>
      <c r="EG84" s="87"/>
      <c r="EH84" s="166"/>
      <c r="EI84" s="1991"/>
      <c r="EJ84" s="1991"/>
      <c r="EK84" s="1991"/>
      <c r="EL84" s="1991"/>
      <c r="EM84" s="1991"/>
      <c r="EN84" s="1991"/>
      <c r="EO84" s="1991"/>
      <c r="EP84" s="264"/>
      <c r="EQ84" s="87"/>
      <c r="ER84" s="87"/>
      <c r="ES84" s="87"/>
      <c r="ET84" s="266"/>
      <c r="EU84" s="1991"/>
      <c r="EV84" s="1991"/>
      <c r="EW84" s="1991"/>
      <c r="EX84" s="1991"/>
      <c r="EY84" s="1991"/>
      <c r="EZ84" s="1991"/>
      <c r="FA84" s="1991"/>
      <c r="FB84" s="167"/>
      <c r="FC84" s="87"/>
      <c r="FD84" s="87"/>
      <c r="FE84" s="87"/>
      <c r="FF84" s="266"/>
      <c r="FG84" s="1991"/>
      <c r="FH84" s="1991"/>
      <c r="FI84" s="1991"/>
      <c r="FJ84" s="1991"/>
      <c r="FK84" s="1991"/>
      <c r="FL84" s="1991"/>
      <c r="FM84" s="1991"/>
      <c r="FN84" s="167"/>
      <c r="FO84" s="87"/>
      <c r="FP84" s="2129"/>
      <c r="FQ84" s="2130"/>
      <c r="FR84" s="2130"/>
      <c r="FS84" s="2131"/>
      <c r="FT84" s="988"/>
      <c r="FU84" s="2129"/>
      <c r="FV84" s="2130"/>
      <c r="FW84" s="2130"/>
      <c r="FX84" s="2131"/>
      <c r="FY84" s="87"/>
      <c r="FZ84" s="87"/>
      <c r="GA84" s="87"/>
      <c r="GC84" s="694"/>
      <c r="GD84" s="714"/>
      <c r="GE84" s="714"/>
      <c r="GF84" s="714"/>
      <c r="GG84" s="694"/>
      <c r="GH84" s="1133"/>
      <c r="GI84" s="694"/>
      <c r="GJ84" s="694"/>
      <c r="GK84" s="694"/>
      <c r="GL84" s="694"/>
      <c r="GM84" s="694"/>
      <c r="GN84" s="694"/>
      <c r="GO84" s="694"/>
      <c r="GP84" s="694"/>
      <c r="GQ84" s="694"/>
      <c r="GR84" s="694"/>
      <c r="GS84" s="694"/>
      <c r="GT84" s="694"/>
      <c r="GU84" s="694"/>
      <c r="GV84" s="694"/>
      <c r="GW84" s="694"/>
      <c r="GX84" s="694"/>
      <c r="GY84" s="694"/>
      <c r="GZ84" s="694"/>
      <c r="HA84" s="694"/>
      <c r="HB84" s="694"/>
      <c r="HC84" s="694"/>
      <c r="HD84" s="694"/>
      <c r="HE84" s="694"/>
      <c r="HF84" s="694"/>
      <c r="HG84" s="694"/>
      <c r="HH84" s="694"/>
      <c r="HI84" s="694"/>
      <c r="HJ84" s="694"/>
      <c r="HK84" s="694"/>
      <c r="HL84" s="694"/>
      <c r="HM84" s="694"/>
      <c r="HN84" s="694"/>
      <c r="HO84" s="694"/>
      <c r="HP84" s="694"/>
      <c r="HQ84" s="694"/>
      <c r="HR84" s="694"/>
      <c r="HS84" s="694"/>
      <c r="HT84" s="694"/>
      <c r="HU84" s="694"/>
      <c r="HV84" s="694"/>
      <c r="HW84" s="694"/>
      <c r="HX84" s="694"/>
      <c r="HY84" s="694"/>
      <c r="HZ84" s="694"/>
      <c r="IA84" s="694"/>
      <c r="IB84" s="694"/>
      <c r="IC84" s="694"/>
      <c r="ID84" s="694"/>
      <c r="IE84" s="694"/>
      <c r="IF84" s="694"/>
      <c r="IG84" s="694"/>
      <c r="IH84" s="694"/>
      <c r="II84" s="694"/>
      <c r="IJ84" s="694"/>
      <c r="IK84" s="694"/>
      <c r="IL84" s="694"/>
      <c r="IM84" s="694"/>
      <c r="IN84" s="694"/>
      <c r="IO84" s="694"/>
      <c r="IP84" s="694"/>
      <c r="IQ84" s="694"/>
      <c r="IR84" s="694"/>
      <c r="IS84" s="694"/>
      <c r="IT84" s="694"/>
      <c r="IU84" s="694"/>
      <c r="IV84" s="694"/>
      <c r="IW84" s="694"/>
      <c r="IX84" s="694"/>
      <c r="IY84" s="694"/>
      <c r="IZ84" s="694"/>
      <c r="JA84" s="694"/>
      <c r="JB84" s="694"/>
      <c r="JC84" s="694"/>
      <c r="JD84" s="694"/>
      <c r="JE84" s="694"/>
      <c r="JF84" s="694"/>
      <c r="JG84" s="694"/>
      <c r="JH84" s="694"/>
      <c r="JI84" s="694"/>
      <c r="JJ84" s="694"/>
      <c r="JK84" s="694"/>
      <c r="JL84" s="694"/>
      <c r="JM84" s="694"/>
      <c r="JN84" s="694"/>
      <c r="JO84" s="694"/>
      <c r="JP84" s="694"/>
      <c r="JQ84" s="694"/>
      <c r="JR84" s="694"/>
      <c r="JS84" s="694"/>
      <c r="JT84" s="694"/>
      <c r="JU84" s="694"/>
      <c r="JV84" s="694"/>
      <c r="JW84" s="694"/>
      <c r="JX84" s="694"/>
    </row>
    <row r="85" spans="1:284" s="581" customFormat="1" ht="9" customHeight="1" thickBot="1">
      <c r="A85" s="301"/>
      <c r="B85" s="313"/>
      <c r="C85" s="2113" t="str">
        <f>IF(Race="","",IF(NOT(ISERROR(GD85)),MID(EquipmentNameList,GD81+1,GD85-GD81-1),""))</f>
        <v/>
      </c>
      <c r="D85" s="2113"/>
      <c r="E85" s="2113"/>
      <c r="F85" s="2113"/>
      <c r="G85" s="2113"/>
      <c r="H85" s="2113"/>
      <c r="I85" s="2113"/>
      <c r="J85" s="2113"/>
      <c r="K85" s="2113"/>
      <c r="L85" s="2113"/>
      <c r="M85" s="2113"/>
      <c r="N85" s="2113"/>
      <c r="O85" s="2113"/>
      <c r="P85" s="2113"/>
      <c r="Q85" s="2113"/>
      <c r="R85" s="2113"/>
      <c r="S85" s="2113"/>
      <c r="T85" s="2113"/>
      <c r="U85" s="2113"/>
      <c r="V85" s="2113"/>
      <c r="W85" s="2113"/>
      <c r="X85" s="2113"/>
      <c r="Y85" s="2113"/>
      <c r="Z85" s="2113"/>
      <c r="AA85" s="2113"/>
      <c r="AB85" s="2113"/>
      <c r="AC85" s="2113"/>
      <c r="AD85" s="2113"/>
      <c r="AE85" s="2113"/>
      <c r="AF85" s="2113"/>
      <c r="AG85" s="2113"/>
      <c r="AH85" s="2113"/>
      <c r="AI85" s="2113"/>
      <c r="AJ85" s="2113"/>
      <c r="AK85" s="2113"/>
      <c r="AL85" s="2113"/>
      <c r="AM85" s="2113"/>
      <c r="AN85" s="2113"/>
      <c r="AO85" s="2113"/>
      <c r="AP85" s="2113"/>
      <c r="AQ85" s="2113"/>
      <c r="AR85" s="2113"/>
      <c r="AS85" s="2113"/>
      <c r="AT85" s="2113"/>
      <c r="AU85" s="2113"/>
      <c r="AV85" s="2113"/>
      <c r="AW85" s="2115" t="str">
        <f>IF(Race="","",IF(NOT(ISERROR(GE85)),VALUE(MID(EquipmentWeightList,GE81+1,GE85-GE81-1)),""))</f>
        <v/>
      </c>
      <c r="AX85" s="2115"/>
      <c r="AY85" s="2115"/>
      <c r="AZ85" s="2115"/>
      <c r="BA85" s="2115"/>
      <c r="BB85" s="2115"/>
      <c r="BC85" s="2115"/>
      <c r="BD85" s="2115"/>
      <c r="BE85" s="2115"/>
      <c r="BF85" s="405"/>
      <c r="BG85" s="406"/>
      <c r="BH85" s="301"/>
      <c r="BI85" s="405"/>
      <c r="BJ85" s="2133"/>
      <c r="BK85" s="2134"/>
      <c r="BL85" s="2134"/>
      <c r="BM85" s="2134"/>
      <c r="BN85" s="2134"/>
      <c r="BO85" s="2134"/>
      <c r="BP85" s="2134"/>
      <c r="BQ85" s="2134"/>
      <c r="BR85" s="2134"/>
      <c r="BS85" s="2134"/>
      <c r="BT85" s="2134"/>
      <c r="BU85" s="2134"/>
      <c r="BV85" s="2134"/>
      <c r="BW85" s="2134"/>
      <c r="BX85" s="2134"/>
      <c r="BY85" s="2134"/>
      <c r="BZ85" s="2134"/>
      <c r="CA85" s="2134"/>
      <c r="CB85" s="2134"/>
      <c r="CC85" s="2134"/>
      <c r="CD85" s="2134"/>
      <c r="CE85" s="2134"/>
      <c r="CF85" s="2134"/>
      <c r="CG85" s="2134"/>
      <c r="CH85" s="2134"/>
      <c r="CI85" s="2134"/>
      <c r="CJ85" s="2134"/>
      <c r="CK85" s="2134"/>
      <c r="CL85" s="2134"/>
      <c r="CM85" s="2134"/>
      <c r="CN85" s="2134"/>
      <c r="CO85" s="2134"/>
      <c r="CP85" s="2134"/>
      <c r="CQ85" s="2134"/>
      <c r="CR85" s="2134"/>
      <c r="CS85" s="2134"/>
      <c r="CT85" s="87"/>
      <c r="CU85" s="160"/>
      <c r="CV85" s="409"/>
      <c r="CW85" s="409"/>
      <c r="CX85" s="409"/>
      <c r="CY85" s="409"/>
      <c r="CZ85" s="409"/>
      <c r="DA85" s="409"/>
      <c r="DB85" s="409"/>
      <c r="DC85" s="409"/>
      <c r="DD85" s="158"/>
      <c r="DE85" s="87"/>
      <c r="DF85" s="87"/>
      <c r="DG85" s="87"/>
      <c r="DH85" s="87"/>
      <c r="DI85" s="87"/>
      <c r="DJ85" s="160"/>
      <c r="DK85" s="240"/>
      <c r="DL85" s="240"/>
      <c r="DM85" s="240"/>
      <c r="DN85" s="240"/>
      <c r="DO85" s="240"/>
      <c r="DP85" s="240"/>
      <c r="DQ85" s="240"/>
      <c r="DR85" s="158"/>
      <c r="DS85" s="87"/>
      <c r="DT85" s="87"/>
      <c r="DU85" s="87"/>
      <c r="DV85" s="160"/>
      <c r="DW85" s="240"/>
      <c r="DX85" s="240"/>
      <c r="DY85" s="240"/>
      <c r="DZ85" s="240"/>
      <c r="EA85" s="240"/>
      <c r="EB85" s="240"/>
      <c r="EC85" s="240"/>
      <c r="ED85" s="158"/>
      <c r="EE85" s="87"/>
      <c r="EF85" s="87"/>
      <c r="EG85" s="87"/>
      <c r="EH85" s="160"/>
      <c r="EI85" s="204"/>
      <c r="EJ85" s="204"/>
      <c r="EK85" s="204"/>
      <c r="EL85" s="204"/>
      <c r="EM85" s="204"/>
      <c r="EN85" s="204"/>
      <c r="EO85" s="204"/>
      <c r="EP85" s="274"/>
      <c r="EQ85" s="87"/>
      <c r="ER85" s="87"/>
      <c r="ES85" s="87"/>
      <c r="ET85" s="203"/>
      <c r="EU85" s="204"/>
      <c r="EV85" s="204"/>
      <c r="EW85" s="204"/>
      <c r="EX85" s="204"/>
      <c r="EY85" s="204"/>
      <c r="EZ85" s="204"/>
      <c r="FA85" s="204"/>
      <c r="FB85" s="158"/>
      <c r="FC85" s="87"/>
      <c r="FD85" s="87"/>
      <c r="FE85" s="87"/>
      <c r="FF85" s="203"/>
      <c r="FG85" s="204"/>
      <c r="FH85" s="204"/>
      <c r="FI85" s="204"/>
      <c r="FJ85" s="204"/>
      <c r="FK85" s="204"/>
      <c r="FL85" s="204"/>
      <c r="FM85" s="204"/>
      <c r="FN85" s="158"/>
      <c r="FO85" s="87"/>
      <c r="FP85" s="988"/>
      <c r="FQ85" s="988"/>
      <c r="FR85" s="988"/>
      <c r="FS85" s="988"/>
      <c r="FT85" s="988"/>
      <c r="FU85" s="988"/>
      <c r="FV85" s="988"/>
      <c r="FW85" s="988"/>
      <c r="FX85" s="988"/>
      <c r="FY85" s="87"/>
      <c r="FZ85" s="87"/>
      <c r="GA85" s="87"/>
      <c r="GC85" s="1853">
        <f>GC81+1</f>
        <v>19</v>
      </c>
      <c r="GD85" s="1853" t="e">
        <f>FIND(";",EquipmentNameList,GD81+1)</f>
        <v>#VALUE!</v>
      </c>
      <c r="GE85" s="1853" t="e">
        <f>FIND(";",EquipmentWeightList,GE81+1)</f>
        <v>#VALUE!</v>
      </c>
      <c r="GF85" s="1853" t="e">
        <f>FIND(";",EquipmentNumberList,GF81+1)</f>
        <v>#VALUE!</v>
      </c>
      <c r="GG85" s="694"/>
      <c r="GH85" s="1133"/>
      <c r="GI85" s="694"/>
      <c r="GJ85" s="694"/>
      <c r="GK85" s="694"/>
      <c r="GL85" s="694"/>
      <c r="GM85" s="694"/>
      <c r="GN85" s="694"/>
      <c r="GO85" s="694"/>
      <c r="GP85" s="694"/>
      <c r="GQ85" s="694"/>
      <c r="GR85" s="694"/>
      <c r="GS85" s="694"/>
      <c r="GT85" s="694"/>
      <c r="GU85" s="694"/>
      <c r="GV85" s="694"/>
      <c r="GW85" s="694"/>
      <c r="GX85" s="694"/>
      <c r="GY85" s="694"/>
      <c r="GZ85" s="694"/>
      <c r="HA85" s="694"/>
      <c r="HB85" s="694"/>
      <c r="HC85" s="694"/>
      <c r="HD85" s="694"/>
      <c r="HE85" s="694"/>
      <c r="HF85" s="694"/>
      <c r="HG85" s="694"/>
      <c r="HH85" s="694"/>
      <c r="HI85" s="694"/>
      <c r="HJ85" s="694"/>
      <c r="HK85" s="694"/>
      <c r="HL85" s="694"/>
      <c r="HM85" s="694"/>
      <c r="HN85" s="694"/>
      <c r="HO85" s="694"/>
      <c r="HP85" s="694"/>
      <c r="HQ85" s="694"/>
      <c r="HR85" s="694"/>
      <c r="HS85" s="694"/>
      <c r="HT85" s="694"/>
      <c r="HU85" s="694"/>
      <c r="HV85" s="694"/>
      <c r="HW85" s="694"/>
      <c r="HX85" s="694"/>
      <c r="HY85" s="694"/>
      <c r="HZ85" s="694"/>
      <c r="IA85" s="694"/>
      <c r="IB85" s="694"/>
      <c r="IC85" s="694"/>
      <c r="ID85" s="694"/>
      <c r="IE85" s="694"/>
      <c r="IF85" s="694"/>
      <c r="IG85" s="694"/>
      <c r="IH85" s="694"/>
      <c r="II85" s="694"/>
      <c r="IJ85" s="694"/>
      <c r="IK85" s="694"/>
      <c r="IL85" s="694"/>
      <c r="IM85" s="694"/>
      <c r="IN85" s="694"/>
      <c r="IO85" s="694"/>
      <c r="IP85" s="694"/>
      <c r="IQ85" s="694"/>
      <c r="IR85" s="694"/>
      <c r="IS85" s="694"/>
      <c r="IT85" s="694"/>
      <c r="IU85" s="694"/>
      <c r="IV85" s="694"/>
      <c r="IW85" s="694"/>
      <c r="IX85" s="694"/>
      <c r="IY85" s="694"/>
      <c r="IZ85" s="694"/>
      <c r="JA85" s="694"/>
      <c r="JB85" s="694"/>
      <c r="JC85" s="694"/>
      <c r="JD85" s="694"/>
      <c r="JE85" s="694"/>
      <c r="JF85" s="694"/>
      <c r="JG85" s="694"/>
      <c r="JH85" s="694"/>
      <c r="JI85" s="694"/>
      <c r="JJ85" s="694"/>
      <c r="JK85" s="694"/>
      <c r="JL85" s="694"/>
      <c r="JM85" s="694"/>
      <c r="JN85" s="694"/>
      <c r="JO85" s="694"/>
      <c r="JP85" s="694"/>
      <c r="JQ85" s="694"/>
      <c r="JR85" s="694"/>
      <c r="JS85" s="694"/>
      <c r="JT85" s="694"/>
      <c r="JU85" s="694"/>
      <c r="JV85" s="694"/>
      <c r="JW85" s="694"/>
      <c r="JX85" s="694"/>
    </row>
    <row r="86" spans="1:284" s="581" customFormat="1" ht="9" customHeight="1" thickBot="1">
      <c r="A86" s="301"/>
      <c r="B86" s="313"/>
      <c r="C86" s="2113"/>
      <c r="D86" s="2113"/>
      <c r="E86" s="2113"/>
      <c r="F86" s="2113"/>
      <c r="G86" s="2113"/>
      <c r="H86" s="2113"/>
      <c r="I86" s="2113"/>
      <c r="J86" s="2113"/>
      <c r="K86" s="2113"/>
      <c r="L86" s="2113"/>
      <c r="M86" s="2113"/>
      <c r="N86" s="2113"/>
      <c r="O86" s="2113"/>
      <c r="P86" s="2113"/>
      <c r="Q86" s="2113"/>
      <c r="R86" s="2113"/>
      <c r="S86" s="2113"/>
      <c r="T86" s="2113"/>
      <c r="U86" s="2113"/>
      <c r="V86" s="2113"/>
      <c r="W86" s="2113"/>
      <c r="X86" s="2113"/>
      <c r="Y86" s="2113"/>
      <c r="Z86" s="2113"/>
      <c r="AA86" s="2113"/>
      <c r="AB86" s="2113"/>
      <c r="AC86" s="2113"/>
      <c r="AD86" s="2113"/>
      <c r="AE86" s="2113"/>
      <c r="AF86" s="2113"/>
      <c r="AG86" s="2113"/>
      <c r="AH86" s="2113"/>
      <c r="AI86" s="2113"/>
      <c r="AJ86" s="2113"/>
      <c r="AK86" s="2113"/>
      <c r="AL86" s="2113"/>
      <c r="AM86" s="2113"/>
      <c r="AN86" s="2113"/>
      <c r="AO86" s="2113"/>
      <c r="AP86" s="2113"/>
      <c r="AQ86" s="2113"/>
      <c r="AR86" s="2113"/>
      <c r="AS86" s="2113"/>
      <c r="AT86" s="2113"/>
      <c r="AU86" s="2113"/>
      <c r="AV86" s="2113"/>
      <c r="AW86" s="2115"/>
      <c r="AX86" s="2115"/>
      <c r="AY86" s="2115"/>
      <c r="AZ86" s="2115"/>
      <c r="BA86" s="2115"/>
      <c r="BB86" s="2115"/>
      <c r="BC86" s="2115"/>
      <c r="BD86" s="2115"/>
      <c r="BE86" s="2115"/>
      <c r="BF86" s="405"/>
      <c r="BG86" s="406"/>
      <c r="BH86" s="301"/>
      <c r="BI86" s="405"/>
      <c r="BJ86" s="1205"/>
      <c r="BK86" s="1205"/>
      <c r="BL86" s="1205"/>
      <c r="BM86" s="1205"/>
      <c r="BN86" s="1205"/>
      <c r="BO86" s="1205"/>
      <c r="BP86" s="1205"/>
      <c r="BQ86" s="1205"/>
      <c r="BR86" s="1205"/>
      <c r="BS86" s="1205"/>
      <c r="BT86" s="1205"/>
      <c r="BU86" s="1205"/>
      <c r="BV86" s="1205"/>
      <c r="BW86" s="1205"/>
      <c r="BX86" s="1205"/>
      <c r="BY86" s="1205"/>
      <c r="BZ86" s="1205"/>
      <c r="CA86" s="1215"/>
      <c r="CB86" s="1215"/>
      <c r="CC86" s="1215"/>
      <c r="CD86" s="1215"/>
      <c r="CE86" s="1215"/>
      <c r="CF86" s="1215"/>
      <c r="CG86" s="1215"/>
      <c r="CH86" s="1215"/>
      <c r="CI86" s="1215"/>
      <c r="CJ86" s="1215"/>
      <c r="CK86" s="1215"/>
      <c r="CL86" s="1215"/>
      <c r="CM86" s="1205"/>
      <c r="CN86" s="1216"/>
      <c r="CO86" s="1217"/>
      <c r="CP86" s="1217"/>
      <c r="CQ86" s="1217"/>
      <c r="CR86" s="1217"/>
      <c r="CS86" s="1217"/>
      <c r="CT86" s="417"/>
      <c r="CU86" s="417"/>
      <c r="CV86" s="418"/>
      <c r="CW86" s="418"/>
      <c r="CX86" s="416"/>
      <c r="CY86" s="414"/>
      <c r="CZ86" s="414"/>
      <c r="DA86" s="414"/>
      <c r="DB86" s="414"/>
      <c r="DC86" s="414"/>
      <c r="DD86" s="301"/>
      <c r="DE86" s="301"/>
      <c r="DF86" s="301"/>
      <c r="DG86" s="301"/>
      <c r="DH86" s="301"/>
      <c r="DI86" s="301"/>
      <c r="DJ86" s="301"/>
      <c r="DK86" s="301"/>
      <c r="DL86" s="301"/>
      <c r="DM86" s="301"/>
      <c r="DN86" s="301"/>
      <c r="DO86" s="301"/>
      <c r="DP86" s="301"/>
      <c r="DQ86" s="301"/>
      <c r="DR86" s="301"/>
      <c r="DS86" s="301"/>
      <c r="DT86" s="301"/>
      <c r="DU86" s="301"/>
      <c r="DV86" s="301"/>
      <c r="DW86" s="301"/>
      <c r="DX86" s="301"/>
      <c r="DY86" s="301"/>
      <c r="DZ86" s="301"/>
      <c r="EA86" s="301"/>
      <c r="EB86" s="301"/>
      <c r="EC86" s="301"/>
      <c r="ED86" s="301"/>
      <c r="EE86" s="301"/>
      <c r="EF86" s="301"/>
      <c r="EG86" s="301"/>
      <c r="EH86" s="301"/>
      <c r="EI86" s="301"/>
      <c r="EJ86" s="301"/>
      <c r="EK86" s="301"/>
      <c r="EL86" s="301"/>
      <c r="EM86" s="301"/>
      <c r="EN86" s="301"/>
      <c r="EO86" s="301"/>
      <c r="EP86" s="301"/>
      <c r="EQ86" s="301"/>
      <c r="ER86" s="301"/>
      <c r="ES86" s="301"/>
      <c r="ET86" s="301"/>
      <c r="EU86" s="301"/>
      <c r="EV86" s="301"/>
      <c r="EW86" s="301"/>
      <c r="EX86" s="301"/>
      <c r="EY86" s="301"/>
      <c r="EZ86" s="301"/>
      <c r="FA86" s="384"/>
      <c r="FB86" s="384"/>
      <c r="FC86" s="384"/>
      <c r="FD86" s="384"/>
      <c r="FE86" s="384"/>
      <c r="FF86" s="301"/>
      <c r="FG86" s="301"/>
      <c r="FH86" s="301"/>
      <c r="FI86" s="301"/>
      <c r="FJ86" s="301"/>
      <c r="FK86" s="301"/>
      <c r="FL86" s="301"/>
      <c r="FM86" s="301"/>
      <c r="FN86" s="87"/>
      <c r="FO86" s="87"/>
      <c r="FP86" s="988"/>
      <c r="FQ86" s="988"/>
      <c r="FR86" s="988"/>
      <c r="FS86" s="988"/>
      <c r="FT86" s="988"/>
      <c r="FU86" s="988"/>
      <c r="FV86" s="988"/>
      <c r="FW86" s="988"/>
      <c r="FX86" s="988"/>
      <c r="FY86" s="87"/>
      <c r="FZ86" s="87"/>
      <c r="GA86" s="87"/>
      <c r="GC86" s="1853"/>
      <c r="GD86" s="1853"/>
      <c r="GE86" s="1853"/>
      <c r="GF86" s="1853"/>
      <c r="GG86" s="694"/>
      <c r="GH86" s="1133"/>
      <c r="GI86" s="694"/>
      <c r="GJ86" s="694"/>
      <c r="GK86" s="694"/>
      <c r="GL86" s="694"/>
      <c r="GM86" s="694"/>
      <c r="GN86" s="694"/>
      <c r="GO86" s="694"/>
      <c r="GP86" s="694"/>
      <c r="GQ86" s="694"/>
      <c r="GR86" s="694"/>
      <c r="GS86" s="694"/>
      <c r="GT86" s="694"/>
      <c r="GU86" s="694"/>
      <c r="GV86" s="694"/>
      <c r="GW86" s="694"/>
      <c r="GX86" s="694"/>
      <c r="GY86" s="694"/>
      <c r="GZ86" s="694"/>
      <c r="HA86" s="694"/>
      <c r="HB86" s="694"/>
      <c r="HC86" s="694"/>
      <c r="HD86" s="694"/>
      <c r="HE86" s="694"/>
      <c r="HF86" s="694"/>
      <c r="HG86" s="694"/>
      <c r="HH86" s="694"/>
      <c r="HI86" s="694"/>
      <c r="HJ86" s="694"/>
      <c r="HK86" s="694"/>
      <c r="HL86" s="694"/>
      <c r="HM86" s="694"/>
      <c r="HN86" s="694"/>
      <c r="HO86" s="694"/>
      <c r="HP86" s="694"/>
      <c r="HQ86" s="694"/>
      <c r="HR86" s="694"/>
      <c r="HS86" s="694"/>
      <c r="HT86" s="694"/>
      <c r="HU86" s="694"/>
      <c r="HV86" s="694"/>
      <c r="HW86" s="694"/>
      <c r="HX86" s="694"/>
      <c r="HY86" s="694"/>
      <c r="HZ86" s="694"/>
      <c r="IA86" s="694"/>
      <c r="IB86" s="694"/>
      <c r="IC86" s="694"/>
      <c r="ID86" s="694"/>
      <c r="IE86" s="694"/>
      <c r="IF86" s="694"/>
      <c r="IG86" s="694"/>
      <c r="IH86" s="694"/>
      <c r="II86" s="694"/>
      <c r="IJ86" s="694"/>
      <c r="IK86" s="694"/>
      <c r="IL86" s="694"/>
      <c r="IM86" s="694"/>
      <c r="IN86" s="694"/>
      <c r="IO86" s="694"/>
      <c r="IP86" s="694"/>
      <c r="IQ86" s="694"/>
      <c r="IR86" s="694"/>
      <c r="IS86" s="694"/>
      <c r="IT86" s="694"/>
      <c r="IU86" s="694"/>
      <c r="IV86" s="694"/>
      <c r="IW86" s="694"/>
      <c r="IX86" s="694"/>
      <c r="IY86" s="694"/>
      <c r="IZ86" s="694"/>
      <c r="JA86" s="694"/>
      <c r="JB86" s="694"/>
      <c r="JC86" s="694"/>
      <c r="JD86" s="694"/>
      <c r="JE86" s="694"/>
      <c r="JF86" s="694"/>
      <c r="JG86" s="694"/>
      <c r="JH86" s="694"/>
      <c r="JI86" s="694"/>
      <c r="JJ86" s="694"/>
      <c r="JK86" s="694"/>
      <c r="JL86" s="694"/>
      <c r="JM86" s="694"/>
      <c r="JN86" s="694"/>
      <c r="JO86" s="694"/>
      <c r="JP86" s="694"/>
      <c r="JQ86" s="694"/>
      <c r="JR86" s="694"/>
      <c r="JS86" s="694"/>
      <c r="JT86" s="694"/>
      <c r="JU86" s="694"/>
      <c r="JV86" s="694"/>
      <c r="JW86" s="694"/>
      <c r="JX86" s="694"/>
    </row>
    <row r="87" spans="1:284" s="581" customFormat="1" ht="9" customHeight="1" thickBot="1">
      <c r="A87" s="301"/>
      <c r="B87" s="313"/>
      <c r="C87" s="2114"/>
      <c r="D87" s="2114"/>
      <c r="E87" s="2114"/>
      <c r="F87" s="2114"/>
      <c r="G87" s="2114"/>
      <c r="H87" s="2114"/>
      <c r="I87" s="2114"/>
      <c r="J87" s="2114"/>
      <c r="K87" s="2114"/>
      <c r="L87" s="2114"/>
      <c r="M87" s="2114"/>
      <c r="N87" s="2114"/>
      <c r="O87" s="2114"/>
      <c r="P87" s="2114"/>
      <c r="Q87" s="2114"/>
      <c r="R87" s="2114"/>
      <c r="S87" s="2114"/>
      <c r="T87" s="2114"/>
      <c r="U87" s="2114"/>
      <c r="V87" s="2114"/>
      <c r="W87" s="2114"/>
      <c r="X87" s="2114"/>
      <c r="Y87" s="2114"/>
      <c r="Z87" s="2114"/>
      <c r="AA87" s="2114"/>
      <c r="AB87" s="2114"/>
      <c r="AC87" s="2114"/>
      <c r="AD87" s="2114"/>
      <c r="AE87" s="2114"/>
      <c r="AF87" s="2114"/>
      <c r="AG87" s="2114"/>
      <c r="AH87" s="2114"/>
      <c r="AI87" s="2114"/>
      <c r="AJ87" s="2114"/>
      <c r="AK87" s="2114"/>
      <c r="AL87" s="2114"/>
      <c r="AM87" s="2114"/>
      <c r="AN87" s="2114"/>
      <c r="AO87" s="2114"/>
      <c r="AP87" s="2114"/>
      <c r="AQ87" s="2114"/>
      <c r="AR87" s="2114"/>
      <c r="AS87" s="2114"/>
      <c r="AT87" s="2114"/>
      <c r="AU87" s="2114"/>
      <c r="AV87" s="2114"/>
      <c r="AW87" s="2116"/>
      <c r="AX87" s="2116"/>
      <c r="AY87" s="2116"/>
      <c r="AZ87" s="2116"/>
      <c r="BA87" s="2116"/>
      <c r="BB87" s="2116"/>
      <c r="BC87" s="2116"/>
      <c r="BD87" s="2116"/>
      <c r="BE87" s="2116"/>
      <c r="BF87" s="405"/>
      <c r="BG87" s="406"/>
      <c r="BH87" s="301"/>
      <c r="BI87" s="405"/>
      <c r="BJ87" s="2133" t="str">
        <f>Skills!C23</f>
        <v>Knowledge (Tactics)</v>
      </c>
      <c r="BK87" s="2134"/>
      <c r="BL87" s="2134"/>
      <c r="BM87" s="2134"/>
      <c r="BN87" s="2134"/>
      <c r="BO87" s="2134"/>
      <c r="BP87" s="2134"/>
      <c r="BQ87" s="2134"/>
      <c r="BR87" s="2134"/>
      <c r="BS87" s="2134"/>
      <c r="BT87" s="2134"/>
      <c r="BU87" s="2134"/>
      <c r="BV87" s="2134"/>
      <c r="BW87" s="2134"/>
      <c r="BX87" s="2134"/>
      <c r="BY87" s="2134"/>
      <c r="BZ87" s="2134"/>
      <c r="CA87" s="2134"/>
      <c r="CB87" s="2134"/>
      <c r="CC87" s="2134"/>
      <c r="CD87" s="2134"/>
      <c r="CE87" s="2134"/>
      <c r="CF87" s="2134"/>
      <c r="CG87" s="2134"/>
      <c r="CH87" s="2134"/>
      <c r="CI87" s="2134"/>
      <c r="CJ87" s="2134"/>
      <c r="CK87" s="2134"/>
      <c r="CL87" s="2134"/>
      <c r="CM87" s="2134"/>
      <c r="CN87" s="2134"/>
      <c r="CO87" s="2134"/>
      <c r="CP87" s="2134"/>
      <c r="CQ87" s="2134"/>
      <c r="CR87" s="2134"/>
      <c r="CS87" s="2134"/>
      <c r="CT87" s="87"/>
      <c r="CU87" s="158" t="e">
        <f>HeroicLvl+ArmourFort</f>
        <v>#NAME?</v>
      </c>
      <c r="CV87" s="411"/>
      <c r="CW87" s="411"/>
      <c r="CX87" s="411"/>
      <c r="CY87" s="411"/>
      <c r="CZ87" s="411"/>
      <c r="DA87" s="411"/>
      <c r="DB87" s="411"/>
      <c r="DC87" s="411"/>
      <c r="DD87" s="160"/>
      <c r="DE87" s="87"/>
      <c r="DF87" s="87"/>
      <c r="DG87" s="87"/>
      <c r="DH87" s="87"/>
      <c r="DI87" s="87"/>
      <c r="DJ87" s="158" t="e">
        <f>HeroicLvl+ArmourFort</f>
        <v>#NAME?</v>
      </c>
      <c r="DK87" s="159"/>
      <c r="DL87" s="159"/>
      <c r="DM87" s="159"/>
      <c r="DN87" s="159"/>
      <c r="DO87" s="159"/>
      <c r="DP87" s="159"/>
      <c r="DQ87" s="159"/>
      <c r="DR87" s="160"/>
      <c r="DS87" s="87"/>
      <c r="DT87" s="87"/>
      <c r="DU87" s="87"/>
      <c r="DV87" s="158"/>
      <c r="DW87" s="159"/>
      <c r="DX87" s="159"/>
      <c r="DY87" s="159"/>
      <c r="DZ87" s="159"/>
      <c r="EA87" s="159"/>
      <c r="EB87" s="159"/>
      <c r="EC87" s="159"/>
      <c r="ED87" s="160"/>
      <c r="EE87" s="87"/>
      <c r="EF87" s="87"/>
      <c r="EG87" s="87"/>
      <c r="EH87" s="158"/>
      <c r="EI87" s="184"/>
      <c r="EJ87" s="184"/>
      <c r="EK87" s="184"/>
      <c r="EL87" s="184"/>
      <c r="EM87" s="184"/>
      <c r="EN87" s="184"/>
      <c r="EO87" s="184"/>
      <c r="EP87" s="160"/>
      <c r="EQ87" s="87"/>
      <c r="ER87" s="87"/>
      <c r="ES87" s="87"/>
      <c r="ET87" s="158"/>
      <c r="EU87" s="1649"/>
      <c r="EV87" s="1649"/>
      <c r="EW87" s="1649"/>
      <c r="EX87" s="1649"/>
      <c r="EY87" s="1649"/>
      <c r="EZ87" s="1649"/>
      <c r="FA87" s="1649"/>
      <c r="FB87" s="160"/>
      <c r="FC87" s="87"/>
      <c r="FD87" s="87"/>
      <c r="FE87" s="87"/>
      <c r="FF87" s="158"/>
      <c r="FG87" s="159"/>
      <c r="FH87" s="159"/>
      <c r="FI87" s="159"/>
      <c r="FJ87" s="159"/>
      <c r="FK87" s="159"/>
      <c r="FL87" s="159"/>
      <c r="FM87" s="159"/>
      <c r="FN87" s="160"/>
      <c r="FO87" s="87"/>
      <c r="FP87" s="988"/>
      <c r="FQ87" s="988"/>
      <c r="FR87" s="988"/>
      <c r="FS87" s="988"/>
      <c r="FT87" s="988"/>
      <c r="FU87" s="988"/>
      <c r="FV87" s="988"/>
      <c r="FW87" s="988"/>
      <c r="FX87" s="988"/>
      <c r="FY87" s="87"/>
      <c r="FZ87" s="87"/>
      <c r="GA87" s="87"/>
      <c r="GC87" s="1853"/>
      <c r="GD87" s="1853"/>
      <c r="GE87" s="1853"/>
      <c r="GF87" s="1853"/>
      <c r="GG87" s="694"/>
      <c r="GH87" s="1133"/>
      <c r="GI87" s="694"/>
      <c r="GJ87" s="694"/>
      <c r="GK87" s="694"/>
      <c r="GL87" s="694"/>
      <c r="GM87" s="694"/>
      <c r="GN87" s="694"/>
      <c r="GO87" s="694"/>
      <c r="GP87" s="694"/>
      <c r="GQ87" s="694"/>
      <c r="GR87" s="694"/>
      <c r="GS87" s="694"/>
      <c r="GT87" s="694"/>
      <c r="GU87" s="694"/>
      <c r="GV87" s="694"/>
      <c r="GW87" s="694"/>
      <c r="GX87" s="694"/>
      <c r="GY87" s="694"/>
      <c r="GZ87" s="694"/>
      <c r="HA87" s="694"/>
      <c r="HB87" s="694"/>
      <c r="HC87" s="694"/>
      <c r="HD87" s="694"/>
      <c r="HE87" s="694"/>
      <c r="HF87" s="694"/>
      <c r="HG87" s="694"/>
      <c r="HH87" s="694"/>
      <c r="HI87" s="694"/>
      <c r="HJ87" s="694"/>
      <c r="HK87" s="694"/>
      <c r="HL87" s="694"/>
      <c r="HM87" s="694"/>
      <c r="HN87" s="694"/>
      <c r="HO87" s="694"/>
      <c r="HP87" s="694"/>
      <c r="HQ87" s="694"/>
      <c r="HR87" s="694"/>
      <c r="HS87" s="694"/>
      <c r="HT87" s="694"/>
      <c r="HU87" s="694"/>
      <c r="HV87" s="694"/>
      <c r="HW87" s="694"/>
      <c r="HX87" s="694"/>
      <c r="HY87" s="694"/>
      <c r="HZ87" s="694"/>
      <c r="IA87" s="694"/>
      <c r="IB87" s="694"/>
      <c r="IC87" s="694"/>
      <c r="ID87" s="694"/>
      <c r="IE87" s="694"/>
      <c r="IF87" s="694"/>
      <c r="IG87" s="694"/>
      <c r="IH87" s="694"/>
      <c r="II87" s="694"/>
      <c r="IJ87" s="694"/>
      <c r="IK87" s="694"/>
      <c r="IL87" s="694"/>
      <c r="IM87" s="694"/>
      <c r="IN87" s="694"/>
      <c r="IO87" s="694"/>
      <c r="IP87" s="694"/>
      <c r="IQ87" s="694"/>
      <c r="IR87" s="694"/>
      <c r="IS87" s="694"/>
      <c r="IT87" s="694"/>
      <c r="IU87" s="694"/>
      <c r="IV87" s="694"/>
      <c r="IW87" s="694"/>
      <c r="IX87" s="694"/>
      <c r="IY87" s="694"/>
      <c r="IZ87" s="694"/>
      <c r="JA87" s="694"/>
      <c r="JB87" s="694"/>
      <c r="JC87" s="694"/>
      <c r="JD87" s="694"/>
      <c r="JE87" s="694"/>
      <c r="JF87" s="694"/>
      <c r="JG87" s="694"/>
      <c r="JH87" s="694"/>
      <c r="JI87" s="694"/>
      <c r="JJ87" s="694"/>
      <c r="JK87" s="694"/>
      <c r="JL87" s="694"/>
      <c r="JM87" s="694"/>
      <c r="JN87" s="694"/>
      <c r="JO87" s="694"/>
      <c r="JP87" s="694"/>
      <c r="JQ87" s="694"/>
      <c r="JR87" s="694"/>
      <c r="JS87" s="694"/>
      <c r="JT87" s="694"/>
      <c r="JU87" s="694"/>
      <c r="JV87" s="694"/>
      <c r="JW87" s="694"/>
      <c r="JX87" s="694"/>
    </row>
    <row r="88" spans="1:284" s="581" customFormat="1" ht="9" customHeight="1">
      <c r="A88" s="301"/>
      <c r="B88" s="313"/>
      <c r="C88" s="301"/>
      <c r="D88" s="301"/>
      <c r="E88" s="643"/>
      <c r="F88" s="643"/>
      <c r="G88" s="643"/>
      <c r="H88" s="643"/>
      <c r="I88" s="643"/>
      <c r="J88" s="643"/>
      <c r="K88" s="301"/>
      <c r="L88" s="301"/>
      <c r="M88" s="301"/>
      <c r="N88" s="301"/>
      <c r="O88" s="301"/>
      <c r="P88" s="301"/>
      <c r="Q88" s="301"/>
      <c r="R88" s="301"/>
      <c r="S88" s="301"/>
      <c r="T88" s="301"/>
      <c r="U88" s="301"/>
      <c r="V88" s="301"/>
      <c r="W88" s="301"/>
      <c r="X88" s="301"/>
      <c r="Y88" s="301"/>
      <c r="Z88" s="301"/>
      <c r="AA88" s="301"/>
      <c r="AB88" s="301"/>
      <c r="AC88" s="301"/>
      <c r="AD88" s="301"/>
      <c r="AE88" s="301"/>
      <c r="AF88" s="301"/>
      <c r="AG88" s="301"/>
      <c r="AH88" s="301"/>
      <c r="AI88" s="301"/>
      <c r="AJ88" s="301"/>
      <c r="AK88" s="301"/>
      <c r="AL88" s="301"/>
      <c r="AM88" s="301"/>
      <c r="AN88" s="301"/>
      <c r="AO88" s="301"/>
      <c r="AP88" s="301"/>
      <c r="AQ88" s="301"/>
      <c r="AR88" s="301"/>
      <c r="AS88" s="301"/>
      <c r="AT88" s="301"/>
      <c r="AU88" s="301"/>
      <c r="AV88" s="301"/>
      <c r="AW88" s="1087"/>
      <c r="AX88" s="1087"/>
      <c r="AY88" s="1087"/>
      <c r="AZ88" s="1087"/>
      <c r="BA88" s="1087"/>
      <c r="BB88" s="1087"/>
      <c r="BC88" s="1087"/>
      <c r="BD88" s="1087"/>
      <c r="BE88" s="1087"/>
      <c r="BF88" s="405"/>
      <c r="BG88" s="406"/>
      <c r="BH88" s="301"/>
      <c r="BI88" s="405"/>
      <c r="BJ88" s="2133"/>
      <c r="BK88" s="2134"/>
      <c r="BL88" s="2134"/>
      <c r="BM88" s="2134"/>
      <c r="BN88" s="2134"/>
      <c r="BO88" s="2134"/>
      <c r="BP88" s="2134"/>
      <c r="BQ88" s="2134"/>
      <c r="BR88" s="2134"/>
      <c r="BS88" s="2134"/>
      <c r="BT88" s="2134"/>
      <c r="BU88" s="2134"/>
      <c r="BV88" s="2134"/>
      <c r="BW88" s="2134"/>
      <c r="BX88" s="2134"/>
      <c r="BY88" s="2134"/>
      <c r="BZ88" s="2134"/>
      <c r="CA88" s="2134"/>
      <c r="CB88" s="2134"/>
      <c r="CC88" s="2134"/>
      <c r="CD88" s="2134"/>
      <c r="CE88" s="2134"/>
      <c r="CF88" s="2134"/>
      <c r="CG88" s="2134"/>
      <c r="CH88" s="2134"/>
      <c r="CI88" s="2134"/>
      <c r="CJ88" s="2134"/>
      <c r="CK88" s="2134"/>
      <c r="CL88" s="2134"/>
      <c r="CM88" s="2134"/>
      <c r="CN88" s="2134"/>
      <c r="CO88" s="2134"/>
      <c r="CP88" s="2134"/>
      <c r="CQ88" s="2134"/>
      <c r="CR88" s="2134"/>
      <c r="CS88" s="2134"/>
      <c r="CT88" s="87"/>
      <c r="CU88" s="166"/>
      <c r="CV88" s="2107">
        <f ca="1">KnowledgeTactics</f>
        <v>0</v>
      </c>
      <c r="CW88" s="2107"/>
      <c r="CX88" s="2107"/>
      <c r="CY88" s="2107"/>
      <c r="CZ88" s="2107"/>
      <c r="DA88" s="2107"/>
      <c r="DB88" s="2107"/>
      <c r="DC88" s="2107"/>
      <c r="DD88" s="167"/>
      <c r="DE88" s="87"/>
      <c r="DF88" s="117"/>
      <c r="DG88" s="117"/>
      <c r="DH88" s="117"/>
      <c r="DI88" s="87"/>
      <c r="DJ88" s="166"/>
      <c r="DK88" s="1991">
        <f>ROUNDDOWN(CharacterLevel/2,0)</f>
        <v>0</v>
      </c>
      <c r="DL88" s="1991"/>
      <c r="DM88" s="1991"/>
      <c r="DN88" s="1991"/>
      <c r="DO88" s="1991"/>
      <c r="DP88" s="1991"/>
      <c r="DQ88" s="1991"/>
      <c r="DR88" s="167"/>
      <c r="DS88" s="87"/>
      <c r="DT88" s="87"/>
      <c r="DU88" s="87"/>
      <c r="DV88" s="166"/>
      <c r="DW88" s="1991" t="str">
        <f>IntMod</f>
        <v/>
      </c>
      <c r="DX88" s="1991"/>
      <c r="DY88" s="1991"/>
      <c r="DZ88" s="1991"/>
      <c r="EA88" s="1991"/>
      <c r="EB88" s="1991"/>
      <c r="EC88" s="1991"/>
      <c r="ED88" s="167"/>
      <c r="EE88" s="87"/>
      <c r="EF88" s="87"/>
      <c r="EG88" s="87"/>
      <c r="EH88" s="166"/>
      <c r="EI88" s="1991" t="str">
        <f>IF(CharacterLevel&gt;0,IF(OR(INDEX(SkillTable,MATCH(BJ87,SkillList,0),4)="Yes",INDEX(SkillTable,MATCH(BJ87,SkillList,0),5)="Yes"),5,0),"")</f>
        <v/>
      </c>
      <c r="EJ88" s="1991"/>
      <c r="EK88" s="1991"/>
      <c r="EL88" s="1991"/>
      <c r="EM88" s="1991"/>
      <c r="EN88" s="1991"/>
      <c r="EO88" s="1991"/>
      <c r="EP88" s="264"/>
      <c r="EQ88" s="265"/>
      <c r="ER88" s="265"/>
      <c r="ES88" s="265"/>
      <c r="ET88" s="266"/>
      <c r="EU88" s="1991" t="b">
        <f>IF(CharacterLevel&gt;0,IF(Skills!R23="Yes",5,0))</f>
        <v>0</v>
      </c>
      <c r="EV88" s="1991"/>
      <c r="EW88" s="1991"/>
      <c r="EX88" s="1991"/>
      <c r="EY88" s="1991"/>
      <c r="EZ88" s="1991"/>
      <c r="FA88" s="1991"/>
      <c r="FB88" s="167"/>
      <c r="FC88" s="265"/>
      <c r="FD88" s="265"/>
      <c r="FE88" s="265"/>
      <c r="FF88" s="266"/>
      <c r="FG88" s="1991">
        <f>ArmorPenalty+INDEX(SkillTable,MATCH(BJ87,SkillList,0),12)</f>
        <v>0</v>
      </c>
      <c r="FH88" s="1991"/>
      <c r="FI88" s="1991"/>
      <c r="FJ88" s="1991"/>
      <c r="FK88" s="1991"/>
      <c r="FL88" s="1991"/>
      <c r="FM88" s="1991"/>
      <c r="FN88" s="167"/>
      <c r="FO88" s="87"/>
      <c r="FP88" s="2124" t="str">
        <f>IF(INDEX(SkillTable,MATCH(BJ87,SkillList,0),77)&lt;&gt;"","×","")</f>
        <v/>
      </c>
      <c r="FQ88" s="2125"/>
      <c r="FR88" s="2125"/>
      <c r="FS88" s="2126"/>
      <c r="FT88" s="988"/>
      <c r="FU88" s="2124" t="str">
        <f>IF(INDEX(SkillTable,MATCH(BJ87,SkillList,0),78)&lt;&gt;"","×","")</f>
        <v/>
      </c>
      <c r="FV88" s="2125"/>
      <c r="FW88" s="2125"/>
      <c r="FX88" s="2126"/>
      <c r="FY88" s="87"/>
      <c r="FZ88" s="87"/>
      <c r="GA88" s="87"/>
      <c r="GC88" s="694"/>
      <c r="GD88" s="694"/>
      <c r="GE88" s="694"/>
      <c r="GF88" s="714"/>
      <c r="GG88" s="694"/>
      <c r="GH88" s="1135" t="e">
        <f ca="1">IF(INDEX(SkillTable,MATCH(BJ87,SkillList,0),14),1,0)</f>
        <v>#VALUE!</v>
      </c>
      <c r="GI88" s="694"/>
      <c r="GJ88" s="694"/>
      <c r="GK88" s="694"/>
      <c r="GL88" s="694"/>
      <c r="GM88" s="694"/>
      <c r="GN88" s="694"/>
      <c r="GO88" s="694"/>
      <c r="GP88" s="694"/>
      <c r="GQ88" s="694"/>
      <c r="GR88" s="694"/>
      <c r="GS88" s="694"/>
      <c r="GT88" s="694"/>
      <c r="GU88" s="694"/>
      <c r="GV88" s="694"/>
      <c r="GW88" s="694"/>
      <c r="GX88" s="694"/>
      <c r="GY88" s="694"/>
      <c r="GZ88" s="694"/>
      <c r="HA88" s="694"/>
      <c r="HB88" s="694"/>
      <c r="HC88" s="694"/>
      <c r="HD88" s="694"/>
      <c r="HE88" s="694"/>
      <c r="HF88" s="694"/>
      <c r="HG88" s="694"/>
      <c r="HH88" s="694"/>
      <c r="HI88" s="694"/>
      <c r="HJ88" s="694"/>
      <c r="HK88" s="694"/>
      <c r="HL88" s="694"/>
      <c r="HM88" s="694"/>
      <c r="HN88" s="694"/>
      <c r="HO88" s="694"/>
      <c r="HP88" s="694"/>
      <c r="HQ88" s="694"/>
      <c r="HR88" s="694"/>
      <c r="HS88" s="694"/>
      <c r="HT88" s="694"/>
      <c r="HU88" s="694"/>
      <c r="HV88" s="694"/>
      <c r="HW88" s="694"/>
      <c r="HX88" s="694"/>
      <c r="HY88" s="694"/>
      <c r="HZ88" s="694"/>
      <c r="IA88" s="694"/>
      <c r="IB88" s="694"/>
      <c r="IC88" s="694"/>
      <c r="ID88" s="694"/>
      <c r="IE88" s="694"/>
      <c r="IF88" s="694"/>
      <c r="IG88" s="694"/>
      <c r="IH88" s="694"/>
      <c r="II88" s="694"/>
      <c r="IJ88" s="694"/>
      <c r="IK88" s="694"/>
      <c r="IL88" s="694"/>
      <c r="IM88" s="694"/>
      <c r="IN88" s="694"/>
      <c r="IO88" s="694"/>
      <c r="IP88" s="694"/>
      <c r="IQ88" s="694"/>
      <c r="IR88" s="694"/>
      <c r="IS88" s="694"/>
      <c r="IT88" s="694"/>
      <c r="IU88" s="694"/>
      <c r="IV88" s="694"/>
      <c r="IW88" s="694"/>
      <c r="IX88" s="694"/>
      <c r="IY88" s="694"/>
      <c r="IZ88" s="694"/>
      <c r="JA88" s="694"/>
      <c r="JB88" s="694"/>
      <c r="JC88" s="694"/>
      <c r="JD88" s="694"/>
      <c r="JE88" s="694"/>
      <c r="JF88" s="694"/>
      <c r="JG88" s="694"/>
      <c r="JH88" s="694"/>
      <c r="JI88" s="694"/>
      <c r="JJ88" s="694"/>
      <c r="JK88" s="694"/>
      <c r="JL88" s="694"/>
      <c r="JM88" s="694"/>
      <c r="JN88" s="694"/>
      <c r="JO88" s="694"/>
      <c r="JP88" s="694"/>
      <c r="JQ88" s="694"/>
      <c r="JR88" s="694"/>
      <c r="JS88" s="694"/>
      <c r="JT88" s="694"/>
      <c r="JU88" s="694"/>
      <c r="JV88" s="694"/>
      <c r="JW88" s="694"/>
      <c r="JX88" s="694"/>
    </row>
    <row r="89" spans="1:284" s="581" customFormat="1" ht="9" customHeight="1">
      <c r="A89" s="301"/>
      <c r="B89" s="313"/>
      <c r="C89" s="2113" t="str">
        <f>IF(Race="","",IF(NOT(ISERROR(GD89)),MID(EquipmentNameList,GD85+1,GD89-GD85-1),""))</f>
        <v/>
      </c>
      <c r="D89" s="2113"/>
      <c r="E89" s="2113"/>
      <c r="F89" s="2113"/>
      <c r="G89" s="2113"/>
      <c r="H89" s="2113"/>
      <c r="I89" s="2113"/>
      <c r="J89" s="2113"/>
      <c r="K89" s="2113"/>
      <c r="L89" s="2113"/>
      <c r="M89" s="2113"/>
      <c r="N89" s="2113"/>
      <c r="O89" s="2113"/>
      <c r="P89" s="2113"/>
      <c r="Q89" s="2113"/>
      <c r="R89" s="2113"/>
      <c r="S89" s="2113"/>
      <c r="T89" s="2113"/>
      <c r="U89" s="2113"/>
      <c r="V89" s="2113"/>
      <c r="W89" s="2113"/>
      <c r="X89" s="2113"/>
      <c r="Y89" s="2113"/>
      <c r="Z89" s="2113"/>
      <c r="AA89" s="2113"/>
      <c r="AB89" s="2113"/>
      <c r="AC89" s="2113"/>
      <c r="AD89" s="2113"/>
      <c r="AE89" s="2113"/>
      <c r="AF89" s="2113"/>
      <c r="AG89" s="2113"/>
      <c r="AH89" s="2113"/>
      <c r="AI89" s="2113"/>
      <c r="AJ89" s="2113"/>
      <c r="AK89" s="2113"/>
      <c r="AL89" s="2113"/>
      <c r="AM89" s="2113"/>
      <c r="AN89" s="2113"/>
      <c r="AO89" s="2113"/>
      <c r="AP89" s="2113"/>
      <c r="AQ89" s="2113"/>
      <c r="AR89" s="2113"/>
      <c r="AS89" s="2113"/>
      <c r="AT89" s="2113"/>
      <c r="AU89" s="2113"/>
      <c r="AV89" s="2113"/>
      <c r="AW89" s="2115" t="str">
        <f>IF(Race="","",IF(NOT(ISERROR(GE89)),VALUE(MID(EquipmentWeightList,GE85+1,GE89-GE85-1)),""))</f>
        <v/>
      </c>
      <c r="AX89" s="2115"/>
      <c r="AY89" s="2115"/>
      <c r="AZ89" s="2115"/>
      <c r="BA89" s="2115"/>
      <c r="BB89" s="2115"/>
      <c r="BC89" s="2115"/>
      <c r="BD89" s="2115"/>
      <c r="BE89" s="2115"/>
      <c r="BF89" s="405"/>
      <c r="BG89" s="406"/>
      <c r="BH89" s="301"/>
      <c r="BI89" s="405"/>
      <c r="BJ89" s="2133"/>
      <c r="BK89" s="2134"/>
      <c r="BL89" s="2134"/>
      <c r="BM89" s="2134"/>
      <c r="BN89" s="2134"/>
      <c r="BO89" s="2134"/>
      <c r="BP89" s="2134"/>
      <c r="BQ89" s="2134"/>
      <c r="BR89" s="2134"/>
      <c r="BS89" s="2134"/>
      <c r="BT89" s="2134"/>
      <c r="BU89" s="2134"/>
      <c r="BV89" s="2134"/>
      <c r="BW89" s="2134"/>
      <c r="BX89" s="2134"/>
      <c r="BY89" s="2134"/>
      <c r="BZ89" s="2134"/>
      <c r="CA89" s="2134"/>
      <c r="CB89" s="2134"/>
      <c r="CC89" s="2134"/>
      <c r="CD89" s="2134"/>
      <c r="CE89" s="2134"/>
      <c r="CF89" s="2134"/>
      <c r="CG89" s="2134"/>
      <c r="CH89" s="2134"/>
      <c r="CI89" s="2134"/>
      <c r="CJ89" s="2134"/>
      <c r="CK89" s="2134"/>
      <c r="CL89" s="2134"/>
      <c r="CM89" s="2134"/>
      <c r="CN89" s="2134"/>
      <c r="CO89" s="2134"/>
      <c r="CP89" s="2134"/>
      <c r="CQ89" s="2134"/>
      <c r="CR89" s="2134"/>
      <c r="CS89" s="2134"/>
      <c r="CT89" s="87"/>
      <c r="CU89" s="166"/>
      <c r="CV89" s="2107"/>
      <c r="CW89" s="2107"/>
      <c r="CX89" s="2107"/>
      <c r="CY89" s="2107"/>
      <c r="CZ89" s="2107"/>
      <c r="DA89" s="2107"/>
      <c r="DB89" s="2107"/>
      <c r="DC89" s="2107"/>
      <c r="DD89" s="167"/>
      <c r="DE89" s="87"/>
      <c r="DF89" s="87"/>
      <c r="DG89" s="87"/>
      <c r="DH89" s="87"/>
      <c r="DI89" s="87"/>
      <c r="DJ89" s="166"/>
      <c r="DK89" s="1991"/>
      <c r="DL89" s="1991"/>
      <c r="DM89" s="1991"/>
      <c r="DN89" s="1991"/>
      <c r="DO89" s="1991"/>
      <c r="DP89" s="1991"/>
      <c r="DQ89" s="1991"/>
      <c r="DR89" s="167"/>
      <c r="DS89" s="117"/>
      <c r="DT89" s="117"/>
      <c r="DU89" s="117"/>
      <c r="DV89" s="166"/>
      <c r="DW89" s="1991"/>
      <c r="DX89" s="1991"/>
      <c r="DY89" s="1991"/>
      <c r="DZ89" s="1991"/>
      <c r="EA89" s="1991"/>
      <c r="EB89" s="1991"/>
      <c r="EC89" s="1991"/>
      <c r="ED89" s="167"/>
      <c r="EE89" s="117"/>
      <c r="EF89" s="117"/>
      <c r="EG89" s="117"/>
      <c r="EH89" s="166"/>
      <c r="EI89" s="1991"/>
      <c r="EJ89" s="1991"/>
      <c r="EK89" s="1991"/>
      <c r="EL89" s="1991"/>
      <c r="EM89" s="1991"/>
      <c r="EN89" s="1991"/>
      <c r="EO89" s="1991"/>
      <c r="EP89" s="264"/>
      <c r="EQ89" s="117"/>
      <c r="ER89" s="117"/>
      <c r="ES89" s="117"/>
      <c r="ET89" s="266"/>
      <c r="EU89" s="1991"/>
      <c r="EV89" s="1991"/>
      <c r="EW89" s="1991"/>
      <c r="EX89" s="1991"/>
      <c r="EY89" s="1991"/>
      <c r="EZ89" s="1991"/>
      <c r="FA89" s="1991"/>
      <c r="FB89" s="167"/>
      <c r="FC89" s="117"/>
      <c r="FD89" s="117"/>
      <c r="FE89" s="117"/>
      <c r="FF89" s="266"/>
      <c r="FG89" s="1991"/>
      <c r="FH89" s="1991"/>
      <c r="FI89" s="1991"/>
      <c r="FJ89" s="1991"/>
      <c r="FK89" s="1991"/>
      <c r="FL89" s="1991"/>
      <c r="FM89" s="1991"/>
      <c r="FN89" s="167"/>
      <c r="FO89" s="117"/>
      <c r="FP89" s="2127"/>
      <c r="FQ89" s="2081"/>
      <c r="FR89" s="2081"/>
      <c r="FS89" s="2128"/>
      <c r="FT89" s="989"/>
      <c r="FU89" s="2127"/>
      <c r="FV89" s="2081"/>
      <c r="FW89" s="2081"/>
      <c r="FX89" s="2128"/>
      <c r="FY89" s="87"/>
      <c r="FZ89" s="87"/>
      <c r="GA89" s="87"/>
      <c r="GC89" s="1853">
        <f>GC85+1</f>
        <v>20</v>
      </c>
      <c r="GD89" s="1853" t="e">
        <f>FIND(";",EquipmentNameList,GD85+1)</f>
        <v>#VALUE!</v>
      </c>
      <c r="GE89" s="1853" t="e">
        <f>FIND(";",EquipmentWeightList,GE85+1)</f>
        <v>#VALUE!</v>
      </c>
      <c r="GF89" s="1853" t="e">
        <f>FIND(";",EquipmentNumberList,GF85+1)</f>
        <v>#VALUE!</v>
      </c>
      <c r="GG89" s="694"/>
      <c r="GH89" s="1133"/>
      <c r="GI89" s="694"/>
      <c r="GJ89" s="694"/>
      <c r="GK89" s="694"/>
      <c r="GL89" s="694"/>
      <c r="GM89" s="694"/>
      <c r="GN89" s="694"/>
      <c r="GO89" s="694"/>
      <c r="GP89" s="694"/>
      <c r="GQ89" s="694"/>
      <c r="GR89" s="694"/>
      <c r="GS89" s="694"/>
      <c r="GT89" s="694"/>
      <c r="GU89" s="694"/>
      <c r="GV89" s="694"/>
      <c r="GW89" s="694"/>
      <c r="GX89" s="694"/>
      <c r="GY89" s="694"/>
      <c r="GZ89" s="694"/>
      <c r="HA89" s="694"/>
      <c r="HB89" s="694"/>
      <c r="HC89" s="694"/>
      <c r="HD89" s="694"/>
      <c r="HE89" s="694"/>
      <c r="HF89" s="694"/>
      <c r="HG89" s="694"/>
      <c r="HH89" s="694"/>
      <c r="HI89" s="694"/>
      <c r="HJ89" s="694"/>
      <c r="HK89" s="694"/>
      <c r="HL89" s="694"/>
      <c r="HM89" s="694"/>
      <c r="HN89" s="694"/>
      <c r="HO89" s="694"/>
      <c r="HP89" s="694"/>
      <c r="HQ89" s="694"/>
      <c r="HR89" s="694"/>
      <c r="HS89" s="694"/>
      <c r="HT89" s="694"/>
      <c r="HU89" s="694"/>
      <c r="HV89" s="694"/>
      <c r="HW89" s="694"/>
      <c r="HX89" s="694"/>
      <c r="HY89" s="694"/>
      <c r="HZ89" s="694"/>
      <c r="IA89" s="694"/>
      <c r="IB89" s="694"/>
      <c r="IC89" s="694"/>
      <c r="ID89" s="694"/>
      <c r="IE89" s="694"/>
      <c r="IF89" s="694"/>
      <c r="IG89" s="694"/>
      <c r="IH89" s="694"/>
      <c r="II89" s="694"/>
      <c r="IJ89" s="694"/>
      <c r="IK89" s="694"/>
      <c r="IL89" s="694"/>
      <c r="IM89" s="694"/>
      <c r="IN89" s="694"/>
      <c r="IO89" s="694"/>
      <c r="IP89" s="694"/>
      <c r="IQ89" s="694"/>
      <c r="IR89" s="694"/>
      <c r="IS89" s="694"/>
      <c r="IT89" s="694"/>
      <c r="IU89" s="694"/>
      <c r="IV89" s="694"/>
      <c r="IW89" s="694"/>
      <c r="IX89" s="694"/>
      <c r="IY89" s="694"/>
      <c r="IZ89" s="694"/>
      <c r="JA89" s="694"/>
      <c r="JB89" s="694"/>
      <c r="JC89" s="694"/>
      <c r="JD89" s="694"/>
      <c r="JE89" s="694"/>
      <c r="JF89" s="694"/>
      <c r="JG89" s="694"/>
      <c r="JH89" s="694"/>
      <c r="JI89" s="694"/>
      <c r="JJ89" s="694"/>
      <c r="JK89" s="694"/>
      <c r="JL89" s="694"/>
      <c r="JM89" s="694"/>
      <c r="JN89" s="694"/>
      <c r="JO89" s="694"/>
      <c r="JP89" s="694"/>
      <c r="JQ89" s="694"/>
      <c r="JR89" s="694"/>
      <c r="JS89" s="694"/>
      <c r="JT89" s="694"/>
      <c r="JU89" s="694"/>
      <c r="JV89" s="694"/>
      <c r="JW89" s="694"/>
      <c r="JX89" s="694"/>
    </row>
    <row r="90" spans="1:284" s="581" customFormat="1" ht="9" customHeight="1" thickBot="1">
      <c r="A90" s="301"/>
      <c r="B90" s="313"/>
      <c r="C90" s="2113"/>
      <c r="D90" s="2113"/>
      <c r="E90" s="2113"/>
      <c r="F90" s="2113"/>
      <c r="G90" s="2113"/>
      <c r="H90" s="2113"/>
      <c r="I90" s="2113"/>
      <c r="J90" s="2113"/>
      <c r="K90" s="2113"/>
      <c r="L90" s="2113"/>
      <c r="M90" s="2113"/>
      <c r="N90" s="2113"/>
      <c r="O90" s="2113"/>
      <c r="P90" s="2113"/>
      <c r="Q90" s="2113"/>
      <c r="R90" s="2113"/>
      <c r="S90" s="2113"/>
      <c r="T90" s="2113"/>
      <c r="U90" s="2113"/>
      <c r="V90" s="2113"/>
      <c r="W90" s="2113"/>
      <c r="X90" s="2113"/>
      <c r="Y90" s="2113"/>
      <c r="Z90" s="2113"/>
      <c r="AA90" s="2113"/>
      <c r="AB90" s="2113"/>
      <c r="AC90" s="2113"/>
      <c r="AD90" s="2113"/>
      <c r="AE90" s="2113"/>
      <c r="AF90" s="2113"/>
      <c r="AG90" s="2113"/>
      <c r="AH90" s="2113"/>
      <c r="AI90" s="2113"/>
      <c r="AJ90" s="2113"/>
      <c r="AK90" s="2113"/>
      <c r="AL90" s="2113"/>
      <c r="AM90" s="2113"/>
      <c r="AN90" s="2113"/>
      <c r="AO90" s="2113"/>
      <c r="AP90" s="2113"/>
      <c r="AQ90" s="2113"/>
      <c r="AR90" s="2113"/>
      <c r="AS90" s="2113"/>
      <c r="AT90" s="2113"/>
      <c r="AU90" s="2113"/>
      <c r="AV90" s="2113"/>
      <c r="AW90" s="2115"/>
      <c r="AX90" s="2115"/>
      <c r="AY90" s="2115"/>
      <c r="AZ90" s="2115"/>
      <c r="BA90" s="2115"/>
      <c r="BB90" s="2115"/>
      <c r="BC90" s="2115"/>
      <c r="BD90" s="2115"/>
      <c r="BE90" s="2115"/>
      <c r="BF90" s="405"/>
      <c r="BG90" s="406"/>
      <c r="BH90" s="301"/>
      <c r="BI90" s="405"/>
      <c r="BJ90" s="2133"/>
      <c r="BK90" s="2134"/>
      <c r="BL90" s="2134"/>
      <c r="BM90" s="2134"/>
      <c r="BN90" s="2134"/>
      <c r="BO90" s="2134"/>
      <c r="BP90" s="2134"/>
      <c r="BQ90" s="2134"/>
      <c r="BR90" s="2134"/>
      <c r="BS90" s="2134"/>
      <c r="BT90" s="2134"/>
      <c r="BU90" s="2134"/>
      <c r="BV90" s="2134"/>
      <c r="BW90" s="2134"/>
      <c r="BX90" s="2134"/>
      <c r="BY90" s="2134"/>
      <c r="BZ90" s="2134"/>
      <c r="CA90" s="2134"/>
      <c r="CB90" s="2134"/>
      <c r="CC90" s="2134"/>
      <c r="CD90" s="2134"/>
      <c r="CE90" s="2134"/>
      <c r="CF90" s="2134"/>
      <c r="CG90" s="2134"/>
      <c r="CH90" s="2134"/>
      <c r="CI90" s="2134"/>
      <c r="CJ90" s="2134"/>
      <c r="CK90" s="2134"/>
      <c r="CL90" s="2134"/>
      <c r="CM90" s="2134"/>
      <c r="CN90" s="2134"/>
      <c r="CO90" s="2134"/>
      <c r="CP90" s="2134"/>
      <c r="CQ90" s="2134"/>
      <c r="CR90" s="2134"/>
      <c r="CS90" s="2134"/>
      <c r="CT90" s="87"/>
      <c r="CU90" s="166"/>
      <c r="CV90" s="2107"/>
      <c r="CW90" s="2107"/>
      <c r="CX90" s="2107"/>
      <c r="CY90" s="2107"/>
      <c r="CZ90" s="2107"/>
      <c r="DA90" s="2107"/>
      <c r="DB90" s="2107"/>
      <c r="DC90" s="2107"/>
      <c r="DD90" s="167"/>
      <c r="DE90" s="87"/>
      <c r="DF90" s="117"/>
      <c r="DG90" s="117"/>
      <c r="DH90" s="117"/>
      <c r="DI90" s="87"/>
      <c r="DJ90" s="166"/>
      <c r="DK90" s="1991"/>
      <c r="DL90" s="1991"/>
      <c r="DM90" s="1991"/>
      <c r="DN90" s="1991"/>
      <c r="DO90" s="1991"/>
      <c r="DP90" s="1991"/>
      <c r="DQ90" s="1991"/>
      <c r="DR90" s="167"/>
      <c r="DS90" s="87"/>
      <c r="DT90" s="87"/>
      <c r="DU90" s="87"/>
      <c r="DV90" s="166"/>
      <c r="DW90" s="1991"/>
      <c r="DX90" s="1991"/>
      <c r="DY90" s="1991"/>
      <c r="DZ90" s="1991"/>
      <c r="EA90" s="1991"/>
      <c r="EB90" s="1991"/>
      <c r="EC90" s="1991"/>
      <c r="ED90" s="167"/>
      <c r="EE90" s="87"/>
      <c r="EF90" s="87"/>
      <c r="EG90" s="87"/>
      <c r="EH90" s="166"/>
      <c r="EI90" s="1991"/>
      <c r="EJ90" s="1991"/>
      <c r="EK90" s="1991"/>
      <c r="EL90" s="1991"/>
      <c r="EM90" s="1991"/>
      <c r="EN90" s="1991"/>
      <c r="EO90" s="1991"/>
      <c r="EP90" s="264"/>
      <c r="EQ90" s="87"/>
      <c r="ER90" s="87"/>
      <c r="ES90" s="87"/>
      <c r="ET90" s="266"/>
      <c r="EU90" s="1991"/>
      <c r="EV90" s="1991"/>
      <c r="EW90" s="1991"/>
      <c r="EX90" s="1991"/>
      <c r="EY90" s="1991"/>
      <c r="EZ90" s="1991"/>
      <c r="FA90" s="1991"/>
      <c r="FB90" s="167"/>
      <c r="FC90" s="87"/>
      <c r="FD90" s="87"/>
      <c r="FE90" s="87"/>
      <c r="FF90" s="266"/>
      <c r="FG90" s="1991"/>
      <c r="FH90" s="1991"/>
      <c r="FI90" s="1991"/>
      <c r="FJ90" s="1991"/>
      <c r="FK90" s="1991"/>
      <c r="FL90" s="1991"/>
      <c r="FM90" s="1991"/>
      <c r="FN90" s="167"/>
      <c r="FO90" s="87"/>
      <c r="FP90" s="2129"/>
      <c r="FQ90" s="2130"/>
      <c r="FR90" s="2130"/>
      <c r="FS90" s="2131"/>
      <c r="FT90" s="988"/>
      <c r="FU90" s="2129"/>
      <c r="FV90" s="2130"/>
      <c r="FW90" s="2130"/>
      <c r="FX90" s="2131"/>
      <c r="FY90" s="87"/>
      <c r="FZ90" s="87"/>
      <c r="GA90" s="87"/>
      <c r="GC90" s="1853"/>
      <c r="GD90" s="1853"/>
      <c r="GE90" s="1853"/>
      <c r="GF90" s="1853"/>
      <c r="GG90" s="694"/>
      <c r="GH90" s="1133"/>
      <c r="GI90" s="694"/>
      <c r="GJ90" s="694"/>
      <c r="GK90" s="694"/>
      <c r="GL90" s="694"/>
      <c r="GM90" s="694"/>
      <c r="GN90" s="694"/>
      <c r="GO90" s="694"/>
      <c r="GP90" s="694"/>
      <c r="GQ90" s="694"/>
      <c r="GR90" s="694"/>
      <c r="GS90" s="694"/>
      <c r="GT90" s="694"/>
      <c r="GU90" s="694"/>
      <c r="GV90" s="694"/>
      <c r="GW90" s="694"/>
      <c r="GX90" s="694"/>
      <c r="GY90" s="694"/>
      <c r="GZ90" s="694"/>
      <c r="HA90" s="694"/>
      <c r="HB90" s="694"/>
      <c r="HC90" s="694"/>
      <c r="HD90" s="694"/>
      <c r="HE90" s="694"/>
      <c r="HF90" s="694"/>
      <c r="HG90" s="694"/>
      <c r="HH90" s="694"/>
      <c r="HI90" s="694"/>
      <c r="HJ90" s="694"/>
      <c r="HK90" s="694"/>
      <c r="HL90" s="694"/>
      <c r="HM90" s="694"/>
      <c r="HN90" s="694"/>
      <c r="HO90" s="694"/>
      <c r="HP90" s="694"/>
      <c r="HQ90" s="694"/>
      <c r="HR90" s="694"/>
      <c r="HS90" s="694"/>
      <c r="HT90" s="694"/>
      <c r="HU90" s="694"/>
      <c r="HV90" s="694"/>
      <c r="HW90" s="694"/>
      <c r="HX90" s="694"/>
      <c r="HY90" s="694"/>
      <c r="HZ90" s="694"/>
      <c r="IA90" s="694"/>
      <c r="IB90" s="694"/>
      <c r="IC90" s="694"/>
      <c r="ID90" s="694"/>
      <c r="IE90" s="694"/>
      <c r="IF90" s="694"/>
      <c r="IG90" s="694"/>
      <c r="IH90" s="694"/>
      <c r="II90" s="694"/>
      <c r="IJ90" s="694"/>
      <c r="IK90" s="694"/>
      <c r="IL90" s="694"/>
      <c r="IM90" s="694"/>
      <c r="IN90" s="694"/>
      <c r="IO90" s="694"/>
      <c r="IP90" s="694"/>
      <c r="IQ90" s="694"/>
      <c r="IR90" s="694"/>
      <c r="IS90" s="694"/>
      <c r="IT90" s="694"/>
      <c r="IU90" s="694"/>
      <c r="IV90" s="694"/>
      <c r="IW90" s="694"/>
      <c r="IX90" s="694"/>
      <c r="IY90" s="694"/>
      <c r="IZ90" s="694"/>
      <c r="JA90" s="694"/>
      <c r="JB90" s="694"/>
      <c r="JC90" s="694"/>
      <c r="JD90" s="694"/>
      <c r="JE90" s="694"/>
      <c r="JF90" s="694"/>
      <c r="JG90" s="694"/>
      <c r="JH90" s="694"/>
      <c r="JI90" s="694"/>
      <c r="JJ90" s="694"/>
      <c r="JK90" s="694"/>
      <c r="JL90" s="694"/>
      <c r="JM90" s="694"/>
      <c r="JN90" s="694"/>
      <c r="JO90" s="694"/>
      <c r="JP90" s="694"/>
      <c r="JQ90" s="694"/>
      <c r="JR90" s="694"/>
      <c r="JS90" s="694"/>
      <c r="JT90" s="694"/>
      <c r="JU90" s="694"/>
      <c r="JV90" s="694"/>
      <c r="JW90" s="694"/>
      <c r="JX90" s="694"/>
    </row>
    <row r="91" spans="1:284" s="581" customFormat="1" ht="9" customHeight="1" thickBot="1">
      <c r="A91" s="301"/>
      <c r="B91" s="313"/>
      <c r="C91" s="2114"/>
      <c r="D91" s="2114"/>
      <c r="E91" s="2114"/>
      <c r="F91" s="2114"/>
      <c r="G91" s="2114"/>
      <c r="H91" s="2114"/>
      <c r="I91" s="2114"/>
      <c r="J91" s="2114"/>
      <c r="K91" s="2114"/>
      <c r="L91" s="2114"/>
      <c r="M91" s="2114"/>
      <c r="N91" s="2114"/>
      <c r="O91" s="2114"/>
      <c r="P91" s="2114"/>
      <c r="Q91" s="2114"/>
      <c r="R91" s="2114"/>
      <c r="S91" s="2114"/>
      <c r="T91" s="2114"/>
      <c r="U91" s="2114"/>
      <c r="V91" s="2114"/>
      <c r="W91" s="2114"/>
      <c r="X91" s="2114"/>
      <c r="Y91" s="2114"/>
      <c r="Z91" s="2114"/>
      <c r="AA91" s="2114"/>
      <c r="AB91" s="2114"/>
      <c r="AC91" s="2114"/>
      <c r="AD91" s="2114"/>
      <c r="AE91" s="2114"/>
      <c r="AF91" s="2114"/>
      <c r="AG91" s="2114"/>
      <c r="AH91" s="2114"/>
      <c r="AI91" s="2114"/>
      <c r="AJ91" s="2114"/>
      <c r="AK91" s="2114"/>
      <c r="AL91" s="2114"/>
      <c r="AM91" s="2114"/>
      <c r="AN91" s="2114"/>
      <c r="AO91" s="2114"/>
      <c r="AP91" s="2114"/>
      <c r="AQ91" s="2114"/>
      <c r="AR91" s="2114"/>
      <c r="AS91" s="2114"/>
      <c r="AT91" s="2114"/>
      <c r="AU91" s="2114"/>
      <c r="AV91" s="2114"/>
      <c r="AW91" s="2116"/>
      <c r="AX91" s="2116"/>
      <c r="AY91" s="2116"/>
      <c r="AZ91" s="2116"/>
      <c r="BA91" s="2116"/>
      <c r="BB91" s="2116"/>
      <c r="BC91" s="2116"/>
      <c r="BD91" s="2116"/>
      <c r="BE91" s="2116"/>
      <c r="BF91" s="405"/>
      <c r="BG91" s="406"/>
      <c r="BH91" s="301"/>
      <c r="BI91" s="405"/>
      <c r="BJ91" s="2133"/>
      <c r="BK91" s="2134"/>
      <c r="BL91" s="2134"/>
      <c r="BM91" s="2134"/>
      <c r="BN91" s="2134"/>
      <c r="BO91" s="2134"/>
      <c r="BP91" s="2134"/>
      <c r="BQ91" s="2134"/>
      <c r="BR91" s="2134"/>
      <c r="BS91" s="2134"/>
      <c r="BT91" s="2134"/>
      <c r="BU91" s="2134"/>
      <c r="BV91" s="2134"/>
      <c r="BW91" s="2134"/>
      <c r="BX91" s="2134"/>
      <c r="BY91" s="2134"/>
      <c r="BZ91" s="2134"/>
      <c r="CA91" s="2134"/>
      <c r="CB91" s="2134"/>
      <c r="CC91" s="2134"/>
      <c r="CD91" s="2134"/>
      <c r="CE91" s="2134"/>
      <c r="CF91" s="2134"/>
      <c r="CG91" s="2134"/>
      <c r="CH91" s="2134"/>
      <c r="CI91" s="2134"/>
      <c r="CJ91" s="2134"/>
      <c r="CK91" s="2134"/>
      <c r="CL91" s="2134"/>
      <c r="CM91" s="2134"/>
      <c r="CN91" s="2134"/>
      <c r="CO91" s="2134"/>
      <c r="CP91" s="2134"/>
      <c r="CQ91" s="2134"/>
      <c r="CR91" s="2134"/>
      <c r="CS91" s="2134"/>
      <c r="CT91" s="87"/>
      <c r="CU91" s="160"/>
      <c r="CV91" s="409"/>
      <c r="CW91" s="409"/>
      <c r="CX91" s="409"/>
      <c r="CY91" s="409"/>
      <c r="CZ91" s="409"/>
      <c r="DA91" s="409"/>
      <c r="DB91" s="409"/>
      <c r="DC91" s="409"/>
      <c r="DD91" s="158"/>
      <c r="DE91" s="87"/>
      <c r="DF91" s="87"/>
      <c r="DG91" s="87"/>
      <c r="DH91" s="87"/>
      <c r="DI91" s="87"/>
      <c r="DJ91" s="160"/>
      <c r="DK91" s="240"/>
      <c r="DL91" s="240"/>
      <c r="DM91" s="240"/>
      <c r="DN91" s="240"/>
      <c r="DO91" s="240"/>
      <c r="DP91" s="240"/>
      <c r="DQ91" s="240"/>
      <c r="DR91" s="158"/>
      <c r="DS91" s="87"/>
      <c r="DT91" s="87"/>
      <c r="DU91" s="87"/>
      <c r="DV91" s="160"/>
      <c r="DW91" s="240"/>
      <c r="DX91" s="240"/>
      <c r="DY91" s="240"/>
      <c r="DZ91" s="240"/>
      <c r="EA91" s="240"/>
      <c r="EB91" s="240"/>
      <c r="EC91" s="240"/>
      <c r="ED91" s="158"/>
      <c r="EE91" s="87"/>
      <c r="EF91" s="87"/>
      <c r="EG91" s="87"/>
      <c r="EH91" s="160"/>
      <c r="EI91" s="204"/>
      <c r="EJ91" s="204"/>
      <c r="EK91" s="204"/>
      <c r="EL91" s="204"/>
      <c r="EM91" s="204"/>
      <c r="EN91" s="204"/>
      <c r="EO91" s="204"/>
      <c r="EP91" s="274"/>
      <c r="EQ91" s="87"/>
      <c r="ER91" s="87"/>
      <c r="ES91" s="87"/>
      <c r="ET91" s="203"/>
      <c r="EU91" s="204"/>
      <c r="EV91" s="204"/>
      <c r="EW91" s="204"/>
      <c r="EX91" s="204"/>
      <c r="EY91" s="204"/>
      <c r="EZ91" s="204"/>
      <c r="FA91" s="204"/>
      <c r="FB91" s="158"/>
      <c r="FC91" s="87"/>
      <c r="FD91" s="87"/>
      <c r="FE91" s="87"/>
      <c r="FF91" s="203"/>
      <c r="FG91" s="204"/>
      <c r="FH91" s="204"/>
      <c r="FI91" s="204"/>
      <c r="FJ91" s="204"/>
      <c r="FK91" s="204"/>
      <c r="FL91" s="204"/>
      <c r="FM91" s="204"/>
      <c r="FN91" s="158"/>
      <c r="FO91" s="87"/>
      <c r="FP91" s="988"/>
      <c r="FQ91" s="988"/>
      <c r="FR91" s="988"/>
      <c r="FS91" s="988"/>
      <c r="FT91" s="988"/>
      <c r="FU91" s="988"/>
      <c r="FV91" s="988"/>
      <c r="FW91" s="988"/>
      <c r="FX91" s="988"/>
      <c r="FY91" s="87"/>
      <c r="FZ91" s="87"/>
      <c r="GA91" s="87"/>
      <c r="GC91" s="1853"/>
      <c r="GD91" s="1853"/>
      <c r="GE91" s="1853"/>
      <c r="GF91" s="1853"/>
      <c r="GG91" s="694"/>
      <c r="GH91" s="1133"/>
      <c r="GI91" s="694"/>
      <c r="GJ91" s="694"/>
      <c r="GK91" s="694"/>
      <c r="GL91" s="694"/>
      <c r="GM91" s="694"/>
      <c r="GN91" s="694"/>
      <c r="GO91" s="694"/>
      <c r="GP91" s="694"/>
      <c r="GQ91" s="694"/>
      <c r="GR91" s="694"/>
      <c r="GS91" s="694"/>
      <c r="GT91" s="694"/>
      <c r="GU91" s="694"/>
      <c r="GV91" s="694"/>
      <c r="GW91" s="694"/>
      <c r="GX91" s="694"/>
      <c r="GY91" s="694"/>
      <c r="GZ91" s="694"/>
      <c r="HA91" s="694"/>
      <c r="HB91" s="694"/>
      <c r="HC91" s="694"/>
      <c r="HD91" s="694"/>
      <c r="HE91" s="694"/>
      <c r="HF91" s="694"/>
      <c r="HG91" s="694"/>
      <c r="HH91" s="694"/>
      <c r="HI91" s="694"/>
      <c r="HJ91" s="694"/>
      <c r="HK91" s="694"/>
      <c r="HL91" s="694"/>
      <c r="HM91" s="694"/>
      <c r="HN91" s="694"/>
      <c r="HO91" s="694"/>
      <c r="HP91" s="694"/>
      <c r="HQ91" s="694"/>
      <c r="HR91" s="694"/>
      <c r="HS91" s="694"/>
      <c r="HT91" s="694"/>
      <c r="HU91" s="694"/>
      <c r="HV91" s="694"/>
      <c r="HW91" s="694"/>
      <c r="HX91" s="694"/>
      <c r="HY91" s="694"/>
      <c r="HZ91" s="694"/>
      <c r="IA91" s="694"/>
      <c r="IB91" s="694"/>
      <c r="IC91" s="694"/>
      <c r="ID91" s="694"/>
      <c r="IE91" s="694"/>
      <c r="IF91" s="694"/>
      <c r="IG91" s="694"/>
      <c r="IH91" s="694"/>
      <c r="II91" s="694"/>
      <c r="IJ91" s="694"/>
      <c r="IK91" s="694"/>
      <c r="IL91" s="694"/>
      <c r="IM91" s="694"/>
      <c r="IN91" s="694"/>
      <c r="IO91" s="694"/>
      <c r="IP91" s="694"/>
      <c r="IQ91" s="694"/>
      <c r="IR91" s="694"/>
      <c r="IS91" s="694"/>
      <c r="IT91" s="694"/>
      <c r="IU91" s="694"/>
      <c r="IV91" s="694"/>
      <c r="IW91" s="694"/>
      <c r="IX91" s="694"/>
      <c r="IY91" s="694"/>
      <c r="IZ91" s="694"/>
      <c r="JA91" s="694"/>
      <c r="JB91" s="694"/>
      <c r="JC91" s="694"/>
      <c r="JD91" s="694"/>
      <c r="JE91" s="694"/>
      <c r="JF91" s="694"/>
      <c r="JG91" s="694"/>
      <c r="JH91" s="694"/>
      <c r="JI91" s="694"/>
      <c r="JJ91" s="694"/>
      <c r="JK91" s="694"/>
      <c r="JL91" s="694"/>
      <c r="JM91" s="694"/>
      <c r="JN91" s="694"/>
      <c r="JO91" s="694"/>
      <c r="JP91" s="694"/>
      <c r="JQ91" s="694"/>
      <c r="JR91" s="694"/>
      <c r="JS91" s="694"/>
      <c r="JT91" s="694"/>
      <c r="JU91" s="694"/>
      <c r="JV91" s="694"/>
      <c r="JW91" s="694"/>
      <c r="JX91" s="694"/>
    </row>
    <row r="92" spans="1:284" s="581" customFormat="1" ht="9" customHeight="1" thickBot="1">
      <c r="A92" s="301"/>
      <c r="B92" s="313"/>
      <c r="C92" s="301"/>
      <c r="D92" s="301"/>
      <c r="E92" s="643"/>
      <c r="F92" s="643"/>
      <c r="G92" s="643"/>
      <c r="H92" s="643"/>
      <c r="I92" s="643"/>
      <c r="J92" s="643"/>
      <c r="K92" s="301"/>
      <c r="L92" s="301"/>
      <c r="M92" s="301"/>
      <c r="N92" s="301"/>
      <c r="O92" s="301"/>
      <c r="P92" s="301"/>
      <c r="Q92" s="301"/>
      <c r="R92" s="301"/>
      <c r="S92" s="301"/>
      <c r="T92" s="301"/>
      <c r="U92" s="301"/>
      <c r="V92" s="301"/>
      <c r="W92" s="301"/>
      <c r="X92" s="301"/>
      <c r="Y92" s="301"/>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1087"/>
      <c r="AX92" s="1087"/>
      <c r="AY92" s="1087"/>
      <c r="AZ92" s="1087"/>
      <c r="BA92" s="1087"/>
      <c r="BB92" s="1087"/>
      <c r="BC92" s="1087"/>
      <c r="BD92" s="1087"/>
      <c r="BE92" s="1087"/>
      <c r="BF92" s="405"/>
      <c r="BG92" s="406"/>
      <c r="BH92" s="301"/>
      <c r="BI92" s="405"/>
      <c r="BJ92" s="1218"/>
      <c r="BK92" s="1219"/>
      <c r="BL92" s="1219"/>
      <c r="BM92" s="1219"/>
      <c r="BN92" s="1219"/>
      <c r="BO92" s="1219"/>
      <c r="BP92" s="1219"/>
      <c r="BQ92" s="1219"/>
      <c r="BR92" s="1219"/>
      <c r="BS92" s="1219"/>
      <c r="BT92" s="1219"/>
      <c r="BU92" s="1219"/>
      <c r="BV92" s="1219"/>
      <c r="BW92" s="1219"/>
      <c r="BX92" s="1219"/>
      <c r="BY92" s="1219"/>
      <c r="BZ92" s="1219"/>
      <c r="CA92" s="1219"/>
      <c r="CB92" s="1219"/>
      <c r="CC92" s="1219"/>
      <c r="CD92" s="1219"/>
      <c r="CE92" s="1219"/>
      <c r="CF92" s="1219"/>
      <c r="CG92" s="1219"/>
      <c r="CH92" s="1219"/>
      <c r="CI92" s="1219"/>
      <c r="CJ92" s="1219"/>
      <c r="CK92" s="1219"/>
      <c r="CL92" s="1219"/>
      <c r="CM92" s="1219"/>
      <c r="CN92" s="1219"/>
      <c r="CO92" s="1219"/>
      <c r="CP92" s="1219"/>
      <c r="CQ92" s="1219"/>
      <c r="CR92" s="1219"/>
      <c r="CS92" s="1219"/>
      <c r="CT92" s="87"/>
      <c r="CU92" s="109"/>
      <c r="CV92" s="420"/>
      <c r="CW92" s="420"/>
      <c r="CX92" s="420"/>
      <c r="CY92" s="420"/>
      <c r="CZ92" s="420"/>
      <c r="DA92" s="420"/>
      <c r="DB92" s="420"/>
      <c r="DC92" s="420"/>
      <c r="DD92" s="109"/>
      <c r="DE92" s="87"/>
      <c r="DF92" s="87"/>
      <c r="DG92" s="87"/>
      <c r="DH92" s="87"/>
      <c r="DI92" s="87"/>
      <c r="DJ92" s="109"/>
      <c r="DK92" s="109"/>
      <c r="DL92" s="109"/>
      <c r="DM92" s="109"/>
      <c r="DN92" s="109"/>
      <c r="DO92" s="109"/>
      <c r="DP92" s="109"/>
      <c r="DQ92" s="109"/>
      <c r="DR92" s="109"/>
      <c r="DS92" s="87"/>
      <c r="DT92" s="87"/>
      <c r="DU92" s="87"/>
      <c r="DV92" s="109"/>
      <c r="DW92" s="109"/>
      <c r="DX92" s="109"/>
      <c r="DY92" s="109"/>
      <c r="DZ92" s="109"/>
      <c r="EA92" s="109"/>
      <c r="EB92" s="109"/>
      <c r="EC92" s="109"/>
      <c r="ED92" s="109"/>
      <c r="EE92" s="87"/>
      <c r="EF92" s="87"/>
      <c r="EG92" s="87"/>
      <c r="EH92" s="109"/>
      <c r="EI92" s="282"/>
      <c r="EJ92" s="282"/>
      <c r="EK92" s="282"/>
      <c r="EL92" s="282"/>
      <c r="EM92" s="282"/>
      <c r="EN92" s="282"/>
      <c r="EO92" s="282"/>
      <c r="EP92" s="282"/>
      <c r="EQ92" s="87"/>
      <c r="ER92" s="87"/>
      <c r="ES92" s="87"/>
      <c r="ET92" s="282"/>
      <c r="EU92" s="282"/>
      <c r="EV92" s="282"/>
      <c r="EW92" s="282"/>
      <c r="EX92" s="282"/>
      <c r="EY92" s="282"/>
      <c r="EZ92" s="282"/>
      <c r="FA92" s="282"/>
      <c r="FB92" s="109"/>
      <c r="FC92" s="87"/>
      <c r="FD92" s="87"/>
      <c r="FE92" s="87"/>
      <c r="FF92" s="282"/>
      <c r="FG92" s="282"/>
      <c r="FH92" s="282"/>
      <c r="FI92" s="282"/>
      <c r="FJ92" s="282"/>
      <c r="FK92" s="282"/>
      <c r="FL92" s="282"/>
      <c r="FM92" s="282"/>
      <c r="FN92" s="109"/>
      <c r="FO92" s="87"/>
      <c r="FP92" s="988"/>
      <c r="FQ92" s="988"/>
      <c r="FR92" s="988"/>
      <c r="FS92" s="988"/>
      <c r="FT92" s="988"/>
      <c r="FU92" s="988"/>
      <c r="FV92" s="988"/>
      <c r="FW92" s="988"/>
      <c r="FX92" s="988"/>
      <c r="FY92" s="87"/>
      <c r="FZ92" s="87"/>
      <c r="GA92" s="87"/>
      <c r="GC92" s="694"/>
      <c r="GD92" s="694"/>
      <c r="GE92" s="694"/>
      <c r="GF92" s="714"/>
      <c r="GG92" s="694"/>
      <c r="GH92" s="1133"/>
      <c r="GI92" s="694"/>
      <c r="GJ92" s="694"/>
      <c r="GK92" s="694"/>
      <c r="GL92" s="694"/>
      <c r="GM92" s="694"/>
      <c r="GN92" s="694"/>
      <c r="GO92" s="694"/>
      <c r="GP92" s="694"/>
      <c r="GQ92" s="694"/>
      <c r="GR92" s="694"/>
      <c r="GS92" s="694"/>
      <c r="GT92" s="694"/>
      <c r="GU92" s="694"/>
      <c r="GV92" s="694"/>
      <c r="GW92" s="694"/>
      <c r="GX92" s="694"/>
      <c r="GY92" s="694"/>
      <c r="GZ92" s="694"/>
      <c r="HA92" s="694"/>
      <c r="HB92" s="694"/>
      <c r="HC92" s="694"/>
      <c r="HD92" s="694"/>
      <c r="HE92" s="694"/>
      <c r="HF92" s="694"/>
      <c r="HG92" s="694"/>
      <c r="HH92" s="694"/>
      <c r="HI92" s="694"/>
      <c r="HJ92" s="694"/>
      <c r="HK92" s="694"/>
      <c r="HL92" s="694"/>
      <c r="HM92" s="694"/>
      <c r="HN92" s="694"/>
      <c r="HO92" s="694"/>
      <c r="HP92" s="694"/>
      <c r="HQ92" s="694"/>
      <c r="HR92" s="694"/>
      <c r="HS92" s="694"/>
      <c r="HT92" s="694"/>
      <c r="HU92" s="694"/>
      <c r="HV92" s="694"/>
      <c r="HW92" s="694"/>
      <c r="HX92" s="694"/>
      <c r="HY92" s="694"/>
      <c r="HZ92" s="694"/>
      <c r="IA92" s="694"/>
      <c r="IB92" s="694"/>
      <c r="IC92" s="694"/>
      <c r="ID92" s="694"/>
      <c r="IE92" s="694"/>
      <c r="IF92" s="694"/>
      <c r="IG92" s="694"/>
      <c r="IH92" s="694"/>
      <c r="II92" s="694"/>
      <c r="IJ92" s="694"/>
      <c r="IK92" s="694"/>
      <c r="IL92" s="694"/>
      <c r="IM92" s="694"/>
      <c r="IN92" s="694"/>
      <c r="IO92" s="694"/>
      <c r="IP92" s="694"/>
      <c r="IQ92" s="694"/>
      <c r="IR92" s="694"/>
      <c r="IS92" s="694"/>
      <c r="IT92" s="694"/>
      <c r="IU92" s="694"/>
      <c r="IV92" s="694"/>
      <c r="IW92" s="694"/>
      <c r="IX92" s="694"/>
      <c r="IY92" s="694"/>
      <c r="IZ92" s="694"/>
      <c r="JA92" s="694"/>
      <c r="JB92" s="694"/>
      <c r="JC92" s="694"/>
      <c r="JD92" s="694"/>
      <c r="JE92" s="694"/>
      <c r="JF92" s="694"/>
      <c r="JG92" s="694"/>
      <c r="JH92" s="694"/>
      <c r="JI92" s="694"/>
      <c r="JJ92" s="694"/>
      <c r="JK92" s="694"/>
      <c r="JL92" s="694"/>
      <c r="JM92" s="694"/>
      <c r="JN92" s="694"/>
      <c r="JO92" s="694"/>
      <c r="JP92" s="694"/>
      <c r="JQ92" s="694"/>
      <c r="JR92" s="694"/>
      <c r="JS92" s="694"/>
      <c r="JT92" s="694"/>
      <c r="JU92" s="694"/>
      <c r="JV92" s="694"/>
      <c r="JW92" s="694"/>
      <c r="JX92" s="694"/>
    </row>
    <row r="93" spans="1:284" s="581" customFormat="1" ht="9" customHeight="1" thickBot="1">
      <c r="A93" s="301"/>
      <c r="B93" s="313"/>
      <c r="C93" s="2113" t="str">
        <f>IF(Race="","",IF(NOT(ISERROR(GD93)),MID(EquipmentNameList,GD89+1,GD93-GD89-1),""))</f>
        <v/>
      </c>
      <c r="D93" s="2113"/>
      <c r="E93" s="2113"/>
      <c r="F93" s="2113"/>
      <c r="G93" s="2113"/>
      <c r="H93" s="2113"/>
      <c r="I93" s="2113"/>
      <c r="J93" s="2113"/>
      <c r="K93" s="2113"/>
      <c r="L93" s="2113"/>
      <c r="M93" s="2113"/>
      <c r="N93" s="2113"/>
      <c r="O93" s="2113"/>
      <c r="P93" s="2113"/>
      <c r="Q93" s="2113"/>
      <c r="R93" s="2113"/>
      <c r="S93" s="2113"/>
      <c r="T93" s="2113"/>
      <c r="U93" s="2113"/>
      <c r="V93" s="2113"/>
      <c r="W93" s="2113"/>
      <c r="X93" s="2113"/>
      <c r="Y93" s="2113"/>
      <c r="Z93" s="2113"/>
      <c r="AA93" s="2113"/>
      <c r="AB93" s="2113"/>
      <c r="AC93" s="2113"/>
      <c r="AD93" s="2113"/>
      <c r="AE93" s="2113"/>
      <c r="AF93" s="2113"/>
      <c r="AG93" s="2113"/>
      <c r="AH93" s="2113"/>
      <c r="AI93" s="2113"/>
      <c r="AJ93" s="2113"/>
      <c r="AK93" s="2113"/>
      <c r="AL93" s="2113"/>
      <c r="AM93" s="2113"/>
      <c r="AN93" s="2113"/>
      <c r="AO93" s="2113"/>
      <c r="AP93" s="2113"/>
      <c r="AQ93" s="2113"/>
      <c r="AR93" s="2113"/>
      <c r="AS93" s="2113"/>
      <c r="AT93" s="2113"/>
      <c r="AU93" s="2113"/>
      <c r="AV93" s="2113"/>
      <c r="AW93" s="2115" t="str">
        <f>IF(Race="","",IF(NOT(ISERROR(GE93)),VALUE(MID(EquipmentWeightList,GE89+1,GE93-GE89-1)),""))</f>
        <v/>
      </c>
      <c r="AX93" s="2115"/>
      <c r="AY93" s="2115"/>
      <c r="AZ93" s="2115"/>
      <c r="BA93" s="2115"/>
      <c r="BB93" s="2115"/>
      <c r="BC93" s="2115"/>
      <c r="BD93" s="2115"/>
      <c r="BE93" s="2115"/>
      <c r="BF93" s="405"/>
      <c r="BG93" s="406"/>
      <c r="BH93" s="301"/>
      <c r="BI93" s="405"/>
      <c r="BJ93" s="2133" t="str">
        <f>Skills!C24</f>
        <v>Knowledge (Technology)</v>
      </c>
      <c r="BK93" s="2134"/>
      <c r="BL93" s="2134"/>
      <c r="BM93" s="2134"/>
      <c r="BN93" s="2134"/>
      <c r="BO93" s="2134"/>
      <c r="BP93" s="2134"/>
      <c r="BQ93" s="2134"/>
      <c r="BR93" s="2134"/>
      <c r="BS93" s="2134"/>
      <c r="BT93" s="2134"/>
      <c r="BU93" s="2134"/>
      <c r="BV93" s="2134"/>
      <c r="BW93" s="2134"/>
      <c r="BX93" s="2134"/>
      <c r="BY93" s="2134"/>
      <c r="BZ93" s="2134"/>
      <c r="CA93" s="2134"/>
      <c r="CB93" s="2134"/>
      <c r="CC93" s="2134"/>
      <c r="CD93" s="2134"/>
      <c r="CE93" s="2134"/>
      <c r="CF93" s="2134"/>
      <c r="CG93" s="2134"/>
      <c r="CH93" s="2134"/>
      <c r="CI93" s="2134"/>
      <c r="CJ93" s="2134"/>
      <c r="CK93" s="2134"/>
      <c r="CL93" s="2134"/>
      <c r="CM93" s="2134"/>
      <c r="CN93" s="2134"/>
      <c r="CO93" s="2134"/>
      <c r="CP93" s="2134"/>
      <c r="CQ93" s="2134"/>
      <c r="CR93" s="2134"/>
      <c r="CS93" s="2134"/>
      <c r="CT93" s="87"/>
      <c r="CU93" s="158" t="e">
        <f>HeroicLvl+ArmourFort</f>
        <v>#NAME?</v>
      </c>
      <c r="CV93" s="411"/>
      <c r="CW93" s="411"/>
      <c r="CX93" s="411"/>
      <c r="CY93" s="411"/>
      <c r="CZ93" s="411"/>
      <c r="DA93" s="411"/>
      <c r="DB93" s="411"/>
      <c r="DC93" s="411"/>
      <c r="DD93" s="160"/>
      <c r="DE93" s="87"/>
      <c r="DF93" s="87"/>
      <c r="DG93" s="87"/>
      <c r="DH93" s="87"/>
      <c r="DI93" s="87"/>
      <c r="DJ93" s="158" t="e">
        <f>HeroicLvl+ArmourFort</f>
        <v>#NAME?</v>
      </c>
      <c r="DK93" s="159"/>
      <c r="DL93" s="159"/>
      <c r="DM93" s="159"/>
      <c r="DN93" s="159"/>
      <c r="DO93" s="159"/>
      <c r="DP93" s="159"/>
      <c r="DQ93" s="159"/>
      <c r="DR93" s="160"/>
      <c r="DS93" s="87"/>
      <c r="DT93" s="87"/>
      <c r="DU93" s="87"/>
      <c r="DV93" s="158"/>
      <c r="DW93" s="159"/>
      <c r="DX93" s="159"/>
      <c r="DY93" s="159"/>
      <c r="DZ93" s="159"/>
      <c r="EA93" s="159"/>
      <c r="EB93" s="159"/>
      <c r="EC93" s="159"/>
      <c r="ED93" s="160"/>
      <c r="EE93" s="87"/>
      <c r="EF93" s="87"/>
      <c r="EG93" s="87"/>
      <c r="EH93" s="158"/>
      <c r="EI93" s="184"/>
      <c r="EJ93" s="184"/>
      <c r="EK93" s="184"/>
      <c r="EL93" s="184"/>
      <c r="EM93" s="184"/>
      <c r="EN93" s="184"/>
      <c r="EO93" s="184"/>
      <c r="EP93" s="160"/>
      <c r="EQ93" s="87"/>
      <c r="ER93" s="87"/>
      <c r="ES93" s="87"/>
      <c r="ET93" s="158"/>
      <c r="EU93" s="1649"/>
      <c r="EV93" s="1649"/>
      <c r="EW93" s="1649"/>
      <c r="EX93" s="1649"/>
      <c r="EY93" s="1649"/>
      <c r="EZ93" s="1649"/>
      <c r="FA93" s="1649"/>
      <c r="FB93" s="160"/>
      <c r="FC93" s="87"/>
      <c r="FD93" s="87"/>
      <c r="FE93" s="87"/>
      <c r="FF93" s="158"/>
      <c r="FG93" s="159"/>
      <c r="FH93" s="159"/>
      <c r="FI93" s="159"/>
      <c r="FJ93" s="159"/>
      <c r="FK93" s="159"/>
      <c r="FL93" s="159"/>
      <c r="FM93" s="159"/>
      <c r="FN93" s="160"/>
      <c r="FO93" s="87"/>
      <c r="FP93" s="988"/>
      <c r="FQ93" s="988"/>
      <c r="FR93" s="988"/>
      <c r="FS93" s="988"/>
      <c r="FT93" s="988"/>
      <c r="FU93" s="988"/>
      <c r="FV93" s="988"/>
      <c r="FW93" s="988"/>
      <c r="FX93" s="988"/>
      <c r="FY93" s="87"/>
      <c r="FZ93" s="87"/>
      <c r="GA93" s="87"/>
      <c r="GC93" s="1853">
        <f>GC89+1</f>
        <v>21</v>
      </c>
      <c r="GD93" s="1853" t="e">
        <f>FIND(";",EquipmentNameList,GD89+1)</f>
        <v>#VALUE!</v>
      </c>
      <c r="GE93" s="1853" t="e">
        <f>FIND(";",EquipmentWeightList,GE89+1)</f>
        <v>#VALUE!</v>
      </c>
      <c r="GF93" s="1853" t="e">
        <f>FIND(";",EquipmentNumberList,GF89+1)</f>
        <v>#VALUE!</v>
      </c>
      <c r="GG93" s="694"/>
      <c r="GH93" s="1133"/>
      <c r="GI93" s="694"/>
      <c r="GJ93" s="694"/>
      <c r="GK93" s="694"/>
      <c r="GL93" s="694"/>
      <c r="GM93" s="694"/>
      <c r="GN93" s="694"/>
      <c r="GO93" s="694"/>
      <c r="GP93" s="694"/>
      <c r="GQ93" s="694"/>
      <c r="GR93" s="694"/>
      <c r="GS93" s="694"/>
      <c r="GT93" s="694"/>
      <c r="GU93" s="694"/>
      <c r="GV93" s="694"/>
      <c r="GW93" s="694"/>
      <c r="GX93" s="694"/>
      <c r="GY93" s="694"/>
      <c r="GZ93" s="694"/>
      <c r="HA93" s="694"/>
      <c r="HB93" s="694"/>
      <c r="HC93" s="694"/>
      <c r="HD93" s="694"/>
      <c r="HE93" s="694"/>
      <c r="HF93" s="694"/>
      <c r="HG93" s="694"/>
      <c r="HH93" s="694"/>
      <c r="HI93" s="694"/>
      <c r="HJ93" s="694"/>
      <c r="HK93" s="694"/>
      <c r="HL93" s="694"/>
      <c r="HM93" s="694"/>
      <c r="HN93" s="694"/>
      <c r="HO93" s="694"/>
      <c r="HP93" s="694"/>
      <c r="HQ93" s="694"/>
      <c r="HR93" s="694"/>
      <c r="HS93" s="694"/>
      <c r="HT93" s="694"/>
      <c r="HU93" s="694"/>
      <c r="HV93" s="694"/>
      <c r="HW93" s="694"/>
      <c r="HX93" s="694"/>
      <c r="HY93" s="694"/>
      <c r="HZ93" s="694"/>
      <c r="IA93" s="694"/>
      <c r="IB93" s="694"/>
      <c r="IC93" s="694"/>
      <c r="ID93" s="694"/>
      <c r="IE93" s="694"/>
      <c r="IF93" s="694"/>
      <c r="IG93" s="694"/>
      <c r="IH93" s="694"/>
      <c r="II93" s="694"/>
      <c r="IJ93" s="694"/>
      <c r="IK93" s="694"/>
      <c r="IL93" s="694"/>
      <c r="IM93" s="694"/>
      <c r="IN93" s="694"/>
      <c r="IO93" s="694"/>
      <c r="IP93" s="694"/>
      <c r="IQ93" s="694"/>
      <c r="IR93" s="694"/>
      <c r="IS93" s="694"/>
      <c r="IT93" s="694"/>
      <c r="IU93" s="694"/>
      <c r="IV93" s="694"/>
      <c r="IW93" s="694"/>
      <c r="IX93" s="694"/>
      <c r="IY93" s="694"/>
      <c r="IZ93" s="694"/>
      <c r="JA93" s="694"/>
      <c r="JB93" s="694"/>
      <c r="JC93" s="694"/>
      <c r="JD93" s="694"/>
      <c r="JE93" s="694"/>
      <c r="JF93" s="694"/>
      <c r="JG93" s="694"/>
      <c r="JH93" s="694"/>
      <c r="JI93" s="694"/>
      <c r="JJ93" s="694"/>
      <c r="JK93" s="694"/>
      <c r="JL93" s="694"/>
      <c r="JM93" s="694"/>
      <c r="JN93" s="694"/>
      <c r="JO93" s="694"/>
      <c r="JP93" s="694"/>
      <c r="JQ93" s="694"/>
      <c r="JR93" s="694"/>
      <c r="JS93" s="694"/>
      <c r="JT93" s="694"/>
      <c r="JU93" s="694"/>
      <c r="JV93" s="694"/>
      <c r="JW93" s="694"/>
      <c r="JX93" s="694"/>
    </row>
    <row r="94" spans="1:284" s="581" customFormat="1" ht="9" customHeight="1">
      <c r="A94" s="301"/>
      <c r="B94" s="313"/>
      <c r="C94" s="2113"/>
      <c r="D94" s="2113"/>
      <c r="E94" s="2113"/>
      <c r="F94" s="2113"/>
      <c r="G94" s="2113"/>
      <c r="H94" s="2113"/>
      <c r="I94" s="2113"/>
      <c r="J94" s="2113"/>
      <c r="K94" s="2113"/>
      <c r="L94" s="2113"/>
      <c r="M94" s="2113"/>
      <c r="N94" s="2113"/>
      <c r="O94" s="2113"/>
      <c r="P94" s="2113"/>
      <c r="Q94" s="2113"/>
      <c r="R94" s="2113"/>
      <c r="S94" s="2113"/>
      <c r="T94" s="2113"/>
      <c r="U94" s="2113"/>
      <c r="V94" s="2113"/>
      <c r="W94" s="2113"/>
      <c r="X94" s="2113"/>
      <c r="Y94" s="2113"/>
      <c r="Z94" s="2113"/>
      <c r="AA94" s="2113"/>
      <c r="AB94" s="2113"/>
      <c r="AC94" s="2113"/>
      <c r="AD94" s="2113"/>
      <c r="AE94" s="2113"/>
      <c r="AF94" s="2113"/>
      <c r="AG94" s="2113"/>
      <c r="AH94" s="2113"/>
      <c r="AI94" s="2113"/>
      <c r="AJ94" s="2113"/>
      <c r="AK94" s="2113"/>
      <c r="AL94" s="2113"/>
      <c r="AM94" s="2113"/>
      <c r="AN94" s="2113"/>
      <c r="AO94" s="2113"/>
      <c r="AP94" s="2113"/>
      <c r="AQ94" s="2113"/>
      <c r="AR94" s="2113"/>
      <c r="AS94" s="2113"/>
      <c r="AT94" s="2113"/>
      <c r="AU94" s="2113"/>
      <c r="AV94" s="2113"/>
      <c r="AW94" s="2115"/>
      <c r="AX94" s="2115"/>
      <c r="AY94" s="2115"/>
      <c r="AZ94" s="2115"/>
      <c r="BA94" s="2115"/>
      <c r="BB94" s="2115"/>
      <c r="BC94" s="2115"/>
      <c r="BD94" s="2115"/>
      <c r="BE94" s="2115"/>
      <c r="BF94" s="405"/>
      <c r="BG94" s="406"/>
      <c r="BH94" s="301"/>
      <c r="BI94" s="405"/>
      <c r="BJ94" s="2133"/>
      <c r="BK94" s="2134"/>
      <c r="BL94" s="2134"/>
      <c r="BM94" s="2134"/>
      <c r="BN94" s="2134"/>
      <c r="BO94" s="2134"/>
      <c r="BP94" s="2134"/>
      <c r="BQ94" s="2134"/>
      <c r="BR94" s="2134"/>
      <c r="BS94" s="2134"/>
      <c r="BT94" s="2134"/>
      <c r="BU94" s="2134"/>
      <c r="BV94" s="2134"/>
      <c r="BW94" s="2134"/>
      <c r="BX94" s="2134"/>
      <c r="BY94" s="2134"/>
      <c r="BZ94" s="2134"/>
      <c r="CA94" s="2134"/>
      <c r="CB94" s="2134"/>
      <c r="CC94" s="2134"/>
      <c r="CD94" s="2134"/>
      <c r="CE94" s="2134"/>
      <c r="CF94" s="2134"/>
      <c r="CG94" s="2134"/>
      <c r="CH94" s="2134"/>
      <c r="CI94" s="2134"/>
      <c r="CJ94" s="2134"/>
      <c r="CK94" s="2134"/>
      <c r="CL94" s="2134"/>
      <c r="CM94" s="2134"/>
      <c r="CN94" s="2134"/>
      <c r="CO94" s="2134"/>
      <c r="CP94" s="2134"/>
      <c r="CQ94" s="2134"/>
      <c r="CR94" s="2134"/>
      <c r="CS94" s="2134"/>
      <c r="CT94" s="87"/>
      <c r="CU94" s="166"/>
      <c r="CV94" s="2107">
        <f ca="1">KnowledgeTechnology</f>
        <v>0</v>
      </c>
      <c r="CW94" s="2107"/>
      <c r="CX94" s="2107"/>
      <c r="CY94" s="2107"/>
      <c r="CZ94" s="2107"/>
      <c r="DA94" s="2107"/>
      <c r="DB94" s="2107"/>
      <c r="DC94" s="2107"/>
      <c r="DD94" s="167"/>
      <c r="DE94" s="87"/>
      <c r="DF94" s="117"/>
      <c r="DG94" s="117"/>
      <c r="DH94" s="117"/>
      <c r="DI94" s="87"/>
      <c r="DJ94" s="166"/>
      <c r="DK94" s="1991">
        <f>ROUNDDOWN(CharacterLevel/2,0)</f>
        <v>0</v>
      </c>
      <c r="DL94" s="1991"/>
      <c r="DM94" s="1991"/>
      <c r="DN94" s="1991"/>
      <c r="DO94" s="1991"/>
      <c r="DP94" s="1991"/>
      <c r="DQ94" s="1991"/>
      <c r="DR94" s="167"/>
      <c r="DS94" s="87"/>
      <c r="DT94" s="87"/>
      <c r="DU94" s="87"/>
      <c r="DV94" s="166"/>
      <c r="DW94" s="1991" t="str">
        <f>IntMod</f>
        <v/>
      </c>
      <c r="DX94" s="1991"/>
      <c r="DY94" s="1991"/>
      <c r="DZ94" s="1991"/>
      <c r="EA94" s="1991"/>
      <c r="EB94" s="1991"/>
      <c r="EC94" s="1991"/>
      <c r="ED94" s="167"/>
      <c r="EE94" s="87"/>
      <c r="EF94" s="87"/>
      <c r="EG94" s="87"/>
      <c r="EH94" s="166"/>
      <c r="EI94" s="1991" t="str">
        <f>IF(CharacterLevel&gt;0,IF(OR(INDEX(SkillTable,MATCH(BJ93,SkillList,0),4)="Yes",INDEX(SkillTable,MATCH(BJ93,SkillList,0),5)="Yes"),5,0),"")</f>
        <v/>
      </c>
      <c r="EJ94" s="1991"/>
      <c r="EK94" s="1991"/>
      <c r="EL94" s="1991"/>
      <c r="EM94" s="1991"/>
      <c r="EN94" s="1991"/>
      <c r="EO94" s="1991"/>
      <c r="EP94" s="264"/>
      <c r="EQ94" s="265"/>
      <c r="ER94" s="265"/>
      <c r="ES94" s="265"/>
      <c r="ET94" s="266"/>
      <c r="EU94" s="1991" t="b">
        <f>IF(CharacterLevel&gt;0,IF(Skills!R24="Yes",5,0))</f>
        <v>0</v>
      </c>
      <c r="EV94" s="1991"/>
      <c r="EW94" s="1991"/>
      <c r="EX94" s="1991"/>
      <c r="EY94" s="1991"/>
      <c r="EZ94" s="1991"/>
      <c r="FA94" s="1991"/>
      <c r="FB94" s="167"/>
      <c r="FC94" s="265"/>
      <c r="FD94" s="265"/>
      <c r="FE94" s="265"/>
      <c r="FF94" s="266"/>
      <c r="FG94" s="1991">
        <f>ArmorPenalty+INDEX(SkillTable,MATCH(BJ93,SkillList,0),12)</f>
        <v>0</v>
      </c>
      <c r="FH94" s="1991"/>
      <c r="FI94" s="1991"/>
      <c r="FJ94" s="1991"/>
      <c r="FK94" s="1991"/>
      <c r="FL94" s="1991"/>
      <c r="FM94" s="1991"/>
      <c r="FN94" s="167"/>
      <c r="FO94" s="87"/>
      <c r="FP94" s="2124" t="str">
        <f>IF(INDEX(SkillTable,MATCH(BJ93,SkillList,0),77)&lt;&gt;"","×","")</f>
        <v/>
      </c>
      <c r="FQ94" s="2125"/>
      <c r="FR94" s="2125"/>
      <c r="FS94" s="2126"/>
      <c r="FT94" s="988"/>
      <c r="FU94" s="2124" t="str">
        <f>IF(INDEX(SkillTable,MATCH(BJ93,SkillList,0),78)&lt;&gt;"","×","")</f>
        <v/>
      </c>
      <c r="FV94" s="2125"/>
      <c r="FW94" s="2125"/>
      <c r="FX94" s="2126"/>
      <c r="FY94" s="87"/>
      <c r="FZ94" s="87"/>
      <c r="GA94" s="87"/>
      <c r="GC94" s="1853"/>
      <c r="GD94" s="1853"/>
      <c r="GE94" s="1853"/>
      <c r="GF94" s="1853"/>
      <c r="GG94" s="694"/>
      <c r="GH94" s="1135" t="e">
        <f ca="1">IF(INDEX(SkillTable,MATCH(BJ93,SkillList,0),14),1,0)</f>
        <v>#VALUE!</v>
      </c>
      <c r="GI94" s="694"/>
      <c r="GJ94" s="694"/>
      <c r="GK94" s="694"/>
      <c r="GL94" s="694"/>
      <c r="GM94" s="694"/>
      <c r="GN94" s="694"/>
      <c r="GO94" s="694"/>
      <c r="GP94" s="694"/>
      <c r="GQ94" s="694"/>
      <c r="GR94" s="694"/>
      <c r="GS94" s="694"/>
      <c r="GT94" s="694"/>
      <c r="GU94" s="694"/>
      <c r="GV94" s="694"/>
      <c r="GW94" s="694"/>
      <c r="GX94" s="694"/>
      <c r="GY94" s="694"/>
      <c r="GZ94" s="694"/>
      <c r="HA94" s="694"/>
      <c r="HB94" s="694"/>
      <c r="HC94" s="694"/>
      <c r="HD94" s="694"/>
      <c r="HE94" s="694"/>
      <c r="HF94" s="694"/>
      <c r="HG94" s="694"/>
      <c r="HH94" s="694"/>
      <c r="HI94" s="694"/>
      <c r="HJ94" s="694"/>
      <c r="HK94" s="694"/>
      <c r="HL94" s="694"/>
      <c r="HM94" s="694"/>
      <c r="HN94" s="694"/>
      <c r="HO94" s="694"/>
      <c r="HP94" s="694"/>
      <c r="HQ94" s="694"/>
      <c r="HR94" s="694"/>
      <c r="HS94" s="694"/>
      <c r="HT94" s="694"/>
      <c r="HU94" s="694"/>
      <c r="HV94" s="694"/>
      <c r="HW94" s="694"/>
      <c r="HX94" s="694"/>
      <c r="HY94" s="694"/>
      <c r="HZ94" s="694"/>
      <c r="IA94" s="694"/>
      <c r="IB94" s="694"/>
      <c r="IC94" s="694"/>
      <c r="ID94" s="694"/>
      <c r="IE94" s="694"/>
      <c r="IF94" s="694"/>
      <c r="IG94" s="694"/>
      <c r="IH94" s="694"/>
      <c r="II94" s="694"/>
      <c r="IJ94" s="694"/>
      <c r="IK94" s="694"/>
      <c r="IL94" s="694"/>
      <c r="IM94" s="694"/>
      <c r="IN94" s="694"/>
      <c r="IO94" s="694"/>
      <c r="IP94" s="694"/>
      <c r="IQ94" s="694"/>
      <c r="IR94" s="694"/>
      <c r="IS94" s="694"/>
      <c r="IT94" s="694"/>
      <c r="IU94" s="694"/>
      <c r="IV94" s="694"/>
      <c r="IW94" s="694"/>
      <c r="IX94" s="694"/>
      <c r="IY94" s="694"/>
      <c r="IZ94" s="694"/>
      <c r="JA94" s="694"/>
      <c r="JB94" s="694"/>
      <c r="JC94" s="694"/>
      <c r="JD94" s="694"/>
      <c r="JE94" s="694"/>
      <c r="JF94" s="694"/>
      <c r="JG94" s="694"/>
      <c r="JH94" s="694"/>
      <c r="JI94" s="694"/>
      <c r="JJ94" s="694"/>
      <c r="JK94" s="694"/>
      <c r="JL94" s="694"/>
      <c r="JM94" s="694"/>
      <c r="JN94" s="694"/>
      <c r="JO94" s="694"/>
      <c r="JP94" s="694"/>
      <c r="JQ94" s="694"/>
      <c r="JR94" s="694"/>
      <c r="JS94" s="694"/>
      <c r="JT94" s="694"/>
      <c r="JU94" s="694"/>
      <c r="JV94" s="694"/>
      <c r="JW94" s="694"/>
      <c r="JX94" s="694"/>
    </row>
    <row r="95" spans="1:284" s="581" customFormat="1" ht="9" customHeight="1" thickBot="1">
      <c r="A95" s="301"/>
      <c r="B95" s="313"/>
      <c r="C95" s="2114"/>
      <c r="D95" s="2114"/>
      <c r="E95" s="2114"/>
      <c r="F95" s="2114"/>
      <c r="G95" s="2114"/>
      <c r="H95" s="2114"/>
      <c r="I95" s="2114"/>
      <c r="J95" s="2114"/>
      <c r="K95" s="2114"/>
      <c r="L95" s="2114"/>
      <c r="M95" s="2114"/>
      <c r="N95" s="2114"/>
      <c r="O95" s="2114"/>
      <c r="P95" s="2114"/>
      <c r="Q95" s="2114"/>
      <c r="R95" s="2114"/>
      <c r="S95" s="2114"/>
      <c r="T95" s="2114"/>
      <c r="U95" s="2114"/>
      <c r="V95" s="2114"/>
      <c r="W95" s="2114"/>
      <c r="X95" s="2114"/>
      <c r="Y95" s="2114"/>
      <c r="Z95" s="2114"/>
      <c r="AA95" s="2114"/>
      <c r="AB95" s="2114"/>
      <c r="AC95" s="2114"/>
      <c r="AD95" s="2114"/>
      <c r="AE95" s="2114"/>
      <c r="AF95" s="2114"/>
      <c r="AG95" s="2114"/>
      <c r="AH95" s="2114"/>
      <c r="AI95" s="2114"/>
      <c r="AJ95" s="2114"/>
      <c r="AK95" s="2114"/>
      <c r="AL95" s="2114"/>
      <c r="AM95" s="2114"/>
      <c r="AN95" s="2114"/>
      <c r="AO95" s="2114"/>
      <c r="AP95" s="2114"/>
      <c r="AQ95" s="2114"/>
      <c r="AR95" s="2114"/>
      <c r="AS95" s="2114"/>
      <c r="AT95" s="2114"/>
      <c r="AU95" s="2114"/>
      <c r="AV95" s="2114"/>
      <c r="AW95" s="2116"/>
      <c r="AX95" s="2116"/>
      <c r="AY95" s="2116"/>
      <c r="AZ95" s="2116"/>
      <c r="BA95" s="2116"/>
      <c r="BB95" s="2116"/>
      <c r="BC95" s="2116"/>
      <c r="BD95" s="2116"/>
      <c r="BE95" s="2116"/>
      <c r="BF95" s="405"/>
      <c r="BG95" s="406"/>
      <c r="BH95" s="301"/>
      <c r="BI95" s="405"/>
      <c r="BJ95" s="2133"/>
      <c r="BK95" s="2134"/>
      <c r="BL95" s="2134"/>
      <c r="BM95" s="2134"/>
      <c r="BN95" s="2134"/>
      <c r="BO95" s="2134"/>
      <c r="BP95" s="2134"/>
      <c r="BQ95" s="2134"/>
      <c r="BR95" s="2134"/>
      <c r="BS95" s="2134"/>
      <c r="BT95" s="2134"/>
      <c r="BU95" s="2134"/>
      <c r="BV95" s="2134"/>
      <c r="BW95" s="2134"/>
      <c r="BX95" s="2134"/>
      <c r="BY95" s="2134"/>
      <c r="BZ95" s="2134"/>
      <c r="CA95" s="2134"/>
      <c r="CB95" s="2134"/>
      <c r="CC95" s="2134"/>
      <c r="CD95" s="2134"/>
      <c r="CE95" s="2134"/>
      <c r="CF95" s="2134"/>
      <c r="CG95" s="2134"/>
      <c r="CH95" s="2134"/>
      <c r="CI95" s="2134"/>
      <c r="CJ95" s="2134"/>
      <c r="CK95" s="2134"/>
      <c r="CL95" s="2134"/>
      <c r="CM95" s="2134"/>
      <c r="CN95" s="2134"/>
      <c r="CO95" s="2134"/>
      <c r="CP95" s="2134"/>
      <c r="CQ95" s="2134"/>
      <c r="CR95" s="2134"/>
      <c r="CS95" s="2134"/>
      <c r="CT95" s="87"/>
      <c r="CU95" s="166"/>
      <c r="CV95" s="2107"/>
      <c r="CW95" s="2107"/>
      <c r="CX95" s="2107"/>
      <c r="CY95" s="2107"/>
      <c r="CZ95" s="2107"/>
      <c r="DA95" s="2107"/>
      <c r="DB95" s="2107"/>
      <c r="DC95" s="2107"/>
      <c r="DD95" s="167"/>
      <c r="DE95" s="87"/>
      <c r="DF95" s="87"/>
      <c r="DG95" s="87"/>
      <c r="DH95" s="87"/>
      <c r="DI95" s="87"/>
      <c r="DJ95" s="166"/>
      <c r="DK95" s="1991"/>
      <c r="DL95" s="1991"/>
      <c r="DM95" s="1991"/>
      <c r="DN95" s="1991"/>
      <c r="DO95" s="1991"/>
      <c r="DP95" s="1991"/>
      <c r="DQ95" s="1991"/>
      <c r="DR95" s="167"/>
      <c r="DS95" s="117"/>
      <c r="DT95" s="117"/>
      <c r="DU95" s="117"/>
      <c r="DV95" s="166"/>
      <c r="DW95" s="1991"/>
      <c r="DX95" s="1991"/>
      <c r="DY95" s="1991"/>
      <c r="DZ95" s="1991"/>
      <c r="EA95" s="1991"/>
      <c r="EB95" s="1991"/>
      <c r="EC95" s="1991"/>
      <c r="ED95" s="167"/>
      <c r="EE95" s="117"/>
      <c r="EF95" s="117"/>
      <c r="EG95" s="117"/>
      <c r="EH95" s="166"/>
      <c r="EI95" s="1991"/>
      <c r="EJ95" s="1991"/>
      <c r="EK95" s="1991"/>
      <c r="EL95" s="1991"/>
      <c r="EM95" s="1991"/>
      <c r="EN95" s="1991"/>
      <c r="EO95" s="1991"/>
      <c r="EP95" s="264"/>
      <c r="EQ95" s="117"/>
      <c r="ER95" s="117"/>
      <c r="ES95" s="117"/>
      <c r="ET95" s="266"/>
      <c r="EU95" s="1991"/>
      <c r="EV95" s="1991"/>
      <c r="EW95" s="1991"/>
      <c r="EX95" s="1991"/>
      <c r="EY95" s="1991"/>
      <c r="EZ95" s="1991"/>
      <c r="FA95" s="1991"/>
      <c r="FB95" s="167"/>
      <c r="FC95" s="117"/>
      <c r="FD95" s="117"/>
      <c r="FE95" s="117"/>
      <c r="FF95" s="266"/>
      <c r="FG95" s="1991"/>
      <c r="FH95" s="1991"/>
      <c r="FI95" s="1991"/>
      <c r="FJ95" s="1991"/>
      <c r="FK95" s="1991"/>
      <c r="FL95" s="1991"/>
      <c r="FM95" s="1991"/>
      <c r="FN95" s="167"/>
      <c r="FO95" s="117"/>
      <c r="FP95" s="2127"/>
      <c r="FQ95" s="2081"/>
      <c r="FR95" s="2081"/>
      <c r="FS95" s="2128"/>
      <c r="FT95" s="989"/>
      <c r="FU95" s="2127"/>
      <c r="FV95" s="2081"/>
      <c r="FW95" s="2081"/>
      <c r="FX95" s="2128"/>
      <c r="FY95" s="87"/>
      <c r="FZ95" s="87"/>
      <c r="GA95" s="87"/>
      <c r="GC95" s="1853"/>
      <c r="GD95" s="1853"/>
      <c r="GE95" s="1853"/>
      <c r="GF95" s="1853"/>
      <c r="GG95" s="694"/>
      <c r="GH95" s="1133"/>
      <c r="GI95" s="694"/>
      <c r="GJ95" s="694"/>
      <c r="GK95" s="694"/>
      <c r="GL95" s="694"/>
      <c r="GM95" s="694"/>
      <c r="GN95" s="694"/>
      <c r="GO95" s="694"/>
      <c r="GP95" s="694"/>
      <c r="GQ95" s="694"/>
      <c r="GR95" s="694"/>
      <c r="GS95" s="694"/>
      <c r="GT95" s="694"/>
      <c r="GU95" s="694"/>
      <c r="GV95" s="694"/>
      <c r="GW95" s="694"/>
      <c r="GX95" s="694"/>
      <c r="GY95" s="694"/>
      <c r="GZ95" s="694"/>
      <c r="HA95" s="694"/>
      <c r="HB95" s="694"/>
      <c r="HC95" s="694"/>
      <c r="HD95" s="694"/>
      <c r="HE95" s="694"/>
      <c r="HF95" s="694"/>
      <c r="HG95" s="694"/>
      <c r="HH95" s="694"/>
      <c r="HI95" s="694"/>
      <c r="HJ95" s="694"/>
      <c r="HK95" s="694"/>
      <c r="HL95" s="694"/>
      <c r="HM95" s="694"/>
      <c r="HN95" s="694"/>
      <c r="HO95" s="694"/>
      <c r="HP95" s="694"/>
      <c r="HQ95" s="694"/>
      <c r="HR95" s="694"/>
      <c r="HS95" s="694"/>
      <c r="HT95" s="694"/>
      <c r="HU95" s="694"/>
      <c r="HV95" s="694"/>
      <c r="HW95" s="694"/>
      <c r="HX95" s="694"/>
      <c r="HY95" s="694"/>
      <c r="HZ95" s="694"/>
      <c r="IA95" s="694"/>
      <c r="IB95" s="694"/>
      <c r="IC95" s="694"/>
      <c r="ID95" s="694"/>
      <c r="IE95" s="694"/>
      <c r="IF95" s="694"/>
      <c r="IG95" s="694"/>
      <c r="IH95" s="694"/>
      <c r="II95" s="694"/>
      <c r="IJ95" s="694"/>
      <c r="IK95" s="694"/>
      <c r="IL95" s="694"/>
      <c r="IM95" s="694"/>
      <c r="IN95" s="694"/>
      <c r="IO95" s="694"/>
      <c r="IP95" s="694"/>
      <c r="IQ95" s="694"/>
      <c r="IR95" s="694"/>
      <c r="IS95" s="694"/>
      <c r="IT95" s="694"/>
      <c r="IU95" s="694"/>
      <c r="IV95" s="694"/>
      <c r="IW95" s="694"/>
      <c r="IX95" s="694"/>
      <c r="IY95" s="694"/>
      <c r="IZ95" s="694"/>
      <c r="JA95" s="694"/>
      <c r="JB95" s="694"/>
      <c r="JC95" s="694"/>
      <c r="JD95" s="694"/>
      <c r="JE95" s="694"/>
      <c r="JF95" s="694"/>
      <c r="JG95" s="694"/>
      <c r="JH95" s="694"/>
      <c r="JI95" s="694"/>
      <c r="JJ95" s="694"/>
      <c r="JK95" s="694"/>
      <c r="JL95" s="694"/>
      <c r="JM95" s="694"/>
      <c r="JN95" s="694"/>
      <c r="JO95" s="694"/>
      <c r="JP95" s="694"/>
      <c r="JQ95" s="694"/>
      <c r="JR95" s="694"/>
      <c r="JS95" s="694"/>
      <c r="JT95" s="694"/>
      <c r="JU95" s="694"/>
      <c r="JV95" s="694"/>
      <c r="JW95" s="694"/>
      <c r="JX95" s="694"/>
    </row>
    <row r="96" spans="1:284" s="581" customFormat="1" ht="9" customHeight="1" thickBot="1">
      <c r="A96" s="301"/>
      <c r="B96" s="313"/>
      <c r="C96" s="301"/>
      <c r="D96" s="301"/>
      <c r="E96" s="643"/>
      <c r="F96" s="643"/>
      <c r="G96" s="643"/>
      <c r="H96" s="643"/>
      <c r="I96" s="643"/>
      <c r="J96" s="643"/>
      <c r="K96" s="301"/>
      <c r="L96" s="301"/>
      <c r="M96" s="301"/>
      <c r="N96" s="301"/>
      <c r="O96" s="301"/>
      <c r="P96" s="301"/>
      <c r="Q96" s="301"/>
      <c r="R96" s="301"/>
      <c r="S96" s="301"/>
      <c r="T96" s="301"/>
      <c r="U96" s="301"/>
      <c r="V96" s="301"/>
      <c r="W96" s="301"/>
      <c r="X96" s="301"/>
      <c r="Y96" s="301"/>
      <c r="Z96" s="301"/>
      <c r="AA96" s="301"/>
      <c r="AB96" s="301"/>
      <c r="AC96" s="301"/>
      <c r="AD96" s="301"/>
      <c r="AE96" s="301"/>
      <c r="AF96" s="301"/>
      <c r="AG96" s="301"/>
      <c r="AH96" s="301"/>
      <c r="AI96" s="301"/>
      <c r="AJ96" s="301"/>
      <c r="AK96" s="301"/>
      <c r="AL96" s="301"/>
      <c r="AM96" s="301"/>
      <c r="AN96" s="301"/>
      <c r="AO96" s="301"/>
      <c r="AP96" s="301"/>
      <c r="AQ96" s="301"/>
      <c r="AR96" s="301"/>
      <c r="AS96" s="301"/>
      <c r="AT96" s="301"/>
      <c r="AU96" s="301"/>
      <c r="AV96" s="301"/>
      <c r="AW96" s="1087"/>
      <c r="AX96" s="1087"/>
      <c r="AY96" s="1087"/>
      <c r="AZ96" s="1087"/>
      <c r="BA96" s="1087"/>
      <c r="BB96" s="1087"/>
      <c r="BC96" s="1087"/>
      <c r="BD96" s="1087"/>
      <c r="BE96" s="1087"/>
      <c r="BF96" s="405"/>
      <c r="BG96" s="406"/>
      <c r="BH96" s="301"/>
      <c r="BI96" s="405"/>
      <c r="BJ96" s="2133"/>
      <c r="BK96" s="2134"/>
      <c r="BL96" s="2134"/>
      <c r="BM96" s="2134"/>
      <c r="BN96" s="2134"/>
      <c r="BO96" s="2134"/>
      <c r="BP96" s="2134"/>
      <c r="BQ96" s="2134"/>
      <c r="BR96" s="2134"/>
      <c r="BS96" s="2134"/>
      <c r="BT96" s="2134"/>
      <c r="BU96" s="2134"/>
      <c r="BV96" s="2134"/>
      <c r="BW96" s="2134"/>
      <c r="BX96" s="2134"/>
      <c r="BY96" s="2134"/>
      <c r="BZ96" s="2134"/>
      <c r="CA96" s="2134"/>
      <c r="CB96" s="2134"/>
      <c r="CC96" s="2134"/>
      <c r="CD96" s="2134"/>
      <c r="CE96" s="2134"/>
      <c r="CF96" s="2134"/>
      <c r="CG96" s="2134"/>
      <c r="CH96" s="2134"/>
      <c r="CI96" s="2134"/>
      <c r="CJ96" s="2134"/>
      <c r="CK96" s="2134"/>
      <c r="CL96" s="2134"/>
      <c r="CM96" s="2134"/>
      <c r="CN96" s="2134"/>
      <c r="CO96" s="2134"/>
      <c r="CP96" s="2134"/>
      <c r="CQ96" s="2134"/>
      <c r="CR96" s="2134"/>
      <c r="CS96" s="2134"/>
      <c r="CT96" s="87"/>
      <c r="CU96" s="166"/>
      <c r="CV96" s="2107"/>
      <c r="CW96" s="2107"/>
      <c r="CX96" s="2107"/>
      <c r="CY96" s="2107"/>
      <c r="CZ96" s="2107"/>
      <c r="DA96" s="2107"/>
      <c r="DB96" s="2107"/>
      <c r="DC96" s="2107"/>
      <c r="DD96" s="167"/>
      <c r="DE96" s="87"/>
      <c r="DF96" s="117"/>
      <c r="DG96" s="117"/>
      <c r="DH96" s="117"/>
      <c r="DI96" s="87"/>
      <c r="DJ96" s="166"/>
      <c r="DK96" s="1991"/>
      <c r="DL96" s="1991"/>
      <c r="DM96" s="1991"/>
      <c r="DN96" s="1991"/>
      <c r="DO96" s="1991"/>
      <c r="DP96" s="1991"/>
      <c r="DQ96" s="1991"/>
      <c r="DR96" s="167"/>
      <c r="DS96" s="87"/>
      <c r="DT96" s="87"/>
      <c r="DU96" s="87"/>
      <c r="DV96" s="166"/>
      <c r="DW96" s="1991"/>
      <c r="DX96" s="1991"/>
      <c r="DY96" s="1991"/>
      <c r="DZ96" s="1991"/>
      <c r="EA96" s="1991"/>
      <c r="EB96" s="1991"/>
      <c r="EC96" s="1991"/>
      <c r="ED96" s="167"/>
      <c r="EE96" s="87"/>
      <c r="EF96" s="87"/>
      <c r="EG96" s="87"/>
      <c r="EH96" s="166"/>
      <c r="EI96" s="1991"/>
      <c r="EJ96" s="1991"/>
      <c r="EK96" s="1991"/>
      <c r="EL96" s="1991"/>
      <c r="EM96" s="1991"/>
      <c r="EN96" s="1991"/>
      <c r="EO96" s="1991"/>
      <c r="EP96" s="264"/>
      <c r="EQ96" s="87"/>
      <c r="ER96" s="87"/>
      <c r="ES96" s="87"/>
      <c r="ET96" s="266"/>
      <c r="EU96" s="1991"/>
      <c r="EV96" s="1991"/>
      <c r="EW96" s="1991"/>
      <c r="EX96" s="1991"/>
      <c r="EY96" s="1991"/>
      <c r="EZ96" s="1991"/>
      <c r="FA96" s="1991"/>
      <c r="FB96" s="167"/>
      <c r="FC96" s="87"/>
      <c r="FD96" s="87"/>
      <c r="FE96" s="87"/>
      <c r="FF96" s="266"/>
      <c r="FG96" s="1991"/>
      <c r="FH96" s="1991"/>
      <c r="FI96" s="1991"/>
      <c r="FJ96" s="1991"/>
      <c r="FK96" s="1991"/>
      <c r="FL96" s="1991"/>
      <c r="FM96" s="1991"/>
      <c r="FN96" s="167"/>
      <c r="FO96" s="87"/>
      <c r="FP96" s="2129"/>
      <c r="FQ96" s="2130"/>
      <c r="FR96" s="2130"/>
      <c r="FS96" s="2131"/>
      <c r="FT96" s="988"/>
      <c r="FU96" s="2129"/>
      <c r="FV96" s="2130"/>
      <c r="FW96" s="2130"/>
      <c r="FX96" s="2131"/>
      <c r="FY96" s="87"/>
      <c r="FZ96" s="87"/>
      <c r="GA96" s="87"/>
      <c r="GC96" s="694"/>
      <c r="GD96" s="694"/>
      <c r="GE96" s="694"/>
      <c r="GF96" s="714"/>
      <c r="GG96" s="694"/>
      <c r="GH96" s="1133"/>
      <c r="GI96" s="694"/>
      <c r="GJ96" s="694"/>
      <c r="GK96" s="694"/>
      <c r="GL96" s="694"/>
      <c r="GM96" s="694"/>
      <c r="GN96" s="694"/>
      <c r="GO96" s="694"/>
      <c r="GP96" s="694"/>
      <c r="GQ96" s="694"/>
      <c r="GR96" s="694"/>
      <c r="GS96" s="694"/>
      <c r="GT96" s="694"/>
      <c r="GU96" s="694"/>
      <c r="GV96" s="694"/>
      <c r="GW96" s="694"/>
      <c r="GX96" s="694"/>
      <c r="GY96" s="694"/>
      <c r="GZ96" s="694"/>
      <c r="HA96" s="694"/>
      <c r="HB96" s="694"/>
      <c r="HC96" s="694"/>
      <c r="HD96" s="694"/>
      <c r="HE96" s="694"/>
      <c r="HF96" s="694"/>
      <c r="HG96" s="694"/>
      <c r="HH96" s="694"/>
      <c r="HI96" s="694"/>
      <c r="HJ96" s="694"/>
      <c r="HK96" s="694"/>
      <c r="HL96" s="694"/>
      <c r="HM96" s="694"/>
      <c r="HN96" s="694"/>
      <c r="HO96" s="694"/>
      <c r="HP96" s="694"/>
      <c r="HQ96" s="694"/>
      <c r="HR96" s="694"/>
      <c r="HS96" s="694"/>
      <c r="HT96" s="694"/>
      <c r="HU96" s="694"/>
      <c r="HV96" s="694"/>
      <c r="HW96" s="694"/>
      <c r="HX96" s="694"/>
      <c r="HY96" s="694"/>
      <c r="HZ96" s="694"/>
      <c r="IA96" s="694"/>
      <c r="IB96" s="694"/>
      <c r="IC96" s="694"/>
      <c r="ID96" s="694"/>
      <c r="IE96" s="694"/>
      <c r="IF96" s="694"/>
      <c r="IG96" s="694"/>
      <c r="IH96" s="694"/>
      <c r="II96" s="694"/>
      <c r="IJ96" s="694"/>
      <c r="IK96" s="694"/>
      <c r="IL96" s="694"/>
      <c r="IM96" s="694"/>
      <c r="IN96" s="694"/>
      <c r="IO96" s="694"/>
      <c r="IP96" s="694"/>
      <c r="IQ96" s="694"/>
      <c r="IR96" s="694"/>
      <c r="IS96" s="694"/>
      <c r="IT96" s="694"/>
      <c r="IU96" s="694"/>
      <c r="IV96" s="694"/>
      <c r="IW96" s="694"/>
      <c r="IX96" s="694"/>
      <c r="IY96" s="694"/>
      <c r="IZ96" s="694"/>
      <c r="JA96" s="694"/>
      <c r="JB96" s="694"/>
      <c r="JC96" s="694"/>
      <c r="JD96" s="694"/>
      <c r="JE96" s="694"/>
      <c r="JF96" s="694"/>
      <c r="JG96" s="694"/>
      <c r="JH96" s="694"/>
      <c r="JI96" s="694"/>
      <c r="JJ96" s="694"/>
      <c r="JK96" s="694"/>
      <c r="JL96" s="694"/>
      <c r="JM96" s="694"/>
      <c r="JN96" s="694"/>
      <c r="JO96" s="694"/>
      <c r="JP96" s="694"/>
      <c r="JQ96" s="694"/>
      <c r="JR96" s="694"/>
      <c r="JS96" s="694"/>
      <c r="JT96" s="694"/>
      <c r="JU96" s="694"/>
      <c r="JV96" s="694"/>
      <c r="JW96" s="694"/>
      <c r="JX96" s="694"/>
    </row>
    <row r="97" spans="1:284" s="581" customFormat="1" ht="9" customHeight="1" thickBot="1">
      <c r="A97" s="301"/>
      <c r="B97" s="313"/>
      <c r="C97" s="2113" t="str">
        <f>IF(Race="","",IF(NOT(ISERROR(GD97)),MID(EquipmentNameList,GD93+1,GD97-GD93-1),""))</f>
        <v/>
      </c>
      <c r="D97" s="2113"/>
      <c r="E97" s="2113"/>
      <c r="F97" s="2113"/>
      <c r="G97" s="2113"/>
      <c r="H97" s="2113"/>
      <c r="I97" s="2113"/>
      <c r="J97" s="2113"/>
      <c r="K97" s="2113"/>
      <c r="L97" s="2113"/>
      <c r="M97" s="2113"/>
      <c r="N97" s="2113"/>
      <c r="O97" s="2113"/>
      <c r="P97" s="2113"/>
      <c r="Q97" s="2113"/>
      <c r="R97" s="2113"/>
      <c r="S97" s="2113"/>
      <c r="T97" s="2113"/>
      <c r="U97" s="2113"/>
      <c r="V97" s="2113"/>
      <c r="W97" s="2113"/>
      <c r="X97" s="2113"/>
      <c r="Y97" s="2113"/>
      <c r="Z97" s="2113"/>
      <c r="AA97" s="2113"/>
      <c r="AB97" s="2113"/>
      <c r="AC97" s="2113"/>
      <c r="AD97" s="2113"/>
      <c r="AE97" s="2113"/>
      <c r="AF97" s="2113"/>
      <c r="AG97" s="2113"/>
      <c r="AH97" s="2113"/>
      <c r="AI97" s="2113"/>
      <c r="AJ97" s="2113"/>
      <c r="AK97" s="2113"/>
      <c r="AL97" s="2113"/>
      <c r="AM97" s="2113"/>
      <c r="AN97" s="2113"/>
      <c r="AO97" s="2113"/>
      <c r="AP97" s="2113"/>
      <c r="AQ97" s="2113"/>
      <c r="AR97" s="2113"/>
      <c r="AS97" s="2113"/>
      <c r="AT97" s="2113"/>
      <c r="AU97" s="2113"/>
      <c r="AV97" s="2113"/>
      <c r="AW97" s="2115" t="str">
        <f>IF(Race="","",IF(NOT(ISERROR(GE97)),VALUE(MID(EquipmentWeightList,GE93+1,GE97-GE93-1)),""))</f>
        <v/>
      </c>
      <c r="AX97" s="2115"/>
      <c r="AY97" s="2115"/>
      <c r="AZ97" s="2115"/>
      <c r="BA97" s="2115"/>
      <c r="BB97" s="2115"/>
      <c r="BC97" s="2115"/>
      <c r="BD97" s="2115"/>
      <c r="BE97" s="2115"/>
      <c r="BF97" s="405"/>
      <c r="BG97" s="406"/>
      <c r="BH97" s="301"/>
      <c r="BI97" s="405"/>
      <c r="BJ97" s="2133"/>
      <c r="BK97" s="2134"/>
      <c r="BL97" s="2134"/>
      <c r="BM97" s="2134"/>
      <c r="BN97" s="2134"/>
      <c r="BO97" s="2134"/>
      <c r="BP97" s="2134"/>
      <c r="BQ97" s="2134"/>
      <c r="BR97" s="2134"/>
      <c r="BS97" s="2134"/>
      <c r="BT97" s="2134"/>
      <c r="BU97" s="2134"/>
      <c r="BV97" s="2134"/>
      <c r="BW97" s="2134"/>
      <c r="BX97" s="2134"/>
      <c r="BY97" s="2134"/>
      <c r="BZ97" s="2134"/>
      <c r="CA97" s="2134"/>
      <c r="CB97" s="2134"/>
      <c r="CC97" s="2134"/>
      <c r="CD97" s="2134"/>
      <c r="CE97" s="2134"/>
      <c r="CF97" s="2134"/>
      <c r="CG97" s="2134"/>
      <c r="CH97" s="2134"/>
      <c r="CI97" s="2134"/>
      <c r="CJ97" s="2134"/>
      <c r="CK97" s="2134"/>
      <c r="CL97" s="2134"/>
      <c r="CM97" s="2134"/>
      <c r="CN97" s="2134"/>
      <c r="CO97" s="2134"/>
      <c r="CP97" s="2134"/>
      <c r="CQ97" s="2134"/>
      <c r="CR97" s="2134"/>
      <c r="CS97" s="2134"/>
      <c r="CT97" s="87"/>
      <c r="CU97" s="160"/>
      <c r="CV97" s="409"/>
      <c r="CW97" s="409"/>
      <c r="CX97" s="409"/>
      <c r="CY97" s="409"/>
      <c r="CZ97" s="409"/>
      <c r="DA97" s="409"/>
      <c r="DB97" s="409"/>
      <c r="DC97" s="409"/>
      <c r="DD97" s="158"/>
      <c r="DE97" s="87"/>
      <c r="DF97" s="87"/>
      <c r="DG97" s="87"/>
      <c r="DH97" s="87"/>
      <c r="DI97" s="87"/>
      <c r="DJ97" s="160"/>
      <c r="DK97" s="240"/>
      <c r="DL97" s="240"/>
      <c r="DM97" s="240"/>
      <c r="DN97" s="240"/>
      <c r="DO97" s="240"/>
      <c r="DP97" s="240"/>
      <c r="DQ97" s="240"/>
      <c r="DR97" s="158"/>
      <c r="DS97" s="87"/>
      <c r="DT97" s="87"/>
      <c r="DU97" s="87"/>
      <c r="DV97" s="160"/>
      <c r="DW97" s="240"/>
      <c r="DX97" s="240"/>
      <c r="DY97" s="240"/>
      <c r="DZ97" s="240"/>
      <c r="EA97" s="240"/>
      <c r="EB97" s="240"/>
      <c r="EC97" s="240"/>
      <c r="ED97" s="158"/>
      <c r="EE97" s="87"/>
      <c r="EF97" s="87"/>
      <c r="EG97" s="87"/>
      <c r="EH97" s="160"/>
      <c r="EI97" s="204"/>
      <c r="EJ97" s="204"/>
      <c r="EK97" s="204"/>
      <c r="EL97" s="204"/>
      <c r="EM97" s="204"/>
      <c r="EN97" s="204"/>
      <c r="EO97" s="204"/>
      <c r="EP97" s="274"/>
      <c r="EQ97" s="87"/>
      <c r="ER97" s="87"/>
      <c r="ES97" s="87"/>
      <c r="ET97" s="203"/>
      <c r="EU97" s="204"/>
      <c r="EV97" s="204"/>
      <c r="EW97" s="204"/>
      <c r="EX97" s="204"/>
      <c r="EY97" s="204"/>
      <c r="EZ97" s="204"/>
      <c r="FA97" s="204"/>
      <c r="FB97" s="158"/>
      <c r="FC97" s="87"/>
      <c r="FD97" s="87"/>
      <c r="FE97" s="87"/>
      <c r="FF97" s="203"/>
      <c r="FG97" s="204"/>
      <c r="FH97" s="204"/>
      <c r="FI97" s="204"/>
      <c r="FJ97" s="204"/>
      <c r="FK97" s="204"/>
      <c r="FL97" s="204"/>
      <c r="FM97" s="204"/>
      <c r="FN97" s="158"/>
      <c r="FO97" s="87"/>
      <c r="FP97" s="988"/>
      <c r="FQ97" s="988"/>
      <c r="FR97" s="988"/>
      <c r="FS97" s="988"/>
      <c r="FT97" s="988"/>
      <c r="FU97" s="988"/>
      <c r="FV97" s="988"/>
      <c r="FW97" s="988"/>
      <c r="FX97" s="988"/>
      <c r="FY97" s="87"/>
      <c r="FZ97" s="87"/>
      <c r="GA97" s="87"/>
      <c r="GC97" s="1853">
        <f>GC93+1</f>
        <v>22</v>
      </c>
      <c r="GD97" s="1853" t="e">
        <f>FIND(";",EquipmentNameList,GD93+1)</f>
        <v>#VALUE!</v>
      </c>
      <c r="GE97" s="1853" t="e">
        <f>FIND(";",EquipmentWeightList,GE93+1)</f>
        <v>#VALUE!</v>
      </c>
      <c r="GF97" s="1853" t="e">
        <f>FIND(";",EquipmentNumberList,GF93+1)</f>
        <v>#VALUE!</v>
      </c>
      <c r="GG97" s="694"/>
      <c r="GH97" s="1133"/>
      <c r="GI97" s="694"/>
      <c r="GJ97" s="694"/>
      <c r="GK97" s="694"/>
      <c r="GL97" s="694"/>
      <c r="GM97" s="694"/>
      <c r="GN97" s="694"/>
      <c r="GO97" s="694"/>
      <c r="GP97" s="694"/>
      <c r="GQ97" s="694"/>
      <c r="GR97" s="694"/>
      <c r="GS97" s="694"/>
      <c r="GT97" s="694"/>
      <c r="GU97" s="694"/>
      <c r="GV97" s="694"/>
      <c r="GW97" s="694"/>
      <c r="GX97" s="694"/>
      <c r="GY97" s="694"/>
      <c r="GZ97" s="694"/>
      <c r="HA97" s="694"/>
      <c r="HB97" s="694"/>
      <c r="HC97" s="694"/>
      <c r="HD97" s="694"/>
      <c r="HE97" s="694"/>
      <c r="HF97" s="694"/>
      <c r="HG97" s="694"/>
      <c r="HH97" s="694"/>
      <c r="HI97" s="694"/>
      <c r="HJ97" s="694"/>
      <c r="HK97" s="694"/>
      <c r="HL97" s="694"/>
      <c r="HM97" s="694"/>
      <c r="HN97" s="694"/>
      <c r="HO97" s="694"/>
      <c r="HP97" s="694"/>
      <c r="HQ97" s="694"/>
      <c r="HR97" s="694"/>
      <c r="HS97" s="694"/>
      <c r="HT97" s="694"/>
      <c r="HU97" s="694"/>
      <c r="HV97" s="694"/>
      <c r="HW97" s="694"/>
      <c r="HX97" s="694"/>
      <c r="HY97" s="694"/>
      <c r="HZ97" s="694"/>
      <c r="IA97" s="694"/>
      <c r="IB97" s="694"/>
      <c r="IC97" s="694"/>
      <c r="ID97" s="694"/>
      <c r="IE97" s="694"/>
      <c r="IF97" s="694"/>
      <c r="IG97" s="694"/>
      <c r="IH97" s="694"/>
      <c r="II97" s="694"/>
      <c r="IJ97" s="694"/>
      <c r="IK97" s="694"/>
      <c r="IL97" s="694"/>
      <c r="IM97" s="694"/>
      <c r="IN97" s="694"/>
      <c r="IO97" s="694"/>
      <c r="IP97" s="694"/>
      <c r="IQ97" s="694"/>
      <c r="IR97" s="694"/>
      <c r="IS97" s="694"/>
      <c r="IT97" s="694"/>
      <c r="IU97" s="694"/>
      <c r="IV97" s="694"/>
      <c r="IW97" s="694"/>
      <c r="IX97" s="694"/>
      <c r="IY97" s="694"/>
      <c r="IZ97" s="694"/>
      <c r="JA97" s="694"/>
      <c r="JB97" s="694"/>
      <c r="JC97" s="694"/>
      <c r="JD97" s="694"/>
      <c r="JE97" s="694"/>
      <c r="JF97" s="694"/>
      <c r="JG97" s="694"/>
      <c r="JH97" s="694"/>
      <c r="JI97" s="694"/>
      <c r="JJ97" s="694"/>
      <c r="JK97" s="694"/>
      <c r="JL97" s="694"/>
      <c r="JM97" s="694"/>
      <c r="JN97" s="694"/>
      <c r="JO97" s="694"/>
      <c r="JP97" s="694"/>
      <c r="JQ97" s="694"/>
      <c r="JR97" s="694"/>
      <c r="JS97" s="694"/>
      <c r="JT97" s="694"/>
      <c r="JU97" s="694"/>
      <c r="JV97" s="694"/>
      <c r="JW97" s="694"/>
      <c r="JX97" s="694"/>
    </row>
    <row r="98" spans="1:284" s="581" customFormat="1" ht="9" customHeight="1" thickBot="1">
      <c r="A98" s="301"/>
      <c r="B98" s="313"/>
      <c r="C98" s="2113"/>
      <c r="D98" s="2113"/>
      <c r="E98" s="2113"/>
      <c r="F98" s="2113"/>
      <c r="G98" s="2113"/>
      <c r="H98" s="2113"/>
      <c r="I98" s="2113"/>
      <c r="J98" s="2113"/>
      <c r="K98" s="2113"/>
      <c r="L98" s="2113"/>
      <c r="M98" s="2113"/>
      <c r="N98" s="2113"/>
      <c r="O98" s="2113"/>
      <c r="P98" s="2113"/>
      <c r="Q98" s="2113"/>
      <c r="R98" s="2113"/>
      <c r="S98" s="2113"/>
      <c r="T98" s="2113"/>
      <c r="U98" s="2113"/>
      <c r="V98" s="2113"/>
      <c r="W98" s="2113"/>
      <c r="X98" s="2113"/>
      <c r="Y98" s="2113"/>
      <c r="Z98" s="2113"/>
      <c r="AA98" s="2113"/>
      <c r="AB98" s="2113"/>
      <c r="AC98" s="2113"/>
      <c r="AD98" s="2113"/>
      <c r="AE98" s="2113"/>
      <c r="AF98" s="2113"/>
      <c r="AG98" s="2113"/>
      <c r="AH98" s="2113"/>
      <c r="AI98" s="2113"/>
      <c r="AJ98" s="2113"/>
      <c r="AK98" s="2113"/>
      <c r="AL98" s="2113"/>
      <c r="AM98" s="2113"/>
      <c r="AN98" s="2113"/>
      <c r="AO98" s="2113"/>
      <c r="AP98" s="2113"/>
      <c r="AQ98" s="2113"/>
      <c r="AR98" s="2113"/>
      <c r="AS98" s="2113"/>
      <c r="AT98" s="2113"/>
      <c r="AU98" s="2113"/>
      <c r="AV98" s="2113"/>
      <c r="AW98" s="2115"/>
      <c r="AX98" s="2115"/>
      <c r="AY98" s="2115"/>
      <c r="AZ98" s="2115"/>
      <c r="BA98" s="2115"/>
      <c r="BB98" s="2115"/>
      <c r="BC98" s="2115"/>
      <c r="BD98" s="2115"/>
      <c r="BE98" s="2115"/>
      <c r="BF98" s="405"/>
      <c r="BG98" s="406"/>
      <c r="BH98" s="301"/>
      <c r="BI98" s="405"/>
      <c r="BJ98" s="1205"/>
      <c r="BK98" s="1205"/>
      <c r="BL98" s="1205"/>
      <c r="BM98" s="1205"/>
      <c r="BN98" s="1205"/>
      <c r="BO98" s="1205"/>
      <c r="BP98" s="1205"/>
      <c r="BQ98" s="1205"/>
      <c r="BR98" s="1205"/>
      <c r="BS98" s="1205"/>
      <c r="BT98" s="1205"/>
      <c r="BU98" s="1205"/>
      <c r="BV98" s="1205"/>
      <c r="BW98" s="1205"/>
      <c r="BX98" s="1205"/>
      <c r="BY98" s="1205"/>
      <c r="BZ98" s="1205"/>
      <c r="CA98" s="1215"/>
      <c r="CB98" s="1215"/>
      <c r="CC98" s="1215"/>
      <c r="CD98" s="1215"/>
      <c r="CE98" s="1215"/>
      <c r="CF98" s="1215"/>
      <c r="CG98" s="1215"/>
      <c r="CH98" s="1215"/>
      <c r="CI98" s="1215"/>
      <c r="CJ98" s="1215"/>
      <c r="CK98" s="1215"/>
      <c r="CL98" s="1215"/>
      <c r="CM98" s="1205"/>
      <c r="CN98" s="1216"/>
      <c r="CO98" s="1217"/>
      <c r="CP98" s="1217"/>
      <c r="CQ98" s="1217"/>
      <c r="CR98" s="1217"/>
      <c r="CS98" s="1217"/>
      <c r="CT98" s="417"/>
      <c r="CU98" s="417"/>
      <c r="CV98" s="418"/>
      <c r="CW98" s="418"/>
      <c r="CX98" s="416"/>
      <c r="CY98" s="414"/>
      <c r="CZ98" s="414"/>
      <c r="DA98" s="414"/>
      <c r="DB98" s="414"/>
      <c r="DC98" s="414"/>
      <c r="DD98" s="301"/>
      <c r="DE98" s="301"/>
      <c r="DF98" s="301"/>
      <c r="DG98" s="301"/>
      <c r="DH98" s="301"/>
      <c r="DI98" s="301"/>
      <c r="DJ98" s="301"/>
      <c r="DK98" s="301"/>
      <c r="DL98" s="301"/>
      <c r="DM98" s="301"/>
      <c r="DN98" s="301"/>
      <c r="DO98" s="301"/>
      <c r="DP98" s="301"/>
      <c r="DQ98" s="301"/>
      <c r="DR98" s="301"/>
      <c r="DS98" s="301"/>
      <c r="DT98" s="301"/>
      <c r="DU98" s="301"/>
      <c r="DV98" s="301"/>
      <c r="DW98" s="301"/>
      <c r="DX98" s="301"/>
      <c r="DY98" s="301"/>
      <c r="DZ98" s="301"/>
      <c r="EA98" s="301"/>
      <c r="EB98" s="301"/>
      <c r="EC98" s="301"/>
      <c r="ED98" s="301"/>
      <c r="EE98" s="301"/>
      <c r="EF98" s="301"/>
      <c r="EG98" s="301"/>
      <c r="EH98" s="301"/>
      <c r="EI98" s="301"/>
      <c r="EJ98" s="301"/>
      <c r="EK98" s="301"/>
      <c r="EL98" s="301"/>
      <c r="EM98" s="301"/>
      <c r="EN98" s="301"/>
      <c r="EO98" s="301"/>
      <c r="EP98" s="301"/>
      <c r="EQ98" s="301"/>
      <c r="ER98" s="301"/>
      <c r="ES98" s="301"/>
      <c r="ET98" s="301"/>
      <c r="EU98" s="301"/>
      <c r="EV98" s="301"/>
      <c r="EW98" s="301"/>
      <c r="EX98" s="301"/>
      <c r="EY98" s="301"/>
      <c r="EZ98" s="301"/>
      <c r="FA98" s="384"/>
      <c r="FB98" s="384"/>
      <c r="FC98" s="384"/>
      <c r="FD98" s="384"/>
      <c r="FE98" s="384"/>
      <c r="FF98" s="301"/>
      <c r="FG98" s="301"/>
      <c r="FH98" s="301"/>
      <c r="FI98" s="301"/>
      <c r="FJ98" s="301"/>
      <c r="FK98" s="301"/>
      <c r="FL98" s="301"/>
      <c r="FM98" s="301"/>
      <c r="FN98" s="87"/>
      <c r="FO98" s="87"/>
      <c r="FP98" s="988"/>
      <c r="FQ98" s="988"/>
      <c r="FR98" s="988"/>
      <c r="FS98" s="988"/>
      <c r="FT98" s="988"/>
      <c r="FU98" s="988"/>
      <c r="FV98" s="988"/>
      <c r="FW98" s="988"/>
      <c r="FX98" s="988"/>
      <c r="FY98" s="87"/>
      <c r="FZ98" s="87"/>
      <c r="GA98" s="87"/>
      <c r="GC98" s="1853"/>
      <c r="GD98" s="1853"/>
      <c r="GE98" s="1853"/>
      <c r="GF98" s="1853"/>
      <c r="GG98" s="694"/>
      <c r="GH98" s="1133"/>
      <c r="GI98" s="694"/>
      <c r="GJ98" s="694"/>
      <c r="GK98" s="694"/>
      <c r="GL98" s="694"/>
      <c r="GM98" s="694"/>
      <c r="GN98" s="694"/>
      <c r="GO98" s="694"/>
      <c r="GP98" s="694"/>
      <c r="GQ98" s="694"/>
      <c r="GR98" s="694"/>
      <c r="GS98" s="694"/>
      <c r="GT98" s="694"/>
      <c r="GU98" s="694"/>
      <c r="GV98" s="694"/>
      <c r="GW98" s="694"/>
      <c r="GX98" s="694"/>
      <c r="GY98" s="694"/>
      <c r="GZ98" s="694"/>
      <c r="HA98" s="694"/>
      <c r="HB98" s="694"/>
      <c r="HC98" s="694"/>
      <c r="HD98" s="694"/>
      <c r="HE98" s="694"/>
      <c r="HF98" s="694"/>
      <c r="HG98" s="694"/>
      <c r="HH98" s="694"/>
      <c r="HI98" s="694"/>
      <c r="HJ98" s="694"/>
      <c r="HK98" s="694"/>
      <c r="HL98" s="694"/>
      <c r="HM98" s="694"/>
      <c r="HN98" s="694"/>
      <c r="HO98" s="694"/>
      <c r="HP98" s="694"/>
      <c r="HQ98" s="694"/>
      <c r="HR98" s="694"/>
      <c r="HS98" s="694"/>
      <c r="HT98" s="694"/>
      <c r="HU98" s="694"/>
      <c r="HV98" s="694"/>
      <c r="HW98" s="694"/>
      <c r="HX98" s="694"/>
      <c r="HY98" s="694"/>
      <c r="HZ98" s="694"/>
      <c r="IA98" s="694"/>
      <c r="IB98" s="694"/>
      <c r="IC98" s="694"/>
      <c r="ID98" s="694"/>
      <c r="IE98" s="694"/>
      <c r="IF98" s="694"/>
      <c r="IG98" s="694"/>
      <c r="IH98" s="694"/>
      <c r="II98" s="694"/>
      <c r="IJ98" s="694"/>
      <c r="IK98" s="694"/>
      <c r="IL98" s="694"/>
      <c r="IM98" s="694"/>
      <c r="IN98" s="694"/>
      <c r="IO98" s="694"/>
      <c r="IP98" s="694"/>
      <c r="IQ98" s="694"/>
      <c r="IR98" s="694"/>
      <c r="IS98" s="694"/>
      <c r="IT98" s="694"/>
      <c r="IU98" s="694"/>
      <c r="IV98" s="694"/>
      <c r="IW98" s="694"/>
      <c r="IX98" s="694"/>
      <c r="IY98" s="694"/>
      <c r="IZ98" s="694"/>
      <c r="JA98" s="694"/>
      <c r="JB98" s="694"/>
      <c r="JC98" s="694"/>
      <c r="JD98" s="694"/>
      <c r="JE98" s="694"/>
      <c r="JF98" s="694"/>
      <c r="JG98" s="694"/>
      <c r="JH98" s="694"/>
      <c r="JI98" s="694"/>
      <c r="JJ98" s="694"/>
      <c r="JK98" s="694"/>
      <c r="JL98" s="694"/>
      <c r="JM98" s="694"/>
      <c r="JN98" s="694"/>
      <c r="JO98" s="694"/>
      <c r="JP98" s="694"/>
      <c r="JQ98" s="694"/>
      <c r="JR98" s="694"/>
      <c r="JS98" s="694"/>
      <c r="JT98" s="694"/>
      <c r="JU98" s="694"/>
      <c r="JV98" s="694"/>
      <c r="JW98" s="694"/>
      <c r="JX98" s="694"/>
    </row>
    <row r="99" spans="1:284" ht="9" customHeight="1" thickBot="1">
      <c r="A99" s="301"/>
      <c r="B99" s="313"/>
      <c r="C99" s="2114"/>
      <c r="D99" s="2114"/>
      <c r="E99" s="2114"/>
      <c r="F99" s="2114"/>
      <c r="G99" s="2114"/>
      <c r="H99" s="2114"/>
      <c r="I99" s="2114"/>
      <c r="J99" s="2114"/>
      <c r="K99" s="2114"/>
      <c r="L99" s="2114"/>
      <c r="M99" s="2114"/>
      <c r="N99" s="2114"/>
      <c r="O99" s="2114"/>
      <c r="P99" s="2114"/>
      <c r="Q99" s="2114"/>
      <c r="R99" s="2114"/>
      <c r="S99" s="2114"/>
      <c r="T99" s="2114"/>
      <c r="U99" s="2114"/>
      <c r="V99" s="2114"/>
      <c r="W99" s="2114"/>
      <c r="X99" s="2114"/>
      <c r="Y99" s="2114"/>
      <c r="Z99" s="2114"/>
      <c r="AA99" s="2114"/>
      <c r="AB99" s="2114"/>
      <c r="AC99" s="2114"/>
      <c r="AD99" s="2114"/>
      <c r="AE99" s="2114"/>
      <c r="AF99" s="2114"/>
      <c r="AG99" s="2114"/>
      <c r="AH99" s="2114"/>
      <c r="AI99" s="2114"/>
      <c r="AJ99" s="2114"/>
      <c r="AK99" s="2114"/>
      <c r="AL99" s="2114"/>
      <c r="AM99" s="2114"/>
      <c r="AN99" s="2114"/>
      <c r="AO99" s="2114"/>
      <c r="AP99" s="2114"/>
      <c r="AQ99" s="2114"/>
      <c r="AR99" s="2114"/>
      <c r="AS99" s="2114"/>
      <c r="AT99" s="2114"/>
      <c r="AU99" s="2114"/>
      <c r="AV99" s="2114"/>
      <c r="AW99" s="2116"/>
      <c r="AX99" s="2116"/>
      <c r="AY99" s="2116"/>
      <c r="AZ99" s="2116"/>
      <c r="BA99" s="2116"/>
      <c r="BB99" s="2116"/>
      <c r="BC99" s="2116"/>
      <c r="BD99" s="2116"/>
      <c r="BE99" s="2116"/>
      <c r="BF99" s="405"/>
      <c r="BG99" s="406"/>
      <c r="BH99" s="301"/>
      <c r="BI99" s="405"/>
      <c r="BJ99" s="1205"/>
      <c r="BK99" s="1205"/>
      <c r="BL99" s="1205"/>
      <c r="BM99" s="1205"/>
      <c r="BN99" s="2106" t="s">
        <v>550</v>
      </c>
      <c r="BO99" s="2106"/>
      <c r="BP99" s="2106"/>
      <c r="BQ99" s="2106"/>
      <c r="BR99" s="2106"/>
      <c r="BS99" s="2106"/>
      <c r="BT99" s="2106"/>
      <c r="BU99" s="2106"/>
      <c r="BV99" s="2106"/>
      <c r="BW99" s="2106"/>
      <c r="BX99" s="2106"/>
      <c r="BY99" s="2106"/>
      <c r="BZ99" s="2106"/>
      <c r="CA99" s="2106"/>
      <c r="CB99" s="2106"/>
      <c r="CC99" s="2106"/>
      <c r="CD99" s="2106"/>
      <c r="CE99" s="2106"/>
      <c r="CF99" s="2106"/>
      <c r="CG99" s="2106"/>
      <c r="CH99" s="2106"/>
      <c r="CI99" s="2106"/>
      <c r="CJ99" s="2106"/>
      <c r="CK99" s="2106"/>
      <c r="CL99" s="2106"/>
      <c r="CM99" s="2106"/>
      <c r="CN99" s="2106"/>
      <c r="CO99" s="2106"/>
      <c r="CP99" s="2106"/>
      <c r="CQ99" s="2106"/>
      <c r="CR99" s="2106"/>
      <c r="CS99" s="2106"/>
      <c r="CT99" s="87"/>
      <c r="CU99" s="158" t="e">
        <f>HeroicLvl+ArmourFort</f>
        <v>#NAME?</v>
      </c>
      <c r="CV99" s="411"/>
      <c r="CW99" s="411"/>
      <c r="CX99" s="411"/>
      <c r="CY99" s="411"/>
      <c r="CZ99" s="411"/>
      <c r="DA99" s="411"/>
      <c r="DB99" s="411"/>
      <c r="DC99" s="411"/>
      <c r="DD99" s="160"/>
      <c r="DE99" s="87"/>
      <c r="DF99" s="87"/>
      <c r="DG99" s="87"/>
      <c r="DH99" s="87"/>
      <c r="DI99" s="87"/>
      <c r="DJ99" s="158" t="e">
        <f>HeroicLvl+ArmourFort</f>
        <v>#NAME?</v>
      </c>
      <c r="DK99" s="159"/>
      <c r="DL99" s="159"/>
      <c r="DM99" s="159"/>
      <c r="DN99" s="159"/>
      <c r="DO99" s="159"/>
      <c r="DP99" s="159"/>
      <c r="DQ99" s="159"/>
      <c r="DR99" s="160"/>
      <c r="DS99" s="87"/>
      <c r="DT99" s="87"/>
      <c r="DU99" s="87"/>
      <c r="DV99" s="158"/>
      <c r="DW99" s="159"/>
      <c r="DX99" s="159"/>
      <c r="DY99" s="159"/>
      <c r="DZ99" s="159"/>
      <c r="EA99" s="159"/>
      <c r="EB99" s="159"/>
      <c r="EC99" s="159"/>
      <c r="ED99" s="160"/>
      <c r="EE99" s="87"/>
      <c r="EF99" s="87"/>
      <c r="EG99" s="87"/>
      <c r="EH99" s="158"/>
      <c r="EI99" s="184"/>
      <c r="EJ99" s="184"/>
      <c r="EK99" s="184"/>
      <c r="EL99" s="184"/>
      <c r="EM99" s="184"/>
      <c r="EN99" s="184"/>
      <c r="EO99" s="184"/>
      <c r="EP99" s="160"/>
      <c r="EQ99" s="87"/>
      <c r="ER99" s="87"/>
      <c r="ES99" s="87"/>
      <c r="ET99" s="158"/>
      <c r="EU99" s="1649"/>
      <c r="EV99" s="1649"/>
      <c r="EW99" s="1649"/>
      <c r="EX99" s="1649"/>
      <c r="EY99" s="1649"/>
      <c r="EZ99" s="1649"/>
      <c r="FA99" s="1649"/>
      <c r="FB99" s="160"/>
      <c r="FC99" s="87"/>
      <c r="FD99" s="87"/>
      <c r="FE99" s="87"/>
      <c r="FF99" s="158"/>
      <c r="FG99" s="159"/>
      <c r="FH99" s="159"/>
      <c r="FI99" s="159"/>
      <c r="FJ99" s="159"/>
      <c r="FK99" s="159"/>
      <c r="FL99" s="159"/>
      <c r="FM99" s="159"/>
      <c r="FN99" s="160"/>
      <c r="FO99" s="87"/>
      <c r="FP99" s="988"/>
      <c r="FQ99" s="988"/>
      <c r="FR99" s="988"/>
      <c r="FS99" s="988"/>
      <c r="FT99" s="988"/>
      <c r="FU99" s="988"/>
      <c r="FV99" s="988"/>
      <c r="FW99" s="988"/>
      <c r="FX99" s="988"/>
      <c r="FY99" s="87"/>
      <c r="FZ99" s="87"/>
      <c r="GA99" s="87"/>
      <c r="GC99" s="1853"/>
      <c r="GD99" s="1853"/>
      <c r="GE99" s="1853"/>
      <c r="GF99" s="1853"/>
      <c r="GH99" s="1133"/>
    </row>
    <row r="100" spans="1:284" ht="9" customHeight="1">
      <c r="A100" s="301"/>
      <c r="B100" s="313"/>
      <c r="C100" s="301"/>
      <c r="D100" s="301"/>
      <c r="E100" s="643"/>
      <c r="F100" s="643"/>
      <c r="G100" s="643"/>
      <c r="H100" s="643"/>
      <c r="I100" s="643"/>
      <c r="J100" s="643"/>
      <c r="K100" s="301"/>
      <c r="L100" s="301"/>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1087"/>
      <c r="AX100" s="1087"/>
      <c r="AY100" s="1087"/>
      <c r="AZ100" s="1087"/>
      <c r="BA100" s="1087"/>
      <c r="BB100" s="1087"/>
      <c r="BC100" s="1087"/>
      <c r="BD100" s="1087"/>
      <c r="BE100" s="1087"/>
      <c r="BF100" s="405"/>
      <c r="BG100" s="406"/>
      <c r="BH100" s="301"/>
      <c r="BI100" s="405"/>
      <c r="BJ100" s="1205"/>
      <c r="BK100" s="1205"/>
      <c r="BL100" s="1205"/>
      <c r="BM100" s="1205"/>
      <c r="BN100" s="2106"/>
      <c r="BO100" s="2106"/>
      <c r="BP100" s="2106"/>
      <c r="BQ100" s="2106"/>
      <c r="BR100" s="2106"/>
      <c r="BS100" s="2106"/>
      <c r="BT100" s="2106"/>
      <c r="BU100" s="2106"/>
      <c r="BV100" s="2106"/>
      <c r="BW100" s="2106"/>
      <c r="BX100" s="2106"/>
      <c r="BY100" s="2106"/>
      <c r="BZ100" s="2106"/>
      <c r="CA100" s="2106"/>
      <c r="CB100" s="2106"/>
      <c r="CC100" s="2106"/>
      <c r="CD100" s="2106"/>
      <c r="CE100" s="2106"/>
      <c r="CF100" s="2106"/>
      <c r="CG100" s="2106"/>
      <c r="CH100" s="2106"/>
      <c r="CI100" s="2106"/>
      <c r="CJ100" s="2106"/>
      <c r="CK100" s="2106"/>
      <c r="CL100" s="2106"/>
      <c r="CM100" s="2106"/>
      <c r="CN100" s="2106"/>
      <c r="CO100" s="2106"/>
      <c r="CP100" s="2106"/>
      <c r="CQ100" s="2106"/>
      <c r="CR100" s="2106"/>
      <c r="CS100" s="2106"/>
      <c r="CT100" s="87"/>
      <c r="CU100" s="166"/>
      <c r="CV100" s="2107">
        <f ca="1">Mechanics</f>
        <v>0</v>
      </c>
      <c r="CW100" s="2107"/>
      <c r="CX100" s="2107"/>
      <c r="CY100" s="2107"/>
      <c r="CZ100" s="2107"/>
      <c r="DA100" s="2107"/>
      <c r="DB100" s="2107"/>
      <c r="DC100" s="2107"/>
      <c r="DD100" s="167"/>
      <c r="DE100" s="87"/>
      <c r="DF100" s="117"/>
      <c r="DG100" s="117"/>
      <c r="DH100" s="117"/>
      <c r="DI100" s="87"/>
      <c r="DJ100" s="166"/>
      <c r="DK100" s="1991">
        <f>ROUNDDOWN(CharacterLevel/2,0)</f>
        <v>0</v>
      </c>
      <c r="DL100" s="1991"/>
      <c r="DM100" s="1991"/>
      <c r="DN100" s="1991"/>
      <c r="DO100" s="1991"/>
      <c r="DP100" s="1991"/>
      <c r="DQ100" s="1991"/>
      <c r="DR100" s="167"/>
      <c r="DS100" s="87"/>
      <c r="DT100" s="87"/>
      <c r="DU100" s="87"/>
      <c r="DV100" s="166"/>
      <c r="DW100" s="1991" t="str">
        <f>IntMod</f>
        <v/>
      </c>
      <c r="DX100" s="1991"/>
      <c r="DY100" s="1991"/>
      <c r="DZ100" s="1991"/>
      <c r="EA100" s="1991"/>
      <c r="EB100" s="1991"/>
      <c r="EC100" s="1991"/>
      <c r="ED100" s="167"/>
      <c r="EE100" s="87"/>
      <c r="EF100" s="87"/>
      <c r="EG100" s="87"/>
      <c r="EH100" s="166"/>
      <c r="EI100" s="1991" t="str">
        <f>IF(CharacterLevel&gt;0,IF(OR(INDEX(SkillTable,MATCH(BN99,SkillList,0),4)="Yes",INDEX(SkillTable,MATCH(BN99,SkillList,0),5)="Yes"),5,0),"")</f>
        <v/>
      </c>
      <c r="EJ100" s="1991"/>
      <c r="EK100" s="1991"/>
      <c r="EL100" s="1991"/>
      <c r="EM100" s="1991"/>
      <c r="EN100" s="1991"/>
      <c r="EO100" s="1991"/>
      <c r="EP100" s="264"/>
      <c r="EQ100" s="265"/>
      <c r="ER100" s="265"/>
      <c r="ES100" s="265"/>
      <c r="ET100" s="266"/>
      <c r="EU100" s="1991" t="b">
        <f>IF(CharacterLevel&gt;0,IF(Skills!R25="Yes",5,0))</f>
        <v>0</v>
      </c>
      <c r="EV100" s="1991"/>
      <c r="EW100" s="1991"/>
      <c r="EX100" s="1991"/>
      <c r="EY100" s="1991"/>
      <c r="EZ100" s="1991"/>
      <c r="FA100" s="1991"/>
      <c r="FB100" s="167"/>
      <c r="FC100" s="265"/>
      <c r="FD100" s="265"/>
      <c r="FE100" s="265"/>
      <c r="FF100" s="266"/>
      <c r="FG100" s="1991">
        <f>ArmorPenalty+INDEX(SkillTable,MATCH(BN99,SkillList,0),12)</f>
        <v>0</v>
      </c>
      <c r="FH100" s="1991"/>
      <c r="FI100" s="1991"/>
      <c r="FJ100" s="1991"/>
      <c r="FK100" s="1991"/>
      <c r="FL100" s="1991"/>
      <c r="FM100" s="1991"/>
      <c r="FN100" s="167"/>
      <c r="FO100" s="87"/>
      <c r="FP100" s="2124" t="str">
        <f>IF(INDEX(SkillTable,MATCH(BN99,SkillList,0),77)&lt;&gt;"","×","")</f>
        <v/>
      </c>
      <c r="FQ100" s="2125"/>
      <c r="FR100" s="2125"/>
      <c r="FS100" s="2126"/>
      <c r="FT100" s="988"/>
      <c r="FU100" s="2124" t="str">
        <f>IF(INDEX(SkillTable,MATCH(BN99,SkillList,0),78)&lt;&gt;"","×","")</f>
        <v/>
      </c>
      <c r="FV100" s="2125"/>
      <c r="FW100" s="2125"/>
      <c r="FX100" s="2126"/>
      <c r="FY100" s="87"/>
      <c r="FZ100" s="87"/>
      <c r="GA100" s="87"/>
      <c r="GD100" s="714"/>
      <c r="GE100" s="714"/>
      <c r="GF100" s="714"/>
      <c r="GH100" s="1135" t="e">
        <f ca="1">IF(INDEX(SkillTable,MATCH(BN99,SkillList,0),14),1,0)</f>
        <v>#VALUE!</v>
      </c>
    </row>
    <row r="101" spans="1:284" ht="9" customHeight="1">
      <c r="A101" s="301"/>
      <c r="B101" s="313"/>
      <c r="C101" s="2113" t="str">
        <f>IF(Race="","",IF(NOT(ISERROR(GD101)),MID(EquipmentNameList,GD97+1,GD101-GD97-1),""))</f>
        <v/>
      </c>
      <c r="D101" s="2113"/>
      <c r="E101" s="2113"/>
      <c r="F101" s="2113"/>
      <c r="G101" s="2113"/>
      <c r="H101" s="2113"/>
      <c r="I101" s="2113"/>
      <c r="J101" s="2113"/>
      <c r="K101" s="2113"/>
      <c r="L101" s="2113"/>
      <c r="M101" s="2113"/>
      <c r="N101" s="2113"/>
      <c r="O101" s="2113"/>
      <c r="P101" s="2113"/>
      <c r="Q101" s="2113"/>
      <c r="R101" s="2113"/>
      <c r="S101" s="2113"/>
      <c r="T101" s="2113"/>
      <c r="U101" s="2113"/>
      <c r="V101" s="2113"/>
      <c r="W101" s="2113"/>
      <c r="X101" s="2113"/>
      <c r="Y101" s="2113"/>
      <c r="Z101" s="2113"/>
      <c r="AA101" s="2113"/>
      <c r="AB101" s="2113"/>
      <c r="AC101" s="2113"/>
      <c r="AD101" s="2113"/>
      <c r="AE101" s="2113"/>
      <c r="AF101" s="2113"/>
      <c r="AG101" s="2113"/>
      <c r="AH101" s="2113"/>
      <c r="AI101" s="2113"/>
      <c r="AJ101" s="2113"/>
      <c r="AK101" s="2113"/>
      <c r="AL101" s="2113"/>
      <c r="AM101" s="2113"/>
      <c r="AN101" s="2113"/>
      <c r="AO101" s="2113"/>
      <c r="AP101" s="2113"/>
      <c r="AQ101" s="2113"/>
      <c r="AR101" s="2113"/>
      <c r="AS101" s="2113"/>
      <c r="AT101" s="2113"/>
      <c r="AU101" s="2113"/>
      <c r="AV101" s="2113"/>
      <c r="AW101" s="2115" t="str">
        <f>IF(Race="","",IF(NOT(ISERROR(GE101)),VALUE(MID(EquipmentWeightList,GE97+1,GE101-GE97-1)),""))</f>
        <v/>
      </c>
      <c r="AX101" s="2115"/>
      <c r="AY101" s="2115"/>
      <c r="AZ101" s="2115"/>
      <c r="BA101" s="2115"/>
      <c r="BB101" s="2115"/>
      <c r="BC101" s="2115"/>
      <c r="BD101" s="2115"/>
      <c r="BE101" s="2115"/>
      <c r="BF101" s="405"/>
      <c r="BG101" s="406"/>
      <c r="BH101" s="301"/>
      <c r="BI101" s="405"/>
      <c r="BJ101" s="1205"/>
      <c r="BK101" s="1205"/>
      <c r="BL101" s="1205"/>
      <c r="BM101" s="1205"/>
      <c r="BN101" s="2106"/>
      <c r="BO101" s="2106"/>
      <c r="BP101" s="2106"/>
      <c r="BQ101" s="2106"/>
      <c r="BR101" s="2106"/>
      <c r="BS101" s="2106"/>
      <c r="BT101" s="2106"/>
      <c r="BU101" s="2106"/>
      <c r="BV101" s="2106"/>
      <c r="BW101" s="2106"/>
      <c r="BX101" s="2106"/>
      <c r="BY101" s="2106"/>
      <c r="BZ101" s="2106"/>
      <c r="CA101" s="2106"/>
      <c r="CB101" s="2106"/>
      <c r="CC101" s="2106"/>
      <c r="CD101" s="2106"/>
      <c r="CE101" s="2106"/>
      <c r="CF101" s="2106"/>
      <c r="CG101" s="2106"/>
      <c r="CH101" s="2106"/>
      <c r="CI101" s="2106"/>
      <c r="CJ101" s="2106"/>
      <c r="CK101" s="2106"/>
      <c r="CL101" s="2106"/>
      <c r="CM101" s="2106"/>
      <c r="CN101" s="2106"/>
      <c r="CO101" s="2106"/>
      <c r="CP101" s="2106"/>
      <c r="CQ101" s="2106"/>
      <c r="CR101" s="2106"/>
      <c r="CS101" s="2106"/>
      <c r="CT101" s="87"/>
      <c r="CU101" s="166"/>
      <c r="CV101" s="2107"/>
      <c r="CW101" s="2107"/>
      <c r="CX101" s="2107"/>
      <c r="CY101" s="2107"/>
      <c r="CZ101" s="2107"/>
      <c r="DA101" s="2107"/>
      <c r="DB101" s="2107"/>
      <c r="DC101" s="2107"/>
      <c r="DD101" s="167"/>
      <c r="DE101" s="87"/>
      <c r="DF101" s="87"/>
      <c r="DG101" s="87"/>
      <c r="DH101" s="87"/>
      <c r="DI101" s="87"/>
      <c r="DJ101" s="166"/>
      <c r="DK101" s="1991"/>
      <c r="DL101" s="1991"/>
      <c r="DM101" s="1991"/>
      <c r="DN101" s="1991"/>
      <c r="DO101" s="1991"/>
      <c r="DP101" s="1991"/>
      <c r="DQ101" s="1991"/>
      <c r="DR101" s="167"/>
      <c r="DS101" s="117"/>
      <c r="DT101" s="117"/>
      <c r="DU101" s="117"/>
      <c r="DV101" s="166"/>
      <c r="DW101" s="1991"/>
      <c r="DX101" s="1991"/>
      <c r="DY101" s="1991"/>
      <c r="DZ101" s="1991"/>
      <c r="EA101" s="1991"/>
      <c r="EB101" s="1991"/>
      <c r="EC101" s="1991"/>
      <c r="ED101" s="167"/>
      <c r="EE101" s="117"/>
      <c r="EF101" s="117"/>
      <c r="EG101" s="117"/>
      <c r="EH101" s="166"/>
      <c r="EI101" s="1991"/>
      <c r="EJ101" s="1991"/>
      <c r="EK101" s="1991"/>
      <c r="EL101" s="1991"/>
      <c r="EM101" s="1991"/>
      <c r="EN101" s="1991"/>
      <c r="EO101" s="1991"/>
      <c r="EP101" s="264"/>
      <c r="EQ101" s="117"/>
      <c r="ER101" s="117"/>
      <c r="ES101" s="117"/>
      <c r="ET101" s="266"/>
      <c r="EU101" s="1991"/>
      <c r="EV101" s="1991"/>
      <c r="EW101" s="1991"/>
      <c r="EX101" s="1991"/>
      <c r="EY101" s="1991"/>
      <c r="EZ101" s="1991"/>
      <c r="FA101" s="1991"/>
      <c r="FB101" s="167"/>
      <c r="FC101" s="117"/>
      <c r="FD101" s="117"/>
      <c r="FE101" s="117"/>
      <c r="FF101" s="266"/>
      <c r="FG101" s="1991"/>
      <c r="FH101" s="1991"/>
      <c r="FI101" s="1991"/>
      <c r="FJ101" s="1991"/>
      <c r="FK101" s="1991"/>
      <c r="FL101" s="1991"/>
      <c r="FM101" s="1991"/>
      <c r="FN101" s="167"/>
      <c r="FO101" s="117"/>
      <c r="FP101" s="2127"/>
      <c r="FQ101" s="2081"/>
      <c r="FR101" s="2081"/>
      <c r="FS101" s="2128"/>
      <c r="FT101" s="989"/>
      <c r="FU101" s="2127"/>
      <c r="FV101" s="2081"/>
      <c r="FW101" s="2081"/>
      <c r="FX101" s="2128"/>
      <c r="FY101" s="87"/>
      <c r="FZ101" s="87"/>
      <c r="GA101" s="87"/>
      <c r="GC101" s="1853">
        <f>GC97+1</f>
        <v>23</v>
      </c>
      <c r="GD101" s="1853" t="e">
        <f>FIND(";",EquipmentNameList,GD97+1)</f>
        <v>#VALUE!</v>
      </c>
      <c r="GE101" s="1853" t="e">
        <f>FIND(";",EquipmentWeightList,GE97+1)</f>
        <v>#VALUE!</v>
      </c>
      <c r="GF101" s="1853" t="e">
        <f>FIND(";",EquipmentNumberList,GF97+1)</f>
        <v>#VALUE!</v>
      </c>
      <c r="GH101" s="1133"/>
    </row>
    <row r="102" spans="1:284" ht="9" customHeight="1" thickBot="1">
      <c r="A102" s="301"/>
      <c r="B102" s="313"/>
      <c r="C102" s="2113"/>
      <c r="D102" s="2113"/>
      <c r="E102" s="2113"/>
      <c r="F102" s="2113"/>
      <c r="G102" s="2113"/>
      <c r="H102" s="2113"/>
      <c r="I102" s="2113"/>
      <c r="J102" s="2113"/>
      <c r="K102" s="2113"/>
      <c r="L102" s="2113"/>
      <c r="M102" s="2113"/>
      <c r="N102" s="2113"/>
      <c r="O102" s="2113"/>
      <c r="P102" s="2113"/>
      <c r="Q102" s="2113"/>
      <c r="R102" s="2113"/>
      <c r="S102" s="2113"/>
      <c r="T102" s="2113"/>
      <c r="U102" s="2113"/>
      <c r="V102" s="2113"/>
      <c r="W102" s="2113"/>
      <c r="X102" s="2113"/>
      <c r="Y102" s="2113"/>
      <c r="Z102" s="2113"/>
      <c r="AA102" s="2113"/>
      <c r="AB102" s="2113"/>
      <c r="AC102" s="2113"/>
      <c r="AD102" s="2113"/>
      <c r="AE102" s="2113"/>
      <c r="AF102" s="2113"/>
      <c r="AG102" s="2113"/>
      <c r="AH102" s="2113"/>
      <c r="AI102" s="2113"/>
      <c r="AJ102" s="2113"/>
      <c r="AK102" s="2113"/>
      <c r="AL102" s="2113"/>
      <c r="AM102" s="2113"/>
      <c r="AN102" s="2113"/>
      <c r="AO102" s="2113"/>
      <c r="AP102" s="2113"/>
      <c r="AQ102" s="2113"/>
      <c r="AR102" s="2113"/>
      <c r="AS102" s="2113"/>
      <c r="AT102" s="2113"/>
      <c r="AU102" s="2113"/>
      <c r="AV102" s="2113"/>
      <c r="AW102" s="2115"/>
      <c r="AX102" s="2115"/>
      <c r="AY102" s="2115"/>
      <c r="AZ102" s="2115"/>
      <c r="BA102" s="2115"/>
      <c r="BB102" s="2115"/>
      <c r="BC102" s="2115"/>
      <c r="BD102" s="2115"/>
      <c r="BE102" s="2115"/>
      <c r="BF102" s="405"/>
      <c r="BG102" s="406"/>
      <c r="BH102" s="301"/>
      <c r="BI102" s="405"/>
      <c r="BJ102" s="1205"/>
      <c r="BK102" s="1205"/>
      <c r="BL102" s="1205"/>
      <c r="BM102" s="1205"/>
      <c r="BN102" s="2106"/>
      <c r="BO102" s="2106"/>
      <c r="BP102" s="2106"/>
      <c r="BQ102" s="2106"/>
      <c r="BR102" s="2106"/>
      <c r="BS102" s="2106"/>
      <c r="BT102" s="2106"/>
      <c r="BU102" s="2106"/>
      <c r="BV102" s="2106"/>
      <c r="BW102" s="2106"/>
      <c r="BX102" s="2106"/>
      <c r="BY102" s="2106"/>
      <c r="BZ102" s="2106"/>
      <c r="CA102" s="2106"/>
      <c r="CB102" s="2106"/>
      <c r="CC102" s="2106"/>
      <c r="CD102" s="2106"/>
      <c r="CE102" s="2106"/>
      <c r="CF102" s="2106"/>
      <c r="CG102" s="2106"/>
      <c r="CH102" s="2106"/>
      <c r="CI102" s="2106"/>
      <c r="CJ102" s="2106"/>
      <c r="CK102" s="2106"/>
      <c r="CL102" s="2106"/>
      <c r="CM102" s="2106"/>
      <c r="CN102" s="2106"/>
      <c r="CO102" s="2106"/>
      <c r="CP102" s="2106"/>
      <c r="CQ102" s="2106"/>
      <c r="CR102" s="2106"/>
      <c r="CS102" s="2106"/>
      <c r="CT102" s="87"/>
      <c r="CU102" s="166"/>
      <c r="CV102" s="2107"/>
      <c r="CW102" s="2107"/>
      <c r="CX102" s="2107"/>
      <c r="CY102" s="2107"/>
      <c r="CZ102" s="2107"/>
      <c r="DA102" s="2107"/>
      <c r="DB102" s="2107"/>
      <c r="DC102" s="2107"/>
      <c r="DD102" s="167"/>
      <c r="DE102" s="87"/>
      <c r="DF102" s="117"/>
      <c r="DG102" s="117"/>
      <c r="DH102" s="117"/>
      <c r="DI102" s="87"/>
      <c r="DJ102" s="166"/>
      <c r="DK102" s="1991"/>
      <c r="DL102" s="1991"/>
      <c r="DM102" s="1991"/>
      <c r="DN102" s="1991"/>
      <c r="DO102" s="1991"/>
      <c r="DP102" s="1991"/>
      <c r="DQ102" s="1991"/>
      <c r="DR102" s="167"/>
      <c r="DS102" s="87"/>
      <c r="DT102" s="87"/>
      <c r="DU102" s="87"/>
      <c r="DV102" s="166"/>
      <c r="DW102" s="1991"/>
      <c r="DX102" s="1991"/>
      <c r="DY102" s="1991"/>
      <c r="DZ102" s="1991"/>
      <c r="EA102" s="1991"/>
      <c r="EB102" s="1991"/>
      <c r="EC102" s="1991"/>
      <c r="ED102" s="167"/>
      <c r="EE102" s="87"/>
      <c r="EF102" s="87"/>
      <c r="EG102" s="87"/>
      <c r="EH102" s="166"/>
      <c r="EI102" s="1991"/>
      <c r="EJ102" s="1991"/>
      <c r="EK102" s="1991"/>
      <c r="EL102" s="1991"/>
      <c r="EM102" s="1991"/>
      <c r="EN102" s="1991"/>
      <c r="EO102" s="1991"/>
      <c r="EP102" s="264"/>
      <c r="EQ102" s="87"/>
      <c r="ER102" s="87"/>
      <c r="ES102" s="87"/>
      <c r="ET102" s="266"/>
      <c r="EU102" s="1991"/>
      <c r="EV102" s="1991"/>
      <c r="EW102" s="1991"/>
      <c r="EX102" s="1991"/>
      <c r="EY102" s="1991"/>
      <c r="EZ102" s="1991"/>
      <c r="FA102" s="1991"/>
      <c r="FB102" s="167"/>
      <c r="FC102" s="87"/>
      <c r="FD102" s="87"/>
      <c r="FE102" s="87"/>
      <c r="FF102" s="266"/>
      <c r="FG102" s="1991"/>
      <c r="FH102" s="1991"/>
      <c r="FI102" s="1991"/>
      <c r="FJ102" s="1991"/>
      <c r="FK102" s="1991"/>
      <c r="FL102" s="1991"/>
      <c r="FM102" s="1991"/>
      <c r="FN102" s="167"/>
      <c r="FO102" s="87"/>
      <c r="FP102" s="2129"/>
      <c r="FQ102" s="2130"/>
      <c r="FR102" s="2130"/>
      <c r="FS102" s="2131"/>
      <c r="FT102" s="988"/>
      <c r="FU102" s="2129"/>
      <c r="FV102" s="2130"/>
      <c r="FW102" s="2130"/>
      <c r="FX102" s="2131"/>
      <c r="FY102" s="87"/>
      <c r="FZ102" s="87"/>
      <c r="GA102" s="87"/>
      <c r="GC102" s="1853"/>
      <c r="GD102" s="1853"/>
      <c r="GE102" s="1853"/>
      <c r="GF102" s="1853"/>
      <c r="GH102" s="1133"/>
    </row>
    <row r="103" spans="1:284" ht="9" customHeight="1" thickBot="1">
      <c r="A103" s="301"/>
      <c r="B103" s="313"/>
      <c r="C103" s="2114"/>
      <c r="D103" s="2114"/>
      <c r="E103" s="2114"/>
      <c r="F103" s="2114"/>
      <c r="G103" s="2114"/>
      <c r="H103" s="2114"/>
      <c r="I103" s="2114"/>
      <c r="J103" s="2114"/>
      <c r="K103" s="2114"/>
      <c r="L103" s="2114"/>
      <c r="M103" s="2114"/>
      <c r="N103" s="2114"/>
      <c r="O103" s="2114"/>
      <c r="P103" s="2114"/>
      <c r="Q103" s="2114"/>
      <c r="R103" s="2114"/>
      <c r="S103" s="2114"/>
      <c r="T103" s="2114"/>
      <c r="U103" s="2114"/>
      <c r="V103" s="2114"/>
      <c r="W103" s="2114"/>
      <c r="X103" s="2114"/>
      <c r="Y103" s="2114"/>
      <c r="Z103" s="2114"/>
      <c r="AA103" s="2114"/>
      <c r="AB103" s="2114"/>
      <c r="AC103" s="2114"/>
      <c r="AD103" s="2114"/>
      <c r="AE103" s="2114"/>
      <c r="AF103" s="2114"/>
      <c r="AG103" s="2114"/>
      <c r="AH103" s="2114"/>
      <c r="AI103" s="2114"/>
      <c r="AJ103" s="2114"/>
      <c r="AK103" s="2114"/>
      <c r="AL103" s="2114"/>
      <c r="AM103" s="2114"/>
      <c r="AN103" s="2114"/>
      <c r="AO103" s="2114"/>
      <c r="AP103" s="2114"/>
      <c r="AQ103" s="2114"/>
      <c r="AR103" s="2114"/>
      <c r="AS103" s="2114"/>
      <c r="AT103" s="2114"/>
      <c r="AU103" s="2114"/>
      <c r="AV103" s="2114"/>
      <c r="AW103" s="2116"/>
      <c r="AX103" s="2116"/>
      <c r="AY103" s="2116"/>
      <c r="AZ103" s="2116"/>
      <c r="BA103" s="2116"/>
      <c r="BB103" s="2116"/>
      <c r="BC103" s="2116"/>
      <c r="BD103" s="2116"/>
      <c r="BE103" s="2116"/>
      <c r="BF103" s="405"/>
      <c r="BG103" s="406"/>
      <c r="BH103" s="301"/>
      <c r="BI103" s="405"/>
      <c r="BJ103" s="1205"/>
      <c r="BK103" s="1205"/>
      <c r="BL103" s="1205"/>
      <c r="BM103" s="1205"/>
      <c r="BN103" s="2106"/>
      <c r="BO103" s="2106"/>
      <c r="BP103" s="2106"/>
      <c r="BQ103" s="2106"/>
      <c r="BR103" s="2106"/>
      <c r="BS103" s="2106"/>
      <c r="BT103" s="2106"/>
      <c r="BU103" s="2106"/>
      <c r="BV103" s="2106"/>
      <c r="BW103" s="2106"/>
      <c r="BX103" s="2106"/>
      <c r="BY103" s="2106"/>
      <c r="BZ103" s="2106"/>
      <c r="CA103" s="2106"/>
      <c r="CB103" s="2106"/>
      <c r="CC103" s="2106"/>
      <c r="CD103" s="2106"/>
      <c r="CE103" s="2106"/>
      <c r="CF103" s="2106"/>
      <c r="CG103" s="2106"/>
      <c r="CH103" s="2106"/>
      <c r="CI103" s="2106"/>
      <c r="CJ103" s="2106"/>
      <c r="CK103" s="2106"/>
      <c r="CL103" s="2106"/>
      <c r="CM103" s="2106"/>
      <c r="CN103" s="2106"/>
      <c r="CO103" s="2106"/>
      <c r="CP103" s="2106"/>
      <c r="CQ103" s="2106"/>
      <c r="CR103" s="2106"/>
      <c r="CS103" s="2106"/>
      <c r="CT103" s="87"/>
      <c r="CU103" s="160"/>
      <c r="CV103" s="409"/>
      <c r="CW103" s="409"/>
      <c r="CX103" s="409"/>
      <c r="CY103" s="409"/>
      <c r="CZ103" s="409"/>
      <c r="DA103" s="409"/>
      <c r="DB103" s="409"/>
      <c r="DC103" s="409"/>
      <c r="DD103" s="158"/>
      <c r="DE103" s="87"/>
      <c r="DF103" s="87"/>
      <c r="DG103" s="87"/>
      <c r="DH103" s="87"/>
      <c r="DI103" s="87"/>
      <c r="DJ103" s="160"/>
      <c r="DK103" s="240"/>
      <c r="DL103" s="240"/>
      <c r="DM103" s="240"/>
      <c r="DN103" s="240"/>
      <c r="DO103" s="240"/>
      <c r="DP103" s="240"/>
      <c r="DQ103" s="240"/>
      <c r="DR103" s="158"/>
      <c r="DS103" s="87"/>
      <c r="DT103" s="87"/>
      <c r="DU103" s="87"/>
      <c r="DV103" s="160"/>
      <c r="DW103" s="240"/>
      <c r="DX103" s="240"/>
      <c r="DY103" s="240"/>
      <c r="DZ103" s="240"/>
      <c r="EA103" s="240"/>
      <c r="EB103" s="240"/>
      <c r="EC103" s="240"/>
      <c r="ED103" s="158"/>
      <c r="EE103" s="87"/>
      <c r="EF103" s="87"/>
      <c r="EG103" s="87"/>
      <c r="EH103" s="160"/>
      <c r="EI103" s="204"/>
      <c r="EJ103" s="204"/>
      <c r="EK103" s="204"/>
      <c r="EL103" s="204"/>
      <c r="EM103" s="204"/>
      <c r="EN103" s="204"/>
      <c r="EO103" s="204"/>
      <c r="EP103" s="274"/>
      <c r="EQ103" s="87"/>
      <c r="ER103" s="87"/>
      <c r="ES103" s="87"/>
      <c r="ET103" s="203"/>
      <c r="EU103" s="204"/>
      <c r="EV103" s="204"/>
      <c r="EW103" s="204"/>
      <c r="EX103" s="204"/>
      <c r="EY103" s="204"/>
      <c r="EZ103" s="204"/>
      <c r="FA103" s="204"/>
      <c r="FB103" s="158"/>
      <c r="FC103" s="87"/>
      <c r="FD103" s="87"/>
      <c r="FE103" s="87"/>
      <c r="FF103" s="203"/>
      <c r="FG103" s="204"/>
      <c r="FH103" s="204"/>
      <c r="FI103" s="204"/>
      <c r="FJ103" s="204"/>
      <c r="FK103" s="204"/>
      <c r="FL103" s="204"/>
      <c r="FM103" s="204"/>
      <c r="FN103" s="158"/>
      <c r="FO103" s="87"/>
      <c r="FP103" s="988"/>
      <c r="FQ103" s="988"/>
      <c r="FR103" s="988"/>
      <c r="FS103" s="988"/>
      <c r="FT103" s="988"/>
      <c r="FU103" s="988"/>
      <c r="FV103" s="988"/>
      <c r="FW103" s="988"/>
      <c r="FX103" s="988"/>
      <c r="FY103" s="87"/>
      <c r="FZ103" s="87"/>
      <c r="GA103" s="87"/>
      <c r="GC103" s="1853"/>
      <c r="GD103" s="1853"/>
      <c r="GE103" s="1853"/>
      <c r="GF103" s="1853"/>
      <c r="GH103" s="1133"/>
    </row>
    <row r="104" spans="1:284" ht="9" customHeight="1" thickBot="1">
      <c r="A104" s="301"/>
      <c r="B104" s="313"/>
      <c r="C104" s="301"/>
      <c r="D104" s="301"/>
      <c r="E104" s="643"/>
      <c r="F104" s="643"/>
      <c r="G104" s="643"/>
      <c r="H104" s="643"/>
      <c r="I104" s="643"/>
      <c r="J104" s="643"/>
      <c r="K104" s="301"/>
      <c r="L104" s="301"/>
      <c r="M104" s="301"/>
      <c r="N104" s="301"/>
      <c r="O104" s="301"/>
      <c r="P104" s="301"/>
      <c r="Q104" s="301"/>
      <c r="R104" s="301"/>
      <c r="S104" s="301"/>
      <c r="T104" s="301"/>
      <c r="U104" s="301"/>
      <c r="V104" s="301"/>
      <c r="W104" s="301"/>
      <c r="X104" s="301"/>
      <c r="Y104" s="301"/>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1087"/>
      <c r="AX104" s="1087"/>
      <c r="AY104" s="1087"/>
      <c r="AZ104" s="1087"/>
      <c r="BA104" s="1087"/>
      <c r="BB104" s="1087"/>
      <c r="BC104" s="1087"/>
      <c r="BD104" s="1087"/>
      <c r="BE104" s="1087"/>
      <c r="BF104" s="405"/>
      <c r="BG104" s="406"/>
      <c r="BH104" s="301"/>
      <c r="BI104" s="405"/>
      <c r="BJ104" s="1205"/>
      <c r="BK104" s="1205"/>
      <c r="BL104" s="1205"/>
      <c r="BM104" s="1205"/>
      <c r="BN104" s="1205"/>
      <c r="BO104" s="1205"/>
      <c r="BP104" s="1205"/>
      <c r="BQ104" s="1205"/>
      <c r="BR104" s="1205"/>
      <c r="BS104" s="1205"/>
      <c r="BT104" s="1205"/>
      <c r="BU104" s="1205"/>
      <c r="BV104" s="1205"/>
      <c r="BW104" s="1205"/>
      <c r="BX104" s="1205"/>
      <c r="BY104" s="1205"/>
      <c r="BZ104" s="1205"/>
      <c r="CA104" s="1205"/>
      <c r="CB104" s="1213"/>
      <c r="CC104" s="1213"/>
      <c r="CD104" s="1205"/>
      <c r="CE104" s="1213"/>
      <c r="CF104" s="1205"/>
      <c r="CG104" s="1205"/>
      <c r="CH104" s="1205"/>
      <c r="CI104" s="1205"/>
      <c r="CJ104" s="1205"/>
      <c r="CK104" s="1205"/>
      <c r="CL104" s="1205"/>
      <c r="CM104" s="1205"/>
      <c r="CN104" s="1205"/>
      <c r="CO104" s="1205"/>
      <c r="CP104" s="1205"/>
      <c r="CQ104" s="1205"/>
      <c r="CR104" s="1205"/>
      <c r="CS104" s="1205"/>
      <c r="CT104" s="301"/>
      <c r="CU104" s="301"/>
      <c r="CV104" s="414"/>
      <c r="CW104" s="414"/>
      <c r="CX104" s="414"/>
      <c r="CY104" s="414"/>
      <c r="CZ104" s="414"/>
      <c r="DA104" s="414"/>
      <c r="DB104" s="414"/>
      <c r="DC104" s="414"/>
      <c r="DD104" s="301"/>
      <c r="DE104" s="301"/>
      <c r="DF104" s="301"/>
      <c r="DG104" s="301"/>
      <c r="DH104" s="301"/>
      <c r="DI104" s="301"/>
      <c r="DJ104" s="301"/>
      <c r="DK104" s="301"/>
      <c r="DL104" s="426"/>
      <c r="DM104" s="426"/>
      <c r="DN104" s="426"/>
      <c r="DO104" s="426"/>
      <c r="DP104" s="426"/>
      <c r="DQ104" s="426"/>
      <c r="DR104" s="426"/>
      <c r="DS104" s="426"/>
      <c r="DT104" s="426"/>
      <c r="DU104" s="426"/>
      <c r="DV104" s="426"/>
      <c r="DW104" s="426"/>
      <c r="DX104" s="426"/>
      <c r="DY104" s="426"/>
      <c r="DZ104" s="301"/>
      <c r="EA104" s="301"/>
      <c r="EB104" s="301"/>
      <c r="EC104" s="301"/>
      <c r="ED104" s="301"/>
      <c r="EE104" s="301"/>
      <c r="EF104" s="301"/>
      <c r="EG104" s="301"/>
      <c r="EH104" s="301"/>
      <c r="EI104" s="301"/>
      <c r="EJ104" s="301"/>
      <c r="EK104" s="425"/>
      <c r="EL104" s="425"/>
      <c r="EM104" s="425"/>
      <c r="EN104" s="425"/>
      <c r="EO104" s="425"/>
      <c r="EP104" s="425"/>
      <c r="EQ104" s="425"/>
      <c r="ER104" s="425"/>
      <c r="ES104" s="425"/>
      <c r="ET104" s="425"/>
      <c r="EU104" s="425"/>
      <c r="EV104" s="425"/>
      <c r="EW104" s="425"/>
      <c r="EX104" s="425"/>
      <c r="EY104" s="425"/>
      <c r="EZ104" s="425"/>
      <c r="FA104" s="301"/>
      <c r="FB104" s="301"/>
      <c r="FC104" s="301"/>
      <c r="FD104" s="301"/>
      <c r="FE104" s="301"/>
      <c r="FF104" s="301"/>
      <c r="FG104" s="301"/>
      <c r="FH104" s="301"/>
      <c r="FI104" s="301"/>
      <c r="FJ104" s="301"/>
      <c r="FK104" s="301"/>
      <c r="FL104" s="301"/>
      <c r="FM104" s="301"/>
      <c r="FN104" s="87"/>
      <c r="FO104" s="87"/>
      <c r="FP104" s="988"/>
      <c r="FQ104" s="988"/>
      <c r="FR104" s="988"/>
      <c r="FS104" s="988"/>
      <c r="FT104" s="988"/>
      <c r="FU104" s="988"/>
      <c r="FV104" s="988"/>
      <c r="FW104" s="988"/>
      <c r="FX104" s="988"/>
      <c r="FY104" s="87"/>
      <c r="FZ104" s="87"/>
      <c r="GA104" s="87"/>
      <c r="GD104" s="714"/>
      <c r="GE104" s="714"/>
      <c r="GF104" s="714"/>
      <c r="GH104" s="1133"/>
    </row>
    <row r="105" spans="1:284" ht="9" customHeight="1" thickBot="1">
      <c r="A105" s="301"/>
      <c r="B105" s="313"/>
      <c r="C105" s="2113" t="str">
        <f>IF(Race="","",IF(NOT(ISERROR(GD105)),MID(EquipmentNameList,GD101+1,GD105-GD101-1),""))</f>
        <v/>
      </c>
      <c r="D105" s="2113"/>
      <c r="E105" s="2113"/>
      <c r="F105" s="2113"/>
      <c r="G105" s="2113"/>
      <c r="H105" s="2113"/>
      <c r="I105" s="2113"/>
      <c r="J105" s="2113"/>
      <c r="K105" s="2113"/>
      <c r="L105" s="2113"/>
      <c r="M105" s="2113"/>
      <c r="N105" s="2113"/>
      <c r="O105" s="2113"/>
      <c r="P105" s="2113"/>
      <c r="Q105" s="2113"/>
      <c r="R105" s="2113"/>
      <c r="S105" s="2113"/>
      <c r="T105" s="2113"/>
      <c r="U105" s="2113"/>
      <c r="V105" s="2113"/>
      <c r="W105" s="2113"/>
      <c r="X105" s="2113"/>
      <c r="Y105" s="2113"/>
      <c r="Z105" s="2113"/>
      <c r="AA105" s="2113"/>
      <c r="AB105" s="2113"/>
      <c r="AC105" s="2113"/>
      <c r="AD105" s="2113"/>
      <c r="AE105" s="2113"/>
      <c r="AF105" s="2113"/>
      <c r="AG105" s="2113"/>
      <c r="AH105" s="2113"/>
      <c r="AI105" s="2113"/>
      <c r="AJ105" s="2113"/>
      <c r="AK105" s="2113"/>
      <c r="AL105" s="2113"/>
      <c r="AM105" s="2113"/>
      <c r="AN105" s="2113"/>
      <c r="AO105" s="2113"/>
      <c r="AP105" s="2113"/>
      <c r="AQ105" s="2113"/>
      <c r="AR105" s="2113"/>
      <c r="AS105" s="2113"/>
      <c r="AT105" s="2113"/>
      <c r="AU105" s="2113"/>
      <c r="AV105" s="2113"/>
      <c r="AW105" s="2115" t="str">
        <f>IF(Race="","",IF(NOT(ISERROR(GE105)),VALUE(MID(EquipmentWeightList,GE101+1,GE105-GE101-1)),""))</f>
        <v/>
      </c>
      <c r="AX105" s="2115"/>
      <c r="AY105" s="2115"/>
      <c r="AZ105" s="2115"/>
      <c r="BA105" s="2115"/>
      <c r="BB105" s="2115"/>
      <c r="BC105" s="2115"/>
      <c r="BD105" s="2115"/>
      <c r="BE105" s="2115"/>
      <c r="BF105" s="405"/>
      <c r="BG105" s="406"/>
      <c r="BH105" s="301"/>
      <c r="BI105" s="405"/>
      <c r="BJ105" s="1205"/>
      <c r="BK105" s="1205"/>
      <c r="BL105" s="1205"/>
      <c r="BM105" s="1205"/>
      <c r="BN105" s="2106" t="s">
        <v>190</v>
      </c>
      <c r="BO105" s="2106"/>
      <c r="BP105" s="2106"/>
      <c r="BQ105" s="2106"/>
      <c r="BR105" s="2106"/>
      <c r="BS105" s="2106"/>
      <c r="BT105" s="2106"/>
      <c r="BU105" s="2106"/>
      <c r="BV105" s="2106"/>
      <c r="BW105" s="2106"/>
      <c r="BX105" s="2106"/>
      <c r="BY105" s="2106"/>
      <c r="BZ105" s="2106"/>
      <c r="CA105" s="2106"/>
      <c r="CB105" s="2106"/>
      <c r="CC105" s="2106"/>
      <c r="CD105" s="2106"/>
      <c r="CE105" s="2106"/>
      <c r="CF105" s="2106"/>
      <c r="CG105" s="2106"/>
      <c r="CH105" s="2106"/>
      <c r="CI105" s="2106"/>
      <c r="CJ105" s="2106"/>
      <c r="CK105" s="2106"/>
      <c r="CL105" s="2106"/>
      <c r="CM105" s="2106"/>
      <c r="CN105" s="2106"/>
      <c r="CO105" s="2106"/>
      <c r="CP105" s="2106"/>
      <c r="CQ105" s="2106"/>
      <c r="CR105" s="2106"/>
      <c r="CS105" s="2106"/>
      <c r="CT105" s="87"/>
      <c r="CU105" s="158" t="e">
        <f>HeroicLvl+ArmourFort</f>
        <v>#NAME?</v>
      </c>
      <c r="CV105" s="411"/>
      <c r="CW105" s="411"/>
      <c r="CX105" s="411"/>
      <c r="CY105" s="411"/>
      <c r="CZ105" s="411"/>
      <c r="DA105" s="411"/>
      <c r="DB105" s="411"/>
      <c r="DC105" s="411"/>
      <c r="DD105" s="160"/>
      <c r="DE105" s="87"/>
      <c r="DF105" s="87"/>
      <c r="DG105" s="87"/>
      <c r="DH105" s="87"/>
      <c r="DI105" s="87"/>
      <c r="DJ105" s="158" t="e">
        <f>HeroicLvl+ArmourFort</f>
        <v>#NAME?</v>
      </c>
      <c r="DK105" s="159"/>
      <c r="DL105" s="159"/>
      <c r="DM105" s="159"/>
      <c r="DN105" s="159"/>
      <c r="DO105" s="159"/>
      <c r="DP105" s="159"/>
      <c r="DQ105" s="159"/>
      <c r="DR105" s="160"/>
      <c r="DS105" s="87"/>
      <c r="DT105" s="87"/>
      <c r="DU105" s="87"/>
      <c r="DV105" s="158"/>
      <c r="DW105" s="159"/>
      <c r="DX105" s="159"/>
      <c r="DY105" s="159"/>
      <c r="DZ105" s="159"/>
      <c r="EA105" s="159"/>
      <c r="EB105" s="159"/>
      <c r="EC105" s="159"/>
      <c r="ED105" s="160"/>
      <c r="EE105" s="87"/>
      <c r="EF105" s="87"/>
      <c r="EG105" s="87"/>
      <c r="EH105" s="158"/>
      <c r="EI105" s="184"/>
      <c r="EJ105" s="184"/>
      <c r="EK105" s="184"/>
      <c r="EL105" s="184"/>
      <c r="EM105" s="184"/>
      <c r="EN105" s="184"/>
      <c r="EO105" s="184"/>
      <c r="EP105" s="160"/>
      <c r="EQ105" s="87"/>
      <c r="ER105" s="87"/>
      <c r="ES105" s="87"/>
      <c r="ET105" s="158"/>
      <c r="EU105" s="1649"/>
      <c r="EV105" s="1649"/>
      <c r="EW105" s="1649"/>
      <c r="EX105" s="1649"/>
      <c r="EY105" s="1649"/>
      <c r="EZ105" s="1649"/>
      <c r="FA105" s="1649"/>
      <c r="FB105" s="160"/>
      <c r="FC105" s="87"/>
      <c r="FD105" s="87"/>
      <c r="FE105" s="87"/>
      <c r="FF105" s="158"/>
      <c r="FG105" s="159"/>
      <c r="FH105" s="159"/>
      <c r="FI105" s="159"/>
      <c r="FJ105" s="159"/>
      <c r="FK105" s="159"/>
      <c r="FL105" s="159"/>
      <c r="FM105" s="159"/>
      <c r="FN105" s="160"/>
      <c r="FO105" s="87"/>
      <c r="FP105" s="988"/>
      <c r="FQ105" s="988"/>
      <c r="FR105" s="988"/>
      <c r="FS105" s="988"/>
      <c r="FT105" s="988"/>
      <c r="FU105" s="988"/>
      <c r="FV105" s="988"/>
      <c r="FW105" s="988"/>
      <c r="FX105" s="988"/>
      <c r="FY105" s="87"/>
      <c r="FZ105" s="87"/>
      <c r="GA105" s="87"/>
      <c r="GC105" s="1853">
        <f>GC101+1</f>
        <v>24</v>
      </c>
      <c r="GD105" s="1853" t="e">
        <f>FIND(";",EquipmentNameList,GD101+1)</f>
        <v>#VALUE!</v>
      </c>
      <c r="GE105" s="1853" t="e">
        <f>FIND(";",EquipmentWeightList,GE101+1)</f>
        <v>#VALUE!</v>
      </c>
      <c r="GF105" s="1853" t="e">
        <f>FIND(";",EquipmentNumberList,GF101+1)</f>
        <v>#VALUE!</v>
      </c>
      <c r="GH105" s="1133"/>
    </row>
    <row r="106" spans="1:284" ht="9" customHeight="1">
      <c r="A106" s="301"/>
      <c r="B106" s="313"/>
      <c r="C106" s="2113"/>
      <c r="D106" s="2113"/>
      <c r="E106" s="2113"/>
      <c r="F106" s="2113"/>
      <c r="G106" s="2113"/>
      <c r="H106" s="2113"/>
      <c r="I106" s="2113"/>
      <c r="J106" s="2113"/>
      <c r="K106" s="2113"/>
      <c r="L106" s="2113"/>
      <c r="M106" s="2113"/>
      <c r="N106" s="2113"/>
      <c r="O106" s="2113"/>
      <c r="P106" s="2113"/>
      <c r="Q106" s="2113"/>
      <c r="R106" s="2113"/>
      <c r="S106" s="2113"/>
      <c r="T106" s="2113"/>
      <c r="U106" s="2113"/>
      <c r="V106" s="2113"/>
      <c r="W106" s="2113"/>
      <c r="X106" s="2113"/>
      <c r="Y106" s="2113"/>
      <c r="Z106" s="2113"/>
      <c r="AA106" s="2113"/>
      <c r="AB106" s="2113"/>
      <c r="AC106" s="2113"/>
      <c r="AD106" s="2113"/>
      <c r="AE106" s="2113"/>
      <c r="AF106" s="2113"/>
      <c r="AG106" s="2113"/>
      <c r="AH106" s="2113"/>
      <c r="AI106" s="2113"/>
      <c r="AJ106" s="2113"/>
      <c r="AK106" s="2113"/>
      <c r="AL106" s="2113"/>
      <c r="AM106" s="2113"/>
      <c r="AN106" s="2113"/>
      <c r="AO106" s="2113"/>
      <c r="AP106" s="2113"/>
      <c r="AQ106" s="2113"/>
      <c r="AR106" s="2113"/>
      <c r="AS106" s="2113"/>
      <c r="AT106" s="2113"/>
      <c r="AU106" s="2113"/>
      <c r="AV106" s="2113"/>
      <c r="AW106" s="2115"/>
      <c r="AX106" s="2115"/>
      <c r="AY106" s="2115"/>
      <c r="AZ106" s="2115"/>
      <c r="BA106" s="2115"/>
      <c r="BB106" s="2115"/>
      <c r="BC106" s="2115"/>
      <c r="BD106" s="2115"/>
      <c r="BE106" s="2115"/>
      <c r="BF106" s="405"/>
      <c r="BG106" s="406"/>
      <c r="BH106" s="301"/>
      <c r="BI106" s="405"/>
      <c r="BJ106" s="1205"/>
      <c r="BK106" s="1205"/>
      <c r="BL106" s="1205"/>
      <c r="BM106" s="1205"/>
      <c r="BN106" s="2106"/>
      <c r="BO106" s="2106"/>
      <c r="BP106" s="2106"/>
      <c r="BQ106" s="2106"/>
      <c r="BR106" s="2106"/>
      <c r="BS106" s="2106"/>
      <c r="BT106" s="2106"/>
      <c r="BU106" s="2106"/>
      <c r="BV106" s="2106"/>
      <c r="BW106" s="2106"/>
      <c r="BX106" s="2106"/>
      <c r="BY106" s="2106"/>
      <c r="BZ106" s="2106"/>
      <c r="CA106" s="2106"/>
      <c r="CB106" s="2106"/>
      <c r="CC106" s="2106"/>
      <c r="CD106" s="2106"/>
      <c r="CE106" s="2106"/>
      <c r="CF106" s="2106"/>
      <c r="CG106" s="2106"/>
      <c r="CH106" s="2106"/>
      <c r="CI106" s="2106"/>
      <c r="CJ106" s="2106"/>
      <c r="CK106" s="2106"/>
      <c r="CL106" s="2106"/>
      <c r="CM106" s="2106"/>
      <c r="CN106" s="2106"/>
      <c r="CO106" s="2106"/>
      <c r="CP106" s="2106"/>
      <c r="CQ106" s="2106"/>
      <c r="CR106" s="2106"/>
      <c r="CS106" s="2106"/>
      <c r="CT106" s="87"/>
      <c r="CU106" s="166"/>
      <c r="CV106" s="2107">
        <f ca="1">Perception</f>
        <v>0</v>
      </c>
      <c r="CW106" s="2107"/>
      <c r="CX106" s="2107"/>
      <c r="CY106" s="2107"/>
      <c r="CZ106" s="2107"/>
      <c r="DA106" s="2107"/>
      <c r="DB106" s="2107"/>
      <c r="DC106" s="2107"/>
      <c r="DD106" s="167"/>
      <c r="DE106" s="87"/>
      <c r="DF106" s="117"/>
      <c r="DG106" s="117"/>
      <c r="DH106" s="117"/>
      <c r="DI106" s="87"/>
      <c r="DJ106" s="166"/>
      <c r="DK106" s="1991">
        <f>ROUNDDOWN(CharacterLevel/2,0)</f>
        <v>0</v>
      </c>
      <c r="DL106" s="1991"/>
      <c r="DM106" s="1991"/>
      <c r="DN106" s="1991"/>
      <c r="DO106" s="1991"/>
      <c r="DP106" s="1991"/>
      <c r="DQ106" s="1991"/>
      <c r="DR106" s="167"/>
      <c r="DS106" s="87"/>
      <c r="DT106" s="87"/>
      <c r="DU106" s="87"/>
      <c r="DV106" s="166"/>
      <c r="DW106" s="1991" t="str">
        <f>WisMod</f>
        <v/>
      </c>
      <c r="DX106" s="1991"/>
      <c r="DY106" s="1991"/>
      <c r="DZ106" s="1991"/>
      <c r="EA106" s="1991"/>
      <c r="EB106" s="1991"/>
      <c r="EC106" s="1991"/>
      <c r="ED106" s="167"/>
      <c r="EE106" s="87"/>
      <c r="EF106" s="87"/>
      <c r="EG106" s="87"/>
      <c r="EH106" s="166"/>
      <c r="EI106" s="1991" t="str">
        <f>IF(CharacterLevel&gt;0,IF(OR(INDEX(SkillTable,MATCH(BN105,SkillList,0),4)="Yes",INDEX(SkillTable,MATCH(BN105,SkillList,0),5)="Yes"),5,0),"")</f>
        <v/>
      </c>
      <c r="EJ106" s="1991"/>
      <c r="EK106" s="1991"/>
      <c r="EL106" s="1991"/>
      <c r="EM106" s="1991"/>
      <c r="EN106" s="1991"/>
      <c r="EO106" s="1991"/>
      <c r="EP106" s="264"/>
      <c r="EQ106" s="265"/>
      <c r="ER106" s="265"/>
      <c r="ES106" s="265"/>
      <c r="ET106" s="266"/>
      <c r="EU106" s="1991" t="b">
        <f>IF(CharacterLevel&gt;0,IF(Skills!R26="Yes",5,0))</f>
        <v>0</v>
      </c>
      <c r="EV106" s="1991"/>
      <c r="EW106" s="1991"/>
      <c r="EX106" s="1991"/>
      <c r="EY106" s="1991"/>
      <c r="EZ106" s="1991"/>
      <c r="FA106" s="1991"/>
      <c r="FB106" s="167"/>
      <c r="FC106" s="265"/>
      <c r="FD106" s="265"/>
      <c r="FE106" s="265"/>
      <c r="FF106" s="266"/>
      <c r="FG106" s="1991">
        <f>ArmorPenalty+INDEX(SkillTable,MATCH(BN105,SkillList,0),12)</f>
        <v>0</v>
      </c>
      <c r="FH106" s="1991"/>
      <c r="FI106" s="1991"/>
      <c r="FJ106" s="1991"/>
      <c r="FK106" s="1991"/>
      <c r="FL106" s="1991"/>
      <c r="FM106" s="1991"/>
      <c r="FN106" s="167"/>
      <c r="FO106" s="87"/>
      <c r="FP106" s="2124" t="str">
        <f>IF(INDEX(SkillTable,MATCH(BN105,SkillList,0),77)&lt;&gt;"","×","")</f>
        <v/>
      </c>
      <c r="FQ106" s="2125"/>
      <c r="FR106" s="2125"/>
      <c r="FS106" s="2126"/>
      <c r="FT106" s="988"/>
      <c r="FU106" s="2124" t="str">
        <f>IF(INDEX(SkillTable,MATCH(BN105,SkillList,0),78)&lt;&gt;"","×","")</f>
        <v/>
      </c>
      <c r="FV106" s="2125"/>
      <c r="FW106" s="2125"/>
      <c r="FX106" s="2126"/>
      <c r="FY106" s="87"/>
      <c r="FZ106" s="87"/>
      <c r="GA106" s="87"/>
      <c r="GC106" s="1853"/>
      <c r="GD106" s="1853"/>
      <c r="GE106" s="1853"/>
      <c r="GF106" s="1853"/>
      <c r="GH106" s="1135" t="e">
        <f ca="1">IF(INDEX(SkillTable,MATCH(BN105,SkillList,0),14),1,0)</f>
        <v>#VALUE!</v>
      </c>
    </row>
    <row r="107" spans="1:284" ht="9" customHeight="1" thickBot="1">
      <c r="A107" s="301"/>
      <c r="B107" s="313"/>
      <c r="C107" s="2114"/>
      <c r="D107" s="2114"/>
      <c r="E107" s="2114"/>
      <c r="F107" s="2114"/>
      <c r="G107" s="2114"/>
      <c r="H107" s="2114"/>
      <c r="I107" s="2114"/>
      <c r="J107" s="2114"/>
      <c r="K107" s="2114"/>
      <c r="L107" s="2114"/>
      <c r="M107" s="2114"/>
      <c r="N107" s="2114"/>
      <c r="O107" s="2114"/>
      <c r="P107" s="2114"/>
      <c r="Q107" s="2114"/>
      <c r="R107" s="2114"/>
      <c r="S107" s="2114"/>
      <c r="T107" s="2114"/>
      <c r="U107" s="2114"/>
      <c r="V107" s="2114"/>
      <c r="W107" s="2114"/>
      <c r="X107" s="2114"/>
      <c r="Y107" s="2114"/>
      <c r="Z107" s="2114"/>
      <c r="AA107" s="2114"/>
      <c r="AB107" s="2114"/>
      <c r="AC107" s="2114"/>
      <c r="AD107" s="2114"/>
      <c r="AE107" s="2114"/>
      <c r="AF107" s="2114"/>
      <c r="AG107" s="2114"/>
      <c r="AH107" s="2114"/>
      <c r="AI107" s="2114"/>
      <c r="AJ107" s="2114"/>
      <c r="AK107" s="2114"/>
      <c r="AL107" s="2114"/>
      <c r="AM107" s="2114"/>
      <c r="AN107" s="2114"/>
      <c r="AO107" s="2114"/>
      <c r="AP107" s="2114"/>
      <c r="AQ107" s="2114"/>
      <c r="AR107" s="2114"/>
      <c r="AS107" s="2114"/>
      <c r="AT107" s="2114"/>
      <c r="AU107" s="2114"/>
      <c r="AV107" s="2114"/>
      <c r="AW107" s="2116"/>
      <c r="AX107" s="2116"/>
      <c r="AY107" s="2116"/>
      <c r="AZ107" s="2116"/>
      <c r="BA107" s="2116"/>
      <c r="BB107" s="2116"/>
      <c r="BC107" s="2116"/>
      <c r="BD107" s="2116"/>
      <c r="BE107" s="2116"/>
      <c r="BF107" s="405"/>
      <c r="BG107" s="406"/>
      <c r="BH107" s="301"/>
      <c r="BI107" s="405"/>
      <c r="BJ107" s="1205"/>
      <c r="BK107" s="1205"/>
      <c r="BL107" s="1205"/>
      <c r="BM107" s="1205"/>
      <c r="BN107" s="2106"/>
      <c r="BO107" s="2106"/>
      <c r="BP107" s="2106"/>
      <c r="BQ107" s="2106"/>
      <c r="BR107" s="2106"/>
      <c r="BS107" s="2106"/>
      <c r="BT107" s="2106"/>
      <c r="BU107" s="2106"/>
      <c r="BV107" s="2106"/>
      <c r="BW107" s="2106"/>
      <c r="BX107" s="2106"/>
      <c r="BY107" s="2106"/>
      <c r="BZ107" s="2106"/>
      <c r="CA107" s="2106"/>
      <c r="CB107" s="2106"/>
      <c r="CC107" s="2106"/>
      <c r="CD107" s="2106"/>
      <c r="CE107" s="2106"/>
      <c r="CF107" s="2106"/>
      <c r="CG107" s="2106"/>
      <c r="CH107" s="2106"/>
      <c r="CI107" s="2106"/>
      <c r="CJ107" s="2106"/>
      <c r="CK107" s="2106"/>
      <c r="CL107" s="2106"/>
      <c r="CM107" s="2106"/>
      <c r="CN107" s="2106"/>
      <c r="CO107" s="2106"/>
      <c r="CP107" s="2106"/>
      <c r="CQ107" s="2106"/>
      <c r="CR107" s="2106"/>
      <c r="CS107" s="2106"/>
      <c r="CT107" s="87"/>
      <c r="CU107" s="166"/>
      <c r="CV107" s="2107"/>
      <c r="CW107" s="2107"/>
      <c r="CX107" s="2107"/>
      <c r="CY107" s="2107"/>
      <c r="CZ107" s="2107"/>
      <c r="DA107" s="2107"/>
      <c r="DB107" s="2107"/>
      <c r="DC107" s="2107"/>
      <c r="DD107" s="167"/>
      <c r="DE107" s="87"/>
      <c r="DF107" s="87"/>
      <c r="DG107" s="87"/>
      <c r="DH107" s="87"/>
      <c r="DI107" s="87"/>
      <c r="DJ107" s="166"/>
      <c r="DK107" s="1991"/>
      <c r="DL107" s="1991"/>
      <c r="DM107" s="1991"/>
      <c r="DN107" s="1991"/>
      <c r="DO107" s="1991"/>
      <c r="DP107" s="1991"/>
      <c r="DQ107" s="1991"/>
      <c r="DR107" s="167"/>
      <c r="DS107" s="117"/>
      <c r="DT107" s="117"/>
      <c r="DU107" s="117"/>
      <c r="DV107" s="166"/>
      <c r="DW107" s="1991"/>
      <c r="DX107" s="1991"/>
      <c r="DY107" s="1991"/>
      <c r="DZ107" s="1991"/>
      <c r="EA107" s="1991"/>
      <c r="EB107" s="1991"/>
      <c r="EC107" s="1991"/>
      <c r="ED107" s="167"/>
      <c r="EE107" s="117"/>
      <c r="EF107" s="117"/>
      <c r="EG107" s="117"/>
      <c r="EH107" s="166"/>
      <c r="EI107" s="1991"/>
      <c r="EJ107" s="1991"/>
      <c r="EK107" s="1991"/>
      <c r="EL107" s="1991"/>
      <c r="EM107" s="1991"/>
      <c r="EN107" s="1991"/>
      <c r="EO107" s="1991"/>
      <c r="EP107" s="264"/>
      <c r="EQ107" s="117"/>
      <c r="ER107" s="117"/>
      <c r="ES107" s="117"/>
      <c r="ET107" s="266"/>
      <c r="EU107" s="1991"/>
      <c r="EV107" s="1991"/>
      <c r="EW107" s="1991"/>
      <c r="EX107" s="1991"/>
      <c r="EY107" s="1991"/>
      <c r="EZ107" s="1991"/>
      <c r="FA107" s="1991"/>
      <c r="FB107" s="167"/>
      <c r="FC107" s="117"/>
      <c r="FD107" s="117"/>
      <c r="FE107" s="117"/>
      <c r="FF107" s="266"/>
      <c r="FG107" s="1991"/>
      <c r="FH107" s="1991"/>
      <c r="FI107" s="1991"/>
      <c r="FJ107" s="1991"/>
      <c r="FK107" s="1991"/>
      <c r="FL107" s="1991"/>
      <c r="FM107" s="1991"/>
      <c r="FN107" s="167"/>
      <c r="FO107" s="117"/>
      <c r="FP107" s="2127"/>
      <c r="FQ107" s="2081"/>
      <c r="FR107" s="2081"/>
      <c r="FS107" s="2128"/>
      <c r="FT107" s="989"/>
      <c r="FU107" s="2127"/>
      <c r="FV107" s="2081"/>
      <c r="FW107" s="2081"/>
      <c r="FX107" s="2128"/>
      <c r="FY107" s="87"/>
      <c r="FZ107" s="87"/>
      <c r="GA107" s="87"/>
      <c r="GC107" s="1853"/>
      <c r="GD107" s="1853"/>
      <c r="GE107" s="1853"/>
      <c r="GF107" s="1853"/>
      <c r="GH107" s="1133"/>
    </row>
    <row r="108" spans="1:284" ht="9" customHeight="1" thickBot="1">
      <c r="A108" s="301"/>
      <c r="B108" s="313"/>
      <c r="C108" s="301"/>
      <c r="D108" s="301"/>
      <c r="E108" s="643"/>
      <c r="F108" s="643"/>
      <c r="G108" s="643"/>
      <c r="H108" s="643"/>
      <c r="I108" s="643"/>
      <c r="J108" s="643"/>
      <c r="K108" s="301"/>
      <c r="L108" s="301"/>
      <c r="M108" s="301"/>
      <c r="N108" s="301"/>
      <c r="O108" s="301"/>
      <c r="P108" s="301"/>
      <c r="Q108" s="301"/>
      <c r="R108" s="301"/>
      <c r="S108" s="301"/>
      <c r="T108" s="301"/>
      <c r="U108" s="301"/>
      <c r="V108" s="301"/>
      <c r="W108" s="301"/>
      <c r="X108" s="301"/>
      <c r="Y108" s="301"/>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1087"/>
      <c r="AX108" s="1087"/>
      <c r="AY108" s="1087"/>
      <c r="AZ108" s="1087"/>
      <c r="BA108" s="1087"/>
      <c r="BB108" s="1087"/>
      <c r="BC108" s="1087"/>
      <c r="BD108" s="1087"/>
      <c r="BE108" s="1087"/>
      <c r="BF108" s="405"/>
      <c r="BG108" s="406"/>
      <c r="BH108" s="301"/>
      <c r="BI108" s="405"/>
      <c r="BJ108" s="1205"/>
      <c r="BK108" s="1205"/>
      <c r="BL108" s="1205"/>
      <c r="BM108" s="1205"/>
      <c r="BN108" s="2106"/>
      <c r="BO108" s="2106"/>
      <c r="BP108" s="2106"/>
      <c r="BQ108" s="2106"/>
      <c r="BR108" s="2106"/>
      <c r="BS108" s="2106"/>
      <c r="BT108" s="2106"/>
      <c r="BU108" s="2106"/>
      <c r="BV108" s="2106"/>
      <c r="BW108" s="2106"/>
      <c r="BX108" s="2106"/>
      <c r="BY108" s="2106"/>
      <c r="BZ108" s="2106"/>
      <c r="CA108" s="2106"/>
      <c r="CB108" s="2106"/>
      <c r="CC108" s="2106"/>
      <c r="CD108" s="2106"/>
      <c r="CE108" s="2106"/>
      <c r="CF108" s="2106"/>
      <c r="CG108" s="2106"/>
      <c r="CH108" s="2106"/>
      <c r="CI108" s="2106"/>
      <c r="CJ108" s="2106"/>
      <c r="CK108" s="2106"/>
      <c r="CL108" s="2106"/>
      <c r="CM108" s="2106"/>
      <c r="CN108" s="2106"/>
      <c r="CO108" s="2106"/>
      <c r="CP108" s="2106"/>
      <c r="CQ108" s="2106"/>
      <c r="CR108" s="2106"/>
      <c r="CS108" s="2106"/>
      <c r="CT108" s="87"/>
      <c r="CU108" s="166"/>
      <c r="CV108" s="2107"/>
      <c r="CW108" s="2107"/>
      <c r="CX108" s="2107"/>
      <c r="CY108" s="2107"/>
      <c r="CZ108" s="2107"/>
      <c r="DA108" s="2107"/>
      <c r="DB108" s="2107"/>
      <c r="DC108" s="2107"/>
      <c r="DD108" s="167"/>
      <c r="DE108" s="87"/>
      <c r="DF108" s="117"/>
      <c r="DG108" s="117"/>
      <c r="DH108" s="117"/>
      <c r="DI108" s="87"/>
      <c r="DJ108" s="166"/>
      <c r="DK108" s="1991"/>
      <c r="DL108" s="1991"/>
      <c r="DM108" s="1991"/>
      <c r="DN108" s="1991"/>
      <c r="DO108" s="1991"/>
      <c r="DP108" s="1991"/>
      <c r="DQ108" s="1991"/>
      <c r="DR108" s="167"/>
      <c r="DS108" s="87"/>
      <c r="DT108" s="87"/>
      <c r="DU108" s="87"/>
      <c r="DV108" s="166"/>
      <c r="DW108" s="1991"/>
      <c r="DX108" s="1991"/>
      <c r="DY108" s="1991"/>
      <c r="DZ108" s="1991"/>
      <c r="EA108" s="1991"/>
      <c r="EB108" s="1991"/>
      <c r="EC108" s="1991"/>
      <c r="ED108" s="167"/>
      <c r="EE108" s="87"/>
      <c r="EF108" s="87"/>
      <c r="EG108" s="87"/>
      <c r="EH108" s="166"/>
      <c r="EI108" s="1991"/>
      <c r="EJ108" s="1991"/>
      <c r="EK108" s="1991"/>
      <c r="EL108" s="1991"/>
      <c r="EM108" s="1991"/>
      <c r="EN108" s="1991"/>
      <c r="EO108" s="1991"/>
      <c r="EP108" s="264"/>
      <c r="EQ108" s="87"/>
      <c r="ER108" s="87"/>
      <c r="ES108" s="87"/>
      <c r="ET108" s="266"/>
      <c r="EU108" s="1991"/>
      <c r="EV108" s="1991"/>
      <c r="EW108" s="1991"/>
      <c r="EX108" s="1991"/>
      <c r="EY108" s="1991"/>
      <c r="EZ108" s="1991"/>
      <c r="FA108" s="1991"/>
      <c r="FB108" s="167"/>
      <c r="FC108" s="87"/>
      <c r="FD108" s="87"/>
      <c r="FE108" s="87"/>
      <c r="FF108" s="266"/>
      <c r="FG108" s="1991"/>
      <c r="FH108" s="1991"/>
      <c r="FI108" s="1991"/>
      <c r="FJ108" s="1991"/>
      <c r="FK108" s="1991"/>
      <c r="FL108" s="1991"/>
      <c r="FM108" s="1991"/>
      <c r="FN108" s="167"/>
      <c r="FO108" s="87"/>
      <c r="FP108" s="2129"/>
      <c r="FQ108" s="2130"/>
      <c r="FR108" s="2130"/>
      <c r="FS108" s="2131"/>
      <c r="FT108" s="988"/>
      <c r="FU108" s="2129"/>
      <c r="FV108" s="2130"/>
      <c r="FW108" s="2130"/>
      <c r="FX108" s="2131"/>
      <c r="FY108" s="87"/>
      <c r="FZ108" s="87"/>
      <c r="GA108" s="87"/>
      <c r="GD108" s="714"/>
      <c r="GE108" s="714"/>
      <c r="GF108" s="714"/>
      <c r="GH108" s="1133"/>
    </row>
    <row r="109" spans="1:284" ht="9" customHeight="1" thickBot="1">
      <c r="A109" s="301"/>
      <c r="B109" s="313"/>
      <c r="C109" s="2113" t="str">
        <f>IF(Race="","",IF(NOT(ISERROR(GD109)),MID(EquipmentNameList,GD105+1,GD109-GD105-1),""))</f>
        <v/>
      </c>
      <c r="D109" s="2113"/>
      <c r="E109" s="2113"/>
      <c r="F109" s="2113"/>
      <c r="G109" s="2113"/>
      <c r="H109" s="2113"/>
      <c r="I109" s="2113"/>
      <c r="J109" s="2113"/>
      <c r="K109" s="2113"/>
      <c r="L109" s="2113"/>
      <c r="M109" s="2113"/>
      <c r="N109" s="2113"/>
      <c r="O109" s="2113"/>
      <c r="P109" s="2113"/>
      <c r="Q109" s="2113"/>
      <c r="R109" s="2113"/>
      <c r="S109" s="2113"/>
      <c r="T109" s="2113"/>
      <c r="U109" s="2113"/>
      <c r="V109" s="2113"/>
      <c r="W109" s="2113"/>
      <c r="X109" s="2113"/>
      <c r="Y109" s="2113"/>
      <c r="Z109" s="2113"/>
      <c r="AA109" s="2113"/>
      <c r="AB109" s="2113"/>
      <c r="AC109" s="2113"/>
      <c r="AD109" s="2113"/>
      <c r="AE109" s="2113"/>
      <c r="AF109" s="2113"/>
      <c r="AG109" s="2113"/>
      <c r="AH109" s="2113"/>
      <c r="AI109" s="2113"/>
      <c r="AJ109" s="2113"/>
      <c r="AK109" s="2113"/>
      <c r="AL109" s="2113"/>
      <c r="AM109" s="2113"/>
      <c r="AN109" s="2113"/>
      <c r="AO109" s="2113"/>
      <c r="AP109" s="2113"/>
      <c r="AQ109" s="2113"/>
      <c r="AR109" s="2113"/>
      <c r="AS109" s="2113"/>
      <c r="AT109" s="2113"/>
      <c r="AU109" s="2113"/>
      <c r="AV109" s="2113"/>
      <c r="AW109" s="2115" t="str">
        <f>IF(Race="","",IF(NOT(ISERROR(GE109)),VALUE(MID(EquipmentWeightList,GE105+1,GE109-GE105-1)),""))</f>
        <v/>
      </c>
      <c r="AX109" s="2115"/>
      <c r="AY109" s="2115"/>
      <c r="AZ109" s="2115"/>
      <c r="BA109" s="2115"/>
      <c r="BB109" s="2115"/>
      <c r="BC109" s="2115"/>
      <c r="BD109" s="2115"/>
      <c r="BE109" s="2115"/>
      <c r="BF109" s="405"/>
      <c r="BG109" s="406"/>
      <c r="BH109" s="301"/>
      <c r="BI109" s="405"/>
      <c r="BJ109" s="1205"/>
      <c r="BK109" s="1205"/>
      <c r="BL109" s="1205"/>
      <c r="BM109" s="1205"/>
      <c r="BN109" s="2106"/>
      <c r="BO109" s="2106"/>
      <c r="BP109" s="2106"/>
      <c r="BQ109" s="2106"/>
      <c r="BR109" s="2106"/>
      <c r="BS109" s="2106"/>
      <c r="BT109" s="2106"/>
      <c r="BU109" s="2106"/>
      <c r="BV109" s="2106"/>
      <c r="BW109" s="2106"/>
      <c r="BX109" s="2106"/>
      <c r="BY109" s="2106"/>
      <c r="BZ109" s="2106"/>
      <c r="CA109" s="2106"/>
      <c r="CB109" s="2106"/>
      <c r="CC109" s="2106"/>
      <c r="CD109" s="2106"/>
      <c r="CE109" s="2106"/>
      <c r="CF109" s="2106"/>
      <c r="CG109" s="2106"/>
      <c r="CH109" s="2106"/>
      <c r="CI109" s="2106"/>
      <c r="CJ109" s="2106"/>
      <c r="CK109" s="2106"/>
      <c r="CL109" s="2106"/>
      <c r="CM109" s="2106"/>
      <c r="CN109" s="2106"/>
      <c r="CO109" s="2106"/>
      <c r="CP109" s="2106"/>
      <c r="CQ109" s="2106"/>
      <c r="CR109" s="2106"/>
      <c r="CS109" s="2106"/>
      <c r="CT109" s="87"/>
      <c r="CU109" s="160"/>
      <c r="CV109" s="409"/>
      <c r="CW109" s="409"/>
      <c r="CX109" s="409"/>
      <c r="CY109" s="409"/>
      <c r="CZ109" s="409"/>
      <c r="DA109" s="409"/>
      <c r="DB109" s="409"/>
      <c r="DC109" s="409"/>
      <c r="DD109" s="158"/>
      <c r="DE109" s="87"/>
      <c r="DF109" s="87"/>
      <c r="DG109" s="87"/>
      <c r="DH109" s="87"/>
      <c r="DI109" s="87"/>
      <c r="DJ109" s="160"/>
      <c r="DK109" s="240"/>
      <c r="DL109" s="240"/>
      <c r="DM109" s="240"/>
      <c r="DN109" s="240"/>
      <c r="DO109" s="240"/>
      <c r="DP109" s="240"/>
      <c r="DQ109" s="240"/>
      <c r="DR109" s="158"/>
      <c r="DS109" s="87"/>
      <c r="DT109" s="87"/>
      <c r="DU109" s="87"/>
      <c r="DV109" s="160"/>
      <c r="DW109" s="240"/>
      <c r="DX109" s="240"/>
      <c r="DY109" s="240"/>
      <c r="DZ109" s="240"/>
      <c r="EA109" s="240"/>
      <c r="EB109" s="240"/>
      <c r="EC109" s="240"/>
      <c r="ED109" s="158"/>
      <c r="EE109" s="87"/>
      <c r="EF109" s="87"/>
      <c r="EG109" s="87"/>
      <c r="EH109" s="160"/>
      <c r="EI109" s="204"/>
      <c r="EJ109" s="204"/>
      <c r="EK109" s="204"/>
      <c r="EL109" s="204"/>
      <c r="EM109" s="204"/>
      <c r="EN109" s="204"/>
      <c r="EO109" s="204"/>
      <c r="EP109" s="274"/>
      <c r="EQ109" s="87"/>
      <c r="ER109" s="87"/>
      <c r="ES109" s="87"/>
      <c r="ET109" s="203"/>
      <c r="EU109" s="204"/>
      <c r="EV109" s="204"/>
      <c r="EW109" s="204"/>
      <c r="EX109" s="204"/>
      <c r="EY109" s="204"/>
      <c r="EZ109" s="204"/>
      <c r="FA109" s="204"/>
      <c r="FB109" s="158"/>
      <c r="FC109" s="87"/>
      <c r="FD109" s="87"/>
      <c r="FE109" s="87"/>
      <c r="FF109" s="203"/>
      <c r="FG109" s="204"/>
      <c r="FH109" s="204"/>
      <c r="FI109" s="204"/>
      <c r="FJ109" s="204"/>
      <c r="FK109" s="204"/>
      <c r="FL109" s="204"/>
      <c r="FM109" s="204"/>
      <c r="FN109" s="158"/>
      <c r="FO109" s="87"/>
      <c r="FP109" s="988"/>
      <c r="FQ109" s="988"/>
      <c r="FR109" s="988"/>
      <c r="FS109" s="988"/>
      <c r="FT109" s="988"/>
      <c r="FU109" s="988"/>
      <c r="FV109" s="988"/>
      <c r="FW109" s="988"/>
      <c r="FX109" s="988"/>
      <c r="FY109" s="87"/>
      <c r="FZ109" s="87"/>
      <c r="GA109" s="87"/>
      <c r="GC109" s="1853">
        <f>GC105+1</f>
        <v>25</v>
      </c>
      <c r="GD109" s="1853" t="e">
        <f>FIND(";",EquipmentNameList,GD105+1)</f>
        <v>#VALUE!</v>
      </c>
      <c r="GE109" s="1853" t="e">
        <f>FIND(";",EquipmentWeightList,GE105+1)</f>
        <v>#VALUE!</v>
      </c>
      <c r="GF109" s="1853" t="e">
        <f>FIND(";",EquipmentNumberList,GF105+1)</f>
        <v>#VALUE!</v>
      </c>
      <c r="GH109" s="1133"/>
    </row>
    <row r="110" spans="1:284" ht="9" customHeight="1" thickBot="1">
      <c r="A110" s="301"/>
      <c r="B110" s="313"/>
      <c r="C110" s="2113"/>
      <c r="D110" s="2113"/>
      <c r="E110" s="2113"/>
      <c r="F110" s="2113"/>
      <c r="G110" s="2113"/>
      <c r="H110" s="2113"/>
      <c r="I110" s="2113"/>
      <c r="J110" s="2113"/>
      <c r="K110" s="2113"/>
      <c r="L110" s="2113"/>
      <c r="M110" s="2113"/>
      <c r="N110" s="2113"/>
      <c r="O110" s="2113"/>
      <c r="P110" s="2113"/>
      <c r="Q110" s="2113"/>
      <c r="R110" s="2113"/>
      <c r="S110" s="2113"/>
      <c r="T110" s="2113"/>
      <c r="U110" s="2113"/>
      <c r="V110" s="2113"/>
      <c r="W110" s="2113"/>
      <c r="X110" s="2113"/>
      <c r="Y110" s="2113"/>
      <c r="Z110" s="2113"/>
      <c r="AA110" s="2113"/>
      <c r="AB110" s="2113"/>
      <c r="AC110" s="2113"/>
      <c r="AD110" s="2113"/>
      <c r="AE110" s="2113"/>
      <c r="AF110" s="2113"/>
      <c r="AG110" s="2113"/>
      <c r="AH110" s="2113"/>
      <c r="AI110" s="2113"/>
      <c r="AJ110" s="2113"/>
      <c r="AK110" s="2113"/>
      <c r="AL110" s="2113"/>
      <c r="AM110" s="2113"/>
      <c r="AN110" s="2113"/>
      <c r="AO110" s="2113"/>
      <c r="AP110" s="2113"/>
      <c r="AQ110" s="2113"/>
      <c r="AR110" s="2113"/>
      <c r="AS110" s="2113"/>
      <c r="AT110" s="2113"/>
      <c r="AU110" s="2113"/>
      <c r="AV110" s="2113"/>
      <c r="AW110" s="2115"/>
      <c r="AX110" s="2115"/>
      <c r="AY110" s="2115"/>
      <c r="AZ110" s="2115"/>
      <c r="BA110" s="2115"/>
      <c r="BB110" s="2115"/>
      <c r="BC110" s="2115"/>
      <c r="BD110" s="2115"/>
      <c r="BE110" s="2115"/>
      <c r="BF110" s="405"/>
      <c r="BG110" s="406"/>
      <c r="BH110" s="301"/>
      <c r="BI110" s="405"/>
      <c r="BJ110" s="1205"/>
      <c r="BK110" s="1205"/>
      <c r="BL110" s="1205"/>
      <c r="BM110" s="1205"/>
      <c r="BN110" s="1205"/>
      <c r="BO110" s="1205"/>
      <c r="BP110" s="1205"/>
      <c r="BQ110" s="1205"/>
      <c r="BR110" s="1205"/>
      <c r="BS110" s="1205"/>
      <c r="BT110" s="1205"/>
      <c r="BU110" s="1205"/>
      <c r="BV110" s="1205"/>
      <c r="BW110" s="1205"/>
      <c r="BX110" s="1205"/>
      <c r="BY110" s="1205"/>
      <c r="BZ110" s="1205"/>
      <c r="CA110" s="1205"/>
      <c r="CB110" s="1205"/>
      <c r="CC110" s="1205"/>
      <c r="CD110" s="1205"/>
      <c r="CE110" s="1205"/>
      <c r="CF110" s="1205"/>
      <c r="CG110" s="1205"/>
      <c r="CH110" s="1205"/>
      <c r="CI110" s="1216"/>
      <c r="CJ110" s="1220"/>
      <c r="CK110" s="1220"/>
      <c r="CL110" s="1220"/>
      <c r="CM110" s="1220"/>
      <c r="CN110" s="1220"/>
      <c r="CO110" s="1220"/>
      <c r="CP110" s="1220"/>
      <c r="CQ110" s="1220"/>
      <c r="CR110" s="1220"/>
      <c r="CS110" s="1221"/>
      <c r="CT110" s="301"/>
      <c r="CU110" s="427"/>
      <c r="CV110" s="428"/>
      <c r="CW110" s="428"/>
      <c r="CX110" s="428"/>
      <c r="CY110" s="428"/>
      <c r="CZ110" s="428"/>
      <c r="DA110" s="428"/>
      <c r="DB110" s="428"/>
      <c r="DC110" s="428"/>
      <c r="DD110" s="427"/>
      <c r="DE110" s="429"/>
      <c r="DF110" s="429"/>
      <c r="DG110" s="301"/>
      <c r="DH110" s="301"/>
      <c r="DI110" s="301"/>
      <c r="DJ110" s="301"/>
      <c r="DK110" s="423"/>
      <c r="DL110" s="423"/>
      <c r="DM110" s="423"/>
      <c r="DN110" s="423"/>
      <c r="DO110" s="423"/>
      <c r="DP110" s="423"/>
      <c r="DQ110" s="423"/>
      <c r="DR110" s="423"/>
      <c r="DS110" s="301"/>
      <c r="DT110" s="301"/>
      <c r="DU110" s="301"/>
      <c r="DV110" s="301"/>
      <c r="DW110" s="301"/>
      <c r="DX110" s="301"/>
      <c r="DY110" s="301"/>
      <c r="DZ110" s="301"/>
      <c r="EA110" s="301"/>
      <c r="EB110" s="301"/>
      <c r="EC110" s="301"/>
      <c r="ED110" s="301"/>
      <c r="EE110" s="301"/>
      <c r="EF110" s="430"/>
      <c r="EG110" s="430"/>
      <c r="EH110" s="430"/>
      <c r="EI110" s="430"/>
      <c r="EJ110" s="430"/>
      <c r="EK110" s="425"/>
      <c r="EL110" s="425"/>
      <c r="EM110" s="425"/>
      <c r="EN110" s="425"/>
      <c r="EO110" s="425"/>
      <c r="EP110" s="425"/>
      <c r="EQ110" s="425"/>
      <c r="ER110" s="425"/>
      <c r="ES110" s="425"/>
      <c r="ET110" s="425"/>
      <c r="EU110" s="425"/>
      <c r="EV110" s="425"/>
      <c r="EW110" s="425"/>
      <c r="EX110" s="425"/>
      <c r="EY110" s="425"/>
      <c r="EZ110" s="425"/>
      <c r="FA110" s="384"/>
      <c r="FB110" s="384"/>
      <c r="FC110" s="384"/>
      <c r="FD110" s="384"/>
      <c r="FE110" s="384"/>
      <c r="FF110" s="301"/>
      <c r="FG110" s="301"/>
      <c r="FH110" s="301"/>
      <c r="FI110" s="301"/>
      <c r="FJ110" s="301"/>
      <c r="FK110" s="301"/>
      <c r="FL110" s="301"/>
      <c r="FM110" s="301"/>
      <c r="FN110" s="87"/>
      <c r="FO110" s="87"/>
      <c r="FP110" s="988"/>
      <c r="FQ110" s="988"/>
      <c r="FR110" s="988"/>
      <c r="FS110" s="988"/>
      <c r="FT110" s="988"/>
      <c r="FU110" s="988"/>
      <c r="FV110" s="988"/>
      <c r="FW110" s="988"/>
      <c r="FX110" s="988"/>
      <c r="FY110" s="87"/>
      <c r="FZ110" s="87"/>
      <c r="GA110" s="87"/>
      <c r="GC110" s="1853"/>
      <c r="GD110" s="1853"/>
      <c r="GE110" s="1853"/>
      <c r="GF110" s="1853"/>
      <c r="GH110" s="1133"/>
    </row>
    <row r="111" spans="1:284" ht="9" customHeight="1" thickBot="1">
      <c r="A111" s="301"/>
      <c r="B111" s="313"/>
      <c r="C111" s="2114"/>
      <c r="D111" s="2114"/>
      <c r="E111" s="2114"/>
      <c r="F111" s="2114"/>
      <c r="G111" s="2114"/>
      <c r="H111" s="2114"/>
      <c r="I111" s="2114"/>
      <c r="J111" s="2114"/>
      <c r="K111" s="2114"/>
      <c r="L111" s="2114"/>
      <c r="M111" s="2114"/>
      <c r="N111" s="2114"/>
      <c r="O111" s="2114"/>
      <c r="P111" s="2114"/>
      <c r="Q111" s="2114"/>
      <c r="R111" s="2114"/>
      <c r="S111" s="2114"/>
      <c r="T111" s="2114"/>
      <c r="U111" s="2114"/>
      <c r="V111" s="2114"/>
      <c r="W111" s="2114"/>
      <c r="X111" s="2114"/>
      <c r="Y111" s="2114"/>
      <c r="Z111" s="2114"/>
      <c r="AA111" s="2114"/>
      <c r="AB111" s="2114"/>
      <c r="AC111" s="2114"/>
      <c r="AD111" s="2114"/>
      <c r="AE111" s="2114"/>
      <c r="AF111" s="2114"/>
      <c r="AG111" s="2114"/>
      <c r="AH111" s="2114"/>
      <c r="AI111" s="2114"/>
      <c r="AJ111" s="2114"/>
      <c r="AK111" s="2114"/>
      <c r="AL111" s="2114"/>
      <c r="AM111" s="2114"/>
      <c r="AN111" s="2114"/>
      <c r="AO111" s="2114"/>
      <c r="AP111" s="2114"/>
      <c r="AQ111" s="2114"/>
      <c r="AR111" s="2114"/>
      <c r="AS111" s="2114"/>
      <c r="AT111" s="2114"/>
      <c r="AU111" s="2114"/>
      <c r="AV111" s="2114"/>
      <c r="AW111" s="2116"/>
      <c r="AX111" s="2116"/>
      <c r="AY111" s="2116"/>
      <c r="AZ111" s="2116"/>
      <c r="BA111" s="2116"/>
      <c r="BB111" s="2116"/>
      <c r="BC111" s="2116"/>
      <c r="BD111" s="2116"/>
      <c r="BE111" s="2116"/>
      <c r="BF111" s="405"/>
      <c r="BG111" s="406"/>
      <c r="BH111" s="301"/>
      <c r="BI111" s="405"/>
      <c r="BJ111" s="1205"/>
      <c r="BK111" s="1205"/>
      <c r="BL111" s="1205"/>
      <c r="BM111" s="1205"/>
      <c r="BN111" s="2106" t="s">
        <v>347</v>
      </c>
      <c r="BO111" s="2106"/>
      <c r="BP111" s="2106"/>
      <c r="BQ111" s="2106"/>
      <c r="BR111" s="2106"/>
      <c r="BS111" s="2106"/>
      <c r="BT111" s="2106"/>
      <c r="BU111" s="2106"/>
      <c r="BV111" s="2106"/>
      <c r="BW111" s="2106"/>
      <c r="BX111" s="2106"/>
      <c r="BY111" s="2106"/>
      <c r="BZ111" s="2106"/>
      <c r="CA111" s="2106"/>
      <c r="CB111" s="2106"/>
      <c r="CC111" s="2106"/>
      <c r="CD111" s="2106"/>
      <c r="CE111" s="2106"/>
      <c r="CF111" s="2106"/>
      <c r="CG111" s="2106"/>
      <c r="CH111" s="2106"/>
      <c r="CI111" s="2106"/>
      <c r="CJ111" s="2106"/>
      <c r="CK111" s="2106"/>
      <c r="CL111" s="2106"/>
      <c r="CM111" s="2106"/>
      <c r="CN111" s="2106"/>
      <c r="CO111" s="2106"/>
      <c r="CP111" s="2106"/>
      <c r="CQ111" s="2106"/>
      <c r="CR111" s="2106"/>
      <c r="CS111" s="2106"/>
      <c r="CT111" s="87"/>
      <c r="CU111" s="158" t="e">
        <f>HeroicLvl+ArmourFort</f>
        <v>#NAME?</v>
      </c>
      <c r="CV111" s="411"/>
      <c r="CW111" s="411"/>
      <c r="CX111" s="411"/>
      <c r="CY111" s="411"/>
      <c r="CZ111" s="411"/>
      <c r="DA111" s="411"/>
      <c r="DB111" s="411"/>
      <c r="DC111" s="411"/>
      <c r="DD111" s="160"/>
      <c r="DE111" s="87"/>
      <c r="DF111" s="87"/>
      <c r="DG111" s="87"/>
      <c r="DH111" s="87"/>
      <c r="DI111" s="87"/>
      <c r="DJ111" s="158" t="e">
        <f>HeroicLvl+ArmourFort</f>
        <v>#NAME?</v>
      </c>
      <c r="DK111" s="159"/>
      <c r="DL111" s="159"/>
      <c r="DM111" s="159"/>
      <c r="DN111" s="159"/>
      <c r="DO111" s="159"/>
      <c r="DP111" s="159"/>
      <c r="DQ111" s="159"/>
      <c r="DR111" s="160"/>
      <c r="DS111" s="87"/>
      <c r="DT111" s="87"/>
      <c r="DU111" s="87"/>
      <c r="DV111" s="158"/>
      <c r="DW111" s="159"/>
      <c r="DX111" s="159"/>
      <c r="DY111" s="159"/>
      <c r="DZ111" s="159"/>
      <c r="EA111" s="159"/>
      <c r="EB111" s="159"/>
      <c r="EC111" s="159"/>
      <c r="ED111" s="160"/>
      <c r="EE111" s="87"/>
      <c r="EF111" s="87"/>
      <c r="EG111" s="87"/>
      <c r="EH111" s="158"/>
      <c r="EI111" s="184"/>
      <c r="EJ111" s="184"/>
      <c r="EK111" s="184"/>
      <c r="EL111" s="184"/>
      <c r="EM111" s="184"/>
      <c r="EN111" s="184"/>
      <c r="EO111" s="184"/>
      <c r="EP111" s="160"/>
      <c r="EQ111" s="87"/>
      <c r="ER111" s="87"/>
      <c r="ES111" s="87"/>
      <c r="ET111" s="158"/>
      <c r="EU111" s="1649"/>
      <c r="EV111" s="1649"/>
      <c r="EW111" s="1649"/>
      <c r="EX111" s="1649"/>
      <c r="EY111" s="1649"/>
      <c r="EZ111" s="1649"/>
      <c r="FA111" s="1649"/>
      <c r="FB111" s="160"/>
      <c r="FC111" s="87"/>
      <c r="FD111" s="87"/>
      <c r="FE111" s="87"/>
      <c r="FF111" s="158"/>
      <c r="FG111" s="159"/>
      <c r="FH111" s="159"/>
      <c r="FI111" s="159"/>
      <c r="FJ111" s="159"/>
      <c r="FK111" s="159"/>
      <c r="FL111" s="159"/>
      <c r="FM111" s="159"/>
      <c r="FN111" s="160"/>
      <c r="FO111" s="87"/>
      <c r="FP111" s="988"/>
      <c r="FQ111" s="988"/>
      <c r="FR111" s="988"/>
      <c r="FS111" s="988"/>
      <c r="FT111" s="988"/>
      <c r="FU111" s="988"/>
      <c r="FV111" s="988"/>
      <c r="FW111" s="988"/>
      <c r="FX111" s="988"/>
      <c r="FY111" s="87"/>
      <c r="FZ111" s="87"/>
      <c r="GA111" s="87"/>
      <c r="GC111" s="1853"/>
      <c r="GD111" s="1853"/>
      <c r="GE111" s="1853"/>
      <c r="GF111" s="1853"/>
      <c r="GH111" s="1133"/>
    </row>
    <row r="112" spans="1:284" ht="9" customHeight="1">
      <c r="A112" s="301"/>
      <c r="B112" s="313"/>
      <c r="C112" s="301"/>
      <c r="D112" s="301"/>
      <c r="E112" s="643"/>
      <c r="F112" s="643"/>
      <c r="G112" s="643"/>
      <c r="H112" s="643"/>
      <c r="I112" s="643"/>
      <c r="J112" s="643"/>
      <c r="K112" s="301"/>
      <c r="L112" s="301"/>
      <c r="M112" s="301"/>
      <c r="N112" s="301"/>
      <c r="O112" s="301"/>
      <c r="P112" s="301"/>
      <c r="Q112" s="301"/>
      <c r="R112" s="301"/>
      <c r="S112" s="301"/>
      <c r="T112" s="301"/>
      <c r="U112" s="301"/>
      <c r="V112" s="301"/>
      <c r="W112" s="301"/>
      <c r="X112" s="301"/>
      <c r="Y112" s="301"/>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1087"/>
      <c r="AX112" s="1087"/>
      <c r="AY112" s="1087"/>
      <c r="AZ112" s="1087"/>
      <c r="BA112" s="1087"/>
      <c r="BB112" s="1087"/>
      <c r="BC112" s="1087"/>
      <c r="BD112" s="1087"/>
      <c r="BE112" s="1087"/>
      <c r="BF112" s="405"/>
      <c r="BG112" s="406"/>
      <c r="BH112" s="301"/>
      <c r="BI112" s="405"/>
      <c r="BJ112" s="1205"/>
      <c r="BK112" s="1205"/>
      <c r="BL112" s="1205"/>
      <c r="BM112" s="1205"/>
      <c r="BN112" s="2106"/>
      <c r="BO112" s="2106"/>
      <c r="BP112" s="2106"/>
      <c r="BQ112" s="2106"/>
      <c r="BR112" s="2106"/>
      <c r="BS112" s="2106"/>
      <c r="BT112" s="2106"/>
      <c r="BU112" s="2106"/>
      <c r="BV112" s="2106"/>
      <c r="BW112" s="2106"/>
      <c r="BX112" s="2106"/>
      <c r="BY112" s="2106"/>
      <c r="BZ112" s="2106"/>
      <c r="CA112" s="2106"/>
      <c r="CB112" s="2106"/>
      <c r="CC112" s="2106"/>
      <c r="CD112" s="2106"/>
      <c r="CE112" s="2106"/>
      <c r="CF112" s="2106"/>
      <c r="CG112" s="2106"/>
      <c r="CH112" s="2106"/>
      <c r="CI112" s="2106"/>
      <c r="CJ112" s="2106"/>
      <c r="CK112" s="2106"/>
      <c r="CL112" s="2106"/>
      <c r="CM112" s="2106"/>
      <c r="CN112" s="2106"/>
      <c r="CO112" s="2106"/>
      <c r="CP112" s="2106"/>
      <c r="CQ112" s="2106"/>
      <c r="CR112" s="2106"/>
      <c r="CS112" s="2106"/>
      <c r="CT112" s="87"/>
      <c r="CU112" s="166"/>
      <c r="CV112" s="2107">
        <f ca="1">Persuasion</f>
        <v>0</v>
      </c>
      <c r="CW112" s="2107"/>
      <c r="CX112" s="2107"/>
      <c r="CY112" s="2107"/>
      <c r="CZ112" s="2107"/>
      <c r="DA112" s="2107"/>
      <c r="DB112" s="2107"/>
      <c r="DC112" s="2107"/>
      <c r="DD112" s="167"/>
      <c r="DE112" s="87"/>
      <c r="DF112" s="117"/>
      <c r="DG112" s="117"/>
      <c r="DH112" s="117"/>
      <c r="DI112" s="87"/>
      <c r="DJ112" s="166"/>
      <c r="DK112" s="1991">
        <f>ROUNDDOWN(CharacterLevel/2,0)</f>
        <v>0</v>
      </c>
      <c r="DL112" s="1991"/>
      <c r="DM112" s="1991"/>
      <c r="DN112" s="1991"/>
      <c r="DO112" s="1991"/>
      <c r="DP112" s="1991"/>
      <c r="DQ112" s="1991"/>
      <c r="DR112" s="167"/>
      <c r="DS112" s="87"/>
      <c r="DT112" s="87"/>
      <c r="DU112" s="87"/>
      <c r="DV112" s="166"/>
      <c r="DW112" s="1991" t="str">
        <f>ChaMod</f>
        <v/>
      </c>
      <c r="DX112" s="1991"/>
      <c r="DY112" s="1991"/>
      <c r="DZ112" s="1991"/>
      <c r="EA112" s="1991"/>
      <c r="EB112" s="1991"/>
      <c r="EC112" s="1991"/>
      <c r="ED112" s="167"/>
      <c r="EE112" s="87"/>
      <c r="EF112" s="87"/>
      <c r="EG112" s="87"/>
      <c r="EH112" s="166"/>
      <c r="EI112" s="1991" t="str">
        <f>IF(CharacterLevel&gt;0,IF(OR(INDEX(SkillTable,MATCH(BN111,SkillList,0),4)="Yes",INDEX(SkillTable,MATCH(BN111,SkillList,0),5)="Yes"),5,0),"")</f>
        <v/>
      </c>
      <c r="EJ112" s="1991"/>
      <c r="EK112" s="1991"/>
      <c r="EL112" s="1991"/>
      <c r="EM112" s="1991"/>
      <c r="EN112" s="1991"/>
      <c r="EO112" s="1991"/>
      <c r="EP112" s="264"/>
      <c r="EQ112" s="265"/>
      <c r="ER112" s="265"/>
      <c r="ES112" s="265"/>
      <c r="ET112" s="266"/>
      <c r="EU112" s="1991" t="b">
        <f>IF(CharacterLevel&gt;0,IF(Skills!R27="Yes",5,0))</f>
        <v>0</v>
      </c>
      <c r="EV112" s="1991"/>
      <c r="EW112" s="1991"/>
      <c r="EX112" s="1991"/>
      <c r="EY112" s="1991"/>
      <c r="EZ112" s="1991"/>
      <c r="FA112" s="1991"/>
      <c r="FB112" s="167"/>
      <c r="FC112" s="265"/>
      <c r="FD112" s="265"/>
      <c r="FE112" s="265"/>
      <c r="FF112" s="266"/>
      <c r="FG112" s="1991">
        <f>ArmorPenalty+INDEX(SkillTable,MATCH(BN111,SkillList,0),12)</f>
        <v>0</v>
      </c>
      <c r="FH112" s="1991"/>
      <c r="FI112" s="1991"/>
      <c r="FJ112" s="1991"/>
      <c r="FK112" s="1991"/>
      <c r="FL112" s="1991"/>
      <c r="FM112" s="1991"/>
      <c r="FN112" s="167"/>
      <c r="FO112" s="87"/>
      <c r="FP112" s="2124" t="str">
        <f>IF(INDEX(SkillTable,MATCH(BN111,SkillList,0),77)&lt;&gt;"","×","")</f>
        <v/>
      </c>
      <c r="FQ112" s="2125"/>
      <c r="FR112" s="2125"/>
      <c r="FS112" s="2126"/>
      <c r="FT112" s="988"/>
      <c r="FU112" s="2124" t="str">
        <f>IF(INDEX(SkillTable,MATCH(BN111,SkillList,0),78)&lt;&gt;"","×","")</f>
        <v/>
      </c>
      <c r="FV112" s="2125"/>
      <c r="FW112" s="2125"/>
      <c r="FX112" s="2126"/>
      <c r="FY112" s="87"/>
      <c r="FZ112" s="87"/>
      <c r="GA112" s="87"/>
      <c r="GF112" s="714"/>
      <c r="GH112" s="1135" t="e">
        <f ca="1">IF(INDEX(SkillTable,MATCH(BN111,SkillList,0),14),1,0)</f>
        <v>#VALUE!</v>
      </c>
    </row>
    <row r="113" spans="1:190" ht="9" customHeight="1">
      <c r="A113" s="301"/>
      <c r="B113" s="313"/>
      <c r="C113" s="2113" t="str">
        <f>IF(Race="","",IF(NOT(ISERROR(GD113)),MID(EquipmentNameList,GD109+1,GD113-GD109-1),""))</f>
        <v/>
      </c>
      <c r="D113" s="2113"/>
      <c r="E113" s="2113"/>
      <c r="F113" s="2113"/>
      <c r="G113" s="2113"/>
      <c r="H113" s="2113"/>
      <c r="I113" s="2113"/>
      <c r="J113" s="2113"/>
      <c r="K113" s="2113"/>
      <c r="L113" s="2113"/>
      <c r="M113" s="2113"/>
      <c r="N113" s="2113"/>
      <c r="O113" s="2113"/>
      <c r="P113" s="2113"/>
      <c r="Q113" s="2113"/>
      <c r="R113" s="2113"/>
      <c r="S113" s="2113"/>
      <c r="T113" s="2113"/>
      <c r="U113" s="2113"/>
      <c r="V113" s="2113"/>
      <c r="W113" s="2113"/>
      <c r="X113" s="2113"/>
      <c r="Y113" s="2113"/>
      <c r="Z113" s="2113"/>
      <c r="AA113" s="2113"/>
      <c r="AB113" s="2113"/>
      <c r="AC113" s="2113"/>
      <c r="AD113" s="2113"/>
      <c r="AE113" s="2113"/>
      <c r="AF113" s="2113"/>
      <c r="AG113" s="2113"/>
      <c r="AH113" s="2113"/>
      <c r="AI113" s="2113"/>
      <c r="AJ113" s="2113"/>
      <c r="AK113" s="2113"/>
      <c r="AL113" s="2113"/>
      <c r="AM113" s="2113"/>
      <c r="AN113" s="2113"/>
      <c r="AO113" s="2113"/>
      <c r="AP113" s="2113"/>
      <c r="AQ113" s="2113"/>
      <c r="AR113" s="2113"/>
      <c r="AS113" s="2113"/>
      <c r="AT113" s="2113"/>
      <c r="AU113" s="2113"/>
      <c r="AV113" s="2113"/>
      <c r="AW113" s="2115" t="str">
        <f>IF(Race="","",IF(NOT(ISERROR(GE113)),VALUE(MID(EquipmentWeightList,GE109+1,GE113-GE109-1)),""))</f>
        <v/>
      </c>
      <c r="AX113" s="2115"/>
      <c r="AY113" s="2115"/>
      <c r="AZ113" s="2115"/>
      <c r="BA113" s="2115"/>
      <c r="BB113" s="2115"/>
      <c r="BC113" s="2115"/>
      <c r="BD113" s="2115"/>
      <c r="BE113" s="2115"/>
      <c r="BF113" s="405"/>
      <c r="BG113" s="406"/>
      <c r="BH113" s="301"/>
      <c r="BI113" s="405"/>
      <c r="BJ113" s="1205"/>
      <c r="BK113" s="1205"/>
      <c r="BL113" s="1205"/>
      <c r="BM113" s="1205"/>
      <c r="BN113" s="2106"/>
      <c r="BO113" s="2106"/>
      <c r="BP113" s="2106"/>
      <c r="BQ113" s="2106"/>
      <c r="BR113" s="2106"/>
      <c r="BS113" s="2106"/>
      <c r="BT113" s="2106"/>
      <c r="BU113" s="2106"/>
      <c r="BV113" s="2106"/>
      <c r="BW113" s="2106"/>
      <c r="BX113" s="2106"/>
      <c r="BY113" s="2106"/>
      <c r="BZ113" s="2106"/>
      <c r="CA113" s="2106"/>
      <c r="CB113" s="2106"/>
      <c r="CC113" s="2106"/>
      <c r="CD113" s="2106"/>
      <c r="CE113" s="2106"/>
      <c r="CF113" s="2106"/>
      <c r="CG113" s="2106"/>
      <c r="CH113" s="2106"/>
      <c r="CI113" s="2106"/>
      <c r="CJ113" s="2106"/>
      <c r="CK113" s="2106"/>
      <c r="CL113" s="2106"/>
      <c r="CM113" s="2106"/>
      <c r="CN113" s="2106"/>
      <c r="CO113" s="2106"/>
      <c r="CP113" s="2106"/>
      <c r="CQ113" s="2106"/>
      <c r="CR113" s="2106"/>
      <c r="CS113" s="2106"/>
      <c r="CT113" s="87"/>
      <c r="CU113" s="166"/>
      <c r="CV113" s="2107"/>
      <c r="CW113" s="2107"/>
      <c r="CX113" s="2107"/>
      <c r="CY113" s="2107"/>
      <c r="CZ113" s="2107"/>
      <c r="DA113" s="2107"/>
      <c r="DB113" s="2107"/>
      <c r="DC113" s="2107"/>
      <c r="DD113" s="167"/>
      <c r="DE113" s="87"/>
      <c r="DF113" s="87"/>
      <c r="DG113" s="87"/>
      <c r="DH113" s="87"/>
      <c r="DI113" s="87"/>
      <c r="DJ113" s="166"/>
      <c r="DK113" s="1991"/>
      <c r="DL113" s="1991"/>
      <c r="DM113" s="1991"/>
      <c r="DN113" s="1991"/>
      <c r="DO113" s="1991"/>
      <c r="DP113" s="1991"/>
      <c r="DQ113" s="1991"/>
      <c r="DR113" s="167"/>
      <c r="DS113" s="117"/>
      <c r="DT113" s="117"/>
      <c r="DU113" s="117"/>
      <c r="DV113" s="166"/>
      <c r="DW113" s="1991"/>
      <c r="DX113" s="1991"/>
      <c r="DY113" s="1991"/>
      <c r="DZ113" s="1991"/>
      <c r="EA113" s="1991"/>
      <c r="EB113" s="1991"/>
      <c r="EC113" s="1991"/>
      <c r="ED113" s="167"/>
      <c r="EE113" s="117"/>
      <c r="EF113" s="117"/>
      <c r="EG113" s="117"/>
      <c r="EH113" s="166"/>
      <c r="EI113" s="1991"/>
      <c r="EJ113" s="1991"/>
      <c r="EK113" s="1991"/>
      <c r="EL113" s="1991"/>
      <c r="EM113" s="1991"/>
      <c r="EN113" s="1991"/>
      <c r="EO113" s="1991"/>
      <c r="EP113" s="264"/>
      <c r="EQ113" s="117"/>
      <c r="ER113" s="117"/>
      <c r="ES113" s="117"/>
      <c r="ET113" s="266"/>
      <c r="EU113" s="1991"/>
      <c r="EV113" s="1991"/>
      <c r="EW113" s="1991"/>
      <c r="EX113" s="1991"/>
      <c r="EY113" s="1991"/>
      <c r="EZ113" s="1991"/>
      <c r="FA113" s="1991"/>
      <c r="FB113" s="167"/>
      <c r="FC113" s="117"/>
      <c r="FD113" s="117"/>
      <c r="FE113" s="117"/>
      <c r="FF113" s="266"/>
      <c r="FG113" s="1991"/>
      <c r="FH113" s="1991"/>
      <c r="FI113" s="1991"/>
      <c r="FJ113" s="1991"/>
      <c r="FK113" s="1991"/>
      <c r="FL113" s="1991"/>
      <c r="FM113" s="1991"/>
      <c r="FN113" s="167"/>
      <c r="FO113" s="117"/>
      <c r="FP113" s="2127"/>
      <c r="FQ113" s="2081"/>
      <c r="FR113" s="2081"/>
      <c r="FS113" s="2128"/>
      <c r="FT113" s="989"/>
      <c r="FU113" s="2127"/>
      <c r="FV113" s="2081"/>
      <c r="FW113" s="2081"/>
      <c r="FX113" s="2128"/>
      <c r="FY113" s="87"/>
      <c r="FZ113" s="87"/>
      <c r="GA113" s="87"/>
      <c r="GC113" s="1853">
        <f>GC109+1</f>
        <v>26</v>
      </c>
      <c r="GD113" s="1853" t="e">
        <f>FIND(";",EquipmentNameList,GD109+1)</f>
        <v>#VALUE!</v>
      </c>
      <c r="GE113" s="1853" t="e">
        <f>FIND(";",EquipmentWeightList,GE109+1)</f>
        <v>#VALUE!</v>
      </c>
      <c r="GF113" s="1853" t="e">
        <f>FIND(";",EquipmentNumberList,GF109+1)</f>
        <v>#VALUE!</v>
      </c>
      <c r="GH113" s="1133"/>
    </row>
    <row r="114" spans="1:190" ht="9" customHeight="1" thickBot="1">
      <c r="A114" s="301"/>
      <c r="B114" s="313"/>
      <c r="C114" s="2113"/>
      <c r="D114" s="2113"/>
      <c r="E114" s="2113"/>
      <c r="F114" s="2113"/>
      <c r="G114" s="2113"/>
      <c r="H114" s="2113"/>
      <c r="I114" s="2113"/>
      <c r="J114" s="2113"/>
      <c r="K114" s="2113"/>
      <c r="L114" s="2113"/>
      <c r="M114" s="2113"/>
      <c r="N114" s="2113"/>
      <c r="O114" s="2113"/>
      <c r="P114" s="2113"/>
      <c r="Q114" s="2113"/>
      <c r="R114" s="2113"/>
      <c r="S114" s="2113"/>
      <c r="T114" s="2113"/>
      <c r="U114" s="2113"/>
      <c r="V114" s="2113"/>
      <c r="W114" s="2113"/>
      <c r="X114" s="2113"/>
      <c r="Y114" s="2113"/>
      <c r="Z114" s="2113"/>
      <c r="AA114" s="2113"/>
      <c r="AB114" s="2113"/>
      <c r="AC114" s="2113"/>
      <c r="AD114" s="2113"/>
      <c r="AE114" s="2113"/>
      <c r="AF114" s="2113"/>
      <c r="AG114" s="2113"/>
      <c r="AH114" s="2113"/>
      <c r="AI114" s="2113"/>
      <c r="AJ114" s="2113"/>
      <c r="AK114" s="2113"/>
      <c r="AL114" s="2113"/>
      <c r="AM114" s="2113"/>
      <c r="AN114" s="2113"/>
      <c r="AO114" s="2113"/>
      <c r="AP114" s="2113"/>
      <c r="AQ114" s="2113"/>
      <c r="AR114" s="2113"/>
      <c r="AS114" s="2113"/>
      <c r="AT114" s="2113"/>
      <c r="AU114" s="2113"/>
      <c r="AV114" s="2113"/>
      <c r="AW114" s="2115"/>
      <c r="AX114" s="2115"/>
      <c r="AY114" s="2115"/>
      <c r="AZ114" s="2115"/>
      <c r="BA114" s="2115"/>
      <c r="BB114" s="2115"/>
      <c r="BC114" s="2115"/>
      <c r="BD114" s="2115"/>
      <c r="BE114" s="2115"/>
      <c r="BF114" s="405"/>
      <c r="BG114" s="406"/>
      <c r="BH114" s="301"/>
      <c r="BI114" s="405"/>
      <c r="BJ114" s="1205"/>
      <c r="BK114" s="1205"/>
      <c r="BL114" s="1205"/>
      <c r="BM114" s="1205"/>
      <c r="BN114" s="2106"/>
      <c r="BO114" s="2106"/>
      <c r="BP114" s="2106"/>
      <c r="BQ114" s="2106"/>
      <c r="BR114" s="2106"/>
      <c r="BS114" s="2106"/>
      <c r="BT114" s="2106"/>
      <c r="BU114" s="2106"/>
      <c r="BV114" s="2106"/>
      <c r="BW114" s="2106"/>
      <c r="BX114" s="2106"/>
      <c r="BY114" s="2106"/>
      <c r="BZ114" s="2106"/>
      <c r="CA114" s="2106"/>
      <c r="CB114" s="2106"/>
      <c r="CC114" s="2106"/>
      <c r="CD114" s="2106"/>
      <c r="CE114" s="2106"/>
      <c r="CF114" s="2106"/>
      <c r="CG114" s="2106"/>
      <c r="CH114" s="2106"/>
      <c r="CI114" s="2106"/>
      <c r="CJ114" s="2106"/>
      <c r="CK114" s="2106"/>
      <c r="CL114" s="2106"/>
      <c r="CM114" s="2106"/>
      <c r="CN114" s="2106"/>
      <c r="CO114" s="2106"/>
      <c r="CP114" s="2106"/>
      <c r="CQ114" s="2106"/>
      <c r="CR114" s="2106"/>
      <c r="CS114" s="2106"/>
      <c r="CT114" s="87"/>
      <c r="CU114" s="166"/>
      <c r="CV114" s="2107"/>
      <c r="CW114" s="2107"/>
      <c r="CX114" s="2107"/>
      <c r="CY114" s="2107"/>
      <c r="CZ114" s="2107"/>
      <c r="DA114" s="2107"/>
      <c r="DB114" s="2107"/>
      <c r="DC114" s="2107"/>
      <c r="DD114" s="167"/>
      <c r="DE114" s="87"/>
      <c r="DF114" s="117"/>
      <c r="DG114" s="117"/>
      <c r="DH114" s="117"/>
      <c r="DI114" s="87"/>
      <c r="DJ114" s="166"/>
      <c r="DK114" s="1991"/>
      <c r="DL114" s="1991"/>
      <c r="DM114" s="1991"/>
      <c r="DN114" s="1991"/>
      <c r="DO114" s="1991"/>
      <c r="DP114" s="1991"/>
      <c r="DQ114" s="1991"/>
      <c r="DR114" s="167"/>
      <c r="DS114" s="87"/>
      <c r="DT114" s="87"/>
      <c r="DU114" s="87"/>
      <c r="DV114" s="166"/>
      <c r="DW114" s="1991"/>
      <c r="DX114" s="1991"/>
      <c r="DY114" s="1991"/>
      <c r="DZ114" s="1991"/>
      <c r="EA114" s="1991"/>
      <c r="EB114" s="1991"/>
      <c r="EC114" s="1991"/>
      <c r="ED114" s="167"/>
      <c r="EE114" s="87"/>
      <c r="EF114" s="87"/>
      <c r="EG114" s="87"/>
      <c r="EH114" s="166"/>
      <c r="EI114" s="1991"/>
      <c r="EJ114" s="1991"/>
      <c r="EK114" s="1991"/>
      <c r="EL114" s="1991"/>
      <c r="EM114" s="1991"/>
      <c r="EN114" s="1991"/>
      <c r="EO114" s="1991"/>
      <c r="EP114" s="264"/>
      <c r="EQ114" s="87"/>
      <c r="ER114" s="87"/>
      <c r="ES114" s="87"/>
      <c r="ET114" s="266"/>
      <c r="EU114" s="1991"/>
      <c r="EV114" s="1991"/>
      <c r="EW114" s="1991"/>
      <c r="EX114" s="1991"/>
      <c r="EY114" s="1991"/>
      <c r="EZ114" s="1991"/>
      <c r="FA114" s="1991"/>
      <c r="FB114" s="167"/>
      <c r="FC114" s="87"/>
      <c r="FD114" s="87"/>
      <c r="FE114" s="87"/>
      <c r="FF114" s="266"/>
      <c r="FG114" s="1991"/>
      <c r="FH114" s="1991"/>
      <c r="FI114" s="1991"/>
      <c r="FJ114" s="1991"/>
      <c r="FK114" s="1991"/>
      <c r="FL114" s="1991"/>
      <c r="FM114" s="1991"/>
      <c r="FN114" s="167"/>
      <c r="FO114" s="87"/>
      <c r="FP114" s="2129"/>
      <c r="FQ114" s="2130"/>
      <c r="FR114" s="2130"/>
      <c r="FS114" s="2131"/>
      <c r="FT114" s="988"/>
      <c r="FU114" s="2129"/>
      <c r="FV114" s="2130"/>
      <c r="FW114" s="2130"/>
      <c r="FX114" s="2131"/>
      <c r="FY114" s="87"/>
      <c r="FZ114" s="87"/>
      <c r="GA114" s="87"/>
      <c r="GC114" s="1853"/>
      <c r="GD114" s="1853"/>
      <c r="GE114" s="1853"/>
      <c r="GF114" s="1853"/>
      <c r="GH114" s="1133"/>
    </row>
    <row r="115" spans="1:190" ht="9" customHeight="1" thickBot="1">
      <c r="A115" s="301"/>
      <c r="B115" s="313"/>
      <c r="C115" s="2114"/>
      <c r="D115" s="2114"/>
      <c r="E115" s="2114"/>
      <c r="F115" s="2114"/>
      <c r="G115" s="2114"/>
      <c r="H115" s="2114"/>
      <c r="I115" s="2114"/>
      <c r="J115" s="2114"/>
      <c r="K115" s="2114"/>
      <c r="L115" s="2114"/>
      <c r="M115" s="2114"/>
      <c r="N115" s="2114"/>
      <c r="O115" s="2114"/>
      <c r="P115" s="2114"/>
      <c r="Q115" s="2114"/>
      <c r="R115" s="2114"/>
      <c r="S115" s="2114"/>
      <c r="T115" s="2114"/>
      <c r="U115" s="2114"/>
      <c r="V115" s="2114"/>
      <c r="W115" s="2114"/>
      <c r="X115" s="2114"/>
      <c r="Y115" s="2114"/>
      <c r="Z115" s="2114"/>
      <c r="AA115" s="2114"/>
      <c r="AB115" s="2114"/>
      <c r="AC115" s="2114"/>
      <c r="AD115" s="2114"/>
      <c r="AE115" s="2114"/>
      <c r="AF115" s="2114"/>
      <c r="AG115" s="2114"/>
      <c r="AH115" s="2114"/>
      <c r="AI115" s="2114"/>
      <c r="AJ115" s="2114"/>
      <c r="AK115" s="2114"/>
      <c r="AL115" s="2114"/>
      <c r="AM115" s="2114"/>
      <c r="AN115" s="2114"/>
      <c r="AO115" s="2114"/>
      <c r="AP115" s="2114"/>
      <c r="AQ115" s="2114"/>
      <c r="AR115" s="2114"/>
      <c r="AS115" s="2114"/>
      <c r="AT115" s="2114"/>
      <c r="AU115" s="2114"/>
      <c r="AV115" s="2114"/>
      <c r="AW115" s="2116"/>
      <c r="AX115" s="2116"/>
      <c r="AY115" s="2116"/>
      <c r="AZ115" s="2116"/>
      <c r="BA115" s="2116"/>
      <c r="BB115" s="2116"/>
      <c r="BC115" s="2116"/>
      <c r="BD115" s="2116"/>
      <c r="BE115" s="2116"/>
      <c r="BF115" s="405"/>
      <c r="BG115" s="406"/>
      <c r="BH115" s="301"/>
      <c r="BI115" s="405"/>
      <c r="BJ115" s="1205"/>
      <c r="BK115" s="1205"/>
      <c r="BL115" s="1205"/>
      <c r="BM115" s="1205"/>
      <c r="BN115" s="2106"/>
      <c r="BO115" s="2106"/>
      <c r="BP115" s="2106"/>
      <c r="BQ115" s="2106"/>
      <c r="BR115" s="2106"/>
      <c r="BS115" s="2106"/>
      <c r="BT115" s="2106"/>
      <c r="BU115" s="2106"/>
      <c r="BV115" s="2106"/>
      <c r="BW115" s="2106"/>
      <c r="BX115" s="2106"/>
      <c r="BY115" s="2106"/>
      <c r="BZ115" s="2106"/>
      <c r="CA115" s="2106"/>
      <c r="CB115" s="2106"/>
      <c r="CC115" s="2106"/>
      <c r="CD115" s="2106"/>
      <c r="CE115" s="2106"/>
      <c r="CF115" s="2106"/>
      <c r="CG115" s="2106"/>
      <c r="CH115" s="2106"/>
      <c r="CI115" s="2106"/>
      <c r="CJ115" s="2106"/>
      <c r="CK115" s="2106"/>
      <c r="CL115" s="2106"/>
      <c r="CM115" s="2106"/>
      <c r="CN115" s="2106"/>
      <c r="CO115" s="2106"/>
      <c r="CP115" s="2106"/>
      <c r="CQ115" s="2106"/>
      <c r="CR115" s="2106"/>
      <c r="CS115" s="2106"/>
      <c r="CT115" s="87"/>
      <c r="CU115" s="160"/>
      <c r="CV115" s="409"/>
      <c r="CW115" s="409"/>
      <c r="CX115" s="409"/>
      <c r="CY115" s="409"/>
      <c r="CZ115" s="409"/>
      <c r="DA115" s="409"/>
      <c r="DB115" s="409"/>
      <c r="DC115" s="409"/>
      <c r="DD115" s="158"/>
      <c r="DE115" s="87"/>
      <c r="DF115" s="87"/>
      <c r="DG115" s="87"/>
      <c r="DH115" s="87"/>
      <c r="DI115" s="87"/>
      <c r="DJ115" s="160"/>
      <c r="DK115" s="240"/>
      <c r="DL115" s="240"/>
      <c r="DM115" s="240"/>
      <c r="DN115" s="240"/>
      <c r="DO115" s="240"/>
      <c r="DP115" s="240"/>
      <c r="DQ115" s="240"/>
      <c r="DR115" s="158"/>
      <c r="DS115" s="87"/>
      <c r="DT115" s="87"/>
      <c r="DU115" s="87"/>
      <c r="DV115" s="160"/>
      <c r="DW115" s="240"/>
      <c r="DX115" s="240"/>
      <c r="DY115" s="240"/>
      <c r="DZ115" s="240"/>
      <c r="EA115" s="240"/>
      <c r="EB115" s="240"/>
      <c r="EC115" s="240"/>
      <c r="ED115" s="158"/>
      <c r="EE115" s="87"/>
      <c r="EF115" s="87"/>
      <c r="EG115" s="87"/>
      <c r="EH115" s="160"/>
      <c r="EI115" s="204"/>
      <c r="EJ115" s="204"/>
      <c r="EK115" s="204"/>
      <c r="EL115" s="204"/>
      <c r="EM115" s="204"/>
      <c r="EN115" s="204"/>
      <c r="EO115" s="204"/>
      <c r="EP115" s="274"/>
      <c r="EQ115" s="87"/>
      <c r="ER115" s="87"/>
      <c r="ES115" s="87"/>
      <c r="ET115" s="203"/>
      <c r="EU115" s="204"/>
      <c r="EV115" s="204"/>
      <c r="EW115" s="204"/>
      <c r="EX115" s="204"/>
      <c r="EY115" s="204"/>
      <c r="EZ115" s="204"/>
      <c r="FA115" s="204"/>
      <c r="FB115" s="158"/>
      <c r="FC115" s="87"/>
      <c r="FD115" s="87"/>
      <c r="FE115" s="87"/>
      <c r="FF115" s="203"/>
      <c r="FG115" s="204"/>
      <c r="FH115" s="204"/>
      <c r="FI115" s="204"/>
      <c r="FJ115" s="204"/>
      <c r="FK115" s="204"/>
      <c r="FL115" s="204"/>
      <c r="FM115" s="204"/>
      <c r="FN115" s="158"/>
      <c r="FO115" s="87"/>
      <c r="FP115" s="988"/>
      <c r="FQ115" s="988"/>
      <c r="FR115" s="988"/>
      <c r="FS115" s="988"/>
      <c r="FT115" s="988"/>
      <c r="FU115" s="988"/>
      <c r="FV115" s="988"/>
      <c r="FW115" s="988"/>
      <c r="FX115" s="988"/>
      <c r="FY115" s="87"/>
      <c r="FZ115" s="87"/>
      <c r="GA115" s="87"/>
      <c r="GC115" s="1853"/>
      <c r="GD115" s="1853"/>
      <c r="GE115" s="1853"/>
      <c r="GF115" s="1853"/>
      <c r="GH115" s="1133"/>
    </row>
    <row r="116" spans="1:190" ht="9" customHeight="1" thickBot="1">
      <c r="A116" s="301"/>
      <c r="B116" s="313"/>
      <c r="C116" s="301"/>
      <c r="D116" s="301"/>
      <c r="E116" s="643"/>
      <c r="F116" s="643"/>
      <c r="G116" s="643"/>
      <c r="H116" s="643"/>
      <c r="I116" s="643"/>
      <c r="J116" s="643"/>
      <c r="K116" s="301"/>
      <c r="L116" s="301"/>
      <c r="M116" s="301"/>
      <c r="N116" s="301"/>
      <c r="O116" s="301"/>
      <c r="P116" s="301"/>
      <c r="Q116" s="301"/>
      <c r="R116" s="301"/>
      <c r="S116" s="301"/>
      <c r="T116" s="301"/>
      <c r="U116" s="301"/>
      <c r="V116" s="301"/>
      <c r="W116" s="301"/>
      <c r="X116" s="301"/>
      <c r="Y116" s="301"/>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1087"/>
      <c r="AX116" s="1087"/>
      <c r="AY116" s="1087"/>
      <c r="AZ116" s="1087"/>
      <c r="BA116" s="1087"/>
      <c r="BB116" s="1087"/>
      <c r="BC116" s="1087"/>
      <c r="BD116" s="1087"/>
      <c r="BE116" s="1087"/>
      <c r="BF116" s="405"/>
      <c r="BG116" s="406"/>
      <c r="BH116" s="301"/>
      <c r="BI116" s="405"/>
      <c r="BJ116" s="1205"/>
      <c r="BK116" s="1205"/>
      <c r="BL116" s="1205"/>
      <c r="BM116" s="1205"/>
      <c r="BN116" s="1205"/>
      <c r="BO116" s="1205"/>
      <c r="BP116" s="1205"/>
      <c r="BQ116" s="1205"/>
      <c r="BR116" s="1205"/>
      <c r="BS116" s="1205"/>
      <c r="BT116" s="1205"/>
      <c r="BU116" s="1205"/>
      <c r="BV116" s="1205"/>
      <c r="BW116" s="1205"/>
      <c r="BX116" s="1205"/>
      <c r="BY116" s="1205"/>
      <c r="BZ116" s="1205"/>
      <c r="CA116" s="1205"/>
      <c r="CB116" s="1205"/>
      <c r="CC116" s="1205"/>
      <c r="CD116" s="1205"/>
      <c r="CE116" s="1205"/>
      <c r="CF116" s="1205"/>
      <c r="CG116" s="1205"/>
      <c r="CH116" s="1205"/>
      <c r="CI116" s="1216"/>
      <c r="CJ116" s="1220"/>
      <c r="CK116" s="1220"/>
      <c r="CL116" s="1220"/>
      <c r="CM116" s="1220"/>
      <c r="CN116" s="1220"/>
      <c r="CO116" s="1220"/>
      <c r="CP116" s="1220"/>
      <c r="CQ116" s="1220"/>
      <c r="CR116" s="1220"/>
      <c r="CS116" s="1221"/>
      <c r="CT116" s="301"/>
      <c r="CU116" s="427"/>
      <c r="CV116" s="428"/>
      <c r="CW116" s="428"/>
      <c r="CX116" s="428"/>
      <c r="CY116" s="428"/>
      <c r="CZ116" s="428"/>
      <c r="DA116" s="428"/>
      <c r="DB116" s="428"/>
      <c r="DC116" s="428"/>
      <c r="DD116" s="427"/>
      <c r="DE116" s="301"/>
      <c r="DF116" s="301"/>
      <c r="DG116" s="301"/>
      <c r="DH116" s="301"/>
      <c r="DI116" s="301"/>
      <c r="DJ116" s="301"/>
      <c r="DK116" s="423"/>
      <c r="DL116" s="431"/>
      <c r="DM116" s="431"/>
      <c r="DN116" s="431"/>
      <c r="DO116" s="431"/>
      <c r="DP116" s="431"/>
      <c r="DQ116" s="431"/>
      <c r="DR116" s="431"/>
      <c r="DS116" s="301"/>
      <c r="DT116" s="301"/>
      <c r="DU116" s="301"/>
      <c r="DV116" s="301"/>
      <c r="DW116" s="301"/>
      <c r="DX116" s="301"/>
      <c r="DY116" s="301"/>
      <c r="DZ116" s="301"/>
      <c r="EA116" s="301"/>
      <c r="EB116" s="301"/>
      <c r="EC116" s="301"/>
      <c r="ED116" s="301"/>
      <c r="EE116" s="301"/>
      <c r="EF116" s="301"/>
      <c r="EG116" s="301"/>
      <c r="EH116" s="301"/>
      <c r="EI116" s="301"/>
      <c r="EJ116" s="301"/>
      <c r="EK116" s="425"/>
      <c r="EL116" s="425"/>
      <c r="EM116" s="425"/>
      <c r="EN116" s="425"/>
      <c r="EO116" s="425"/>
      <c r="EP116" s="425"/>
      <c r="EQ116" s="425"/>
      <c r="ER116" s="425"/>
      <c r="ES116" s="425"/>
      <c r="ET116" s="425"/>
      <c r="EU116" s="425"/>
      <c r="EV116" s="425"/>
      <c r="EW116" s="425"/>
      <c r="EX116" s="425"/>
      <c r="EY116" s="425"/>
      <c r="EZ116" s="425"/>
      <c r="FA116" s="301"/>
      <c r="FB116" s="301"/>
      <c r="FC116" s="301"/>
      <c r="FD116" s="301"/>
      <c r="FE116" s="301"/>
      <c r="FF116" s="301"/>
      <c r="FG116" s="301"/>
      <c r="FH116" s="301"/>
      <c r="FI116" s="301"/>
      <c r="FJ116" s="301"/>
      <c r="FK116" s="301"/>
      <c r="FL116" s="301"/>
      <c r="FM116" s="301"/>
      <c r="FN116" s="87"/>
      <c r="FO116" s="87"/>
      <c r="FP116" s="988"/>
      <c r="FQ116" s="988"/>
      <c r="FR116" s="988"/>
      <c r="FS116" s="988"/>
      <c r="FT116" s="988"/>
      <c r="FU116" s="988"/>
      <c r="FV116" s="988"/>
      <c r="FW116" s="988"/>
      <c r="FX116" s="988"/>
      <c r="FY116" s="87"/>
      <c r="FZ116" s="87"/>
      <c r="GA116" s="87"/>
      <c r="GF116" s="714"/>
      <c r="GH116" s="1133"/>
    </row>
    <row r="117" spans="1:190" ht="9" customHeight="1" thickBot="1">
      <c r="A117" s="301"/>
      <c r="B117" s="313"/>
      <c r="C117" s="2113" t="str">
        <f>IF(Race="","",IF(NOT(ISERROR(GD117)),MID(EquipmentNameList,GD113+1,GD117-GD113-1),""))</f>
        <v/>
      </c>
      <c r="D117" s="2113"/>
      <c r="E117" s="2113"/>
      <c r="F117" s="2113"/>
      <c r="G117" s="2113"/>
      <c r="H117" s="2113"/>
      <c r="I117" s="2113"/>
      <c r="J117" s="2113"/>
      <c r="K117" s="2113"/>
      <c r="L117" s="2113"/>
      <c r="M117" s="2113"/>
      <c r="N117" s="2113"/>
      <c r="O117" s="2113"/>
      <c r="P117" s="2113"/>
      <c r="Q117" s="2113"/>
      <c r="R117" s="2113"/>
      <c r="S117" s="2113"/>
      <c r="T117" s="2113"/>
      <c r="U117" s="2113"/>
      <c r="V117" s="2113"/>
      <c r="W117" s="2113"/>
      <c r="X117" s="2113"/>
      <c r="Y117" s="2113"/>
      <c r="Z117" s="2113"/>
      <c r="AA117" s="2113"/>
      <c r="AB117" s="2113"/>
      <c r="AC117" s="2113"/>
      <c r="AD117" s="2113"/>
      <c r="AE117" s="2113"/>
      <c r="AF117" s="2113"/>
      <c r="AG117" s="2113"/>
      <c r="AH117" s="2113"/>
      <c r="AI117" s="2113"/>
      <c r="AJ117" s="2113"/>
      <c r="AK117" s="2113"/>
      <c r="AL117" s="2113"/>
      <c r="AM117" s="2113"/>
      <c r="AN117" s="2113"/>
      <c r="AO117" s="2113"/>
      <c r="AP117" s="2113"/>
      <c r="AQ117" s="2113"/>
      <c r="AR117" s="2113"/>
      <c r="AS117" s="2113"/>
      <c r="AT117" s="2113"/>
      <c r="AU117" s="2113"/>
      <c r="AV117" s="2113"/>
      <c r="AW117" s="2115" t="str">
        <f>IF(Race="","",IF(NOT(ISERROR(GE117)),VALUE(MID(EquipmentWeightList,GE113+1,GE117-GE113-1)),""))</f>
        <v/>
      </c>
      <c r="AX117" s="2115"/>
      <c r="AY117" s="2115"/>
      <c r="AZ117" s="2115"/>
      <c r="BA117" s="2115"/>
      <c r="BB117" s="2115"/>
      <c r="BC117" s="2115"/>
      <c r="BD117" s="2115"/>
      <c r="BE117" s="2115"/>
      <c r="BF117" s="405"/>
      <c r="BG117" s="406"/>
      <c r="BH117" s="301"/>
      <c r="BI117" s="405"/>
      <c r="BJ117" s="1205"/>
      <c r="BK117" s="1205"/>
      <c r="BL117" s="1205"/>
      <c r="BM117" s="1205"/>
      <c r="BN117" s="2106" t="s">
        <v>731</v>
      </c>
      <c r="BO117" s="2106"/>
      <c r="BP117" s="2106"/>
      <c r="BQ117" s="2106"/>
      <c r="BR117" s="2106"/>
      <c r="BS117" s="2106"/>
      <c r="BT117" s="2106"/>
      <c r="BU117" s="2106"/>
      <c r="BV117" s="2106"/>
      <c r="BW117" s="2106"/>
      <c r="BX117" s="2106"/>
      <c r="BY117" s="2106"/>
      <c r="BZ117" s="2106"/>
      <c r="CA117" s="2106"/>
      <c r="CB117" s="2106"/>
      <c r="CC117" s="2106"/>
      <c r="CD117" s="2106"/>
      <c r="CE117" s="2106"/>
      <c r="CF117" s="2106"/>
      <c r="CG117" s="2106"/>
      <c r="CH117" s="2106"/>
      <c r="CI117" s="2106"/>
      <c r="CJ117" s="2106"/>
      <c r="CK117" s="2106"/>
      <c r="CL117" s="2106"/>
      <c r="CM117" s="2106"/>
      <c r="CN117" s="2106"/>
      <c r="CO117" s="2106"/>
      <c r="CP117" s="2106"/>
      <c r="CQ117" s="2106"/>
      <c r="CR117" s="2106"/>
      <c r="CS117" s="2106"/>
      <c r="CT117" s="87"/>
      <c r="CU117" s="158" t="e">
        <f>HeroicLvl+ArmourFort</f>
        <v>#NAME?</v>
      </c>
      <c r="CV117" s="411"/>
      <c r="CW117" s="411"/>
      <c r="CX117" s="411"/>
      <c r="CY117" s="411"/>
      <c r="CZ117" s="411"/>
      <c r="DA117" s="411"/>
      <c r="DB117" s="411"/>
      <c r="DC117" s="411"/>
      <c r="DD117" s="160"/>
      <c r="DE117" s="87"/>
      <c r="DF117" s="87"/>
      <c r="DG117" s="87"/>
      <c r="DH117" s="87"/>
      <c r="DI117" s="87"/>
      <c r="DJ117" s="158" t="e">
        <f>HeroicLvl+ArmourFort</f>
        <v>#NAME?</v>
      </c>
      <c r="DK117" s="159"/>
      <c r="DL117" s="159"/>
      <c r="DM117" s="159"/>
      <c r="DN117" s="159"/>
      <c r="DO117" s="159"/>
      <c r="DP117" s="159"/>
      <c r="DQ117" s="159"/>
      <c r="DR117" s="160"/>
      <c r="DS117" s="87"/>
      <c r="DT117" s="87"/>
      <c r="DU117" s="87"/>
      <c r="DV117" s="158"/>
      <c r="DW117" s="159"/>
      <c r="DX117" s="159"/>
      <c r="DY117" s="159"/>
      <c r="DZ117" s="159"/>
      <c r="EA117" s="159"/>
      <c r="EB117" s="159"/>
      <c r="EC117" s="159"/>
      <c r="ED117" s="160"/>
      <c r="EE117" s="87"/>
      <c r="EF117" s="87"/>
      <c r="EG117" s="87"/>
      <c r="EH117" s="158"/>
      <c r="EI117" s="184"/>
      <c r="EJ117" s="184"/>
      <c r="EK117" s="184"/>
      <c r="EL117" s="184"/>
      <c r="EM117" s="184"/>
      <c r="EN117" s="184"/>
      <c r="EO117" s="184"/>
      <c r="EP117" s="160"/>
      <c r="EQ117" s="87"/>
      <c r="ER117" s="87"/>
      <c r="ES117" s="87"/>
      <c r="ET117" s="158"/>
      <c r="EU117" s="1649"/>
      <c r="EV117" s="1649"/>
      <c r="EW117" s="1649"/>
      <c r="EX117" s="1649"/>
      <c r="EY117" s="1649"/>
      <c r="EZ117" s="1649"/>
      <c r="FA117" s="1649"/>
      <c r="FB117" s="160"/>
      <c r="FC117" s="87"/>
      <c r="FD117" s="87"/>
      <c r="FE117" s="87"/>
      <c r="FF117" s="158"/>
      <c r="FG117" s="159"/>
      <c r="FH117" s="159"/>
      <c r="FI117" s="159"/>
      <c r="FJ117" s="159"/>
      <c r="FK117" s="159"/>
      <c r="FL117" s="159"/>
      <c r="FM117" s="159"/>
      <c r="FN117" s="160"/>
      <c r="FO117" s="87"/>
      <c r="FP117" s="988"/>
      <c r="FQ117" s="988"/>
      <c r="FR117" s="988"/>
      <c r="FS117" s="988"/>
      <c r="FT117" s="988"/>
      <c r="FU117" s="988"/>
      <c r="FV117" s="988"/>
      <c r="FW117" s="988"/>
      <c r="FX117" s="988"/>
      <c r="FY117" s="87"/>
      <c r="FZ117" s="87"/>
      <c r="GA117" s="87"/>
      <c r="GC117" s="1853">
        <f>GC113+1</f>
        <v>27</v>
      </c>
      <c r="GD117" s="1853" t="e">
        <f>FIND(";",EquipmentNameList,GD113+1)</f>
        <v>#VALUE!</v>
      </c>
      <c r="GE117" s="1853" t="e">
        <f>FIND(";",EquipmentWeightList,GE113+1)</f>
        <v>#VALUE!</v>
      </c>
      <c r="GF117" s="1853" t="e">
        <f>FIND(";",EquipmentNumberList,GF113+1)</f>
        <v>#VALUE!</v>
      </c>
      <c r="GH117" s="1133"/>
    </row>
    <row r="118" spans="1:190" ht="9" customHeight="1">
      <c r="A118" s="301"/>
      <c r="B118" s="313"/>
      <c r="C118" s="2113"/>
      <c r="D118" s="2113"/>
      <c r="E118" s="2113"/>
      <c r="F118" s="2113"/>
      <c r="G118" s="2113"/>
      <c r="H118" s="2113"/>
      <c r="I118" s="2113"/>
      <c r="J118" s="2113"/>
      <c r="K118" s="2113"/>
      <c r="L118" s="2113"/>
      <c r="M118" s="2113"/>
      <c r="N118" s="2113"/>
      <c r="O118" s="2113"/>
      <c r="P118" s="2113"/>
      <c r="Q118" s="2113"/>
      <c r="R118" s="2113"/>
      <c r="S118" s="2113"/>
      <c r="T118" s="2113"/>
      <c r="U118" s="2113"/>
      <c r="V118" s="2113"/>
      <c r="W118" s="2113"/>
      <c r="X118" s="2113"/>
      <c r="Y118" s="2113"/>
      <c r="Z118" s="2113"/>
      <c r="AA118" s="2113"/>
      <c r="AB118" s="2113"/>
      <c r="AC118" s="2113"/>
      <c r="AD118" s="2113"/>
      <c r="AE118" s="2113"/>
      <c r="AF118" s="2113"/>
      <c r="AG118" s="2113"/>
      <c r="AH118" s="2113"/>
      <c r="AI118" s="2113"/>
      <c r="AJ118" s="2113"/>
      <c r="AK118" s="2113"/>
      <c r="AL118" s="2113"/>
      <c r="AM118" s="2113"/>
      <c r="AN118" s="2113"/>
      <c r="AO118" s="2113"/>
      <c r="AP118" s="2113"/>
      <c r="AQ118" s="2113"/>
      <c r="AR118" s="2113"/>
      <c r="AS118" s="2113"/>
      <c r="AT118" s="2113"/>
      <c r="AU118" s="2113"/>
      <c r="AV118" s="2113"/>
      <c r="AW118" s="2115"/>
      <c r="AX118" s="2115"/>
      <c r="AY118" s="2115"/>
      <c r="AZ118" s="2115"/>
      <c r="BA118" s="2115"/>
      <c r="BB118" s="2115"/>
      <c r="BC118" s="2115"/>
      <c r="BD118" s="2115"/>
      <c r="BE118" s="2115"/>
      <c r="BF118" s="405"/>
      <c r="BG118" s="406"/>
      <c r="BH118" s="301"/>
      <c r="BI118" s="405"/>
      <c r="BJ118" s="1205"/>
      <c r="BK118" s="1205"/>
      <c r="BL118" s="1205"/>
      <c r="BM118" s="1205"/>
      <c r="BN118" s="2106"/>
      <c r="BO118" s="2106"/>
      <c r="BP118" s="2106"/>
      <c r="BQ118" s="2106"/>
      <c r="BR118" s="2106"/>
      <c r="BS118" s="2106"/>
      <c r="BT118" s="2106"/>
      <c r="BU118" s="2106"/>
      <c r="BV118" s="2106"/>
      <c r="BW118" s="2106"/>
      <c r="BX118" s="2106"/>
      <c r="BY118" s="2106"/>
      <c r="BZ118" s="2106"/>
      <c r="CA118" s="2106"/>
      <c r="CB118" s="2106"/>
      <c r="CC118" s="2106"/>
      <c r="CD118" s="2106"/>
      <c r="CE118" s="2106"/>
      <c r="CF118" s="2106"/>
      <c r="CG118" s="2106"/>
      <c r="CH118" s="2106"/>
      <c r="CI118" s="2106"/>
      <c r="CJ118" s="2106"/>
      <c r="CK118" s="2106"/>
      <c r="CL118" s="2106"/>
      <c r="CM118" s="2106"/>
      <c r="CN118" s="2106"/>
      <c r="CO118" s="2106"/>
      <c r="CP118" s="2106"/>
      <c r="CQ118" s="2106"/>
      <c r="CR118" s="2106"/>
      <c r="CS118" s="2106"/>
      <c r="CT118" s="87"/>
      <c r="CU118" s="166"/>
      <c r="CV118" s="2107">
        <f ca="1">Pilotskill</f>
        <v>0</v>
      </c>
      <c r="CW118" s="2107"/>
      <c r="CX118" s="2107"/>
      <c r="CY118" s="2107"/>
      <c r="CZ118" s="2107"/>
      <c r="DA118" s="2107"/>
      <c r="DB118" s="2107"/>
      <c r="DC118" s="2107"/>
      <c r="DD118" s="167"/>
      <c r="DE118" s="87"/>
      <c r="DF118" s="117"/>
      <c r="DG118" s="117"/>
      <c r="DH118" s="117"/>
      <c r="DI118" s="87"/>
      <c r="DJ118" s="166"/>
      <c r="DK118" s="1991">
        <f>ROUNDDOWN(CharacterLevel/2,0)</f>
        <v>0</v>
      </c>
      <c r="DL118" s="1991"/>
      <c r="DM118" s="1991"/>
      <c r="DN118" s="1991"/>
      <c r="DO118" s="1991"/>
      <c r="DP118" s="1991"/>
      <c r="DQ118" s="1991"/>
      <c r="DR118" s="167"/>
      <c r="DS118" s="87"/>
      <c r="DT118" s="87"/>
      <c r="DU118" s="87"/>
      <c r="DV118" s="166"/>
      <c r="DW118" s="1991" t="str">
        <f>DexMod</f>
        <v/>
      </c>
      <c r="DX118" s="1991"/>
      <c r="DY118" s="1991"/>
      <c r="DZ118" s="1991"/>
      <c r="EA118" s="1991"/>
      <c r="EB118" s="1991"/>
      <c r="EC118" s="1991"/>
      <c r="ED118" s="167"/>
      <c r="EE118" s="87"/>
      <c r="EF118" s="87"/>
      <c r="EG118" s="87"/>
      <c r="EH118" s="166"/>
      <c r="EI118" s="1991" t="str">
        <f>IF(CharacterLevel&gt;0,IF(OR(INDEX(SkillTable,MATCH(BN117,SkillList,0),4)="Yes",INDEX(SkillTable,MATCH(BN117,SkillList,0),5)="Yes"),5,0),"")</f>
        <v/>
      </c>
      <c r="EJ118" s="1991"/>
      <c r="EK118" s="1991"/>
      <c r="EL118" s="1991"/>
      <c r="EM118" s="1991"/>
      <c r="EN118" s="1991"/>
      <c r="EO118" s="1991"/>
      <c r="EP118" s="264"/>
      <c r="EQ118" s="265"/>
      <c r="ER118" s="265"/>
      <c r="ES118" s="265"/>
      <c r="ET118" s="266"/>
      <c r="EU118" s="1991" t="b">
        <f>IF(CharacterLevel&gt;0,IF(Skills!R28="Yes",5,0))</f>
        <v>0</v>
      </c>
      <c r="EV118" s="1991"/>
      <c r="EW118" s="1991"/>
      <c r="EX118" s="1991"/>
      <c r="EY118" s="1991"/>
      <c r="EZ118" s="1991"/>
      <c r="FA118" s="1991"/>
      <c r="FB118" s="167"/>
      <c r="FC118" s="265"/>
      <c r="FD118" s="265"/>
      <c r="FE118" s="265"/>
      <c r="FF118" s="266"/>
      <c r="FG118" s="1991">
        <f>ArmorPenalty+INDEX(SkillTable,MATCH(BN117,SkillList,0),12)</f>
        <v>0</v>
      </c>
      <c r="FH118" s="1991"/>
      <c r="FI118" s="1991"/>
      <c r="FJ118" s="1991"/>
      <c r="FK118" s="1991"/>
      <c r="FL118" s="1991"/>
      <c r="FM118" s="1991"/>
      <c r="FN118" s="167"/>
      <c r="FO118" s="87"/>
      <c r="FP118" s="2124" t="str">
        <f>IF(INDEX(SkillTable,MATCH(BN117,SkillList,0),77)&lt;&gt;"","×","")</f>
        <v/>
      </c>
      <c r="FQ118" s="2125"/>
      <c r="FR118" s="2125"/>
      <c r="FS118" s="2126"/>
      <c r="FT118" s="988"/>
      <c r="FU118" s="2124" t="str">
        <f>IF(INDEX(SkillTable,MATCH(BN117,SkillList,0),78)&lt;&gt;"","×","")</f>
        <v/>
      </c>
      <c r="FV118" s="2125"/>
      <c r="FW118" s="2125"/>
      <c r="FX118" s="2126"/>
      <c r="FY118" s="87"/>
      <c r="FZ118" s="87"/>
      <c r="GA118" s="87"/>
      <c r="GC118" s="1853"/>
      <c r="GD118" s="1853"/>
      <c r="GE118" s="1853"/>
      <c r="GF118" s="1853"/>
      <c r="GH118" s="1135" t="e">
        <f ca="1">IF(INDEX(SkillTable,MATCH(BN117,SkillList,0),14),1,0)</f>
        <v>#VALUE!</v>
      </c>
    </row>
    <row r="119" spans="1:190" ht="9" customHeight="1" thickBot="1">
      <c r="A119" s="301"/>
      <c r="B119" s="313"/>
      <c r="C119" s="2114"/>
      <c r="D119" s="2114"/>
      <c r="E119" s="2114"/>
      <c r="F119" s="2114"/>
      <c r="G119" s="2114"/>
      <c r="H119" s="2114"/>
      <c r="I119" s="2114"/>
      <c r="J119" s="2114"/>
      <c r="K119" s="2114"/>
      <c r="L119" s="2114"/>
      <c r="M119" s="2114"/>
      <c r="N119" s="2114"/>
      <c r="O119" s="2114"/>
      <c r="P119" s="2114"/>
      <c r="Q119" s="2114"/>
      <c r="R119" s="2114"/>
      <c r="S119" s="2114"/>
      <c r="T119" s="2114"/>
      <c r="U119" s="2114"/>
      <c r="V119" s="2114"/>
      <c r="W119" s="2114"/>
      <c r="X119" s="2114"/>
      <c r="Y119" s="2114"/>
      <c r="Z119" s="2114"/>
      <c r="AA119" s="2114"/>
      <c r="AB119" s="2114"/>
      <c r="AC119" s="2114"/>
      <c r="AD119" s="2114"/>
      <c r="AE119" s="2114"/>
      <c r="AF119" s="2114"/>
      <c r="AG119" s="2114"/>
      <c r="AH119" s="2114"/>
      <c r="AI119" s="2114"/>
      <c r="AJ119" s="2114"/>
      <c r="AK119" s="2114"/>
      <c r="AL119" s="2114"/>
      <c r="AM119" s="2114"/>
      <c r="AN119" s="2114"/>
      <c r="AO119" s="2114"/>
      <c r="AP119" s="2114"/>
      <c r="AQ119" s="2114"/>
      <c r="AR119" s="2114"/>
      <c r="AS119" s="2114"/>
      <c r="AT119" s="2114"/>
      <c r="AU119" s="2114"/>
      <c r="AV119" s="2114"/>
      <c r="AW119" s="2116"/>
      <c r="AX119" s="2116"/>
      <c r="AY119" s="2116"/>
      <c r="AZ119" s="2116"/>
      <c r="BA119" s="2116"/>
      <c r="BB119" s="2116"/>
      <c r="BC119" s="2116"/>
      <c r="BD119" s="2116"/>
      <c r="BE119" s="2116"/>
      <c r="BF119" s="405"/>
      <c r="BG119" s="406"/>
      <c r="BH119" s="301"/>
      <c r="BI119" s="405"/>
      <c r="BJ119" s="1205"/>
      <c r="BK119" s="1205"/>
      <c r="BL119" s="1205"/>
      <c r="BM119" s="1205"/>
      <c r="BN119" s="2106"/>
      <c r="BO119" s="2106"/>
      <c r="BP119" s="2106"/>
      <c r="BQ119" s="2106"/>
      <c r="BR119" s="2106"/>
      <c r="BS119" s="2106"/>
      <c r="BT119" s="2106"/>
      <c r="BU119" s="2106"/>
      <c r="BV119" s="2106"/>
      <c r="BW119" s="2106"/>
      <c r="BX119" s="2106"/>
      <c r="BY119" s="2106"/>
      <c r="BZ119" s="2106"/>
      <c r="CA119" s="2106"/>
      <c r="CB119" s="2106"/>
      <c r="CC119" s="2106"/>
      <c r="CD119" s="2106"/>
      <c r="CE119" s="2106"/>
      <c r="CF119" s="2106"/>
      <c r="CG119" s="2106"/>
      <c r="CH119" s="2106"/>
      <c r="CI119" s="2106"/>
      <c r="CJ119" s="2106"/>
      <c r="CK119" s="2106"/>
      <c r="CL119" s="2106"/>
      <c r="CM119" s="2106"/>
      <c r="CN119" s="2106"/>
      <c r="CO119" s="2106"/>
      <c r="CP119" s="2106"/>
      <c r="CQ119" s="2106"/>
      <c r="CR119" s="2106"/>
      <c r="CS119" s="2106"/>
      <c r="CT119" s="87"/>
      <c r="CU119" s="166"/>
      <c r="CV119" s="2107"/>
      <c r="CW119" s="2107"/>
      <c r="CX119" s="2107"/>
      <c r="CY119" s="2107"/>
      <c r="CZ119" s="2107"/>
      <c r="DA119" s="2107"/>
      <c r="DB119" s="2107"/>
      <c r="DC119" s="2107"/>
      <c r="DD119" s="167"/>
      <c r="DE119" s="87"/>
      <c r="DF119" s="87"/>
      <c r="DG119" s="87"/>
      <c r="DH119" s="87"/>
      <c r="DI119" s="87"/>
      <c r="DJ119" s="166"/>
      <c r="DK119" s="1991"/>
      <c r="DL119" s="1991"/>
      <c r="DM119" s="1991"/>
      <c r="DN119" s="1991"/>
      <c r="DO119" s="1991"/>
      <c r="DP119" s="1991"/>
      <c r="DQ119" s="1991"/>
      <c r="DR119" s="167"/>
      <c r="DS119" s="117"/>
      <c r="DT119" s="117"/>
      <c r="DU119" s="117"/>
      <c r="DV119" s="166"/>
      <c r="DW119" s="1991"/>
      <c r="DX119" s="1991"/>
      <c r="DY119" s="1991"/>
      <c r="DZ119" s="1991"/>
      <c r="EA119" s="1991"/>
      <c r="EB119" s="1991"/>
      <c r="EC119" s="1991"/>
      <c r="ED119" s="167"/>
      <c r="EE119" s="117"/>
      <c r="EF119" s="117"/>
      <c r="EG119" s="117"/>
      <c r="EH119" s="166"/>
      <c r="EI119" s="1991"/>
      <c r="EJ119" s="1991"/>
      <c r="EK119" s="1991"/>
      <c r="EL119" s="1991"/>
      <c r="EM119" s="1991"/>
      <c r="EN119" s="1991"/>
      <c r="EO119" s="1991"/>
      <c r="EP119" s="264"/>
      <c r="EQ119" s="117"/>
      <c r="ER119" s="117"/>
      <c r="ES119" s="117"/>
      <c r="ET119" s="266"/>
      <c r="EU119" s="1991"/>
      <c r="EV119" s="1991"/>
      <c r="EW119" s="1991"/>
      <c r="EX119" s="1991"/>
      <c r="EY119" s="1991"/>
      <c r="EZ119" s="1991"/>
      <c r="FA119" s="1991"/>
      <c r="FB119" s="167"/>
      <c r="FC119" s="117"/>
      <c r="FD119" s="117"/>
      <c r="FE119" s="117"/>
      <c r="FF119" s="266"/>
      <c r="FG119" s="1991"/>
      <c r="FH119" s="1991"/>
      <c r="FI119" s="1991"/>
      <c r="FJ119" s="1991"/>
      <c r="FK119" s="1991"/>
      <c r="FL119" s="1991"/>
      <c r="FM119" s="1991"/>
      <c r="FN119" s="167"/>
      <c r="FO119" s="117"/>
      <c r="FP119" s="2127"/>
      <c r="FQ119" s="2081"/>
      <c r="FR119" s="2081"/>
      <c r="FS119" s="2128"/>
      <c r="FT119" s="989"/>
      <c r="FU119" s="2127"/>
      <c r="FV119" s="2081"/>
      <c r="FW119" s="2081"/>
      <c r="FX119" s="2128"/>
      <c r="FY119" s="87"/>
      <c r="FZ119" s="87"/>
      <c r="GA119" s="87"/>
      <c r="GC119" s="1853"/>
      <c r="GD119" s="1853"/>
      <c r="GE119" s="1853"/>
      <c r="GF119" s="1853"/>
      <c r="GH119" s="1133"/>
    </row>
    <row r="120" spans="1:190" ht="9" customHeight="1" thickBot="1">
      <c r="A120" s="301"/>
      <c r="B120" s="313"/>
      <c r="C120" s="301"/>
      <c r="D120" s="301"/>
      <c r="E120" s="643"/>
      <c r="F120" s="643"/>
      <c r="G120" s="643"/>
      <c r="H120" s="643"/>
      <c r="I120" s="643"/>
      <c r="J120" s="643"/>
      <c r="K120" s="301"/>
      <c r="L120" s="301"/>
      <c r="M120" s="301"/>
      <c r="N120" s="301"/>
      <c r="O120" s="301"/>
      <c r="P120" s="301"/>
      <c r="Q120" s="301"/>
      <c r="R120" s="301"/>
      <c r="S120" s="301"/>
      <c r="T120" s="301"/>
      <c r="U120" s="301"/>
      <c r="V120" s="301"/>
      <c r="W120" s="301"/>
      <c r="X120" s="301"/>
      <c r="Y120" s="301"/>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1087"/>
      <c r="AX120" s="1087"/>
      <c r="AY120" s="1087"/>
      <c r="AZ120" s="1087"/>
      <c r="BA120" s="1087"/>
      <c r="BB120" s="1087"/>
      <c r="BC120" s="1087"/>
      <c r="BD120" s="1087"/>
      <c r="BE120" s="1087"/>
      <c r="BF120" s="405"/>
      <c r="BG120" s="406"/>
      <c r="BH120" s="301"/>
      <c r="BI120" s="405"/>
      <c r="BJ120" s="1205"/>
      <c r="BK120" s="1205"/>
      <c r="BL120" s="1205"/>
      <c r="BM120" s="1205"/>
      <c r="BN120" s="2106"/>
      <c r="BO120" s="2106"/>
      <c r="BP120" s="2106"/>
      <c r="BQ120" s="2106"/>
      <c r="BR120" s="2106"/>
      <c r="BS120" s="2106"/>
      <c r="BT120" s="2106"/>
      <c r="BU120" s="2106"/>
      <c r="BV120" s="2106"/>
      <c r="BW120" s="2106"/>
      <c r="BX120" s="2106"/>
      <c r="BY120" s="2106"/>
      <c r="BZ120" s="2106"/>
      <c r="CA120" s="2106"/>
      <c r="CB120" s="2106"/>
      <c r="CC120" s="2106"/>
      <c r="CD120" s="2106"/>
      <c r="CE120" s="2106"/>
      <c r="CF120" s="2106"/>
      <c r="CG120" s="2106"/>
      <c r="CH120" s="2106"/>
      <c r="CI120" s="2106"/>
      <c r="CJ120" s="2106"/>
      <c r="CK120" s="2106"/>
      <c r="CL120" s="2106"/>
      <c r="CM120" s="2106"/>
      <c r="CN120" s="2106"/>
      <c r="CO120" s="2106"/>
      <c r="CP120" s="2106"/>
      <c r="CQ120" s="2106"/>
      <c r="CR120" s="2106"/>
      <c r="CS120" s="2106"/>
      <c r="CT120" s="87"/>
      <c r="CU120" s="166"/>
      <c r="CV120" s="2107"/>
      <c r="CW120" s="2107"/>
      <c r="CX120" s="2107"/>
      <c r="CY120" s="2107"/>
      <c r="CZ120" s="2107"/>
      <c r="DA120" s="2107"/>
      <c r="DB120" s="2107"/>
      <c r="DC120" s="2107"/>
      <c r="DD120" s="167"/>
      <c r="DE120" s="87"/>
      <c r="DF120" s="117"/>
      <c r="DG120" s="117"/>
      <c r="DH120" s="117"/>
      <c r="DI120" s="87"/>
      <c r="DJ120" s="166"/>
      <c r="DK120" s="1991"/>
      <c r="DL120" s="1991"/>
      <c r="DM120" s="1991"/>
      <c r="DN120" s="1991"/>
      <c r="DO120" s="1991"/>
      <c r="DP120" s="1991"/>
      <c r="DQ120" s="1991"/>
      <c r="DR120" s="167"/>
      <c r="DS120" s="87"/>
      <c r="DT120" s="87"/>
      <c r="DU120" s="87"/>
      <c r="DV120" s="166"/>
      <c r="DW120" s="1991"/>
      <c r="DX120" s="1991"/>
      <c r="DY120" s="1991"/>
      <c r="DZ120" s="1991"/>
      <c r="EA120" s="1991"/>
      <c r="EB120" s="1991"/>
      <c r="EC120" s="1991"/>
      <c r="ED120" s="167"/>
      <c r="EE120" s="87"/>
      <c r="EF120" s="87"/>
      <c r="EG120" s="87"/>
      <c r="EH120" s="166"/>
      <c r="EI120" s="1991"/>
      <c r="EJ120" s="1991"/>
      <c r="EK120" s="1991"/>
      <c r="EL120" s="1991"/>
      <c r="EM120" s="1991"/>
      <c r="EN120" s="1991"/>
      <c r="EO120" s="1991"/>
      <c r="EP120" s="264"/>
      <c r="EQ120" s="87"/>
      <c r="ER120" s="87"/>
      <c r="ES120" s="87"/>
      <c r="ET120" s="266"/>
      <c r="EU120" s="1991"/>
      <c r="EV120" s="1991"/>
      <c r="EW120" s="1991"/>
      <c r="EX120" s="1991"/>
      <c r="EY120" s="1991"/>
      <c r="EZ120" s="1991"/>
      <c r="FA120" s="1991"/>
      <c r="FB120" s="167"/>
      <c r="FC120" s="87"/>
      <c r="FD120" s="87"/>
      <c r="FE120" s="87"/>
      <c r="FF120" s="266"/>
      <c r="FG120" s="1991"/>
      <c r="FH120" s="1991"/>
      <c r="FI120" s="1991"/>
      <c r="FJ120" s="1991"/>
      <c r="FK120" s="1991"/>
      <c r="FL120" s="1991"/>
      <c r="FM120" s="1991"/>
      <c r="FN120" s="167"/>
      <c r="FO120" s="87"/>
      <c r="FP120" s="2129"/>
      <c r="FQ120" s="2130"/>
      <c r="FR120" s="2130"/>
      <c r="FS120" s="2131"/>
      <c r="FT120" s="988"/>
      <c r="FU120" s="2129"/>
      <c r="FV120" s="2130"/>
      <c r="FW120" s="2130"/>
      <c r="FX120" s="2131"/>
      <c r="FY120" s="87"/>
      <c r="FZ120" s="87"/>
      <c r="GA120" s="87"/>
      <c r="GF120" s="714"/>
      <c r="GH120" s="1133"/>
    </row>
    <row r="121" spans="1:190" ht="9" customHeight="1" thickBot="1">
      <c r="A121" s="301"/>
      <c r="B121" s="313"/>
      <c r="C121" s="2113" t="str">
        <f>IF(Race="","",IF(NOT(ISERROR(GD121)),MID(EquipmentNameList,GD117+1,GD121-GD117-1),""))</f>
        <v/>
      </c>
      <c r="D121" s="2113"/>
      <c r="E121" s="2113"/>
      <c r="F121" s="2113"/>
      <c r="G121" s="2113"/>
      <c r="H121" s="2113"/>
      <c r="I121" s="2113"/>
      <c r="J121" s="2113"/>
      <c r="K121" s="2113"/>
      <c r="L121" s="2113"/>
      <c r="M121" s="2113"/>
      <c r="N121" s="2113"/>
      <c r="O121" s="2113"/>
      <c r="P121" s="2113"/>
      <c r="Q121" s="2113"/>
      <c r="R121" s="2113"/>
      <c r="S121" s="2113"/>
      <c r="T121" s="2113"/>
      <c r="U121" s="2113"/>
      <c r="V121" s="2113"/>
      <c r="W121" s="2113"/>
      <c r="X121" s="2113"/>
      <c r="Y121" s="2113"/>
      <c r="Z121" s="2113"/>
      <c r="AA121" s="2113"/>
      <c r="AB121" s="2113"/>
      <c r="AC121" s="2113"/>
      <c r="AD121" s="2113"/>
      <c r="AE121" s="2113"/>
      <c r="AF121" s="2113"/>
      <c r="AG121" s="2113"/>
      <c r="AH121" s="2113"/>
      <c r="AI121" s="2113"/>
      <c r="AJ121" s="2113"/>
      <c r="AK121" s="2113"/>
      <c r="AL121" s="2113"/>
      <c r="AM121" s="2113"/>
      <c r="AN121" s="2113"/>
      <c r="AO121" s="2113"/>
      <c r="AP121" s="2113"/>
      <c r="AQ121" s="2113"/>
      <c r="AR121" s="2113"/>
      <c r="AS121" s="2113"/>
      <c r="AT121" s="2113"/>
      <c r="AU121" s="2113"/>
      <c r="AV121" s="2113"/>
      <c r="AW121" s="2115" t="str">
        <f>IF(Race="","",IF(NOT(ISERROR(GE121)),VALUE(MID(EquipmentWeightList,GE117+1,GE121-GE117-1)),""))</f>
        <v/>
      </c>
      <c r="AX121" s="2115"/>
      <c r="AY121" s="2115"/>
      <c r="AZ121" s="2115"/>
      <c r="BA121" s="2115"/>
      <c r="BB121" s="2115"/>
      <c r="BC121" s="2115"/>
      <c r="BD121" s="2115"/>
      <c r="BE121" s="2115"/>
      <c r="BF121" s="405"/>
      <c r="BG121" s="406"/>
      <c r="BH121" s="301"/>
      <c r="BI121" s="405"/>
      <c r="BJ121" s="1205"/>
      <c r="BK121" s="1205"/>
      <c r="BL121" s="1205"/>
      <c r="BM121" s="1205"/>
      <c r="BN121" s="2106"/>
      <c r="BO121" s="2106"/>
      <c r="BP121" s="2106"/>
      <c r="BQ121" s="2106"/>
      <c r="BR121" s="2106"/>
      <c r="BS121" s="2106"/>
      <c r="BT121" s="2106"/>
      <c r="BU121" s="2106"/>
      <c r="BV121" s="2106"/>
      <c r="BW121" s="2106"/>
      <c r="BX121" s="2106"/>
      <c r="BY121" s="2106"/>
      <c r="BZ121" s="2106"/>
      <c r="CA121" s="2106"/>
      <c r="CB121" s="2106"/>
      <c r="CC121" s="2106"/>
      <c r="CD121" s="2106"/>
      <c r="CE121" s="2106"/>
      <c r="CF121" s="2106"/>
      <c r="CG121" s="2106"/>
      <c r="CH121" s="2106"/>
      <c r="CI121" s="2106"/>
      <c r="CJ121" s="2106"/>
      <c r="CK121" s="2106"/>
      <c r="CL121" s="2106"/>
      <c r="CM121" s="2106"/>
      <c r="CN121" s="2106"/>
      <c r="CO121" s="2106"/>
      <c r="CP121" s="2106"/>
      <c r="CQ121" s="2106"/>
      <c r="CR121" s="2106"/>
      <c r="CS121" s="2106"/>
      <c r="CT121" s="87"/>
      <c r="CU121" s="160"/>
      <c r="CV121" s="409"/>
      <c r="CW121" s="409"/>
      <c r="CX121" s="409"/>
      <c r="CY121" s="409"/>
      <c r="CZ121" s="409"/>
      <c r="DA121" s="409"/>
      <c r="DB121" s="409"/>
      <c r="DC121" s="409"/>
      <c r="DD121" s="158"/>
      <c r="DE121" s="87"/>
      <c r="DF121" s="87"/>
      <c r="DG121" s="87"/>
      <c r="DH121" s="87"/>
      <c r="DI121" s="87"/>
      <c r="DJ121" s="160"/>
      <c r="DK121" s="240"/>
      <c r="DL121" s="240"/>
      <c r="DM121" s="240"/>
      <c r="DN121" s="240"/>
      <c r="DO121" s="240"/>
      <c r="DP121" s="240"/>
      <c r="DQ121" s="240"/>
      <c r="DR121" s="158"/>
      <c r="DS121" s="87"/>
      <c r="DT121" s="87"/>
      <c r="DU121" s="87"/>
      <c r="DV121" s="160"/>
      <c r="DW121" s="240"/>
      <c r="DX121" s="240"/>
      <c r="DY121" s="240"/>
      <c r="DZ121" s="240"/>
      <c r="EA121" s="240"/>
      <c r="EB121" s="240"/>
      <c r="EC121" s="240"/>
      <c r="ED121" s="158"/>
      <c r="EE121" s="87"/>
      <c r="EF121" s="87"/>
      <c r="EG121" s="87"/>
      <c r="EH121" s="160"/>
      <c r="EI121" s="204"/>
      <c r="EJ121" s="204"/>
      <c r="EK121" s="204"/>
      <c r="EL121" s="204"/>
      <c r="EM121" s="204"/>
      <c r="EN121" s="204"/>
      <c r="EO121" s="204"/>
      <c r="EP121" s="274"/>
      <c r="EQ121" s="87"/>
      <c r="ER121" s="87"/>
      <c r="ES121" s="87"/>
      <c r="ET121" s="203"/>
      <c r="EU121" s="204"/>
      <c r="EV121" s="204"/>
      <c r="EW121" s="204"/>
      <c r="EX121" s="204"/>
      <c r="EY121" s="204"/>
      <c r="EZ121" s="204"/>
      <c r="FA121" s="204"/>
      <c r="FB121" s="158"/>
      <c r="FC121" s="87"/>
      <c r="FD121" s="87"/>
      <c r="FE121" s="87"/>
      <c r="FF121" s="203"/>
      <c r="FG121" s="204"/>
      <c r="FH121" s="204"/>
      <c r="FI121" s="204"/>
      <c r="FJ121" s="204"/>
      <c r="FK121" s="204"/>
      <c r="FL121" s="204"/>
      <c r="FM121" s="204"/>
      <c r="FN121" s="158"/>
      <c r="FO121" s="87"/>
      <c r="FP121" s="988"/>
      <c r="FQ121" s="988"/>
      <c r="FR121" s="988"/>
      <c r="FS121" s="988"/>
      <c r="FT121" s="988"/>
      <c r="FU121" s="988"/>
      <c r="FV121" s="988"/>
      <c r="FW121" s="988"/>
      <c r="FX121" s="988"/>
      <c r="FY121" s="87"/>
      <c r="FZ121" s="87"/>
      <c r="GA121" s="87"/>
      <c r="GC121" s="1853">
        <f>GC117+1</f>
        <v>28</v>
      </c>
      <c r="GD121" s="1853" t="e">
        <f>FIND(";",EquipmentNameList,GD117+1)</f>
        <v>#VALUE!</v>
      </c>
      <c r="GE121" s="1853" t="e">
        <f>FIND(";",EquipmentWeightList,GE117+1)</f>
        <v>#VALUE!</v>
      </c>
      <c r="GF121" s="1853" t="e">
        <f>FIND(";",EquipmentNumberList,GF117+1)</f>
        <v>#VALUE!</v>
      </c>
      <c r="GH121" s="1133"/>
    </row>
    <row r="122" spans="1:190" ht="9" customHeight="1" thickBot="1">
      <c r="A122" s="301"/>
      <c r="B122" s="313"/>
      <c r="C122" s="2113"/>
      <c r="D122" s="2113"/>
      <c r="E122" s="2113"/>
      <c r="F122" s="2113"/>
      <c r="G122" s="2113"/>
      <c r="H122" s="2113"/>
      <c r="I122" s="2113"/>
      <c r="J122" s="2113"/>
      <c r="K122" s="2113"/>
      <c r="L122" s="2113"/>
      <c r="M122" s="2113"/>
      <c r="N122" s="2113"/>
      <c r="O122" s="2113"/>
      <c r="P122" s="2113"/>
      <c r="Q122" s="2113"/>
      <c r="R122" s="2113"/>
      <c r="S122" s="2113"/>
      <c r="T122" s="2113"/>
      <c r="U122" s="2113"/>
      <c r="V122" s="2113"/>
      <c r="W122" s="2113"/>
      <c r="X122" s="2113"/>
      <c r="Y122" s="2113"/>
      <c r="Z122" s="2113"/>
      <c r="AA122" s="2113"/>
      <c r="AB122" s="2113"/>
      <c r="AC122" s="2113"/>
      <c r="AD122" s="2113"/>
      <c r="AE122" s="2113"/>
      <c r="AF122" s="2113"/>
      <c r="AG122" s="2113"/>
      <c r="AH122" s="2113"/>
      <c r="AI122" s="2113"/>
      <c r="AJ122" s="2113"/>
      <c r="AK122" s="2113"/>
      <c r="AL122" s="2113"/>
      <c r="AM122" s="2113"/>
      <c r="AN122" s="2113"/>
      <c r="AO122" s="2113"/>
      <c r="AP122" s="2113"/>
      <c r="AQ122" s="2113"/>
      <c r="AR122" s="2113"/>
      <c r="AS122" s="2113"/>
      <c r="AT122" s="2113"/>
      <c r="AU122" s="2113"/>
      <c r="AV122" s="2113"/>
      <c r="AW122" s="2115"/>
      <c r="AX122" s="2115"/>
      <c r="AY122" s="2115"/>
      <c r="AZ122" s="2115"/>
      <c r="BA122" s="2115"/>
      <c r="BB122" s="2115"/>
      <c r="BC122" s="2115"/>
      <c r="BD122" s="2115"/>
      <c r="BE122" s="2115"/>
      <c r="BF122" s="405"/>
      <c r="BG122" s="406"/>
      <c r="BH122" s="301"/>
      <c r="BI122" s="405"/>
      <c r="BJ122" s="1205"/>
      <c r="BK122" s="1205"/>
      <c r="BL122" s="1205"/>
      <c r="BM122" s="1205"/>
      <c r="BN122" s="1205"/>
      <c r="BO122" s="1205"/>
      <c r="BP122" s="1205"/>
      <c r="BQ122" s="1205"/>
      <c r="BR122" s="1205"/>
      <c r="BS122" s="1205"/>
      <c r="BT122" s="1205"/>
      <c r="BU122" s="1205"/>
      <c r="BV122" s="1205"/>
      <c r="BW122" s="1205"/>
      <c r="BX122" s="1205"/>
      <c r="BY122" s="1205"/>
      <c r="BZ122" s="1213"/>
      <c r="CA122" s="1205"/>
      <c r="CB122" s="1205"/>
      <c r="CC122" s="1205"/>
      <c r="CD122" s="1205"/>
      <c r="CE122" s="1205"/>
      <c r="CF122" s="1205"/>
      <c r="CG122" s="1205"/>
      <c r="CH122" s="1205"/>
      <c r="CI122" s="1205"/>
      <c r="CJ122" s="1205"/>
      <c r="CK122" s="1205"/>
      <c r="CL122" s="1205"/>
      <c r="CM122" s="1205"/>
      <c r="CN122" s="1205"/>
      <c r="CO122" s="1205"/>
      <c r="CP122" s="1205"/>
      <c r="CQ122" s="1205"/>
      <c r="CR122" s="1205"/>
      <c r="CS122" s="1205"/>
      <c r="CT122" s="301"/>
      <c r="CU122" s="301"/>
      <c r="CV122" s="432"/>
      <c r="CW122" s="432"/>
      <c r="CX122" s="432"/>
      <c r="CY122" s="432"/>
      <c r="CZ122" s="432"/>
      <c r="DA122" s="432"/>
      <c r="DB122" s="432"/>
      <c r="DC122" s="432"/>
      <c r="DD122" s="433"/>
      <c r="DE122" s="433"/>
      <c r="DF122" s="433"/>
      <c r="DG122" s="433"/>
      <c r="DH122" s="301"/>
      <c r="DI122" s="301"/>
      <c r="DJ122" s="301"/>
      <c r="DK122" s="301"/>
      <c r="DL122" s="426"/>
      <c r="DM122" s="426"/>
      <c r="DN122" s="426"/>
      <c r="DO122" s="426"/>
      <c r="DP122" s="426"/>
      <c r="DQ122" s="426"/>
      <c r="DR122" s="426"/>
      <c r="DS122" s="426"/>
      <c r="DT122" s="426"/>
      <c r="DU122" s="426"/>
      <c r="DV122" s="426"/>
      <c r="DW122" s="426"/>
      <c r="DX122" s="426"/>
      <c r="DY122" s="426"/>
      <c r="DZ122" s="301"/>
      <c r="EA122" s="301"/>
      <c r="EB122" s="301"/>
      <c r="EC122" s="301"/>
      <c r="ED122" s="301"/>
      <c r="EE122" s="301"/>
      <c r="EF122" s="301"/>
      <c r="EG122" s="301"/>
      <c r="EH122" s="301"/>
      <c r="EI122" s="301"/>
      <c r="EJ122" s="301"/>
      <c r="EK122" s="425"/>
      <c r="EL122" s="425"/>
      <c r="EM122" s="425"/>
      <c r="EN122" s="425"/>
      <c r="EO122" s="425"/>
      <c r="EP122" s="425"/>
      <c r="EQ122" s="425"/>
      <c r="ER122" s="425"/>
      <c r="ES122" s="425"/>
      <c r="ET122" s="425"/>
      <c r="EU122" s="425"/>
      <c r="EV122" s="425"/>
      <c r="EW122" s="425"/>
      <c r="EX122" s="425"/>
      <c r="EY122" s="425"/>
      <c r="EZ122" s="425"/>
      <c r="FA122" s="301"/>
      <c r="FB122" s="301"/>
      <c r="FC122" s="301"/>
      <c r="FD122" s="301"/>
      <c r="FE122" s="301"/>
      <c r="FF122" s="301"/>
      <c r="FG122" s="301"/>
      <c r="FH122" s="301"/>
      <c r="FI122" s="301"/>
      <c r="FJ122" s="301"/>
      <c r="FK122" s="301"/>
      <c r="FL122" s="301"/>
      <c r="FM122" s="301"/>
      <c r="FN122" s="87"/>
      <c r="FO122" s="87"/>
      <c r="FP122" s="988"/>
      <c r="FQ122" s="988"/>
      <c r="FR122" s="988"/>
      <c r="FS122" s="988"/>
      <c r="FT122" s="988"/>
      <c r="FU122" s="988"/>
      <c r="FV122" s="988"/>
      <c r="FW122" s="988"/>
      <c r="FX122" s="988"/>
      <c r="FY122" s="87"/>
      <c r="FZ122" s="87"/>
      <c r="GA122" s="87"/>
      <c r="GC122" s="1853"/>
      <c r="GD122" s="1853"/>
      <c r="GE122" s="1853"/>
      <c r="GF122" s="1853"/>
      <c r="GH122" s="1133"/>
    </row>
    <row r="123" spans="1:190" ht="9" customHeight="1" thickBot="1">
      <c r="A123" s="301"/>
      <c r="B123" s="313"/>
      <c r="C123" s="2114"/>
      <c r="D123" s="2114"/>
      <c r="E123" s="2114"/>
      <c r="F123" s="2114"/>
      <c r="G123" s="2114"/>
      <c r="H123" s="2114"/>
      <c r="I123" s="2114"/>
      <c r="J123" s="2114"/>
      <c r="K123" s="2114"/>
      <c r="L123" s="2114"/>
      <c r="M123" s="2114"/>
      <c r="N123" s="2114"/>
      <c r="O123" s="2114"/>
      <c r="P123" s="2114"/>
      <c r="Q123" s="2114"/>
      <c r="R123" s="2114"/>
      <c r="S123" s="2114"/>
      <c r="T123" s="2114"/>
      <c r="U123" s="2114"/>
      <c r="V123" s="2114"/>
      <c r="W123" s="2114"/>
      <c r="X123" s="2114"/>
      <c r="Y123" s="2114"/>
      <c r="Z123" s="2114"/>
      <c r="AA123" s="2114"/>
      <c r="AB123" s="2114"/>
      <c r="AC123" s="2114"/>
      <c r="AD123" s="2114"/>
      <c r="AE123" s="2114"/>
      <c r="AF123" s="2114"/>
      <c r="AG123" s="2114"/>
      <c r="AH123" s="2114"/>
      <c r="AI123" s="2114"/>
      <c r="AJ123" s="2114"/>
      <c r="AK123" s="2114"/>
      <c r="AL123" s="2114"/>
      <c r="AM123" s="2114"/>
      <c r="AN123" s="2114"/>
      <c r="AO123" s="2114"/>
      <c r="AP123" s="2114"/>
      <c r="AQ123" s="2114"/>
      <c r="AR123" s="2114"/>
      <c r="AS123" s="2114"/>
      <c r="AT123" s="2114"/>
      <c r="AU123" s="2114"/>
      <c r="AV123" s="2114"/>
      <c r="AW123" s="2116"/>
      <c r="AX123" s="2116"/>
      <c r="AY123" s="2116"/>
      <c r="AZ123" s="2116"/>
      <c r="BA123" s="2116"/>
      <c r="BB123" s="2116"/>
      <c r="BC123" s="2116"/>
      <c r="BD123" s="2116"/>
      <c r="BE123" s="2116"/>
      <c r="BF123" s="405"/>
      <c r="BG123" s="406"/>
      <c r="BH123" s="301"/>
      <c r="BI123" s="405"/>
      <c r="BJ123" s="1205"/>
      <c r="BK123" s="1205"/>
      <c r="BL123" s="1205"/>
      <c r="BM123" s="1205"/>
      <c r="BN123" s="2106" t="s">
        <v>751</v>
      </c>
      <c r="BO123" s="2106"/>
      <c r="BP123" s="2106"/>
      <c r="BQ123" s="2106"/>
      <c r="BR123" s="2106"/>
      <c r="BS123" s="2106"/>
      <c r="BT123" s="2106"/>
      <c r="BU123" s="2106"/>
      <c r="BV123" s="2106"/>
      <c r="BW123" s="2106"/>
      <c r="BX123" s="2106"/>
      <c r="BY123" s="2106"/>
      <c r="BZ123" s="2106"/>
      <c r="CA123" s="2106"/>
      <c r="CB123" s="2106"/>
      <c r="CC123" s="2106"/>
      <c r="CD123" s="2106"/>
      <c r="CE123" s="2106"/>
      <c r="CF123" s="2106"/>
      <c r="CG123" s="2106"/>
      <c r="CH123" s="2106"/>
      <c r="CI123" s="2106"/>
      <c r="CJ123" s="2106"/>
      <c r="CK123" s="2106"/>
      <c r="CL123" s="2106"/>
      <c r="CM123" s="2106"/>
      <c r="CN123" s="2106"/>
      <c r="CO123" s="2106"/>
      <c r="CP123" s="2106"/>
      <c r="CQ123" s="2106"/>
      <c r="CR123" s="2106"/>
      <c r="CS123" s="2106"/>
      <c r="CT123" s="87"/>
      <c r="CU123" s="158" t="e">
        <f>HeroicLvl+ArmourFort</f>
        <v>#NAME?</v>
      </c>
      <c r="CV123" s="411"/>
      <c r="CW123" s="411"/>
      <c r="CX123" s="411"/>
      <c r="CY123" s="411"/>
      <c r="CZ123" s="411"/>
      <c r="DA123" s="411"/>
      <c r="DB123" s="411"/>
      <c r="DC123" s="411"/>
      <c r="DD123" s="160"/>
      <c r="DE123" s="87"/>
      <c r="DF123" s="87"/>
      <c r="DG123" s="87"/>
      <c r="DH123" s="87"/>
      <c r="DI123" s="87"/>
      <c r="DJ123" s="158" t="e">
        <f>HeroicLvl+ArmourFort</f>
        <v>#NAME?</v>
      </c>
      <c r="DK123" s="159"/>
      <c r="DL123" s="159"/>
      <c r="DM123" s="159"/>
      <c r="DN123" s="159"/>
      <c r="DO123" s="159"/>
      <c r="DP123" s="159"/>
      <c r="DQ123" s="159"/>
      <c r="DR123" s="160"/>
      <c r="DS123" s="87"/>
      <c r="DT123" s="87"/>
      <c r="DU123" s="87"/>
      <c r="DV123" s="158"/>
      <c r="DW123" s="159"/>
      <c r="DX123" s="159"/>
      <c r="DY123" s="159"/>
      <c r="DZ123" s="159"/>
      <c r="EA123" s="159"/>
      <c r="EB123" s="159"/>
      <c r="EC123" s="159"/>
      <c r="ED123" s="160"/>
      <c r="EE123" s="87"/>
      <c r="EF123" s="87"/>
      <c r="EG123" s="87"/>
      <c r="EH123" s="158"/>
      <c r="EI123" s="184"/>
      <c r="EJ123" s="184"/>
      <c r="EK123" s="184"/>
      <c r="EL123" s="184"/>
      <c r="EM123" s="184"/>
      <c r="EN123" s="184"/>
      <c r="EO123" s="184"/>
      <c r="EP123" s="160"/>
      <c r="EQ123" s="87"/>
      <c r="ER123" s="87"/>
      <c r="ES123" s="87"/>
      <c r="ET123" s="158"/>
      <c r="EU123" s="1649"/>
      <c r="EV123" s="1649"/>
      <c r="EW123" s="1649"/>
      <c r="EX123" s="1649"/>
      <c r="EY123" s="1649"/>
      <c r="EZ123" s="1649"/>
      <c r="FA123" s="1649"/>
      <c r="FB123" s="160"/>
      <c r="FC123" s="87"/>
      <c r="FD123" s="87"/>
      <c r="FE123" s="87"/>
      <c r="FF123" s="158"/>
      <c r="FG123" s="159"/>
      <c r="FH123" s="159"/>
      <c r="FI123" s="159"/>
      <c r="FJ123" s="159"/>
      <c r="FK123" s="159"/>
      <c r="FL123" s="159"/>
      <c r="FM123" s="159"/>
      <c r="FN123" s="160"/>
      <c r="FO123" s="87"/>
      <c r="FP123" s="988"/>
      <c r="FQ123" s="988"/>
      <c r="FR123" s="988"/>
      <c r="FS123" s="988"/>
      <c r="FT123" s="988"/>
      <c r="FU123" s="988"/>
      <c r="FV123" s="988"/>
      <c r="FW123" s="988"/>
      <c r="FX123" s="988"/>
      <c r="FY123" s="87"/>
      <c r="FZ123" s="87"/>
      <c r="GA123" s="87"/>
      <c r="GC123" s="1853"/>
      <c r="GD123" s="1853"/>
      <c r="GE123" s="1853"/>
      <c r="GF123" s="1853"/>
      <c r="GH123" s="1133"/>
    </row>
    <row r="124" spans="1:190" ht="9" customHeight="1">
      <c r="A124" s="301"/>
      <c r="B124" s="313"/>
      <c r="C124" s="301"/>
      <c r="D124" s="301"/>
      <c r="E124" s="643"/>
      <c r="F124" s="643"/>
      <c r="G124" s="643"/>
      <c r="H124" s="643"/>
      <c r="I124" s="643"/>
      <c r="J124" s="643"/>
      <c r="K124" s="301"/>
      <c r="L124" s="301"/>
      <c r="M124" s="301"/>
      <c r="N124" s="301"/>
      <c r="O124" s="301"/>
      <c r="P124" s="301"/>
      <c r="Q124" s="301"/>
      <c r="R124" s="301"/>
      <c r="S124" s="301"/>
      <c r="T124" s="301"/>
      <c r="U124" s="301"/>
      <c r="V124" s="301"/>
      <c r="W124" s="301"/>
      <c r="X124" s="301"/>
      <c r="Y124" s="301"/>
      <c r="Z124" s="301"/>
      <c r="AA124" s="301"/>
      <c r="AB124" s="301"/>
      <c r="AC124" s="301"/>
      <c r="AD124" s="301"/>
      <c r="AE124" s="301"/>
      <c r="AF124" s="301"/>
      <c r="AG124" s="301"/>
      <c r="AH124" s="301"/>
      <c r="AI124" s="301"/>
      <c r="AJ124" s="301"/>
      <c r="AK124" s="301"/>
      <c r="AL124" s="301"/>
      <c r="AM124" s="301"/>
      <c r="AN124" s="301"/>
      <c r="AO124" s="301"/>
      <c r="AP124" s="301"/>
      <c r="AQ124" s="301"/>
      <c r="AR124" s="301"/>
      <c r="AS124" s="301"/>
      <c r="AT124" s="301"/>
      <c r="AU124" s="301"/>
      <c r="AV124" s="301"/>
      <c r="AW124" s="1087"/>
      <c r="AX124" s="1087"/>
      <c r="AY124" s="1087"/>
      <c r="AZ124" s="1087"/>
      <c r="BA124" s="1087"/>
      <c r="BB124" s="1087"/>
      <c r="BC124" s="1087"/>
      <c r="BD124" s="1087"/>
      <c r="BE124" s="1087"/>
      <c r="BF124" s="405"/>
      <c r="BG124" s="406"/>
      <c r="BH124" s="301"/>
      <c r="BI124" s="405"/>
      <c r="BJ124" s="1205"/>
      <c r="BK124" s="1205"/>
      <c r="BL124" s="1205"/>
      <c r="BM124" s="1205"/>
      <c r="BN124" s="2106"/>
      <c r="BO124" s="2106"/>
      <c r="BP124" s="2106"/>
      <c r="BQ124" s="2106"/>
      <c r="BR124" s="2106"/>
      <c r="BS124" s="2106"/>
      <c r="BT124" s="2106"/>
      <c r="BU124" s="2106"/>
      <c r="BV124" s="2106"/>
      <c r="BW124" s="2106"/>
      <c r="BX124" s="2106"/>
      <c r="BY124" s="2106"/>
      <c r="BZ124" s="2106"/>
      <c r="CA124" s="2106"/>
      <c r="CB124" s="2106"/>
      <c r="CC124" s="2106"/>
      <c r="CD124" s="2106"/>
      <c r="CE124" s="2106"/>
      <c r="CF124" s="2106"/>
      <c r="CG124" s="2106"/>
      <c r="CH124" s="2106"/>
      <c r="CI124" s="2106"/>
      <c r="CJ124" s="2106"/>
      <c r="CK124" s="2106"/>
      <c r="CL124" s="2106"/>
      <c r="CM124" s="2106"/>
      <c r="CN124" s="2106"/>
      <c r="CO124" s="2106"/>
      <c r="CP124" s="2106"/>
      <c r="CQ124" s="2106"/>
      <c r="CR124" s="2106"/>
      <c r="CS124" s="2106"/>
      <c r="CT124" s="87"/>
      <c r="CU124" s="166"/>
      <c r="CV124" s="2107">
        <f ca="1">Ride</f>
        <v>0</v>
      </c>
      <c r="CW124" s="2107"/>
      <c r="CX124" s="2107"/>
      <c r="CY124" s="2107"/>
      <c r="CZ124" s="2107"/>
      <c r="DA124" s="2107"/>
      <c r="DB124" s="2107"/>
      <c r="DC124" s="2107"/>
      <c r="DD124" s="167"/>
      <c r="DE124" s="87"/>
      <c r="DF124" s="117"/>
      <c r="DG124" s="117"/>
      <c r="DH124" s="117"/>
      <c r="DI124" s="87"/>
      <c r="DJ124" s="166"/>
      <c r="DK124" s="1991">
        <f>ROUNDDOWN(CharacterLevel/2,0)</f>
        <v>0</v>
      </c>
      <c r="DL124" s="1991"/>
      <c r="DM124" s="1991"/>
      <c r="DN124" s="1991"/>
      <c r="DO124" s="1991"/>
      <c r="DP124" s="1991"/>
      <c r="DQ124" s="1991"/>
      <c r="DR124" s="167"/>
      <c r="DS124" s="87"/>
      <c r="DT124" s="87"/>
      <c r="DU124" s="87"/>
      <c r="DV124" s="166"/>
      <c r="DW124" s="1991" t="str">
        <f>DexMod</f>
        <v/>
      </c>
      <c r="DX124" s="1991"/>
      <c r="DY124" s="1991"/>
      <c r="DZ124" s="1991"/>
      <c r="EA124" s="1991"/>
      <c r="EB124" s="1991"/>
      <c r="EC124" s="1991"/>
      <c r="ED124" s="167"/>
      <c r="EE124" s="87"/>
      <c r="EF124" s="87"/>
      <c r="EG124" s="87"/>
      <c r="EH124" s="166"/>
      <c r="EI124" s="1991" t="str">
        <f>IF(CharacterLevel&gt;0,IF(OR(INDEX(SkillTable,MATCH(BN123,SkillList,0),4)="Yes",INDEX(SkillTable,MATCH(BN123,SkillList,0),5)="Yes"),5,0),"")</f>
        <v/>
      </c>
      <c r="EJ124" s="1991"/>
      <c r="EK124" s="1991"/>
      <c r="EL124" s="1991"/>
      <c r="EM124" s="1991"/>
      <c r="EN124" s="1991"/>
      <c r="EO124" s="1991"/>
      <c r="EP124" s="264"/>
      <c r="EQ124" s="265"/>
      <c r="ER124" s="265"/>
      <c r="ES124" s="265"/>
      <c r="ET124" s="266"/>
      <c r="EU124" s="1991" t="b">
        <f>IF(CharacterLevel&gt;0,IF(Skills!R29="Yes",5,0))</f>
        <v>0</v>
      </c>
      <c r="EV124" s="1991"/>
      <c r="EW124" s="1991"/>
      <c r="EX124" s="1991"/>
      <c r="EY124" s="1991"/>
      <c r="EZ124" s="1991"/>
      <c r="FA124" s="1991"/>
      <c r="FB124" s="167"/>
      <c r="FC124" s="265"/>
      <c r="FD124" s="265"/>
      <c r="FE124" s="265"/>
      <c r="FF124" s="266"/>
      <c r="FG124" s="1991">
        <f>ArmorPenalty+INDEX(SkillTable,MATCH(BN123,SkillList,0),12)</f>
        <v>0</v>
      </c>
      <c r="FH124" s="1991"/>
      <c r="FI124" s="1991"/>
      <c r="FJ124" s="1991"/>
      <c r="FK124" s="1991"/>
      <c r="FL124" s="1991"/>
      <c r="FM124" s="1991"/>
      <c r="FN124" s="167"/>
      <c r="FO124" s="87"/>
      <c r="FP124" s="2124" t="str">
        <f>IF(INDEX(SkillTable,MATCH(BN123,SkillList,0),77)&lt;&gt;"","×","")</f>
        <v/>
      </c>
      <c r="FQ124" s="2125"/>
      <c r="FR124" s="2125"/>
      <c r="FS124" s="2126"/>
      <c r="FT124" s="988"/>
      <c r="FU124" s="2124" t="str">
        <f>IF(INDEX(SkillTable,MATCH(BN123,SkillList,0),78)&lt;&gt;"","×","")</f>
        <v/>
      </c>
      <c r="FV124" s="2125"/>
      <c r="FW124" s="2125"/>
      <c r="FX124" s="2126"/>
      <c r="FY124" s="87"/>
      <c r="FZ124" s="87"/>
      <c r="GA124" s="87"/>
      <c r="GD124" s="714"/>
      <c r="GE124" s="714"/>
      <c r="GF124" s="714"/>
      <c r="GH124" s="1135" t="e">
        <f ca="1">IF(INDEX(SkillTable,MATCH(BN123,SkillList,0),14),1,0)</f>
        <v>#VALUE!</v>
      </c>
    </row>
    <row r="125" spans="1:190" ht="9" customHeight="1">
      <c r="A125" s="301"/>
      <c r="B125" s="313"/>
      <c r="C125" s="2113" t="str">
        <f>IF(Race="","",IF(NOT(ISERROR(GD125)),MID(EquipmentNameList,GD121+1,GD125-GD121-1),""))</f>
        <v/>
      </c>
      <c r="D125" s="2113"/>
      <c r="E125" s="2113"/>
      <c r="F125" s="2113"/>
      <c r="G125" s="2113"/>
      <c r="H125" s="2113"/>
      <c r="I125" s="2113"/>
      <c r="J125" s="2113"/>
      <c r="K125" s="2113"/>
      <c r="L125" s="2113"/>
      <c r="M125" s="2113"/>
      <c r="N125" s="2113"/>
      <c r="O125" s="2113"/>
      <c r="P125" s="2113"/>
      <c r="Q125" s="2113"/>
      <c r="R125" s="2113"/>
      <c r="S125" s="2113"/>
      <c r="T125" s="2113"/>
      <c r="U125" s="2113"/>
      <c r="V125" s="2113"/>
      <c r="W125" s="2113"/>
      <c r="X125" s="2113"/>
      <c r="Y125" s="2113"/>
      <c r="Z125" s="2113"/>
      <c r="AA125" s="2113"/>
      <c r="AB125" s="2113"/>
      <c r="AC125" s="2113"/>
      <c r="AD125" s="2113"/>
      <c r="AE125" s="2113"/>
      <c r="AF125" s="2113"/>
      <c r="AG125" s="2113"/>
      <c r="AH125" s="2113"/>
      <c r="AI125" s="2113"/>
      <c r="AJ125" s="2113"/>
      <c r="AK125" s="2113"/>
      <c r="AL125" s="2113"/>
      <c r="AM125" s="2113"/>
      <c r="AN125" s="2113"/>
      <c r="AO125" s="2113"/>
      <c r="AP125" s="2113"/>
      <c r="AQ125" s="2113"/>
      <c r="AR125" s="2113"/>
      <c r="AS125" s="2113"/>
      <c r="AT125" s="2113"/>
      <c r="AU125" s="2113"/>
      <c r="AV125" s="2113"/>
      <c r="AW125" s="2115" t="str">
        <f>IF(Race="","",IF(NOT(ISERROR(GE125)),VALUE(MID(EquipmentWeightList,GE121+1,GE125-GE121-1)),""))</f>
        <v/>
      </c>
      <c r="AX125" s="2115"/>
      <c r="AY125" s="2115"/>
      <c r="AZ125" s="2115"/>
      <c r="BA125" s="2115"/>
      <c r="BB125" s="2115"/>
      <c r="BC125" s="2115"/>
      <c r="BD125" s="2115"/>
      <c r="BE125" s="2115"/>
      <c r="BF125" s="405"/>
      <c r="BG125" s="406"/>
      <c r="BH125" s="301"/>
      <c r="BI125" s="405"/>
      <c r="BJ125" s="1205"/>
      <c r="BK125" s="1205"/>
      <c r="BL125" s="1205"/>
      <c r="BM125" s="1205"/>
      <c r="BN125" s="2106"/>
      <c r="BO125" s="2106"/>
      <c r="BP125" s="2106"/>
      <c r="BQ125" s="2106"/>
      <c r="BR125" s="2106"/>
      <c r="BS125" s="2106"/>
      <c r="BT125" s="2106"/>
      <c r="BU125" s="2106"/>
      <c r="BV125" s="2106"/>
      <c r="BW125" s="2106"/>
      <c r="BX125" s="2106"/>
      <c r="BY125" s="2106"/>
      <c r="BZ125" s="2106"/>
      <c r="CA125" s="2106"/>
      <c r="CB125" s="2106"/>
      <c r="CC125" s="2106"/>
      <c r="CD125" s="2106"/>
      <c r="CE125" s="2106"/>
      <c r="CF125" s="2106"/>
      <c r="CG125" s="2106"/>
      <c r="CH125" s="2106"/>
      <c r="CI125" s="2106"/>
      <c r="CJ125" s="2106"/>
      <c r="CK125" s="2106"/>
      <c r="CL125" s="2106"/>
      <c r="CM125" s="2106"/>
      <c r="CN125" s="2106"/>
      <c r="CO125" s="2106"/>
      <c r="CP125" s="2106"/>
      <c r="CQ125" s="2106"/>
      <c r="CR125" s="2106"/>
      <c r="CS125" s="2106"/>
      <c r="CT125" s="87"/>
      <c r="CU125" s="166"/>
      <c r="CV125" s="2107"/>
      <c r="CW125" s="2107"/>
      <c r="CX125" s="2107"/>
      <c r="CY125" s="2107"/>
      <c r="CZ125" s="2107"/>
      <c r="DA125" s="2107"/>
      <c r="DB125" s="2107"/>
      <c r="DC125" s="2107"/>
      <c r="DD125" s="167"/>
      <c r="DE125" s="87"/>
      <c r="DF125" s="87"/>
      <c r="DG125" s="87"/>
      <c r="DH125" s="87"/>
      <c r="DI125" s="87"/>
      <c r="DJ125" s="166"/>
      <c r="DK125" s="1991"/>
      <c r="DL125" s="1991"/>
      <c r="DM125" s="1991"/>
      <c r="DN125" s="1991"/>
      <c r="DO125" s="1991"/>
      <c r="DP125" s="1991"/>
      <c r="DQ125" s="1991"/>
      <c r="DR125" s="167"/>
      <c r="DS125" s="117"/>
      <c r="DT125" s="117"/>
      <c r="DU125" s="117"/>
      <c r="DV125" s="166"/>
      <c r="DW125" s="1991"/>
      <c r="DX125" s="1991"/>
      <c r="DY125" s="1991"/>
      <c r="DZ125" s="1991"/>
      <c r="EA125" s="1991"/>
      <c r="EB125" s="1991"/>
      <c r="EC125" s="1991"/>
      <c r="ED125" s="167"/>
      <c r="EE125" s="117"/>
      <c r="EF125" s="117"/>
      <c r="EG125" s="117"/>
      <c r="EH125" s="166"/>
      <c r="EI125" s="1991"/>
      <c r="EJ125" s="1991"/>
      <c r="EK125" s="1991"/>
      <c r="EL125" s="1991"/>
      <c r="EM125" s="1991"/>
      <c r="EN125" s="1991"/>
      <c r="EO125" s="1991"/>
      <c r="EP125" s="264"/>
      <c r="EQ125" s="117"/>
      <c r="ER125" s="117"/>
      <c r="ES125" s="117"/>
      <c r="ET125" s="266"/>
      <c r="EU125" s="1991"/>
      <c r="EV125" s="1991"/>
      <c r="EW125" s="1991"/>
      <c r="EX125" s="1991"/>
      <c r="EY125" s="1991"/>
      <c r="EZ125" s="1991"/>
      <c r="FA125" s="1991"/>
      <c r="FB125" s="167"/>
      <c r="FC125" s="117"/>
      <c r="FD125" s="117"/>
      <c r="FE125" s="117"/>
      <c r="FF125" s="266"/>
      <c r="FG125" s="1991"/>
      <c r="FH125" s="1991"/>
      <c r="FI125" s="1991"/>
      <c r="FJ125" s="1991"/>
      <c r="FK125" s="1991"/>
      <c r="FL125" s="1991"/>
      <c r="FM125" s="1991"/>
      <c r="FN125" s="167"/>
      <c r="FO125" s="117"/>
      <c r="FP125" s="2127"/>
      <c r="FQ125" s="2081"/>
      <c r="FR125" s="2081"/>
      <c r="FS125" s="2128"/>
      <c r="FT125" s="989"/>
      <c r="FU125" s="2127"/>
      <c r="FV125" s="2081"/>
      <c r="FW125" s="2081"/>
      <c r="FX125" s="2128"/>
      <c r="FY125" s="87"/>
      <c r="FZ125" s="87"/>
      <c r="GA125" s="87"/>
      <c r="GC125" s="1853">
        <f>GC121+1</f>
        <v>29</v>
      </c>
      <c r="GD125" s="1853" t="e">
        <f>FIND(";",EquipmentNameList,GD121+1)</f>
        <v>#VALUE!</v>
      </c>
      <c r="GE125" s="1853" t="e">
        <f>FIND(";",EquipmentWeightList,GE121+1)</f>
        <v>#VALUE!</v>
      </c>
      <c r="GF125" s="1853" t="e">
        <f>FIND(";",EquipmentNumberList,GF121+1)</f>
        <v>#VALUE!</v>
      </c>
      <c r="GH125" s="1133"/>
    </row>
    <row r="126" spans="1:190" ht="9" customHeight="1" thickBot="1">
      <c r="A126" s="301"/>
      <c r="B126" s="313"/>
      <c r="C126" s="2113"/>
      <c r="D126" s="2113"/>
      <c r="E126" s="2113"/>
      <c r="F126" s="2113"/>
      <c r="G126" s="2113"/>
      <c r="H126" s="2113"/>
      <c r="I126" s="2113"/>
      <c r="J126" s="2113"/>
      <c r="K126" s="2113"/>
      <c r="L126" s="2113"/>
      <c r="M126" s="2113"/>
      <c r="N126" s="2113"/>
      <c r="O126" s="2113"/>
      <c r="P126" s="2113"/>
      <c r="Q126" s="2113"/>
      <c r="R126" s="2113"/>
      <c r="S126" s="2113"/>
      <c r="T126" s="2113"/>
      <c r="U126" s="2113"/>
      <c r="V126" s="2113"/>
      <c r="W126" s="2113"/>
      <c r="X126" s="2113"/>
      <c r="Y126" s="2113"/>
      <c r="Z126" s="2113"/>
      <c r="AA126" s="2113"/>
      <c r="AB126" s="2113"/>
      <c r="AC126" s="2113"/>
      <c r="AD126" s="2113"/>
      <c r="AE126" s="2113"/>
      <c r="AF126" s="2113"/>
      <c r="AG126" s="2113"/>
      <c r="AH126" s="2113"/>
      <c r="AI126" s="2113"/>
      <c r="AJ126" s="2113"/>
      <c r="AK126" s="2113"/>
      <c r="AL126" s="2113"/>
      <c r="AM126" s="2113"/>
      <c r="AN126" s="2113"/>
      <c r="AO126" s="2113"/>
      <c r="AP126" s="2113"/>
      <c r="AQ126" s="2113"/>
      <c r="AR126" s="2113"/>
      <c r="AS126" s="2113"/>
      <c r="AT126" s="2113"/>
      <c r="AU126" s="2113"/>
      <c r="AV126" s="2113"/>
      <c r="AW126" s="2115"/>
      <c r="AX126" s="2115"/>
      <c r="AY126" s="2115"/>
      <c r="AZ126" s="2115"/>
      <c r="BA126" s="2115"/>
      <c r="BB126" s="2115"/>
      <c r="BC126" s="2115"/>
      <c r="BD126" s="2115"/>
      <c r="BE126" s="2115"/>
      <c r="BF126" s="405"/>
      <c r="BG126" s="406"/>
      <c r="BH126" s="301"/>
      <c r="BI126" s="405"/>
      <c r="BJ126" s="1205"/>
      <c r="BK126" s="1205"/>
      <c r="BL126" s="1205"/>
      <c r="BM126" s="1205"/>
      <c r="BN126" s="2106"/>
      <c r="BO126" s="2106"/>
      <c r="BP126" s="2106"/>
      <c r="BQ126" s="2106"/>
      <c r="BR126" s="2106"/>
      <c r="BS126" s="2106"/>
      <c r="BT126" s="2106"/>
      <c r="BU126" s="2106"/>
      <c r="BV126" s="2106"/>
      <c r="BW126" s="2106"/>
      <c r="BX126" s="2106"/>
      <c r="BY126" s="2106"/>
      <c r="BZ126" s="2106"/>
      <c r="CA126" s="2106"/>
      <c r="CB126" s="2106"/>
      <c r="CC126" s="2106"/>
      <c r="CD126" s="2106"/>
      <c r="CE126" s="2106"/>
      <c r="CF126" s="2106"/>
      <c r="CG126" s="2106"/>
      <c r="CH126" s="2106"/>
      <c r="CI126" s="2106"/>
      <c r="CJ126" s="2106"/>
      <c r="CK126" s="2106"/>
      <c r="CL126" s="2106"/>
      <c r="CM126" s="2106"/>
      <c r="CN126" s="2106"/>
      <c r="CO126" s="2106"/>
      <c r="CP126" s="2106"/>
      <c r="CQ126" s="2106"/>
      <c r="CR126" s="2106"/>
      <c r="CS126" s="2106"/>
      <c r="CT126" s="87"/>
      <c r="CU126" s="166"/>
      <c r="CV126" s="2107"/>
      <c r="CW126" s="2107"/>
      <c r="CX126" s="2107"/>
      <c r="CY126" s="2107"/>
      <c r="CZ126" s="2107"/>
      <c r="DA126" s="2107"/>
      <c r="DB126" s="2107"/>
      <c r="DC126" s="2107"/>
      <c r="DD126" s="167"/>
      <c r="DE126" s="87"/>
      <c r="DF126" s="117"/>
      <c r="DG126" s="117"/>
      <c r="DH126" s="117"/>
      <c r="DI126" s="87"/>
      <c r="DJ126" s="166"/>
      <c r="DK126" s="1991"/>
      <c r="DL126" s="1991"/>
      <c r="DM126" s="1991"/>
      <c r="DN126" s="1991"/>
      <c r="DO126" s="1991"/>
      <c r="DP126" s="1991"/>
      <c r="DQ126" s="1991"/>
      <c r="DR126" s="167"/>
      <c r="DS126" s="87"/>
      <c r="DT126" s="87"/>
      <c r="DU126" s="87"/>
      <c r="DV126" s="166"/>
      <c r="DW126" s="1991"/>
      <c r="DX126" s="1991"/>
      <c r="DY126" s="1991"/>
      <c r="DZ126" s="1991"/>
      <c r="EA126" s="1991"/>
      <c r="EB126" s="1991"/>
      <c r="EC126" s="1991"/>
      <c r="ED126" s="167"/>
      <c r="EE126" s="87"/>
      <c r="EF126" s="87"/>
      <c r="EG126" s="87"/>
      <c r="EH126" s="166"/>
      <c r="EI126" s="1991"/>
      <c r="EJ126" s="1991"/>
      <c r="EK126" s="1991"/>
      <c r="EL126" s="1991"/>
      <c r="EM126" s="1991"/>
      <c r="EN126" s="1991"/>
      <c r="EO126" s="1991"/>
      <c r="EP126" s="264"/>
      <c r="EQ126" s="87"/>
      <c r="ER126" s="87"/>
      <c r="ES126" s="87"/>
      <c r="ET126" s="266"/>
      <c r="EU126" s="1991"/>
      <c r="EV126" s="1991"/>
      <c r="EW126" s="1991"/>
      <c r="EX126" s="1991"/>
      <c r="EY126" s="1991"/>
      <c r="EZ126" s="1991"/>
      <c r="FA126" s="1991"/>
      <c r="FB126" s="167"/>
      <c r="FC126" s="87"/>
      <c r="FD126" s="87"/>
      <c r="FE126" s="87"/>
      <c r="FF126" s="266"/>
      <c r="FG126" s="1991"/>
      <c r="FH126" s="1991"/>
      <c r="FI126" s="1991"/>
      <c r="FJ126" s="1991"/>
      <c r="FK126" s="1991"/>
      <c r="FL126" s="1991"/>
      <c r="FM126" s="1991"/>
      <c r="FN126" s="167"/>
      <c r="FO126" s="87"/>
      <c r="FP126" s="2129"/>
      <c r="FQ126" s="2130"/>
      <c r="FR126" s="2130"/>
      <c r="FS126" s="2131"/>
      <c r="FT126" s="988"/>
      <c r="FU126" s="2129"/>
      <c r="FV126" s="2130"/>
      <c r="FW126" s="2130"/>
      <c r="FX126" s="2131"/>
      <c r="FY126" s="87"/>
      <c r="FZ126" s="87"/>
      <c r="GA126" s="87"/>
      <c r="GC126" s="1853"/>
      <c r="GD126" s="1853"/>
      <c r="GE126" s="1853"/>
      <c r="GF126" s="1853"/>
      <c r="GH126" s="1133"/>
    </row>
    <row r="127" spans="1:190" ht="9" customHeight="1" thickBot="1">
      <c r="A127" s="301"/>
      <c r="B127" s="313"/>
      <c r="C127" s="2114"/>
      <c r="D127" s="2114"/>
      <c r="E127" s="2114"/>
      <c r="F127" s="2114"/>
      <c r="G127" s="2114"/>
      <c r="H127" s="2114"/>
      <c r="I127" s="2114"/>
      <c r="J127" s="2114"/>
      <c r="K127" s="2114"/>
      <c r="L127" s="2114"/>
      <c r="M127" s="2114"/>
      <c r="N127" s="2114"/>
      <c r="O127" s="2114"/>
      <c r="P127" s="2114"/>
      <c r="Q127" s="2114"/>
      <c r="R127" s="2114"/>
      <c r="S127" s="2114"/>
      <c r="T127" s="2114"/>
      <c r="U127" s="2114"/>
      <c r="V127" s="2114"/>
      <c r="W127" s="2114"/>
      <c r="X127" s="2114"/>
      <c r="Y127" s="2114"/>
      <c r="Z127" s="2114"/>
      <c r="AA127" s="2114"/>
      <c r="AB127" s="2114"/>
      <c r="AC127" s="2114"/>
      <c r="AD127" s="2114"/>
      <c r="AE127" s="2114"/>
      <c r="AF127" s="2114"/>
      <c r="AG127" s="2114"/>
      <c r="AH127" s="2114"/>
      <c r="AI127" s="2114"/>
      <c r="AJ127" s="2114"/>
      <c r="AK127" s="2114"/>
      <c r="AL127" s="2114"/>
      <c r="AM127" s="2114"/>
      <c r="AN127" s="2114"/>
      <c r="AO127" s="2114"/>
      <c r="AP127" s="2114"/>
      <c r="AQ127" s="2114"/>
      <c r="AR127" s="2114"/>
      <c r="AS127" s="2114"/>
      <c r="AT127" s="2114"/>
      <c r="AU127" s="2114"/>
      <c r="AV127" s="2114"/>
      <c r="AW127" s="2116"/>
      <c r="AX127" s="2116"/>
      <c r="AY127" s="2116"/>
      <c r="AZ127" s="2116"/>
      <c r="BA127" s="2116"/>
      <c r="BB127" s="2116"/>
      <c r="BC127" s="2116"/>
      <c r="BD127" s="2116"/>
      <c r="BE127" s="2116"/>
      <c r="BF127" s="405"/>
      <c r="BG127" s="406"/>
      <c r="BH127" s="301"/>
      <c r="BI127" s="405"/>
      <c r="BJ127" s="1205"/>
      <c r="BK127" s="1205"/>
      <c r="BL127" s="1205"/>
      <c r="BM127" s="1205"/>
      <c r="BN127" s="2106"/>
      <c r="BO127" s="2106"/>
      <c r="BP127" s="2106"/>
      <c r="BQ127" s="2106"/>
      <c r="BR127" s="2106"/>
      <c r="BS127" s="2106"/>
      <c r="BT127" s="2106"/>
      <c r="BU127" s="2106"/>
      <c r="BV127" s="2106"/>
      <c r="BW127" s="2106"/>
      <c r="BX127" s="2106"/>
      <c r="BY127" s="2106"/>
      <c r="BZ127" s="2106"/>
      <c r="CA127" s="2106"/>
      <c r="CB127" s="2106"/>
      <c r="CC127" s="2106"/>
      <c r="CD127" s="2106"/>
      <c r="CE127" s="2106"/>
      <c r="CF127" s="2106"/>
      <c r="CG127" s="2106"/>
      <c r="CH127" s="2106"/>
      <c r="CI127" s="2106"/>
      <c r="CJ127" s="2106"/>
      <c r="CK127" s="2106"/>
      <c r="CL127" s="2106"/>
      <c r="CM127" s="2106"/>
      <c r="CN127" s="2106"/>
      <c r="CO127" s="2106"/>
      <c r="CP127" s="2106"/>
      <c r="CQ127" s="2106"/>
      <c r="CR127" s="2106"/>
      <c r="CS127" s="2106"/>
      <c r="CT127" s="87"/>
      <c r="CU127" s="160"/>
      <c r="CV127" s="409"/>
      <c r="CW127" s="409"/>
      <c r="CX127" s="409"/>
      <c r="CY127" s="409"/>
      <c r="CZ127" s="409"/>
      <c r="DA127" s="409"/>
      <c r="DB127" s="409"/>
      <c r="DC127" s="409"/>
      <c r="DD127" s="158"/>
      <c r="DE127" s="87"/>
      <c r="DF127" s="87"/>
      <c r="DG127" s="87"/>
      <c r="DH127" s="87"/>
      <c r="DI127" s="87"/>
      <c r="DJ127" s="160"/>
      <c r="DK127" s="240"/>
      <c r="DL127" s="240"/>
      <c r="DM127" s="240"/>
      <c r="DN127" s="240"/>
      <c r="DO127" s="240"/>
      <c r="DP127" s="240"/>
      <c r="DQ127" s="240"/>
      <c r="DR127" s="158"/>
      <c r="DS127" s="87"/>
      <c r="DT127" s="87"/>
      <c r="DU127" s="87"/>
      <c r="DV127" s="160"/>
      <c r="DW127" s="240"/>
      <c r="DX127" s="240"/>
      <c r="DY127" s="240"/>
      <c r="DZ127" s="240"/>
      <c r="EA127" s="240"/>
      <c r="EB127" s="240"/>
      <c r="EC127" s="240"/>
      <c r="ED127" s="158"/>
      <c r="EE127" s="87"/>
      <c r="EF127" s="87"/>
      <c r="EG127" s="87"/>
      <c r="EH127" s="160"/>
      <c r="EI127" s="204"/>
      <c r="EJ127" s="204"/>
      <c r="EK127" s="204"/>
      <c r="EL127" s="204"/>
      <c r="EM127" s="204"/>
      <c r="EN127" s="204"/>
      <c r="EO127" s="204"/>
      <c r="EP127" s="274"/>
      <c r="EQ127" s="87"/>
      <c r="ER127" s="87"/>
      <c r="ES127" s="87"/>
      <c r="ET127" s="203"/>
      <c r="EU127" s="204"/>
      <c r="EV127" s="204"/>
      <c r="EW127" s="204"/>
      <c r="EX127" s="204"/>
      <c r="EY127" s="204"/>
      <c r="EZ127" s="204"/>
      <c r="FA127" s="204"/>
      <c r="FB127" s="158"/>
      <c r="FC127" s="87"/>
      <c r="FD127" s="87"/>
      <c r="FE127" s="87"/>
      <c r="FF127" s="203"/>
      <c r="FG127" s="204"/>
      <c r="FH127" s="204"/>
      <c r="FI127" s="204"/>
      <c r="FJ127" s="204"/>
      <c r="FK127" s="204"/>
      <c r="FL127" s="204"/>
      <c r="FM127" s="204"/>
      <c r="FN127" s="158"/>
      <c r="FO127" s="87"/>
      <c r="FP127" s="988"/>
      <c r="FQ127" s="988"/>
      <c r="FR127" s="988"/>
      <c r="FS127" s="988"/>
      <c r="FT127" s="988"/>
      <c r="FU127" s="988"/>
      <c r="FV127" s="988"/>
      <c r="FW127" s="988"/>
      <c r="FX127" s="988"/>
      <c r="FY127" s="87"/>
      <c r="FZ127" s="87"/>
      <c r="GA127" s="87"/>
      <c r="GC127" s="1853"/>
      <c r="GD127" s="1853"/>
      <c r="GE127" s="1853"/>
      <c r="GF127" s="1853"/>
      <c r="GH127" s="1133"/>
    </row>
    <row r="128" spans="1:190" ht="9" customHeight="1" thickBot="1">
      <c r="A128" s="301"/>
      <c r="B128" s="313"/>
      <c r="C128" s="301"/>
      <c r="D128" s="301"/>
      <c r="E128" s="643"/>
      <c r="F128" s="643"/>
      <c r="G128" s="643"/>
      <c r="H128" s="643"/>
      <c r="I128" s="643"/>
      <c r="J128" s="643"/>
      <c r="K128" s="301"/>
      <c r="L128" s="301"/>
      <c r="M128" s="301"/>
      <c r="N128" s="301"/>
      <c r="O128" s="301"/>
      <c r="P128" s="301"/>
      <c r="Q128" s="301"/>
      <c r="R128" s="301"/>
      <c r="S128" s="301"/>
      <c r="T128" s="301"/>
      <c r="U128" s="301"/>
      <c r="V128" s="301"/>
      <c r="W128" s="301"/>
      <c r="X128" s="301"/>
      <c r="Y128" s="301"/>
      <c r="Z128" s="301"/>
      <c r="AA128" s="301"/>
      <c r="AB128" s="301"/>
      <c r="AC128" s="301"/>
      <c r="AD128" s="301"/>
      <c r="AE128" s="301"/>
      <c r="AF128" s="301"/>
      <c r="AG128" s="301"/>
      <c r="AH128" s="301"/>
      <c r="AI128" s="301"/>
      <c r="AJ128" s="301"/>
      <c r="AK128" s="301"/>
      <c r="AL128" s="301"/>
      <c r="AM128" s="301"/>
      <c r="AN128" s="301"/>
      <c r="AO128" s="301"/>
      <c r="AP128" s="301"/>
      <c r="AQ128" s="301"/>
      <c r="AR128" s="301"/>
      <c r="AS128" s="301"/>
      <c r="AT128" s="301"/>
      <c r="AU128" s="301"/>
      <c r="AV128" s="301"/>
      <c r="AW128" s="1087"/>
      <c r="AX128" s="1087"/>
      <c r="AY128" s="1087"/>
      <c r="AZ128" s="1087"/>
      <c r="BA128" s="1087"/>
      <c r="BB128" s="1087"/>
      <c r="BC128" s="1087"/>
      <c r="BD128" s="1087"/>
      <c r="BE128" s="1087"/>
      <c r="BF128" s="405"/>
      <c r="BG128" s="406"/>
      <c r="BH128" s="301"/>
      <c r="BI128" s="405"/>
      <c r="BJ128" s="1205"/>
      <c r="BK128" s="1205"/>
      <c r="BL128" s="1205"/>
      <c r="BM128" s="1205"/>
      <c r="BN128" s="1205"/>
      <c r="BO128" s="1205"/>
      <c r="BP128" s="1205"/>
      <c r="BQ128" s="1205"/>
      <c r="BR128" s="1205"/>
      <c r="BS128" s="1205"/>
      <c r="BT128" s="1205"/>
      <c r="BU128" s="1205"/>
      <c r="BV128" s="1205"/>
      <c r="BW128" s="1205"/>
      <c r="BX128" s="1205"/>
      <c r="BY128" s="1205"/>
      <c r="BZ128" s="1205"/>
      <c r="CA128" s="1205"/>
      <c r="CB128" s="1205"/>
      <c r="CC128" s="1205"/>
      <c r="CD128" s="1205"/>
      <c r="CE128" s="1205"/>
      <c r="CF128" s="1205"/>
      <c r="CG128" s="1205"/>
      <c r="CH128" s="1205"/>
      <c r="CI128" s="1205"/>
      <c r="CJ128" s="1205"/>
      <c r="CK128" s="1205"/>
      <c r="CL128" s="1205"/>
      <c r="CM128" s="1205"/>
      <c r="CN128" s="1205"/>
      <c r="CO128" s="1205"/>
      <c r="CP128" s="1205"/>
      <c r="CQ128" s="1205"/>
      <c r="CR128" s="1205"/>
      <c r="CS128" s="1205"/>
      <c r="CT128" s="301"/>
      <c r="CU128" s="301"/>
      <c r="CV128" s="414"/>
      <c r="CW128" s="414"/>
      <c r="CX128" s="414"/>
      <c r="CY128" s="414"/>
      <c r="CZ128" s="414"/>
      <c r="DA128" s="414"/>
      <c r="DB128" s="414"/>
      <c r="DC128" s="414"/>
      <c r="DD128" s="301"/>
      <c r="DE128" s="301"/>
      <c r="DF128" s="301"/>
      <c r="DG128" s="301"/>
      <c r="DH128" s="301"/>
      <c r="DI128" s="301"/>
      <c r="DJ128" s="301"/>
      <c r="DK128" s="423"/>
      <c r="DL128" s="423"/>
      <c r="DM128" s="423"/>
      <c r="DN128" s="423"/>
      <c r="DO128" s="423"/>
      <c r="DP128" s="423"/>
      <c r="DQ128" s="423"/>
      <c r="DR128" s="423"/>
      <c r="DS128" s="301"/>
      <c r="DT128" s="301"/>
      <c r="DU128" s="301"/>
      <c r="DV128" s="301"/>
      <c r="DW128" s="301"/>
      <c r="DX128" s="301"/>
      <c r="DY128" s="301"/>
      <c r="DZ128" s="301"/>
      <c r="EA128" s="301"/>
      <c r="EB128" s="301"/>
      <c r="EC128" s="301"/>
      <c r="ED128" s="301"/>
      <c r="EE128" s="301"/>
      <c r="EF128" s="430"/>
      <c r="EG128" s="430"/>
      <c r="EH128" s="430"/>
      <c r="EI128" s="430"/>
      <c r="EJ128" s="430"/>
      <c r="EK128" s="425"/>
      <c r="EL128" s="425"/>
      <c r="EM128" s="425"/>
      <c r="EN128" s="425"/>
      <c r="EO128" s="425"/>
      <c r="EP128" s="425"/>
      <c r="EQ128" s="425"/>
      <c r="ER128" s="425"/>
      <c r="ES128" s="425"/>
      <c r="ET128" s="425"/>
      <c r="EU128" s="425"/>
      <c r="EV128" s="425"/>
      <c r="EW128" s="425"/>
      <c r="EX128" s="425"/>
      <c r="EY128" s="425"/>
      <c r="EZ128" s="425"/>
      <c r="FA128" s="384"/>
      <c r="FB128" s="384"/>
      <c r="FC128" s="384"/>
      <c r="FD128" s="384"/>
      <c r="FE128" s="384"/>
      <c r="FF128" s="301"/>
      <c r="FG128" s="301"/>
      <c r="FH128" s="301"/>
      <c r="FI128" s="301"/>
      <c r="FJ128" s="301"/>
      <c r="FK128" s="301"/>
      <c r="FL128" s="301"/>
      <c r="FM128" s="301"/>
      <c r="FN128" s="87"/>
      <c r="FO128" s="87"/>
      <c r="FP128" s="988"/>
      <c r="FQ128" s="988"/>
      <c r="FR128" s="988"/>
      <c r="FS128" s="988"/>
      <c r="FT128" s="988"/>
      <c r="FU128" s="988"/>
      <c r="FV128" s="988"/>
      <c r="FW128" s="988"/>
      <c r="FX128" s="988"/>
      <c r="FY128" s="87"/>
      <c r="FZ128" s="87"/>
      <c r="GA128" s="87"/>
      <c r="GD128" s="714"/>
      <c r="GE128" s="714"/>
      <c r="GF128" s="714"/>
      <c r="GH128" s="1133"/>
    </row>
    <row r="129" spans="1:190" ht="9" customHeight="1" thickBot="1">
      <c r="A129" s="301"/>
      <c r="B129" s="313"/>
      <c r="C129" s="2113" t="str">
        <f>IF(Race="","",IF(NOT(ISERROR(GD129)),MID(EquipmentNameList,GD125+1,GD129-GD125-1),""))</f>
        <v/>
      </c>
      <c r="D129" s="2113"/>
      <c r="E129" s="2113"/>
      <c r="F129" s="2113"/>
      <c r="G129" s="2113"/>
      <c r="H129" s="2113"/>
      <c r="I129" s="2113"/>
      <c r="J129" s="2113"/>
      <c r="K129" s="2113"/>
      <c r="L129" s="2113"/>
      <c r="M129" s="2113"/>
      <c r="N129" s="2113"/>
      <c r="O129" s="2113"/>
      <c r="P129" s="2113"/>
      <c r="Q129" s="2113"/>
      <c r="R129" s="2113"/>
      <c r="S129" s="2113"/>
      <c r="T129" s="2113"/>
      <c r="U129" s="2113"/>
      <c r="V129" s="2113"/>
      <c r="W129" s="2113"/>
      <c r="X129" s="2113"/>
      <c r="Y129" s="2113"/>
      <c r="Z129" s="2113"/>
      <c r="AA129" s="2113"/>
      <c r="AB129" s="2113"/>
      <c r="AC129" s="2113"/>
      <c r="AD129" s="2113"/>
      <c r="AE129" s="2113"/>
      <c r="AF129" s="2113"/>
      <c r="AG129" s="2113"/>
      <c r="AH129" s="2113"/>
      <c r="AI129" s="2113"/>
      <c r="AJ129" s="2113"/>
      <c r="AK129" s="2113"/>
      <c r="AL129" s="2113"/>
      <c r="AM129" s="2113"/>
      <c r="AN129" s="2113"/>
      <c r="AO129" s="2113"/>
      <c r="AP129" s="2113"/>
      <c r="AQ129" s="2113"/>
      <c r="AR129" s="2113"/>
      <c r="AS129" s="2113"/>
      <c r="AT129" s="2113"/>
      <c r="AU129" s="2113"/>
      <c r="AV129" s="2113"/>
      <c r="AW129" s="2115" t="str">
        <f>IF(Race="","",IF(NOT(ISERROR(GE129)),VALUE(MID(EquipmentWeightList,GE125+1,GE129-GE125-1)),""))</f>
        <v/>
      </c>
      <c r="AX129" s="2115"/>
      <c r="AY129" s="2115"/>
      <c r="AZ129" s="2115"/>
      <c r="BA129" s="2115"/>
      <c r="BB129" s="2115"/>
      <c r="BC129" s="2115"/>
      <c r="BD129" s="2115"/>
      <c r="BE129" s="2115"/>
      <c r="BF129" s="405"/>
      <c r="BG129" s="406"/>
      <c r="BH129" s="301"/>
      <c r="BI129" s="405"/>
      <c r="BJ129" s="1205"/>
      <c r="BK129" s="1205"/>
      <c r="BL129" s="1205"/>
      <c r="BM129" s="1205"/>
      <c r="BN129" s="2106" t="s">
        <v>559</v>
      </c>
      <c r="BO129" s="2106"/>
      <c r="BP129" s="2106"/>
      <c r="BQ129" s="2106"/>
      <c r="BR129" s="2106"/>
      <c r="BS129" s="2106"/>
      <c r="BT129" s="2106"/>
      <c r="BU129" s="2106"/>
      <c r="BV129" s="2106"/>
      <c r="BW129" s="2106"/>
      <c r="BX129" s="2106"/>
      <c r="BY129" s="2106"/>
      <c r="BZ129" s="2106"/>
      <c r="CA129" s="2106"/>
      <c r="CB129" s="2106"/>
      <c r="CC129" s="2106"/>
      <c r="CD129" s="2106"/>
      <c r="CE129" s="2106"/>
      <c r="CF129" s="2106"/>
      <c r="CG129" s="2106"/>
      <c r="CH129" s="2106"/>
      <c r="CI129" s="2106"/>
      <c r="CJ129" s="2106"/>
      <c r="CK129" s="2106"/>
      <c r="CL129" s="2106"/>
      <c r="CM129" s="2106"/>
      <c r="CN129" s="2106"/>
      <c r="CO129" s="2106"/>
      <c r="CP129" s="2106"/>
      <c r="CQ129" s="2106"/>
      <c r="CR129" s="2106"/>
      <c r="CS129" s="2106"/>
      <c r="CT129" s="87"/>
      <c r="CU129" s="158" t="e">
        <f>HeroicLvl+ArmourFort</f>
        <v>#NAME?</v>
      </c>
      <c r="CV129" s="411"/>
      <c r="CW129" s="411"/>
      <c r="CX129" s="411"/>
      <c r="CY129" s="411"/>
      <c r="CZ129" s="411"/>
      <c r="DA129" s="411"/>
      <c r="DB129" s="411"/>
      <c r="DC129" s="411"/>
      <c r="DD129" s="160"/>
      <c r="DE129" s="87"/>
      <c r="DF129" s="87"/>
      <c r="DG129" s="87"/>
      <c r="DH129" s="87"/>
      <c r="DI129" s="87"/>
      <c r="DJ129" s="158" t="e">
        <f>HeroicLvl+ArmourFort</f>
        <v>#NAME?</v>
      </c>
      <c r="DK129" s="159"/>
      <c r="DL129" s="159"/>
      <c r="DM129" s="159"/>
      <c r="DN129" s="159"/>
      <c r="DO129" s="159"/>
      <c r="DP129" s="159"/>
      <c r="DQ129" s="159"/>
      <c r="DR129" s="160"/>
      <c r="DS129" s="87"/>
      <c r="DT129" s="87"/>
      <c r="DU129" s="87"/>
      <c r="DV129" s="158"/>
      <c r="DW129" s="159"/>
      <c r="DX129" s="159"/>
      <c r="DY129" s="159"/>
      <c r="DZ129" s="159"/>
      <c r="EA129" s="159"/>
      <c r="EB129" s="159"/>
      <c r="EC129" s="159"/>
      <c r="ED129" s="160"/>
      <c r="EE129" s="87"/>
      <c r="EF129" s="87"/>
      <c r="EG129" s="87"/>
      <c r="EH129" s="158"/>
      <c r="EI129" s="184"/>
      <c r="EJ129" s="184"/>
      <c r="EK129" s="184"/>
      <c r="EL129" s="184"/>
      <c r="EM129" s="184"/>
      <c r="EN129" s="184"/>
      <c r="EO129" s="184"/>
      <c r="EP129" s="160"/>
      <c r="EQ129" s="87"/>
      <c r="ER129" s="87"/>
      <c r="ES129" s="87"/>
      <c r="ET129" s="158"/>
      <c r="EU129" s="1649"/>
      <c r="EV129" s="1649"/>
      <c r="EW129" s="1649"/>
      <c r="EX129" s="1649"/>
      <c r="EY129" s="1649"/>
      <c r="EZ129" s="1649"/>
      <c r="FA129" s="1649"/>
      <c r="FB129" s="160"/>
      <c r="FC129" s="87"/>
      <c r="FD129" s="87"/>
      <c r="FE129" s="87"/>
      <c r="FF129" s="158"/>
      <c r="FG129" s="159"/>
      <c r="FH129" s="159"/>
      <c r="FI129" s="159"/>
      <c r="FJ129" s="159"/>
      <c r="FK129" s="159"/>
      <c r="FL129" s="159"/>
      <c r="FM129" s="159"/>
      <c r="FN129" s="160"/>
      <c r="FO129" s="87"/>
      <c r="FP129" s="988"/>
      <c r="FQ129" s="988"/>
      <c r="FR129" s="988"/>
      <c r="FS129" s="988"/>
      <c r="FT129" s="988"/>
      <c r="FU129" s="988"/>
      <c r="FV129" s="988"/>
      <c r="FW129" s="988"/>
      <c r="FX129" s="988"/>
      <c r="FY129" s="87"/>
      <c r="FZ129" s="87"/>
      <c r="GA129" s="87"/>
      <c r="GC129" s="1853">
        <f>GC125+1</f>
        <v>30</v>
      </c>
      <c r="GD129" s="1853" t="e">
        <f>FIND(";",EquipmentNameList,GD125+1)</f>
        <v>#VALUE!</v>
      </c>
      <c r="GE129" s="1853" t="e">
        <f>FIND(";",EquipmentWeightList,GE125+1)</f>
        <v>#VALUE!</v>
      </c>
      <c r="GF129" s="1853" t="e">
        <f>FIND(";",EquipmentNumberList,GF125+1)</f>
        <v>#VALUE!</v>
      </c>
      <c r="GH129" s="1133"/>
    </row>
    <row r="130" spans="1:190" ht="9" customHeight="1">
      <c r="A130" s="301"/>
      <c r="B130" s="313"/>
      <c r="C130" s="2113"/>
      <c r="D130" s="2113"/>
      <c r="E130" s="2113"/>
      <c r="F130" s="2113"/>
      <c r="G130" s="2113"/>
      <c r="H130" s="2113"/>
      <c r="I130" s="2113"/>
      <c r="J130" s="2113"/>
      <c r="K130" s="2113"/>
      <c r="L130" s="2113"/>
      <c r="M130" s="2113"/>
      <c r="N130" s="2113"/>
      <c r="O130" s="2113"/>
      <c r="P130" s="2113"/>
      <c r="Q130" s="2113"/>
      <c r="R130" s="2113"/>
      <c r="S130" s="2113"/>
      <c r="T130" s="2113"/>
      <c r="U130" s="2113"/>
      <c r="V130" s="2113"/>
      <c r="W130" s="2113"/>
      <c r="X130" s="2113"/>
      <c r="Y130" s="2113"/>
      <c r="Z130" s="2113"/>
      <c r="AA130" s="2113"/>
      <c r="AB130" s="2113"/>
      <c r="AC130" s="2113"/>
      <c r="AD130" s="2113"/>
      <c r="AE130" s="2113"/>
      <c r="AF130" s="2113"/>
      <c r="AG130" s="2113"/>
      <c r="AH130" s="2113"/>
      <c r="AI130" s="2113"/>
      <c r="AJ130" s="2113"/>
      <c r="AK130" s="2113"/>
      <c r="AL130" s="2113"/>
      <c r="AM130" s="2113"/>
      <c r="AN130" s="2113"/>
      <c r="AO130" s="2113"/>
      <c r="AP130" s="2113"/>
      <c r="AQ130" s="2113"/>
      <c r="AR130" s="2113"/>
      <c r="AS130" s="2113"/>
      <c r="AT130" s="2113"/>
      <c r="AU130" s="2113"/>
      <c r="AV130" s="2113"/>
      <c r="AW130" s="2115"/>
      <c r="AX130" s="2115"/>
      <c r="AY130" s="2115"/>
      <c r="AZ130" s="2115"/>
      <c r="BA130" s="2115"/>
      <c r="BB130" s="2115"/>
      <c r="BC130" s="2115"/>
      <c r="BD130" s="2115"/>
      <c r="BE130" s="2115"/>
      <c r="BF130" s="405"/>
      <c r="BG130" s="406"/>
      <c r="BH130" s="301"/>
      <c r="BI130" s="405"/>
      <c r="BJ130" s="1205"/>
      <c r="BK130" s="1205"/>
      <c r="BL130" s="1205"/>
      <c r="BM130" s="1205"/>
      <c r="BN130" s="2106"/>
      <c r="BO130" s="2106"/>
      <c r="BP130" s="2106"/>
      <c r="BQ130" s="2106"/>
      <c r="BR130" s="2106"/>
      <c r="BS130" s="2106"/>
      <c r="BT130" s="2106"/>
      <c r="BU130" s="2106"/>
      <c r="BV130" s="2106"/>
      <c r="BW130" s="2106"/>
      <c r="BX130" s="2106"/>
      <c r="BY130" s="2106"/>
      <c r="BZ130" s="2106"/>
      <c r="CA130" s="2106"/>
      <c r="CB130" s="2106"/>
      <c r="CC130" s="2106"/>
      <c r="CD130" s="2106"/>
      <c r="CE130" s="2106"/>
      <c r="CF130" s="2106"/>
      <c r="CG130" s="2106"/>
      <c r="CH130" s="2106"/>
      <c r="CI130" s="2106"/>
      <c r="CJ130" s="2106"/>
      <c r="CK130" s="2106"/>
      <c r="CL130" s="2106"/>
      <c r="CM130" s="2106"/>
      <c r="CN130" s="2106"/>
      <c r="CO130" s="2106"/>
      <c r="CP130" s="2106"/>
      <c r="CQ130" s="2106"/>
      <c r="CR130" s="2106"/>
      <c r="CS130" s="2106"/>
      <c r="CT130" s="87"/>
      <c r="CU130" s="166"/>
      <c r="CV130" s="2107">
        <f ca="1">Stealth</f>
        <v>0</v>
      </c>
      <c r="CW130" s="2107"/>
      <c r="CX130" s="2107"/>
      <c r="CY130" s="2107"/>
      <c r="CZ130" s="2107"/>
      <c r="DA130" s="2107"/>
      <c r="DB130" s="2107"/>
      <c r="DC130" s="2107"/>
      <c r="DD130" s="167"/>
      <c r="DE130" s="87"/>
      <c r="DF130" s="117"/>
      <c r="DG130" s="117"/>
      <c r="DH130" s="117"/>
      <c r="DI130" s="87"/>
      <c r="DJ130" s="166"/>
      <c r="DK130" s="1991">
        <f>ROUNDDOWN(CharacterLevel/2,0)</f>
        <v>0</v>
      </c>
      <c r="DL130" s="1991"/>
      <c r="DM130" s="1991"/>
      <c r="DN130" s="1991"/>
      <c r="DO130" s="1991"/>
      <c r="DP130" s="1991"/>
      <c r="DQ130" s="1991"/>
      <c r="DR130" s="167"/>
      <c r="DS130" s="87"/>
      <c r="DT130" s="87"/>
      <c r="DU130" s="87"/>
      <c r="DV130" s="166"/>
      <c r="DW130" s="1991" t="str">
        <f>DexMod</f>
        <v/>
      </c>
      <c r="DX130" s="1991"/>
      <c r="DY130" s="1991"/>
      <c r="DZ130" s="1991"/>
      <c r="EA130" s="1991"/>
      <c r="EB130" s="1991"/>
      <c r="EC130" s="1991"/>
      <c r="ED130" s="167"/>
      <c r="EE130" s="87"/>
      <c r="EF130" s="87"/>
      <c r="EG130" s="87"/>
      <c r="EH130" s="166"/>
      <c r="EI130" s="1991" t="str">
        <f>IF(CharacterLevel&gt;0,IF(OR(INDEX(SkillTable,MATCH(BN129,SkillList,0),4)="Yes",INDEX(SkillTable,MATCH(BN129,SkillList,0),5)="Yes"),5,0),"")</f>
        <v/>
      </c>
      <c r="EJ130" s="1991"/>
      <c r="EK130" s="1991"/>
      <c r="EL130" s="1991"/>
      <c r="EM130" s="1991"/>
      <c r="EN130" s="1991"/>
      <c r="EO130" s="1991"/>
      <c r="EP130" s="264"/>
      <c r="EQ130" s="265"/>
      <c r="ER130" s="265"/>
      <c r="ES130" s="265"/>
      <c r="ET130" s="266"/>
      <c r="EU130" s="1991" t="b">
        <f>IF(CharacterLevel&gt;0,IF(Skills!R30="Yes",5,0))</f>
        <v>0</v>
      </c>
      <c r="EV130" s="1991"/>
      <c r="EW130" s="1991"/>
      <c r="EX130" s="1991"/>
      <c r="EY130" s="1991"/>
      <c r="EZ130" s="1991"/>
      <c r="FA130" s="1991"/>
      <c r="FB130" s="167"/>
      <c r="FC130" s="265"/>
      <c r="FD130" s="265"/>
      <c r="FE130" s="265"/>
      <c r="FF130" s="266"/>
      <c r="FG130" s="1991">
        <f>ArmorPenalty+INDEX(SkillTable,MATCH(BN129,SkillList,0),12)</f>
        <v>0</v>
      </c>
      <c r="FH130" s="1991"/>
      <c r="FI130" s="1991"/>
      <c r="FJ130" s="1991"/>
      <c r="FK130" s="1991"/>
      <c r="FL130" s="1991"/>
      <c r="FM130" s="1991"/>
      <c r="FN130" s="167"/>
      <c r="FO130" s="87"/>
      <c r="FP130" s="2124" t="str">
        <f>IF(INDEX(SkillTable,MATCH(BN129,SkillList,0),77)&lt;&gt;"","×","")</f>
        <v/>
      </c>
      <c r="FQ130" s="2125"/>
      <c r="FR130" s="2125"/>
      <c r="FS130" s="2126"/>
      <c r="FT130" s="988"/>
      <c r="FU130" s="2124" t="str">
        <f>IF(INDEX(SkillTable,MATCH(BN129,SkillList,0),78)&lt;&gt;"","×","")</f>
        <v/>
      </c>
      <c r="FV130" s="2125"/>
      <c r="FW130" s="2125"/>
      <c r="FX130" s="2126"/>
      <c r="FY130" s="87"/>
      <c r="FZ130" s="87"/>
      <c r="GA130" s="87"/>
      <c r="GC130" s="1853"/>
      <c r="GD130" s="1853"/>
      <c r="GE130" s="1853"/>
      <c r="GF130" s="1853"/>
      <c r="GH130" s="1135" t="e">
        <f ca="1">IF(INDEX(SkillTable,MATCH(BN129,SkillList,0),14),1,0)</f>
        <v>#VALUE!</v>
      </c>
    </row>
    <row r="131" spans="1:190" ht="9" customHeight="1" thickBot="1">
      <c r="A131" s="301"/>
      <c r="B131" s="313"/>
      <c r="C131" s="2114"/>
      <c r="D131" s="2114"/>
      <c r="E131" s="2114"/>
      <c r="F131" s="2114"/>
      <c r="G131" s="2114"/>
      <c r="H131" s="2114"/>
      <c r="I131" s="2114"/>
      <c r="J131" s="2114"/>
      <c r="K131" s="2114"/>
      <c r="L131" s="2114"/>
      <c r="M131" s="2114"/>
      <c r="N131" s="2114"/>
      <c r="O131" s="2114"/>
      <c r="P131" s="2114"/>
      <c r="Q131" s="2114"/>
      <c r="R131" s="2114"/>
      <c r="S131" s="2114"/>
      <c r="T131" s="2114"/>
      <c r="U131" s="2114"/>
      <c r="V131" s="2114"/>
      <c r="W131" s="2114"/>
      <c r="X131" s="2114"/>
      <c r="Y131" s="2114"/>
      <c r="Z131" s="2114"/>
      <c r="AA131" s="2114"/>
      <c r="AB131" s="2114"/>
      <c r="AC131" s="2114"/>
      <c r="AD131" s="2114"/>
      <c r="AE131" s="2114"/>
      <c r="AF131" s="2114"/>
      <c r="AG131" s="2114"/>
      <c r="AH131" s="2114"/>
      <c r="AI131" s="2114"/>
      <c r="AJ131" s="2114"/>
      <c r="AK131" s="2114"/>
      <c r="AL131" s="2114"/>
      <c r="AM131" s="2114"/>
      <c r="AN131" s="2114"/>
      <c r="AO131" s="2114"/>
      <c r="AP131" s="2114"/>
      <c r="AQ131" s="2114"/>
      <c r="AR131" s="2114"/>
      <c r="AS131" s="2114"/>
      <c r="AT131" s="2114"/>
      <c r="AU131" s="2114"/>
      <c r="AV131" s="2114"/>
      <c r="AW131" s="2116"/>
      <c r="AX131" s="2116"/>
      <c r="AY131" s="2116"/>
      <c r="AZ131" s="2116"/>
      <c r="BA131" s="2116"/>
      <c r="BB131" s="2116"/>
      <c r="BC131" s="2116"/>
      <c r="BD131" s="2116"/>
      <c r="BE131" s="2116"/>
      <c r="BF131" s="405"/>
      <c r="BG131" s="406"/>
      <c r="BH131" s="301"/>
      <c r="BI131" s="405"/>
      <c r="BJ131" s="1205"/>
      <c r="BK131" s="1205"/>
      <c r="BL131" s="1205"/>
      <c r="BM131" s="1205"/>
      <c r="BN131" s="2106"/>
      <c r="BO131" s="2106"/>
      <c r="BP131" s="2106"/>
      <c r="BQ131" s="2106"/>
      <c r="BR131" s="2106"/>
      <c r="BS131" s="2106"/>
      <c r="BT131" s="2106"/>
      <c r="BU131" s="2106"/>
      <c r="BV131" s="2106"/>
      <c r="BW131" s="2106"/>
      <c r="BX131" s="2106"/>
      <c r="BY131" s="2106"/>
      <c r="BZ131" s="2106"/>
      <c r="CA131" s="2106"/>
      <c r="CB131" s="2106"/>
      <c r="CC131" s="2106"/>
      <c r="CD131" s="2106"/>
      <c r="CE131" s="2106"/>
      <c r="CF131" s="2106"/>
      <c r="CG131" s="2106"/>
      <c r="CH131" s="2106"/>
      <c r="CI131" s="2106"/>
      <c r="CJ131" s="2106"/>
      <c r="CK131" s="2106"/>
      <c r="CL131" s="2106"/>
      <c r="CM131" s="2106"/>
      <c r="CN131" s="2106"/>
      <c r="CO131" s="2106"/>
      <c r="CP131" s="2106"/>
      <c r="CQ131" s="2106"/>
      <c r="CR131" s="2106"/>
      <c r="CS131" s="2106"/>
      <c r="CT131" s="87"/>
      <c r="CU131" s="166"/>
      <c r="CV131" s="2107"/>
      <c r="CW131" s="2107"/>
      <c r="CX131" s="2107"/>
      <c r="CY131" s="2107"/>
      <c r="CZ131" s="2107"/>
      <c r="DA131" s="2107"/>
      <c r="DB131" s="2107"/>
      <c r="DC131" s="2107"/>
      <c r="DD131" s="167"/>
      <c r="DE131" s="87"/>
      <c r="DF131" s="87"/>
      <c r="DG131" s="87"/>
      <c r="DH131" s="87"/>
      <c r="DI131" s="87"/>
      <c r="DJ131" s="166"/>
      <c r="DK131" s="1991"/>
      <c r="DL131" s="1991"/>
      <c r="DM131" s="1991"/>
      <c r="DN131" s="1991"/>
      <c r="DO131" s="1991"/>
      <c r="DP131" s="1991"/>
      <c r="DQ131" s="1991"/>
      <c r="DR131" s="167"/>
      <c r="DS131" s="117"/>
      <c r="DT131" s="117"/>
      <c r="DU131" s="117"/>
      <c r="DV131" s="166"/>
      <c r="DW131" s="1991"/>
      <c r="DX131" s="1991"/>
      <c r="DY131" s="1991"/>
      <c r="DZ131" s="1991"/>
      <c r="EA131" s="1991"/>
      <c r="EB131" s="1991"/>
      <c r="EC131" s="1991"/>
      <c r="ED131" s="167"/>
      <c r="EE131" s="117"/>
      <c r="EF131" s="117"/>
      <c r="EG131" s="117"/>
      <c r="EH131" s="166"/>
      <c r="EI131" s="1991"/>
      <c r="EJ131" s="1991"/>
      <c r="EK131" s="1991"/>
      <c r="EL131" s="1991"/>
      <c r="EM131" s="1991"/>
      <c r="EN131" s="1991"/>
      <c r="EO131" s="1991"/>
      <c r="EP131" s="264"/>
      <c r="EQ131" s="117"/>
      <c r="ER131" s="117"/>
      <c r="ES131" s="117"/>
      <c r="ET131" s="266"/>
      <c r="EU131" s="1991"/>
      <c r="EV131" s="1991"/>
      <c r="EW131" s="1991"/>
      <c r="EX131" s="1991"/>
      <c r="EY131" s="1991"/>
      <c r="EZ131" s="1991"/>
      <c r="FA131" s="1991"/>
      <c r="FB131" s="167"/>
      <c r="FC131" s="117"/>
      <c r="FD131" s="117"/>
      <c r="FE131" s="117"/>
      <c r="FF131" s="266"/>
      <c r="FG131" s="1991"/>
      <c r="FH131" s="1991"/>
      <c r="FI131" s="1991"/>
      <c r="FJ131" s="1991"/>
      <c r="FK131" s="1991"/>
      <c r="FL131" s="1991"/>
      <c r="FM131" s="1991"/>
      <c r="FN131" s="167"/>
      <c r="FO131" s="117"/>
      <c r="FP131" s="2127"/>
      <c r="FQ131" s="2081"/>
      <c r="FR131" s="2081"/>
      <c r="FS131" s="2128"/>
      <c r="FT131" s="989"/>
      <c r="FU131" s="2127"/>
      <c r="FV131" s="2081"/>
      <c r="FW131" s="2081"/>
      <c r="FX131" s="2128"/>
      <c r="FY131" s="87"/>
      <c r="FZ131" s="87"/>
      <c r="GA131" s="87"/>
      <c r="GC131" s="1853"/>
      <c r="GD131" s="1853"/>
      <c r="GE131" s="1853"/>
      <c r="GF131" s="1853"/>
      <c r="GH131" s="1133"/>
    </row>
    <row r="132" spans="1:190" ht="9" customHeight="1" thickBot="1">
      <c r="A132" s="301"/>
      <c r="B132" s="313"/>
      <c r="C132" s="301"/>
      <c r="D132" s="301"/>
      <c r="E132" s="643"/>
      <c r="F132" s="643"/>
      <c r="G132" s="643"/>
      <c r="H132" s="643"/>
      <c r="I132" s="643"/>
      <c r="J132" s="643"/>
      <c r="K132" s="301"/>
      <c r="L132" s="301"/>
      <c r="M132" s="301"/>
      <c r="N132" s="301"/>
      <c r="O132" s="301"/>
      <c r="P132" s="301"/>
      <c r="Q132" s="301"/>
      <c r="R132" s="301"/>
      <c r="S132" s="301"/>
      <c r="T132" s="301"/>
      <c r="U132" s="301"/>
      <c r="V132" s="301"/>
      <c r="W132" s="301"/>
      <c r="X132" s="301"/>
      <c r="Y132" s="301"/>
      <c r="Z132" s="301"/>
      <c r="AA132" s="301"/>
      <c r="AB132" s="301"/>
      <c r="AC132" s="301"/>
      <c r="AD132" s="301"/>
      <c r="AE132" s="301"/>
      <c r="AF132" s="301"/>
      <c r="AG132" s="301"/>
      <c r="AH132" s="301"/>
      <c r="AI132" s="301"/>
      <c r="AJ132" s="301"/>
      <c r="AK132" s="301"/>
      <c r="AL132" s="301"/>
      <c r="AM132" s="301"/>
      <c r="AN132" s="301"/>
      <c r="AO132" s="301"/>
      <c r="AP132" s="301"/>
      <c r="AQ132" s="301"/>
      <c r="AR132" s="301"/>
      <c r="AS132" s="301"/>
      <c r="AT132" s="301"/>
      <c r="AU132" s="301"/>
      <c r="AV132" s="301"/>
      <c r="AW132" s="1087"/>
      <c r="AX132" s="1087"/>
      <c r="AY132" s="1087"/>
      <c r="AZ132" s="1087"/>
      <c r="BA132" s="1087"/>
      <c r="BB132" s="1087"/>
      <c r="BC132" s="1087"/>
      <c r="BD132" s="1087"/>
      <c r="BE132" s="1087"/>
      <c r="BF132" s="405"/>
      <c r="BG132" s="406"/>
      <c r="BH132" s="301"/>
      <c r="BI132" s="405"/>
      <c r="BJ132" s="1205"/>
      <c r="BK132" s="1205"/>
      <c r="BL132" s="1205"/>
      <c r="BM132" s="1205"/>
      <c r="BN132" s="2106"/>
      <c r="BO132" s="2106"/>
      <c r="BP132" s="2106"/>
      <c r="BQ132" s="2106"/>
      <c r="BR132" s="2106"/>
      <c r="BS132" s="2106"/>
      <c r="BT132" s="2106"/>
      <c r="BU132" s="2106"/>
      <c r="BV132" s="2106"/>
      <c r="BW132" s="2106"/>
      <c r="BX132" s="2106"/>
      <c r="BY132" s="2106"/>
      <c r="BZ132" s="2106"/>
      <c r="CA132" s="2106"/>
      <c r="CB132" s="2106"/>
      <c r="CC132" s="2106"/>
      <c r="CD132" s="2106"/>
      <c r="CE132" s="2106"/>
      <c r="CF132" s="2106"/>
      <c r="CG132" s="2106"/>
      <c r="CH132" s="2106"/>
      <c r="CI132" s="2106"/>
      <c r="CJ132" s="2106"/>
      <c r="CK132" s="2106"/>
      <c r="CL132" s="2106"/>
      <c r="CM132" s="2106"/>
      <c r="CN132" s="2106"/>
      <c r="CO132" s="2106"/>
      <c r="CP132" s="2106"/>
      <c r="CQ132" s="2106"/>
      <c r="CR132" s="2106"/>
      <c r="CS132" s="2106"/>
      <c r="CT132" s="87"/>
      <c r="CU132" s="166"/>
      <c r="CV132" s="2107"/>
      <c r="CW132" s="2107"/>
      <c r="CX132" s="2107"/>
      <c r="CY132" s="2107"/>
      <c r="CZ132" s="2107"/>
      <c r="DA132" s="2107"/>
      <c r="DB132" s="2107"/>
      <c r="DC132" s="2107"/>
      <c r="DD132" s="167"/>
      <c r="DE132" s="87"/>
      <c r="DF132" s="117"/>
      <c r="DG132" s="117"/>
      <c r="DH132" s="117"/>
      <c r="DI132" s="87"/>
      <c r="DJ132" s="166"/>
      <c r="DK132" s="1991"/>
      <c r="DL132" s="1991"/>
      <c r="DM132" s="1991"/>
      <c r="DN132" s="1991"/>
      <c r="DO132" s="1991"/>
      <c r="DP132" s="1991"/>
      <c r="DQ132" s="1991"/>
      <c r="DR132" s="167"/>
      <c r="DS132" s="87"/>
      <c r="DT132" s="87"/>
      <c r="DU132" s="87"/>
      <c r="DV132" s="166"/>
      <c r="DW132" s="1991"/>
      <c r="DX132" s="1991"/>
      <c r="DY132" s="1991"/>
      <c r="DZ132" s="1991"/>
      <c r="EA132" s="1991"/>
      <c r="EB132" s="1991"/>
      <c r="EC132" s="1991"/>
      <c r="ED132" s="167"/>
      <c r="EE132" s="87"/>
      <c r="EF132" s="87"/>
      <c r="EG132" s="87"/>
      <c r="EH132" s="166"/>
      <c r="EI132" s="1991"/>
      <c r="EJ132" s="1991"/>
      <c r="EK132" s="1991"/>
      <c r="EL132" s="1991"/>
      <c r="EM132" s="1991"/>
      <c r="EN132" s="1991"/>
      <c r="EO132" s="1991"/>
      <c r="EP132" s="264"/>
      <c r="EQ132" s="87"/>
      <c r="ER132" s="87"/>
      <c r="ES132" s="87"/>
      <c r="ET132" s="266"/>
      <c r="EU132" s="1991"/>
      <c r="EV132" s="1991"/>
      <c r="EW132" s="1991"/>
      <c r="EX132" s="1991"/>
      <c r="EY132" s="1991"/>
      <c r="EZ132" s="1991"/>
      <c r="FA132" s="1991"/>
      <c r="FB132" s="167"/>
      <c r="FC132" s="87"/>
      <c r="FD132" s="87"/>
      <c r="FE132" s="87"/>
      <c r="FF132" s="266"/>
      <c r="FG132" s="1991"/>
      <c r="FH132" s="1991"/>
      <c r="FI132" s="1991"/>
      <c r="FJ132" s="1991"/>
      <c r="FK132" s="1991"/>
      <c r="FL132" s="1991"/>
      <c r="FM132" s="1991"/>
      <c r="FN132" s="167"/>
      <c r="FO132" s="87"/>
      <c r="FP132" s="2129"/>
      <c r="FQ132" s="2130"/>
      <c r="FR132" s="2130"/>
      <c r="FS132" s="2131"/>
      <c r="FT132" s="988"/>
      <c r="FU132" s="2129"/>
      <c r="FV132" s="2130"/>
      <c r="FW132" s="2130"/>
      <c r="FX132" s="2131"/>
      <c r="FY132" s="87"/>
      <c r="FZ132" s="87"/>
      <c r="GA132" s="87"/>
      <c r="GD132" s="714"/>
      <c r="GE132" s="714"/>
      <c r="GF132" s="714"/>
      <c r="GH132" s="1133"/>
    </row>
    <row r="133" spans="1:190" ht="9" customHeight="1" thickBot="1">
      <c r="A133" s="301"/>
      <c r="B133" s="313"/>
      <c r="C133" s="2113" t="str">
        <f>IF(Race="","",IF(NOT(ISERROR(GD133)),MID(EquipmentNameList,GD129+1,GD133-GD129-1),""))</f>
        <v/>
      </c>
      <c r="D133" s="2113"/>
      <c r="E133" s="2113"/>
      <c r="F133" s="2113"/>
      <c r="G133" s="2113"/>
      <c r="H133" s="2113"/>
      <c r="I133" s="2113"/>
      <c r="J133" s="2113"/>
      <c r="K133" s="2113"/>
      <c r="L133" s="2113"/>
      <c r="M133" s="2113"/>
      <c r="N133" s="2113"/>
      <c r="O133" s="2113"/>
      <c r="P133" s="2113"/>
      <c r="Q133" s="2113"/>
      <c r="R133" s="2113"/>
      <c r="S133" s="2113"/>
      <c r="T133" s="2113"/>
      <c r="U133" s="2113"/>
      <c r="V133" s="2113"/>
      <c r="W133" s="2113"/>
      <c r="X133" s="2113"/>
      <c r="Y133" s="2113"/>
      <c r="Z133" s="2113"/>
      <c r="AA133" s="2113"/>
      <c r="AB133" s="2113"/>
      <c r="AC133" s="2113"/>
      <c r="AD133" s="2113"/>
      <c r="AE133" s="2113"/>
      <c r="AF133" s="2113"/>
      <c r="AG133" s="2113"/>
      <c r="AH133" s="2113"/>
      <c r="AI133" s="2113"/>
      <c r="AJ133" s="2113"/>
      <c r="AK133" s="2113"/>
      <c r="AL133" s="2113"/>
      <c r="AM133" s="2113"/>
      <c r="AN133" s="2113"/>
      <c r="AO133" s="2113"/>
      <c r="AP133" s="2113"/>
      <c r="AQ133" s="2113"/>
      <c r="AR133" s="2113"/>
      <c r="AS133" s="2113"/>
      <c r="AT133" s="2113"/>
      <c r="AU133" s="2113"/>
      <c r="AV133" s="2113"/>
      <c r="AW133" s="2115" t="str">
        <f>IF(Race="","",IF(NOT(ISERROR(GE133)),VALUE(MID(EquipmentWeightList,GE129+1,GE133-GE129-1)),""))</f>
        <v/>
      </c>
      <c r="AX133" s="2115"/>
      <c r="AY133" s="2115"/>
      <c r="AZ133" s="2115"/>
      <c r="BA133" s="2115"/>
      <c r="BB133" s="2115"/>
      <c r="BC133" s="2115"/>
      <c r="BD133" s="2115"/>
      <c r="BE133" s="2115"/>
      <c r="BF133" s="405"/>
      <c r="BG133" s="406"/>
      <c r="BH133" s="301"/>
      <c r="BI133" s="405"/>
      <c r="BJ133" s="1205"/>
      <c r="BK133" s="1205"/>
      <c r="BL133" s="1205"/>
      <c r="BM133" s="1205"/>
      <c r="BN133" s="2106"/>
      <c r="BO133" s="2106"/>
      <c r="BP133" s="2106"/>
      <c r="BQ133" s="2106"/>
      <c r="BR133" s="2106"/>
      <c r="BS133" s="2106"/>
      <c r="BT133" s="2106"/>
      <c r="BU133" s="2106"/>
      <c r="BV133" s="2106"/>
      <c r="BW133" s="2106"/>
      <c r="BX133" s="2106"/>
      <c r="BY133" s="2106"/>
      <c r="BZ133" s="2106"/>
      <c r="CA133" s="2106"/>
      <c r="CB133" s="2106"/>
      <c r="CC133" s="2106"/>
      <c r="CD133" s="2106"/>
      <c r="CE133" s="2106"/>
      <c r="CF133" s="2106"/>
      <c r="CG133" s="2106"/>
      <c r="CH133" s="2106"/>
      <c r="CI133" s="2106"/>
      <c r="CJ133" s="2106"/>
      <c r="CK133" s="2106"/>
      <c r="CL133" s="2106"/>
      <c r="CM133" s="2106"/>
      <c r="CN133" s="2106"/>
      <c r="CO133" s="2106"/>
      <c r="CP133" s="2106"/>
      <c r="CQ133" s="2106"/>
      <c r="CR133" s="2106"/>
      <c r="CS133" s="2106"/>
      <c r="CT133" s="87"/>
      <c r="CU133" s="160"/>
      <c r="CV133" s="409"/>
      <c r="CW133" s="409"/>
      <c r="CX133" s="409"/>
      <c r="CY133" s="409"/>
      <c r="CZ133" s="409"/>
      <c r="DA133" s="409"/>
      <c r="DB133" s="409"/>
      <c r="DC133" s="409"/>
      <c r="DD133" s="158"/>
      <c r="DE133" s="87"/>
      <c r="DF133" s="87"/>
      <c r="DG133" s="87"/>
      <c r="DH133" s="87"/>
      <c r="DI133" s="87"/>
      <c r="DJ133" s="160"/>
      <c r="DK133" s="240"/>
      <c r="DL133" s="240"/>
      <c r="DM133" s="240"/>
      <c r="DN133" s="240"/>
      <c r="DO133" s="240"/>
      <c r="DP133" s="240"/>
      <c r="DQ133" s="240"/>
      <c r="DR133" s="158"/>
      <c r="DS133" s="87"/>
      <c r="DT133" s="87"/>
      <c r="DU133" s="87"/>
      <c r="DV133" s="160"/>
      <c r="DW133" s="240"/>
      <c r="DX133" s="240"/>
      <c r="DY133" s="240"/>
      <c r="DZ133" s="240"/>
      <c r="EA133" s="240"/>
      <c r="EB133" s="240"/>
      <c r="EC133" s="240"/>
      <c r="ED133" s="158"/>
      <c r="EE133" s="87"/>
      <c r="EF133" s="87"/>
      <c r="EG133" s="87"/>
      <c r="EH133" s="160"/>
      <c r="EI133" s="204"/>
      <c r="EJ133" s="204"/>
      <c r="EK133" s="204"/>
      <c r="EL133" s="204"/>
      <c r="EM133" s="204"/>
      <c r="EN133" s="204"/>
      <c r="EO133" s="204"/>
      <c r="EP133" s="274"/>
      <c r="EQ133" s="87"/>
      <c r="ER133" s="87"/>
      <c r="ES133" s="87"/>
      <c r="ET133" s="203"/>
      <c r="EU133" s="204"/>
      <c r="EV133" s="204"/>
      <c r="EW133" s="204"/>
      <c r="EX133" s="204"/>
      <c r="EY133" s="204"/>
      <c r="EZ133" s="204"/>
      <c r="FA133" s="204"/>
      <c r="FB133" s="158"/>
      <c r="FC133" s="87"/>
      <c r="FD133" s="87"/>
      <c r="FE133" s="87"/>
      <c r="FF133" s="203"/>
      <c r="FG133" s="204"/>
      <c r="FH133" s="204"/>
      <c r="FI133" s="204"/>
      <c r="FJ133" s="204"/>
      <c r="FK133" s="204"/>
      <c r="FL133" s="204"/>
      <c r="FM133" s="204"/>
      <c r="FN133" s="158"/>
      <c r="FO133" s="87"/>
      <c r="FP133" s="988"/>
      <c r="FQ133" s="988"/>
      <c r="FR133" s="988"/>
      <c r="FS133" s="988"/>
      <c r="FT133" s="988"/>
      <c r="FU133" s="988"/>
      <c r="FV133" s="988"/>
      <c r="FW133" s="988"/>
      <c r="FX133" s="988"/>
      <c r="FY133" s="87"/>
      <c r="FZ133" s="87"/>
      <c r="GA133" s="87"/>
      <c r="GC133" s="1853">
        <f>GC129+1</f>
        <v>31</v>
      </c>
      <c r="GD133" s="1853" t="e">
        <f>FIND(";",EquipmentNameList,GD129+1)</f>
        <v>#VALUE!</v>
      </c>
      <c r="GE133" s="1853" t="e">
        <f>FIND(";",EquipmentWeightList,GE129+1)</f>
        <v>#VALUE!</v>
      </c>
      <c r="GF133" s="1853" t="e">
        <f>FIND(";",EquipmentNumberList,GF129+1)</f>
        <v>#VALUE!</v>
      </c>
      <c r="GH133" s="1133"/>
    </row>
    <row r="134" spans="1:190" ht="9" customHeight="1" thickBot="1">
      <c r="A134" s="301"/>
      <c r="B134" s="313"/>
      <c r="C134" s="2113"/>
      <c r="D134" s="2113"/>
      <c r="E134" s="2113"/>
      <c r="F134" s="2113"/>
      <c r="G134" s="2113"/>
      <c r="H134" s="2113"/>
      <c r="I134" s="2113"/>
      <c r="J134" s="2113"/>
      <c r="K134" s="2113"/>
      <c r="L134" s="2113"/>
      <c r="M134" s="2113"/>
      <c r="N134" s="2113"/>
      <c r="O134" s="2113"/>
      <c r="P134" s="2113"/>
      <c r="Q134" s="2113"/>
      <c r="R134" s="2113"/>
      <c r="S134" s="2113"/>
      <c r="T134" s="2113"/>
      <c r="U134" s="2113"/>
      <c r="V134" s="2113"/>
      <c r="W134" s="2113"/>
      <c r="X134" s="2113"/>
      <c r="Y134" s="2113"/>
      <c r="Z134" s="2113"/>
      <c r="AA134" s="2113"/>
      <c r="AB134" s="2113"/>
      <c r="AC134" s="2113"/>
      <c r="AD134" s="2113"/>
      <c r="AE134" s="2113"/>
      <c r="AF134" s="2113"/>
      <c r="AG134" s="2113"/>
      <c r="AH134" s="2113"/>
      <c r="AI134" s="2113"/>
      <c r="AJ134" s="2113"/>
      <c r="AK134" s="2113"/>
      <c r="AL134" s="2113"/>
      <c r="AM134" s="2113"/>
      <c r="AN134" s="2113"/>
      <c r="AO134" s="2113"/>
      <c r="AP134" s="2113"/>
      <c r="AQ134" s="2113"/>
      <c r="AR134" s="2113"/>
      <c r="AS134" s="2113"/>
      <c r="AT134" s="2113"/>
      <c r="AU134" s="2113"/>
      <c r="AV134" s="2113"/>
      <c r="AW134" s="2115"/>
      <c r="AX134" s="2115"/>
      <c r="AY134" s="2115"/>
      <c r="AZ134" s="2115"/>
      <c r="BA134" s="2115"/>
      <c r="BB134" s="2115"/>
      <c r="BC134" s="2115"/>
      <c r="BD134" s="2115"/>
      <c r="BE134" s="2115"/>
      <c r="BF134" s="405"/>
      <c r="BG134" s="406"/>
      <c r="BH134" s="301"/>
      <c r="BI134" s="405"/>
      <c r="BJ134" s="1205"/>
      <c r="BK134" s="1205"/>
      <c r="BL134" s="1205"/>
      <c r="BM134" s="1205"/>
      <c r="BN134" s="1222"/>
      <c r="BO134" s="1222"/>
      <c r="BP134" s="1222"/>
      <c r="BQ134" s="1222"/>
      <c r="BR134" s="1222"/>
      <c r="BS134" s="1222"/>
      <c r="BT134" s="1222"/>
      <c r="BU134" s="1222"/>
      <c r="BV134" s="1222"/>
      <c r="BW134" s="1222"/>
      <c r="BX134" s="1222"/>
      <c r="BY134" s="1222"/>
      <c r="BZ134" s="1222"/>
      <c r="CA134" s="1222"/>
      <c r="CB134" s="1222"/>
      <c r="CC134" s="1222"/>
      <c r="CD134" s="1222"/>
      <c r="CE134" s="1205"/>
      <c r="CF134" s="1205"/>
      <c r="CG134" s="1205"/>
      <c r="CH134" s="1222"/>
      <c r="CI134" s="1222"/>
      <c r="CJ134" s="1222"/>
      <c r="CK134" s="1222"/>
      <c r="CL134" s="1222"/>
      <c r="CM134" s="1222"/>
      <c r="CN134" s="1222"/>
      <c r="CO134" s="1222"/>
      <c r="CP134" s="1222"/>
      <c r="CQ134" s="1222"/>
      <c r="CR134" s="1205"/>
      <c r="CS134" s="1205"/>
      <c r="CT134" s="301"/>
      <c r="CU134" s="434"/>
      <c r="CV134" s="435"/>
      <c r="CW134" s="435"/>
      <c r="CX134" s="435"/>
      <c r="CY134" s="435"/>
      <c r="CZ134" s="435"/>
      <c r="DA134" s="435"/>
      <c r="DB134" s="435"/>
      <c r="DC134" s="435"/>
      <c r="DD134" s="434"/>
      <c r="DE134" s="301"/>
      <c r="DF134" s="301"/>
      <c r="DG134" s="301"/>
      <c r="DH134" s="301"/>
      <c r="DI134" s="301"/>
      <c r="DJ134" s="301"/>
      <c r="DK134" s="423"/>
      <c r="DL134" s="424"/>
      <c r="DM134" s="424"/>
      <c r="DN134" s="424"/>
      <c r="DO134" s="424"/>
      <c r="DP134" s="424"/>
      <c r="DQ134" s="424"/>
      <c r="DR134" s="424"/>
      <c r="DS134" s="301"/>
      <c r="DT134" s="301"/>
      <c r="DU134" s="301"/>
      <c r="DV134" s="301"/>
      <c r="DW134" s="301"/>
      <c r="DX134" s="301"/>
      <c r="DY134" s="301"/>
      <c r="DZ134" s="301"/>
      <c r="EA134" s="301"/>
      <c r="EB134" s="301"/>
      <c r="EC134" s="301"/>
      <c r="ED134" s="301"/>
      <c r="EE134" s="436"/>
      <c r="EF134" s="436"/>
      <c r="EG134" s="436"/>
      <c r="EH134" s="436"/>
      <c r="EI134" s="436"/>
      <c r="EJ134" s="436"/>
      <c r="EK134" s="436"/>
      <c r="EL134" s="436"/>
      <c r="EM134" s="436"/>
      <c r="EN134" s="436"/>
      <c r="EO134" s="436"/>
      <c r="EP134" s="436"/>
      <c r="EQ134" s="425"/>
      <c r="ER134" s="425"/>
      <c r="ES134" s="425"/>
      <c r="ET134" s="425"/>
      <c r="EU134" s="425"/>
      <c r="EV134" s="425"/>
      <c r="EW134" s="425"/>
      <c r="EX134" s="425"/>
      <c r="EY134" s="425"/>
      <c r="EZ134" s="425"/>
      <c r="FA134" s="301"/>
      <c r="FB134" s="301"/>
      <c r="FC134" s="301"/>
      <c r="FD134" s="301"/>
      <c r="FE134" s="301"/>
      <c r="FF134" s="301"/>
      <c r="FG134" s="301"/>
      <c r="FH134" s="301"/>
      <c r="FI134" s="301"/>
      <c r="FJ134" s="301"/>
      <c r="FK134" s="301"/>
      <c r="FL134" s="301"/>
      <c r="FM134" s="301"/>
      <c r="FN134" s="87"/>
      <c r="FO134" s="87"/>
      <c r="FP134" s="988"/>
      <c r="FQ134" s="988"/>
      <c r="FR134" s="988"/>
      <c r="FS134" s="988"/>
      <c r="FT134" s="988"/>
      <c r="FU134" s="988"/>
      <c r="FV134" s="988"/>
      <c r="FW134" s="988"/>
      <c r="FX134" s="988"/>
      <c r="FY134" s="87"/>
      <c r="FZ134" s="87"/>
      <c r="GA134" s="87"/>
      <c r="GC134" s="1853"/>
      <c r="GD134" s="1853"/>
      <c r="GE134" s="1853"/>
      <c r="GF134" s="1853"/>
      <c r="GH134" s="1133"/>
    </row>
    <row r="135" spans="1:190" ht="9" customHeight="1" thickBot="1">
      <c r="A135" s="301"/>
      <c r="B135" s="313"/>
      <c r="C135" s="2114"/>
      <c r="D135" s="2114"/>
      <c r="E135" s="2114"/>
      <c r="F135" s="2114"/>
      <c r="G135" s="2114"/>
      <c r="H135" s="2114"/>
      <c r="I135" s="2114"/>
      <c r="J135" s="2114"/>
      <c r="K135" s="2114"/>
      <c r="L135" s="2114"/>
      <c r="M135" s="2114"/>
      <c r="N135" s="2114"/>
      <c r="O135" s="2114"/>
      <c r="P135" s="2114"/>
      <c r="Q135" s="2114"/>
      <c r="R135" s="2114"/>
      <c r="S135" s="2114"/>
      <c r="T135" s="2114"/>
      <c r="U135" s="2114"/>
      <c r="V135" s="2114"/>
      <c r="W135" s="2114"/>
      <c r="X135" s="2114"/>
      <c r="Y135" s="2114"/>
      <c r="Z135" s="2114"/>
      <c r="AA135" s="2114"/>
      <c r="AB135" s="2114"/>
      <c r="AC135" s="2114"/>
      <c r="AD135" s="2114"/>
      <c r="AE135" s="2114"/>
      <c r="AF135" s="2114"/>
      <c r="AG135" s="2114"/>
      <c r="AH135" s="2114"/>
      <c r="AI135" s="2114"/>
      <c r="AJ135" s="2114"/>
      <c r="AK135" s="2114"/>
      <c r="AL135" s="2114"/>
      <c r="AM135" s="2114"/>
      <c r="AN135" s="2114"/>
      <c r="AO135" s="2114"/>
      <c r="AP135" s="2114"/>
      <c r="AQ135" s="2114"/>
      <c r="AR135" s="2114"/>
      <c r="AS135" s="2114"/>
      <c r="AT135" s="2114"/>
      <c r="AU135" s="2114"/>
      <c r="AV135" s="2114"/>
      <c r="AW135" s="2116"/>
      <c r="AX135" s="2116"/>
      <c r="AY135" s="2116"/>
      <c r="AZ135" s="2116"/>
      <c r="BA135" s="2116"/>
      <c r="BB135" s="2116"/>
      <c r="BC135" s="2116"/>
      <c r="BD135" s="2116"/>
      <c r="BE135" s="2116"/>
      <c r="BF135" s="405"/>
      <c r="BG135" s="406"/>
      <c r="BH135" s="301"/>
      <c r="BI135" s="405"/>
      <c r="BJ135" s="1205"/>
      <c r="BK135" s="1205"/>
      <c r="BL135" s="1205"/>
      <c r="BM135" s="1205"/>
      <c r="BN135" s="2106" t="s">
        <v>795</v>
      </c>
      <c r="BO135" s="2106"/>
      <c r="BP135" s="2106"/>
      <c r="BQ135" s="2106"/>
      <c r="BR135" s="2106"/>
      <c r="BS135" s="2106"/>
      <c r="BT135" s="2106"/>
      <c r="BU135" s="2106"/>
      <c r="BV135" s="2106"/>
      <c r="BW135" s="2106"/>
      <c r="BX135" s="2106"/>
      <c r="BY135" s="2106"/>
      <c r="BZ135" s="2106"/>
      <c r="CA135" s="2106"/>
      <c r="CB135" s="2106"/>
      <c r="CC135" s="2106"/>
      <c r="CD135" s="2106"/>
      <c r="CE135" s="2106"/>
      <c r="CF135" s="2106"/>
      <c r="CG135" s="2106"/>
      <c r="CH135" s="2106"/>
      <c r="CI135" s="2106"/>
      <c r="CJ135" s="2106"/>
      <c r="CK135" s="2106"/>
      <c r="CL135" s="2106"/>
      <c r="CM135" s="2106"/>
      <c r="CN135" s="2106"/>
      <c r="CO135" s="2106"/>
      <c r="CP135" s="2106"/>
      <c r="CQ135" s="2106"/>
      <c r="CR135" s="2106"/>
      <c r="CS135" s="2106"/>
      <c r="CT135" s="87"/>
      <c r="CU135" s="158" t="e">
        <f>HeroicLvl+ArmourFort</f>
        <v>#NAME?</v>
      </c>
      <c r="CV135" s="411"/>
      <c r="CW135" s="411"/>
      <c r="CX135" s="411"/>
      <c r="CY135" s="411"/>
      <c r="CZ135" s="411"/>
      <c r="DA135" s="411"/>
      <c r="DB135" s="411"/>
      <c r="DC135" s="411"/>
      <c r="DD135" s="160"/>
      <c r="DE135" s="87"/>
      <c r="DF135" s="87"/>
      <c r="DG135" s="87"/>
      <c r="DH135" s="87"/>
      <c r="DI135" s="87"/>
      <c r="DJ135" s="158" t="e">
        <f>HeroicLvl+ArmourFort</f>
        <v>#NAME?</v>
      </c>
      <c r="DK135" s="159"/>
      <c r="DL135" s="159"/>
      <c r="DM135" s="159"/>
      <c r="DN135" s="159"/>
      <c r="DO135" s="159"/>
      <c r="DP135" s="159"/>
      <c r="DQ135" s="159"/>
      <c r="DR135" s="160"/>
      <c r="DS135" s="87"/>
      <c r="DT135" s="87"/>
      <c r="DU135" s="87"/>
      <c r="DV135" s="158"/>
      <c r="DW135" s="159"/>
      <c r="DX135" s="159"/>
      <c r="DY135" s="159"/>
      <c r="DZ135" s="159"/>
      <c r="EA135" s="159"/>
      <c r="EB135" s="159"/>
      <c r="EC135" s="159"/>
      <c r="ED135" s="160"/>
      <c r="EE135" s="87"/>
      <c r="EF135" s="87"/>
      <c r="EG135" s="87"/>
      <c r="EH135" s="158"/>
      <c r="EI135" s="184"/>
      <c r="EJ135" s="184"/>
      <c r="EK135" s="184"/>
      <c r="EL135" s="184"/>
      <c r="EM135" s="184"/>
      <c r="EN135" s="184"/>
      <c r="EO135" s="184"/>
      <c r="EP135" s="160"/>
      <c r="EQ135" s="87"/>
      <c r="ER135" s="87"/>
      <c r="ES135" s="87"/>
      <c r="ET135" s="158"/>
      <c r="EU135" s="1649"/>
      <c r="EV135" s="1649"/>
      <c r="EW135" s="1649"/>
      <c r="EX135" s="1649"/>
      <c r="EY135" s="1649"/>
      <c r="EZ135" s="1649"/>
      <c r="FA135" s="1649"/>
      <c r="FB135" s="160"/>
      <c r="FC135" s="87"/>
      <c r="FD135" s="87"/>
      <c r="FE135" s="87"/>
      <c r="FF135" s="158"/>
      <c r="FG135" s="159"/>
      <c r="FH135" s="159"/>
      <c r="FI135" s="159"/>
      <c r="FJ135" s="159"/>
      <c r="FK135" s="159"/>
      <c r="FL135" s="159"/>
      <c r="FM135" s="159"/>
      <c r="FN135" s="160"/>
      <c r="FO135" s="87"/>
      <c r="FP135" s="988"/>
      <c r="FQ135" s="988"/>
      <c r="FR135" s="988"/>
      <c r="FS135" s="988"/>
      <c r="FT135" s="988"/>
      <c r="FU135" s="988"/>
      <c r="FV135" s="988"/>
      <c r="FW135" s="988"/>
      <c r="FX135" s="988"/>
      <c r="FY135" s="87"/>
      <c r="FZ135" s="87"/>
      <c r="GA135" s="87"/>
      <c r="GC135" s="1853"/>
      <c r="GD135" s="1853"/>
      <c r="GE135" s="1853"/>
      <c r="GF135" s="1853"/>
      <c r="GH135" s="1133"/>
    </row>
    <row r="136" spans="1:190" ht="9" customHeight="1">
      <c r="A136" s="301"/>
      <c r="B136" s="313"/>
      <c r="C136" s="301"/>
      <c r="D136" s="301"/>
      <c r="E136" s="643"/>
      <c r="F136" s="643"/>
      <c r="G136" s="643"/>
      <c r="H136" s="643"/>
      <c r="I136" s="643"/>
      <c r="J136" s="643"/>
      <c r="K136" s="301"/>
      <c r="L136" s="301"/>
      <c r="M136" s="301"/>
      <c r="N136" s="301"/>
      <c r="O136" s="301"/>
      <c r="P136" s="301"/>
      <c r="Q136" s="301"/>
      <c r="R136" s="301"/>
      <c r="S136" s="301"/>
      <c r="T136" s="301"/>
      <c r="U136" s="301"/>
      <c r="V136" s="301"/>
      <c r="W136" s="301"/>
      <c r="X136" s="301"/>
      <c r="Y136" s="301"/>
      <c r="Z136" s="301"/>
      <c r="AA136" s="301"/>
      <c r="AB136" s="301"/>
      <c r="AC136" s="301"/>
      <c r="AD136" s="301"/>
      <c r="AE136" s="301"/>
      <c r="AF136" s="301"/>
      <c r="AG136" s="301"/>
      <c r="AH136" s="301"/>
      <c r="AI136" s="301"/>
      <c r="AJ136" s="301"/>
      <c r="AK136" s="301"/>
      <c r="AL136" s="301"/>
      <c r="AM136" s="301"/>
      <c r="AN136" s="301"/>
      <c r="AO136" s="301"/>
      <c r="AP136" s="301"/>
      <c r="AQ136" s="301"/>
      <c r="AR136" s="301"/>
      <c r="AS136" s="301"/>
      <c r="AT136" s="301"/>
      <c r="AU136" s="301"/>
      <c r="AV136" s="301"/>
      <c r="AW136" s="1087"/>
      <c r="AX136" s="1087"/>
      <c r="AY136" s="1087"/>
      <c r="AZ136" s="1087"/>
      <c r="BA136" s="1087"/>
      <c r="BB136" s="1087"/>
      <c r="BC136" s="1087"/>
      <c r="BD136" s="1087"/>
      <c r="BE136" s="1087"/>
      <c r="BF136" s="405"/>
      <c r="BG136" s="406"/>
      <c r="BH136" s="301"/>
      <c r="BI136" s="405"/>
      <c r="BJ136" s="1205"/>
      <c r="BK136" s="1205"/>
      <c r="BL136" s="1205"/>
      <c r="BM136" s="1205"/>
      <c r="BN136" s="2106"/>
      <c r="BO136" s="2106"/>
      <c r="BP136" s="2106"/>
      <c r="BQ136" s="2106"/>
      <c r="BR136" s="2106"/>
      <c r="BS136" s="2106"/>
      <c r="BT136" s="2106"/>
      <c r="BU136" s="2106"/>
      <c r="BV136" s="2106"/>
      <c r="BW136" s="2106"/>
      <c r="BX136" s="2106"/>
      <c r="BY136" s="2106"/>
      <c r="BZ136" s="2106"/>
      <c r="CA136" s="2106"/>
      <c r="CB136" s="2106"/>
      <c r="CC136" s="2106"/>
      <c r="CD136" s="2106"/>
      <c r="CE136" s="2106"/>
      <c r="CF136" s="2106"/>
      <c r="CG136" s="2106"/>
      <c r="CH136" s="2106"/>
      <c r="CI136" s="2106"/>
      <c r="CJ136" s="2106"/>
      <c r="CK136" s="2106"/>
      <c r="CL136" s="2106"/>
      <c r="CM136" s="2106"/>
      <c r="CN136" s="2106"/>
      <c r="CO136" s="2106"/>
      <c r="CP136" s="2106"/>
      <c r="CQ136" s="2106"/>
      <c r="CR136" s="2106"/>
      <c r="CS136" s="2106"/>
      <c r="CT136" s="87"/>
      <c r="CU136" s="166"/>
      <c r="CV136" s="2107">
        <f ca="1">Survival</f>
        <v>0</v>
      </c>
      <c r="CW136" s="2107"/>
      <c r="CX136" s="2107"/>
      <c r="CY136" s="2107"/>
      <c r="CZ136" s="2107"/>
      <c r="DA136" s="2107"/>
      <c r="DB136" s="2107"/>
      <c r="DC136" s="2107"/>
      <c r="DD136" s="167"/>
      <c r="DE136" s="87"/>
      <c r="DF136" s="117"/>
      <c r="DG136" s="117"/>
      <c r="DH136" s="117"/>
      <c r="DI136" s="87"/>
      <c r="DJ136" s="166"/>
      <c r="DK136" s="1991">
        <f>ROUNDDOWN(CharacterLevel/2,0)</f>
        <v>0</v>
      </c>
      <c r="DL136" s="1991"/>
      <c r="DM136" s="1991"/>
      <c r="DN136" s="1991"/>
      <c r="DO136" s="1991"/>
      <c r="DP136" s="1991"/>
      <c r="DQ136" s="1991"/>
      <c r="DR136" s="167"/>
      <c r="DS136" s="87"/>
      <c r="DT136" s="87"/>
      <c r="DU136" s="87"/>
      <c r="DV136" s="166"/>
      <c r="DW136" s="1991" t="str">
        <f>WisMod</f>
        <v/>
      </c>
      <c r="DX136" s="1991"/>
      <c r="DY136" s="1991"/>
      <c r="DZ136" s="1991"/>
      <c r="EA136" s="1991"/>
      <c r="EB136" s="1991"/>
      <c r="EC136" s="1991"/>
      <c r="ED136" s="167"/>
      <c r="EE136" s="87"/>
      <c r="EF136" s="87"/>
      <c r="EG136" s="87"/>
      <c r="EH136" s="166"/>
      <c r="EI136" s="1991" t="str">
        <f>IF(CharacterLevel&gt;0,IF(OR(INDEX(SkillTable,MATCH(BN135,SkillList,0),4)="Yes",INDEX(SkillTable,MATCH(BN135,SkillList,0),5)="Yes"),5,0),"")</f>
        <v/>
      </c>
      <c r="EJ136" s="1991"/>
      <c r="EK136" s="1991"/>
      <c r="EL136" s="1991"/>
      <c r="EM136" s="1991"/>
      <c r="EN136" s="1991"/>
      <c r="EO136" s="1991"/>
      <c r="EP136" s="264"/>
      <c r="EQ136" s="265"/>
      <c r="ER136" s="265"/>
      <c r="ES136" s="265"/>
      <c r="ET136" s="266"/>
      <c r="EU136" s="1991" t="b">
        <f>IF(CharacterLevel&gt;0,IF(Skills!R31="Yes",5,0))</f>
        <v>0</v>
      </c>
      <c r="EV136" s="1991"/>
      <c r="EW136" s="1991"/>
      <c r="EX136" s="1991"/>
      <c r="EY136" s="1991"/>
      <c r="EZ136" s="1991"/>
      <c r="FA136" s="1991"/>
      <c r="FB136" s="167"/>
      <c r="FC136" s="265"/>
      <c r="FD136" s="265"/>
      <c r="FE136" s="265"/>
      <c r="FF136" s="266"/>
      <c r="FG136" s="1991">
        <f>ArmorPenalty+INDEX(SkillTable,MATCH(BN135,SkillList,0),12)</f>
        <v>0</v>
      </c>
      <c r="FH136" s="1991"/>
      <c r="FI136" s="1991"/>
      <c r="FJ136" s="1991"/>
      <c r="FK136" s="1991"/>
      <c r="FL136" s="1991"/>
      <c r="FM136" s="1991"/>
      <c r="FN136" s="167"/>
      <c r="FO136" s="87"/>
      <c r="FP136" s="2124" t="str">
        <f>IF(INDEX(SkillTable,MATCH(BN135,SkillList,0),77)&lt;&gt;"","×","")</f>
        <v/>
      </c>
      <c r="FQ136" s="2125"/>
      <c r="FR136" s="2125"/>
      <c r="FS136" s="2126"/>
      <c r="FT136" s="988"/>
      <c r="FU136" s="2124" t="str">
        <f>IF(INDEX(SkillTable,MATCH(BN135,SkillList,0),78)&lt;&gt;"","×","")</f>
        <v/>
      </c>
      <c r="FV136" s="2125"/>
      <c r="FW136" s="2125"/>
      <c r="FX136" s="2126"/>
      <c r="FY136" s="87"/>
      <c r="FZ136" s="87"/>
      <c r="GA136" s="87"/>
      <c r="GF136" s="714"/>
      <c r="GH136" s="1135" t="e">
        <f ca="1">IF(INDEX(SkillTable,MATCH(BN135,SkillList,0),14),1,0)</f>
        <v>#VALUE!</v>
      </c>
    </row>
    <row r="137" spans="1:190" ht="9" customHeight="1">
      <c r="A137" s="301"/>
      <c r="B137" s="313"/>
      <c r="C137" s="2113" t="str">
        <f>IF(Race="","",IF(NOT(ISERROR(GD137)),MID(EquipmentNameList,GD133+1,GD137-GD133-1),""))</f>
        <v/>
      </c>
      <c r="D137" s="2113"/>
      <c r="E137" s="2113"/>
      <c r="F137" s="2113"/>
      <c r="G137" s="2113"/>
      <c r="H137" s="2113"/>
      <c r="I137" s="2113"/>
      <c r="J137" s="2113"/>
      <c r="K137" s="2113"/>
      <c r="L137" s="2113"/>
      <c r="M137" s="2113"/>
      <c r="N137" s="2113"/>
      <c r="O137" s="2113"/>
      <c r="P137" s="2113"/>
      <c r="Q137" s="2113"/>
      <c r="R137" s="2113"/>
      <c r="S137" s="2113"/>
      <c r="T137" s="2113"/>
      <c r="U137" s="2113"/>
      <c r="V137" s="2113"/>
      <c r="W137" s="2113"/>
      <c r="X137" s="2113"/>
      <c r="Y137" s="2113"/>
      <c r="Z137" s="2113"/>
      <c r="AA137" s="2113"/>
      <c r="AB137" s="2113"/>
      <c r="AC137" s="2113"/>
      <c r="AD137" s="2113"/>
      <c r="AE137" s="2113"/>
      <c r="AF137" s="2113"/>
      <c r="AG137" s="2113"/>
      <c r="AH137" s="2113"/>
      <c r="AI137" s="2113"/>
      <c r="AJ137" s="2113"/>
      <c r="AK137" s="2113"/>
      <c r="AL137" s="2113"/>
      <c r="AM137" s="2113"/>
      <c r="AN137" s="2113"/>
      <c r="AO137" s="2113"/>
      <c r="AP137" s="2113"/>
      <c r="AQ137" s="2113"/>
      <c r="AR137" s="2113"/>
      <c r="AS137" s="2113"/>
      <c r="AT137" s="2113"/>
      <c r="AU137" s="2113"/>
      <c r="AV137" s="2113"/>
      <c r="AW137" s="2115" t="str">
        <f>IF(Race="","",IF(NOT(ISERROR(GE137)),VALUE(MID(EquipmentWeightList,GE133+1,GE137-GE133-1)),""))</f>
        <v/>
      </c>
      <c r="AX137" s="2115"/>
      <c r="AY137" s="2115"/>
      <c r="AZ137" s="2115"/>
      <c r="BA137" s="2115"/>
      <c r="BB137" s="2115"/>
      <c r="BC137" s="2115"/>
      <c r="BD137" s="2115"/>
      <c r="BE137" s="2115"/>
      <c r="BF137" s="405"/>
      <c r="BG137" s="406"/>
      <c r="BH137" s="301"/>
      <c r="BI137" s="405"/>
      <c r="BJ137" s="1205"/>
      <c r="BK137" s="1205"/>
      <c r="BL137" s="1205"/>
      <c r="BM137" s="1205"/>
      <c r="BN137" s="2106"/>
      <c r="BO137" s="2106"/>
      <c r="BP137" s="2106"/>
      <c r="BQ137" s="2106"/>
      <c r="BR137" s="2106"/>
      <c r="BS137" s="2106"/>
      <c r="BT137" s="2106"/>
      <c r="BU137" s="2106"/>
      <c r="BV137" s="2106"/>
      <c r="BW137" s="2106"/>
      <c r="BX137" s="2106"/>
      <c r="BY137" s="2106"/>
      <c r="BZ137" s="2106"/>
      <c r="CA137" s="2106"/>
      <c r="CB137" s="2106"/>
      <c r="CC137" s="2106"/>
      <c r="CD137" s="2106"/>
      <c r="CE137" s="2106"/>
      <c r="CF137" s="2106"/>
      <c r="CG137" s="2106"/>
      <c r="CH137" s="2106"/>
      <c r="CI137" s="2106"/>
      <c r="CJ137" s="2106"/>
      <c r="CK137" s="2106"/>
      <c r="CL137" s="2106"/>
      <c r="CM137" s="2106"/>
      <c r="CN137" s="2106"/>
      <c r="CO137" s="2106"/>
      <c r="CP137" s="2106"/>
      <c r="CQ137" s="2106"/>
      <c r="CR137" s="2106"/>
      <c r="CS137" s="2106"/>
      <c r="CT137" s="87"/>
      <c r="CU137" s="166"/>
      <c r="CV137" s="2107"/>
      <c r="CW137" s="2107"/>
      <c r="CX137" s="2107"/>
      <c r="CY137" s="2107"/>
      <c r="CZ137" s="2107"/>
      <c r="DA137" s="2107"/>
      <c r="DB137" s="2107"/>
      <c r="DC137" s="2107"/>
      <c r="DD137" s="167"/>
      <c r="DE137" s="87"/>
      <c r="DF137" s="87"/>
      <c r="DG137" s="87"/>
      <c r="DH137" s="87"/>
      <c r="DI137" s="87"/>
      <c r="DJ137" s="166"/>
      <c r="DK137" s="1991"/>
      <c r="DL137" s="1991"/>
      <c r="DM137" s="1991"/>
      <c r="DN137" s="1991"/>
      <c r="DO137" s="1991"/>
      <c r="DP137" s="1991"/>
      <c r="DQ137" s="1991"/>
      <c r="DR137" s="167"/>
      <c r="DS137" s="117"/>
      <c r="DT137" s="117"/>
      <c r="DU137" s="117"/>
      <c r="DV137" s="166"/>
      <c r="DW137" s="1991"/>
      <c r="DX137" s="1991"/>
      <c r="DY137" s="1991"/>
      <c r="DZ137" s="1991"/>
      <c r="EA137" s="1991"/>
      <c r="EB137" s="1991"/>
      <c r="EC137" s="1991"/>
      <c r="ED137" s="167"/>
      <c r="EE137" s="117"/>
      <c r="EF137" s="117"/>
      <c r="EG137" s="117"/>
      <c r="EH137" s="166"/>
      <c r="EI137" s="1991"/>
      <c r="EJ137" s="1991"/>
      <c r="EK137" s="1991"/>
      <c r="EL137" s="1991"/>
      <c r="EM137" s="1991"/>
      <c r="EN137" s="1991"/>
      <c r="EO137" s="1991"/>
      <c r="EP137" s="264"/>
      <c r="EQ137" s="117"/>
      <c r="ER137" s="117"/>
      <c r="ES137" s="117"/>
      <c r="ET137" s="266"/>
      <c r="EU137" s="1991"/>
      <c r="EV137" s="1991"/>
      <c r="EW137" s="1991"/>
      <c r="EX137" s="1991"/>
      <c r="EY137" s="1991"/>
      <c r="EZ137" s="1991"/>
      <c r="FA137" s="1991"/>
      <c r="FB137" s="167"/>
      <c r="FC137" s="117"/>
      <c r="FD137" s="117"/>
      <c r="FE137" s="117"/>
      <c r="FF137" s="266"/>
      <c r="FG137" s="1991"/>
      <c r="FH137" s="1991"/>
      <c r="FI137" s="1991"/>
      <c r="FJ137" s="1991"/>
      <c r="FK137" s="1991"/>
      <c r="FL137" s="1991"/>
      <c r="FM137" s="1991"/>
      <c r="FN137" s="167"/>
      <c r="FO137" s="117"/>
      <c r="FP137" s="2127"/>
      <c r="FQ137" s="2081"/>
      <c r="FR137" s="2081"/>
      <c r="FS137" s="2128"/>
      <c r="FT137" s="989"/>
      <c r="FU137" s="2127"/>
      <c r="FV137" s="2081"/>
      <c r="FW137" s="2081"/>
      <c r="FX137" s="2128"/>
      <c r="FY137" s="87"/>
      <c r="FZ137" s="87"/>
      <c r="GA137" s="87"/>
      <c r="GC137" s="1853">
        <f>GC133+1</f>
        <v>32</v>
      </c>
      <c r="GD137" s="1853" t="e">
        <f>FIND(";",EquipmentNameList,GD133+1)</f>
        <v>#VALUE!</v>
      </c>
      <c r="GE137" s="1853" t="e">
        <f>FIND(";",EquipmentWeightList,GE133+1)</f>
        <v>#VALUE!</v>
      </c>
      <c r="GF137" s="1853" t="e">
        <f>FIND(";",EquipmentNumberList,GF133+1)</f>
        <v>#VALUE!</v>
      </c>
      <c r="GH137" s="1133"/>
    </row>
    <row r="138" spans="1:190" ht="9" customHeight="1" thickBot="1">
      <c r="A138" s="301"/>
      <c r="B138" s="313"/>
      <c r="C138" s="2113"/>
      <c r="D138" s="2113"/>
      <c r="E138" s="2113"/>
      <c r="F138" s="2113"/>
      <c r="G138" s="2113"/>
      <c r="H138" s="2113"/>
      <c r="I138" s="2113"/>
      <c r="J138" s="2113"/>
      <c r="K138" s="2113"/>
      <c r="L138" s="2113"/>
      <c r="M138" s="2113"/>
      <c r="N138" s="2113"/>
      <c r="O138" s="2113"/>
      <c r="P138" s="2113"/>
      <c r="Q138" s="2113"/>
      <c r="R138" s="2113"/>
      <c r="S138" s="2113"/>
      <c r="T138" s="2113"/>
      <c r="U138" s="2113"/>
      <c r="V138" s="2113"/>
      <c r="W138" s="2113"/>
      <c r="X138" s="2113"/>
      <c r="Y138" s="2113"/>
      <c r="Z138" s="2113"/>
      <c r="AA138" s="2113"/>
      <c r="AB138" s="2113"/>
      <c r="AC138" s="2113"/>
      <c r="AD138" s="2113"/>
      <c r="AE138" s="2113"/>
      <c r="AF138" s="2113"/>
      <c r="AG138" s="2113"/>
      <c r="AH138" s="2113"/>
      <c r="AI138" s="2113"/>
      <c r="AJ138" s="2113"/>
      <c r="AK138" s="2113"/>
      <c r="AL138" s="2113"/>
      <c r="AM138" s="2113"/>
      <c r="AN138" s="2113"/>
      <c r="AO138" s="2113"/>
      <c r="AP138" s="2113"/>
      <c r="AQ138" s="2113"/>
      <c r="AR138" s="2113"/>
      <c r="AS138" s="2113"/>
      <c r="AT138" s="2113"/>
      <c r="AU138" s="2113"/>
      <c r="AV138" s="2113"/>
      <c r="AW138" s="2115"/>
      <c r="AX138" s="2115"/>
      <c r="AY138" s="2115"/>
      <c r="AZ138" s="2115"/>
      <c r="BA138" s="2115"/>
      <c r="BB138" s="2115"/>
      <c r="BC138" s="2115"/>
      <c r="BD138" s="2115"/>
      <c r="BE138" s="2115"/>
      <c r="BF138" s="405"/>
      <c r="BG138" s="406"/>
      <c r="BH138" s="301"/>
      <c r="BI138" s="405"/>
      <c r="BJ138" s="1205"/>
      <c r="BK138" s="1205"/>
      <c r="BL138" s="1205"/>
      <c r="BM138" s="1205"/>
      <c r="BN138" s="2106"/>
      <c r="BO138" s="2106"/>
      <c r="BP138" s="2106"/>
      <c r="BQ138" s="2106"/>
      <c r="BR138" s="2106"/>
      <c r="BS138" s="2106"/>
      <c r="BT138" s="2106"/>
      <c r="BU138" s="2106"/>
      <c r="BV138" s="2106"/>
      <c r="BW138" s="2106"/>
      <c r="BX138" s="2106"/>
      <c r="BY138" s="2106"/>
      <c r="BZ138" s="2106"/>
      <c r="CA138" s="2106"/>
      <c r="CB138" s="2106"/>
      <c r="CC138" s="2106"/>
      <c r="CD138" s="2106"/>
      <c r="CE138" s="2106"/>
      <c r="CF138" s="2106"/>
      <c r="CG138" s="2106"/>
      <c r="CH138" s="2106"/>
      <c r="CI138" s="2106"/>
      <c r="CJ138" s="2106"/>
      <c r="CK138" s="2106"/>
      <c r="CL138" s="2106"/>
      <c r="CM138" s="2106"/>
      <c r="CN138" s="2106"/>
      <c r="CO138" s="2106"/>
      <c r="CP138" s="2106"/>
      <c r="CQ138" s="2106"/>
      <c r="CR138" s="2106"/>
      <c r="CS138" s="2106"/>
      <c r="CT138" s="87"/>
      <c r="CU138" s="166"/>
      <c r="CV138" s="2107"/>
      <c r="CW138" s="2107"/>
      <c r="CX138" s="2107"/>
      <c r="CY138" s="2107"/>
      <c r="CZ138" s="2107"/>
      <c r="DA138" s="2107"/>
      <c r="DB138" s="2107"/>
      <c r="DC138" s="2107"/>
      <c r="DD138" s="167"/>
      <c r="DE138" s="87"/>
      <c r="DF138" s="117"/>
      <c r="DG138" s="117"/>
      <c r="DH138" s="117"/>
      <c r="DI138" s="87"/>
      <c r="DJ138" s="166"/>
      <c r="DK138" s="1991"/>
      <c r="DL138" s="1991"/>
      <c r="DM138" s="1991"/>
      <c r="DN138" s="1991"/>
      <c r="DO138" s="1991"/>
      <c r="DP138" s="1991"/>
      <c r="DQ138" s="1991"/>
      <c r="DR138" s="167"/>
      <c r="DS138" s="87"/>
      <c r="DT138" s="87"/>
      <c r="DU138" s="87"/>
      <c r="DV138" s="166"/>
      <c r="DW138" s="1991"/>
      <c r="DX138" s="1991"/>
      <c r="DY138" s="1991"/>
      <c r="DZ138" s="1991"/>
      <c r="EA138" s="1991"/>
      <c r="EB138" s="1991"/>
      <c r="EC138" s="1991"/>
      <c r="ED138" s="167"/>
      <c r="EE138" s="87"/>
      <c r="EF138" s="87"/>
      <c r="EG138" s="87"/>
      <c r="EH138" s="166"/>
      <c r="EI138" s="1991"/>
      <c r="EJ138" s="1991"/>
      <c r="EK138" s="1991"/>
      <c r="EL138" s="1991"/>
      <c r="EM138" s="1991"/>
      <c r="EN138" s="1991"/>
      <c r="EO138" s="1991"/>
      <c r="EP138" s="264"/>
      <c r="EQ138" s="87"/>
      <c r="ER138" s="87"/>
      <c r="ES138" s="87"/>
      <c r="ET138" s="266"/>
      <c r="EU138" s="1991"/>
      <c r="EV138" s="1991"/>
      <c r="EW138" s="1991"/>
      <c r="EX138" s="1991"/>
      <c r="EY138" s="1991"/>
      <c r="EZ138" s="1991"/>
      <c r="FA138" s="1991"/>
      <c r="FB138" s="167"/>
      <c r="FC138" s="87"/>
      <c r="FD138" s="87"/>
      <c r="FE138" s="87"/>
      <c r="FF138" s="266"/>
      <c r="FG138" s="1991"/>
      <c r="FH138" s="1991"/>
      <c r="FI138" s="1991"/>
      <c r="FJ138" s="1991"/>
      <c r="FK138" s="1991"/>
      <c r="FL138" s="1991"/>
      <c r="FM138" s="1991"/>
      <c r="FN138" s="167"/>
      <c r="FO138" s="87"/>
      <c r="FP138" s="2129"/>
      <c r="FQ138" s="2130"/>
      <c r="FR138" s="2130"/>
      <c r="FS138" s="2131"/>
      <c r="FT138" s="988"/>
      <c r="FU138" s="2129"/>
      <c r="FV138" s="2130"/>
      <c r="FW138" s="2130"/>
      <c r="FX138" s="2131"/>
      <c r="FY138" s="87"/>
      <c r="FZ138" s="87"/>
      <c r="GA138" s="87"/>
      <c r="GC138" s="1853"/>
      <c r="GD138" s="1853"/>
      <c r="GE138" s="1853"/>
      <c r="GF138" s="1853"/>
      <c r="GH138" s="1133"/>
    </row>
    <row r="139" spans="1:190" ht="9" customHeight="1" thickBot="1">
      <c r="A139" s="301"/>
      <c r="B139" s="313"/>
      <c r="C139" s="2114"/>
      <c r="D139" s="2114"/>
      <c r="E139" s="2114"/>
      <c r="F139" s="2114"/>
      <c r="G139" s="2114"/>
      <c r="H139" s="2114"/>
      <c r="I139" s="2114"/>
      <c r="J139" s="2114"/>
      <c r="K139" s="2114"/>
      <c r="L139" s="2114"/>
      <c r="M139" s="2114"/>
      <c r="N139" s="2114"/>
      <c r="O139" s="2114"/>
      <c r="P139" s="2114"/>
      <c r="Q139" s="2114"/>
      <c r="R139" s="2114"/>
      <c r="S139" s="2114"/>
      <c r="T139" s="2114"/>
      <c r="U139" s="2114"/>
      <c r="V139" s="2114"/>
      <c r="W139" s="2114"/>
      <c r="X139" s="2114"/>
      <c r="Y139" s="2114"/>
      <c r="Z139" s="2114"/>
      <c r="AA139" s="2114"/>
      <c r="AB139" s="2114"/>
      <c r="AC139" s="2114"/>
      <c r="AD139" s="2114"/>
      <c r="AE139" s="2114"/>
      <c r="AF139" s="2114"/>
      <c r="AG139" s="2114"/>
      <c r="AH139" s="2114"/>
      <c r="AI139" s="2114"/>
      <c r="AJ139" s="2114"/>
      <c r="AK139" s="2114"/>
      <c r="AL139" s="2114"/>
      <c r="AM139" s="2114"/>
      <c r="AN139" s="2114"/>
      <c r="AO139" s="2114"/>
      <c r="AP139" s="2114"/>
      <c r="AQ139" s="2114"/>
      <c r="AR139" s="2114"/>
      <c r="AS139" s="2114"/>
      <c r="AT139" s="2114"/>
      <c r="AU139" s="2114"/>
      <c r="AV139" s="2114"/>
      <c r="AW139" s="2116"/>
      <c r="AX139" s="2116"/>
      <c r="AY139" s="2116"/>
      <c r="AZ139" s="2116"/>
      <c r="BA139" s="2116"/>
      <c r="BB139" s="2116"/>
      <c r="BC139" s="2116"/>
      <c r="BD139" s="2116"/>
      <c r="BE139" s="2116"/>
      <c r="BF139" s="405"/>
      <c r="BG139" s="406"/>
      <c r="BH139" s="301"/>
      <c r="BI139" s="405"/>
      <c r="BJ139" s="1205"/>
      <c r="BK139" s="1205"/>
      <c r="BL139" s="1205"/>
      <c r="BM139" s="1205"/>
      <c r="BN139" s="2106"/>
      <c r="BO139" s="2106"/>
      <c r="BP139" s="2106"/>
      <c r="BQ139" s="2106"/>
      <c r="BR139" s="2106"/>
      <c r="BS139" s="2106"/>
      <c r="BT139" s="2106"/>
      <c r="BU139" s="2106"/>
      <c r="BV139" s="2106"/>
      <c r="BW139" s="2106"/>
      <c r="BX139" s="2106"/>
      <c r="BY139" s="2106"/>
      <c r="BZ139" s="2106"/>
      <c r="CA139" s="2106"/>
      <c r="CB139" s="2106"/>
      <c r="CC139" s="2106"/>
      <c r="CD139" s="2106"/>
      <c r="CE139" s="2106"/>
      <c r="CF139" s="2106"/>
      <c r="CG139" s="2106"/>
      <c r="CH139" s="2106"/>
      <c r="CI139" s="2106"/>
      <c r="CJ139" s="2106"/>
      <c r="CK139" s="2106"/>
      <c r="CL139" s="2106"/>
      <c r="CM139" s="2106"/>
      <c r="CN139" s="2106"/>
      <c r="CO139" s="2106"/>
      <c r="CP139" s="2106"/>
      <c r="CQ139" s="2106"/>
      <c r="CR139" s="2106"/>
      <c r="CS139" s="2106"/>
      <c r="CT139" s="87"/>
      <c r="CU139" s="160"/>
      <c r="CV139" s="409"/>
      <c r="CW139" s="409"/>
      <c r="CX139" s="409"/>
      <c r="CY139" s="409"/>
      <c r="CZ139" s="409"/>
      <c r="DA139" s="409"/>
      <c r="DB139" s="409"/>
      <c r="DC139" s="409"/>
      <c r="DD139" s="158"/>
      <c r="DE139" s="87"/>
      <c r="DF139" s="87"/>
      <c r="DG139" s="87"/>
      <c r="DH139" s="87"/>
      <c r="DI139" s="87"/>
      <c r="DJ139" s="160"/>
      <c r="DK139" s="240"/>
      <c r="DL139" s="240"/>
      <c r="DM139" s="240"/>
      <c r="DN139" s="240"/>
      <c r="DO139" s="240"/>
      <c r="DP139" s="240"/>
      <c r="DQ139" s="240"/>
      <c r="DR139" s="158"/>
      <c r="DS139" s="87"/>
      <c r="DT139" s="87"/>
      <c r="DU139" s="87"/>
      <c r="DV139" s="160"/>
      <c r="DW139" s="240"/>
      <c r="DX139" s="240"/>
      <c r="DY139" s="240"/>
      <c r="DZ139" s="240"/>
      <c r="EA139" s="240"/>
      <c r="EB139" s="240"/>
      <c r="EC139" s="240"/>
      <c r="ED139" s="158"/>
      <c r="EE139" s="87"/>
      <c r="EF139" s="87"/>
      <c r="EG139" s="87"/>
      <c r="EH139" s="160"/>
      <c r="EI139" s="204"/>
      <c r="EJ139" s="204"/>
      <c r="EK139" s="204"/>
      <c r="EL139" s="204"/>
      <c r="EM139" s="204"/>
      <c r="EN139" s="204"/>
      <c r="EO139" s="204"/>
      <c r="EP139" s="274"/>
      <c r="EQ139" s="87"/>
      <c r="ER139" s="87"/>
      <c r="ES139" s="87"/>
      <c r="ET139" s="203"/>
      <c r="EU139" s="204"/>
      <c r="EV139" s="204"/>
      <c r="EW139" s="204"/>
      <c r="EX139" s="204"/>
      <c r="EY139" s="204"/>
      <c r="EZ139" s="204"/>
      <c r="FA139" s="204"/>
      <c r="FB139" s="158"/>
      <c r="FC139" s="87"/>
      <c r="FD139" s="87"/>
      <c r="FE139" s="87"/>
      <c r="FF139" s="203"/>
      <c r="FG139" s="204"/>
      <c r="FH139" s="204"/>
      <c r="FI139" s="204"/>
      <c r="FJ139" s="204"/>
      <c r="FK139" s="204"/>
      <c r="FL139" s="204"/>
      <c r="FM139" s="204"/>
      <c r="FN139" s="158"/>
      <c r="FO139" s="87"/>
      <c r="FP139" s="988"/>
      <c r="FQ139" s="988"/>
      <c r="FR139" s="988"/>
      <c r="FS139" s="988"/>
      <c r="FT139" s="988"/>
      <c r="FU139" s="988"/>
      <c r="FV139" s="988"/>
      <c r="FW139" s="988"/>
      <c r="FX139" s="988"/>
      <c r="FY139" s="87"/>
      <c r="FZ139" s="87"/>
      <c r="GA139" s="87"/>
      <c r="GC139" s="1853"/>
      <c r="GD139" s="1853"/>
      <c r="GE139" s="1853"/>
      <c r="GF139" s="1853"/>
      <c r="GH139" s="1133"/>
    </row>
    <row r="140" spans="1:190" ht="9" customHeight="1" thickBot="1">
      <c r="A140" s="301"/>
      <c r="B140" s="313"/>
      <c r="C140" s="301"/>
      <c r="D140" s="301"/>
      <c r="E140" s="643"/>
      <c r="F140" s="643"/>
      <c r="G140" s="643"/>
      <c r="H140" s="643"/>
      <c r="I140" s="643"/>
      <c r="J140" s="643"/>
      <c r="K140" s="301"/>
      <c r="L140" s="301"/>
      <c r="M140" s="301"/>
      <c r="N140" s="301"/>
      <c r="O140" s="301"/>
      <c r="P140" s="301"/>
      <c r="Q140" s="301"/>
      <c r="R140" s="301"/>
      <c r="S140" s="301"/>
      <c r="T140" s="301"/>
      <c r="U140" s="301"/>
      <c r="V140" s="301"/>
      <c r="W140" s="301"/>
      <c r="X140" s="301"/>
      <c r="Y140" s="301"/>
      <c r="Z140" s="301"/>
      <c r="AA140" s="301"/>
      <c r="AB140" s="301"/>
      <c r="AC140" s="301"/>
      <c r="AD140" s="301"/>
      <c r="AE140" s="301"/>
      <c r="AF140" s="301"/>
      <c r="AG140" s="301"/>
      <c r="AH140" s="301"/>
      <c r="AI140" s="301"/>
      <c r="AJ140" s="301"/>
      <c r="AK140" s="301"/>
      <c r="AL140" s="301"/>
      <c r="AM140" s="301"/>
      <c r="AN140" s="301"/>
      <c r="AO140" s="301"/>
      <c r="AP140" s="301"/>
      <c r="AQ140" s="301"/>
      <c r="AR140" s="301"/>
      <c r="AS140" s="301"/>
      <c r="AT140" s="301"/>
      <c r="AU140" s="301"/>
      <c r="AV140" s="301"/>
      <c r="AW140" s="1087"/>
      <c r="AX140" s="1087"/>
      <c r="AY140" s="1087"/>
      <c r="AZ140" s="1087"/>
      <c r="BA140" s="1087"/>
      <c r="BB140" s="1087"/>
      <c r="BC140" s="1087"/>
      <c r="BD140" s="1087"/>
      <c r="BE140" s="1087"/>
      <c r="BF140" s="405"/>
      <c r="BG140" s="406"/>
      <c r="BH140" s="301"/>
      <c r="BI140" s="405"/>
      <c r="BJ140" s="1205"/>
      <c r="BK140" s="1205"/>
      <c r="BL140" s="1205"/>
      <c r="BM140" s="1205"/>
      <c r="BN140" s="1205"/>
      <c r="BO140" s="1205"/>
      <c r="BP140" s="1205"/>
      <c r="BQ140" s="1205"/>
      <c r="BR140" s="1205"/>
      <c r="BS140" s="1205"/>
      <c r="BT140" s="1205"/>
      <c r="BU140" s="1205"/>
      <c r="BV140" s="1205"/>
      <c r="BW140" s="1205"/>
      <c r="BX140" s="1205"/>
      <c r="BY140" s="1205"/>
      <c r="BZ140" s="1205"/>
      <c r="CA140" s="1205"/>
      <c r="CB140" s="1205"/>
      <c r="CC140" s="1205"/>
      <c r="CD140" s="1205"/>
      <c r="CE140" s="1205"/>
      <c r="CF140" s="1205"/>
      <c r="CG140" s="1205"/>
      <c r="CH140" s="1205"/>
      <c r="CI140" s="1223"/>
      <c r="CJ140" s="1223"/>
      <c r="CK140" s="1223"/>
      <c r="CL140" s="1223"/>
      <c r="CM140" s="1223"/>
      <c r="CN140" s="1223"/>
      <c r="CO140" s="1223"/>
      <c r="CP140" s="1223"/>
      <c r="CQ140" s="1223"/>
      <c r="CR140" s="1205"/>
      <c r="CS140" s="1205"/>
      <c r="CT140" s="301"/>
      <c r="CU140" s="423"/>
      <c r="CV140" s="414"/>
      <c r="CW140" s="414"/>
      <c r="CX140" s="414"/>
      <c r="CY140" s="414"/>
      <c r="CZ140" s="414"/>
      <c r="DA140" s="414"/>
      <c r="DB140" s="414"/>
      <c r="DC140" s="414"/>
      <c r="DD140" s="301"/>
      <c r="DE140" s="301"/>
      <c r="DF140" s="301"/>
      <c r="DG140" s="301"/>
      <c r="DH140" s="301"/>
      <c r="DI140" s="301"/>
      <c r="DJ140" s="301"/>
      <c r="DK140" s="301"/>
      <c r="DL140" s="426"/>
      <c r="DM140" s="426"/>
      <c r="DN140" s="426"/>
      <c r="DO140" s="426"/>
      <c r="DP140" s="426"/>
      <c r="DQ140" s="426"/>
      <c r="DR140" s="426"/>
      <c r="DS140" s="426"/>
      <c r="DT140" s="426"/>
      <c r="DU140" s="426"/>
      <c r="DV140" s="426"/>
      <c r="DW140" s="426"/>
      <c r="DX140" s="426"/>
      <c r="DY140" s="426"/>
      <c r="DZ140" s="301"/>
      <c r="EA140" s="301"/>
      <c r="EB140" s="301"/>
      <c r="EC140" s="301"/>
      <c r="ED140" s="301"/>
      <c r="EE140" s="425"/>
      <c r="EF140" s="425"/>
      <c r="EG140" s="425"/>
      <c r="EH140" s="425"/>
      <c r="EI140" s="425"/>
      <c r="EJ140" s="425"/>
      <c r="EK140" s="437"/>
      <c r="EL140" s="437"/>
      <c r="EM140" s="437"/>
      <c r="EN140" s="437"/>
      <c r="EO140" s="437"/>
      <c r="EP140" s="437"/>
      <c r="EQ140" s="437"/>
      <c r="ER140" s="437"/>
      <c r="ES140" s="437"/>
      <c r="ET140" s="437"/>
      <c r="EU140" s="437"/>
      <c r="EV140" s="437"/>
      <c r="EW140" s="437"/>
      <c r="EX140" s="437"/>
      <c r="EY140" s="437"/>
      <c r="EZ140" s="425"/>
      <c r="FA140" s="301"/>
      <c r="FB140" s="301"/>
      <c r="FC140" s="301"/>
      <c r="FD140" s="301"/>
      <c r="FE140" s="301"/>
      <c r="FF140" s="301"/>
      <c r="FG140" s="301"/>
      <c r="FH140" s="301"/>
      <c r="FI140" s="301"/>
      <c r="FJ140" s="301"/>
      <c r="FK140" s="301"/>
      <c r="FL140" s="301"/>
      <c r="FM140" s="301"/>
      <c r="FN140" s="87"/>
      <c r="FO140" s="87"/>
      <c r="FP140" s="988"/>
      <c r="FQ140" s="988"/>
      <c r="FR140" s="988"/>
      <c r="FS140" s="988"/>
      <c r="FT140" s="988"/>
      <c r="FU140" s="988"/>
      <c r="FV140" s="988"/>
      <c r="FW140" s="988"/>
      <c r="FX140" s="988"/>
      <c r="FY140" s="87"/>
      <c r="FZ140" s="87"/>
      <c r="GA140" s="87"/>
      <c r="GF140" s="714"/>
      <c r="GH140" s="1133"/>
    </row>
    <row r="141" spans="1:190" ht="9" customHeight="1" thickBot="1">
      <c r="A141" s="301"/>
      <c r="B141" s="313"/>
      <c r="C141" s="2113" t="str">
        <f>IF(Race="","",IF(NOT(ISERROR(GD141)),MID(EquipmentNameList,GD137+1,GD141-GD137-1),""))</f>
        <v/>
      </c>
      <c r="D141" s="2113"/>
      <c r="E141" s="2113"/>
      <c r="F141" s="2113"/>
      <c r="G141" s="2113"/>
      <c r="H141" s="2113"/>
      <c r="I141" s="2113"/>
      <c r="J141" s="2113"/>
      <c r="K141" s="2113"/>
      <c r="L141" s="2113"/>
      <c r="M141" s="2113"/>
      <c r="N141" s="2113"/>
      <c r="O141" s="2113"/>
      <c r="P141" s="2113"/>
      <c r="Q141" s="2113"/>
      <c r="R141" s="2113"/>
      <c r="S141" s="2113"/>
      <c r="T141" s="2113"/>
      <c r="U141" s="2113"/>
      <c r="V141" s="2113"/>
      <c r="W141" s="2113"/>
      <c r="X141" s="2113"/>
      <c r="Y141" s="2113"/>
      <c r="Z141" s="2113"/>
      <c r="AA141" s="2113"/>
      <c r="AB141" s="2113"/>
      <c r="AC141" s="2113"/>
      <c r="AD141" s="2113"/>
      <c r="AE141" s="2113"/>
      <c r="AF141" s="2113"/>
      <c r="AG141" s="2113"/>
      <c r="AH141" s="2113"/>
      <c r="AI141" s="2113"/>
      <c r="AJ141" s="2113"/>
      <c r="AK141" s="2113"/>
      <c r="AL141" s="2113"/>
      <c r="AM141" s="2113"/>
      <c r="AN141" s="2113"/>
      <c r="AO141" s="2113"/>
      <c r="AP141" s="2113"/>
      <c r="AQ141" s="2113"/>
      <c r="AR141" s="2113"/>
      <c r="AS141" s="2113"/>
      <c r="AT141" s="2113"/>
      <c r="AU141" s="2113"/>
      <c r="AV141" s="2113"/>
      <c r="AW141" s="2115" t="str">
        <f>IF(Race="","",IF(NOT(ISERROR(GE141)),VALUE(MID(EquipmentWeightList,GE137+1,GE141-GE137-1)),""))</f>
        <v/>
      </c>
      <c r="AX141" s="2115"/>
      <c r="AY141" s="2115"/>
      <c r="AZ141" s="2115"/>
      <c r="BA141" s="2115"/>
      <c r="BB141" s="2115"/>
      <c r="BC141" s="2115"/>
      <c r="BD141" s="2115"/>
      <c r="BE141" s="2115"/>
      <c r="BF141" s="405"/>
      <c r="BG141" s="406"/>
      <c r="BH141" s="301"/>
      <c r="BI141" s="405"/>
      <c r="BJ141" s="1205"/>
      <c r="BK141" s="1205"/>
      <c r="BL141" s="1205"/>
      <c r="BM141" s="1205"/>
      <c r="BN141" s="2106" t="s">
        <v>816</v>
      </c>
      <c r="BO141" s="2106"/>
      <c r="BP141" s="2106"/>
      <c r="BQ141" s="2106"/>
      <c r="BR141" s="2106"/>
      <c r="BS141" s="2106"/>
      <c r="BT141" s="2106"/>
      <c r="BU141" s="2106"/>
      <c r="BV141" s="2106"/>
      <c r="BW141" s="2106"/>
      <c r="BX141" s="2106"/>
      <c r="BY141" s="2106"/>
      <c r="BZ141" s="2106"/>
      <c r="CA141" s="2106"/>
      <c r="CB141" s="2106"/>
      <c r="CC141" s="2106"/>
      <c r="CD141" s="2106"/>
      <c r="CE141" s="2106"/>
      <c r="CF141" s="2106"/>
      <c r="CG141" s="2106"/>
      <c r="CH141" s="2106"/>
      <c r="CI141" s="2106"/>
      <c r="CJ141" s="2106"/>
      <c r="CK141" s="2106"/>
      <c r="CL141" s="2106"/>
      <c r="CM141" s="2106"/>
      <c r="CN141" s="2106"/>
      <c r="CO141" s="2106"/>
      <c r="CP141" s="2106"/>
      <c r="CQ141" s="2106"/>
      <c r="CR141" s="2106"/>
      <c r="CS141" s="2106"/>
      <c r="CT141" s="87"/>
      <c r="CU141" s="158" t="e">
        <f>HeroicLvl+ArmourFort</f>
        <v>#NAME?</v>
      </c>
      <c r="CV141" s="411"/>
      <c r="CW141" s="411"/>
      <c r="CX141" s="411"/>
      <c r="CY141" s="411"/>
      <c r="CZ141" s="411"/>
      <c r="DA141" s="411"/>
      <c r="DB141" s="411"/>
      <c r="DC141" s="411"/>
      <c r="DD141" s="160"/>
      <c r="DE141" s="87"/>
      <c r="DF141" s="87"/>
      <c r="DG141" s="87"/>
      <c r="DH141" s="87"/>
      <c r="DI141" s="87"/>
      <c r="DJ141" s="158" t="e">
        <f>HeroicLvl+ArmourFort</f>
        <v>#NAME?</v>
      </c>
      <c r="DK141" s="159"/>
      <c r="DL141" s="159"/>
      <c r="DM141" s="159"/>
      <c r="DN141" s="159"/>
      <c r="DO141" s="159"/>
      <c r="DP141" s="159"/>
      <c r="DQ141" s="159"/>
      <c r="DR141" s="160"/>
      <c r="DS141" s="87"/>
      <c r="DT141" s="87"/>
      <c r="DU141" s="87"/>
      <c r="DV141" s="158"/>
      <c r="DW141" s="159"/>
      <c r="DX141" s="159"/>
      <c r="DY141" s="159"/>
      <c r="DZ141" s="159"/>
      <c r="EA141" s="159"/>
      <c r="EB141" s="159"/>
      <c r="EC141" s="159"/>
      <c r="ED141" s="160"/>
      <c r="EE141" s="87"/>
      <c r="EF141" s="87"/>
      <c r="EG141" s="87"/>
      <c r="EH141" s="158"/>
      <c r="EI141" s="184"/>
      <c r="EJ141" s="184"/>
      <c r="EK141" s="184"/>
      <c r="EL141" s="184"/>
      <c r="EM141" s="184"/>
      <c r="EN141" s="184"/>
      <c r="EO141" s="184"/>
      <c r="EP141" s="160"/>
      <c r="EQ141" s="87"/>
      <c r="ER141" s="87"/>
      <c r="ES141" s="87"/>
      <c r="ET141" s="158"/>
      <c r="EU141" s="1649"/>
      <c r="EV141" s="1649"/>
      <c r="EW141" s="1649"/>
      <c r="EX141" s="1649"/>
      <c r="EY141" s="1649"/>
      <c r="EZ141" s="1649"/>
      <c r="FA141" s="1649"/>
      <c r="FB141" s="160"/>
      <c r="FC141" s="87"/>
      <c r="FD141" s="87"/>
      <c r="FE141" s="87"/>
      <c r="FF141" s="158"/>
      <c r="FG141" s="159"/>
      <c r="FH141" s="159"/>
      <c r="FI141" s="159"/>
      <c r="FJ141" s="159"/>
      <c r="FK141" s="159"/>
      <c r="FL141" s="159"/>
      <c r="FM141" s="159"/>
      <c r="FN141" s="160"/>
      <c r="FO141" s="87"/>
      <c r="FP141" s="988"/>
      <c r="FQ141" s="988"/>
      <c r="FR141" s="988"/>
      <c r="FS141" s="988"/>
      <c r="FT141" s="988"/>
      <c r="FU141" s="988"/>
      <c r="FV141" s="988"/>
      <c r="FW141" s="988"/>
      <c r="FX141" s="988"/>
      <c r="FY141" s="87"/>
      <c r="FZ141" s="87"/>
      <c r="GA141" s="87"/>
      <c r="GC141" s="1853">
        <f>GC137+1</f>
        <v>33</v>
      </c>
      <c r="GD141" s="1853" t="e">
        <f>FIND(";",EquipmentNameList,GD137+1)</f>
        <v>#VALUE!</v>
      </c>
      <c r="GE141" s="1853" t="e">
        <f>FIND(";",EquipmentWeightList,GE137+1)</f>
        <v>#VALUE!</v>
      </c>
      <c r="GF141" s="1853" t="e">
        <f>FIND(";",EquipmentNumberList,GF137+1)</f>
        <v>#VALUE!</v>
      </c>
      <c r="GH141" s="1133"/>
    </row>
    <row r="142" spans="1:190" ht="9" customHeight="1">
      <c r="A142" s="301"/>
      <c r="B142" s="313"/>
      <c r="C142" s="2113"/>
      <c r="D142" s="2113"/>
      <c r="E142" s="2113"/>
      <c r="F142" s="2113"/>
      <c r="G142" s="2113"/>
      <c r="H142" s="2113"/>
      <c r="I142" s="2113"/>
      <c r="J142" s="2113"/>
      <c r="K142" s="2113"/>
      <c r="L142" s="2113"/>
      <c r="M142" s="2113"/>
      <c r="N142" s="2113"/>
      <c r="O142" s="2113"/>
      <c r="P142" s="2113"/>
      <c r="Q142" s="2113"/>
      <c r="R142" s="2113"/>
      <c r="S142" s="2113"/>
      <c r="T142" s="2113"/>
      <c r="U142" s="2113"/>
      <c r="V142" s="2113"/>
      <c r="W142" s="2113"/>
      <c r="X142" s="2113"/>
      <c r="Y142" s="2113"/>
      <c r="Z142" s="2113"/>
      <c r="AA142" s="2113"/>
      <c r="AB142" s="2113"/>
      <c r="AC142" s="2113"/>
      <c r="AD142" s="2113"/>
      <c r="AE142" s="2113"/>
      <c r="AF142" s="2113"/>
      <c r="AG142" s="2113"/>
      <c r="AH142" s="2113"/>
      <c r="AI142" s="2113"/>
      <c r="AJ142" s="2113"/>
      <c r="AK142" s="2113"/>
      <c r="AL142" s="2113"/>
      <c r="AM142" s="2113"/>
      <c r="AN142" s="2113"/>
      <c r="AO142" s="2113"/>
      <c r="AP142" s="2113"/>
      <c r="AQ142" s="2113"/>
      <c r="AR142" s="2113"/>
      <c r="AS142" s="2113"/>
      <c r="AT142" s="2113"/>
      <c r="AU142" s="2113"/>
      <c r="AV142" s="2113"/>
      <c r="AW142" s="2115"/>
      <c r="AX142" s="2115"/>
      <c r="AY142" s="2115"/>
      <c r="AZ142" s="2115"/>
      <c r="BA142" s="2115"/>
      <c r="BB142" s="2115"/>
      <c r="BC142" s="2115"/>
      <c r="BD142" s="2115"/>
      <c r="BE142" s="2115"/>
      <c r="BF142" s="405"/>
      <c r="BG142" s="406"/>
      <c r="BH142" s="301"/>
      <c r="BI142" s="405"/>
      <c r="BJ142" s="1205"/>
      <c r="BK142" s="1205"/>
      <c r="BL142" s="1205"/>
      <c r="BM142" s="1205"/>
      <c r="BN142" s="2106"/>
      <c r="BO142" s="2106"/>
      <c r="BP142" s="2106"/>
      <c r="BQ142" s="2106"/>
      <c r="BR142" s="2106"/>
      <c r="BS142" s="2106"/>
      <c r="BT142" s="2106"/>
      <c r="BU142" s="2106"/>
      <c r="BV142" s="2106"/>
      <c r="BW142" s="2106"/>
      <c r="BX142" s="2106"/>
      <c r="BY142" s="2106"/>
      <c r="BZ142" s="2106"/>
      <c r="CA142" s="2106"/>
      <c r="CB142" s="2106"/>
      <c r="CC142" s="2106"/>
      <c r="CD142" s="2106"/>
      <c r="CE142" s="2106"/>
      <c r="CF142" s="2106"/>
      <c r="CG142" s="2106"/>
      <c r="CH142" s="2106"/>
      <c r="CI142" s="2106"/>
      <c r="CJ142" s="2106"/>
      <c r="CK142" s="2106"/>
      <c r="CL142" s="2106"/>
      <c r="CM142" s="2106"/>
      <c r="CN142" s="2106"/>
      <c r="CO142" s="2106"/>
      <c r="CP142" s="2106"/>
      <c r="CQ142" s="2106"/>
      <c r="CR142" s="2106"/>
      <c r="CS142" s="2106"/>
      <c r="CT142" s="87"/>
      <c r="CU142" s="166"/>
      <c r="CV142" s="2107">
        <f ca="1">Swim</f>
        <v>0</v>
      </c>
      <c r="CW142" s="2107"/>
      <c r="CX142" s="2107"/>
      <c r="CY142" s="2107"/>
      <c r="CZ142" s="2107"/>
      <c r="DA142" s="2107"/>
      <c r="DB142" s="2107"/>
      <c r="DC142" s="2107"/>
      <c r="DD142" s="167"/>
      <c r="DE142" s="87"/>
      <c r="DF142" s="117"/>
      <c r="DG142" s="117"/>
      <c r="DH142" s="117"/>
      <c r="DI142" s="87"/>
      <c r="DJ142" s="166"/>
      <c r="DK142" s="1991">
        <f>ROUNDDOWN(CharacterLevel/2,0)</f>
        <v>0</v>
      </c>
      <c r="DL142" s="1991"/>
      <c r="DM142" s="1991"/>
      <c r="DN142" s="1991"/>
      <c r="DO142" s="1991"/>
      <c r="DP142" s="1991"/>
      <c r="DQ142" s="1991"/>
      <c r="DR142" s="167"/>
      <c r="DS142" s="87"/>
      <c r="DT142" s="87"/>
      <c r="DU142" s="87"/>
      <c r="DV142" s="166"/>
      <c r="DW142" s="1991" t="str">
        <f>StrMod</f>
        <v/>
      </c>
      <c r="DX142" s="1991"/>
      <c r="DY142" s="1991"/>
      <c r="DZ142" s="1991"/>
      <c r="EA142" s="1991"/>
      <c r="EB142" s="1991"/>
      <c r="EC142" s="1991"/>
      <c r="ED142" s="167"/>
      <c r="EE142" s="87"/>
      <c r="EF142" s="87"/>
      <c r="EG142" s="87"/>
      <c r="EH142" s="166"/>
      <c r="EI142" s="1991" t="str">
        <f>IF(CharacterLevel&gt;0,IF(OR(INDEX(SkillTable,MATCH(BN141,SkillList,0),4)="Yes",INDEX(SkillTable,MATCH(BN141,SkillList,0),5)="Yes"),5,0),"")</f>
        <v/>
      </c>
      <c r="EJ142" s="1991"/>
      <c r="EK142" s="1991"/>
      <c r="EL142" s="1991"/>
      <c r="EM142" s="1991"/>
      <c r="EN142" s="1991"/>
      <c r="EO142" s="1991"/>
      <c r="EP142" s="264"/>
      <c r="EQ142" s="265"/>
      <c r="ER142" s="265"/>
      <c r="ES142" s="265"/>
      <c r="ET142" s="266"/>
      <c r="EU142" s="1991" t="b">
        <f>IF(CharacterLevel&gt;0,IF(Skills!R32="Yes",5,0))</f>
        <v>0</v>
      </c>
      <c r="EV142" s="1991"/>
      <c r="EW142" s="1991"/>
      <c r="EX142" s="1991"/>
      <c r="EY142" s="1991"/>
      <c r="EZ142" s="1991"/>
      <c r="FA142" s="1991"/>
      <c r="FB142" s="167"/>
      <c r="FC142" s="265"/>
      <c r="FD142" s="265"/>
      <c r="FE142" s="265"/>
      <c r="FF142" s="266"/>
      <c r="FG142" s="1991">
        <f>ArmorPenalty+INDEX(SkillTable,MATCH(BN141,SkillList,0),12)</f>
        <v>0</v>
      </c>
      <c r="FH142" s="1991"/>
      <c r="FI142" s="1991"/>
      <c r="FJ142" s="1991"/>
      <c r="FK142" s="1991"/>
      <c r="FL142" s="1991"/>
      <c r="FM142" s="1991"/>
      <c r="FN142" s="167"/>
      <c r="FO142" s="87"/>
      <c r="FP142" s="2124" t="str">
        <f>IF(INDEX(SkillTable,MATCH(BN141,SkillList,0),77)&lt;&gt;"","×","")</f>
        <v/>
      </c>
      <c r="FQ142" s="2125"/>
      <c r="FR142" s="2125"/>
      <c r="FS142" s="2126"/>
      <c r="FT142" s="988"/>
      <c r="FU142" s="2124" t="str">
        <f>IF(INDEX(SkillTable,MATCH(BN141,SkillList,0),78)&lt;&gt;"","×","")</f>
        <v/>
      </c>
      <c r="FV142" s="2125"/>
      <c r="FW142" s="2125"/>
      <c r="FX142" s="2126"/>
      <c r="FY142" s="87"/>
      <c r="FZ142" s="87"/>
      <c r="GA142" s="87"/>
      <c r="GC142" s="1853"/>
      <c r="GD142" s="1853"/>
      <c r="GE142" s="1853"/>
      <c r="GF142" s="1853"/>
      <c r="GH142" s="1135" t="e">
        <f ca="1">IF(INDEX(SkillTable,MATCH(BN141,SkillList,0),14),1,0)</f>
        <v>#VALUE!</v>
      </c>
    </row>
    <row r="143" spans="1:190" ht="9" customHeight="1" thickBot="1">
      <c r="A143" s="301"/>
      <c r="B143" s="313"/>
      <c r="C143" s="2114"/>
      <c r="D143" s="2114"/>
      <c r="E143" s="2114"/>
      <c r="F143" s="2114"/>
      <c r="G143" s="2114"/>
      <c r="H143" s="2114"/>
      <c r="I143" s="2114"/>
      <c r="J143" s="2114"/>
      <c r="K143" s="2114"/>
      <c r="L143" s="2114"/>
      <c r="M143" s="2114"/>
      <c r="N143" s="2114"/>
      <c r="O143" s="2114"/>
      <c r="P143" s="2114"/>
      <c r="Q143" s="2114"/>
      <c r="R143" s="2114"/>
      <c r="S143" s="2114"/>
      <c r="T143" s="2114"/>
      <c r="U143" s="2114"/>
      <c r="V143" s="2114"/>
      <c r="W143" s="2114"/>
      <c r="X143" s="2114"/>
      <c r="Y143" s="2114"/>
      <c r="Z143" s="2114"/>
      <c r="AA143" s="2114"/>
      <c r="AB143" s="2114"/>
      <c r="AC143" s="2114"/>
      <c r="AD143" s="2114"/>
      <c r="AE143" s="2114"/>
      <c r="AF143" s="2114"/>
      <c r="AG143" s="2114"/>
      <c r="AH143" s="2114"/>
      <c r="AI143" s="2114"/>
      <c r="AJ143" s="2114"/>
      <c r="AK143" s="2114"/>
      <c r="AL143" s="2114"/>
      <c r="AM143" s="2114"/>
      <c r="AN143" s="2114"/>
      <c r="AO143" s="2114"/>
      <c r="AP143" s="2114"/>
      <c r="AQ143" s="2114"/>
      <c r="AR143" s="2114"/>
      <c r="AS143" s="2114"/>
      <c r="AT143" s="2114"/>
      <c r="AU143" s="2114"/>
      <c r="AV143" s="2114"/>
      <c r="AW143" s="2116"/>
      <c r="AX143" s="2116"/>
      <c r="AY143" s="2116"/>
      <c r="AZ143" s="2116"/>
      <c r="BA143" s="2116"/>
      <c r="BB143" s="2116"/>
      <c r="BC143" s="2116"/>
      <c r="BD143" s="2116"/>
      <c r="BE143" s="2116"/>
      <c r="BF143" s="405"/>
      <c r="BG143" s="406"/>
      <c r="BH143" s="301"/>
      <c r="BI143" s="405"/>
      <c r="BJ143" s="1205"/>
      <c r="BK143" s="1205"/>
      <c r="BL143" s="1205"/>
      <c r="BM143" s="1205"/>
      <c r="BN143" s="2106"/>
      <c r="BO143" s="2106"/>
      <c r="BP143" s="2106"/>
      <c r="BQ143" s="2106"/>
      <c r="BR143" s="2106"/>
      <c r="BS143" s="2106"/>
      <c r="BT143" s="2106"/>
      <c r="BU143" s="2106"/>
      <c r="BV143" s="2106"/>
      <c r="BW143" s="2106"/>
      <c r="BX143" s="2106"/>
      <c r="BY143" s="2106"/>
      <c r="BZ143" s="2106"/>
      <c r="CA143" s="2106"/>
      <c r="CB143" s="2106"/>
      <c r="CC143" s="2106"/>
      <c r="CD143" s="2106"/>
      <c r="CE143" s="2106"/>
      <c r="CF143" s="2106"/>
      <c r="CG143" s="2106"/>
      <c r="CH143" s="2106"/>
      <c r="CI143" s="2106"/>
      <c r="CJ143" s="2106"/>
      <c r="CK143" s="2106"/>
      <c r="CL143" s="2106"/>
      <c r="CM143" s="2106"/>
      <c r="CN143" s="2106"/>
      <c r="CO143" s="2106"/>
      <c r="CP143" s="2106"/>
      <c r="CQ143" s="2106"/>
      <c r="CR143" s="2106"/>
      <c r="CS143" s="2106"/>
      <c r="CT143" s="87"/>
      <c r="CU143" s="166"/>
      <c r="CV143" s="2107"/>
      <c r="CW143" s="2107"/>
      <c r="CX143" s="2107"/>
      <c r="CY143" s="2107"/>
      <c r="CZ143" s="2107"/>
      <c r="DA143" s="2107"/>
      <c r="DB143" s="2107"/>
      <c r="DC143" s="2107"/>
      <c r="DD143" s="167"/>
      <c r="DE143" s="87"/>
      <c r="DF143" s="87"/>
      <c r="DG143" s="87"/>
      <c r="DH143" s="87"/>
      <c r="DI143" s="87"/>
      <c r="DJ143" s="166"/>
      <c r="DK143" s="1991"/>
      <c r="DL143" s="1991"/>
      <c r="DM143" s="1991"/>
      <c r="DN143" s="1991"/>
      <c r="DO143" s="1991"/>
      <c r="DP143" s="1991"/>
      <c r="DQ143" s="1991"/>
      <c r="DR143" s="167"/>
      <c r="DS143" s="117"/>
      <c r="DT143" s="117"/>
      <c r="DU143" s="117"/>
      <c r="DV143" s="166"/>
      <c r="DW143" s="1991"/>
      <c r="DX143" s="1991"/>
      <c r="DY143" s="1991"/>
      <c r="DZ143" s="1991"/>
      <c r="EA143" s="1991"/>
      <c r="EB143" s="1991"/>
      <c r="EC143" s="1991"/>
      <c r="ED143" s="167"/>
      <c r="EE143" s="117"/>
      <c r="EF143" s="117"/>
      <c r="EG143" s="117"/>
      <c r="EH143" s="166"/>
      <c r="EI143" s="1991"/>
      <c r="EJ143" s="1991"/>
      <c r="EK143" s="1991"/>
      <c r="EL143" s="1991"/>
      <c r="EM143" s="1991"/>
      <c r="EN143" s="1991"/>
      <c r="EO143" s="1991"/>
      <c r="EP143" s="264"/>
      <c r="EQ143" s="117"/>
      <c r="ER143" s="117"/>
      <c r="ES143" s="117"/>
      <c r="ET143" s="266"/>
      <c r="EU143" s="1991"/>
      <c r="EV143" s="1991"/>
      <c r="EW143" s="1991"/>
      <c r="EX143" s="1991"/>
      <c r="EY143" s="1991"/>
      <c r="EZ143" s="1991"/>
      <c r="FA143" s="1991"/>
      <c r="FB143" s="167"/>
      <c r="FC143" s="117"/>
      <c r="FD143" s="117"/>
      <c r="FE143" s="117"/>
      <c r="FF143" s="266"/>
      <c r="FG143" s="1991"/>
      <c r="FH143" s="1991"/>
      <c r="FI143" s="1991"/>
      <c r="FJ143" s="1991"/>
      <c r="FK143" s="1991"/>
      <c r="FL143" s="1991"/>
      <c r="FM143" s="1991"/>
      <c r="FN143" s="167"/>
      <c r="FO143" s="117"/>
      <c r="FP143" s="2127"/>
      <c r="FQ143" s="2081"/>
      <c r="FR143" s="2081"/>
      <c r="FS143" s="2128"/>
      <c r="FT143" s="989"/>
      <c r="FU143" s="2127"/>
      <c r="FV143" s="2081"/>
      <c r="FW143" s="2081"/>
      <c r="FX143" s="2128"/>
      <c r="FY143" s="87"/>
      <c r="FZ143" s="87"/>
      <c r="GA143" s="87"/>
      <c r="GC143" s="1853"/>
      <c r="GD143" s="1853"/>
      <c r="GE143" s="1853"/>
      <c r="GF143" s="1853"/>
      <c r="GH143" s="1133"/>
    </row>
    <row r="144" spans="1:190" ht="9" customHeight="1" thickBot="1">
      <c r="A144" s="301"/>
      <c r="B144" s="313"/>
      <c r="C144" s="301"/>
      <c r="D144" s="301"/>
      <c r="E144" s="643"/>
      <c r="F144" s="643"/>
      <c r="G144" s="643"/>
      <c r="H144" s="643"/>
      <c r="I144" s="643"/>
      <c r="J144" s="643"/>
      <c r="K144" s="301"/>
      <c r="L144" s="301"/>
      <c r="M144" s="301"/>
      <c r="N144" s="301"/>
      <c r="O144" s="301"/>
      <c r="P144" s="301"/>
      <c r="Q144" s="301"/>
      <c r="R144" s="301"/>
      <c r="S144" s="301"/>
      <c r="T144" s="301"/>
      <c r="U144" s="301"/>
      <c r="V144" s="301"/>
      <c r="W144" s="301"/>
      <c r="X144" s="301"/>
      <c r="Y144" s="301"/>
      <c r="Z144" s="301"/>
      <c r="AA144" s="301"/>
      <c r="AB144" s="301"/>
      <c r="AC144" s="301"/>
      <c r="AD144" s="301"/>
      <c r="AE144" s="301"/>
      <c r="AF144" s="301"/>
      <c r="AG144" s="301"/>
      <c r="AH144" s="301"/>
      <c r="AI144" s="301"/>
      <c r="AJ144" s="301"/>
      <c r="AK144" s="301"/>
      <c r="AL144" s="301"/>
      <c r="AM144" s="301"/>
      <c r="AN144" s="301"/>
      <c r="AO144" s="301"/>
      <c r="AP144" s="301"/>
      <c r="AQ144" s="301"/>
      <c r="AR144" s="301"/>
      <c r="AS144" s="301"/>
      <c r="AT144" s="301"/>
      <c r="AU144" s="301"/>
      <c r="AV144" s="301"/>
      <c r="AW144" s="1087"/>
      <c r="AX144" s="1087"/>
      <c r="AY144" s="1087"/>
      <c r="AZ144" s="1087"/>
      <c r="BA144" s="1087"/>
      <c r="BB144" s="1087"/>
      <c r="BC144" s="1087"/>
      <c r="BD144" s="1087"/>
      <c r="BE144" s="1087"/>
      <c r="BF144" s="405"/>
      <c r="BG144" s="406"/>
      <c r="BH144" s="301"/>
      <c r="BI144" s="405"/>
      <c r="BJ144" s="1205"/>
      <c r="BK144" s="1205"/>
      <c r="BL144" s="1205"/>
      <c r="BM144" s="1205"/>
      <c r="BN144" s="2106"/>
      <c r="BO144" s="2106"/>
      <c r="BP144" s="2106"/>
      <c r="BQ144" s="2106"/>
      <c r="BR144" s="2106"/>
      <c r="BS144" s="2106"/>
      <c r="BT144" s="2106"/>
      <c r="BU144" s="2106"/>
      <c r="BV144" s="2106"/>
      <c r="BW144" s="2106"/>
      <c r="BX144" s="2106"/>
      <c r="BY144" s="2106"/>
      <c r="BZ144" s="2106"/>
      <c r="CA144" s="2106"/>
      <c r="CB144" s="2106"/>
      <c r="CC144" s="2106"/>
      <c r="CD144" s="2106"/>
      <c r="CE144" s="2106"/>
      <c r="CF144" s="2106"/>
      <c r="CG144" s="2106"/>
      <c r="CH144" s="2106"/>
      <c r="CI144" s="2106"/>
      <c r="CJ144" s="2106"/>
      <c r="CK144" s="2106"/>
      <c r="CL144" s="2106"/>
      <c r="CM144" s="2106"/>
      <c r="CN144" s="2106"/>
      <c r="CO144" s="2106"/>
      <c r="CP144" s="2106"/>
      <c r="CQ144" s="2106"/>
      <c r="CR144" s="2106"/>
      <c r="CS144" s="2106"/>
      <c r="CT144" s="87"/>
      <c r="CU144" s="166"/>
      <c r="CV144" s="2107"/>
      <c r="CW144" s="2107"/>
      <c r="CX144" s="2107"/>
      <c r="CY144" s="2107"/>
      <c r="CZ144" s="2107"/>
      <c r="DA144" s="2107"/>
      <c r="DB144" s="2107"/>
      <c r="DC144" s="2107"/>
      <c r="DD144" s="167"/>
      <c r="DE144" s="87"/>
      <c r="DF144" s="117"/>
      <c r="DG144" s="117"/>
      <c r="DH144" s="117"/>
      <c r="DI144" s="87"/>
      <c r="DJ144" s="166"/>
      <c r="DK144" s="1991"/>
      <c r="DL144" s="1991"/>
      <c r="DM144" s="1991"/>
      <c r="DN144" s="1991"/>
      <c r="DO144" s="1991"/>
      <c r="DP144" s="1991"/>
      <c r="DQ144" s="1991"/>
      <c r="DR144" s="167"/>
      <c r="DS144" s="87"/>
      <c r="DT144" s="87"/>
      <c r="DU144" s="87"/>
      <c r="DV144" s="166"/>
      <c r="DW144" s="1991"/>
      <c r="DX144" s="1991"/>
      <c r="DY144" s="1991"/>
      <c r="DZ144" s="1991"/>
      <c r="EA144" s="1991"/>
      <c r="EB144" s="1991"/>
      <c r="EC144" s="1991"/>
      <c r="ED144" s="167"/>
      <c r="EE144" s="87"/>
      <c r="EF144" s="87"/>
      <c r="EG144" s="87"/>
      <c r="EH144" s="166"/>
      <c r="EI144" s="1991"/>
      <c r="EJ144" s="1991"/>
      <c r="EK144" s="1991"/>
      <c r="EL144" s="1991"/>
      <c r="EM144" s="1991"/>
      <c r="EN144" s="1991"/>
      <c r="EO144" s="1991"/>
      <c r="EP144" s="264"/>
      <c r="EQ144" s="87"/>
      <c r="ER144" s="87"/>
      <c r="ES144" s="87"/>
      <c r="ET144" s="266"/>
      <c r="EU144" s="1991"/>
      <c r="EV144" s="1991"/>
      <c r="EW144" s="1991"/>
      <c r="EX144" s="1991"/>
      <c r="EY144" s="1991"/>
      <c r="EZ144" s="1991"/>
      <c r="FA144" s="1991"/>
      <c r="FB144" s="167"/>
      <c r="FC144" s="87"/>
      <c r="FD144" s="87"/>
      <c r="FE144" s="87"/>
      <c r="FF144" s="266"/>
      <c r="FG144" s="1991"/>
      <c r="FH144" s="1991"/>
      <c r="FI144" s="1991"/>
      <c r="FJ144" s="1991"/>
      <c r="FK144" s="1991"/>
      <c r="FL144" s="1991"/>
      <c r="FM144" s="1991"/>
      <c r="FN144" s="167"/>
      <c r="FO144" s="87"/>
      <c r="FP144" s="2129"/>
      <c r="FQ144" s="2130"/>
      <c r="FR144" s="2130"/>
      <c r="FS144" s="2131"/>
      <c r="FT144" s="988"/>
      <c r="FU144" s="2129"/>
      <c r="FV144" s="2130"/>
      <c r="FW144" s="2130"/>
      <c r="FX144" s="2131"/>
      <c r="FY144" s="87"/>
      <c r="FZ144" s="87"/>
      <c r="GA144" s="87"/>
      <c r="GF144" s="714"/>
      <c r="GH144" s="1133"/>
    </row>
    <row r="145" spans="1:190" ht="9" customHeight="1" thickBot="1">
      <c r="A145" s="301"/>
      <c r="B145" s="313"/>
      <c r="C145" s="2113" t="str">
        <f>IF(Race="","",IF(NOT(ISERROR(GD145)),MID(EquipmentNameList,GD141+1,GD145-GD141-1),""))</f>
        <v/>
      </c>
      <c r="D145" s="2113"/>
      <c r="E145" s="2113"/>
      <c r="F145" s="2113"/>
      <c r="G145" s="2113"/>
      <c r="H145" s="2113"/>
      <c r="I145" s="2113"/>
      <c r="J145" s="2113"/>
      <c r="K145" s="2113"/>
      <c r="L145" s="2113"/>
      <c r="M145" s="2113"/>
      <c r="N145" s="2113"/>
      <c r="O145" s="2113"/>
      <c r="P145" s="2113"/>
      <c r="Q145" s="2113"/>
      <c r="R145" s="2113"/>
      <c r="S145" s="2113"/>
      <c r="T145" s="2113"/>
      <c r="U145" s="2113"/>
      <c r="V145" s="2113"/>
      <c r="W145" s="2113"/>
      <c r="X145" s="2113"/>
      <c r="Y145" s="2113"/>
      <c r="Z145" s="2113"/>
      <c r="AA145" s="2113"/>
      <c r="AB145" s="2113"/>
      <c r="AC145" s="2113"/>
      <c r="AD145" s="2113"/>
      <c r="AE145" s="2113"/>
      <c r="AF145" s="2113"/>
      <c r="AG145" s="2113"/>
      <c r="AH145" s="2113"/>
      <c r="AI145" s="2113"/>
      <c r="AJ145" s="2113"/>
      <c r="AK145" s="2113"/>
      <c r="AL145" s="2113"/>
      <c r="AM145" s="2113"/>
      <c r="AN145" s="2113"/>
      <c r="AO145" s="2113"/>
      <c r="AP145" s="2113"/>
      <c r="AQ145" s="2113"/>
      <c r="AR145" s="2113"/>
      <c r="AS145" s="2113"/>
      <c r="AT145" s="2113"/>
      <c r="AU145" s="2113"/>
      <c r="AV145" s="2113"/>
      <c r="AW145" s="2115" t="str">
        <f>IF(Race="","",IF(NOT(ISERROR(GE145)),VALUE(MID(EquipmentWeightList,GE141+1,GE145-GE141-1)),""))</f>
        <v/>
      </c>
      <c r="AX145" s="2115"/>
      <c r="AY145" s="2115"/>
      <c r="AZ145" s="2115"/>
      <c r="BA145" s="2115"/>
      <c r="BB145" s="2115"/>
      <c r="BC145" s="2115"/>
      <c r="BD145" s="2115"/>
      <c r="BE145" s="2115"/>
      <c r="BF145" s="405"/>
      <c r="BG145" s="406"/>
      <c r="BH145" s="301"/>
      <c r="BI145" s="405"/>
      <c r="BJ145" s="1205"/>
      <c r="BK145" s="1205"/>
      <c r="BL145" s="1205"/>
      <c r="BM145" s="1205"/>
      <c r="BN145" s="2106"/>
      <c r="BO145" s="2106"/>
      <c r="BP145" s="2106"/>
      <c r="BQ145" s="2106"/>
      <c r="BR145" s="2106"/>
      <c r="BS145" s="2106"/>
      <c r="BT145" s="2106"/>
      <c r="BU145" s="2106"/>
      <c r="BV145" s="2106"/>
      <c r="BW145" s="2106"/>
      <c r="BX145" s="2106"/>
      <c r="BY145" s="2106"/>
      <c r="BZ145" s="2106"/>
      <c r="CA145" s="2106"/>
      <c r="CB145" s="2106"/>
      <c r="CC145" s="2106"/>
      <c r="CD145" s="2106"/>
      <c r="CE145" s="2106"/>
      <c r="CF145" s="2106"/>
      <c r="CG145" s="2106"/>
      <c r="CH145" s="2106"/>
      <c r="CI145" s="2106"/>
      <c r="CJ145" s="2106"/>
      <c r="CK145" s="2106"/>
      <c r="CL145" s="2106"/>
      <c r="CM145" s="2106"/>
      <c r="CN145" s="2106"/>
      <c r="CO145" s="2106"/>
      <c r="CP145" s="2106"/>
      <c r="CQ145" s="2106"/>
      <c r="CR145" s="2106"/>
      <c r="CS145" s="2106"/>
      <c r="CT145" s="87"/>
      <c r="CU145" s="160"/>
      <c r="CV145" s="409"/>
      <c r="CW145" s="409"/>
      <c r="CX145" s="409"/>
      <c r="CY145" s="409"/>
      <c r="CZ145" s="409"/>
      <c r="DA145" s="409"/>
      <c r="DB145" s="409"/>
      <c r="DC145" s="409"/>
      <c r="DD145" s="158"/>
      <c r="DE145" s="87"/>
      <c r="DF145" s="87"/>
      <c r="DG145" s="87"/>
      <c r="DH145" s="87"/>
      <c r="DI145" s="87"/>
      <c r="DJ145" s="160"/>
      <c r="DK145" s="240"/>
      <c r="DL145" s="240"/>
      <c r="DM145" s="240"/>
      <c r="DN145" s="240"/>
      <c r="DO145" s="240"/>
      <c r="DP145" s="240"/>
      <c r="DQ145" s="240"/>
      <c r="DR145" s="158"/>
      <c r="DS145" s="87"/>
      <c r="DT145" s="87"/>
      <c r="DU145" s="87"/>
      <c r="DV145" s="160"/>
      <c r="DW145" s="240"/>
      <c r="DX145" s="240"/>
      <c r="DY145" s="240"/>
      <c r="DZ145" s="240"/>
      <c r="EA145" s="240"/>
      <c r="EB145" s="240"/>
      <c r="EC145" s="240"/>
      <c r="ED145" s="158"/>
      <c r="EE145" s="87"/>
      <c r="EF145" s="87"/>
      <c r="EG145" s="87"/>
      <c r="EH145" s="160"/>
      <c r="EI145" s="204"/>
      <c r="EJ145" s="204"/>
      <c r="EK145" s="204"/>
      <c r="EL145" s="204"/>
      <c r="EM145" s="204"/>
      <c r="EN145" s="204"/>
      <c r="EO145" s="204"/>
      <c r="EP145" s="274"/>
      <c r="EQ145" s="87"/>
      <c r="ER145" s="87"/>
      <c r="ES145" s="87"/>
      <c r="ET145" s="203"/>
      <c r="EU145" s="204"/>
      <c r="EV145" s="204"/>
      <c r="EW145" s="204"/>
      <c r="EX145" s="204"/>
      <c r="EY145" s="204"/>
      <c r="EZ145" s="204"/>
      <c r="FA145" s="204"/>
      <c r="FB145" s="158"/>
      <c r="FC145" s="87"/>
      <c r="FD145" s="87"/>
      <c r="FE145" s="87"/>
      <c r="FF145" s="203"/>
      <c r="FG145" s="204"/>
      <c r="FH145" s="204"/>
      <c r="FI145" s="204"/>
      <c r="FJ145" s="204"/>
      <c r="FK145" s="204"/>
      <c r="FL145" s="204"/>
      <c r="FM145" s="204"/>
      <c r="FN145" s="158"/>
      <c r="FO145" s="87"/>
      <c r="FP145" s="988"/>
      <c r="FQ145" s="988"/>
      <c r="FR145" s="988"/>
      <c r="FS145" s="988"/>
      <c r="FT145" s="988"/>
      <c r="FU145" s="988"/>
      <c r="FV145" s="988"/>
      <c r="FW145" s="988"/>
      <c r="FX145" s="988"/>
      <c r="FY145" s="87"/>
      <c r="FZ145" s="87"/>
      <c r="GA145" s="87"/>
      <c r="GC145" s="1853">
        <f>GC141+1</f>
        <v>34</v>
      </c>
      <c r="GD145" s="1853" t="e">
        <f>FIND(";",EquipmentNameList,GD141+1)</f>
        <v>#VALUE!</v>
      </c>
      <c r="GE145" s="1853" t="e">
        <f>FIND(";",EquipmentWeightList,GE141+1)</f>
        <v>#VALUE!</v>
      </c>
      <c r="GF145" s="1853" t="e">
        <f>FIND(";",EquipmentNumberList,GF141+1)</f>
        <v>#VALUE!</v>
      </c>
      <c r="GH145" s="1133"/>
    </row>
    <row r="146" spans="1:190" ht="9" customHeight="1" thickBot="1">
      <c r="A146" s="301"/>
      <c r="B146" s="313"/>
      <c r="C146" s="2113"/>
      <c r="D146" s="2113"/>
      <c r="E146" s="2113"/>
      <c r="F146" s="2113"/>
      <c r="G146" s="2113"/>
      <c r="H146" s="2113"/>
      <c r="I146" s="2113"/>
      <c r="J146" s="2113"/>
      <c r="K146" s="2113"/>
      <c r="L146" s="2113"/>
      <c r="M146" s="2113"/>
      <c r="N146" s="2113"/>
      <c r="O146" s="2113"/>
      <c r="P146" s="2113"/>
      <c r="Q146" s="2113"/>
      <c r="R146" s="2113"/>
      <c r="S146" s="2113"/>
      <c r="T146" s="2113"/>
      <c r="U146" s="2113"/>
      <c r="V146" s="2113"/>
      <c r="W146" s="2113"/>
      <c r="X146" s="2113"/>
      <c r="Y146" s="2113"/>
      <c r="Z146" s="2113"/>
      <c r="AA146" s="2113"/>
      <c r="AB146" s="2113"/>
      <c r="AC146" s="2113"/>
      <c r="AD146" s="2113"/>
      <c r="AE146" s="2113"/>
      <c r="AF146" s="2113"/>
      <c r="AG146" s="2113"/>
      <c r="AH146" s="2113"/>
      <c r="AI146" s="2113"/>
      <c r="AJ146" s="2113"/>
      <c r="AK146" s="2113"/>
      <c r="AL146" s="2113"/>
      <c r="AM146" s="2113"/>
      <c r="AN146" s="2113"/>
      <c r="AO146" s="2113"/>
      <c r="AP146" s="2113"/>
      <c r="AQ146" s="2113"/>
      <c r="AR146" s="2113"/>
      <c r="AS146" s="2113"/>
      <c r="AT146" s="2113"/>
      <c r="AU146" s="2113"/>
      <c r="AV146" s="2113"/>
      <c r="AW146" s="2115"/>
      <c r="AX146" s="2115"/>
      <c r="AY146" s="2115"/>
      <c r="AZ146" s="2115"/>
      <c r="BA146" s="2115"/>
      <c r="BB146" s="2115"/>
      <c r="BC146" s="2115"/>
      <c r="BD146" s="2115"/>
      <c r="BE146" s="2115"/>
      <c r="BF146" s="405"/>
      <c r="BG146" s="406"/>
      <c r="BH146" s="301"/>
      <c r="BI146" s="405"/>
      <c r="BJ146" s="1205"/>
      <c r="BK146" s="1205"/>
      <c r="BL146" s="1205"/>
      <c r="BM146" s="1205"/>
      <c r="BN146" s="1205"/>
      <c r="BO146" s="1224"/>
      <c r="BP146" s="1224"/>
      <c r="BQ146" s="1224"/>
      <c r="BR146" s="1224"/>
      <c r="BS146" s="1224"/>
      <c r="BT146" s="1224"/>
      <c r="BU146" s="1224"/>
      <c r="BV146" s="1224"/>
      <c r="BW146" s="1224"/>
      <c r="BX146" s="1224"/>
      <c r="BY146" s="1224"/>
      <c r="BZ146" s="1224"/>
      <c r="CA146" s="1224"/>
      <c r="CB146" s="1224"/>
      <c r="CC146" s="1224"/>
      <c r="CD146" s="1205"/>
      <c r="CE146" s="1205"/>
      <c r="CF146" s="1205"/>
      <c r="CG146" s="1205"/>
      <c r="CH146" s="1205"/>
      <c r="CI146" s="1224"/>
      <c r="CJ146" s="1224"/>
      <c r="CK146" s="1224"/>
      <c r="CL146" s="1224"/>
      <c r="CM146" s="1224"/>
      <c r="CN146" s="1224"/>
      <c r="CO146" s="1224"/>
      <c r="CP146" s="1224"/>
      <c r="CQ146" s="1223"/>
      <c r="CR146" s="1205"/>
      <c r="CS146" s="1205"/>
      <c r="CT146" s="301"/>
      <c r="CU146" s="423"/>
      <c r="CV146" s="438"/>
      <c r="CW146" s="438"/>
      <c r="CX146" s="438"/>
      <c r="CY146" s="438"/>
      <c r="CZ146" s="438"/>
      <c r="DA146" s="438"/>
      <c r="DB146" s="438"/>
      <c r="DC146" s="438"/>
      <c r="DD146" s="301"/>
      <c r="DE146" s="301"/>
      <c r="DF146" s="301"/>
      <c r="DG146" s="301"/>
      <c r="DH146" s="301"/>
      <c r="DI146" s="301"/>
      <c r="DJ146" s="301"/>
      <c r="DK146" s="423"/>
      <c r="DL146" s="423"/>
      <c r="DM146" s="423"/>
      <c r="DN146" s="423"/>
      <c r="DO146" s="423"/>
      <c r="DP146" s="423"/>
      <c r="DQ146" s="423"/>
      <c r="DR146" s="423"/>
      <c r="DS146" s="301"/>
      <c r="DT146" s="301"/>
      <c r="DU146" s="301"/>
      <c r="DV146" s="301"/>
      <c r="DW146" s="301"/>
      <c r="DX146" s="301"/>
      <c r="DY146" s="301"/>
      <c r="DZ146" s="301"/>
      <c r="EA146" s="181"/>
      <c r="EB146" s="415"/>
      <c r="EC146" s="415"/>
      <c r="ED146" s="415"/>
      <c r="EE146" s="415"/>
      <c r="EF146" s="415"/>
      <c r="EG146" s="415"/>
      <c r="EH146" s="415"/>
      <c r="EI146" s="301"/>
      <c r="EJ146" s="301"/>
      <c r="EK146" s="301"/>
      <c r="EL146" s="181"/>
      <c r="EM146" s="415"/>
      <c r="EN146" s="415"/>
      <c r="EO146" s="415"/>
      <c r="EP146" s="415"/>
      <c r="EQ146" s="415"/>
      <c r="ER146" s="415"/>
      <c r="ES146" s="415"/>
      <c r="ET146" s="301"/>
      <c r="EU146" s="301"/>
      <c r="EV146" s="314"/>
      <c r="EW146" s="314"/>
      <c r="EX146" s="301"/>
      <c r="EY146" s="301"/>
      <c r="EZ146" s="301"/>
      <c r="FA146" s="301"/>
      <c r="FB146" s="301"/>
      <c r="FC146" s="301"/>
      <c r="FD146" s="301"/>
      <c r="FE146" s="301"/>
      <c r="FF146" s="301"/>
      <c r="FG146" s="301"/>
      <c r="FH146" s="301"/>
      <c r="FI146" s="301"/>
      <c r="FJ146" s="301"/>
      <c r="FK146" s="301"/>
      <c r="FL146" s="301"/>
      <c r="FM146" s="301"/>
      <c r="FN146" s="87"/>
      <c r="FO146" s="87"/>
      <c r="FP146" s="988"/>
      <c r="FQ146" s="988"/>
      <c r="FR146" s="988"/>
      <c r="FS146" s="988"/>
      <c r="FT146" s="988"/>
      <c r="FU146" s="988"/>
      <c r="FV146" s="988"/>
      <c r="FW146" s="988"/>
      <c r="FX146" s="988"/>
      <c r="FY146" s="87"/>
      <c r="FZ146" s="87"/>
      <c r="GA146" s="87"/>
      <c r="GC146" s="1853"/>
      <c r="GD146" s="1853"/>
      <c r="GE146" s="1853"/>
      <c r="GF146" s="1853"/>
      <c r="GH146" s="1133"/>
    </row>
    <row r="147" spans="1:190" ht="9" customHeight="1" thickBot="1">
      <c r="A147" s="301"/>
      <c r="B147" s="313"/>
      <c r="C147" s="2114"/>
      <c r="D147" s="2114"/>
      <c r="E147" s="2114"/>
      <c r="F147" s="2114"/>
      <c r="G147" s="2114"/>
      <c r="H147" s="2114"/>
      <c r="I147" s="2114"/>
      <c r="J147" s="2114"/>
      <c r="K147" s="2114"/>
      <c r="L147" s="2114"/>
      <c r="M147" s="2114"/>
      <c r="N147" s="2114"/>
      <c r="O147" s="2114"/>
      <c r="P147" s="2114"/>
      <c r="Q147" s="2114"/>
      <c r="R147" s="2114"/>
      <c r="S147" s="2114"/>
      <c r="T147" s="2114"/>
      <c r="U147" s="2114"/>
      <c r="V147" s="2114"/>
      <c r="W147" s="2114"/>
      <c r="X147" s="2114"/>
      <c r="Y147" s="2114"/>
      <c r="Z147" s="2114"/>
      <c r="AA147" s="2114"/>
      <c r="AB147" s="2114"/>
      <c r="AC147" s="2114"/>
      <c r="AD147" s="2114"/>
      <c r="AE147" s="2114"/>
      <c r="AF147" s="2114"/>
      <c r="AG147" s="2114"/>
      <c r="AH147" s="2114"/>
      <c r="AI147" s="2114"/>
      <c r="AJ147" s="2114"/>
      <c r="AK147" s="2114"/>
      <c r="AL147" s="2114"/>
      <c r="AM147" s="2114"/>
      <c r="AN147" s="2114"/>
      <c r="AO147" s="2114"/>
      <c r="AP147" s="2114"/>
      <c r="AQ147" s="2114"/>
      <c r="AR147" s="2114"/>
      <c r="AS147" s="2114"/>
      <c r="AT147" s="2114"/>
      <c r="AU147" s="2114"/>
      <c r="AV147" s="2114"/>
      <c r="AW147" s="2116"/>
      <c r="AX147" s="2116"/>
      <c r="AY147" s="2116"/>
      <c r="AZ147" s="2116"/>
      <c r="BA147" s="2116"/>
      <c r="BB147" s="2116"/>
      <c r="BC147" s="2116"/>
      <c r="BD147" s="2116"/>
      <c r="BE147" s="2116"/>
      <c r="BF147" s="405"/>
      <c r="BG147" s="406"/>
      <c r="BH147" s="301"/>
      <c r="BI147" s="405"/>
      <c r="BJ147" s="1205"/>
      <c r="BK147" s="1205"/>
      <c r="BL147" s="1205"/>
      <c r="BM147" s="1205"/>
      <c r="BN147" s="2106" t="s">
        <v>836</v>
      </c>
      <c r="BO147" s="2106"/>
      <c r="BP147" s="2106"/>
      <c r="BQ147" s="2106"/>
      <c r="BR147" s="2106"/>
      <c r="BS147" s="2106"/>
      <c r="BT147" s="2106"/>
      <c r="BU147" s="2106"/>
      <c r="BV147" s="2106"/>
      <c r="BW147" s="2106"/>
      <c r="BX147" s="2106"/>
      <c r="BY147" s="2106"/>
      <c r="BZ147" s="2106"/>
      <c r="CA147" s="2106"/>
      <c r="CB147" s="2106"/>
      <c r="CC147" s="2106"/>
      <c r="CD147" s="2106"/>
      <c r="CE147" s="2106"/>
      <c r="CF147" s="2106"/>
      <c r="CG147" s="2106"/>
      <c r="CH147" s="2106"/>
      <c r="CI147" s="2106"/>
      <c r="CJ147" s="2106"/>
      <c r="CK147" s="2106"/>
      <c r="CL147" s="2106"/>
      <c r="CM147" s="2106"/>
      <c r="CN147" s="2106"/>
      <c r="CO147" s="2106"/>
      <c r="CP147" s="2106"/>
      <c r="CQ147" s="2106"/>
      <c r="CR147" s="2106"/>
      <c r="CS147" s="2106"/>
      <c r="CT147" s="87"/>
      <c r="CU147" s="158" t="e">
        <f>HeroicLvl+ArmourFort</f>
        <v>#NAME?</v>
      </c>
      <c r="CV147" s="411"/>
      <c r="CW147" s="411"/>
      <c r="CX147" s="411"/>
      <c r="CY147" s="411"/>
      <c r="CZ147" s="411"/>
      <c r="DA147" s="411"/>
      <c r="DB147" s="411"/>
      <c r="DC147" s="411"/>
      <c r="DD147" s="160"/>
      <c r="DE147" s="87"/>
      <c r="DF147" s="87"/>
      <c r="DG147" s="87"/>
      <c r="DH147" s="87"/>
      <c r="DI147" s="87"/>
      <c r="DJ147" s="158" t="e">
        <f>HeroicLvl+ArmourFort</f>
        <v>#NAME?</v>
      </c>
      <c r="DK147" s="159"/>
      <c r="DL147" s="159"/>
      <c r="DM147" s="159"/>
      <c r="DN147" s="159"/>
      <c r="DO147" s="159"/>
      <c r="DP147" s="159"/>
      <c r="DQ147" s="159"/>
      <c r="DR147" s="160"/>
      <c r="DS147" s="87"/>
      <c r="DT147" s="87"/>
      <c r="DU147" s="87"/>
      <c r="DV147" s="158"/>
      <c r="DW147" s="159"/>
      <c r="DX147" s="159"/>
      <c r="DY147" s="159"/>
      <c r="DZ147" s="159"/>
      <c r="EA147" s="159"/>
      <c r="EB147" s="159"/>
      <c r="EC147" s="159"/>
      <c r="ED147" s="160"/>
      <c r="EE147" s="87"/>
      <c r="EF147" s="87"/>
      <c r="EG147" s="87"/>
      <c r="EH147" s="158"/>
      <c r="EI147" s="184"/>
      <c r="EJ147" s="184"/>
      <c r="EK147" s="184"/>
      <c r="EL147" s="184"/>
      <c r="EM147" s="184"/>
      <c r="EN147" s="184"/>
      <c r="EO147" s="184"/>
      <c r="EP147" s="160"/>
      <c r="EQ147" s="87"/>
      <c r="ER147" s="87"/>
      <c r="ES147" s="87"/>
      <c r="ET147" s="158"/>
      <c r="EU147" s="1649"/>
      <c r="EV147" s="1649"/>
      <c r="EW147" s="1649"/>
      <c r="EX147" s="1649"/>
      <c r="EY147" s="1649"/>
      <c r="EZ147" s="1649"/>
      <c r="FA147" s="1649"/>
      <c r="FB147" s="160"/>
      <c r="FC147" s="87"/>
      <c r="FD147" s="87"/>
      <c r="FE147" s="87"/>
      <c r="FF147" s="158"/>
      <c r="FG147" s="159"/>
      <c r="FH147" s="159"/>
      <c r="FI147" s="159"/>
      <c r="FJ147" s="159"/>
      <c r="FK147" s="159"/>
      <c r="FL147" s="159"/>
      <c r="FM147" s="159"/>
      <c r="FN147" s="160"/>
      <c r="FO147" s="87"/>
      <c r="FP147" s="988"/>
      <c r="FQ147" s="988"/>
      <c r="FR147" s="988"/>
      <c r="FS147" s="988"/>
      <c r="FT147" s="988"/>
      <c r="FU147" s="988"/>
      <c r="FV147" s="988"/>
      <c r="FW147" s="988"/>
      <c r="FX147" s="988"/>
      <c r="FY147" s="87"/>
      <c r="FZ147" s="87"/>
      <c r="GA147" s="87"/>
      <c r="GC147" s="1853"/>
      <c r="GD147" s="1853"/>
      <c r="GE147" s="1853"/>
      <c r="GF147" s="1853"/>
      <c r="GH147" s="1133"/>
    </row>
    <row r="148" spans="1:190" ht="9" customHeight="1">
      <c r="A148" s="109"/>
      <c r="B148" s="313"/>
      <c r="C148" s="301"/>
      <c r="D148" s="301"/>
      <c r="E148" s="643"/>
      <c r="F148" s="643"/>
      <c r="G148" s="643"/>
      <c r="H148" s="643"/>
      <c r="I148" s="643"/>
      <c r="J148" s="643"/>
      <c r="K148" s="301"/>
      <c r="L148" s="301"/>
      <c r="M148" s="301"/>
      <c r="N148" s="301"/>
      <c r="O148" s="301"/>
      <c r="P148" s="301"/>
      <c r="Q148" s="301"/>
      <c r="R148" s="301"/>
      <c r="S148" s="301"/>
      <c r="T148" s="301"/>
      <c r="U148" s="301"/>
      <c r="V148" s="301"/>
      <c r="W148" s="301"/>
      <c r="X148" s="301"/>
      <c r="Y148" s="301"/>
      <c r="Z148" s="301"/>
      <c r="AA148" s="301"/>
      <c r="AB148" s="301"/>
      <c r="AC148" s="301"/>
      <c r="AD148" s="301"/>
      <c r="AE148" s="301"/>
      <c r="AF148" s="301"/>
      <c r="AG148" s="301"/>
      <c r="AH148" s="301"/>
      <c r="AI148" s="301"/>
      <c r="AJ148" s="301"/>
      <c r="AK148" s="301"/>
      <c r="AL148" s="301"/>
      <c r="AM148" s="301"/>
      <c r="AN148" s="301"/>
      <c r="AO148" s="301"/>
      <c r="AP148" s="301"/>
      <c r="AQ148" s="301"/>
      <c r="AR148" s="301"/>
      <c r="AS148" s="301"/>
      <c r="AT148" s="301"/>
      <c r="AU148" s="301"/>
      <c r="AV148" s="301"/>
      <c r="AW148" s="1087"/>
      <c r="AX148" s="1087"/>
      <c r="AY148" s="1087"/>
      <c r="AZ148" s="1087"/>
      <c r="BA148" s="1087"/>
      <c r="BB148" s="1087"/>
      <c r="BC148" s="1087"/>
      <c r="BD148" s="1087"/>
      <c r="BE148" s="1087"/>
      <c r="BF148" s="405"/>
      <c r="BG148" s="406"/>
      <c r="BH148" s="301"/>
      <c r="BI148" s="405"/>
      <c r="BJ148" s="1205"/>
      <c r="BK148" s="1205"/>
      <c r="BL148" s="1205"/>
      <c r="BM148" s="1205"/>
      <c r="BN148" s="2106"/>
      <c r="BO148" s="2106"/>
      <c r="BP148" s="2106"/>
      <c r="BQ148" s="2106"/>
      <c r="BR148" s="2106"/>
      <c r="BS148" s="2106"/>
      <c r="BT148" s="2106"/>
      <c r="BU148" s="2106"/>
      <c r="BV148" s="2106"/>
      <c r="BW148" s="2106"/>
      <c r="BX148" s="2106"/>
      <c r="BY148" s="2106"/>
      <c r="BZ148" s="2106"/>
      <c r="CA148" s="2106"/>
      <c r="CB148" s="2106"/>
      <c r="CC148" s="2106"/>
      <c r="CD148" s="2106"/>
      <c r="CE148" s="2106"/>
      <c r="CF148" s="2106"/>
      <c r="CG148" s="2106"/>
      <c r="CH148" s="2106"/>
      <c r="CI148" s="2106"/>
      <c r="CJ148" s="2106"/>
      <c r="CK148" s="2106"/>
      <c r="CL148" s="2106"/>
      <c r="CM148" s="2106"/>
      <c r="CN148" s="2106"/>
      <c r="CO148" s="2106"/>
      <c r="CP148" s="2106"/>
      <c r="CQ148" s="2106"/>
      <c r="CR148" s="2106"/>
      <c r="CS148" s="2106"/>
      <c r="CT148" s="87"/>
      <c r="CU148" s="166"/>
      <c r="CV148" s="2107">
        <f ca="1">TreatInjury</f>
        <v>0</v>
      </c>
      <c r="CW148" s="2107"/>
      <c r="CX148" s="2107"/>
      <c r="CY148" s="2107"/>
      <c r="CZ148" s="2107"/>
      <c r="DA148" s="2107"/>
      <c r="DB148" s="2107"/>
      <c r="DC148" s="2107"/>
      <c r="DD148" s="167"/>
      <c r="DE148" s="87"/>
      <c r="DF148" s="117"/>
      <c r="DG148" s="117"/>
      <c r="DH148" s="117"/>
      <c r="DI148" s="87"/>
      <c r="DJ148" s="166"/>
      <c r="DK148" s="1991">
        <f>ROUNDDOWN(CharacterLevel/2,0)</f>
        <v>0</v>
      </c>
      <c r="DL148" s="1991"/>
      <c r="DM148" s="1991"/>
      <c r="DN148" s="1991"/>
      <c r="DO148" s="1991"/>
      <c r="DP148" s="1991"/>
      <c r="DQ148" s="1991"/>
      <c r="DR148" s="167"/>
      <c r="DS148" s="87"/>
      <c r="DT148" s="87"/>
      <c r="DU148" s="87"/>
      <c r="DV148" s="166"/>
      <c r="DW148" s="1991" t="str">
        <f>WisMod</f>
        <v/>
      </c>
      <c r="DX148" s="1991"/>
      <c r="DY148" s="1991"/>
      <c r="DZ148" s="1991"/>
      <c r="EA148" s="1991"/>
      <c r="EB148" s="1991"/>
      <c r="EC148" s="1991"/>
      <c r="ED148" s="167"/>
      <c r="EE148" s="87"/>
      <c r="EF148" s="87"/>
      <c r="EG148" s="87"/>
      <c r="EH148" s="166"/>
      <c r="EI148" s="1991" t="str">
        <f>IF(CharacterLevel&gt;0,IF(OR(INDEX(SkillTable,MATCH(BN147,SkillList,0),4)="Yes",INDEX(SkillTable,MATCH(BN147,SkillList,0),5)="Yes"),5,0),"")</f>
        <v/>
      </c>
      <c r="EJ148" s="1991"/>
      <c r="EK148" s="1991"/>
      <c r="EL148" s="1991"/>
      <c r="EM148" s="1991"/>
      <c r="EN148" s="1991"/>
      <c r="EO148" s="1991"/>
      <c r="EP148" s="264"/>
      <c r="EQ148" s="265"/>
      <c r="ER148" s="265"/>
      <c r="ES148" s="265"/>
      <c r="ET148" s="266"/>
      <c r="EU148" s="1991" t="b">
        <f>IF(CharacterLevel&gt;0,IF(Skills!R33="Yes",5,0))</f>
        <v>0</v>
      </c>
      <c r="EV148" s="1991"/>
      <c r="EW148" s="1991"/>
      <c r="EX148" s="1991"/>
      <c r="EY148" s="1991"/>
      <c r="EZ148" s="1991"/>
      <c r="FA148" s="1991"/>
      <c r="FB148" s="167"/>
      <c r="FC148" s="265"/>
      <c r="FD148" s="265"/>
      <c r="FE148" s="265"/>
      <c r="FF148" s="266"/>
      <c r="FG148" s="1991">
        <f>ArmorPenalty+INDEX(SkillTable,MATCH(BN147,SkillList,0),12)</f>
        <v>0</v>
      </c>
      <c r="FH148" s="1991"/>
      <c r="FI148" s="1991"/>
      <c r="FJ148" s="1991"/>
      <c r="FK148" s="1991"/>
      <c r="FL148" s="1991"/>
      <c r="FM148" s="1991"/>
      <c r="FN148" s="167"/>
      <c r="FO148" s="87"/>
      <c r="FP148" s="2124" t="str">
        <f>IF(INDEX(SkillTable,MATCH(BN147,SkillList,0),77)&lt;&gt;"","×","")</f>
        <v/>
      </c>
      <c r="FQ148" s="2125"/>
      <c r="FR148" s="2125"/>
      <c r="FS148" s="2126"/>
      <c r="FT148" s="988"/>
      <c r="FU148" s="2124" t="str">
        <f>IF(INDEX(SkillTable,MATCH(BN147,SkillList,0),78)&lt;&gt;"","×","")</f>
        <v/>
      </c>
      <c r="FV148" s="2125"/>
      <c r="FW148" s="2125"/>
      <c r="FX148" s="2126"/>
      <c r="FY148" s="87"/>
      <c r="FZ148" s="87"/>
      <c r="GA148" s="87"/>
      <c r="GD148" s="714"/>
      <c r="GE148" s="714"/>
      <c r="GF148" s="714"/>
      <c r="GH148" s="1135" t="e">
        <f ca="1">IF(INDEX(SkillTable,MATCH(BN147,SkillList,0),14),1,0)</f>
        <v>#VALUE!</v>
      </c>
    </row>
    <row r="149" spans="1:190" ht="9" customHeight="1">
      <c r="A149" s="87"/>
      <c r="B149" s="313"/>
      <c r="C149" s="2113" t="str">
        <f>IF(Race="","",IF(NOT(ISERROR(GD149)),MID(EquipmentNameList,GD145+1,GD149-GD145-1),""))</f>
        <v/>
      </c>
      <c r="D149" s="2113"/>
      <c r="E149" s="2113"/>
      <c r="F149" s="2113"/>
      <c r="G149" s="2113"/>
      <c r="H149" s="2113"/>
      <c r="I149" s="2113"/>
      <c r="J149" s="2113"/>
      <c r="K149" s="2113"/>
      <c r="L149" s="2113"/>
      <c r="M149" s="2113"/>
      <c r="N149" s="2113"/>
      <c r="O149" s="2113"/>
      <c r="P149" s="2113"/>
      <c r="Q149" s="2113"/>
      <c r="R149" s="2113"/>
      <c r="S149" s="2113"/>
      <c r="T149" s="2113"/>
      <c r="U149" s="2113"/>
      <c r="V149" s="2113"/>
      <c r="W149" s="2113"/>
      <c r="X149" s="2113"/>
      <c r="Y149" s="2113"/>
      <c r="Z149" s="2113"/>
      <c r="AA149" s="2113"/>
      <c r="AB149" s="2113"/>
      <c r="AC149" s="2113"/>
      <c r="AD149" s="2113"/>
      <c r="AE149" s="2113"/>
      <c r="AF149" s="2113"/>
      <c r="AG149" s="2113"/>
      <c r="AH149" s="2113"/>
      <c r="AI149" s="2113"/>
      <c r="AJ149" s="2113"/>
      <c r="AK149" s="2113"/>
      <c r="AL149" s="2113"/>
      <c r="AM149" s="2113"/>
      <c r="AN149" s="2113"/>
      <c r="AO149" s="2113"/>
      <c r="AP149" s="2113"/>
      <c r="AQ149" s="2113"/>
      <c r="AR149" s="2113"/>
      <c r="AS149" s="2113"/>
      <c r="AT149" s="2113"/>
      <c r="AU149" s="2113"/>
      <c r="AV149" s="2113"/>
      <c r="AW149" s="2115" t="str">
        <f>IF(Race="","",IF(NOT(ISERROR(GE149)),VALUE(MID(EquipmentWeightList,GE145+1,GE149-GE145-1)),""))</f>
        <v/>
      </c>
      <c r="AX149" s="2115"/>
      <c r="AY149" s="2115"/>
      <c r="AZ149" s="2115"/>
      <c r="BA149" s="2115"/>
      <c r="BB149" s="2115"/>
      <c r="BC149" s="2115"/>
      <c r="BD149" s="2115"/>
      <c r="BE149" s="2115"/>
      <c r="BF149" s="405"/>
      <c r="BG149" s="406"/>
      <c r="BH149" s="301"/>
      <c r="BI149" s="405"/>
      <c r="BJ149" s="1205"/>
      <c r="BK149" s="1205"/>
      <c r="BL149" s="1205"/>
      <c r="BM149" s="1205"/>
      <c r="BN149" s="2106"/>
      <c r="BO149" s="2106"/>
      <c r="BP149" s="2106"/>
      <c r="BQ149" s="2106"/>
      <c r="BR149" s="2106"/>
      <c r="BS149" s="2106"/>
      <c r="BT149" s="2106"/>
      <c r="BU149" s="2106"/>
      <c r="BV149" s="2106"/>
      <c r="BW149" s="2106"/>
      <c r="BX149" s="2106"/>
      <c r="BY149" s="2106"/>
      <c r="BZ149" s="2106"/>
      <c r="CA149" s="2106"/>
      <c r="CB149" s="2106"/>
      <c r="CC149" s="2106"/>
      <c r="CD149" s="2106"/>
      <c r="CE149" s="2106"/>
      <c r="CF149" s="2106"/>
      <c r="CG149" s="2106"/>
      <c r="CH149" s="2106"/>
      <c r="CI149" s="2106"/>
      <c r="CJ149" s="2106"/>
      <c r="CK149" s="2106"/>
      <c r="CL149" s="2106"/>
      <c r="CM149" s="2106"/>
      <c r="CN149" s="2106"/>
      <c r="CO149" s="2106"/>
      <c r="CP149" s="2106"/>
      <c r="CQ149" s="2106"/>
      <c r="CR149" s="2106"/>
      <c r="CS149" s="2106"/>
      <c r="CT149" s="87"/>
      <c r="CU149" s="166"/>
      <c r="CV149" s="2107"/>
      <c r="CW149" s="2107"/>
      <c r="CX149" s="2107"/>
      <c r="CY149" s="2107"/>
      <c r="CZ149" s="2107"/>
      <c r="DA149" s="2107"/>
      <c r="DB149" s="2107"/>
      <c r="DC149" s="2107"/>
      <c r="DD149" s="167"/>
      <c r="DE149" s="87"/>
      <c r="DF149" s="87"/>
      <c r="DG149" s="87"/>
      <c r="DH149" s="87"/>
      <c r="DI149" s="87"/>
      <c r="DJ149" s="166"/>
      <c r="DK149" s="1991"/>
      <c r="DL149" s="1991"/>
      <c r="DM149" s="1991"/>
      <c r="DN149" s="1991"/>
      <c r="DO149" s="1991"/>
      <c r="DP149" s="1991"/>
      <c r="DQ149" s="1991"/>
      <c r="DR149" s="167"/>
      <c r="DS149" s="117"/>
      <c r="DT149" s="117"/>
      <c r="DU149" s="117"/>
      <c r="DV149" s="166"/>
      <c r="DW149" s="1991"/>
      <c r="DX149" s="1991"/>
      <c r="DY149" s="1991"/>
      <c r="DZ149" s="1991"/>
      <c r="EA149" s="1991"/>
      <c r="EB149" s="1991"/>
      <c r="EC149" s="1991"/>
      <c r="ED149" s="167"/>
      <c r="EE149" s="117"/>
      <c r="EF149" s="117"/>
      <c r="EG149" s="117"/>
      <c r="EH149" s="166"/>
      <c r="EI149" s="1991"/>
      <c r="EJ149" s="1991"/>
      <c r="EK149" s="1991"/>
      <c r="EL149" s="1991"/>
      <c r="EM149" s="1991"/>
      <c r="EN149" s="1991"/>
      <c r="EO149" s="1991"/>
      <c r="EP149" s="264"/>
      <c r="EQ149" s="117"/>
      <c r="ER149" s="117"/>
      <c r="ES149" s="117"/>
      <c r="ET149" s="266"/>
      <c r="EU149" s="1991"/>
      <c r="EV149" s="1991"/>
      <c r="EW149" s="1991"/>
      <c r="EX149" s="1991"/>
      <c r="EY149" s="1991"/>
      <c r="EZ149" s="1991"/>
      <c r="FA149" s="1991"/>
      <c r="FB149" s="167"/>
      <c r="FC149" s="117"/>
      <c r="FD149" s="117"/>
      <c r="FE149" s="117"/>
      <c r="FF149" s="266"/>
      <c r="FG149" s="1991"/>
      <c r="FH149" s="1991"/>
      <c r="FI149" s="1991"/>
      <c r="FJ149" s="1991"/>
      <c r="FK149" s="1991"/>
      <c r="FL149" s="1991"/>
      <c r="FM149" s="1991"/>
      <c r="FN149" s="167"/>
      <c r="FO149" s="117"/>
      <c r="FP149" s="2127"/>
      <c r="FQ149" s="2081"/>
      <c r="FR149" s="2081"/>
      <c r="FS149" s="2128"/>
      <c r="FT149" s="989"/>
      <c r="FU149" s="2127"/>
      <c r="FV149" s="2081"/>
      <c r="FW149" s="2081"/>
      <c r="FX149" s="2128"/>
      <c r="FY149" s="87"/>
      <c r="FZ149" s="87"/>
      <c r="GA149" s="87"/>
      <c r="GC149" s="1853">
        <f>GC145+1</f>
        <v>35</v>
      </c>
      <c r="GD149" s="1853" t="e">
        <f>FIND(";",EquipmentNameList,GD145+1)</f>
        <v>#VALUE!</v>
      </c>
      <c r="GE149" s="1853" t="e">
        <f>FIND(";",EquipmentWeightList,GE145+1)</f>
        <v>#VALUE!</v>
      </c>
      <c r="GF149" s="1853" t="e">
        <f>FIND(";",EquipmentNumberList,GF145+1)</f>
        <v>#VALUE!</v>
      </c>
      <c r="GH149" s="1133"/>
    </row>
    <row r="150" spans="1:190" ht="9" customHeight="1" thickBot="1">
      <c r="A150" s="87"/>
      <c r="B150" s="313"/>
      <c r="C150" s="2113"/>
      <c r="D150" s="2113"/>
      <c r="E150" s="2113"/>
      <c r="F150" s="2113"/>
      <c r="G150" s="2113"/>
      <c r="H150" s="2113"/>
      <c r="I150" s="2113"/>
      <c r="J150" s="2113"/>
      <c r="K150" s="2113"/>
      <c r="L150" s="2113"/>
      <c r="M150" s="2113"/>
      <c r="N150" s="2113"/>
      <c r="O150" s="2113"/>
      <c r="P150" s="2113"/>
      <c r="Q150" s="2113"/>
      <c r="R150" s="2113"/>
      <c r="S150" s="2113"/>
      <c r="T150" s="2113"/>
      <c r="U150" s="2113"/>
      <c r="V150" s="2113"/>
      <c r="W150" s="2113"/>
      <c r="X150" s="2113"/>
      <c r="Y150" s="2113"/>
      <c r="Z150" s="2113"/>
      <c r="AA150" s="2113"/>
      <c r="AB150" s="2113"/>
      <c r="AC150" s="2113"/>
      <c r="AD150" s="2113"/>
      <c r="AE150" s="2113"/>
      <c r="AF150" s="2113"/>
      <c r="AG150" s="2113"/>
      <c r="AH150" s="2113"/>
      <c r="AI150" s="2113"/>
      <c r="AJ150" s="2113"/>
      <c r="AK150" s="2113"/>
      <c r="AL150" s="2113"/>
      <c r="AM150" s="2113"/>
      <c r="AN150" s="2113"/>
      <c r="AO150" s="2113"/>
      <c r="AP150" s="2113"/>
      <c r="AQ150" s="2113"/>
      <c r="AR150" s="2113"/>
      <c r="AS150" s="2113"/>
      <c r="AT150" s="2113"/>
      <c r="AU150" s="2113"/>
      <c r="AV150" s="2113"/>
      <c r="AW150" s="2115"/>
      <c r="AX150" s="2115"/>
      <c r="AY150" s="2115"/>
      <c r="AZ150" s="2115"/>
      <c r="BA150" s="2115"/>
      <c r="BB150" s="2115"/>
      <c r="BC150" s="2115"/>
      <c r="BD150" s="2115"/>
      <c r="BE150" s="2115"/>
      <c r="BF150" s="405"/>
      <c r="BG150" s="406"/>
      <c r="BH150" s="301"/>
      <c r="BI150" s="405"/>
      <c r="BJ150" s="1205"/>
      <c r="BK150" s="1205"/>
      <c r="BL150" s="1205"/>
      <c r="BM150" s="1205"/>
      <c r="BN150" s="2106"/>
      <c r="BO150" s="2106"/>
      <c r="BP150" s="2106"/>
      <c r="BQ150" s="2106"/>
      <c r="BR150" s="2106"/>
      <c r="BS150" s="2106"/>
      <c r="BT150" s="2106"/>
      <c r="BU150" s="2106"/>
      <c r="BV150" s="2106"/>
      <c r="BW150" s="2106"/>
      <c r="BX150" s="2106"/>
      <c r="BY150" s="2106"/>
      <c r="BZ150" s="2106"/>
      <c r="CA150" s="2106"/>
      <c r="CB150" s="2106"/>
      <c r="CC150" s="2106"/>
      <c r="CD150" s="2106"/>
      <c r="CE150" s="2106"/>
      <c r="CF150" s="2106"/>
      <c r="CG150" s="2106"/>
      <c r="CH150" s="2106"/>
      <c r="CI150" s="2106"/>
      <c r="CJ150" s="2106"/>
      <c r="CK150" s="2106"/>
      <c r="CL150" s="2106"/>
      <c r="CM150" s="2106"/>
      <c r="CN150" s="2106"/>
      <c r="CO150" s="2106"/>
      <c r="CP150" s="2106"/>
      <c r="CQ150" s="2106"/>
      <c r="CR150" s="2106"/>
      <c r="CS150" s="2106"/>
      <c r="CT150" s="87"/>
      <c r="CU150" s="166"/>
      <c r="CV150" s="2107"/>
      <c r="CW150" s="2107"/>
      <c r="CX150" s="2107"/>
      <c r="CY150" s="2107"/>
      <c r="CZ150" s="2107"/>
      <c r="DA150" s="2107"/>
      <c r="DB150" s="2107"/>
      <c r="DC150" s="2107"/>
      <c r="DD150" s="167"/>
      <c r="DE150" s="87"/>
      <c r="DF150" s="117"/>
      <c r="DG150" s="117"/>
      <c r="DH150" s="117"/>
      <c r="DI150" s="87"/>
      <c r="DJ150" s="166"/>
      <c r="DK150" s="1991"/>
      <c r="DL150" s="1991"/>
      <c r="DM150" s="1991"/>
      <c r="DN150" s="1991"/>
      <c r="DO150" s="1991"/>
      <c r="DP150" s="1991"/>
      <c r="DQ150" s="1991"/>
      <c r="DR150" s="167"/>
      <c r="DS150" s="87"/>
      <c r="DT150" s="87"/>
      <c r="DU150" s="87"/>
      <c r="DV150" s="166"/>
      <c r="DW150" s="1991"/>
      <c r="DX150" s="1991"/>
      <c r="DY150" s="1991"/>
      <c r="DZ150" s="1991"/>
      <c r="EA150" s="1991"/>
      <c r="EB150" s="1991"/>
      <c r="EC150" s="1991"/>
      <c r="ED150" s="167"/>
      <c r="EE150" s="87"/>
      <c r="EF150" s="87"/>
      <c r="EG150" s="87"/>
      <c r="EH150" s="166"/>
      <c r="EI150" s="1991"/>
      <c r="EJ150" s="1991"/>
      <c r="EK150" s="1991"/>
      <c r="EL150" s="1991"/>
      <c r="EM150" s="1991"/>
      <c r="EN150" s="1991"/>
      <c r="EO150" s="1991"/>
      <c r="EP150" s="264"/>
      <c r="EQ150" s="87"/>
      <c r="ER150" s="87"/>
      <c r="ES150" s="87"/>
      <c r="ET150" s="266"/>
      <c r="EU150" s="1991"/>
      <c r="EV150" s="1991"/>
      <c r="EW150" s="1991"/>
      <c r="EX150" s="1991"/>
      <c r="EY150" s="1991"/>
      <c r="EZ150" s="1991"/>
      <c r="FA150" s="1991"/>
      <c r="FB150" s="167"/>
      <c r="FC150" s="87"/>
      <c r="FD150" s="87"/>
      <c r="FE150" s="87"/>
      <c r="FF150" s="266"/>
      <c r="FG150" s="1991"/>
      <c r="FH150" s="1991"/>
      <c r="FI150" s="1991"/>
      <c r="FJ150" s="1991"/>
      <c r="FK150" s="1991"/>
      <c r="FL150" s="1991"/>
      <c r="FM150" s="1991"/>
      <c r="FN150" s="167"/>
      <c r="FO150" s="87"/>
      <c r="FP150" s="2129"/>
      <c r="FQ150" s="2130"/>
      <c r="FR150" s="2130"/>
      <c r="FS150" s="2131"/>
      <c r="FT150" s="988"/>
      <c r="FU150" s="2129"/>
      <c r="FV150" s="2130"/>
      <c r="FW150" s="2130"/>
      <c r="FX150" s="2131"/>
      <c r="FY150" s="87"/>
      <c r="FZ150" s="87"/>
      <c r="GA150" s="87"/>
      <c r="GC150" s="1853"/>
      <c r="GD150" s="1853"/>
      <c r="GE150" s="1853"/>
      <c r="GF150" s="1853"/>
      <c r="GH150" s="1133"/>
    </row>
    <row r="151" spans="1:190" ht="9" customHeight="1" thickBot="1">
      <c r="A151" s="87"/>
      <c r="B151" s="313"/>
      <c r="C151" s="2114"/>
      <c r="D151" s="2114"/>
      <c r="E151" s="2114"/>
      <c r="F151" s="2114"/>
      <c r="G151" s="2114"/>
      <c r="H151" s="2114"/>
      <c r="I151" s="2114"/>
      <c r="J151" s="2114"/>
      <c r="K151" s="2114"/>
      <c r="L151" s="2114"/>
      <c r="M151" s="2114"/>
      <c r="N151" s="2114"/>
      <c r="O151" s="2114"/>
      <c r="P151" s="2114"/>
      <c r="Q151" s="2114"/>
      <c r="R151" s="2114"/>
      <c r="S151" s="2114"/>
      <c r="T151" s="2114"/>
      <c r="U151" s="2114"/>
      <c r="V151" s="2114"/>
      <c r="W151" s="2114"/>
      <c r="X151" s="2114"/>
      <c r="Y151" s="2114"/>
      <c r="Z151" s="2114"/>
      <c r="AA151" s="2114"/>
      <c r="AB151" s="2114"/>
      <c r="AC151" s="2114"/>
      <c r="AD151" s="2114"/>
      <c r="AE151" s="2114"/>
      <c r="AF151" s="2114"/>
      <c r="AG151" s="2114"/>
      <c r="AH151" s="2114"/>
      <c r="AI151" s="2114"/>
      <c r="AJ151" s="2114"/>
      <c r="AK151" s="2114"/>
      <c r="AL151" s="2114"/>
      <c r="AM151" s="2114"/>
      <c r="AN151" s="2114"/>
      <c r="AO151" s="2114"/>
      <c r="AP151" s="2114"/>
      <c r="AQ151" s="2114"/>
      <c r="AR151" s="2114"/>
      <c r="AS151" s="2114"/>
      <c r="AT151" s="2114"/>
      <c r="AU151" s="2114"/>
      <c r="AV151" s="2114"/>
      <c r="AW151" s="2116"/>
      <c r="AX151" s="2116"/>
      <c r="AY151" s="2116"/>
      <c r="AZ151" s="2116"/>
      <c r="BA151" s="2116"/>
      <c r="BB151" s="2116"/>
      <c r="BC151" s="2116"/>
      <c r="BD151" s="2116"/>
      <c r="BE151" s="2116"/>
      <c r="BF151" s="405"/>
      <c r="BG151" s="406"/>
      <c r="BH151" s="301"/>
      <c r="BI151" s="405"/>
      <c r="BJ151" s="1205"/>
      <c r="BK151" s="1205"/>
      <c r="BL151" s="1205"/>
      <c r="BM151" s="1205"/>
      <c r="BN151" s="2106"/>
      <c r="BO151" s="2106"/>
      <c r="BP151" s="2106"/>
      <c r="BQ151" s="2106"/>
      <c r="BR151" s="2106"/>
      <c r="BS151" s="2106"/>
      <c r="BT151" s="2106"/>
      <c r="BU151" s="2106"/>
      <c r="BV151" s="2106"/>
      <c r="BW151" s="2106"/>
      <c r="BX151" s="2106"/>
      <c r="BY151" s="2106"/>
      <c r="BZ151" s="2106"/>
      <c r="CA151" s="2106"/>
      <c r="CB151" s="2106"/>
      <c r="CC151" s="2106"/>
      <c r="CD151" s="2106"/>
      <c r="CE151" s="2106"/>
      <c r="CF151" s="2106"/>
      <c r="CG151" s="2106"/>
      <c r="CH151" s="2106"/>
      <c r="CI151" s="2106"/>
      <c r="CJ151" s="2106"/>
      <c r="CK151" s="2106"/>
      <c r="CL151" s="2106"/>
      <c r="CM151" s="2106"/>
      <c r="CN151" s="2106"/>
      <c r="CO151" s="2106"/>
      <c r="CP151" s="2106"/>
      <c r="CQ151" s="2106"/>
      <c r="CR151" s="2106"/>
      <c r="CS151" s="2106"/>
      <c r="CT151" s="87"/>
      <c r="CU151" s="160"/>
      <c r="CV151" s="409"/>
      <c r="CW151" s="409"/>
      <c r="CX151" s="409"/>
      <c r="CY151" s="409"/>
      <c r="CZ151" s="409"/>
      <c r="DA151" s="409"/>
      <c r="DB151" s="409"/>
      <c r="DC151" s="409"/>
      <c r="DD151" s="158"/>
      <c r="DE151" s="87"/>
      <c r="DF151" s="87"/>
      <c r="DG151" s="87"/>
      <c r="DH151" s="87"/>
      <c r="DI151" s="87"/>
      <c r="DJ151" s="160"/>
      <c r="DK151" s="240"/>
      <c r="DL151" s="240"/>
      <c r="DM151" s="240"/>
      <c r="DN151" s="240"/>
      <c r="DO151" s="240"/>
      <c r="DP151" s="240"/>
      <c r="DQ151" s="240"/>
      <c r="DR151" s="158"/>
      <c r="DS151" s="87"/>
      <c r="DT151" s="87"/>
      <c r="DU151" s="87"/>
      <c r="DV151" s="160"/>
      <c r="DW151" s="240"/>
      <c r="DX151" s="240"/>
      <c r="DY151" s="240"/>
      <c r="DZ151" s="240"/>
      <c r="EA151" s="240"/>
      <c r="EB151" s="240"/>
      <c r="EC151" s="240"/>
      <c r="ED151" s="158"/>
      <c r="EE151" s="87"/>
      <c r="EF151" s="87"/>
      <c r="EG151" s="87"/>
      <c r="EH151" s="160"/>
      <c r="EI151" s="204"/>
      <c r="EJ151" s="204"/>
      <c r="EK151" s="204"/>
      <c r="EL151" s="204"/>
      <c r="EM151" s="204"/>
      <c r="EN151" s="204"/>
      <c r="EO151" s="204"/>
      <c r="EP151" s="274"/>
      <c r="EQ151" s="87"/>
      <c r="ER151" s="87"/>
      <c r="ES151" s="87"/>
      <c r="ET151" s="203"/>
      <c r="EU151" s="204"/>
      <c r="EV151" s="204"/>
      <c r="EW151" s="204"/>
      <c r="EX151" s="204"/>
      <c r="EY151" s="204"/>
      <c r="EZ151" s="204"/>
      <c r="FA151" s="204"/>
      <c r="FB151" s="158"/>
      <c r="FC151" s="87"/>
      <c r="FD151" s="87"/>
      <c r="FE151" s="87"/>
      <c r="FF151" s="203"/>
      <c r="FG151" s="204"/>
      <c r="FH151" s="204"/>
      <c r="FI151" s="204"/>
      <c r="FJ151" s="204"/>
      <c r="FK151" s="204"/>
      <c r="FL151" s="204"/>
      <c r="FM151" s="204"/>
      <c r="FN151" s="158"/>
      <c r="FO151" s="87"/>
      <c r="FP151" s="988"/>
      <c r="FQ151" s="988"/>
      <c r="FR151" s="988"/>
      <c r="FS151" s="988"/>
      <c r="FT151" s="988"/>
      <c r="FU151" s="988"/>
      <c r="FV151" s="988"/>
      <c r="FW151" s="988"/>
      <c r="FX151" s="988"/>
      <c r="FY151" s="87"/>
      <c r="FZ151" s="87"/>
      <c r="GA151" s="87"/>
      <c r="GC151" s="1853"/>
      <c r="GD151" s="1853"/>
      <c r="GE151" s="1853"/>
      <c r="GF151" s="1853"/>
      <c r="GH151" s="1133"/>
    </row>
    <row r="152" spans="1:190" ht="9" customHeight="1" thickBot="1">
      <c r="A152" s="87"/>
      <c r="B152" s="313"/>
      <c r="C152" s="301"/>
      <c r="D152" s="301"/>
      <c r="E152" s="643"/>
      <c r="F152" s="643"/>
      <c r="G152" s="643"/>
      <c r="H152" s="643"/>
      <c r="I152" s="643"/>
      <c r="J152" s="643"/>
      <c r="K152" s="301"/>
      <c r="L152" s="301"/>
      <c r="M152" s="301"/>
      <c r="N152" s="301"/>
      <c r="O152" s="301"/>
      <c r="P152" s="301"/>
      <c r="Q152" s="301"/>
      <c r="R152" s="301"/>
      <c r="S152" s="301"/>
      <c r="T152" s="301"/>
      <c r="U152" s="301"/>
      <c r="V152" s="301"/>
      <c r="W152" s="301"/>
      <c r="X152" s="301"/>
      <c r="Y152" s="301"/>
      <c r="Z152" s="301"/>
      <c r="AA152" s="301"/>
      <c r="AB152" s="301"/>
      <c r="AC152" s="301"/>
      <c r="AD152" s="301"/>
      <c r="AE152" s="301"/>
      <c r="AF152" s="301"/>
      <c r="AG152" s="301"/>
      <c r="AH152" s="301"/>
      <c r="AI152" s="301"/>
      <c r="AJ152" s="301"/>
      <c r="AK152" s="301"/>
      <c r="AL152" s="301"/>
      <c r="AM152" s="301"/>
      <c r="AN152" s="301"/>
      <c r="AO152" s="301"/>
      <c r="AP152" s="301"/>
      <c r="AQ152" s="301"/>
      <c r="AR152" s="301"/>
      <c r="AS152" s="301"/>
      <c r="AT152" s="301"/>
      <c r="AU152" s="301"/>
      <c r="AV152" s="301"/>
      <c r="AW152" s="1087"/>
      <c r="AX152" s="1087"/>
      <c r="AY152" s="1087"/>
      <c r="AZ152" s="1087"/>
      <c r="BA152" s="1087"/>
      <c r="BB152" s="1087"/>
      <c r="BC152" s="1087"/>
      <c r="BD152" s="1087"/>
      <c r="BE152" s="1087"/>
      <c r="BF152" s="405"/>
      <c r="BG152" s="406"/>
      <c r="BH152" s="301"/>
      <c r="BI152" s="405"/>
      <c r="BJ152" s="1205"/>
      <c r="BK152" s="1205"/>
      <c r="BL152" s="1205"/>
      <c r="BM152" s="1205"/>
      <c r="BN152" s="1205"/>
      <c r="BO152" s="1224"/>
      <c r="BP152" s="1224"/>
      <c r="BQ152" s="1224"/>
      <c r="BR152" s="1224"/>
      <c r="BS152" s="1224"/>
      <c r="BT152" s="1224"/>
      <c r="BU152" s="1224"/>
      <c r="BV152" s="1224"/>
      <c r="BW152" s="1224"/>
      <c r="BX152" s="1224"/>
      <c r="BY152" s="1224"/>
      <c r="BZ152" s="1224"/>
      <c r="CA152" s="1224"/>
      <c r="CB152" s="1224"/>
      <c r="CC152" s="1224"/>
      <c r="CD152" s="1205"/>
      <c r="CE152" s="1205"/>
      <c r="CF152" s="1205"/>
      <c r="CG152" s="1205"/>
      <c r="CH152" s="1205"/>
      <c r="CI152" s="1224"/>
      <c r="CJ152" s="1224"/>
      <c r="CK152" s="1224"/>
      <c r="CL152" s="1224"/>
      <c r="CM152" s="1224"/>
      <c r="CN152" s="1224"/>
      <c r="CO152" s="1224"/>
      <c r="CP152" s="1224"/>
      <c r="CQ152" s="1223"/>
      <c r="CR152" s="1205"/>
      <c r="CS152" s="1205"/>
      <c r="CT152" s="301"/>
      <c r="CU152" s="423"/>
      <c r="CV152" s="438"/>
      <c r="CW152" s="438"/>
      <c r="CX152" s="438"/>
      <c r="CY152" s="438"/>
      <c r="CZ152" s="438"/>
      <c r="DA152" s="438"/>
      <c r="DB152" s="438"/>
      <c r="DC152" s="438"/>
      <c r="DD152" s="301"/>
      <c r="DE152" s="301"/>
      <c r="DF152" s="301"/>
      <c r="DG152" s="301"/>
      <c r="DH152" s="301"/>
      <c r="DI152" s="301"/>
      <c r="DJ152" s="301"/>
      <c r="DK152" s="301"/>
      <c r="DL152" s="301"/>
      <c r="DM152" s="301"/>
      <c r="DN152" s="301"/>
      <c r="DO152" s="301"/>
      <c r="DP152" s="301"/>
      <c r="DQ152" s="301"/>
      <c r="DR152" s="301"/>
      <c r="DS152" s="301"/>
      <c r="DT152" s="301"/>
      <c r="DU152" s="301"/>
      <c r="DV152" s="301"/>
      <c r="DW152" s="301"/>
      <c r="DX152" s="301"/>
      <c r="DY152" s="301"/>
      <c r="DZ152" s="301"/>
      <c r="EA152" s="301"/>
      <c r="EB152" s="424"/>
      <c r="EC152" s="424"/>
      <c r="ED152" s="424"/>
      <c r="EE152" s="424"/>
      <c r="EF152" s="424"/>
      <c r="EG152" s="424"/>
      <c r="EH152" s="424"/>
      <c r="EI152" s="301"/>
      <c r="EJ152" s="301"/>
      <c r="EK152" s="301"/>
      <c r="EL152" s="301"/>
      <c r="EM152" s="424"/>
      <c r="EN152" s="424"/>
      <c r="EO152" s="424"/>
      <c r="EP152" s="424"/>
      <c r="EQ152" s="424"/>
      <c r="ER152" s="424"/>
      <c r="ES152" s="424"/>
      <c r="ET152" s="301"/>
      <c r="EU152" s="301"/>
      <c r="EV152" s="301"/>
      <c r="EW152" s="301"/>
      <c r="EX152" s="301"/>
      <c r="EY152" s="301"/>
      <c r="EZ152" s="301"/>
      <c r="FA152" s="301"/>
      <c r="FB152" s="301"/>
      <c r="FC152" s="301"/>
      <c r="FD152" s="301"/>
      <c r="FE152" s="301"/>
      <c r="FF152" s="301"/>
      <c r="FG152" s="301"/>
      <c r="FH152" s="301"/>
      <c r="FI152" s="301"/>
      <c r="FJ152" s="301"/>
      <c r="FK152" s="301"/>
      <c r="FL152" s="301"/>
      <c r="FM152" s="301"/>
      <c r="FN152" s="301"/>
      <c r="FO152" s="301"/>
      <c r="FP152" s="988"/>
      <c r="FQ152" s="988"/>
      <c r="FR152" s="988"/>
      <c r="FS152" s="988"/>
      <c r="FT152" s="988"/>
      <c r="FU152" s="988"/>
      <c r="FV152" s="988"/>
      <c r="FW152" s="988"/>
      <c r="FX152" s="988"/>
      <c r="FY152" s="87"/>
      <c r="FZ152" s="87"/>
      <c r="GA152" s="87"/>
      <c r="GD152" s="714"/>
      <c r="GE152" s="714"/>
      <c r="GF152" s="714"/>
      <c r="GH152" s="1133"/>
    </row>
    <row r="153" spans="1:190" ht="9" customHeight="1" thickBot="1">
      <c r="A153" s="87"/>
      <c r="B153" s="313"/>
      <c r="C153" s="2113" t="str">
        <f>IF(Race="","",IF(NOT(ISERROR(GD153)),MID(EquipmentNameList,GD149+1,GD153-GD149-1),""))</f>
        <v/>
      </c>
      <c r="D153" s="2113"/>
      <c r="E153" s="2113"/>
      <c r="F153" s="2113"/>
      <c r="G153" s="2113"/>
      <c r="H153" s="2113"/>
      <c r="I153" s="2113"/>
      <c r="J153" s="2113"/>
      <c r="K153" s="2113"/>
      <c r="L153" s="2113"/>
      <c r="M153" s="2113"/>
      <c r="N153" s="2113"/>
      <c r="O153" s="2113"/>
      <c r="P153" s="2113"/>
      <c r="Q153" s="2113"/>
      <c r="R153" s="2113"/>
      <c r="S153" s="2113"/>
      <c r="T153" s="2113"/>
      <c r="U153" s="2113"/>
      <c r="V153" s="2113"/>
      <c r="W153" s="2113"/>
      <c r="X153" s="2113"/>
      <c r="Y153" s="2113"/>
      <c r="Z153" s="2113"/>
      <c r="AA153" s="2113"/>
      <c r="AB153" s="2113"/>
      <c r="AC153" s="2113"/>
      <c r="AD153" s="2113"/>
      <c r="AE153" s="2113"/>
      <c r="AF153" s="2113"/>
      <c r="AG153" s="2113"/>
      <c r="AH153" s="2113"/>
      <c r="AI153" s="2113"/>
      <c r="AJ153" s="2113"/>
      <c r="AK153" s="2113"/>
      <c r="AL153" s="2113"/>
      <c r="AM153" s="2113"/>
      <c r="AN153" s="2113"/>
      <c r="AO153" s="2113"/>
      <c r="AP153" s="2113"/>
      <c r="AQ153" s="2113"/>
      <c r="AR153" s="2113"/>
      <c r="AS153" s="2113"/>
      <c r="AT153" s="2113"/>
      <c r="AU153" s="2113"/>
      <c r="AV153" s="2113"/>
      <c r="AW153" s="2115" t="str">
        <f>IF(Race="","",IF(NOT(ISERROR(GE153)),VALUE(MID(EquipmentWeightList,GE149+1,GE153-GE149-1)),""))</f>
        <v/>
      </c>
      <c r="AX153" s="2115"/>
      <c r="AY153" s="2115"/>
      <c r="AZ153" s="2115"/>
      <c r="BA153" s="2115"/>
      <c r="BB153" s="2115"/>
      <c r="BC153" s="2115"/>
      <c r="BD153" s="2115"/>
      <c r="BE153" s="2115"/>
      <c r="BF153" s="405"/>
      <c r="BG153" s="406"/>
      <c r="BH153" s="301"/>
      <c r="BI153" s="405"/>
      <c r="BJ153" s="1205"/>
      <c r="BK153" s="1205"/>
      <c r="BL153" s="1205"/>
      <c r="BM153" s="1205"/>
      <c r="BN153" s="2106" t="s">
        <v>857</v>
      </c>
      <c r="BO153" s="2106"/>
      <c r="BP153" s="2106"/>
      <c r="BQ153" s="2106"/>
      <c r="BR153" s="2106"/>
      <c r="BS153" s="2106"/>
      <c r="BT153" s="2106"/>
      <c r="BU153" s="2106"/>
      <c r="BV153" s="2106"/>
      <c r="BW153" s="2106"/>
      <c r="BX153" s="2106"/>
      <c r="BY153" s="2106"/>
      <c r="BZ153" s="2106"/>
      <c r="CA153" s="2106"/>
      <c r="CB153" s="2106"/>
      <c r="CC153" s="2106"/>
      <c r="CD153" s="2106"/>
      <c r="CE153" s="2106"/>
      <c r="CF153" s="2106"/>
      <c r="CG153" s="2106"/>
      <c r="CH153" s="2106"/>
      <c r="CI153" s="2106"/>
      <c r="CJ153" s="2106"/>
      <c r="CK153" s="2106"/>
      <c r="CL153" s="2106"/>
      <c r="CM153" s="2106"/>
      <c r="CN153" s="2106"/>
      <c r="CO153" s="2106"/>
      <c r="CP153" s="2106"/>
      <c r="CQ153" s="2106"/>
      <c r="CR153" s="2106"/>
      <c r="CS153" s="2106"/>
      <c r="CT153" s="87"/>
      <c r="CU153" s="158" t="e">
        <f>HeroicLvl+ArmourFort</f>
        <v>#NAME?</v>
      </c>
      <c r="CV153" s="411"/>
      <c r="CW153" s="411"/>
      <c r="CX153" s="411"/>
      <c r="CY153" s="411"/>
      <c r="CZ153" s="411"/>
      <c r="DA153" s="411"/>
      <c r="DB153" s="411"/>
      <c r="DC153" s="411"/>
      <c r="DD153" s="160"/>
      <c r="DE153" s="87"/>
      <c r="DF153" s="87"/>
      <c r="DG153" s="87"/>
      <c r="DH153" s="87"/>
      <c r="DI153" s="87"/>
      <c r="DJ153" s="158" t="e">
        <f>HeroicLvl+ArmourFort</f>
        <v>#NAME?</v>
      </c>
      <c r="DK153" s="159"/>
      <c r="DL153" s="159"/>
      <c r="DM153" s="159"/>
      <c r="DN153" s="159"/>
      <c r="DO153" s="159"/>
      <c r="DP153" s="159"/>
      <c r="DQ153" s="159"/>
      <c r="DR153" s="160"/>
      <c r="DS153" s="87"/>
      <c r="DT153" s="87"/>
      <c r="DU153" s="87"/>
      <c r="DV153" s="158"/>
      <c r="DW153" s="159"/>
      <c r="DX153" s="159"/>
      <c r="DY153" s="159"/>
      <c r="DZ153" s="159"/>
      <c r="EA153" s="159"/>
      <c r="EB153" s="159"/>
      <c r="EC153" s="159"/>
      <c r="ED153" s="160"/>
      <c r="EE153" s="87"/>
      <c r="EF153" s="87"/>
      <c r="EG153" s="87"/>
      <c r="EH153" s="158"/>
      <c r="EI153" s="184"/>
      <c r="EJ153" s="184"/>
      <c r="EK153" s="184"/>
      <c r="EL153" s="184"/>
      <c r="EM153" s="184"/>
      <c r="EN153" s="184"/>
      <c r="EO153" s="184"/>
      <c r="EP153" s="160"/>
      <c r="EQ153" s="87"/>
      <c r="ER153" s="87"/>
      <c r="ES153" s="87"/>
      <c r="ET153" s="158"/>
      <c r="EU153" s="1649"/>
      <c r="EV153" s="1649"/>
      <c r="EW153" s="1649"/>
      <c r="EX153" s="1649"/>
      <c r="EY153" s="1649"/>
      <c r="EZ153" s="1649"/>
      <c r="FA153" s="1649"/>
      <c r="FB153" s="160"/>
      <c r="FC153" s="87"/>
      <c r="FD153" s="87"/>
      <c r="FE153" s="87"/>
      <c r="FF153" s="158"/>
      <c r="FG153" s="159"/>
      <c r="FH153" s="159"/>
      <c r="FI153" s="159"/>
      <c r="FJ153" s="159"/>
      <c r="FK153" s="159"/>
      <c r="FL153" s="159"/>
      <c r="FM153" s="159"/>
      <c r="FN153" s="160"/>
      <c r="FO153" s="87"/>
      <c r="FP153" s="988"/>
      <c r="FQ153" s="988"/>
      <c r="FR153" s="988"/>
      <c r="FS153" s="988"/>
      <c r="FT153" s="988"/>
      <c r="FU153" s="988"/>
      <c r="FV153" s="988"/>
      <c r="FW153" s="988"/>
      <c r="FX153" s="988"/>
      <c r="FY153" s="87"/>
      <c r="FZ153" s="87"/>
      <c r="GA153" s="87"/>
      <c r="GC153" s="1853">
        <f>GC149+1</f>
        <v>36</v>
      </c>
      <c r="GD153" s="1853" t="e">
        <f>FIND(";",EquipmentNameList,GD149+1)</f>
        <v>#VALUE!</v>
      </c>
      <c r="GE153" s="1853" t="e">
        <f>FIND(";",EquipmentWeightList,GE149+1)</f>
        <v>#VALUE!</v>
      </c>
      <c r="GF153" s="1853" t="e">
        <f>FIND(";",EquipmentNumberList,GF149+1)</f>
        <v>#VALUE!</v>
      </c>
      <c r="GH153" s="1133"/>
    </row>
    <row r="154" spans="1:190" ht="9" customHeight="1">
      <c r="A154" s="87"/>
      <c r="B154" s="313"/>
      <c r="C154" s="2113"/>
      <c r="D154" s="2113"/>
      <c r="E154" s="2113"/>
      <c r="F154" s="2113"/>
      <c r="G154" s="2113"/>
      <c r="H154" s="2113"/>
      <c r="I154" s="2113"/>
      <c r="J154" s="2113"/>
      <c r="K154" s="2113"/>
      <c r="L154" s="2113"/>
      <c r="M154" s="2113"/>
      <c r="N154" s="2113"/>
      <c r="O154" s="2113"/>
      <c r="P154" s="2113"/>
      <c r="Q154" s="2113"/>
      <c r="R154" s="2113"/>
      <c r="S154" s="2113"/>
      <c r="T154" s="2113"/>
      <c r="U154" s="2113"/>
      <c r="V154" s="2113"/>
      <c r="W154" s="2113"/>
      <c r="X154" s="2113"/>
      <c r="Y154" s="2113"/>
      <c r="Z154" s="2113"/>
      <c r="AA154" s="2113"/>
      <c r="AB154" s="2113"/>
      <c r="AC154" s="2113"/>
      <c r="AD154" s="2113"/>
      <c r="AE154" s="2113"/>
      <c r="AF154" s="2113"/>
      <c r="AG154" s="2113"/>
      <c r="AH154" s="2113"/>
      <c r="AI154" s="2113"/>
      <c r="AJ154" s="2113"/>
      <c r="AK154" s="2113"/>
      <c r="AL154" s="2113"/>
      <c r="AM154" s="2113"/>
      <c r="AN154" s="2113"/>
      <c r="AO154" s="2113"/>
      <c r="AP154" s="2113"/>
      <c r="AQ154" s="2113"/>
      <c r="AR154" s="2113"/>
      <c r="AS154" s="2113"/>
      <c r="AT154" s="2113"/>
      <c r="AU154" s="2113"/>
      <c r="AV154" s="2113"/>
      <c r="AW154" s="2115"/>
      <c r="AX154" s="2115"/>
      <c r="AY154" s="2115"/>
      <c r="AZ154" s="2115"/>
      <c r="BA154" s="2115"/>
      <c r="BB154" s="2115"/>
      <c r="BC154" s="2115"/>
      <c r="BD154" s="2115"/>
      <c r="BE154" s="2115"/>
      <c r="BF154" s="405"/>
      <c r="BG154" s="406"/>
      <c r="BH154" s="301"/>
      <c r="BI154" s="405"/>
      <c r="BJ154" s="1205"/>
      <c r="BK154" s="1205"/>
      <c r="BL154" s="1205"/>
      <c r="BM154" s="1205"/>
      <c r="BN154" s="2106"/>
      <c r="BO154" s="2106"/>
      <c r="BP154" s="2106"/>
      <c r="BQ154" s="2106"/>
      <c r="BR154" s="2106"/>
      <c r="BS154" s="2106"/>
      <c r="BT154" s="2106"/>
      <c r="BU154" s="2106"/>
      <c r="BV154" s="2106"/>
      <c r="BW154" s="2106"/>
      <c r="BX154" s="2106"/>
      <c r="BY154" s="2106"/>
      <c r="BZ154" s="2106"/>
      <c r="CA154" s="2106"/>
      <c r="CB154" s="2106"/>
      <c r="CC154" s="2106"/>
      <c r="CD154" s="2106"/>
      <c r="CE154" s="2106"/>
      <c r="CF154" s="2106"/>
      <c r="CG154" s="2106"/>
      <c r="CH154" s="2106"/>
      <c r="CI154" s="2106"/>
      <c r="CJ154" s="2106"/>
      <c r="CK154" s="2106"/>
      <c r="CL154" s="2106"/>
      <c r="CM154" s="2106"/>
      <c r="CN154" s="2106"/>
      <c r="CO154" s="2106"/>
      <c r="CP154" s="2106"/>
      <c r="CQ154" s="2106"/>
      <c r="CR154" s="2106"/>
      <c r="CS154" s="2106"/>
      <c r="CT154" s="87"/>
      <c r="CU154" s="166"/>
      <c r="CV154" s="2107">
        <f ca="1">UseComputer</f>
        <v>0</v>
      </c>
      <c r="CW154" s="2107"/>
      <c r="CX154" s="2107"/>
      <c r="CY154" s="2107"/>
      <c r="CZ154" s="2107"/>
      <c r="DA154" s="2107"/>
      <c r="DB154" s="2107"/>
      <c r="DC154" s="2107"/>
      <c r="DD154" s="167"/>
      <c r="DE154" s="87"/>
      <c r="DF154" s="117"/>
      <c r="DG154" s="117"/>
      <c r="DH154" s="117"/>
      <c r="DI154" s="87"/>
      <c r="DJ154" s="166"/>
      <c r="DK154" s="1991">
        <f>ROUNDDOWN(CharacterLevel/2,0)</f>
        <v>0</v>
      </c>
      <c r="DL154" s="1991"/>
      <c r="DM154" s="1991"/>
      <c r="DN154" s="1991"/>
      <c r="DO154" s="1991"/>
      <c r="DP154" s="1991"/>
      <c r="DQ154" s="1991"/>
      <c r="DR154" s="167"/>
      <c r="DS154" s="87"/>
      <c r="DT154" s="87"/>
      <c r="DU154" s="87"/>
      <c r="DV154" s="166"/>
      <c r="DW154" s="1991" t="str">
        <f>IntMod</f>
        <v/>
      </c>
      <c r="DX154" s="1991"/>
      <c r="DY154" s="1991"/>
      <c r="DZ154" s="1991"/>
      <c r="EA154" s="1991"/>
      <c r="EB154" s="1991"/>
      <c r="EC154" s="1991"/>
      <c r="ED154" s="167"/>
      <c r="EE154" s="87"/>
      <c r="EF154" s="87"/>
      <c r="EG154" s="87"/>
      <c r="EH154" s="166"/>
      <c r="EI154" s="1991" t="str">
        <f>IF(CharacterLevel&gt;0,IF(OR(INDEX(SkillTable,MATCH(BN153,SkillList,0),4)="Yes",INDEX(SkillTable,MATCH(BN153,SkillList,0),5)="Yes"),5,0),"")</f>
        <v/>
      </c>
      <c r="EJ154" s="1991"/>
      <c r="EK154" s="1991"/>
      <c r="EL154" s="1991"/>
      <c r="EM154" s="1991"/>
      <c r="EN154" s="1991"/>
      <c r="EO154" s="1991"/>
      <c r="EP154" s="264"/>
      <c r="EQ154" s="265"/>
      <c r="ER154" s="265"/>
      <c r="ES154" s="265"/>
      <c r="ET154" s="266"/>
      <c r="EU154" s="1991" t="b">
        <f>IF(CharacterLevel&gt;0,IF(Skills!R34="Yes",5,0))</f>
        <v>0</v>
      </c>
      <c r="EV154" s="1991"/>
      <c r="EW154" s="1991"/>
      <c r="EX154" s="1991"/>
      <c r="EY154" s="1991"/>
      <c r="EZ154" s="1991"/>
      <c r="FA154" s="1991"/>
      <c r="FB154" s="167"/>
      <c r="FC154" s="265"/>
      <c r="FD154" s="265"/>
      <c r="FE154" s="265"/>
      <c r="FF154" s="266"/>
      <c r="FG154" s="1991">
        <f>ArmorPenalty+INDEX(SkillTable,MATCH(BN153,SkillList,0),12)</f>
        <v>0</v>
      </c>
      <c r="FH154" s="1991"/>
      <c r="FI154" s="1991"/>
      <c r="FJ154" s="1991"/>
      <c r="FK154" s="1991"/>
      <c r="FL154" s="1991"/>
      <c r="FM154" s="1991"/>
      <c r="FN154" s="167"/>
      <c r="FO154" s="87"/>
      <c r="FP154" s="2124" t="str">
        <f>IF(INDEX(SkillTable,MATCH(BN153,SkillList,0),77)&lt;&gt;"","×","")</f>
        <v/>
      </c>
      <c r="FQ154" s="2125"/>
      <c r="FR154" s="2125"/>
      <c r="FS154" s="2126"/>
      <c r="FT154" s="988"/>
      <c r="FU154" s="2124" t="str">
        <f>IF(INDEX(SkillTable,MATCH(BN153,SkillList,0),78)&lt;&gt;"","×","")</f>
        <v/>
      </c>
      <c r="FV154" s="2125"/>
      <c r="FW154" s="2125"/>
      <c r="FX154" s="2126"/>
      <c r="FY154" s="87"/>
      <c r="FZ154" s="87"/>
      <c r="GA154" s="87"/>
      <c r="GC154" s="1853"/>
      <c r="GD154" s="1853"/>
      <c r="GE154" s="1853"/>
      <c r="GF154" s="1853"/>
      <c r="GH154" s="1135" t="e">
        <f ca="1">IF(INDEX(SkillTable,MATCH(BN153,SkillList,0),14),1,0)</f>
        <v>#VALUE!</v>
      </c>
    </row>
    <row r="155" spans="1:190" ht="9" customHeight="1" thickBot="1">
      <c r="A155" s="87"/>
      <c r="B155" s="313"/>
      <c r="C155" s="2114"/>
      <c r="D155" s="2114"/>
      <c r="E155" s="2114"/>
      <c r="F155" s="2114"/>
      <c r="G155" s="2114"/>
      <c r="H155" s="2114"/>
      <c r="I155" s="2114"/>
      <c r="J155" s="2114"/>
      <c r="K155" s="2114"/>
      <c r="L155" s="2114"/>
      <c r="M155" s="2114"/>
      <c r="N155" s="2114"/>
      <c r="O155" s="2114"/>
      <c r="P155" s="2114"/>
      <c r="Q155" s="2114"/>
      <c r="R155" s="2114"/>
      <c r="S155" s="2114"/>
      <c r="T155" s="2114"/>
      <c r="U155" s="2114"/>
      <c r="V155" s="2114"/>
      <c r="W155" s="2114"/>
      <c r="X155" s="2114"/>
      <c r="Y155" s="2114"/>
      <c r="Z155" s="2114"/>
      <c r="AA155" s="2114"/>
      <c r="AB155" s="2114"/>
      <c r="AC155" s="2114"/>
      <c r="AD155" s="2114"/>
      <c r="AE155" s="2114"/>
      <c r="AF155" s="2114"/>
      <c r="AG155" s="2114"/>
      <c r="AH155" s="2114"/>
      <c r="AI155" s="2114"/>
      <c r="AJ155" s="2114"/>
      <c r="AK155" s="2114"/>
      <c r="AL155" s="2114"/>
      <c r="AM155" s="2114"/>
      <c r="AN155" s="2114"/>
      <c r="AO155" s="2114"/>
      <c r="AP155" s="2114"/>
      <c r="AQ155" s="2114"/>
      <c r="AR155" s="2114"/>
      <c r="AS155" s="2114"/>
      <c r="AT155" s="2114"/>
      <c r="AU155" s="2114"/>
      <c r="AV155" s="2114"/>
      <c r="AW155" s="2116"/>
      <c r="AX155" s="2116"/>
      <c r="AY155" s="2116"/>
      <c r="AZ155" s="2116"/>
      <c r="BA155" s="2116"/>
      <c r="BB155" s="2116"/>
      <c r="BC155" s="2116"/>
      <c r="BD155" s="2116"/>
      <c r="BE155" s="2116"/>
      <c r="BF155" s="405"/>
      <c r="BG155" s="406"/>
      <c r="BH155" s="301"/>
      <c r="BI155" s="405"/>
      <c r="BJ155" s="1205"/>
      <c r="BK155" s="1205"/>
      <c r="BL155" s="1205"/>
      <c r="BM155" s="1205"/>
      <c r="BN155" s="2106"/>
      <c r="BO155" s="2106"/>
      <c r="BP155" s="2106"/>
      <c r="BQ155" s="2106"/>
      <c r="BR155" s="2106"/>
      <c r="BS155" s="2106"/>
      <c r="BT155" s="2106"/>
      <c r="BU155" s="2106"/>
      <c r="BV155" s="2106"/>
      <c r="BW155" s="2106"/>
      <c r="BX155" s="2106"/>
      <c r="BY155" s="2106"/>
      <c r="BZ155" s="2106"/>
      <c r="CA155" s="2106"/>
      <c r="CB155" s="2106"/>
      <c r="CC155" s="2106"/>
      <c r="CD155" s="2106"/>
      <c r="CE155" s="2106"/>
      <c r="CF155" s="2106"/>
      <c r="CG155" s="2106"/>
      <c r="CH155" s="2106"/>
      <c r="CI155" s="2106"/>
      <c r="CJ155" s="2106"/>
      <c r="CK155" s="2106"/>
      <c r="CL155" s="2106"/>
      <c r="CM155" s="2106"/>
      <c r="CN155" s="2106"/>
      <c r="CO155" s="2106"/>
      <c r="CP155" s="2106"/>
      <c r="CQ155" s="2106"/>
      <c r="CR155" s="2106"/>
      <c r="CS155" s="2106"/>
      <c r="CT155" s="87"/>
      <c r="CU155" s="166"/>
      <c r="CV155" s="2107"/>
      <c r="CW155" s="2107"/>
      <c r="CX155" s="2107"/>
      <c r="CY155" s="2107"/>
      <c r="CZ155" s="2107"/>
      <c r="DA155" s="2107"/>
      <c r="DB155" s="2107"/>
      <c r="DC155" s="2107"/>
      <c r="DD155" s="167"/>
      <c r="DE155" s="87"/>
      <c r="DF155" s="87"/>
      <c r="DG155" s="87"/>
      <c r="DH155" s="87"/>
      <c r="DI155" s="87"/>
      <c r="DJ155" s="166"/>
      <c r="DK155" s="1991"/>
      <c r="DL155" s="1991"/>
      <c r="DM155" s="1991"/>
      <c r="DN155" s="1991"/>
      <c r="DO155" s="1991"/>
      <c r="DP155" s="1991"/>
      <c r="DQ155" s="1991"/>
      <c r="DR155" s="167"/>
      <c r="DS155" s="117"/>
      <c r="DT155" s="117"/>
      <c r="DU155" s="117"/>
      <c r="DV155" s="166"/>
      <c r="DW155" s="1991"/>
      <c r="DX155" s="1991"/>
      <c r="DY155" s="1991"/>
      <c r="DZ155" s="1991"/>
      <c r="EA155" s="1991"/>
      <c r="EB155" s="1991"/>
      <c r="EC155" s="1991"/>
      <c r="ED155" s="167"/>
      <c r="EE155" s="117"/>
      <c r="EF155" s="117"/>
      <c r="EG155" s="117"/>
      <c r="EH155" s="166"/>
      <c r="EI155" s="1991"/>
      <c r="EJ155" s="1991"/>
      <c r="EK155" s="1991"/>
      <c r="EL155" s="1991"/>
      <c r="EM155" s="1991"/>
      <c r="EN155" s="1991"/>
      <c r="EO155" s="1991"/>
      <c r="EP155" s="264"/>
      <c r="EQ155" s="117"/>
      <c r="ER155" s="117"/>
      <c r="ES155" s="117"/>
      <c r="ET155" s="266"/>
      <c r="EU155" s="1991"/>
      <c r="EV155" s="1991"/>
      <c r="EW155" s="1991"/>
      <c r="EX155" s="1991"/>
      <c r="EY155" s="1991"/>
      <c r="EZ155" s="1991"/>
      <c r="FA155" s="1991"/>
      <c r="FB155" s="167"/>
      <c r="FC155" s="117"/>
      <c r="FD155" s="117"/>
      <c r="FE155" s="117"/>
      <c r="FF155" s="266"/>
      <c r="FG155" s="1991"/>
      <c r="FH155" s="1991"/>
      <c r="FI155" s="1991"/>
      <c r="FJ155" s="1991"/>
      <c r="FK155" s="1991"/>
      <c r="FL155" s="1991"/>
      <c r="FM155" s="1991"/>
      <c r="FN155" s="167"/>
      <c r="FO155" s="117"/>
      <c r="FP155" s="2127"/>
      <c r="FQ155" s="2081"/>
      <c r="FR155" s="2081"/>
      <c r="FS155" s="2128"/>
      <c r="FT155" s="989"/>
      <c r="FU155" s="2127"/>
      <c r="FV155" s="2081"/>
      <c r="FW155" s="2081"/>
      <c r="FX155" s="2128"/>
      <c r="FY155" s="87"/>
      <c r="FZ155" s="87"/>
      <c r="GA155" s="87"/>
      <c r="GC155" s="1853"/>
      <c r="GD155" s="1853"/>
      <c r="GE155" s="1853"/>
      <c r="GF155" s="1853"/>
      <c r="GH155" s="1133"/>
    </row>
    <row r="156" spans="1:190" ht="9" customHeight="1" thickBot="1">
      <c r="A156" s="87"/>
      <c r="B156" s="313"/>
      <c r="C156" s="301"/>
      <c r="D156" s="301"/>
      <c r="E156" s="643"/>
      <c r="F156" s="643"/>
      <c r="G156" s="643"/>
      <c r="H156" s="643"/>
      <c r="I156" s="643"/>
      <c r="J156" s="643"/>
      <c r="K156" s="301"/>
      <c r="L156" s="301"/>
      <c r="M156" s="301"/>
      <c r="N156" s="301"/>
      <c r="O156" s="301"/>
      <c r="P156" s="301"/>
      <c r="Q156" s="301"/>
      <c r="R156" s="301"/>
      <c r="S156" s="301"/>
      <c r="T156" s="301"/>
      <c r="U156" s="301"/>
      <c r="V156" s="301"/>
      <c r="W156" s="301"/>
      <c r="X156" s="301"/>
      <c r="Y156" s="301"/>
      <c r="Z156" s="301"/>
      <c r="AA156" s="301"/>
      <c r="AB156" s="301"/>
      <c r="AC156" s="301"/>
      <c r="AD156" s="301"/>
      <c r="AE156" s="301"/>
      <c r="AF156" s="301"/>
      <c r="AG156" s="301"/>
      <c r="AH156" s="301"/>
      <c r="AI156" s="301"/>
      <c r="AJ156" s="301"/>
      <c r="AK156" s="301"/>
      <c r="AL156" s="301"/>
      <c r="AM156" s="301"/>
      <c r="AN156" s="301"/>
      <c r="AO156" s="301"/>
      <c r="AP156" s="301"/>
      <c r="AQ156" s="301"/>
      <c r="AR156" s="301"/>
      <c r="AS156" s="301"/>
      <c r="AT156" s="301"/>
      <c r="AU156" s="301"/>
      <c r="AV156" s="301"/>
      <c r="AW156" s="1087"/>
      <c r="AX156" s="1087"/>
      <c r="AY156" s="1087"/>
      <c r="AZ156" s="1087"/>
      <c r="BA156" s="1087"/>
      <c r="BB156" s="1087"/>
      <c r="BC156" s="1087"/>
      <c r="BD156" s="1087"/>
      <c r="BE156" s="1087"/>
      <c r="BF156" s="405"/>
      <c r="BG156" s="406"/>
      <c r="BH156" s="301"/>
      <c r="BI156" s="405"/>
      <c r="BJ156" s="1205"/>
      <c r="BK156" s="1205"/>
      <c r="BL156" s="1205"/>
      <c r="BM156" s="1205"/>
      <c r="BN156" s="2106"/>
      <c r="BO156" s="2106"/>
      <c r="BP156" s="2106"/>
      <c r="BQ156" s="2106"/>
      <c r="BR156" s="2106"/>
      <c r="BS156" s="2106"/>
      <c r="BT156" s="2106"/>
      <c r="BU156" s="2106"/>
      <c r="BV156" s="2106"/>
      <c r="BW156" s="2106"/>
      <c r="BX156" s="2106"/>
      <c r="BY156" s="2106"/>
      <c r="BZ156" s="2106"/>
      <c r="CA156" s="2106"/>
      <c r="CB156" s="2106"/>
      <c r="CC156" s="2106"/>
      <c r="CD156" s="2106"/>
      <c r="CE156" s="2106"/>
      <c r="CF156" s="2106"/>
      <c r="CG156" s="2106"/>
      <c r="CH156" s="2106"/>
      <c r="CI156" s="2106"/>
      <c r="CJ156" s="2106"/>
      <c r="CK156" s="2106"/>
      <c r="CL156" s="2106"/>
      <c r="CM156" s="2106"/>
      <c r="CN156" s="2106"/>
      <c r="CO156" s="2106"/>
      <c r="CP156" s="2106"/>
      <c r="CQ156" s="2106"/>
      <c r="CR156" s="2106"/>
      <c r="CS156" s="2106"/>
      <c r="CT156" s="87"/>
      <c r="CU156" s="166"/>
      <c r="CV156" s="2107"/>
      <c r="CW156" s="2107"/>
      <c r="CX156" s="2107"/>
      <c r="CY156" s="2107"/>
      <c r="CZ156" s="2107"/>
      <c r="DA156" s="2107"/>
      <c r="DB156" s="2107"/>
      <c r="DC156" s="2107"/>
      <c r="DD156" s="167"/>
      <c r="DE156" s="87"/>
      <c r="DF156" s="117"/>
      <c r="DG156" s="117"/>
      <c r="DH156" s="117"/>
      <c r="DI156" s="87"/>
      <c r="DJ156" s="166"/>
      <c r="DK156" s="1991"/>
      <c r="DL156" s="1991"/>
      <c r="DM156" s="1991"/>
      <c r="DN156" s="1991"/>
      <c r="DO156" s="1991"/>
      <c r="DP156" s="1991"/>
      <c r="DQ156" s="1991"/>
      <c r="DR156" s="167"/>
      <c r="DS156" s="87"/>
      <c r="DT156" s="87"/>
      <c r="DU156" s="87"/>
      <c r="DV156" s="166"/>
      <c r="DW156" s="1991"/>
      <c r="DX156" s="1991"/>
      <c r="DY156" s="1991"/>
      <c r="DZ156" s="1991"/>
      <c r="EA156" s="1991"/>
      <c r="EB156" s="1991"/>
      <c r="EC156" s="1991"/>
      <c r="ED156" s="167"/>
      <c r="EE156" s="87"/>
      <c r="EF156" s="87"/>
      <c r="EG156" s="87"/>
      <c r="EH156" s="166"/>
      <c r="EI156" s="1991"/>
      <c r="EJ156" s="1991"/>
      <c r="EK156" s="1991"/>
      <c r="EL156" s="1991"/>
      <c r="EM156" s="1991"/>
      <c r="EN156" s="1991"/>
      <c r="EO156" s="1991"/>
      <c r="EP156" s="264"/>
      <c r="EQ156" s="87"/>
      <c r="ER156" s="87"/>
      <c r="ES156" s="87"/>
      <c r="ET156" s="266"/>
      <c r="EU156" s="1991"/>
      <c r="EV156" s="1991"/>
      <c r="EW156" s="1991"/>
      <c r="EX156" s="1991"/>
      <c r="EY156" s="1991"/>
      <c r="EZ156" s="1991"/>
      <c r="FA156" s="1991"/>
      <c r="FB156" s="167"/>
      <c r="FC156" s="87"/>
      <c r="FD156" s="87"/>
      <c r="FE156" s="87"/>
      <c r="FF156" s="266"/>
      <c r="FG156" s="1991"/>
      <c r="FH156" s="1991"/>
      <c r="FI156" s="1991"/>
      <c r="FJ156" s="1991"/>
      <c r="FK156" s="1991"/>
      <c r="FL156" s="1991"/>
      <c r="FM156" s="1991"/>
      <c r="FN156" s="167"/>
      <c r="FO156" s="87"/>
      <c r="FP156" s="2129"/>
      <c r="FQ156" s="2130"/>
      <c r="FR156" s="2130"/>
      <c r="FS156" s="2131"/>
      <c r="FT156" s="988"/>
      <c r="FU156" s="2129"/>
      <c r="FV156" s="2130"/>
      <c r="FW156" s="2130"/>
      <c r="FX156" s="2131"/>
      <c r="FY156" s="87"/>
      <c r="FZ156" s="87"/>
      <c r="GA156" s="87"/>
      <c r="GD156" s="714"/>
      <c r="GE156" s="714"/>
      <c r="GF156" s="714"/>
      <c r="GH156" s="1133"/>
    </row>
    <row r="157" spans="1:190" ht="9" customHeight="1" thickBot="1">
      <c r="A157" s="87"/>
      <c r="B157" s="313"/>
      <c r="C157" s="2113" t="str">
        <f>IF(Race="","",IF(NOT(ISERROR(GD157)),MID(EquipmentNameList,GD153+1,GD157-GD153-1),""))</f>
        <v/>
      </c>
      <c r="D157" s="2113"/>
      <c r="E157" s="2113"/>
      <c r="F157" s="2113"/>
      <c r="G157" s="2113"/>
      <c r="H157" s="2113"/>
      <c r="I157" s="2113"/>
      <c r="J157" s="2113"/>
      <c r="K157" s="2113"/>
      <c r="L157" s="2113"/>
      <c r="M157" s="2113"/>
      <c r="N157" s="2113"/>
      <c r="O157" s="2113"/>
      <c r="P157" s="2113"/>
      <c r="Q157" s="2113"/>
      <c r="R157" s="2113"/>
      <c r="S157" s="2113"/>
      <c r="T157" s="2113"/>
      <c r="U157" s="2113"/>
      <c r="V157" s="2113"/>
      <c r="W157" s="2113"/>
      <c r="X157" s="2113"/>
      <c r="Y157" s="2113"/>
      <c r="Z157" s="2113"/>
      <c r="AA157" s="2113"/>
      <c r="AB157" s="2113"/>
      <c r="AC157" s="2113"/>
      <c r="AD157" s="2113"/>
      <c r="AE157" s="2113"/>
      <c r="AF157" s="2113"/>
      <c r="AG157" s="2113"/>
      <c r="AH157" s="2113"/>
      <c r="AI157" s="2113"/>
      <c r="AJ157" s="2113"/>
      <c r="AK157" s="2113"/>
      <c r="AL157" s="2113"/>
      <c r="AM157" s="2113"/>
      <c r="AN157" s="2113"/>
      <c r="AO157" s="2113"/>
      <c r="AP157" s="2113"/>
      <c r="AQ157" s="2113"/>
      <c r="AR157" s="2113"/>
      <c r="AS157" s="2113"/>
      <c r="AT157" s="2113"/>
      <c r="AU157" s="2113"/>
      <c r="AV157" s="2113"/>
      <c r="AW157" s="2115" t="str">
        <f>IF(Race="","",IF(NOT(ISERROR(GE157)),VALUE(MID(EquipmentWeightList,GE153+1,GE157-GE153-1)),""))</f>
        <v/>
      </c>
      <c r="AX157" s="2115"/>
      <c r="AY157" s="2115"/>
      <c r="AZ157" s="2115"/>
      <c r="BA157" s="2115"/>
      <c r="BB157" s="2115"/>
      <c r="BC157" s="2115"/>
      <c r="BD157" s="2115"/>
      <c r="BE157" s="2115"/>
      <c r="BF157" s="405"/>
      <c r="BG157" s="406"/>
      <c r="BH157" s="301"/>
      <c r="BI157" s="405"/>
      <c r="BJ157" s="1205"/>
      <c r="BK157" s="1205"/>
      <c r="BL157" s="1205"/>
      <c r="BM157" s="1205"/>
      <c r="BN157" s="2106"/>
      <c r="BO157" s="2106"/>
      <c r="BP157" s="2106"/>
      <c r="BQ157" s="2106"/>
      <c r="BR157" s="2106"/>
      <c r="BS157" s="2106"/>
      <c r="BT157" s="2106"/>
      <c r="BU157" s="2106"/>
      <c r="BV157" s="2106"/>
      <c r="BW157" s="2106"/>
      <c r="BX157" s="2106"/>
      <c r="BY157" s="2106"/>
      <c r="BZ157" s="2106"/>
      <c r="CA157" s="2106"/>
      <c r="CB157" s="2106"/>
      <c r="CC157" s="2106"/>
      <c r="CD157" s="2106"/>
      <c r="CE157" s="2106"/>
      <c r="CF157" s="2106"/>
      <c r="CG157" s="2106"/>
      <c r="CH157" s="2106"/>
      <c r="CI157" s="2106"/>
      <c r="CJ157" s="2106"/>
      <c r="CK157" s="2106"/>
      <c r="CL157" s="2106"/>
      <c r="CM157" s="2106"/>
      <c r="CN157" s="2106"/>
      <c r="CO157" s="2106"/>
      <c r="CP157" s="2106"/>
      <c r="CQ157" s="2106"/>
      <c r="CR157" s="2106"/>
      <c r="CS157" s="2106"/>
      <c r="CT157" s="87"/>
      <c r="CU157" s="160"/>
      <c r="CV157" s="409"/>
      <c r="CW157" s="409"/>
      <c r="CX157" s="409"/>
      <c r="CY157" s="409"/>
      <c r="CZ157" s="409"/>
      <c r="DA157" s="409"/>
      <c r="DB157" s="409"/>
      <c r="DC157" s="409"/>
      <c r="DD157" s="158"/>
      <c r="DE157" s="87"/>
      <c r="DF157" s="87"/>
      <c r="DG157" s="87"/>
      <c r="DH157" s="87"/>
      <c r="DI157" s="87"/>
      <c r="DJ157" s="160"/>
      <c r="DK157" s="240"/>
      <c r="DL157" s="240"/>
      <c r="DM157" s="240"/>
      <c r="DN157" s="240"/>
      <c r="DO157" s="240"/>
      <c r="DP157" s="240"/>
      <c r="DQ157" s="240"/>
      <c r="DR157" s="158"/>
      <c r="DS157" s="87"/>
      <c r="DT157" s="87"/>
      <c r="DU157" s="87"/>
      <c r="DV157" s="160"/>
      <c r="DW157" s="240"/>
      <c r="DX157" s="240"/>
      <c r="DY157" s="240"/>
      <c r="DZ157" s="240"/>
      <c r="EA157" s="240"/>
      <c r="EB157" s="240"/>
      <c r="EC157" s="240"/>
      <c r="ED157" s="158"/>
      <c r="EE157" s="87"/>
      <c r="EF157" s="87"/>
      <c r="EG157" s="87"/>
      <c r="EH157" s="160"/>
      <c r="EI157" s="204"/>
      <c r="EJ157" s="204"/>
      <c r="EK157" s="204"/>
      <c r="EL157" s="204"/>
      <c r="EM157" s="204"/>
      <c r="EN157" s="204"/>
      <c r="EO157" s="204"/>
      <c r="EP157" s="274"/>
      <c r="EQ157" s="87"/>
      <c r="ER157" s="87"/>
      <c r="ES157" s="87"/>
      <c r="ET157" s="203"/>
      <c r="EU157" s="204"/>
      <c r="EV157" s="204"/>
      <c r="EW157" s="204"/>
      <c r="EX157" s="204"/>
      <c r="EY157" s="204"/>
      <c r="EZ157" s="204"/>
      <c r="FA157" s="204"/>
      <c r="FB157" s="158"/>
      <c r="FC157" s="87"/>
      <c r="FD157" s="87"/>
      <c r="FE157" s="87"/>
      <c r="FF157" s="203"/>
      <c r="FG157" s="204"/>
      <c r="FH157" s="204"/>
      <c r="FI157" s="204"/>
      <c r="FJ157" s="204"/>
      <c r="FK157" s="204"/>
      <c r="FL157" s="204"/>
      <c r="FM157" s="204"/>
      <c r="FN157" s="158"/>
      <c r="FO157" s="87"/>
      <c r="FP157" s="988"/>
      <c r="FQ157" s="988"/>
      <c r="FR157" s="988"/>
      <c r="FS157" s="988"/>
      <c r="FT157" s="988"/>
      <c r="FU157" s="988"/>
      <c r="FV157" s="988"/>
      <c r="FW157" s="988"/>
      <c r="FX157" s="988"/>
      <c r="FY157" s="87"/>
      <c r="FZ157" s="87"/>
      <c r="GA157" s="87"/>
      <c r="GC157" s="1853">
        <f>GC153+1</f>
        <v>37</v>
      </c>
      <c r="GD157" s="1853" t="e">
        <f>FIND(";",EquipmentNameList,GD153+1)</f>
        <v>#VALUE!</v>
      </c>
      <c r="GE157" s="1853" t="e">
        <f>FIND(";",EquipmentWeightList,GE153+1)</f>
        <v>#VALUE!</v>
      </c>
      <c r="GF157" s="1853" t="e">
        <f>FIND(";",EquipmentNumberList,GF153+1)</f>
        <v>#VALUE!</v>
      </c>
      <c r="GH157" s="1133"/>
    </row>
    <row r="158" spans="1:190" ht="9" customHeight="1" thickBot="1">
      <c r="A158" s="87"/>
      <c r="B158" s="313"/>
      <c r="C158" s="2113"/>
      <c r="D158" s="2113"/>
      <c r="E158" s="2113"/>
      <c r="F158" s="2113"/>
      <c r="G158" s="2113"/>
      <c r="H158" s="2113"/>
      <c r="I158" s="2113"/>
      <c r="J158" s="2113"/>
      <c r="K158" s="2113"/>
      <c r="L158" s="2113"/>
      <c r="M158" s="2113"/>
      <c r="N158" s="2113"/>
      <c r="O158" s="2113"/>
      <c r="P158" s="2113"/>
      <c r="Q158" s="2113"/>
      <c r="R158" s="2113"/>
      <c r="S158" s="2113"/>
      <c r="T158" s="2113"/>
      <c r="U158" s="2113"/>
      <c r="V158" s="2113"/>
      <c r="W158" s="2113"/>
      <c r="X158" s="2113"/>
      <c r="Y158" s="2113"/>
      <c r="Z158" s="2113"/>
      <c r="AA158" s="2113"/>
      <c r="AB158" s="2113"/>
      <c r="AC158" s="2113"/>
      <c r="AD158" s="2113"/>
      <c r="AE158" s="2113"/>
      <c r="AF158" s="2113"/>
      <c r="AG158" s="2113"/>
      <c r="AH158" s="2113"/>
      <c r="AI158" s="2113"/>
      <c r="AJ158" s="2113"/>
      <c r="AK158" s="2113"/>
      <c r="AL158" s="2113"/>
      <c r="AM158" s="2113"/>
      <c r="AN158" s="2113"/>
      <c r="AO158" s="2113"/>
      <c r="AP158" s="2113"/>
      <c r="AQ158" s="2113"/>
      <c r="AR158" s="2113"/>
      <c r="AS158" s="2113"/>
      <c r="AT158" s="2113"/>
      <c r="AU158" s="2113"/>
      <c r="AV158" s="2113"/>
      <c r="AW158" s="2115"/>
      <c r="AX158" s="2115"/>
      <c r="AY158" s="2115"/>
      <c r="AZ158" s="2115"/>
      <c r="BA158" s="2115"/>
      <c r="BB158" s="2115"/>
      <c r="BC158" s="2115"/>
      <c r="BD158" s="2115"/>
      <c r="BE158" s="2115"/>
      <c r="BF158" s="439"/>
      <c r="BG158" s="440"/>
      <c r="BH158" s="441"/>
      <c r="BI158" s="439"/>
      <c r="BJ158" s="1225"/>
      <c r="BK158" s="1226"/>
      <c r="BL158" s="1226"/>
      <c r="BM158" s="1226"/>
      <c r="BN158" s="1204"/>
      <c r="BO158" s="1204"/>
      <c r="BP158" s="1204"/>
      <c r="BQ158" s="1204"/>
      <c r="BR158" s="1204"/>
      <c r="BS158" s="1204"/>
      <c r="BT158" s="1204"/>
      <c r="BU158" s="1204"/>
      <c r="BV158" s="1204"/>
      <c r="BW158" s="1204"/>
      <c r="BX158" s="1204"/>
      <c r="BY158" s="1212"/>
      <c r="BZ158" s="1212"/>
      <c r="CA158" s="1212"/>
      <c r="CB158" s="1212"/>
      <c r="CC158" s="1212"/>
      <c r="CD158" s="1212"/>
      <c r="CE158" s="1212"/>
      <c r="CF158" s="1227"/>
      <c r="CG158" s="1227"/>
      <c r="CH158" s="1227"/>
      <c r="CI158" s="1227"/>
      <c r="CJ158" s="1227"/>
      <c r="CK158" s="1227"/>
      <c r="CL158" s="1227"/>
      <c r="CM158" s="1227"/>
      <c r="CN158" s="1227"/>
      <c r="CO158" s="1227"/>
      <c r="CP158" s="1227"/>
      <c r="CQ158" s="1227"/>
      <c r="CR158" s="1227"/>
      <c r="CS158" s="1227"/>
      <c r="CT158" s="442"/>
      <c r="CU158" s="442"/>
      <c r="CV158" s="412"/>
      <c r="CW158" s="412"/>
      <c r="CX158" s="412"/>
      <c r="CY158" s="443"/>
      <c r="CZ158" s="413"/>
      <c r="DA158" s="413"/>
      <c r="DB158" s="413"/>
      <c r="DC158" s="413"/>
      <c r="DD158" s="301"/>
      <c r="DE158" s="301"/>
      <c r="DF158" s="301"/>
      <c r="DG158" s="301"/>
      <c r="DH158" s="301"/>
      <c r="DI158" s="415"/>
      <c r="DJ158" s="415"/>
      <c r="DK158" s="415"/>
      <c r="DL158" s="415"/>
      <c r="DM158" s="415"/>
      <c r="DN158" s="415"/>
      <c r="DO158" s="415"/>
      <c r="DP158" s="415"/>
      <c r="DQ158" s="415"/>
      <c r="DR158" s="415"/>
      <c r="DS158" s="415"/>
      <c r="DT158" s="415"/>
      <c r="DU158" s="415"/>
      <c r="DV158" s="415"/>
      <c r="DW158" s="415"/>
      <c r="DX158" s="415"/>
      <c r="DY158" s="415"/>
      <c r="DZ158" s="415"/>
      <c r="EA158" s="415"/>
      <c r="EB158" s="415"/>
      <c r="EC158" s="415"/>
      <c r="ED158" s="415"/>
      <c r="EE158" s="415"/>
      <c r="EF158" s="415"/>
      <c r="EG158" s="415"/>
      <c r="EH158" s="415"/>
      <c r="EI158" s="415"/>
      <c r="EJ158" s="415"/>
      <c r="EK158" s="415"/>
      <c r="EL158" s="415"/>
      <c r="EM158" s="415"/>
      <c r="EN158" s="415"/>
      <c r="EO158" s="415"/>
      <c r="EP158" s="415"/>
      <c r="EQ158" s="415"/>
      <c r="ER158" s="415"/>
      <c r="ES158" s="415"/>
      <c r="ET158" s="415"/>
      <c r="EU158" s="415"/>
      <c r="EV158" s="415"/>
      <c r="EW158" s="415"/>
      <c r="EX158" s="415"/>
      <c r="EY158" s="415"/>
      <c r="EZ158" s="415"/>
      <c r="FA158" s="415"/>
      <c r="FB158" s="301"/>
      <c r="FC158" s="301"/>
      <c r="FD158" s="301"/>
      <c r="FE158" s="301"/>
      <c r="FF158" s="301"/>
      <c r="FG158" s="301"/>
      <c r="FH158" s="301"/>
      <c r="FI158" s="301"/>
      <c r="FJ158" s="301"/>
      <c r="FK158" s="301"/>
      <c r="FL158" s="301"/>
      <c r="FM158" s="301"/>
      <c r="FN158" s="301"/>
      <c r="FO158" s="301"/>
      <c r="FP158" s="988"/>
      <c r="FQ158" s="988"/>
      <c r="FR158" s="988"/>
      <c r="FS158" s="988"/>
      <c r="FT158" s="988"/>
      <c r="FU158" s="988"/>
      <c r="FV158" s="988"/>
      <c r="FW158" s="988"/>
      <c r="FX158" s="988"/>
      <c r="FY158" s="87"/>
      <c r="FZ158" s="87"/>
      <c r="GA158" s="87"/>
      <c r="GC158" s="1853"/>
      <c r="GD158" s="1853"/>
      <c r="GE158" s="1853"/>
      <c r="GF158" s="1853"/>
      <c r="GH158" s="1133"/>
    </row>
    <row r="159" spans="1:190" ht="9" customHeight="1" thickBot="1">
      <c r="A159" s="87"/>
      <c r="B159" s="313"/>
      <c r="C159" s="2114"/>
      <c r="D159" s="2114"/>
      <c r="E159" s="2114"/>
      <c r="F159" s="2114"/>
      <c r="G159" s="2114"/>
      <c r="H159" s="2114"/>
      <c r="I159" s="2114"/>
      <c r="J159" s="2114"/>
      <c r="K159" s="2114"/>
      <c r="L159" s="2114"/>
      <c r="M159" s="2114"/>
      <c r="N159" s="2114"/>
      <c r="O159" s="2114"/>
      <c r="P159" s="2114"/>
      <c r="Q159" s="2114"/>
      <c r="R159" s="2114"/>
      <c r="S159" s="2114"/>
      <c r="T159" s="2114"/>
      <c r="U159" s="2114"/>
      <c r="V159" s="2114"/>
      <c r="W159" s="2114"/>
      <c r="X159" s="2114"/>
      <c r="Y159" s="2114"/>
      <c r="Z159" s="2114"/>
      <c r="AA159" s="2114"/>
      <c r="AB159" s="2114"/>
      <c r="AC159" s="2114"/>
      <c r="AD159" s="2114"/>
      <c r="AE159" s="2114"/>
      <c r="AF159" s="2114"/>
      <c r="AG159" s="2114"/>
      <c r="AH159" s="2114"/>
      <c r="AI159" s="2114"/>
      <c r="AJ159" s="2114"/>
      <c r="AK159" s="2114"/>
      <c r="AL159" s="2114"/>
      <c r="AM159" s="2114"/>
      <c r="AN159" s="2114"/>
      <c r="AO159" s="2114"/>
      <c r="AP159" s="2114"/>
      <c r="AQ159" s="2114"/>
      <c r="AR159" s="2114"/>
      <c r="AS159" s="2114"/>
      <c r="AT159" s="2114"/>
      <c r="AU159" s="2114"/>
      <c r="AV159" s="2114"/>
      <c r="AW159" s="2116"/>
      <c r="AX159" s="2116"/>
      <c r="AY159" s="2116"/>
      <c r="AZ159" s="2116"/>
      <c r="BA159" s="2116"/>
      <c r="BB159" s="2116"/>
      <c r="BC159" s="2116"/>
      <c r="BD159" s="2116"/>
      <c r="BE159" s="2116"/>
      <c r="BF159" s="439"/>
      <c r="BG159" s="440"/>
      <c r="BH159" s="441"/>
      <c r="BI159" s="439"/>
      <c r="BJ159" s="1225"/>
      <c r="BK159" s="1204"/>
      <c r="BL159" s="1204"/>
      <c r="BM159" s="1204"/>
      <c r="BN159" s="2106" t="s">
        <v>876</v>
      </c>
      <c r="BO159" s="2106"/>
      <c r="BP159" s="2106"/>
      <c r="BQ159" s="2106"/>
      <c r="BR159" s="2106"/>
      <c r="BS159" s="2106"/>
      <c r="BT159" s="2106"/>
      <c r="BU159" s="2106"/>
      <c r="BV159" s="2106"/>
      <c r="BW159" s="2106"/>
      <c r="BX159" s="2106"/>
      <c r="BY159" s="2106"/>
      <c r="BZ159" s="2106"/>
      <c r="CA159" s="2106"/>
      <c r="CB159" s="2106"/>
      <c r="CC159" s="2106"/>
      <c r="CD159" s="2106"/>
      <c r="CE159" s="2106"/>
      <c r="CF159" s="2106"/>
      <c r="CG159" s="2106"/>
      <c r="CH159" s="2106"/>
      <c r="CI159" s="2106"/>
      <c r="CJ159" s="2106"/>
      <c r="CK159" s="2106"/>
      <c r="CL159" s="2106"/>
      <c r="CM159" s="2106"/>
      <c r="CN159" s="2106"/>
      <c r="CO159" s="2106"/>
      <c r="CP159" s="2106"/>
      <c r="CQ159" s="2106"/>
      <c r="CR159" s="2106"/>
      <c r="CS159" s="2106"/>
      <c r="CT159" s="87"/>
      <c r="CU159" s="158" t="e">
        <f>HeroicLvl+ArmourFort</f>
        <v>#NAME?</v>
      </c>
      <c r="CV159" s="411"/>
      <c r="CW159" s="411"/>
      <c r="CX159" s="411"/>
      <c r="CY159" s="411"/>
      <c r="CZ159" s="411"/>
      <c r="DA159" s="411"/>
      <c r="DB159" s="411"/>
      <c r="DC159" s="411"/>
      <c r="DD159" s="160"/>
      <c r="DE159" s="87"/>
      <c r="DF159" s="87"/>
      <c r="DG159" s="87"/>
      <c r="DH159" s="87"/>
      <c r="DI159" s="87"/>
      <c r="DJ159" s="158" t="e">
        <f>HeroicLvl+ArmourFort</f>
        <v>#NAME?</v>
      </c>
      <c r="DK159" s="159"/>
      <c r="DL159" s="159"/>
      <c r="DM159" s="159"/>
      <c r="DN159" s="159"/>
      <c r="DO159" s="159"/>
      <c r="DP159" s="159"/>
      <c r="DQ159" s="159"/>
      <c r="DR159" s="160"/>
      <c r="DS159" s="87"/>
      <c r="DT159" s="87"/>
      <c r="DU159" s="87"/>
      <c r="DV159" s="158"/>
      <c r="DW159" s="159"/>
      <c r="DX159" s="159"/>
      <c r="DY159" s="159"/>
      <c r="DZ159" s="159"/>
      <c r="EA159" s="159"/>
      <c r="EB159" s="159"/>
      <c r="EC159" s="159"/>
      <c r="ED159" s="160"/>
      <c r="EE159" s="87"/>
      <c r="EF159" s="87"/>
      <c r="EG159" s="87"/>
      <c r="EH159" s="158"/>
      <c r="EI159" s="184"/>
      <c r="EJ159" s="184"/>
      <c r="EK159" s="184"/>
      <c r="EL159" s="184"/>
      <c r="EM159" s="184"/>
      <c r="EN159" s="184"/>
      <c r="EO159" s="184"/>
      <c r="EP159" s="160"/>
      <c r="EQ159" s="87"/>
      <c r="ER159" s="87"/>
      <c r="ES159" s="87"/>
      <c r="ET159" s="158"/>
      <c r="EU159" s="1649"/>
      <c r="EV159" s="1649"/>
      <c r="EW159" s="1649"/>
      <c r="EX159" s="1649"/>
      <c r="EY159" s="1649"/>
      <c r="EZ159" s="1649"/>
      <c r="FA159" s="1649"/>
      <c r="FB159" s="160"/>
      <c r="FC159" s="87"/>
      <c r="FD159" s="87"/>
      <c r="FE159" s="87"/>
      <c r="FF159" s="158"/>
      <c r="FG159" s="159"/>
      <c r="FH159" s="159"/>
      <c r="FI159" s="159"/>
      <c r="FJ159" s="159"/>
      <c r="FK159" s="159"/>
      <c r="FL159" s="159"/>
      <c r="FM159" s="159"/>
      <c r="FN159" s="160"/>
      <c r="FO159" s="87"/>
      <c r="FP159" s="988"/>
      <c r="FQ159" s="988"/>
      <c r="FR159" s="988"/>
      <c r="FS159" s="988"/>
      <c r="FT159" s="988"/>
      <c r="FU159" s="988"/>
      <c r="FV159" s="988"/>
      <c r="FW159" s="988"/>
      <c r="FX159" s="988"/>
      <c r="FY159" s="87"/>
      <c r="FZ159" s="87"/>
      <c r="GA159" s="87"/>
      <c r="GC159" s="1853"/>
      <c r="GD159" s="1853"/>
      <c r="GE159" s="1853"/>
      <c r="GF159" s="1853"/>
      <c r="GH159" s="1133"/>
    </row>
    <row r="160" spans="1:190" ht="9" customHeight="1">
      <c r="A160" s="87"/>
      <c r="B160" s="313"/>
      <c r="C160" s="301"/>
      <c r="D160" s="301"/>
      <c r="E160" s="643"/>
      <c r="F160" s="643"/>
      <c r="G160" s="643"/>
      <c r="H160" s="643"/>
      <c r="I160" s="643"/>
      <c r="J160" s="643"/>
      <c r="K160" s="301"/>
      <c r="L160" s="301"/>
      <c r="M160" s="301"/>
      <c r="N160" s="301"/>
      <c r="O160" s="301"/>
      <c r="P160" s="301"/>
      <c r="Q160" s="301"/>
      <c r="R160" s="301"/>
      <c r="S160" s="301"/>
      <c r="T160" s="301"/>
      <c r="U160" s="301"/>
      <c r="V160" s="301"/>
      <c r="W160" s="301"/>
      <c r="X160" s="301"/>
      <c r="Y160" s="301"/>
      <c r="Z160" s="301"/>
      <c r="AA160" s="301"/>
      <c r="AB160" s="301"/>
      <c r="AC160" s="301"/>
      <c r="AD160" s="301"/>
      <c r="AE160" s="301"/>
      <c r="AF160" s="301"/>
      <c r="AG160" s="301"/>
      <c r="AH160" s="301"/>
      <c r="AI160" s="301"/>
      <c r="AJ160" s="301"/>
      <c r="AK160" s="301"/>
      <c r="AL160" s="301"/>
      <c r="AM160" s="301"/>
      <c r="AN160" s="301"/>
      <c r="AO160" s="301"/>
      <c r="AP160" s="301"/>
      <c r="AQ160" s="301"/>
      <c r="AR160" s="301"/>
      <c r="AS160" s="301"/>
      <c r="AT160" s="301"/>
      <c r="AU160" s="301"/>
      <c r="AV160" s="301"/>
      <c r="AW160" s="1087"/>
      <c r="AX160" s="1087"/>
      <c r="AY160" s="1087"/>
      <c r="AZ160" s="1087"/>
      <c r="BA160" s="1087"/>
      <c r="BB160" s="1087"/>
      <c r="BC160" s="1087"/>
      <c r="BD160" s="1087"/>
      <c r="BE160" s="1087"/>
      <c r="BF160" s="439"/>
      <c r="BG160" s="440"/>
      <c r="BH160" s="441"/>
      <c r="BI160" s="439"/>
      <c r="BJ160" s="1225"/>
      <c r="BK160" s="1204"/>
      <c r="BL160" s="1204"/>
      <c r="BM160" s="1204"/>
      <c r="BN160" s="2106"/>
      <c r="BO160" s="2106"/>
      <c r="BP160" s="2106"/>
      <c r="BQ160" s="2106"/>
      <c r="BR160" s="2106"/>
      <c r="BS160" s="2106"/>
      <c r="BT160" s="2106"/>
      <c r="BU160" s="2106"/>
      <c r="BV160" s="2106"/>
      <c r="BW160" s="2106"/>
      <c r="BX160" s="2106"/>
      <c r="BY160" s="2106"/>
      <c r="BZ160" s="2106"/>
      <c r="CA160" s="2106"/>
      <c r="CB160" s="2106"/>
      <c r="CC160" s="2106"/>
      <c r="CD160" s="2106"/>
      <c r="CE160" s="2106"/>
      <c r="CF160" s="2106"/>
      <c r="CG160" s="2106"/>
      <c r="CH160" s="2106"/>
      <c r="CI160" s="2106"/>
      <c r="CJ160" s="2106"/>
      <c r="CK160" s="2106"/>
      <c r="CL160" s="2106"/>
      <c r="CM160" s="2106"/>
      <c r="CN160" s="2106"/>
      <c r="CO160" s="2106"/>
      <c r="CP160" s="2106"/>
      <c r="CQ160" s="2106"/>
      <c r="CR160" s="2106"/>
      <c r="CS160" s="2106"/>
      <c r="CT160" s="87"/>
      <c r="CU160" s="166"/>
      <c r="CV160" s="2107">
        <f ca="1">UsetheForce</f>
        <v>0</v>
      </c>
      <c r="CW160" s="2107"/>
      <c r="CX160" s="2107"/>
      <c r="CY160" s="2107"/>
      <c r="CZ160" s="2107"/>
      <c r="DA160" s="2107"/>
      <c r="DB160" s="2107"/>
      <c r="DC160" s="2107"/>
      <c r="DD160" s="167"/>
      <c r="DE160" s="87"/>
      <c r="DF160" s="117"/>
      <c r="DG160" s="117"/>
      <c r="DH160" s="117"/>
      <c r="DI160" s="87"/>
      <c r="DJ160" s="166"/>
      <c r="DK160" s="1991">
        <f>ROUNDDOWN(CharacterLevel/2,0)</f>
        <v>0</v>
      </c>
      <c r="DL160" s="1991"/>
      <c r="DM160" s="1991"/>
      <c r="DN160" s="1991"/>
      <c r="DO160" s="1991"/>
      <c r="DP160" s="1991"/>
      <c r="DQ160" s="1991"/>
      <c r="DR160" s="167"/>
      <c r="DS160" s="87"/>
      <c r="DT160" s="87"/>
      <c r="DU160" s="87"/>
      <c r="DV160" s="166"/>
      <c r="DW160" s="1991" t="str">
        <f>ChaMod</f>
        <v/>
      </c>
      <c r="DX160" s="1991"/>
      <c r="DY160" s="1991"/>
      <c r="DZ160" s="1991"/>
      <c r="EA160" s="1991"/>
      <c r="EB160" s="1991"/>
      <c r="EC160" s="1991"/>
      <c r="ED160" s="167"/>
      <c r="EE160" s="87"/>
      <c r="EF160" s="87"/>
      <c r="EG160" s="87"/>
      <c r="EH160" s="166"/>
      <c r="EI160" s="1991" t="str">
        <f>IF(CharacterLevel&gt;0,IF(OR(INDEX(SkillTable,MATCH(BN159,SkillList,0),4)="Yes",INDEX(SkillTable,MATCH(BN159,SkillList,0),5)="Yes"),5,0),"")</f>
        <v/>
      </c>
      <c r="EJ160" s="1991"/>
      <c r="EK160" s="1991"/>
      <c r="EL160" s="1991"/>
      <c r="EM160" s="1991"/>
      <c r="EN160" s="1991"/>
      <c r="EO160" s="1991"/>
      <c r="EP160" s="264"/>
      <c r="EQ160" s="265"/>
      <c r="ER160" s="265"/>
      <c r="ES160" s="265"/>
      <c r="ET160" s="266"/>
      <c r="EU160" s="1991" t="b">
        <f>IF(CharacterLevel&gt;0,IF(Skills!R35="Yes",5,0))</f>
        <v>0</v>
      </c>
      <c r="EV160" s="1991"/>
      <c r="EW160" s="1991"/>
      <c r="EX160" s="1991"/>
      <c r="EY160" s="1991"/>
      <c r="EZ160" s="1991"/>
      <c r="FA160" s="1991"/>
      <c r="FB160" s="167"/>
      <c r="FC160" s="265"/>
      <c r="FD160" s="265"/>
      <c r="FE160" s="265"/>
      <c r="FF160" s="266"/>
      <c r="FG160" s="1991">
        <f>ArmorPenalty+INDEX(SkillTable,MATCH(BN159,SkillList,0),12)</f>
        <v>0</v>
      </c>
      <c r="FH160" s="1991"/>
      <c r="FI160" s="1991"/>
      <c r="FJ160" s="1991"/>
      <c r="FK160" s="1991"/>
      <c r="FL160" s="1991"/>
      <c r="FM160" s="1991"/>
      <c r="FN160" s="167"/>
      <c r="FO160" s="87"/>
      <c r="FP160" s="2124" t="str">
        <f>IF(INDEX(SkillTable,MATCH(BN159,SkillList,0),77)&lt;&gt;"","×","")</f>
        <v/>
      </c>
      <c r="FQ160" s="2125"/>
      <c r="FR160" s="2125"/>
      <c r="FS160" s="2126"/>
      <c r="FT160" s="988"/>
      <c r="FU160" s="2124" t="str">
        <f>IF(INDEX(SkillTable,MATCH(BN159,SkillList,0),78)&lt;&gt;"","×","")</f>
        <v/>
      </c>
      <c r="FV160" s="2125"/>
      <c r="FW160" s="2125"/>
      <c r="FX160" s="2126"/>
      <c r="FY160" s="87"/>
      <c r="FZ160" s="87"/>
      <c r="GA160" s="87"/>
      <c r="GF160" s="714"/>
      <c r="GH160" s="1135" t="e">
        <f ca="1">IF(INDEX(SkillTable,MATCH(BN159,SkillList,0),14),1,0)</f>
        <v>#VALUE!</v>
      </c>
    </row>
    <row r="161" spans="1:191" ht="9" customHeight="1">
      <c r="A161" s="87"/>
      <c r="B161" s="313"/>
      <c r="C161" s="2113" t="str">
        <f>IF(Race="","",IF(NOT(ISERROR(GD161)),MID(EquipmentNameList,GD157+1,GD161-GD157-1),""))</f>
        <v/>
      </c>
      <c r="D161" s="2113"/>
      <c r="E161" s="2113"/>
      <c r="F161" s="2113"/>
      <c r="G161" s="2113"/>
      <c r="H161" s="2113"/>
      <c r="I161" s="2113"/>
      <c r="J161" s="2113"/>
      <c r="K161" s="2113"/>
      <c r="L161" s="2113"/>
      <c r="M161" s="2113"/>
      <c r="N161" s="2113"/>
      <c r="O161" s="2113"/>
      <c r="P161" s="2113"/>
      <c r="Q161" s="2113"/>
      <c r="R161" s="2113"/>
      <c r="S161" s="2113"/>
      <c r="T161" s="2113"/>
      <c r="U161" s="2113"/>
      <c r="V161" s="2113"/>
      <c r="W161" s="2113"/>
      <c r="X161" s="2113"/>
      <c r="Y161" s="2113"/>
      <c r="Z161" s="2113"/>
      <c r="AA161" s="2113"/>
      <c r="AB161" s="2113"/>
      <c r="AC161" s="2113"/>
      <c r="AD161" s="2113"/>
      <c r="AE161" s="2113"/>
      <c r="AF161" s="2113"/>
      <c r="AG161" s="2113"/>
      <c r="AH161" s="2113"/>
      <c r="AI161" s="2113"/>
      <c r="AJ161" s="2113"/>
      <c r="AK161" s="2113"/>
      <c r="AL161" s="2113"/>
      <c r="AM161" s="2113"/>
      <c r="AN161" s="2113"/>
      <c r="AO161" s="2113"/>
      <c r="AP161" s="2113"/>
      <c r="AQ161" s="2113"/>
      <c r="AR161" s="2113"/>
      <c r="AS161" s="2113"/>
      <c r="AT161" s="2113"/>
      <c r="AU161" s="2113"/>
      <c r="AV161" s="2113"/>
      <c r="AW161" s="2115" t="str">
        <f>IF(Race="","",IF(NOT(ISERROR(GE161)),VALUE(MID(EquipmentWeightList,GE157+1,GE161-GE157-1)),""))</f>
        <v/>
      </c>
      <c r="AX161" s="2115"/>
      <c r="AY161" s="2115"/>
      <c r="AZ161" s="2115"/>
      <c r="BA161" s="2115"/>
      <c r="BB161" s="2115"/>
      <c r="BC161" s="2115"/>
      <c r="BD161" s="2115"/>
      <c r="BE161" s="2115"/>
      <c r="BF161" s="439"/>
      <c r="BG161" s="440"/>
      <c r="BH161" s="441"/>
      <c r="BI161" s="439"/>
      <c r="BJ161" s="1225"/>
      <c r="BK161" s="1204"/>
      <c r="BL161" s="1204"/>
      <c r="BM161" s="1204"/>
      <c r="BN161" s="2106"/>
      <c r="BO161" s="2106"/>
      <c r="BP161" s="2106"/>
      <c r="BQ161" s="2106"/>
      <c r="BR161" s="2106"/>
      <c r="BS161" s="2106"/>
      <c r="BT161" s="2106"/>
      <c r="BU161" s="2106"/>
      <c r="BV161" s="2106"/>
      <c r="BW161" s="2106"/>
      <c r="BX161" s="2106"/>
      <c r="BY161" s="2106"/>
      <c r="BZ161" s="2106"/>
      <c r="CA161" s="2106"/>
      <c r="CB161" s="2106"/>
      <c r="CC161" s="2106"/>
      <c r="CD161" s="2106"/>
      <c r="CE161" s="2106"/>
      <c r="CF161" s="2106"/>
      <c r="CG161" s="2106"/>
      <c r="CH161" s="2106"/>
      <c r="CI161" s="2106"/>
      <c r="CJ161" s="2106"/>
      <c r="CK161" s="2106"/>
      <c r="CL161" s="2106"/>
      <c r="CM161" s="2106"/>
      <c r="CN161" s="2106"/>
      <c r="CO161" s="2106"/>
      <c r="CP161" s="2106"/>
      <c r="CQ161" s="2106"/>
      <c r="CR161" s="2106"/>
      <c r="CS161" s="2106"/>
      <c r="CT161" s="87"/>
      <c r="CU161" s="166"/>
      <c r="CV161" s="2107"/>
      <c r="CW161" s="2107"/>
      <c r="CX161" s="2107"/>
      <c r="CY161" s="2107"/>
      <c r="CZ161" s="2107"/>
      <c r="DA161" s="2107"/>
      <c r="DB161" s="2107"/>
      <c r="DC161" s="2107"/>
      <c r="DD161" s="167"/>
      <c r="DE161" s="87"/>
      <c r="DF161" s="87"/>
      <c r="DG161" s="87"/>
      <c r="DH161" s="87"/>
      <c r="DI161" s="87"/>
      <c r="DJ161" s="166"/>
      <c r="DK161" s="1991"/>
      <c r="DL161" s="1991"/>
      <c r="DM161" s="1991"/>
      <c r="DN161" s="1991"/>
      <c r="DO161" s="1991"/>
      <c r="DP161" s="1991"/>
      <c r="DQ161" s="1991"/>
      <c r="DR161" s="167"/>
      <c r="DS161" s="117"/>
      <c r="DT161" s="117"/>
      <c r="DU161" s="117"/>
      <c r="DV161" s="166"/>
      <c r="DW161" s="1991"/>
      <c r="DX161" s="1991"/>
      <c r="DY161" s="1991"/>
      <c r="DZ161" s="1991"/>
      <c r="EA161" s="1991"/>
      <c r="EB161" s="1991"/>
      <c r="EC161" s="1991"/>
      <c r="ED161" s="167"/>
      <c r="EE161" s="117"/>
      <c r="EF161" s="117"/>
      <c r="EG161" s="117"/>
      <c r="EH161" s="166"/>
      <c r="EI161" s="1991"/>
      <c r="EJ161" s="1991"/>
      <c r="EK161" s="1991"/>
      <c r="EL161" s="1991"/>
      <c r="EM161" s="1991"/>
      <c r="EN161" s="1991"/>
      <c r="EO161" s="1991"/>
      <c r="EP161" s="264"/>
      <c r="EQ161" s="117"/>
      <c r="ER161" s="117"/>
      <c r="ES161" s="117"/>
      <c r="ET161" s="266"/>
      <c r="EU161" s="1991"/>
      <c r="EV161" s="1991"/>
      <c r="EW161" s="1991"/>
      <c r="EX161" s="1991"/>
      <c r="EY161" s="1991"/>
      <c r="EZ161" s="1991"/>
      <c r="FA161" s="1991"/>
      <c r="FB161" s="167"/>
      <c r="FC161" s="117"/>
      <c r="FD161" s="117"/>
      <c r="FE161" s="117"/>
      <c r="FF161" s="266"/>
      <c r="FG161" s="1991"/>
      <c r="FH161" s="1991"/>
      <c r="FI161" s="1991"/>
      <c r="FJ161" s="1991"/>
      <c r="FK161" s="1991"/>
      <c r="FL161" s="1991"/>
      <c r="FM161" s="1991"/>
      <c r="FN161" s="167"/>
      <c r="FO161" s="117"/>
      <c r="FP161" s="2127"/>
      <c r="FQ161" s="2081"/>
      <c r="FR161" s="2081"/>
      <c r="FS161" s="2128"/>
      <c r="FT161" s="989"/>
      <c r="FU161" s="2127"/>
      <c r="FV161" s="2081"/>
      <c r="FW161" s="2081"/>
      <c r="FX161" s="2128"/>
      <c r="FY161" s="87"/>
      <c r="FZ161" s="87"/>
      <c r="GA161" s="87"/>
      <c r="GC161" s="1853">
        <f>GC157+1</f>
        <v>38</v>
      </c>
      <c r="GD161" s="1853" t="e">
        <f>FIND(";",EquipmentNameList,GD157+1)</f>
        <v>#VALUE!</v>
      </c>
      <c r="GE161" s="1853" t="e">
        <f>FIND(";",EquipmentWeightList,GE157+1)</f>
        <v>#VALUE!</v>
      </c>
      <c r="GF161" s="1853" t="e">
        <f>FIND(";",EquipmentNumberList,GF157+1)</f>
        <v>#VALUE!</v>
      </c>
      <c r="GH161" s="1133"/>
    </row>
    <row r="162" spans="1:191" ht="9" customHeight="1" thickBot="1">
      <c r="A162" s="87"/>
      <c r="B162" s="313"/>
      <c r="C162" s="2113"/>
      <c r="D162" s="2113"/>
      <c r="E162" s="2113"/>
      <c r="F162" s="2113"/>
      <c r="G162" s="2113"/>
      <c r="H162" s="2113"/>
      <c r="I162" s="2113"/>
      <c r="J162" s="2113"/>
      <c r="K162" s="2113"/>
      <c r="L162" s="2113"/>
      <c r="M162" s="2113"/>
      <c r="N162" s="2113"/>
      <c r="O162" s="2113"/>
      <c r="P162" s="2113"/>
      <c r="Q162" s="2113"/>
      <c r="R162" s="2113"/>
      <c r="S162" s="2113"/>
      <c r="T162" s="2113"/>
      <c r="U162" s="2113"/>
      <c r="V162" s="2113"/>
      <c r="W162" s="2113"/>
      <c r="X162" s="2113"/>
      <c r="Y162" s="2113"/>
      <c r="Z162" s="2113"/>
      <c r="AA162" s="2113"/>
      <c r="AB162" s="2113"/>
      <c r="AC162" s="2113"/>
      <c r="AD162" s="2113"/>
      <c r="AE162" s="2113"/>
      <c r="AF162" s="2113"/>
      <c r="AG162" s="2113"/>
      <c r="AH162" s="2113"/>
      <c r="AI162" s="2113"/>
      <c r="AJ162" s="2113"/>
      <c r="AK162" s="2113"/>
      <c r="AL162" s="2113"/>
      <c r="AM162" s="2113"/>
      <c r="AN162" s="2113"/>
      <c r="AO162" s="2113"/>
      <c r="AP162" s="2113"/>
      <c r="AQ162" s="2113"/>
      <c r="AR162" s="2113"/>
      <c r="AS162" s="2113"/>
      <c r="AT162" s="2113"/>
      <c r="AU162" s="2113"/>
      <c r="AV162" s="2113"/>
      <c r="AW162" s="2115"/>
      <c r="AX162" s="2115"/>
      <c r="AY162" s="2115"/>
      <c r="AZ162" s="2115"/>
      <c r="BA162" s="2115"/>
      <c r="BB162" s="2115"/>
      <c r="BC162" s="2115"/>
      <c r="BD162" s="2115"/>
      <c r="BE162" s="2115"/>
      <c r="BF162" s="444"/>
      <c r="BG162" s="444"/>
      <c r="BH162" s="105"/>
      <c r="BI162" s="105"/>
      <c r="BJ162" s="1228"/>
      <c r="BK162" s="1204"/>
      <c r="BL162" s="1204"/>
      <c r="BM162" s="1204"/>
      <c r="BN162" s="2106"/>
      <c r="BO162" s="2106"/>
      <c r="BP162" s="2106"/>
      <c r="BQ162" s="2106"/>
      <c r="BR162" s="2106"/>
      <c r="BS162" s="2106"/>
      <c r="BT162" s="2106"/>
      <c r="BU162" s="2106"/>
      <c r="BV162" s="2106"/>
      <c r="BW162" s="2106"/>
      <c r="BX162" s="2106"/>
      <c r="BY162" s="2106"/>
      <c r="BZ162" s="2106"/>
      <c r="CA162" s="2106"/>
      <c r="CB162" s="2106"/>
      <c r="CC162" s="2106"/>
      <c r="CD162" s="2106"/>
      <c r="CE162" s="2106"/>
      <c r="CF162" s="2106"/>
      <c r="CG162" s="2106"/>
      <c r="CH162" s="2106"/>
      <c r="CI162" s="2106"/>
      <c r="CJ162" s="2106"/>
      <c r="CK162" s="2106"/>
      <c r="CL162" s="2106"/>
      <c r="CM162" s="2106"/>
      <c r="CN162" s="2106"/>
      <c r="CO162" s="2106"/>
      <c r="CP162" s="2106"/>
      <c r="CQ162" s="2106"/>
      <c r="CR162" s="2106"/>
      <c r="CS162" s="2106"/>
      <c r="CT162" s="87"/>
      <c r="CU162" s="166"/>
      <c r="CV162" s="2107"/>
      <c r="CW162" s="2107"/>
      <c r="CX162" s="2107"/>
      <c r="CY162" s="2107"/>
      <c r="CZ162" s="2107"/>
      <c r="DA162" s="2107"/>
      <c r="DB162" s="2107"/>
      <c r="DC162" s="2107"/>
      <c r="DD162" s="167"/>
      <c r="DE162" s="87"/>
      <c r="DF162" s="117"/>
      <c r="DG162" s="117"/>
      <c r="DH162" s="117"/>
      <c r="DI162" s="87"/>
      <c r="DJ162" s="166"/>
      <c r="DK162" s="1991"/>
      <c r="DL162" s="1991"/>
      <c r="DM162" s="1991"/>
      <c r="DN162" s="1991"/>
      <c r="DO162" s="1991"/>
      <c r="DP162" s="1991"/>
      <c r="DQ162" s="1991"/>
      <c r="DR162" s="167"/>
      <c r="DS162" s="87"/>
      <c r="DT162" s="87"/>
      <c r="DU162" s="87"/>
      <c r="DV162" s="166"/>
      <c r="DW162" s="1991"/>
      <c r="DX162" s="1991"/>
      <c r="DY162" s="1991"/>
      <c r="DZ162" s="1991"/>
      <c r="EA162" s="1991"/>
      <c r="EB162" s="1991"/>
      <c r="EC162" s="1991"/>
      <c r="ED162" s="167"/>
      <c r="EE162" s="87"/>
      <c r="EF162" s="87"/>
      <c r="EG162" s="87"/>
      <c r="EH162" s="166"/>
      <c r="EI162" s="1991"/>
      <c r="EJ162" s="1991"/>
      <c r="EK162" s="1991"/>
      <c r="EL162" s="1991"/>
      <c r="EM162" s="1991"/>
      <c r="EN162" s="1991"/>
      <c r="EO162" s="1991"/>
      <c r="EP162" s="264"/>
      <c r="EQ162" s="87"/>
      <c r="ER162" s="87"/>
      <c r="ES162" s="87"/>
      <c r="ET162" s="266"/>
      <c r="EU162" s="1991"/>
      <c r="EV162" s="1991"/>
      <c r="EW162" s="1991"/>
      <c r="EX162" s="1991"/>
      <c r="EY162" s="1991"/>
      <c r="EZ162" s="1991"/>
      <c r="FA162" s="1991"/>
      <c r="FB162" s="167"/>
      <c r="FC162" s="87"/>
      <c r="FD162" s="87"/>
      <c r="FE162" s="87"/>
      <c r="FF162" s="266"/>
      <c r="FG162" s="1991"/>
      <c r="FH162" s="1991"/>
      <c r="FI162" s="1991"/>
      <c r="FJ162" s="1991"/>
      <c r="FK162" s="1991"/>
      <c r="FL162" s="1991"/>
      <c r="FM162" s="1991"/>
      <c r="FN162" s="167"/>
      <c r="FO162" s="87"/>
      <c r="FP162" s="2129"/>
      <c r="FQ162" s="2130"/>
      <c r="FR162" s="2130"/>
      <c r="FS162" s="2131"/>
      <c r="FT162" s="988"/>
      <c r="FU162" s="2129"/>
      <c r="FV162" s="2130"/>
      <c r="FW162" s="2130"/>
      <c r="FX162" s="2131"/>
      <c r="FY162" s="87"/>
      <c r="FZ162" s="87"/>
      <c r="GA162" s="87"/>
      <c r="GC162" s="1853"/>
      <c r="GD162" s="1853"/>
      <c r="GE162" s="1853"/>
      <c r="GF162" s="1853"/>
      <c r="GH162" s="1133"/>
    </row>
    <row r="163" spans="1:191" ht="9" customHeight="1" thickBot="1">
      <c r="A163" s="87"/>
      <c r="B163" s="313"/>
      <c r="C163" s="2114"/>
      <c r="D163" s="2114"/>
      <c r="E163" s="2114"/>
      <c r="F163" s="2114"/>
      <c r="G163" s="2114"/>
      <c r="H163" s="2114"/>
      <c r="I163" s="2114"/>
      <c r="J163" s="2114"/>
      <c r="K163" s="2114"/>
      <c r="L163" s="2114"/>
      <c r="M163" s="2114"/>
      <c r="N163" s="2114"/>
      <c r="O163" s="2114"/>
      <c r="P163" s="2114"/>
      <c r="Q163" s="2114"/>
      <c r="R163" s="2114"/>
      <c r="S163" s="2114"/>
      <c r="T163" s="2114"/>
      <c r="U163" s="2114"/>
      <c r="V163" s="2114"/>
      <c r="W163" s="2114"/>
      <c r="X163" s="2114"/>
      <c r="Y163" s="2114"/>
      <c r="Z163" s="2114"/>
      <c r="AA163" s="2114"/>
      <c r="AB163" s="2114"/>
      <c r="AC163" s="2114"/>
      <c r="AD163" s="2114"/>
      <c r="AE163" s="2114"/>
      <c r="AF163" s="2114"/>
      <c r="AG163" s="2114"/>
      <c r="AH163" s="2114"/>
      <c r="AI163" s="2114"/>
      <c r="AJ163" s="2114"/>
      <c r="AK163" s="2114"/>
      <c r="AL163" s="2114"/>
      <c r="AM163" s="2114"/>
      <c r="AN163" s="2114"/>
      <c r="AO163" s="2114"/>
      <c r="AP163" s="2114"/>
      <c r="AQ163" s="2114"/>
      <c r="AR163" s="2114"/>
      <c r="AS163" s="2114"/>
      <c r="AT163" s="2114"/>
      <c r="AU163" s="2114"/>
      <c r="AV163" s="2114"/>
      <c r="AW163" s="2116"/>
      <c r="AX163" s="2116"/>
      <c r="AY163" s="2116"/>
      <c r="AZ163" s="2116"/>
      <c r="BA163" s="2116"/>
      <c r="BB163" s="2116"/>
      <c r="BC163" s="2116"/>
      <c r="BD163" s="2116"/>
      <c r="BE163" s="2116"/>
      <c r="BF163" s="445"/>
      <c r="BG163" s="445"/>
      <c r="BH163" s="131"/>
      <c r="BI163" s="131"/>
      <c r="BJ163" s="1226"/>
      <c r="BK163" s="1229"/>
      <c r="BL163" s="1226"/>
      <c r="BM163" s="1226"/>
      <c r="BN163" s="2106"/>
      <c r="BO163" s="2106"/>
      <c r="BP163" s="2106"/>
      <c r="BQ163" s="2106"/>
      <c r="BR163" s="2106"/>
      <c r="BS163" s="2106"/>
      <c r="BT163" s="2106"/>
      <c r="BU163" s="2106"/>
      <c r="BV163" s="2106"/>
      <c r="BW163" s="2106"/>
      <c r="BX163" s="2106"/>
      <c r="BY163" s="2106"/>
      <c r="BZ163" s="2106"/>
      <c r="CA163" s="2106"/>
      <c r="CB163" s="2106"/>
      <c r="CC163" s="2106"/>
      <c r="CD163" s="2106"/>
      <c r="CE163" s="2106"/>
      <c r="CF163" s="2106"/>
      <c r="CG163" s="2106"/>
      <c r="CH163" s="2106"/>
      <c r="CI163" s="2106"/>
      <c r="CJ163" s="2106"/>
      <c r="CK163" s="2106"/>
      <c r="CL163" s="2106"/>
      <c r="CM163" s="2106"/>
      <c r="CN163" s="2106"/>
      <c r="CO163" s="2106"/>
      <c r="CP163" s="2106"/>
      <c r="CQ163" s="2106"/>
      <c r="CR163" s="2106"/>
      <c r="CS163" s="2106"/>
      <c r="CT163" s="87"/>
      <c r="CU163" s="160"/>
      <c r="CV163" s="240"/>
      <c r="CW163" s="240"/>
      <c r="CX163" s="240"/>
      <c r="CY163" s="240"/>
      <c r="CZ163" s="240"/>
      <c r="DA163" s="240"/>
      <c r="DB163" s="240"/>
      <c r="DC163" s="240"/>
      <c r="DD163" s="158"/>
      <c r="DE163" s="87"/>
      <c r="DF163" s="87"/>
      <c r="DG163" s="87"/>
      <c r="DH163" s="87"/>
      <c r="DI163" s="87"/>
      <c r="DJ163" s="160"/>
      <c r="DK163" s="240"/>
      <c r="DL163" s="240"/>
      <c r="DM163" s="240"/>
      <c r="DN163" s="240"/>
      <c r="DO163" s="240"/>
      <c r="DP163" s="240"/>
      <c r="DQ163" s="240"/>
      <c r="DR163" s="158"/>
      <c r="DS163" s="87"/>
      <c r="DT163" s="87"/>
      <c r="DU163" s="87"/>
      <c r="DV163" s="160"/>
      <c r="DW163" s="240"/>
      <c r="DX163" s="240"/>
      <c r="DY163" s="240"/>
      <c r="DZ163" s="240"/>
      <c r="EA163" s="240"/>
      <c r="EB163" s="240"/>
      <c r="EC163" s="240"/>
      <c r="ED163" s="158"/>
      <c r="EE163" s="87"/>
      <c r="EF163" s="87"/>
      <c r="EG163" s="87"/>
      <c r="EH163" s="160"/>
      <c r="EI163" s="204"/>
      <c r="EJ163" s="204"/>
      <c r="EK163" s="204"/>
      <c r="EL163" s="204"/>
      <c r="EM163" s="204"/>
      <c r="EN163" s="204"/>
      <c r="EO163" s="204"/>
      <c r="EP163" s="274"/>
      <c r="EQ163" s="87"/>
      <c r="ER163" s="87"/>
      <c r="ES163" s="87"/>
      <c r="ET163" s="203"/>
      <c r="EU163" s="204"/>
      <c r="EV163" s="204"/>
      <c r="EW163" s="204"/>
      <c r="EX163" s="204"/>
      <c r="EY163" s="204"/>
      <c r="EZ163" s="204"/>
      <c r="FA163" s="204"/>
      <c r="FB163" s="158"/>
      <c r="FC163" s="87"/>
      <c r="FD163" s="87"/>
      <c r="FE163" s="87"/>
      <c r="FF163" s="203"/>
      <c r="FG163" s="204"/>
      <c r="FH163" s="204"/>
      <c r="FI163" s="204"/>
      <c r="FJ163" s="204"/>
      <c r="FK163" s="204"/>
      <c r="FL163" s="204"/>
      <c r="FM163" s="204"/>
      <c r="FN163" s="158"/>
      <c r="FO163" s="87"/>
      <c r="FP163" s="87"/>
      <c r="FQ163" s="87"/>
      <c r="FR163" s="87"/>
      <c r="FS163" s="87"/>
      <c r="FT163" s="87"/>
      <c r="FU163" s="87"/>
      <c r="FV163" s="87"/>
      <c r="FW163" s="87"/>
      <c r="FX163" s="87"/>
      <c r="FY163" s="87"/>
      <c r="FZ163" s="87"/>
      <c r="GA163" s="87"/>
      <c r="GC163" s="1853"/>
      <c r="GD163" s="1853"/>
      <c r="GE163" s="1853"/>
      <c r="GF163" s="1853"/>
      <c r="GH163" s="1133"/>
    </row>
    <row r="164" spans="1:191" ht="9" customHeight="1">
      <c r="A164" s="87"/>
      <c r="B164" s="313"/>
      <c r="C164" s="301"/>
      <c r="D164" s="301"/>
      <c r="E164" s="643"/>
      <c r="F164" s="643"/>
      <c r="G164" s="643"/>
      <c r="H164" s="643"/>
      <c r="I164" s="643"/>
      <c r="J164" s="643"/>
      <c r="K164" s="301"/>
      <c r="L164" s="301"/>
      <c r="M164" s="301"/>
      <c r="N164" s="301"/>
      <c r="O164" s="301"/>
      <c r="P164" s="301"/>
      <c r="Q164" s="301"/>
      <c r="R164" s="301"/>
      <c r="S164" s="301"/>
      <c r="T164" s="301"/>
      <c r="U164" s="301"/>
      <c r="V164" s="301"/>
      <c r="W164" s="301"/>
      <c r="X164" s="301"/>
      <c r="Y164" s="301"/>
      <c r="Z164" s="301"/>
      <c r="AA164" s="301"/>
      <c r="AB164" s="301"/>
      <c r="AC164" s="301"/>
      <c r="AD164" s="301"/>
      <c r="AE164" s="301"/>
      <c r="AF164" s="301"/>
      <c r="AG164" s="301"/>
      <c r="AH164" s="301"/>
      <c r="AI164" s="301"/>
      <c r="AJ164" s="301"/>
      <c r="AK164" s="301"/>
      <c r="AL164" s="301"/>
      <c r="AM164" s="301"/>
      <c r="AN164" s="301"/>
      <c r="AO164" s="301"/>
      <c r="AP164" s="301"/>
      <c r="AQ164" s="301"/>
      <c r="AR164" s="301"/>
      <c r="AS164" s="301"/>
      <c r="AT164" s="301"/>
      <c r="AU164" s="301"/>
      <c r="AV164" s="301"/>
      <c r="AW164" s="1087"/>
      <c r="AX164" s="1087"/>
      <c r="AY164" s="1087"/>
      <c r="AZ164" s="1087"/>
      <c r="BA164" s="1087"/>
      <c r="BB164" s="1087"/>
      <c r="BC164" s="1087"/>
      <c r="BD164" s="1087"/>
      <c r="BE164" s="1087"/>
      <c r="BF164" s="445"/>
      <c r="BG164" s="445"/>
      <c r="BH164" s="131"/>
      <c r="BI164" s="131"/>
      <c r="BJ164" s="131"/>
      <c r="BK164" s="131"/>
      <c r="BL164" s="446"/>
      <c r="BM164" s="131"/>
      <c r="BN164" s="131"/>
      <c r="BO164" s="131"/>
      <c r="BP164" s="131"/>
      <c r="BQ164" s="131"/>
      <c r="BR164" s="131"/>
      <c r="BS164" s="131"/>
      <c r="BT164" s="131"/>
      <c r="BU164" s="131"/>
      <c r="BV164" s="131"/>
      <c r="BW164" s="131"/>
      <c r="BX164" s="131"/>
      <c r="BY164" s="131"/>
      <c r="BZ164" s="131"/>
      <c r="CA164" s="131"/>
      <c r="CB164" s="131"/>
      <c r="CC164" s="131"/>
      <c r="CD164" s="131"/>
      <c r="CE164" s="131"/>
      <c r="CF164" s="131"/>
      <c r="CG164" s="131"/>
      <c r="CH164" s="131"/>
      <c r="CI164" s="131"/>
      <c r="CJ164" s="131"/>
      <c r="CK164" s="131"/>
      <c r="CL164" s="131"/>
      <c r="CM164" s="131"/>
      <c r="CN164" s="131"/>
      <c r="CO164" s="131"/>
      <c r="CP164" s="131"/>
      <c r="CQ164" s="131"/>
      <c r="CR164" s="131"/>
      <c r="CS164" s="131"/>
      <c r="CT164" s="131"/>
      <c r="CU164" s="131"/>
      <c r="CV164" s="131"/>
      <c r="CW164" s="131"/>
      <c r="CX164" s="131"/>
      <c r="CY164" s="131"/>
      <c r="CZ164" s="131"/>
      <c r="DA164" s="131"/>
      <c r="DB164" s="131"/>
      <c r="DC164" s="131"/>
      <c r="DD164" s="301"/>
      <c r="DE164" s="301"/>
      <c r="DF164" s="301"/>
      <c r="DG164" s="301"/>
      <c r="DH164" s="301"/>
      <c r="DI164" s="384"/>
      <c r="DJ164" s="384"/>
      <c r="DK164" s="384"/>
      <c r="DL164" s="384"/>
      <c r="DM164" s="384"/>
      <c r="DN164" s="384"/>
      <c r="DO164" s="384"/>
      <c r="DP164" s="384"/>
      <c r="DQ164" s="384"/>
      <c r="DR164" s="384"/>
      <c r="DS164" s="384"/>
      <c r="DT164" s="384"/>
      <c r="DU164" s="384"/>
      <c r="DV164" s="384"/>
      <c r="DW164" s="384"/>
      <c r="DX164" s="384"/>
      <c r="DY164" s="384"/>
      <c r="DZ164" s="384"/>
      <c r="EA164" s="384"/>
      <c r="EB164" s="384"/>
      <c r="EC164" s="384"/>
      <c r="ED164" s="384"/>
      <c r="EE164" s="384"/>
      <c r="EF164" s="384"/>
      <c r="EG164" s="384"/>
      <c r="EH164" s="384"/>
      <c r="EI164" s="384"/>
      <c r="EJ164" s="384"/>
      <c r="EK164" s="384"/>
      <c r="EL164" s="384"/>
      <c r="EM164" s="384"/>
      <c r="EN164" s="384"/>
      <c r="EO164" s="384"/>
      <c r="EP164" s="384"/>
      <c r="EQ164" s="384"/>
      <c r="ER164" s="384"/>
      <c r="ES164" s="384"/>
      <c r="ET164" s="384"/>
      <c r="EU164" s="384"/>
      <c r="EV164" s="384"/>
      <c r="EW164" s="384"/>
      <c r="EX164" s="384"/>
      <c r="EY164" s="384"/>
      <c r="EZ164" s="384"/>
      <c r="FA164" s="384"/>
      <c r="FB164" s="384"/>
      <c r="FC164" s="301"/>
      <c r="FD164" s="301"/>
      <c r="FE164" s="301"/>
      <c r="FF164" s="301"/>
      <c r="FG164" s="301"/>
      <c r="FH164" s="301"/>
      <c r="FI164" s="301"/>
      <c r="FJ164" s="301"/>
      <c r="FK164" s="301"/>
      <c r="FL164" s="301"/>
      <c r="FM164" s="301"/>
      <c r="FN164" s="301"/>
      <c r="FO164" s="301"/>
      <c r="FP164" s="87"/>
      <c r="FQ164" s="87"/>
      <c r="FR164" s="87"/>
      <c r="FS164" s="87"/>
      <c r="FT164" s="87"/>
      <c r="FU164" s="87"/>
      <c r="FV164" s="87"/>
      <c r="FW164" s="87"/>
      <c r="FX164" s="87"/>
      <c r="FY164" s="87"/>
      <c r="FZ164" s="87"/>
      <c r="GA164" s="87"/>
      <c r="GF164" s="714"/>
      <c r="GH164" s="1133"/>
    </row>
    <row r="165" spans="1:191" ht="9" customHeight="1" thickBot="1">
      <c r="A165" s="87"/>
      <c r="B165" s="313"/>
      <c r="C165" s="2113" t="str">
        <f>IF(Race="","",IF(NOT(ISERROR(GD165)),MID(EquipmentNameList,GD161+1,GD165-GD161-1),""))</f>
        <v/>
      </c>
      <c r="D165" s="2113"/>
      <c r="E165" s="2113"/>
      <c r="F165" s="2113"/>
      <c r="G165" s="2113"/>
      <c r="H165" s="2113"/>
      <c r="I165" s="2113"/>
      <c r="J165" s="2113"/>
      <c r="K165" s="2113"/>
      <c r="L165" s="2113"/>
      <c r="M165" s="2113"/>
      <c r="N165" s="2113"/>
      <c r="O165" s="2113"/>
      <c r="P165" s="2113"/>
      <c r="Q165" s="2113"/>
      <c r="R165" s="2113"/>
      <c r="S165" s="2113"/>
      <c r="T165" s="2113"/>
      <c r="U165" s="2113"/>
      <c r="V165" s="2113"/>
      <c r="W165" s="2113"/>
      <c r="X165" s="2113"/>
      <c r="Y165" s="2113"/>
      <c r="Z165" s="2113"/>
      <c r="AA165" s="2113"/>
      <c r="AB165" s="2113"/>
      <c r="AC165" s="2113"/>
      <c r="AD165" s="2113"/>
      <c r="AE165" s="2113"/>
      <c r="AF165" s="2113"/>
      <c r="AG165" s="2113"/>
      <c r="AH165" s="2113"/>
      <c r="AI165" s="2113"/>
      <c r="AJ165" s="2113"/>
      <c r="AK165" s="2113"/>
      <c r="AL165" s="2113"/>
      <c r="AM165" s="2113"/>
      <c r="AN165" s="2113"/>
      <c r="AO165" s="2113"/>
      <c r="AP165" s="2113"/>
      <c r="AQ165" s="2113"/>
      <c r="AR165" s="2113"/>
      <c r="AS165" s="2113"/>
      <c r="AT165" s="2113"/>
      <c r="AU165" s="2113"/>
      <c r="AV165" s="2113"/>
      <c r="AW165" s="2115" t="str">
        <f>IF(Race="","",IF(NOT(ISERROR(GE165)),VALUE(MID(EquipmentWeightList,GE161+1,GE165-GE161-1)),""))</f>
        <v/>
      </c>
      <c r="AX165" s="2115"/>
      <c r="AY165" s="2115"/>
      <c r="AZ165" s="2115"/>
      <c r="BA165" s="2115"/>
      <c r="BB165" s="2115"/>
      <c r="BC165" s="2115"/>
      <c r="BD165" s="2115"/>
      <c r="BE165" s="2115"/>
      <c r="BF165" s="445"/>
      <c r="BG165" s="445"/>
      <c r="BH165" s="131"/>
      <c r="BI165" s="131"/>
      <c r="BJ165" s="131"/>
      <c r="BK165" s="131"/>
      <c r="BL165" s="131"/>
      <c r="BM165" s="446"/>
      <c r="BN165" s="131"/>
      <c r="BO165" s="131"/>
      <c r="BP165" s="131"/>
      <c r="BQ165" s="131"/>
      <c r="BR165" s="131"/>
      <c r="BS165" s="131"/>
      <c r="BT165" s="131"/>
      <c r="BU165" s="131"/>
      <c r="BV165" s="131"/>
      <c r="BW165" s="131"/>
      <c r="BX165" s="131"/>
      <c r="BY165" s="131"/>
      <c r="BZ165" s="131"/>
      <c r="CA165" s="131"/>
      <c r="CB165" s="131"/>
      <c r="CC165" s="131"/>
      <c r="CD165" s="131"/>
      <c r="CE165" s="131"/>
      <c r="CF165" s="131"/>
      <c r="CG165" s="131"/>
      <c r="CH165" s="131"/>
      <c r="CI165" s="131"/>
      <c r="CJ165" s="131"/>
      <c r="CK165" s="131"/>
      <c r="CL165" s="131"/>
      <c r="CM165" s="131"/>
      <c r="CN165" s="131"/>
      <c r="CO165" s="131"/>
      <c r="CP165" s="131"/>
      <c r="CQ165" s="131"/>
      <c r="CR165" s="131"/>
      <c r="CS165" s="131"/>
      <c r="CT165" s="131"/>
      <c r="CU165" s="131"/>
      <c r="CV165" s="131"/>
      <c r="CW165" s="131"/>
      <c r="CX165" s="131"/>
      <c r="CY165" s="131"/>
      <c r="CZ165" s="131"/>
      <c r="DA165" s="131"/>
      <c r="DB165" s="131"/>
      <c r="DC165" s="131"/>
      <c r="DD165" s="301"/>
      <c r="DE165" s="301"/>
      <c r="DF165" s="301"/>
      <c r="DG165" s="301"/>
      <c r="DH165" s="301"/>
      <c r="DI165" s="384"/>
      <c r="DJ165" s="384"/>
      <c r="DK165" s="384"/>
      <c r="DL165" s="384"/>
      <c r="DM165" s="384"/>
      <c r="DN165" s="384"/>
      <c r="DO165" s="384"/>
      <c r="DP165" s="384"/>
      <c r="DQ165" s="384"/>
      <c r="DR165" s="384"/>
      <c r="DS165" s="384"/>
      <c r="DT165" s="384"/>
      <c r="DU165" s="384"/>
      <c r="DV165" s="384"/>
      <c r="DW165" s="384"/>
      <c r="DX165" s="384"/>
      <c r="DY165" s="384"/>
      <c r="DZ165" s="384"/>
      <c r="EA165" s="384"/>
      <c r="EB165" s="384"/>
      <c r="EC165" s="384"/>
      <c r="ED165" s="384"/>
      <c r="EE165" s="384"/>
      <c r="EF165" s="384"/>
      <c r="EG165" s="384"/>
      <c r="EH165" s="384"/>
      <c r="EI165" s="384"/>
      <c r="EJ165" s="384"/>
      <c r="EK165" s="384"/>
      <c r="EL165" s="384"/>
      <c r="EM165" s="384"/>
      <c r="EN165" s="384"/>
      <c r="EO165" s="384"/>
      <c r="EP165" s="384"/>
      <c r="EQ165" s="384"/>
      <c r="ER165" s="384"/>
      <c r="ES165" s="384"/>
      <c r="ET165" s="384"/>
      <c r="EU165" s="384"/>
      <c r="EV165" s="384"/>
      <c r="EW165" s="384"/>
      <c r="EX165" s="384"/>
      <c r="EY165" s="384"/>
      <c r="EZ165" s="384"/>
      <c r="FA165" s="384"/>
      <c r="FB165" s="384"/>
      <c r="FC165" s="301"/>
      <c r="FD165" s="301"/>
      <c r="FE165" s="301"/>
      <c r="FF165" s="301"/>
      <c r="FG165" s="301"/>
      <c r="FH165" s="301"/>
      <c r="FI165" s="301"/>
      <c r="FJ165" s="301"/>
      <c r="FK165" s="301"/>
      <c r="FL165" s="301"/>
      <c r="FM165" s="301"/>
      <c r="FN165" s="301"/>
      <c r="FO165" s="301"/>
      <c r="FP165" s="87"/>
      <c r="FQ165" s="87"/>
      <c r="FR165" s="87"/>
      <c r="FS165" s="87"/>
      <c r="FT165" s="87"/>
      <c r="FU165" s="87"/>
      <c r="FV165" s="87"/>
      <c r="FW165" s="87"/>
      <c r="FX165" s="87"/>
      <c r="FY165" s="87"/>
      <c r="FZ165" s="87"/>
      <c r="GA165" s="87"/>
      <c r="GC165" s="1853">
        <f>GC161+1</f>
        <v>39</v>
      </c>
      <c r="GD165" s="1853" t="e">
        <f>FIND(";",EquipmentNameList,GD161+1)</f>
        <v>#VALUE!</v>
      </c>
      <c r="GE165" s="1853" t="e">
        <f>FIND(";",EquipmentWeightList,GE161+1)</f>
        <v>#VALUE!</v>
      </c>
      <c r="GF165" s="1853" t="e">
        <f>FIND(";",EquipmentNumberList,GF161+1)</f>
        <v>#VALUE!</v>
      </c>
      <c r="GH165" s="1133"/>
    </row>
    <row r="166" spans="1:191" ht="9" customHeight="1" thickTop="1" thickBot="1">
      <c r="A166" s="87"/>
      <c r="B166" s="313"/>
      <c r="C166" s="2113"/>
      <c r="D166" s="2113"/>
      <c r="E166" s="2113"/>
      <c r="F166" s="2113"/>
      <c r="G166" s="2113"/>
      <c r="H166" s="2113"/>
      <c r="I166" s="2113"/>
      <c r="J166" s="2113"/>
      <c r="K166" s="2113"/>
      <c r="L166" s="2113"/>
      <c r="M166" s="2113"/>
      <c r="N166" s="2113"/>
      <c r="O166" s="2113"/>
      <c r="P166" s="2113"/>
      <c r="Q166" s="2113"/>
      <c r="R166" s="2113"/>
      <c r="S166" s="2113"/>
      <c r="T166" s="2113"/>
      <c r="U166" s="2113"/>
      <c r="V166" s="2113"/>
      <c r="W166" s="2113"/>
      <c r="X166" s="2113"/>
      <c r="Y166" s="2113"/>
      <c r="Z166" s="2113"/>
      <c r="AA166" s="2113"/>
      <c r="AB166" s="2113"/>
      <c r="AC166" s="2113"/>
      <c r="AD166" s="2113"/>
      <c r="AE166" s="2113"/>
      <c r="AF166" s="2113"/>
      <c r="AG166" s="2113"/>
      <c r="AH166" s="2113"/>
      <c r="AI166" s="2113"/>
      <c r="AJ166" s="2113"/>
      <c r="AK166" s="2113"/>
      <c r="AL166" s="2113"/>
      <c r="AM166" s="2113"/>
      <c r="AN166" s="2113"/>
      <c r="AO166" s="2113"/>
      <c r="AP166" s="2113"/>
      <c r="AQ166" s="2113"/>
      <c r="AR166" s="2113"/>
      <c r="AS166" s="2113"/>
      <c r="AT166" s="2113"/>
      <c r="AU166" s="2113"/>
      <c r="AV166" s="2113"/>
      <c r="AW166" s="2115"/>
      <c r="AX166" s="2115"/>
      <c r="AY166" s="2115"/>
      <c r="AZ166" s="2115"/>
      <c r="BA166" s="2115"/>
      <c r="BB166" s="2115"/>
      <c r="BC166" s="2115"/>
      <c r="BD166" s="2115"/>
      <c r="BE166" s="2115"/>
      <c r="BF166" s="445"/>
      <c r="BG166" s="445"/>
      <c r="BH166" s="131"/>
      <c r="BI166" s="131"/>
      <c r="BJ166" s="131"/>
      <c r="BK166" s="131"/>
      <c r="BL166" s="131"/>
      <c r="BM166" s="131"/>
      <c r="BN166" s="446"/>
      <c r="BO166" s="447"/>
      <c r="BP166" s="447"/>
      <c r="BQ166" s="447"/>
      <c r="BR166" s="447"/>
      <c r="BS166" s="447"/>
      <c r="BT166" s="447"/>
      <c r="BU166" s="447"/>
      <c r="BV166" s="447"/>
      <c r="BW166" s="447"/>
      <c r="BX166" s="131"/>
      <c r="BY166" s="131"/>
      <c r="BZ166" s="131"/>
      <c r="CA166" s="87"/>
      <c r="CB166" s="448"/>
      <c r="CC166" s="448"/>
      <c r="CD166" s="153"/>
      <c r="CE166" s="1855" t="s">
        <v>3641</v>
      </c>
      <c r="CF166" s="1855"/>
      <c r="CG166" s="1855"/>
      <c r="CH166" s="1855"/>
      <c r="CI166" s="1855"/>
      <c r="CJ166" s="1855"/>
      <c r="CK166" s="1855"/>
      <c r="CL166" s="1855"/>
      <c r="CM166" s="1855"/>
      <c r="CN166" s="1855"/>
      <c r="CO166" s="1855"/>
      <c r="CP166" s="1855"/>
      <c r="CQ166" s="1855"/>
      <c r="CR166" s="1855"/>
      <c r="CS166" s="154"/>
      <c r="CT166" s="448"/>
      <c r="CU166" s="448"/>
      <c r="CV166" s="448"/>
      <c r="CW166" s="448"/>
      <c r="CX166" s="448"/>
      <c r="CY166" s="448"/>
      <c r="CZ166" s="448"/>
      <c r="DA166" s="448"/>
      <c r="DB166" s="448"/>
      <c r="DC166" s="448"/>
      <c r="DD166" s="448"/>
      <c r="DE166" s="448"/>
      <c r="DF166" s="448"/>
      <c r="DG166" s="448"/>
      <c r="DH166" s="448"/>
      <c r="DI166" s="448"/>
      <c r="DJ166" s="448"/>
      <c r="DK166" s="448"/>
      <c r="DL166" s="448"/>
      <c r="DM166" s="448"/>
      <c r="DN166" s="448"/>
      <c r="DO166" s="449"/>
      <c r="DP166" s="449"/>
      <c r="DQ166" s="449"/>
      <c r="DR166" s="449"/>
      <c r="DS166" s="449"/>
      <c r="DT166" s="450"/>
      <c r="DU166" s="450"/>
      <c r="DV166" s="450"/>
      <c r="DW166" s="450"/>
      <c r="DX166" s="450"/>
      <c r="DY166" s="450"/>
      <c r="DZ166" s="450"/>
      <c r="EA166" s="450"/>
      <c r="EB166" s="450"/>
      <c r="EC166" s="450"/>
      <c r="ED166" s="450"/>
      <c r="EE166" s="450"/>
      <c r="EF166" s="450"/>
      <c r="EG166" s="450"/>
      <c r="EH166" s="450"/>
      <c r="EI166" s="450"/>
      <c r="EJ166" s="450"/>
      <c r="EK166" s="450"/>
      <c r="EL166" s="450"/>
      <c r="EM166" s="450"/>
      <c r="EN166" s="450"/>
      <c r="EO166" s="450"/>
      <c r="EP166" s="450"/>
      <c r="EQ166" s="450"/>
      <c r="ER166" s="450"/>
      <c r="ES166" s="450"/>
      <c r="ET166" s="450"/>
      <c r="EU166" s="450"/>
      <c r="EV166" s="450"/>
      <c r="EW166" s="450"/>
      <c r="EX166" s="450"/>
      <c r="EY166" s="450"/>
      <c r="EZ166" s="450"/>
      <c r="FA166" s="450"/>
      <c r="FB166" s="450"/>
      <c r="FC166" s="450"/>
      <c r="FD166" s="450"/>
      <c r="FE166" s="450"/>
      <c r="FF166" s="450"/>
      <c r="FG166" s="450"/>
      <c r="FH166" s="450"/>
      <c r="FI166" s="450"/>
      <c r="FJ166" s="450"/>
      <c r="FK166" s="450"/>
      <c r="FL166" s="450"/>
      <c r="FM166" s="450"/>
      <c r="FN166" s="449"/>
      <c r="FO166" s="449"/>
      <c r="FP166" s="449"/>
      <c r="FQ166" s="449"/>
      <c r="FR166" s="449"/>
      <c r="FS166" s="449"/>
      <c r="FT166" s="449"/>
      <c r="FU166" s="449"/>
      <c r="FV166" s="449"/>
      <c r="FW166" s="449"/>
      <c r="FX166" s="449"/>
      <c r="FY166" s="449"/>
      <c r="FZ166" s="87"/>
      <c r="GA166" s="87"/>
      <c r="GC166" s="1853"/>
      <c r="GD166" s="1853"/>
      <c r="GE166" s="1853"/>
      <c r="GF166" s="1853"/>
    </row>
    <row r="167" spans="1:191" ht="9" customHeight="1" thickTop="1" thickBot="1">
      <c r="A167" s="87"/>
      <c r="B167" s="313"/>
      <c r="C167" s="2114"/>
      <c r="D167" s="2114"/>
      <c r="E167" s="2114"/>
      <c r="F167" s="2114"/>
      <c r="G167" s="2114"/>
      <c r="H167" s="2114"/>
      <c r="I167" s="2114"/>
      <c r="J167" s="2114"/>
      <c r="K167" s="2114"/>
      <c r="L167" s="2114"/>
      <c r="M167" s="2114"/>
      <c r="N167" s="2114"/>
      <c r="O167" s="2114"/>
      <c r="P167" s="2114"/>
      <c r="Q167" s="2114"/>
      <c r="R167" s="2114"/>
      <c r="S167" s="2114"/>
      <c r="T167" s="2114"/>
      <c r="U167" s="2114"/>
      <c r="V167" s="2114"/>
      <c r="W167" s="2114"/>
      <c r="X167" s="2114"/>
      <c r="Y167" s="2114"/>
      <c r="Z167" s="2114"/>
      <c r="AA167" s="2114"/>
      <c r="AB167" s="2114"/>
      <c r="AC167" s="2114"/>
      <c r="AD167" s="2114"/>
      <c r="AE167" s="2114"/>
      <c r="AF167" s="2114"/>
      <c r="AG167" s="2114"/>
      <c r="AH167" s="2114"/>
      <c r="AI167" s="2114"/>
      <c r="AJ167" s="2114"/>
      <c r="AK167" s="2114"/>
      <c r="AL167" s="2114"/>
      <c r="AM167" s="2114"/>
      <c r="AN167" s="2114"/>
      <c r="AO167" s="2114"/>
      <c r="AP167" s="2114"/>
      <c r="AQ167" s="2114"/>
      <c r="AR167" s="2114"/>
      <c r="AS167" s="2114"/>
      <c r="AT167" s="2114"/>
      <c r="AU167" s="2114"/>
      <c r="AV167" s="2114"/>
      <c r="AW167" s="2116"/>
      <c r="AX167" s="2116"/>
      <c r="AY167" s="2116"/>
      <c r="AZ167" s="2116"/>
      <c r="BA167" s="2116"/>
      <c r="BB167" s="2116"/>
      <c r="BC167" s="2116"/>
      <c r="BD167" s="2116"/>
      <c r="BE167" s="2116"/>
      <c r="BF167" s="444"/>
      <c r="BG167" s="444"/>
      <c r="BH167" s="105"/>
      <c r="BI167" s="105"/>
      <c r="BJ167" s="105"/>
      <c r="BK167" s="105"/>
      <c r="BL167" s="105"/>
      <c r="BM167" s="105"/>
      <c r="BN167" s="105"/>
      <c r="BO167" s="2135"/>
      <c r="BP167" s="2136"/>
      <c r="BQ167" s="2136"/>
      <c r="BR167" s="2136"/>
      <c r="BS167" s="2136"/>
      <c r="BT167" s="2136"/>
      <c r="BU167" s="2136"/>
      <c r="BV167" s="2136"/>
      <c r="BW167" s="2137"/>
      <c r="BX167" s="105"/>
      <c r="BY167" s="105"/>
      <c r="BZ167" s="105"/>
      <c r="CA167" s="87"/>
      <c r="CB167" s="451"/>
      <c r="CC167" s="451"/>
      <c r="CD167" s="162"/>
      <c r="CE167" s="1856"/>
      <c r="CF167" s="1856"/>
      <c r="CG167" s="1856"/>
      <c r="CH167" s="1856"/>
      <c r="CI167" s="1856"/>
      <c r="CJ167" s="1856"/>
      <c r="CK167" s="1856"/>
      <c r="CL167" s="1856"/>
      <c r="CM167" s="1856"/>
      <c r="CN167" s="1856"/>
      <c r="CO167" s="1856"/>
      <c r="CP167" s="1856"/>
      <c r="CQ167" s="1856"/>
      <c r="CR167" s="1856"/>
      <c r="CS167" s="163"/>
      <c r="CT167" s="451"/>
      <c r="CU167" s="2142"/>
      <c r="CV167" s="2142"/>
      <c r="CW167" s="2142"/>
      <c r="CX167" s="2142"/>
      <c r="CY167" s="2142"/>
      <c r="CZ167" s="2142"/>
      <c r="DA167" s="2142"/>
      <c r="DB167" s="2142"/>
      <c r="DC167" s="2142"/>
      <c r="DD167" s="2142"/>
      <c r="DE167" s="2142"/>
      <c r="DF167" s="2142"/>
      <c r="DG167" s="2142"/>
      <c r="DH167" s="2142"/>
      <c r="DI167" s="2142"/>
      <c r="DJ167" s="2142"/>
      <c r="DK167" s="2142"/>
      <c r="DL167" s="2142"/>
      <c r="DM167" s="2142"/>
      <c r="DN167" s="2142"/>
      <c r="DO167" s="2142"/>
      <c r="DP167" s="2142"/>
      <c r="DQ167" s="2142"/>
      <c r="DR167" s="2142"/>
      <c r="DS167" s="2142"/>
      <c r="DT167" s="2142"/>
      <c r="DU167" s="2142"/>
      <c r="DV167" s="2142"/>
      <c r="DW167" s="2142"/>
      <c r="DX167" s="2142"/>
      <c r="DY167" s="2142"/>
      <c r="DZ167" s="2142"/>
      <c r="EA167" s="2142"/>
      <c r="EB167" s="2142"/>
      <c r="EC167" s="2142"/>
      <c r="ED167" s="2142"/>
      <c r="EE167" s="2142"/>
      <c r="EF167" s="2142"/>
      <c r="EG167" s="2142"/>
      <c r="EH167" s="2142"/>
      <c r="EI167" s="2142"/>
      <c r="EJ167" s="2142"/>
      <c r="EK167" s="2142"/>
      <c r="EL167" s="2142"/>
      <c r="EM167" s="2142"/>
      <c r="EN167" s="2142"/>
      <c r="EO167" s="2142"/>
      <c r="EP167" s="2142"/>
      <c r="EQ167" s="2142"/>
      <c r="ER167" s="2142"/>
      <c r="ES167" s="2142"/>
      <c r="ET167" s="2142"/>
      <c r="EU167" s="2142"/>
      <c r="EV167" s="2142"/>
      <c r="EW167" s="2142"/>
      <c r="EX167" s="2142"/>
      <c r="EY167" s="2142"/>
      <c r="EZ167" s="2142"/>
      <c r="FA167" s="2142"/>
      <c r="FB167" s="2142"/>
      <c r="FC167" s="2142"/>
      <c r="FD167" s="2142"/>
      <c r="FE167" s="2142"/>
      <c r="FF167" s="2142"/>
      <c r="FG167" s="2142"/>
      <c r="FH167" s="2142"/>
      <c r="FI167" s="2142"/>
      <c r="FJ167" s="2142"/>
      <c r="FK167" s="2142"/>
      <c r="FL167" s="2142"/>
      <c r="FM167" s="2142"/>
      <c r="FN167" s="2142"/>
      <c r="FO167" s="2142"/>
      <c r="FP167" s="2142"/>
      <c r="FQ167" s="2142"/>
      <c r="FR167" s="2142"/>
      <c r="FS167" s="2142"/>
      <c r="FT167" s="2142"/>
      <c r="FU167" s="2142"/>
      <c r="FV167" s="2142"/>
      <c r="FW167" s="2142"/>
      <c r="FX167" s="2142"/>
      <c r="FY167" s="2142"/>
      <c r="FZ167" s="301"/>
      <c r="GA167" s="87"/>
      <c r="GC167" s="1853"/>
      <c r="GD167" s="1853"/>
      <c r="GE167" s="1853"/>
      <c r="GF167" s="1853"/>
    </row>
    <row r="168" spans="1:191" ht="9" customHeight="1" thickBot="1">
      <c r="A168" s="87"/>
      <c r="B168" s="313"/>
      <c r="C168" s="301"/>
      <c r="D168" s="301"/>
      <c r="E168" s="643"/>
      <c r="F168" s="643"/>
      <c r="G168" s="643"/>
      <c r="H168" s="643"/>
      <c r="I168" s="643"/>
      <c r="J168" s="643"/>
      <c r="K168" s="301"/>
      <c r="L168" s="301"/>
      <c r="M168" s="301"/>
      <c r="N168" s="301"/>
      <c r="O168" s="301"/>
      <c r="P168" s="301"/>
      <c r="Q168" s="301"/>
      <c r="R168" s="301"/>
      <c r="S168" s="301"/>
      <c r="T168" s="301"/>
      <c r="U168" s="301"/>
      <c r="V168" s="301"/>
      <c r="W168" s="301"/>
      <c r="X168" s="301"/>
      <c r="Y168" s="301"/>
      <c r="Z168" s="301"/>
      <c r="AA168" s="301"/>
      <c r="AB168" s="301"/>
      <c r="AC168" s="301"/>
      <c r="AD168" s="301"/>
      <c r="AE168" s="301"/>
      <c r="AF168" s="301"/>
      <c r="AG168" s="301"/>
      <c r="AH168" s="301"/>
      <c r="AI168" s="301"/>
      <c r="AJ168" s="301"/>
      <c r="AK168" s="301"/>
      <c r="AL168" s="301"/>
      <c r="AM168" s="301"/>
      <c r="AN168" s="301"/>
      <c r="AO168" s="301"/>
      <c r="AP168" s="301"/>
      <c r="AQ168" s="301"/>
      <c r="AR168" s="301"/>
      <c r="AS168" s="301"/>
      <c r="AT168" s="301"/>
      <c r="AU168" s="301"/>
      <c r="AV168" s="301"/>
      <c r="AW168" s="1087"/>
      <c r="AX168" s="1087"/>
      <c r="AY168" s="1087"/>
      <c r="AZ168" s="1087"/>
      <c r="BA168" s="1087"/>
      <c r="BB168" s="1087"/>
      <c r="BC168" s="1087"/>
      <c r="BD168" s="1087"/>
      <c r="BE168" s="1087"/>
      <c r="BF168" s="444"/>
      <c r="BG168" s="444"/>
      <c r="BH168" s="105"/>
      <c r="BI168" s="105"/>
      <c r="BJ168" s="105"/>
      <c r="BK168" s="105"/>
      <c r="BL168" s="105"/>
      <c r="BM168" s="105"/>
      <c r="BN168" s="105"/>
      <c r="BO168" s="2138"/>
      <c r="BP168" s="2138"/>
      <c r="BQ168" s="2138"/>
      <c r="BR168" s="2138"/>
      <c r="BS168" s="2138"/>
      <c r="BT168" s="2138"/>
      <c r="BU168" s="2138"/>
      <c r="BV168" s="2138"/>
      <c r="BW168" s="2139"/>
      <c r="BX168" s="105"/>
      <c r="BY168" s="105"/>
      <c r="BZ168" s="105"/>
      <c r="CA168" s="87"/>
      <c r="CB168" s="452"/>
      <c r="CC168" s="453"/>
      <c r="CD168" s="162"/>
      <c r="CE168" s="1856"/>
      <c r="CF168" s="1856"/>
      <c r="CG168" s="1856"/>
      <c r="CH168" s="1856"/>
      <c r="CI168" s="1856"/>
      <c r="CJ168" s="1856"/>
      <c r="CK168" s="1856"/>
      <c r="CL168" s="1856"/>
      <c r="CM168" s="1856"/>
      <c r="CN168" s="1856"/>
      <c r="CO168" s="1856"/>
      <c r="CP168" s="1856"/>
      <c r="CQ168" s="1856"/>
      <c r="CR168" s="1856"/>
      <c r="CS168" s="163"/>
      <c r="CT168" s="454"/>
      <c r="CU168" s="2143"/>
      <c r="CV168" s="2143"/>
      <c r="CW168" s="2143"/>
      <c r="CX168" s="2143"/>
      <c r="CY168" s="2143"/>
      <c r="CZ168" s="2143"/>
      <c r="DA168" s="2143"/>
      <c r="DB168" s="2143"/>
      <c r="DC168" s="2143"/>
      <c r="DD168" s="2143"/>
      <c r="DE168" s="2143"/>
      <c r="DF168" s="2143"/>
      <c r="DG168" s="2143"/>
      <c r="DH168" s="2143"/>
      <c r="DI168" s="2143"/>
      <c r="DJ168" s="2143"/>
      <c r="DK168" s="2143"/>
      <c r="DL168" s="2143"/>
      <c r="DM168" s="2143"/>
      <c r="DN168" s="2143"/>
      <c r="DO168" s="2143"/>
      <c r="DP168" s="2143"/>
      <c r="DQ168" s="2143"/>
      <c r="DR168" s="2143"/>
      <c r="DS168" s="2143"/>
      <c r="DT168" s="2143"/>
      <c r="DU168" s="2143"/>
      <c r="DV168" s="2143"/>
      <c r="DW168" s="2143"/>
      <c r="DX168" s="2143"/>
      <c r="DY168" s="2143"/>
      <c r="DZ168" s="2143"/>
      <c r="EA168" s="2143"/>
      <c r="EB168" s="2143"/>
      <c r="EC168" s="2143"/>
      <c r="ED168" s="2143"/>
      <c r="EE168" s="2143"/>
      <c r="EF168" s="2143"/>
      <c r="EG168" s="2143"/>
      <c r="EH168" s="2143"/>
      <c r="EI168" s="2143"/>
      <c r="EJ168" s="2143"/>
      <c r="EK168" s="2143"/>
      <c r="EL168" s="2143"/>
      <c r="EM168" s="2143"/>
      <c r="EN168" s="2143"/>
      <c r="EO168" s="2143"/>
      <c r="EP168" s="2143"/>
      <c r="EQ168" s="2143"/>
      <c r="ER168" s="2143"/>
      <c r="ES168" s="2143"/>
      <c r="ET168" s="2143"/>
      <c r="EU168" s="2143"/>
      <c r="EV168" s="2143"/>
      <c r="EW168" s="2143"/>
      <c r="EX168" s="2143"/>
      <c r="EY168" s="2143"/>
      <c r="EZ168" s="2143"/>
      <c r="FA168" s="2143"/>
      <c r="FB168" s="2143"/>
      <c r="FC168" s="2143"/>
      <c r="FD168" s="2143"/>
      <c r="FE168" s="2143"/>
      <c r="FF168" s="2143"/>
      <c r="FG168" s="2143"/>
      <c r="FH168" s="2143"/>
      <c r="FI168" s="2143"/>
      <c r="FJ168" s="2143"/>
      <c r="FK168" s="2143"/>
      <c r="FL168" s="2143"/>
      <c r="FM168" s="2143"/>
      <c r="FN168" s="2143"/>
      <c r="FO168" s="2143"/>
      <c r="FP168" s="2143"/>
      <c r="FQ168" s="2143"/>
      <c r="FR168" s="2143"/>
      <c r="FS168" s="2143"/>
      <c r="FT168" s="2143"/>
      <c r="FU168" s="2143"/>
      <c r="FV168" s="2143"/>
      <c r="FW168" s="2143"/>
      <c r="FX168" s="2143"/>
      <c r="FY168" s="2143"/>
      <c r="FZ168" s="87"/>
      <c r="GA168" s="87"/>
      <c r="GF168" s="714"/>
    </row>
    <row r="169" spans="1:191" ht="9" customHeight="1" thickBot="1">
      <c r="A169" s="87"/>
      <c r="B169" s="313"/>
      <c r="C169" s="2113"/>
      <c r="D169" s="2113"/>
      <c r="E169" s="2113"/>
      <c r="F169" s="2113"/>
      <c r="G169" s="2113"/>
      <c r="H169" s="2113"/>
      <c r="I169" s="2113"/>
      <c r="J169" s="2113"/>
      <c r="K169" s="2113"/>
      <c r="L169" s="2113"/>
      <c r="M169" s="2113"/>
      <c r="N169" s="2113"/>
      <c r="O169" s="2113"/>
      <c r="P169" s="2113"/>
      <c r="Q169" s="2113"/>
      <c r="R169" s="2113"/>
      <c r="S169" s="2113"/>
      <c r="T169" s="2113"/>
      <c r="U169" s="2113"/>
      <c r="V169" s="2113"/>
      <c r="W169" s="2113"/>
      <c r="X169" s="2113"/>
      <c r="Y169" s="2113"/>
      <c r="Z169" s="2113"/>
      <c r="AA169" s="2113"/>
      <c r="AB169" s="2113"/>
      <c r="AC169" s="2113"/>
      <c r="AD169" s="2113"/>
      <c r="AE169" s="2113"/>
      <c r="AF169" s="2113"/>
      <c r="AG169" s="2113"/>
      <c r="AH169" s="2113"/>
      <c r="AI169" s="2113"/>
      <c r="AJ169" s="2113"/>
      <c r="AK169" s="2113"/>
      <c r="AL169" s="2113"/>
      <c r="AM169" s="2113"/>
      <c r="AN169" s="2113"/>
      <c r="AO169" s="2113"/>
      <c r="AP169" s="2113"/>
      <c r="AQ169" s="2113"/>
      <c r="AR169" s="2113"/>
      <c r="AS169" s="2113"/>
      <c r="AT169" s="2113"/>
      <c r="AU169" s="2113"/>
      <c r="AV169" s="2113"/>
      <c r="AW169" s="2115"/>
      <c r="AX169" s="2115"/>
      <c r="AY169" s="2115"/>
      <c r="AZ169" s="2115"/>
      <c r="BA169" s="2115"/>
      <c r="BB169" s="2115"/>
      <c r="BC169" s="2115"/>
      <c r="BD169" s="2115"/>
      <c r="BE169" s="2115"/>
      <c r="BF169" s="444"/>
      <c r="BG169" s="444"/>
      <c r="BH169" s="105"/>
      <c r="BI169" s="105"/>
      <c r="BJ169" s="105"/>
      <c r="BK169" s="105"/>
      <c r="BL169" s="105"/>
      <c r="BM169" s="105"/>
      <c r="BN169" s="105"/>
      <c r="BO169" s="2138"/>
      <c r="BP169" s="2138"/>
      <c r="BQ169" s="2138"/>
      <c r="BR169" s="2138"/>
      <c r="BS169" s="2138"/>
      <c r="BT169" s="2138"/>
      <c r="BU169" s="2138"/>
      <c r="BV169" s="2138"/>
      <c r="BW169" s="2139"/>
      <c r="BX169" s="105"/>
      <c r="BY169" s="105"/>
      <c r="BZ169" s="105"/>
      <c r="CA169" s="87"/>
      <c r="CB169" s="105"/>
      <c r="CC169" s="105"/>
      <c r="CD169" s="154"/>
      <c r="CE169" s="1857"/>
      <c r="CF169" s="1857"/>
      <c r="CG169" s="1857"/>
      <c r="CH169" s="1857"/>
      <c r="CI169" s="1857"/>
      <c r="CJ169" s="1857"/>
      <c r="CK169" s="1857"/>
      <c r="CL169" s="1857"/>
      <c r="CM169" s="1857"/>
      <c r="CN169" s="1857"/>
      <c r="CO169" s="1857"/>
      <c r="CP169" s="1857"/>
      <c r="CQ169" s="1857"/>
      <c r="CR169" s="1857"/>
      <c r="CS169" s="153"/>
      <c r="CT169" s="105"/>
      <c r="CU169" s="105"/>
      <c r="CV169" s="105"/>
      <c r="CW169" s="105"/>
      <c r="CX169" s="105"/>
      <c r="CY169" s="105"/>
      <c r="CZ169" s="105"/>
      <c r="DA169" s="105"/>
      <c r="DB169" s="105"/>
      <c r="DC169" s="105"/>
      <c r="DD169" s="105"/>
      <c r="DE169" s="105"/>
      <c r="DF169" s="105"/>
      <c r="DG169" s="105"/>
      <c r="DH169" s="105"/>
      <c r="DI169" s="105"/>
      <c r="DJ169" s="105"/>
      <c r="DK169" s="105"/>
      <c r="DL169" s="105"/>
      <c r="DM169" s="87"/>
      <c r="DN169" s="87"/>
      <c r="DO169" s="87"/>
      <c r="DP169" s="87"/>
      <c r="DQ169" s="87"/>
      <c r="DR169" s="87"/>
      <c r="DS169" s="2144" t="s">
        <v>3642</v>
      </c>
      <c r="DT169" s="2144"/>
      <c r="DU169" s="2144"/>
      <c r="DV169" s="2144"/>
      <c r="DW169" s="2144"/>
      <c r="DX169" s="2144"/>
      <c r="DY169" s="2144"/>
      <c r="DZ169" s="87"/>
      <c r="EA169" s="87"/>
      <c r="EB169" s="87"/>
      <c r="EC169" s="87"/>
      <c r="ED169" s="87"/>
      <c r="EE169" s="87"/>
      <c r="EF169" s="384"/>
      <c r="EG169" s="87"/>
      <c r="EH169" s="87"/>
      <c r="EI169" s="87"/>
      <c r="EJ169" s="87"/>
      <c r="EK169" s="87"/>
      <c r="EL169" s="87"/>
      <c r="EM169" s="87"/>
      <c r="EN169" s="455"/>
      <c r="EO169" s="455"/>
      <c r="EP169" s="384"/>
      <c r="EQ169" s="384"/>
      <c r="ER169" s="384"/>
      <c r="ES169" s="384"/>
      <c r="ET169" s="384"/>
      <c r="EU169" s="384"/>
      <c r="EV169" s="384"/>
      <c r="EW169" s="384"/>
      <c r="EX169" s="384"/>
      <c r="EY169" s="384"/>
      <c r="EZ169" s="384"/>
      <c r="FA169" s="384"/>
      <c r="FB169" s="384"/>
      <c r="FC169" s="384"/>
      <c r="FD169" s="384"/>
      <c r="FE169" s="384"/>
      <c r="FF169" s="384"/>
      <c r="FG169" s="384"/>
      <c r="FH169" s="384"/>
      <c r="FI169" s="384"/>
      <c r="FJ169" s="384"/>
      <c r="FK169" s="384"/>
      <c r="FL169" s="384"/>
      <c r="FM169" s="384"/>
      <c r="FN169" s="301"/>
      <c r="FO169" s="301"/>
      <c r="FP169" s="301"/>
      <c r="FQ169" s="301"/>
      <c r="FR169" s="109"/>
      <c r="FS169" s="2144" t="s">
        <v>3642</v>
      </c>
      <c r="FT169" s="2144"/>
      <c r="FU169" s="2144"/>
      <c r="FV169" s="2144"/>
      <c r="FW169" s="2144"/>
      <c r="FX169" s="2144"/>
      <c r="FY169" s="2144"/>
      <c r="FZ169" s="87"/>
      <c r="GA169" s="87"/>
    </row>
    <row r="170" spans="1:191" ht="9" customHeight="1" thickTop="1">
      <c r="A170" s="87"/>
      <c r="B170" s="313"/>
      <c r="C170" s="2113"/>
      <c r="D170" s="2113"/>
      <c r="E170" s="2113"/>
      <c r="F170" s="2113"/>
      <c r="G170" s="2113"/>
      <c r="H170" s="2113"/>
      <c r="I170" s="2113"/>
      <c r="J170" s="2113"/>
      <c r="K170" s="2113"/>
      <c r="L170" s="2113"/>
      <c r="M170" s="2113"/>
      <c r="N170" s="2113"/>
      <c r="O170" s="2113"/>
      <c r="P170" s="2113"/>
      <c r="Q170" s="2113"/>
      <c r="R170" s="2113"/>
      <c r="S170" s="2113"/>
      <c r="T170" s="2113"/>
      <c r="U170" s="2113"/>
      <c r="V170" s="2113"/>
      <c r="W170" s="2113"/>
      <c r="X170" s="2113"/>
      <c r="Y170" s="2113"/>
      <c r="Z170" s="2113"/>
      <c r="AA170" s="2113"/>
      <c r="AB170" s="2113"/>
      <c r="AC170" s="2113"/>
      <c r="AD170" s="2113"/>
      <c r="AE170" s="2113"/>
      <c r="AF170" s="2113"/>
      <c r="AG170" s="2113"/>
      <c r="AH170" s="2113"/>
      <c r="AI170" s="2113"/>
      <c r="AJ170" s="2113"/>
      <c r="AK170" s="2113"/>
      <c r="AL170" s="2113"/>
      <c r="AM170" s="2113"/>
      <c r="AN170" s="2113"/>
      <c r="AO170" s="2113"/>
      <c r="AP170" s="2113"/>
      <c r="AQ170" s="2113"/>
      <c r="AR170" s="2113"/>
      <c r="AS170" s="2113"/>
      <c r="AT170" s="2113"/>
      <c r="AU170" s="2113"/>
      <c r="AV170" s="2113"/>
      <c r="AW170" s="2115"/>
      <c r="AX170" s="2115"/>
      <c r="AY170" s="2115"/>
      <c r="AZ170" s="2115"/>
      <c r="BA170" s="2115"/>
      <c r="BB170" s="2115"/>
      <c r="BC170" s="2115"/>
      <c r="BD170" s="2115"/>
      <c r="BE170" s="2115"/>
      <c r="BF170" s="439"/>
      <c r="BG170" s="439"/>
      <c r="BH170" s="441"/>
      <c r="BI170" s="441"/>
      <c r="BJ170" s="441"/>
      <c r="BK170" s="131"/>
      <c r="BL170" s="131"/>
      <c r="BM170" s="131"/>
      <c r="BN170" s="105"/>
      <c r="BO170" s="2138"/>
      <c r="BP170" s="2138"/>
      <c r="BQ170" s="2138"/>
      <c r="BR170" s="2138"/>
      <c r="BS170" s="2138"/>
      <c r="BT170" s="2138"/>
      <c r="BU170" s="2138"/>
      <c r="BV170" s="2138"/>
      <c r="BW170" s="2139"/>
      <c r="BX170" s="105"/>
      <c r="BY170" s="327"/>
      <c r="BZ170" s="327"/>
      <c r="CA170" s="87"/>
      <c r="CB170" s="87"/>
      <c r="CC170" s="87"/>
      <c r="CD170" s="87"/>
      <c r="CE170" s="87"/>
      <c r="CF170" s="87"/>
      <c r="CG170" s="87"/>
      <c r="CH170" s="87"/>
      <c r="CI170" s="87"/>
      <c r="CJ170" s="87"/>
      <c r="CK170" s="87"/>
      <c r="CL170" s="327"/>
      <c r="CM170" s="327"/>
      <c r="CN170" s="327"/>
      <c r="CO170" s="327"/>
      <c r="CP170" s="327"/>
      <c r="CQ170" s="442"/>
      <c r="CR170" s="442"/>
      <c r="CS170" s="442"/>
      <c r="CT170" s="442"/>
      <c r="CU170" s="442"/>
      <c r="CV170" s="442"/>
      <c r="CW170" s="442"/>
      <c r="CX170" s="442"/>
      <c r="CY170" s="442"/>
      <c r="CZ170" s="442"/>
      <c r="DA170" s="442"/>
      <c r="DB170" s="442"/>
      <c r="DC170" s="442"/>
      <c r="DD170" s="442"/>
      <c r="DE170" s="442"/>
      <c r="DF170" s="442"/>
      <c r="DG170" s="442"/>
      <c r="DH170" s="442"/>
      <c r="DI170" s="442"/>
      <c r="DJ170" s="131"/>
      <c r="DK170" s="252"/>
      <c r="DL170" s="456"/>
      <c r="DM170" s="456"/>
      <c r="DN170" s="456"/>
      <c r="DO170" s="456"/>
      <c r="DP170" s="456"/>
      <c r="DQ170" s="87"/>
      <c r="DR170" s="87"/>
      <c r="DS170" s="2144"/>
      <c r="DT170" s="2144"/>
      <c r="DU170" s="2144"/>
      <c r="DV170" s="2144"/>
      <c r="DW170" s="2144"/>
      <c r="DX170" s="2144"/>
      <c r="DY170" s="2144"/>
      <c r="DZ170" s="87"/>
      <c r="EA170" s="87"/>
      <c r="EB170" s="252"/>
      <c r="EC170" s="456"/>
      <c r="ED170" s="456"/>
      <c r="EE170" s="456"/>
      <c r="EF170" s="456"/>
      <c r="EG170" s="456"/>
      <c r="EH170" s="87"/>
      <c r="EI170" s="87"/>
      <c r="EJ170" s="87"/>
      <c r="EK170" s="87"/>
      <c r="EL170" s="87"/>
      <c r="EM170" s="87"/>
      <c r="EN170" s="455"/>
      <c r="EO170" s="455"/>
      <c r="EP170" s="384"/>
      <c r="EQ170" s="384"/>
      <c r="ER170" s="384"/>
      <c r="ES170" s="384"/>
      <c r="ET170" s="384"/>
      <c r="EU170" s="384"/>
      <c r="EV170" s="384"/>
      <c r="EW170" s="384"/>
      <c r="EX170" s="384"/>
      <c r="EY170" s="384"/>
      <c r="EZ170" s="384"/>
      <c r="FA170" s="384"/>
      <c r="FB170" s="384"/>
      <c r="FC170" s="384"/>
      <c r="FD170" s="384"/>
      <c r="FE170" s="384"/>
      <c r="FF170" s="384"/>
      <c r="FG170" s="384"/>
      <c r="FH170" s="384"/>
      <c r="FI170" s="384"/>
      <c r="FJ170" s="384"/>
      <c r="FK170" s="384"/>
      <c r="FL170" s="384"/>
      <c r="FM170" s="384"/>
      <c r="FN170" s="301"/>
      <c r="FO170" s="301"/>
      <c r="FP170" s="301"/>
      <c r="FQ170" s="301"/>
      <c r="FR170" s="109"/>
      <c r="FS170" s="2144"/>
      <c r="FT170" s="2144"/>
      <c r="FU170" s="2144"/>
      <c r="FV170" s="2144"/>
      <c r="FW170" s="2144"/>
      <c r="FX170" s="2144"/>
      <c r="FY170" s="2144"/>
      <c r="FZ170" s="87"/>
      <c r="GA170" s="87"/>
    </row>
    <row r="171" spans="1:191" ht="9" customHeight="1" thickBot="1">
      <c r="A171" s="87"/>
      <c r="B171" s="313"/>
      <c r="C171" s="2114"/>
      <c r="D171" s="2114"/>
      <c r="E171" s="2114"/>
      <c r="F171" s="2114"/>
      <c r="G171" s="2114"/>
      <c r="H171" s="2114"/>
      <c r="I171" s="2114"/>
      <c r="J171" s="2114"/>
      <c r="K171" s="2114"/>
      <c r="L171" s="2114"/>
      <c r="M171" s="2114"/>
      <c r="N171" s="2114"/>
      <c r="O171" s="2114"/>
      <c r="P171" s="2114"/>
      <c r="Q171" s="2114"/>
      <c r="R171" s="2114"/>
      <c r="S171" s="2114"/>
      <c r="T171" s="2114"/>
      <c r="U171" s="2114"/>
      <c r="V171" s="2114"/>
      <c r="W171" s="2114"/>
      <c r="X171" s="2114"/>
      <c r="Y171" s="2114"/>
      <c r="Z171" s="2114"/>
      <c r="AA171" s="2114"/>
      <c r="AB171" s="2114"/>
      <c r="AC171" s="2114"/>
      <c r="AD171" s="2114"/>
      <c r="AE171" s="2114"/>
      <c r="AF171" s="2114"/>
      <c r="AG171" s="2114"/>
      <c r="AH171" s="2114"/>
      <c r="AI171" s="2114"/>
      <c r="AJ171" s="2114"/>
      <c r="AK171" s="2114"/>
      <c r="AL171" s="2114"/>
      <c r="AM171" s="2114"/>
      <c r="AN171" s="2114"/>
      <c r="AO171" s="2114"/>
      <c r="AP171" s="2114"/>
      <c r="AQ171" s="2114"/>
      <c r="AR171" s="2114"/>
      <c r="AS171" s="2114"/>
      <c r="AT171" s="2114"/>
      <c r="AU171" s="2114"/>
      <c r="AV171" s="2114"/>
      <c r="AW171" s="2116"/>
      <c r="AX171" s="2116"/>
      <c r="AY171" s="2116"/>
      <c r="AZ171" s="2116"/>
      <c r="BA171" s="2116"/>
      <c r="BB171" s="2116"/>
      <c r="BC171" s="2116"/>
      <c r="BD171" s="2116"/>
      <c r="BE171" s="2116"/>
      <c r="BF171" s="439"/>
      <c r="BG171" s="439"/>
      <c r="BH171" s="441"/>
      <c r="BI171" s="441"/>
      <c r="BJ171" s="441"/>
      <c r="BK171" s="105"/>
      <c r="BL171" s="105"/>
      <c r="BM171" s="105"/>
      <c r="BN171" s="105"/>
      <c r="BO171" s="2138"/>
      <c r="BP171" s="2138"/>
      <c r="BQ171" s="2138"/>
      <c r="BR171" s="2138"/>
      <c r="BS171" s="2138"/>
      <c r="BT171" s="2138"/>
      <c r="BU171" s="2138"/>
      <c r="BV171" s="2138"/>
      <c r="BW171" s="2139"/>
      <c r="BX171" s="331"/>
      <c r="BY171" s="327"/>
      <c r="BZ171" s="327"/>
      <c r="CA171" s="87"/>
      <c r="CB171" s="2145" t="str">
        <f>IF(Race="","",IF(NOT(ISERROR(GD171)),MID(FeatsTakenList,GD167+1,GD171-GD167-1),""))</f>
        <v/>
      </c>
      <c r="CC171" s="2145"/>
      <c r="CD171" s="2145"/>
      <c r="CE171" s="2145"/>
      <c r="CF171" s="2145"/>
      <c r="CG171" s="2145"/>
      <c r="CH171" s="2145"/>
      <c r="CI171" s="2145"/>
      <c r="CJ171" s="2145"/>
      <c r="CK171" s="2145"/>
      <c r="CL171" s="2145"/>
      <c r="CM171" s="2145"/>
      <c r="CN171" s="2145"/>
      <c r="CO171" s="2145"/>
      <c r="CP171" s="2145"/>
      <c r="CQ171" s="2145"/>
      <c r="CR171" s="2145"/>
      <c r="CS171" s="2145"/>
      <c r="CT171" s="2145"/>
      <c r="CU171" s="2145"/>
      <c r="CV171" s="2145"/>
      <c r="CW171" s="2145"/>
      <c r="CX171" s="2145"/>
      <c r="CY171" s="2145"/>
      <c r="CZ171" s="2145"/>
      <c r="DA171" s="2145"/>
      <c r="DB171" s="2145"/>
      <c r="DC171" s="2145"/>
      <c r="DD171" s="2145"/>
      <c r="DE171" s="2145"/>
      <c r="DF171" s="2145"/>
      <c r="DG171" s="2145"/>
      <c r="DH171" s="2145"/>
      <c r="DI171" s="2145"/>
      <c r="DJ171" s="2145"/>
      <c r="DK171" s="2145"/>
      <c r="DL171" s="2145"/>
      <c r="DM171" s="2145"/>
      <c r="DN171" s="2145"/>
      <c r="DO171" s="2145"/>
      <c r="DP171" s="2145"/>
      <c r="DQ171" s="87"/>
      <c r="DR171" s="87"/>
      <c r="DS171" s="2147" t="str">
        <f>IF(Race="","",IF(NOT(ISERROR(GE171)),MID(FeatsTakenListPageRef,GE167+1,GE171-GE167-1),""))</f>
        <v/>
      </c>
      <c r="DT171" s="2147"/>
      <c r="DU171" s="2147"/>
      <c r="DV171" s="2147"/>
      <c r="DW171" s="2147"/>
      <c r="DX171" s="2147"/>
      <c r="DY171" s="2147"/>
      <c r="DZ171" s="87"/>
      <c r="EA171" s="87"/>
      <c r="EB171" s="2145" t="str">
        <f>IF(Race="","",IF(NOT(ISERROR(GH171)),MID(FeatsTakenList,GD223+1,GH171-GD223-1),""))</f>
        <v/>
      </c>
      <c r="EC171" s="2145"/>
      <c r="ED171" s="2145"/>
      <c r="EE171" s="2145"/>
      <c r="EF171" s="2145"/>
      <c r="EG171" s="2145"/>
      <c r="EH171" s="2145"/>
      <c r="EI171" s="2145"/>
      <c r="EJ171" s="2145"/>
      <c r="EK171" s="2145"/>
      <c r="EL171" s="2145"/>
      <c r="EM171" s="2145"/>
      <c r="EN171" s="2145"/>
      <c r="EO171" s="2145"/>
      <c r="EP171" s="2145"/>
      <c r="EQ171" s="2145"/>
      <c r="ER171" s="2145"/>
      <c r="ES171" s="2145"/>
      <c r="ET171" s="2145"/>
      <c r="EU171" s="2145"/>
      <c r="EV171" s="2145"/>
      <c r="EW171" s="2145"/>
      <c r="EX171" s="2145"/>
      <c r="EY171" s="2145"/>
      <c r="EZ171" s="2145"/>
      <c r="FA171" s="2145"/>
      <c r="FB171" s="2145"/>
      <c r="FC171" s="2145"/>
      <c r="FD171" s="2145"/>
      <c r="FE171" s="2145"/>
      <c r="FF171" s="2145"/>
      <c r="FG171" s="2145"/>
      <c r="FH171" s="2145"/>
      <c r="FI171" s="2145"/>
      <c r="FJ171" s="2145"/>
      <c r="FK171" s="2145"/>
      <c r="FL171" s="2145"/>
      <c r="FM171" s="2145"/>
      <c r="FN171" s="2145"/>
      <c r="FO171" s="2145"/>
      <c r="FP171" s="2145"/>
      <c r="FQ171" s="87"/>
      <c r="FR171" s="87"/>
      <c r="FS171" s="2147" t="str">
        <f>IF(Race="","",IF(NOT(ISERROR(GI171)),MID(FeatsTakenListPageRef,GE223+1,GI171-GE223-1),""))</f>
        <v/>
      </c>
      <c r="FT171" s="2147"/>
      <c r="FU171" s="2147"/>
      <c r="FV171" s="2147"/>
      <c r="FW171" s="2147"/>
      <c r="FX171" s="2147"/>
      <c r="FY171" s="2147"/>
      <c r="FZ171" s="87"/>
      <c r="GA171" s="87"/>
      <c r="GC171" s="1853">
        <v>1</v>
      </c>
      <c r="GD171" s="1853" t="e">
        <f ca="1">FIND(";",FeatsTakenList,1)</f>
        <v>#VALUE!</v>
      </c>
      <c r="GE171" s="1853" t="e">
        <f ca="1">FIND(";",FeatsTakenListPageRef,1)</f>
        <v>#VALUE!</v>
      </c>
      <c r="GG171" s="1853">
        <f>GC223+1</f>
        <v>15</v>
      </c>
      <c r="GH171" s="1853" t="e">
        <f ca="1">FIND(";",FeatsTakenList,GD223+1)</f>
        <v>#VALUE!</v>
      </c>
      <c r="GI171" s="1853" t="e">
        <f ca="1">FIND(";",FeatsTakenListPageRef,GE223+1)</f>
        <v>#VALUE!</v>
      </c>
    </row>
    <row r="172" spans="1:191" ht="9" customHeight="1">
      <c r="A172" s="87"/>
      <c r="B172" s="313"/>
      <c r="C172" s="301"/>
      <c r="D172" s="301"/>
      <c r="E172" s="643"/>
      <c r="F172" s="643"/>
      <c r="G172" s="643"/>
      <c r="H172" s="643"/>
      <c r="I172" s="643"/>
      <c r="J172" s="643"/>
      <c r="K172" s="301"/>
      <c r="L172" s="301"/>
      <c r="M172" s="301"/>
      <c r="N172" s="301"/>
      <c r="O172" s="301"/>
      <c r="P172" s="301"/>
      <c r="Q172" s="301"/>
      <c r="R172" s="301"/>
      <c r="S172" s="301"/>
      <c r="T172" s="301"/>
      <c r="U172" s="301"/>
      <c r="V172" s="301"/>
      <c r="W172" s="301"/>
      <c r="X172" s="301"/>
      <c r="Y172" s="301"/>
      <c r="Z172" s="301"/>
      <c r="AA172" s="301"/>
      <c r="AB172" s="301"/>
      <c r="AC172" s="301"/>
      <c r="AD172" s="301"/>
      <c r="AE172" s="301"/>
      <c r="AF172" s="301"/>
      <c r="AG172" s="301"/>
      <c r="AH172" s="301"/>
      <c r="AI172" s="301"/>
      <c r="AJ172" s="301"/>
      <c r="AK172" s="301"/>
      <c r="AL172" s="301"/>
      <c r="AM172" s="301"/>
      <c r="AN172" s="301"/>
      <c r="AO172" s="301"/>
      <c r="AP172" s="301"/>
      <c r="AQ172" s="301"/>
      <c r="AR172" s="301"/>
      <c r="AS172" s="301"/>
      <c r="AT172" s="301"/>
      <c r="AU172" s="301"/>
      <c r="AV172" s="301"/>
      <c r="AW172" s="1087"/>
      <c r="AX172" s="1087"/>
      <c r="AY172" s="1087"/>
      <c r="AZ172" s="1087"/>
      <c r="BA172" s="1087"/>
      <c r="BB172" s="1087"/>
      <c r="BC172" s="1087"/>
      <c r="BD172" s="1087"/>
      <c r="BE172" s="1087"/>
      <c r="BF172" s="439"/>
      <c r="BG172" s="439"/>
      <c r="BH172" s="441"/>
      <c r="BI172" s="441"/>
      <c r="BJ172" s="441"/>
      <c r="BK172" s="105"/>
      <c r="BL172" s="105"/>
      <c r="BM172" s="105"/>
      <c r="BN172" s="105"/>
      <c r="BO172" s="2138"/>
      <c r="BP172" s="2138"/>
      <c r="BQ172" s="2138"/>
      <c r="BR172" s="2138"/>
      <c r="BS172" s="2138"/>
      <c r="BT172" s="2138"/>
      <c r="BU172" s="2138"/>
      <c r="BV172" s="2138"/>
      <c r="BW172" s="2139"/>
      <c r="BX172" s="331"/>
      <c r="BY172" s="105"/>
      <c r="BZ172" s="105"/>
      <c r="CA172" s="87"/>
      <c r="CB172" s="2145"/>
      <c r="CC172" s="2145"/>
      <c r="CD172" s="2145"/>
      <c r="CE172" s="2145"/>
      <c r="CF172" s="2145"/>
      <c r="CG172" s="2145"/>
      <c r="CH172" s="2145"/>
      <c r="CI172" s="2145"/>
      <c r="CJ172" s="2145"/>
      <c r="CK172" s="2145"/>
      <c r="CL172" s="2145"/>
      <c r="CM172" s="2145"/>
      <c r="CN172" s="2145"/>
      <c r="CO172" s="2145"/>
      <c r="CP172" s="2145"/>
      <c r="CQ172" s="2145"/>
      <c r="CR172" s="2145"/>
      <c r="CS172" s="2145"/>
      <c r="CT172" s="2145"/>
      <c r="CU172" s="2145"/>
      <c r="CV172" s="2145"/>
      <c r="CW172" s="2145"/>
      <c r="CX172" s="2145"/>
      <c r="CY172" s="2145"/>
      <c r="CZ172" s="2145"/>
      <c r="DA172" s="2145"/>
      <c r="DB172" s="2145"/>
      <c r="DC172" s="2145"/>
      <c r="DD172" s="2145"/>
      <c r="DE172" s="2145"/>
      <c r="DF172" s="2145"/>
      <c r="DG172" s="2145"/>
      <c r="DH172" s="2145"/>
      <c r="DI172" s="2145"/>
      <c r="DJ172" s="2145"/>
      <c r="DK172" s="2145"/>
      <c r="DL172" s="2145"/>
      <c r="DM172" s="2145"/>
      <c r="DN172" s="2145"/>
      <c r="DO172" s="2145"/>
      <c r="DP172" s="2145"/>
      <c r="DQ172" s="87"/>
      <c r="DR172" s="87"/>
      <c r="DS172" s="2147"/>
      <c r="DT172" s="2147"/>
      <c r="DU172" s="2147"/>
      <c r="DV172" s="2147"/>
      <c r="DW172" s="2147"/>
      <c r="DX172" s="2147"/>
      <c r="DY172" s="2147"/>
      <c r="DZ172" s="87"/>
      <c r="EA172" s="87"/>
      <c r="EB172" s="2145"/>
      <c r="EC172" s="2145"/>
      <c r="ED172" s="2145"/>
      <c r="EE172" s="2145"/>
      <c r="EF172" s="2145"/>
      <c r="EG172" s="2145"/>
      <c r="EH172" s="2145"/>
      <c r="EI172" s="2145"/>
      <c r="EJ172" s="2145"/>
      <c r="EK172" s="2145"/>
      <c r="EL172" s="2145"/>
      <c r="EM172" s="2145"/>
      <c r="EN172" s="2145"/>
      <c r="EO172" s="2145"/>
      <c r="EP172" s="2145"/>
      <c r="EQ172" s="2145"/>
      <c r="ER172" s="2145"/>
      <c r="ES172" s="2145"/>
      <c r="ET172" s="2145"/>
      <c r="EU172" s="2145"/>
      <c r="EV172" s="2145"/>
      <c r="EW172" s="2145"/>
      <c r="EX172" s="2145"/>
      <c r="EY172" s="2145"/>
      <c r="EZ172" s="2145"/>
      <c r="FA172" s="2145"/>
      <c r="FB172" s="2145"/>
      <c r="FC172" s="2145"/>
      <c r="FD172" s="2145"/>
      <c r="FE172" s="2145"/>
      <c r="FF172" s="2145"/>
      <c r="FG172" s="2145"/>
      <c r="FH172" s="2145"/>
      <c r="FI172" s="2145"/>
      <c r="FJ172" s="2145"/>
      <c r="FK172" s="2145"/>
      <c r="FL172" s="2145"/>
      <c r="FM172" s="2145"/>
      <c r="FN172" s="2145"/>
      <c r="FO172" s="2145"/>
      <c r="FP172" s="2145"/>
      <c r="FQ172" s="87"/>
      <c r="FR172" s="87"/>
      <c r="FS172" s="2147"/>
      <c r="FT172" s="2147"/>
      <c r="FU172" s="2147"/>
      <c r="FV172" s="2147"/>
      <c r="FW172" s="2147"/>
      <c r="FX172" s="2147"/>
      <c r="FY172" s="2147"/>
      <c r="FZ172" s="87"/>
      <c r="GA172" s="87"/>
      <c r="GC172" s="1853"/>
      <c r="GD172" s="1853"/>
      <c r="GE172" s="1853"/>
      <c r="GG172" s="1853"/>
      <c r="GH172" s="1853"/>
      <c r="GI172" s="1853"/>
    </row>
    <row r="173" spans="1:191" ht="9" customHeight="1" thickBot="1">
      <c r="A173" s="87"/>
      <c r="B173" s="313"/>
      <c r="C173" s="2113"/>
      <c r="D173" s="2113"/>
      <c r="E173" s="2113"/>
      <c r="F173" s="2113"/>
      <c r="G173" s="2113"/>
      <c r="H173" s="2113"/>
      <c r="I173" s="2113"/>
      <c r="J173" s="2113"/>
      <c r="K173" s="2113"/>
      <c r="L173" s="2113"/>
      <c r="M173" s="2113"/>
      <c r="N173" s="2113"/>
      <c r="O173" s="2113"/>
      <c r="P173" s="2113"/>
      <c r="Q173" s="2113"/>
      <c r="R173" s="2113"/>
      <c r="S173" s="2113"/>
      <c r="T173" s="2113"/>
      <c r="U173" s="2113"/>
      <c r="V173" s="2113"/>
      <c r="W173" s="2113"/>
      <c r="X173" s="2113"/>
      <c r="Y173" s="2113"/>
      <c r="Z173" s="2113"/>
      <c r="AA173" s="2113"/>
      <c r="AB173" s="2113"/>
      <c r="AC173" s="2113"/>
      <c r="AD173" s="2113"/>
      <c r="AE173" s="2113"/>
      <c r="AF173" s="2113"/>
      <c r="AG173" s="2113"/>
      <c r="AH173" s="2113"/>
      <c r="AI173" s="2113"/>
      <c r="AJ173" s="2113"/>
      <c r="AK173" s="2113"/>
      <c r="AL173" s="2113"/>
      <c r="AM173" s="2113"/>
      <c r="AN173" s="2113"/>
      <c r="AO173" s="2113"/>
      <c r="AP173" s="2113"/>
      <c r="AQ173" s="2113"/>
      <c r="AR173" s="2113"/>
      <c r="AS173" s="2113"/>
      <c r="AT173" s="2113"/>
      <c r="AU173" s="2113"/>
      <c r="AV173" s="2113"/>
      <c r="AW173" s="2115"/>
      <c r="AX173" s="2115"/>
      <c r="AY173" s="2115"/>
      <c r="AZ173" s="2115"/>
      <c r="BA173" s="2115"/>
      <c r="BB173" s="2115"/>
      <c r="BC173" s="2115"/>
      <c r="BD173" s="2115"/>
      <c r="BE173" s="2115"/>
      <c r="BF173" s="439"/>
      <c r="BG173" s="439"/>
      <c r="BH173" s="441"/>
      <c r="BI173" s="441"/>
      <c r="BJ173" s="441"/>
      <c r="BK173" s="105"/>
      <c r="BL173" s="105"/>
      <c r="BM173" s="105"/>
      <c r="BN173" s="105"/>
      <c r="BO173" s="2138"/>
      <c r="BP173" s="2138"/>
      <c r="BQ173" s="2138"/>
      <c r="BR173" s="2138"/>
      <c r="BS173" s="2138"/>
      <c r="BT173" s="2138"/>
      <c r="BU173" s="2138"/>
      <c r="BV173" s="2138"/>
      <c r="BW173" s="2139"/>
      <c r="BX173" s="105"/>
      <c r="BY173" s="105"/>
      <c r="BZ173" s="105"/>
      <c r="CA173" s="87"/>
      <c r="CB173" s="2146"/>
      <c r="CC173" s="2146"/>
      <c r="CD173" s="2146"/>
      <c r="CE173" s="2146"/>
      <c r="CF173" s="2146"/>
      <c r="CG173" s="2146"/>
      <c r="CH173" s="2146"/>
      <c r="CI173" s="2146"/>
      <c r="CJ173" s="2146"/>
      <c r="CK173" s="2146"/>
      <c r="CL173" s="2146"/>
      <c r="CM173" s="2146"/>
      <c r="CN173" s="2146"/>
      <c r="CO173" s="2146"/>
      <c r="CP173" s="2146"/>
      <c r="CQ173" s="2146"/>
      <c r="CR173" s="2146"/>
      <c r="CS173" s="2146"/>
      <c r="CT173" s="2146"/>
      <c r="CU173" s="2146"/>
      <c r="CV173" s="2146"/>
      <c r="CW173" s="2146"/>
      <c r="CX173" s="2146"/>
      <c r="CY173" s="2146"/>
      <c r="CZ173" s="2146"/>
      <c r="DA173" s="2146"/>
      <c r="DB173" s="2146"/>
      <c r="DC173" s="2146"/>
      <c r="DD173" s="2146"/>
      <c r="DE173" s="2146"/>
      <c r="DF173" s="2146"/>
      <c r="DG173" s="2146"/>
      <c r="DH173" s="2146"/>
      <c r="DI173" s="2146"/>
      <c r="DJ173" s="2146"/>
      <c r="DK173" s="2146"/>
      <c r="DL173" s="2146"/>
      <c r="DM173" s="2146"/>
      <c r="DN173" s="2146"/>
      <c r="DO173" s="2146"/>
      <c r="DP173" s="2146"/>
      <c r="DQ173" s="87"/>
      <c r="DR173" s="87"/>
      <c r="DS173" s="2148"/>
      <c r="DT173" s="2148"/>
      <c r="DU173" s="2148"/>
      <c r="DV173" s="2148"/>
      <c r="DW173" s="2148"/>
      <c r="DX173" s="2148"/>
      <c r="DY173" s="2148"/>
      <c r="DZ173" s="87"/>
      <c r="EA173" s="87"/>
      <c r="EB173" s="2146"/>
      <c r="EC173" s="2146"/>
      <c r="ED173" s="2146"/>
      <c r="EE173" s="2146"/>
      <c r="EF173" s="2146"/>
      <c r="EG173" s="2146"/>
      <c r="EH173" s="2146"/>
      <c r="EI173" s="2146"/>
      <c r="EJ173" s="2146"/>
      <c r="EK173" s="2146"/>
      <c r="EL173" s="2146"/>
      <c r="EM173" s="2146"/>
      <c r="EN173" s="2146"/>
      <c r="EO173" s="2146"/>
      <c r="EP173" s="2146"/>
      <c r="EQ173" s="2146"/>
      <c r="ER173" s="2146"/>
      <c r="ES173" s="2146"/>
      <c r="ET173" s="2146"/>
      <c r="EU173" s="2146"/>
      <c r="EV173" s="2146"/>
      <c r="EW173" s="2146"/>
      <c r="EX173" s="2146"/>
      <c r="EY173" s="2146"/>
      <c r="EZ173" s="2146"/>
      <c r="FA173" s="2146"/>
      <c r="FB173" s="2146"/>
      <c r="FC173" s="2146"/>
      <c r="FD173" s="2146"/>
      <c r="FE173" s="2146"/>
      <c r="FF173" s="2146"/>
      <c r="FG173" s="2146"/>
      <c r="FH173" s="2146"/>
      <c r="FI173" s="2146"/>
      <c r="FJ173" s="2146"/>
      <c r="FK173" s="2146"/>
      <c r="FL173" s="2146"/>
      <c r="FM173" s="2146"/>
      <c r="FN173" s="2146"/>
      <c r="FO173" s="2146"/>
      <c r="FP173" s="2146"/>
      <c r="FQ173" s="87"/>
      <c r="FR173" s="87"/>
      <c r="FS173" s="2148"/>
      <c r="FT173" s="2148"/>
      <c r="FU173" s="2148"/>
      <c r="FV173" s="2148"/>
      <c r="FW173" s="2148"/>
      <c r="FX173" s="2148"/>
      <c r="FY173" s="2148"/>
      <c r="FZ173" s="87"/>
      <c r="GA173" s="87"/>
      <c r="GC173" s="1853"/>
      <c r="GD173" s="1853"/>
      <c r="GE173" s="1853"/>
      <c r="GG173" s="1853"/>
      <c r="GH173" s="1853"/>
      <c r="GI173" s="1853"/>
    </row>
    <row r="174" spans="1:191" ht="9" customHeight="1">
      <c r="A174" s="87"/>
      <c r="B174" s="313"/>
      <c r="C174" s="2113"/>
      <c r="D174" s="2113"/>
      <c r="E174" s="2113"/>
      <c r="F174" s="2113"/>
      <c r="G174" s="2113"/>
      <c r="H174" s="2113"/>
      <c r="I174" s="2113"/>
      <c r="J174" s="2113"/>
      <c r="K174" s="2113"/>
      <c r="L174" s="2113"/>
      <c r="M174" s="2113"/>
      <c r="N174" s="2113"/>
      <c r="O174" s="2113"/>
      <c r="P174" s="2113"/>
      <c r="Q174" s="2113"/>
      <c r="R174" s="2113"/>
      <c r="S174" s="2113"/>
      <c r="T174" s="2113"/>
      <c r="U174" s="2113"/>
      <c r="V174" s="2113"/>
      <c r="W174" s="2113"/>
      <c r="X174" s="2113"/>
      <c r="Y174" s="2113"/>
      <c r="Z174" s="2113"/>
      <c r="AA174" s="2113"/>
      <c r="AB174" s="2113"/>
      <c r="AC174" s="2113"/>
      <c r="AD174" s="2113"/>
      <c r="AE174" s="2113"/>
      <c r="AF174" s="2113"/>
      <c r="AG174" s="2113"/>
      <c r="AH174" s="2113"/>
      <c r="AI174" s="2113"/>
      <c r="AJ174" s="2113"/>
      <c r="AK174" s="2113"/>
      <c r="AL174" s="2113"/>
      <c r="AM174" s="2113"/>
      <c r="AN174" s="2113"/>
      <c r="AO174" s="2113"/>
      <c r="AP174" s="2113"/>
      <c r="AQ174" s="2113"/>
      <c r="AR174" s="2113"/>
      <c r="AS174" s="2113"/>
      <c r="AT174" s="2113"/>
      <c r="AU174" s="2113"/>
      <c r="AV174" s="2113"/>
      <c r="AW174" s="2115"/>
      <c r="AX174" s="2115"/>
      <c r="AY174" s="2115"/>
      <c r="AZ174" s="2115"/>
      <c r="BA174" s="2115"/>
      <c r="BB174" s="2115"/>
      <c r="BC174" s="2115"/>
      <c r="BD174" s="2115"/>
      <c r="BE174" s="2115"/>
      <c r="BF174" s="444"/>
      <c r="BG174" s="444"/>
      <c r="BH174" s="105"/>
      <c r="BI174" s="105"/>
      <c r="BJ174" s="105"/>
      <c r="BK174" s="105"/>
      <c r="BL174" s="105"/>
      <c r="BM174" s="105"/>
      <c r="BN174" s="105"/>
      <c r="BO174" s="2138"/>
      <c r="BP174" s="2138"/>
      <c r="BQ174" s="2138"/>
      <c r="BR174" s="2138"/>
      <c r="BS174" s="2138"/>
      <c r="BT174" s="2138"/>
      <c r="BU174" s="2138"/>
      <c r="BV174" s="2138"/>
      <c r="BW174" s="2139"/>
      <c r="BX174" s="105"/>
      <c r="BY174" s="105"/>
      <c r="BZ174" s="105"/>
      <c r="CA174" s="87"/>
      <c r="CB174" s="458"/>
      <c r="CC174" s="458"/>
      <c r="CD174" s="458"/>
      <c r="CE174" s="458"/>
      <c r="CF174" s="458"/>
      <c r="CG174" s="458"/>
      <c r="CH174" s="458"/>
      <c r="CI174" s="458"/>
      <c r="CJ174" s="458"/>
      <c r="CK174" s="458"/>
      <c r="CL174" s="458"/>
      <c r="CM174" s="458"/>
      <c r="CN174" s="458"/>
      <c r="CO174" s="458"/>
      <c r="CP174" s="458"/>
      <c r="CQ174" s="458"/>
      <c r="CR174" s="458"/>
      <c r="CS174" s="458"/>
      <c r="CT174" s="458"/>
      <c r="CU174" s="458"/>
      <c r="CV174" s="458"/>
      <c r="CW174" s="458"/>
      <c r="CX174" s="458"/>
      <c r="CY174" s="458"/>
      <c r="CZ174" s="458"/>
      <c r="DA174" s="458"/>
      <c r="DB174" s="458"/>
      <c r="DC174" s="458"/>
      <c r="DD174" s="458"/>
      <c r="DE174" s="419"/>
      <c r="DF174" s="419"/>
      <c r="DG174" s="419"/>
      <c r="DH174" s="419"/>
      <c r="DI174" s="419"/>
      <c r="DJ174" s="419"/>
      <c r="DK174" s="368"/>
      <c r="DL174" s="459"/>
      <c r="DM174" s="459"/>
      <c r="DN174" s="459"/>
      <c r="DO174" s="459"/>
      <c r="DP174" s="459"/>
      <c r="DQ174" s="87"/>
      <c r="DR174" s="87"/>
      <c r="DS174" s="384"/>
      <c r="DT174" s="384"/>
      <c r="DU174" s="384"/>
      <c r="DV174" s="384"/>
      <c r="DW174" s="384"/>
      <c r="DX174" s="384"/>
      <c r="DY174" s="384"/>
      <c r="DZ174" s="87"/>
      <c r="EA174" s="87"/>
      <c r="EB174" s="368"/>
      <c r="EC174" s="459"/>
      <c r="ED174" s="459"/>
      <c r="EE174" s="459"/>
      <c r="EF174" s="459"/>
      <c r="EG174" s="459"/>
      <c r="EH174" s="460"/>
      <c r="EI174" s="460"/>
      <c r="EJ174" s="460"/>
      <c r="EK174" s="460"/>
      <c r="EL174" s="460"/>
      <c r="EM174" s="460"/>
      <c r="EN174" s="460"/>
      <c r="EO174" s="460"/>
      <c r="EP174" s="460"/>
      <c r="EQ174" s="460"/>
      <c r="ER174" s="460"/>
      <c r="ES174" s="460"/>
      <c r="ET174" s="460"/>
      <c r="EU174" s="460"/>
      <c r="EV174" s="460"/>
      <c r="EW174" s="460"/>
      <c r="EX174" s="460"/>
      <c r="EY174" s="460"/>
      <c r="EZ174" s="460"/>
      <c r="FA174" s="460"/>
      <c r="FB174" s="460"/>
      <c r="FC174" s="460"/>
      <c r="FD174" s="460"/>
      <c r="FE174" s="460"/>
      <c r="FF174" s="460"/>
      <c r="FG174" s="460"/>
      <c r="FH174" s="460"/>
      <c r="FI174" s="460"/>
      <c r="FJ174" s="460"/>
      <c r="FK174" s="419"/>
      <c r="FL174" s="419"/>
      <c r="FM174" s="419"/>
      <c r="FN174" s="419"/>
      <c r="FO174" s="419"/>
      <c r="FP174" s="419"/>
      <c r="FQ174" s="384"/>
      <c r="FR174" s="384"/>
      <c r="FS174" s="384"/>
      <c r="FT174" s="384"/>
      <c r="FU174" s="384"/>
      <c r="FV174" s="384"/>
      <c r="FW174" s="384"/>
      <c r="FX174" s="384"/>
      <c r="FY174" s="384"/>
      <c r="FZ174" s="87"/>
      <c r="GA174" s="87"/>
    </row>
    <row r="175" spans="1:191" ht="9" customHeight="1" thickBot="1">
      <c r="A175" s="87"/>
      <c r="B175" s="313"/>
      <c r="C175" s="2114"/>
      <c r="D175" s="2114"/>
      <c r="E175" s="2114"/>
      <c r="F175" s="2114"/>
      <c r="G175" s="2114"/>
      <c r="H175" s="2114"/>
      <c r="I175" s="2114"/>
      <c r="J175" s="2114"/>
      <c r="K175" s="2114"/>
      <c r="L175" s="2114"/>
      <c r="M175" s="2114"/>
      <c r="N175" s="2114"/>
      <c r="O175" s="2114"/>
      <c r="P175" s="2114"/>
      <c r="Q175" s="2114"/>
      <c r="R175" s="2114"/>
      <c r="S175" s="2114"/>
      <c r="T175" s="2114"/>
      <c r="U175" s="2114"/>
      <c r="V175" s="2114"/>
      <c r="W175" s="2114"/>
      <c r="X175" s="2114"/>
      <c r="Y175" s="2114"/>
      <c r="Z175" s="2114"/>
      <c r="AA175" s="2114"/>
      <c r="AB175" s="2114"/>
      <c r="AC175" s="2114"/>
      <c r="AD175" s="2114"/>
      <c r="AE175" s="2114"/>
      <c r="AF175" s="2114"/>
      <c r="AG175" s="2114"/>
      <c r="AH175" s="2114"/>
      <c r="AI175" s="2114"/>
      <c r="AJ175" s="2114"/>
      <c r="AK175" s="2114"/>
      <c r="AL175" s="2114"/>
      <c r="AM175" s="2114"/>
      <c r="AN175" s="2114"/>
      <c r="AO175" s="2114"/>
      <c r="AP175" s="2114"/>
      <c r="AQ175" s="2114"/>
      <c r="AR175" s="2114"/>
      <c r="AS175" s="2114"/>
      <c r="AT175" s="2114"/>
      <c r="AU175" s="2114"/>
      <c r="AV175" s="2114"/>
      <c r="AW175" s="2116"/>
      <c r="AX175" s="2116"/>
      <c r="AY175" s="2116"/>
      <c r="AZ175" s="2116"/>
      <c r="BA175" s="2116"/>
      <c r="BB175" s="2116"/>
      <c r="BC175" s="2116"/>
      <c r="BD175" s="2116"/>
      <c r="BE175" s="2116"/>
      <c r="BF175" s="445"/>
      <c r="BG175" s="445"/>
      <c r="BH175" s="131"/>
      <c r="BI175" s="131"/>
      <c r="BJ175" s="131"/>
      <c r="BK175" s="131"/>
      <c r="BL175" s="131"/>
      <c r="BM175" s="131"/>
      <c r="BN175" s="131"/>
      <c r="BO175" s="2138"/>
      <c r="BP175" s="2138"/>
      <c r="BQ175" s="2138"/>
      <c r="BR175" s="2138"/>
      <c r="BS175" s="2138"/>
      <c r="BT175" s="2138"/>
      <c r="BU175" s="2138"/>
      <c r="BV175" s="2138"/>
      <c r="BW175" s="2139"/>
      <c r="BX175" s="131"/>
      <c r="BY175" s="131"/>
      <c r="BZ175" s="131"/>
      <c r="CA175" s="87"/>
      <c r="CB175" s="2145" t="str">
        <f>IF(Race="","",IF(NOT(ISERROR(GD175)),MID(FeatsTakenList,GD171+1,GD175-GD171-1),""))</f>
        <v/>
      </c>
      <c r="CC175" s="2145"/>
      <c r="CD175" s="2145"/>
      <c r="CE175" s="2145"/>
      <c r="CF175" s="2145"/>
      <c r="CG175" s="2145"/>
      <c r="CH175" s="2145"/>
      <c r="CI175" s="2145"/>
      <c r="CJ175" s="2145"/>
      <c r="CK175" s="2145"/>
      <c r="CL175" s="2145"/>
      <c r="CM175" s="2145"/>
      <c r="CN175" s="2145"/>
      <c r="CO175" s="2145"/>
      <c r="CP175" s="2145"/>
      <c r="CQ175" s="2145"/>
      <c r="CR175" s="2145"/>
      <c r="CS175" s="2145"/>
      <c r="CT175" s="2145"/>
      <c r="CU175" s="2145"/>
      <c r="CV175" s="2145"/>
      <c r="CW175" s="2145"/>
      <c r="CX175" s="2145"/>
      <c r="CY175" s="2145"/>
      <c r="CZ175" s="2145"/>
      <c r="DA175" s="2145"/>
      <c r="DB175" s="2145"/>
      <c r="DC175" s="2145"/>
      <c r="DD175" s="2145"/>
      <c r="DE175" s="2145"/>
      <c r="DF175" s="2145"/>
      <c r="DG175" s="2145"/>
      <c r="DH175" s="2145"/>
      <c r="DI175" s="2145"/>
      <c r="DJ175" s="2145"/>
      <c r="DK175" s="2145"/>
      <c r="DL175" s="2145"/>
      <c r="DM175" s="2145"/>
      <c r="DN175" s="2145"/>
      <c r="DO175" s="2145"/>
      <c r="DP175" s="2145"/>
      <c r="DQ175" s="87"/>
      <c r="DR175" s="87"/>
      <c r="DS175" s="2147" t="str">
        <f>IF(Race="","",IF(NOT(ISERROR(GE175)),MID(FeatsTakenListPageRef,GE171+1,GE175-GE171-1),""))</f>
        <v/>
      </c>
      <c r="DT175" s="2147"/>
      <c r="DU175" s="2147"/>
      <c r="DV175" s="2147"/>
      <c r="DW175" s="2147"/>
      <c r="DX175" s="2147"/>
      <c r="DY175" s="2147"/>
      <c r="DZ175" s="87"/>
      <c r="EA175" s="87"/>
      <c r="EB175" s="2145" t="str">
        <f>IF(Race="","",IF(NOT(ISERROR(GH175)),MID(FeatsTakenList,GH171+1,GH175-GH171-1),""))</f>
        <v/>
      </c>
      <c r="EC175" s="2145"/>
      <c r="ED175" s="2145"/>
      <c r="EE175" s="2145"/>
      <c r="EF175" s="2145"/>
      <c r="EG175" s="2145"/>
      <c r="EH175" s="2145"/>
      <c r="EI175" s="2145"/>
      <c r="EJ175" s="2145"/>
      <c r="EK175" s="2145"/>
      <c r="EL175" s="2145"/>
      <c r="EM175" s="2145"/>
      <c r="EN175" s="2145"/>
      <c r="EO175" s="2145"/>
      <c r="EP175" s="2145"/>
      <c r="EQ175" s="2145"/>
      <c r="ER175" s="2145"/>
      <c r="ES175" s="2145"/>
      <c r="ET175" s="2145"/>
      <c r="EU175" s="2145"/>
      <c r="EV175" s="2145"/>
      <c r="EW175" s="2145"/>
      <c r="EX175" s="2145"/>
      <c r="EY175" s="2145"/>
      <c r="EZ175" s="2145"/>
      <c r="FA175" s="2145"/>
      <c r="FB175" s="2145"/>
      <c r="FC175" s="2145"/>
      <c r="FD175" s="2145"/>
      <c r="FE175" s="2145"/>
      <c r="FF175" s="2145"/>
      <c r="FG175" s="2145"/>
      <c r="FH175" s="2145"/>
      <c r="FI175" s="2145"/>
      <c r="FJ175" s="2145"/>
      <c r="FK175" s="2145"/>
      <c r="FL175" s="2145"/>
      <c r="FM175" s="2145"/>
      <c r="FN175" s="2145"/>
      <c r="FO175" s="2145"/>
      <c r="FP175" s="2145"/>
      <c r="FQ175" s="87"/>
      <c r="FR175" s="87"/>
      <c r="FS175" s="2147" t="str">
        <f>IF(Race="","",IF(NOT(ISERROR(GI175)),MID(FeatsTakenListPageRef,GI171+1,GI175-GI171-1),""))</f>
        <v/>
      </c>
      <c r="FT175" s="2147"/>
      <c r="FU175" s="2147"/>
      <c r="FV175" s="2147"/>
      <c r="FW175" s="2147"/>
      <c r="FX175" s="2147"/>
      <c r="FY175" s="2147"/>
      <c r="FZ175" s="87"/>
      <c r="GA175" s="87"/>
      <c r="GC175" s="1853">
        <f>GC171+1</f>
        <v>2</v>
      </c>
      <c r="GD175" s="1853" t="e">
        <f ca="1">FIND(";",FeatsTakenList,GD171+1)</f>
        <v>#VALUE!</v>
      </c>
      <c r="GE175" s="1853" t="e">
        <f ca="1">FIND(";",FeatsTakenListPageRef,GE171+1)</f>
        <v>#VALUE!</v>
      </c>
      <c r="GG175" s="1853">
        <f>GG171+1</f>
        <v>16</v>
      </c>
      <c r="GH175" s="1853" t="e">
        <f ca="1">FIND(";",FeatsTakenList,GH171+1)</f>
        <v>#VALUE!</v>
      </c>
      <c r="GI175" s="1853" t="e">
        <f ca="1">FIND(";",FeatsTakenListPageRef,GI171+1)</f>
        <v>#VALUE!</v>
      </c>
    </row>
    <row r="176" spans="1:191" ht="9" customHeight="1">
      <c r="A176" s="87"/>
      <c r="B176" s="313"/>
      <c r="C176" s="301"/>
      <c r="D176" s="301"/>
      <c r="E176" s="181"/>
      <c r="F176" s="181"/>
      <c r="G176" s="181"/>
      <c r="H176" s="181"/>
      <c r="I176" s="181"/>
      <c r="J176" s="181"/>
      <c r="K176" s="301"/>
      <c r="L176" s="301"/>
      <c r="M176" s="301"/>
      <c r="N176" s="301"/>
      <c r="O176" s="301"/>
      <c r="P176" s="301"/>
      <c r="Q176" s="301"/>
      <c r="R176" s="301"/>
      <c r="S176" s="301"/>
      <c r="T176" s="301"/>
      <c r="U176" s="301"/>
      <c r="V176" s="301"/>
      <c r="W176" s="301"/>
      <c r="X176" s="301"/>
      <c r="Y176" s="301"/>
      <c r="Z176" s="301"/>
      <c r="AA176" s="301"/>
      <c r="AB176" s="301"/>
      <c r="AC176" s="301"/>
      <c r="AD176" s="301"/>
      <c r="AE176" s="301"/>
      <c r="AF176" s="301"/>
      <c r="AG176" s="301"/>
      <c r="AH176" s="301"/>
      <c r="AI176" s="301"/>
      <c r="AJ176" s="301"/>
      <c r="AK176" s="301"/>
      <c r="AL176" s="301"/>
      <c r="AM176" s="301"/>
      <c r="AN176" s="301"/>
      <c r="AO176" s="301"/>
      <c r="AP176" s="301"/>
      <c r="AQ176" s="301"/>
      <c r="AR176" s="301"/>
      <c r="AS176" s="301"/>
      <c r="AT176" s="301"/>
      <c r="AU176" s="301"/>
      <c r="AV176" s="301"/>
      <c r="AW176" s="1087"/>
      <c r="AX176" s="1087"/>
      <c r="AY176" s="1087"/>
      <c r="AZ176" s="1087"/>
      <c r="BA176" s="1087"/>
      <c r="BB176" s="1087"/>
      <c r="BC176" s="1087"/>
      <c r="BD176" s="1087"/>
      <c r="BE176" s="1087"/>
      <c r="BF176" s="445"/>
      <c r="BG176" s="445"/>
      <c r="BH176" s="131"/>
      <c r="BI176" s="131"/>
      <c r="BJ176" s="131"/>
      <c r="BK176" s="131"/>
      <c r="BL176" s="131"/>
      <c r="BM176" s="131"/>
      <c r="BN176" s="131"/>
      <c r="BO176" s="2138"/>
      <c r="BP176" s="2138"/>
      <c r="BQ176" s="2138"/>
      <c r="BR176" s="2138"/>
      <c r="BS176" s="2138"/>
      <c r="BT176" s="2138"/>
      <c r="BU176" s="2138"/>
      <c r="BV176" s="2138"/>
      <c r="BW176" s="2139"/>
      <c r="BX176" s="131"/>
      <c r="BY176" s="131"/>
      <c r="BZ176" s="131"/>
      <c r="CA176" s="87"/>
      <c r="CB176" s="2145"/>
      <c r="CC176" s="2145"/>
      <c r="CD176" s="2145"/>
      <c r="CE176" s="2145"/>
      <c r="CF176" s="2145"/>
      <c r="CG176" s="2145"/>
      <c r="CH176" s="2145"/>
      <c r="CI176" s="2145"/>
      <c r="CJ176" s="2145"/>
      <c r="CK176" s="2145"/>
      <c r="CL176" s="2145"/>
      <c r="CM176" s="2145"/>
      <c r="CN176" s="2145"/>
      <c r="CO176" s="2145"/>
      <c r="CP176" s="2145"/>
      <c r="CQ176" s="2145"/>
      <c r="CR176" s="2145"/>
      <c r="CS176" s="2145"/>
      <c r="CT176" s="2145"/>
      <c r="CU176" s="2145"/>
      <c r="CV176" s="2145"/>
      <c r="CW176" s="2145"/>
      <c r="CX176" s="2145"/>
      <c r="CY176" s="2145"/>
      <c r="CZ176" s="2145"/>
      <c r="DA176" s="2145"/>
      <c r="DB176" s="2145"/>
      <c r="DC176" s="2145"/>
      <c r="DD176" s="2145"/>
      <c r="DE176" s="2145"/>
      <c r="DF176" s="2145"/>
      <c r="DG176" s="2145"/>
      <c r="DH176" s="2145"/>
      <c r="DI176" s="2145"/>
      <c r="DJ176" s="2145"/>
      <c r="DK176" s="2145"/>
      <c r="DL176" s="2145"/>
      <c r="DM176" s="2145"/>
      <c r="DN176" s="2145"/>
      <c r="DO176" s="2145"/>
      <c r="DP176" s="2145"/>
      <c r="DQ176" s="87"/>
      <c r="DR176" s="87"/>
      <c r="DS176" s="2147"/>
      <c r="DT176" s="2147"/>
      <c r="DU176" s="2147"/>
      <c r="DV176" s="2147"/>
      <c r="DW176" s="2147"/>
      <c r="DX176" s="2147"/>
      <c r="DY176" s="2147"/>
      <c r="DZ176" s="87"/>
      <c r="EA176" s="87"/>
      <c r="EB176" s="2145"/>
      <c r="EC176" s="2145"/>
      <c r="ED176" s="2145"/>
      <c r="EE176" s="2145"/>
      <c r="EF176" s="2145"/>
      <c r="EG176" s="2145"/>
      <c r="EH176" s="2145"/>
      <c r="EI176" s="2145"/>
      <c r="EJ176" s="2145"/>
      <c r="EK176" s="2145"/>
      <c r="EL176" s="2145"/>
      <c r="EM176" s="2145"/>
      <c r="EN176" s="2145"/>
      <c r="EO176" s="2145"/>
      <c r="EP176" s="2145"/>
      <c r="EQ176" s="2145"/>
      <c r="ER176" s="2145"/>
      <c r="ES176" s="2145"/>
      <c r="ET176" s="2145"/>
      <c r="EU176" s="2145"/>
      <c r="EV176" s="2145"/>
      <c r="EW176" s="2145"/>
      <c r="EX176" s="2145"/>
      <c r="EY176" s="2145"/>
      <c r="EZ176" s="2145"/>
      <c r="FA176" s="2145"/>
      <c r="FB176" s="2145"/>
      <c r="FC176" s="2145"/>
      <c r="FD176" s="2145"/>
      <c r="FE176" s="2145"/>
      <c r="FF176" s="2145"/>
      <c r="FG176" s="2145"/>
      <c r="FH176" s="2145"/>
      <c r="FI176" s="2145"/>
      <c r="FJ176" s="2145"/>
      <c r="FK176" s="2145"/>
      <c r="FL176" s="2145"/>
      <c r="FM176" s="2145"/>
      <c r="FN176" s="2145"/>
      <c r="FO176" s="2145"/>
      <c r="FP176" s="2145"/>
      <c r="FQ176" s="87"/>
      <c r="FR176" s="87"/>
      <c r="FS176" s="2147"/>
      <c r="FT176" s="2147"/>
      <c r="FU176" s="2147"/>
      <c r="FV176" s="2147"/>
      <c r="FW176" s="2147"/>
      <c r="FX176" s="2147"/>
      <c r="FY176" s="2147"/>
      <c r="FZ176" s="87"/>
      <c r="GA176" s="87"/>
      <c r="GC176" s="1853"/>
      <c r="GD176" s="1853"/>
      <c r="GE176" s="1853"/>
      <c r="GG176" s="1853"/>
      <c r="GH176" s="1853"/>
      <c r="GI176" s="1853"/>
    </row>
    <row r="177" spans="1:191" ht="9" customHeight="1" thickBot="1">
      <c r="A177" s="87"/>
      <c r="B177" s="313"/>
      <c r="C177" s="2113"/>
      <c r="D177" s="2113"/>
      <c r="E177" s="2113"/>
      <c r="F177" s="2113"/>
      <c r="G177" s="2113"/>
      <c r="H177" s="2113"/>
      <c r="I177" s="2113"/>
      <c r="J177" s="2113"/>
      <c r="K177" s="2113"/>
      <c r="L177" s="2113"/>
      <c r="M177" s="2113"/>
      <c r="N177" s="2113"/>
      <c r="O177" s="2113"/>
      <c r="P177" s="2113"/>
      <c r="Q177" s="2113"/>
      <c r="R177" s="2113"/>
      <c r="S177" s="2113"/>
      <c r="T177" s="2113"/>
      <c r="U177" s="2113"/>
      <c r="V177" s="2113"/>
      <c r="W177" s="2113"/>
      <c r="X177" s="2113"/>
      <c r="Y177" s="2113"/>
      <c r="Z177" s="2113"/>
      <c r="AA177" s="2113"/>
      <c r="AB177" s="2113"/>
      <c r="AC177" s="2113"/>
      <c r="AD177" s="2113"/>
      <c r="AE177" s="2113"/>
      <c r="AF177" s="2113"/>
      <c r="AG177" s="2113"/>
      <c r="AH177" s="2113"/>
      <c r="AI177" s="2113"/>
      <c r="AJ177" s="2113"/>
      <c r="AK177" s="2113"/>
      <c r="AL177" s="2113"/>
      <c r="AM177" s="2113"/>
      <c r="AN177" s="2113"/>
      <c r="AO177" s="2113"/>
      <c r="AP177" s="2113"/>
      <c r="AQ177" s="2113"/>
      <c r="AR177" s="2113"/>
      <c r="AS177" s="2113"/>
      <c r="AT177" s="2113"/>
      <c r="AU177" s="2113"/>
      <c r="AV177" s="2113"/>
      <c r="AW177" s="2115"/>
      <c r="AX177" s="2115"/>
      <c r="AY177" s="2115"/>
      <c r="AZ177" s="2115"/>
      <c r="BA177" s="2115"/>
      <c r="BB177" s="2115"/>
      <c r="BC177" s="2115"/>
      <c r="BD177" s="2115"/>
      <c r="BE177" s="2115"/>
      <c r="BF177" s="445"/>
      <c r="BG177" s="445"/>
      <c r="BH177" s="131"/>
      <c r="BI177" s="131"/>
      <c r="BJ177" s="131"/>
      <c r="BK177" s="131"/>
      <c r="BL177" s="131"/>
      <c r="BM177" s="131"/>
      <c r="BN177" s="131"/>
      <c r="BO177" s="2138"/>
      <c r="BP177" s="2138"/>
      <c r="BQ177" s="2138"/>
      <c r="BR177" s="2138"/>
      <c r="BS177" s="2138"/>
      <c r="BT177" s="2138"/>
      <c r="BU177" s="2138"/>
      <c r="BV177" s="2138"/>
      <c r="BW177" s="2139"/>
      <c r="BX177" s="131"/>
      <c r="BY177" s="131"/>
      <c r="BZ177" s="131"/>
      <c r="CA177" s="87"/>
      <c r="CB177" s="2146"/>
      <c r="CC177" s="2146"/>
      <c r="CD177" s="2146"/>
      <c r="CE177" s="2146"/>
      <c r="CF177" s="2146"/>
      <c r="CG177" s="2146"/>
      <c r="CH177" s="2146"/>
      <c r="CI177" s="2146"/>
      <c r="CJ177" s="2146"/>
      <c r="CK177" s="2146"/>
      <c r="CL177" s="2146"/>
      <c r="CM177" s="2146"/>
      <c r="CN177" s="2146"/>
      <c r="CO177" s="2146"/>
      <c r="CP177" s="2146"/>
      <c r="CQ177" s="2146"/>
      <c r="CR177" s="2146"/>
      <c r="CS177" s="2146"/>
      <c r="CT177" s="2146"/>
      <c r="CU177" s="2146"/>
      <c r="CV177" s="2146"/>
      <c r="CW177" s="2146"/>
      <c r="CX177" s="2146"/>
      <c r="CY177" s="2146"/>
      <c r="CZ177" s="2146"/>
      <c r="DA177" s="2146"/>
      <c r="DB177" s="2146"/>
      <c r="DC177" s="2146"/>
      <c r="DD177" s="2146"/>
      <c r="DE177" s="2146"/>
      <c r="DF177" s="2146"/>
      <c r="DG177" s="2146"/>
      <c r="DH177" s="2146"/>
      <c r="DI177" s="2146"/>
      <c r="DJ177" s="2146"/>
      <c r="DK177" s="2146"/>
      <c r="DL177" s="2146"/>
      <c r="DM177" s="2146"/>
      <c r="DN177" s="2146"/>
      <c r="DO177" s="2146"/>
      <c r="DP177" s="2146"/>
      <c r="DQ177" s="87"/>
      <c r="DR177" s="87"/>
      <c r="DS177" s="2148"/>
      <c r="DT177" s="2148"/>
      <c r="DU177" s="2148"/>
      <c r="DV177" s="2148"/>
      <c r="DW177" s="2148"/>
      <c r="DX177" s="2148"/>
      <c r="DY177" s="2148"/>
      <c r="DZ177" s="87"/>
      <c r="EA177" s="87"/>
      <c r="EB177" s="2146"/>
      <c r="EC177" s="2146"/>
      <c r="ED177" s="2146"/>
      <c r="EE177" s="2146"/>
      <c r="EF177" s="2146"/>
      <c r="EG177" s="2146"/>
      <c r="EH177" s="2146"/>
      <c r="EI177" s="2146"/>
      <c r="EJ177" s="2146"/>
      <c r="EK177" s="2146"/>
      <c r="EL177" s="2146"/>
      <c r="EM177" s="2146"/>
      <c r="EN177" s="2146"/>
      <c r="EO177" s="2146"/>
      <c r="EP177" s="2146"/>
      <c r="EQ177" s="2146"/>
      <c r="ER177" s="2146"/>
      <c r="ES177" s="2146"/>
      <c r="ET177" s="2146"/>
      <c r="EU177" s="2146"/>
      <c r="EV177" s="2146"/>
      <c r="EW177" s="2146"/>
      <c r="EX177" s="2146"/>
      <c r="EY177" s="2146"/>
      <c r="EZ177" s="2146"/>
      <c r="FA177" s="2146"/>
      <c r="FB177" s="2146"/>
      <c r="FC177" s="2146"/>
      <c r="FD177" s="2146"/>
      <c r="FE177" s="2146"/>
      <c r="FF177" s="2146"/>
      <c r="FG177" s="2146"/>
      <c r="FH177" s="2146"/>
      <c r="FI177" s="2146"/>
      <c r="FJ177" s="2146"/>
      <c r="FK177" s="2146"/>
      <c r="FL177" s="2146"/>
      <c r="FM177" s="2146"/>
      <c r="FN177" s="2146"/>
      <c r="FO177" s="2146"/>
      <c r="FP177" s="2146"/>
      <c r="FQ177" s="87"/>
      <c r="FR177" s="87"/>
      <c r="FS177" s="2148"/>
      <c r="FT177" s="2148"/>
      <c r="FU177" s="2148"/>
      <c r="FV177" s="2148"/>
      <c r="FW177" s="2148"/>
      <c r="FX177" s="2148"/>
      <c r="FY177" s="2148"/>
      <c r="FZ177" s="87"/>
      <c r="GA177" s="87"/>
      <c r="GC177" s="1853"/>
      <c r="GD177" s="1853"/>
      <c r="GE177" s="1853"/>
      <c r="GG177" s="1853"/>
      <c r="GH177" s="1853"/>
      <c r="GI177" s="1853"/>
    </row>
    <row r="178" spans="1:191" ht="9" customHeight="1">
      <c r="A178" s="87"/>
      <c r="B178" s="313"/>
      <c r="C178" s="2113"/>
      <c r="D178" s="2113"/>
      <c r="E178" s="2113"/>
      <c r="F178" s="2113"/>
      <c r="G178" s="2113"/>
      <c r="H178" s="2113"/>
      <c r="I178" s="2113"/>
      <c r="J178" s="2113"/>
      <c r="K178" s="2113"/>
      <c r="L178" s="2113"/>
      <c r="M178" s="2113"/>
      <c r="N178" s="2113"/>
      <c r="O178" s="2113"/>
      <c r="P178" s="2113"/>
      <c r="Q178" s="2113"/>
      <c r="R178" s="2113"/>
      <c r="S178" s="2113"/>
      <c r="T178" s="2113"/>
      <c r="U178" s="2113"/>
      <c r="V178" s="2113"/>
      <c r="W178" s="2113"/>
      <c r="X178" s="2113"/>
      <c r="Y178" s="2113"/>
      <c r="Z178" s="2113"/>
      <c r="AA178" s="2113"/>
      <c r="AB178" s="2113"/>
      <c r="AC178" s="2113"/>
      <c r="AD178" s="2113"/>
      <c r="AE178" s="2113"/>
      <c r="AF178" s="2113"/>
      <c r="AG178" s="2113"/>
      <c r="AH178" s="2113"/>
      <c r="AI178" s="2113"/>
      <c r="AJ178" s="2113"/>
      <c r="AK178" s="2113"/>
      <c r="AL178" s="2113"/>
      <c r="AM178" s="2113"/>
      <c r="AN178" s="2113"/>
      <c r="AO178" s="2113"/>
      <c r="AP178" s="2113"/>
      <c r="AQ178" s="2113"/>
      <c r="AR178" s="2113"/>
      <c r="AS178" s="2113"/>
      <c r="AT178" s="2113"/>
      <c r="AU178" s="2113"/>
      <c r="AV178" s="2113"/>
      <c r="AW178" s="2115"/>
      <c r="AX178" s="2115"/>
      <c r="AY178" s="2115"/>
      <c r="AZ178" s="2115"/>
      <c r="BA178" s="2115"/>
      <c r="BB178" s="2115"/>
      <c r="BC178" s="2115"/>
      <c r="BD178" s="2115"/>
      <c r="BE178" s="2115"/>
      <c r="BF178" s="445"/>
      <c r="BG178" s="445"/>
      <c r="BH178" s="131"/>
      <c r="BI178" s="131"/>
      <c r="BJ178" s="131"/>
      <c r="BK178" s="131"/>
      <c r="BL178" s="131"/>
      <c r="BM178" s="131"/>
      <c r="BN178" s="131"/>
      <c r="BO178" s="2138"/>
      <c r="BP178" s="2138"/>
      <c r="BQ178" s="2138"/>
      <c r="BR178" s="2138"/>
      <c r="BS178" s="2138"/>
      <c r="BT178" s="2138"/>
      <c r="BU178" s="2138"/>
      <c r="BV178" s="2138"/>
      <c r="BW178" s="2139"/>
      <c r="BX178" s="131"/>
      <c r="BY178" s="131"/>
      <c r="BZ178" s="131"/>
      <c r="CA178" s="87"/>
      <c r="CB178" s="460"/>
      <c r="CC178" s="460"/>
      <c r="CD178" s="460"/>
      <c r="CE178" s="460"/>
      <c r="CF178" s="460"/>
      <c r="CG178" s="460"/>
      <c r="CH178" s="460"/>
      <c r="CI178" s="460"/>
      <c r="CJ178" s="460"/>
      <c r="CK178" s="460"/>
      <c r="CL178" s="460"/>
      <c r="CM178" s="460"/>
      <c r="CN178" s="460"/>
      <c r="CO178" s="460"/>
      <c r="CP178" s="460"/>
      <c r="CQ178" s="460"/>
      <c r="CR178" s="460"/>
      <c r="CS178" s="460"/>
      <c r="CT178" s="460"/>
      <c r="CU178" s="460"/>
      <c r="CV178" s="460"/>
      <c r="CW178" s="460"/>
      <c r="CX178" s="460"/>
      <c r="CY178" s="460"/>
      <c r="CZ178" s="460"/>
      <c r="DA178" s="460"/>
      <c r="DB178" s="460"/>
      <c r="DC178" s="460"/>
      <c r="DD178" s="460"/>
      <c r="DE178" s="419"/>
      <c r="DF178" s="419"/>
      <c r="DG178" s="419"/>
      <c r="DH178" s="419"/>
      <c r="DI178" s="419"/>
      <c r="DJ178" s="419"/>
      <c r="DK178" s="368"/>
      <c r="DL178" s="459"/>
      <c r="DM178" s="459"/>
      <c r="DN178" s="459"/>
      <c r="DO178" s="459"/>
      <c r="DP178" s="459"/>
      <c r="DQ178" s="87"/>
      <c r="DR178" s="87"/>
      <c r="DS178" s="384"/>
      <c r="DT178" s="384"/>
      <c r="DU178" s="384"/>
      <c r="DV178" s="384"/>
      <c r="DW178" s="384"/>
      <c r="DX178" s="384"/>
      <c r="DY178" s="384"/>
      <c r="DZ178" s="87"/>
      <c r="EA178" s="87"/>
      <c r="EB178" s="368"/>
      <c r="EC178" s="459"/>
      <c r="ED178" s="459"/>
      <c r="EE178" s="459"/>
      <c r="EF178" s="459"/>
      <c r="EG178" s="459"/>
      <c r="EH178" s="460"/>
      <c r="EI178" s="460"/>
      <c r="EJ178" s="460"/>
      <c r="EK178" s="460"/>
      <c r="EL178" s="460"/>
      <c r="EM178" s="460"/>
      <c r="EN178" s="460"/>
      <c r="EO178" s="460"/>
      <c r="EP178" s="460"/>
      <c r="EQ178" s="460"/>
      <c r="ER178" s="460"/>
      <c r="ES178" s="460"/>
      <c r="ET178" s="460"/>
      <c r="EU178" s="460"/>
      <c r="EV178" s="460"/>
      <c r="EW178" s="460"/>
      <c r="EX178" s="460"/>
      <c r="EY178" s="460"/>
      <c r="EZ178" s="460"/>
      <c r="FA178" s="460"/>
      <c r="FB178" s="460"/>
      <c r="FC178" s="460"/>
      <c r="FD178" s="460"/>
      <c r="FE178" s="460"/>
      <c r="FF178" s="460"/>
      <c r="FG178" s="460"/>
      <c r="FH178" s="460"/>
      <c r="FI178" s="460"/>
      <c r="FJ178" s="460"/>
      <c r="FK178" s="419"/>
      <c r="FL178" s="419"/>
      <c r="FM178" s="419"/>
      <c r="FN178" s="419"/>
      <c r="FO178" s="419"/>
      <c r="FP178" s="419"/>
      <c r="FQ178" s="384"/>
      <c r="FR178" s="384"/>
      <c r="FS178" s="384"/>
      <c r="FT178" s="384"/>
      <c r="FU178" s="384"/>
      <c r="FV178" s="384"/>
      <c r="FW178" s="384"/>
      <c r="FX178" s="384"/>
      <c r="FY178" s="384"/>
      <c r="FZ178" s="87"/>
      <c r="GA178" s="87"/>
      <c r="GC178" s="714"/>
      <c r="GD178" s="714"/>
      <c r="GE178" s="714"/>
      <c r="GG178" s="714"/>
      <c r="GH178" s="714"/>
      <c r="GI178" s="714"/>
    </row>
    <row r="179" spans="1:191" ht="9" customHeight="1" thickBot="1">
      <c r="A179" s="87"/>
      <c r="B179" s="313"/>
      <c r="C179" s="2114"/>
      <c r="D179" s="2114"/>
      <c r="E179" s="2114"/>
      <c r="F179" s="2114"/>
      <c r="G179" s="2114"/>
      <c r="H179" s="2114"/>
      <c r="I179" s="2114"/>
      <c r="J179" s="2114"/>
      <c r="K179" s="2114"/>
      <c r="L179" s="2114"/>
      <c r="M179" s="2114"/>
      <c r="N179" s="2114"/>
      <c r="O179" s="2114"/>
      <c r="P179" s="2114"/>
      <c r="Q179" s="2114"/>
      <c r="R179" s="2114"/>
      <c r="S179" s="2114"/>
      <c r="T179" s="2114"/>
      <c r="U179" s="2114"/>
      <c r="V179" s="2114"/>
      <c r="W179" s="2114"/>
      <c r="X179" s="2114"/>
      <c r="Y179" s="2114"/>
      <c r="Z179" s="2114"/>
      <c r="AA179" s="2114"/>
      <c r="AB179" s="2114"/>
      <c r="AC179" s="2114"/>
      <c r="AD179" s="2114"/>
      <c r="AE179" s="2114"/>
      <c r="AF179" s="2114"/>
      <c r="AG179" s="2114"/>
      <c r="AH179" s="2114"/>
      <c r="AI179" s="2114"/>
      <c r="AJ179" s="2114"/>
      <c r="AK179" s="2114"/>
      <c r="AL179" s="2114"/>
      <c r="AM179" s="2114"/>
      <c r="AN179" s="2114"/>
      <c r="AO179" s="2114"/>
      <c r="AP179" s="2114"/>
      <c r="AQ179" s="2114"/>
      <c r="AR179" s="2114"/>
      <c r="AS179" s="2114"/>
      <c r="AT179" s="2114"/>
      <c r="AU179" s="2114"/>
      <c r="AV179" s="2114"/>
      <c r="AW179" s="2116"/>
      <c r="AX179" s="2116"/>
      <c r="AY179" s="2116"/>
      <c r="AZ179" s="2116"/>
      <c r="BA179" s="2116"/>
      <c r="BB179" s="2116"/>
      <c r="BC179" s="2116"/>
      <c r="BD179" s="2116"/>
      <c r="BE179" s="2116"/>
      <c r="BF179" s="444"/>
      <c r="BG179" s="444"/>
      <c r="BH179" s="105"/>
      <c r="BI179" s="105"/>
      <c r="BJ179" s="105"/>
      <c r="BK179" s="105"/>
      <c r="BL179" s="105"/>
      <c r="BM179" s="105"/>
      <c r="BN179" s="105"/>
      <c r="BO179" s="2138"/>
      <c r="BP179" s="2138"/>
      <c r="BQ179" s="2138"/>
      <c r="BR179" s="2138"/>
      <c r="BS179" s="2138"/>
      <c r="BT179" s="2138"/>
      <c r="BU179" s="2138"/>
      <c r="BV179" s="2138"/>
      <c r="BW179" s="2139"/>
      <c r="BX179" s="105"/>
      <c r="BY179" s="105"/>
      <c r="BZ179" s="105"/>
      <c r="CA179" s="87"/>
      <c r="CB179" s="2145" t="str">
        <f>IF(Race="","",IF(NOT(ISERROR(GD179)),MID(FeatsTakenList,GD175+1,GD179-GD175-1),""))</f>
        <v/>
      </c>
      <c r="CC179" s="2145"/>
      <c r="CD179" s="2145"/>
      <c r="CE179" s="2145"/>
      <c r="CF179" s="2145"/>
      <c r="CG179" s="2145"/>
      <c r="CH179" s="2145"/>
      <c r="CI179" s="2145"/>
      <c r="CJ179" s="2145"/>
      <c r="CK179" s="2145"/>
      <c r="CL179" s="2145"/>
      <c r="CM179" s="2145"/>
      <c r="CN179" s="2145"/>
      <c r="CO179" s="2145"/>
      <c r="CP179" s="2145"/>
      <c r="CQ179" s="2145"/>
      <c r="CR179" s="2145"/>
      <c r="CS179" s="2145"/>
      <c r="CT179" s="2145"/>
      <c r="CU179" s="2145"/>
      <c r="CV179" s="2145"/>
      <c r="CW179" s="2145"/>
      <c r="CX179" s="2145"/>
      <c r="CY179" s="2145"/>
      <c r="CZ179" s="2145"/>
      <c r="DA179" s="2145"/>
      <c r="DB179" s="2145"/>
      <c r="DC179" s="2145"/>
      <c r="DD179" s="2145"/>
      <c r="DE179" s="2145"/>
      <c r="DF179" s="2145"/>
      <c r="DG179" s="2145"/>
      <c r="DH179" s="2145"/>
      <c r="DI179" s="2145"/>
      <c r="DJ179" s="2145"/>
      <c r="DK179" s="2145"/>
      <c r="DL179" s="2145"/>
      <c r="DM179" s="2145"/>
      <c r="DN179" s="2145"/>
      <c r="DO179" s="2145"/>
      <c r="DP179" s="2145"/>
      <c r="DQ179" s="87"/>
      <c r="DR179" s="87"/>
      <c r="DS179" s="2147" t="str">
        <f>IF(Race="","",IF(NOT(ISERROR(GE179)),MID(FeatsTakenListPageRef,GE175+1,GE179-GE175-1),""))</f>
        <v/>
      </c>
      <c r="DT179" s="2147"/>
      <c r="DU179" s="2147"/>
      <c r="DV179" s="2147"/>
      <c r="DW179" s="2147"/>
      <c r="DX179" s="2147"/>
      <c r="DY179" s="2147"/>
      <c r="DZ179" s="87"/>
      <c r="EA179" s="87"/>
      <c r="EB179" s="2145" t="str">
        <f>IF(Race="","",IF(NOT(ISERROR(GH179)),MID(FeatsTakenList,GH175+1,GH179-GH175-1),""))</f>
        <v/>
      </c>
      <c r="EC179" s="2145"/>
      <c r="ED179" s="2145"/>
      <c r="EE179" s="2145"/>
      <c r="EF179" s="2145"/>
      <c r="EG179" s="2145"/>
      <c r="EH179" s="2145"/>
      <c r="EI179" s="2145"/>
      <c r="EJ179" s="2145"/>
      <c r="EK179" s="2145"/>
      <c r="EL179" s="2145"/>
      <c r="EM179" s="2145"/>
      <c r="EN179" s="2145"/>
      <c r="EO179" s="2145"/>
      <c r="EP179" s="2145"/>
      <c r="EQ179" s="2145"/>
      <c r="ER179" s="2145"/>
      <c r="ES179" s="2145"/>
      <c r="ET179" s="2145"/>
      <c r="EU179" s="2145"/>
      <c r="EV179" s="2145"/>
      <c r="EW179" s="2145"/>
      <c r="EX179" s="2145"/>
      <c r="EY179" s="2145"/>
      <c r="EZ179" s="2145"/>
      <c r="FA179" s="2145"/>
      <c r="FB179" s="2145"/>
      <c r="FC179" s="2145"/>
      <c r="FD179" s="2145"/>
      <c r="FE179" s="2145"/>
      <c r="FF179" s="2145"/>
      <c r="FG179" s="2145"/>
      <c r="FH179" s="2145"/>
      <c r="FI179" s="2145"/>
      <c r="FJ179" s="2145"/>
      <c r="FK179" s="2145"/>
      <c r="FL179" s="2145"/>
      <c r="FM179" s="2145"/>
      <c r="FN179" s="2145"/>
      <c r="FO179" s="2145"/>
      <c r="FP179" s="2145"/>
      <c r="FQ179" s="87"/>
      <c r="FR179" s="87"/>
      <c r="FS179" s="2147" t="str">
        <f>IF(Race="","",IF(NOT(ISERROR(GI179)),MID(FeatsTakenListPageRef,GI175+1,GI179-GI175-1),""))</f>
        <v/>
      </c>
      <c r="FT179" s="2147"/>
      <c r="FU179" s="2147"/>
      <c r="FV179" s="2147"/>
      <c r="FW179" s="2147"/>
      <c r="FX179" s="2147"/>
      <c r="FY179" s="2147"/>
      <c r="FZ179" s="87"/>
      <c r="GA179" s="87"/>
      <c r="GC179" s="1853">
        <f>GC175+1</f>
        <v>3</v>
      </c>
      <c r="GD179" s="1853" t="e">
        <f ca="1">FIND(";",FeatsTakenList,GD175+1)</f>
        <v>#VALUE!</v>
      </c>
      <c r="GE179" s="1853" t="e">
        <f ca="1">FIND(";",FeatsTakenListPageRef,GE175+1)</f>
        <v>#VALUE!</v>
      </c>
      <c r="GG179" s="1853">
        <f>GG175+1</f>
        <v>17</v>
      </c>
      <c r="GH179" s="1853" t="e">
        <f ca="1">FIND(";",FeatsTakenList,GH175+1)</f>
        <v>#VALUE!</v>
      </c>
      <c r="GI179" s="1853" t="e">
        <f ca="1">FIND(";",FeatsTakenListPageRef,GI175+1)</f>
        <v>#VALUE!</v>
      </c>
    </row>
    <row r="180" spans="1:191" ht="9" customHeight="1">
      <c r="A180" s="87"/>
      <c r="B180" s="313"/>
      <c r="C180" s="301"/>
      <c r="D180" s="301"/>
      <c r="E180" s="181"/>
      <c r="F180" s="181"/>
      <c r="G180" s="181"/>
      <c r="H180" s="181"/>
      <c r="I180" s="181"/>
      <c r="J180" s="181"/>
      <c r="K180" s="301"/>
      <c r="L180" s="301"/>
      <c r="M180" s="301"/>
      <c r="N180" s="301"/>
      <c r="O180" s="301"/>
      <c r="P180" s="301"/>
      <c r="Q180" s="301"/>
      <c r="R180" s="301"/>
      <c r="S180" s="301"/>
      <c r="T180" s="301"/>
      <c r="U180" s="301"/>
      <c r="V180" s="301"/>
      <c r="W180" s="301"/>
      <c r="X180" s="301"/>
      <c r="Y180" s="301"/>
      <c r="Z180" s="301"/>
      <c r="AA180" s="301"/>
      <c r="AB180" s="301"/>
      <c r="AC180" s="301"/>
      <c r="AD180" s="301"/>
      <c r="AE180" s="301"/>
      <c r="AF180" s="301"/>
      <c r="AG180" s="301"/>
      <c r="AH180" s="301"/>
      <c r="AI180" s="301"/>
      <c r="AJ180" s="301"/>
      <c r="AK180" s="301"/>
      <c r="AL180" s="301"/>
      <c r="AM180" s="301"/>
      <c r="AN180" s="301"/>
      <c r="AO180" s="301"/>
      <c r="AP180" s="301"/>
      <c r="AQ180" s="301"/>
      <c r="AR180" s="301"/>
      <c r="AS180" s="301"/>
      <c r="AT180" s="301"/>
      <c r="AU180" s="301"/>
      <c r="AV180" s="301"/>
      <c r="AW180" s="1087"/>
      <c r="AX180" s="1087"/>
      <c r="AY180" s="1087"/>
      <c r="AZ180" s="1087"/>
      <c r="BA180" s="1087"/>
      <c r="BB180" s="1087"/>
      <c r="BC180" s="1087"/>
      <c r="BD180" s="1087"/>
      <c r="BE180" s="1087"/>
      <c r="BF180" s="444"/>
      <c r="BG180" s="462"/>
      <c r="BH180" s="105"/>
      <c r="BI180" s="105"/>
      <c r="BJ180" s="105"/>
      <c r="BK180" s="105"/>
      <c r="BL180" s="105"/>
      <c r="BM180" s="105"/>
      <c r="BN180" s="105"/>
      <c r="BO180" s="2138"/>
      <c r="BP180" s="2138"/>
      <c r="BQ180" s="2138"/>
      <c r="BR180" s="2138"/>
      <c r="BS180" s="2138"/>
      <c r="BT180" s="2138"/>
      <c r="BU180" s="2138"/>
      <c r="BV180" s="2138"/>
      <c r="BW180" s="2139"/>
      <c r="BX180" s="105"/>
      <c r="BY180" s="105"/>
      <c r="BZ180" s="105"/>
      <c r="CA180" s="87"/>
      <c r="CB180" s="2145"/>
      <c r="CC180" s="2145"/>
      <c r="CD180" s="2145"/>
      <c r="CE180" s="2145"/>
      <c r="CF180" s="2145"/>
      <c r="CG180" s="2145"/>
      <c r="CH180" s="2145"/>
      <c r="CI180" s="2145"/>
      <c r="CJ180" s="2145"/>
      <c r="CK180" s="2145"/>
      <c r="CL180" s="2145"/>
      <c r="CM180" s="2145"/>
      <c r="CN180" s="2145"/>
      <c r="CO180" s="2145"/>
      <c r="CP180" s="2145"/>
      <c r="CQ180" s="2145"/>
      <c r="CR180" s="2145"/>
      <c r="CS180" s="2145"/>
      <c r="CT180" s="2145"/>
      <c r="CU180" s="2145"/>
      <c r="CV180" s="2145"/>
      <c r="CW180" s="2145"/>
      <c r="CX180" s="2145"/>
      <c r="CY180" s="2145"/>
      <c r="CZ180" s="2145"/>
      <c r="DA180" s="2145"/>
      <c r="DB180" s="2145"/>
      <c r="DC180" s="2145"/>
      <c r="DD180" s="2145"/>
      <c r="DE180" s="2145"/>
      <c r="DF180" s="2145"/>
      <c r="DG180" s="2145"/>
      <c r="DH180" s="2145"/>
      <c r="DI180" s="2145"/>
      <c r="DJ180" s="2145"/>
      <c r="DK180" s="2145"/>
      <c r="DL180" s="2145"/>
      <c r="DM180" s="2145"/>
      <c r="DN180" s="2145"/>
      <c r="DO180" s="2145"/>
      <c r="DP180" s="2145"/>
      <c r="DQ180" s="87"/>
      <c r="DR180" s="87"/>
      <c r="DS180" s="2147"/>
      <c r="DT180" s="2147"/>
      <c r="DU180" s="2147"/>
      <c r="DV180" s="2147"/>
      <c r="DW180" s="2147"/>
      <c r="DX180" s="2147"/>
      <c r="DY180" s="2147"/>
      <c r="DZ180" s="87"/>
      <c r="EA180" s="87"/>
      <c r="EB180" s="2145"/>
      <c r="EC180" s="2145"/>
      <c r="ED180" s="2145"/>
      <c r="EE180" s="2145"/>
      <c r="EF180" s="2145"/>
      <c r="EG180" s="2145"/>
      <c r="EH180" s="2145"/>
      <c r="EI180" s="2145"/>
      <c r="EJ180" s="2145"/>
      <c r="EK180" s="2145"/>
      <c r="EL180" s="2145"/>
      <c r="EM180" s="2145"/>
      <c r="EN180" s="2145"/>
      <c r="EO180" s="2145"/>
      <c r="EP180" s="2145"/>
      <c r="EQ180" s="2145"/>
      <c r="ER180" s="2145"/>
      <c r="ES180" s="2145"/>
      <c r="ET180" s="2145"/>
      <c r="EU180" s="2145"/>
      <c r="EV180" s="2145"/>
      <c r="EW180" s="2145"/>
      <c r="EX180" s="2145"/>
      <c r="EY180" s="2145"/>
      <c r="EZ180" s="2145"/>
      <c r="FA180" s="2145"/>
      <c r="FB180" s="2145"/>
      <c r="FC180" s="2145"/>
      <c r="FD180" s="2145"/>
      <c r="FE180" s="2145"/>
      <c r="FF180" s="2145"/>
      <c r="FG180" s="2145"/>
      <c r="FH180" s="2145"/>
      <c r="FI180" s="2145"/>
      <c r="FJ180" s="2145"/>
      <c r="FK180" s="2145"/>
      <c r="FL180" s="2145"/>
      <c r="FM180" s="2145"/>
      <c r="FN180" s="2145"/>
      <c r="FO180" s="2145"/>
      <c r="FP180" s="2145"/>
      <c r="FQ180" s="87"/>
      <c r="FR180" s="87"/>
      <c r="FS180" s="2147"/>
      <c r="FT180" s="2147"/>
      <c r="FU180" s="2147"/>
      <c r="FV180" s="2147"/>
      <c r="FW180" s="2147"/>
      <c r="FX180" s="2147"/>
      <c r="FY180" s="2147"/>
      <c r="FZ180" s="87"/>
      <c r="GA180" s="87"/>
      <c r="GC180" s="1853"/>
      <c r="GD180" s="1853"/>
      <c r="GE180" s="1853"/>
      <c r="GG180" s="1853"/>
      <c r="GH180" s="1853"/>
      <c r="GI180" s="1853"/>
    </row>
    <row r="181" spans="1:191" ht="9" customHeight="1" thickBot="1">
      <c r="A181" s="87"/>
      <c r="B181" s="313"/>
      <c r="C181" s="2113"/>
      <c r="D181" s="2113"/>
      <c r="E181" s="2113"/>
      <c r="F181" s="2113"/>
      <c r="G181" s="2113"/>
      <c r="H181" s="2113"/>
      <c r="I181" s="2113"/>
      <c r="J181" s="2113"/>
      <c r="K181" s="2113"/>
      <c r="L181" s="2113"/>
      <c r="M181" s="2113"/>
      <c r="N181" s="2113"/>
      <c r="O181" s="2113"/>
      <c r="P181" s="2113"/>
      <c r="Q181" s="2113"/>
      <c r="R181" s="2113"/>
      <c r="S181" s="2113"/>
      <c r="T181" s="2113"/>
      <c r="U181" s="2113"/>
      <c r="V181" s="2113"/>
      <c r="W181" s="2113"/>
      <c r="X181" s="2113"/>
      <c r="Y181" s="2113"/>
      <c r="Z181" s="2113"/>
      <c r="AA181" s="2113"/>
      <c r="AB181" s="2113"/>
      <c r="AC181" s="2113"/>
      <c r="AD181" s="2113"/>
      <c r="AE181" s="2113"/>
      <c r="AF181" s="2113"/>
      <c r="AG181" s="2113"/>
      <c r="AH181" s="2113"/>
      <c r="AI181" s="2113"/>
      <c r="AJ181" s="2113"/>
      <c r="AK181" s="2113"/>
      <c r="AL181" s="2113"/>
      <c r="AM181" s="2113"/>
      <c r="AN181" s="2113"/>
      <c r="AO181" s="2113"/>
      <c r="AP181" s="2113"/>
      <c r="AQ181" s="2113"/>
      <c r="AR181" s="2113"/>
      <c r="AS181" s="2113"/>
      <c r="AT181" s="2113"/>
      <c r="AU181" s="2113"/>
      <c r="AV181" s="2113"/>
      <c r="AW181" s="2115"/>
      <c r="AX181" s="2115"/>
      <c r="AY181" s="2115"/>
      <c r="AZ181" s="2115"/>
      <c r="BA181" s="2115"/>
      <c r="BB181" s="2115"/>
      <c r="BC181" s="2115"/>
      <c r="BD181" s="2115"/>
      <c r="BE181" s="2115"/>
      <c r="BF181" s="444"/>
      <c r="BG181" s="462"/>
      <c r="BH181" s="105"/>
      <c r="BI181" s="105"/>
      <c r="BJ181" s="105"/>
      <c r="BK181" s="105"/>
      <c r="BL181" s="105"/>
      <c r="BM181" s="105"/>
      <c r="BN181" s="105"/>
      <c r="BO181" s="2138"/>
      <c r="BP181" s="2138"/>
      <c r="BQ181" s="2138"/>
      <c r="BR181" s="2138"/>
      <c r="BS181" s="2138"/>
      <c r="BT181" s="2138"/>
      <c r="BU181" s="2138"/>
      <c r="BV181" s="2138"/>
      <c r="BW181" s="2139"/>
      <c r="BX181" s="105"/>
      <c r="BY181" s="105"/>
      <c r="BZ181" s="105"/>
      <c r="CA181" s="87"/>
      <c r="CB181" s="2146"/>
      <c r="CC181" s="2146"/>
      <c r="CD181" s="2146"/>
      <c r="CE181" s="2146"/>
      <c r="CF181" s="2146"/>
      <c r="CG181" s="2146"/>
      <c r="CH181" s="2146"/>
      <c r="CI181" s="2146"/>
      <c r="CJ181" s="2146"/>
      <c r="CK181" s="2146"/>
      <c r="CL181" s="2146"/>
      <c r="CM181" s="2146"/>
      <c r="CN181" s="2146"/>
      <c r="CO181" s="2146"/>
      <c r="CP181" s="2146"/>
      <c r="CQ181" s="2146"/>
      <c r="CR181" s="2146"/>
      <c r="CS181" s="2146"/>
      <c r="CT181" s="2146"/>
      <c r="CU181" s="2146"/>
      <c r="CV181" s="2146"/>
      <c r="CW181" s="2146"/>
      <c r="CX181" s="2146"/>
      <c r="CY181" s="2146"/>
      <c r="CZ181" s="2146"/>
      <c r="DA181" s="2146"/>
      <c r="DB181" s="2146"/>
      <c r="DC181" s="2146"/>
      <c r="DD181" s="2146"/>
      <c r="DE181" s="2146"/>
      <c r="DF181" s="2146"/>
      <c r="DG181" s="2146"/>
      <c r="DH181" s="2146"/>
      <c r="DI181" s="2146"/>
      <c r="DJ181" s="2146"/>
      <c r="DK181" s="2146"/>
      <c r="DL181" s="2146"/>
      <c r="DM181" s="2146"/>
      <c r="DN181" s="2146"/>
      <c r="DO181" s="2146"/>
      <c r="DP181" s="2146"/>
      <c r="DQ181" s="87"/>
      <c r="DR181" s="87"/>
      <c r="DS181" s="2148"/>
      <c r="DT181" s="2148"/>
      <c r="DU181" s="2148"/>
      <c r="DV181" s="2148"/>
      <c r="DW181" s="2148"/>
      <c r="DX181" s="2148"/>
      <c r="DY181" s="2148"/>
      <c r="DZ181" s="87"/>
      <c r="EA181" s="87"/>
      <c r="EB181" s="2146"/>
      <c r="EC181" s="2146"/>
      <c r="ED181" s="2146"/>
      <c r="EE181" s="2146"/>
      <c r="EF181" s="2146"/>
      <c r="EG181" s="2146"/>
      <c r="EH181" s="2146"/>
      <c r="EI181" s="2146"/>
      <c r="EJ181" s="2146"/>
      <c r="EK181" s="2146"/>
      <c r="EL181" s="2146"/>
      <c r="EM181" s="2146"/>
      <c r="EN181" s="2146"/>
      <c r="EO181" s="2146"/>
      <c r="EP181" s="2146"/>
      <c r="EQ181" s="2146"/>
      <c r="ER181" s="2146"/>
      <c r="ES181" s="2146"/>
      <c r="ET181" s="2146"/>
      <c r="EU181" s="2146"/>
      <c r="EV181" s="2146"/>
      <c r="EW181" s="2146"/>
      <c r="EX181" s="2146"/>
      <c r="EY181" s="2146"/>
      <c r="EZ181" s="2146"/>
      <c r="FA181" s="2146"/>
      <c r="FB181" s="2146"/>
      <c r="FC181" s="2146"/>
      <c r="FD181" s="2146"/>
      <c r="FE181" s="2146"/>
      <c r="FF181" s="2146"/>
      <c r="FG181" s="2146"/>
      <c r="FH181" s="2146"/>
      <c r="FI181" s="2146"/>
      <c r="FJ181" s="2146"/>
      <c r="FK181" s="2146"/>
      <c r="FL181" s="2146"/>
      <c r="FM181" s="2146"/>
      <c r="FN181" s="2146"/>
      <c r="FO181" s="2146"/>
      <c r="FP181" s="2146"/>
      <c r="FQ181" s="87"/>
      <c r="FR181" s="87"/>
      <c r="FS181" s="2148"/>
      <c r="FT181" s="2148"/>
      <c r="FU181" s="2148"/>
      <c r="FV181" s="2148"/>
      <c r="FW181" s="2148"/>
      <c r="FX181" s="2148"/>
      <c r="FY181" s="2148"/>
      <c r="FZ181" s="87"/>
      <c r="GA181" s="87"/>
      <c r="GC181" s="1853"/>
      <c r="GD181" s="1853"/>
      <c r="GE181" s="1853"/>
      <c r="GG181" s="1853"/>
      <c r="GH181" s="1853"/>
      <c r="GI181" s="1853"/>
    </row>
    <row r="182" spans="1:191" ht="9" customHeight="1">
      <c r="A182" s="87"/>
      <c r="B182" s="313"/>
      <c r="C182" s="2113"/>
      <c r="D182" s="2113"/>
      <c r="E182" s="2113"/>
      <c r="F182" s="2113"/>
      <c r="G182" s="2113"/>
      <c r="H182" s="2113"/>
      <c r="I182" s="2113"/>
      <c r="J182" s="2113"/>
      <c r="K182" s="2113"/>
      <c r="L182" s="2113"/>
      <c r="M182" s="2113"/>
      <c r="N182" s="2113"/>
      <c r="O182" s="2113"/>
      <c r="P182" s="2113"/>
      <c r="Q182" s="2113"/>
      <c r="R182" s="2113"/>
      <c r="S182" s="2113"/>
      <c r="T182" s="2113"/>
      <c r="U182" s="2113"/>
      <c r="V182" s="2113"/>
      <c r="W182" s="2113"/>
      <c r="X182" s="2113"/>
      <c r="Y182" s="2113"/>
      <c r="Z182" s="2113"/>
      <c r="AA182" s="2113"/>
      <c r="AB182" s="2113"/>
      <c r="AC182" s="2113"/>
      <c r="AD182" s="2113"/>
      <c r="AE182" s="2113"/>
      <c r="AF182" s="2113"/>
      <c r="AG182" s="2113"/>
      <c r="AH182" s="2113"/>
      <c r="AI182" s="2113"/>
      <c r="AJ182" s="2113"/>
      <c r="AK182" s="2113"/>
      <c r="AL182" s="2113"/>
      <c r="AM182" s="2113"/>
      <c r="AN182" s="2113"/>
      <c r="AO182" s="2113"/>
      <c r="AP182" s="2113"/>
      <c r="AQ182" s="2113"/>
      <c r="AR182" s="2113"/>
      <c r="AS182" s="2113"/>
      <c r="AT182" s="2113"/>
      <c r="AU182" s="2113"/>
      <c r="AV182" s="2113"/>
      <c r="AW182" s="2115"/>
      <c r="AX182" s="2115"/>
      <c r="AY182" s="2115"/>
      <c r="AZ182" s="2115"/>
      <c r="BA182" s="2115"/>
      <c r="BB182" s="2115"/>
      <c r="BC182" s="2115"/>
      <c r="BD182" s="2115"/>
      <c r="BE182" s="2115"/>
      <c r="BF182" s="439"/>
      <c r="BG182" s="439"/>
      <c r="BH182" s="441"/>
      <c r="BI182" s="441"/>
      <c r="BJ182" s="441"/>
      <c r="BK182" s="131"/>
      <c r="BL182" s="131"/>
      <c r="BM182" s="131"/>
      <c r="BN182" s="105"/>
      <c r="BO182" s="2138"/>
      <c r="BP182" s="2138"/>
      <c r="BQ182" s="2138"/>
      <c r="BR182" s="2138"/>
      <c r="BS182" s="2138"/>
      <c r="BT182" s="2138"/>
      <c r="BU182" s="2138"/>
      <c r="BV182" s="2138"/>
      <c r="BW182" s="2139"/>
      <c r="BX182" s="105"/>
      <c r="BY182" s="327"/>
      <c r="BZ182" s="327"/>
      <c r="CA182" s="87"/>
      <c r="CB182" s="99"/>
      <c r="CC182" s="99"/>
      <c r="CD182" s="99"/>
      <c r="CE182" s="99"/>
      <c r="CF182" s="99"/>
      <c r="CG182" s="461"/>
      <c r="CH182" s="461"/>
      <c r="CI182" s="461"/>
      <c r="CJ182" s="461"/>
      <c r="CK182" s="461"/>
      <c r="CL182" s="461"/>
      <c r="CM182" s="461"/>
      <c r="CN182" s="461"/>
      <c r="CO182" s="461"/>
      <c r="CP182" s="461"/>
      <c r="CQ182" s="461"/>
      <c r="CR182" s="461"/>
      <c r="CS182" s="461"/>
      <c r="CT182" s="461"/>
      <c r="CU182" s="461"/>
      <c r="CV182" s="461"/>
      <c r="CW182" s="461"/>
      <c r="CX182" s="461"/>
      <c r="CY182" s="461"/>
      <c r="CZ182" s="460"/>
      <c r="DA182" s="458"/>
      <c r="DB182" s="458"/>
      <c r="DC182" s="458"/>
      <c r="DD182" s="458"/>
      <c r="DE182" s="419"/>
      <c r="DF182" s="419"/>
      <c r="DG182" s="419"/>
      <c r="DH182" s="419"/>
      <c r="DI182" s="419"/>
      <c r="DJ182" s="419"/>
      <c r="DK182" s="368"/>
      <c r="DL182" s="459"/>
      <c r="DM182" s="459"/>
      <c r="DN182" s="459"/>
      <c r="DO182" s="459"/>
      <c r="DP182" s="459"/>
      <c r="DQ182" s="87"/>
      <c r="DR182" s="87"/>
      <c r="DS182" s="384"/>
      <c r="DT182" s="384"/>
      <c r="DU182" s="384"/>
      <c r="DV182" s="384"/>
      <c r="DW182" s="384"/>
      <c r="DX182" s="384"/>
      <c r="DY182" s="384"/>
      <c r="DZ182" s="87"/>
      <c r="EA182" s="87"/>
      <c r="EB182" s="368"/>
      <c r="EC182" s="459"/>
      <c r="ED182" s="459"/>
      <c r="EE182" s="459"/>
      <c r="EF182" s="459"/>
      <c r="EG182" s="459"/>
      <c r="EH182" s="460"/>
      <c r="EI182" s="460"/>
      <c r="EJ182" s="460"/>
      <c r="EK182" s="460"/>
      <c r="EL182" s="460"/>
      <c r="EM182" s="460"/>
      <c r="EN182" s="460"/>
      <c r="EO182" s="460"/>
      <c r="EP182" s="460"/>
      <c r="EQ182" s="460"/>
      <c r="ER182" s="460"/>
      <c r="ES182" s="460"/>
      <c r="ET182" s="460"/>
      <c r="EU182" s="460"/>
      <c r="EV182" s="460"/>
      <c r="EW182" s="460"/>
      <c r="EX182" s="460"/>
      <c r="EY182" s="460"/>
      <c r="EZ182" s="460"/>
      <c r="FA182" s="460"/>
      <c r="FB182" s="460"/>
      <c r="FC182" s="460"/>
      <c r="FD182" s="460"/>
      <c r="FE182" s="460"/>
      <c r="FF182" s="460"/>
      <c r="FG182" s="460"/>
      <c r="FH182" s="460"/>
      <c r="FI182" s="460"/>
      <c r="FJ182" s="460"/>
      <c r="FK182" s="419"/>
      <c r="FL182" s="419"/>
      <c r="FM182" s="419"/>
      <c r="FN182" s="419"/>
      <c r="FO182" s="419"/>
      <c r="FP182" s="419"/>
      <c r="FQ182" s="384"/>
      <c r="FR182" s="384"/>
      <c r="FS182" s="384"/>
      <c r="FT182" s="384"/>
      <c r="FU182" s="384"/>
      <c r="FV182" s="384"/>
      <c r="FW182" s="384"/>
      <c r="FX182" s="384"/>
      <c r="FY182" s="384"/>
      <c r="FZ182" s="87"/>
      <c r="GA182" s="87"/>
      <c r="GC182" s="714"/>
      <c r="GD182" s="714"/>
      <c r="GE182" s="714"/>
      <c r="GG182" s="714"/>
      <c r="GH182" s="714"/>
      <c r="GI182" s="714"/>
    </row>
    <row r="183" spans="1:191" ht="9" customHeight="1" thickBot="1">
      <c r="A183" s="87"/>
      <c r="B183" s="313"/>
      <c r="C183" s="2114"/>
      <c r="D183" s="2114"/>
      <c r="E183" s="2114"/>
      <c r="F183" s="2114"/>
      <c r="G183" s="2114"/>
      <c r="H183" s="2114"/>
      <c r="I183" s="2114"/>
      <c r="J183" s="2114"/>
      <c r="K183" s="2114"/>
      <c r="L183" s="2114"/>
      <c r="M183" s="2114"/>
      <c r="N183" s="2114"/>
      <c r="O183" s="2114"/>
      <c r="P183" s="2114"/>
      <c r="Q183" s="2114"/>
      <c r="R183" s="2114"/>
      <c r="S183" s="2114"/>
      <c r="T183" s="2114"/>
      <c r="U183" s="2114"/>
      <c r="V183" s="2114"/>
      <c r="W183" s="2114"/>
      <c r="X183" s="2114"/>
      <c r="Y183" s="2114"/>
      <c r="Z183" s="2114"/>
      <c r="AA183" s="2114"/>
      <c r="AB183" s="2114"/>
      <c r="AC183" s="2114"/>
      <c r="AD183" s="2114"/>
      <c r="AE183" s="2114"/>
      <c r="AF183" s="2114"/>
      <c r="AG183" s="2114"/>
      <c r="AH183" s="2114"/>
      <c r="AI183" s="2114"/>
      <c r="AJ183" s="2114"/>
      <c r="AK183" s="2114"/>
      <c r="AL183" s="2114"/>
      <c r="AM183" s="2114"/>
      <c r="AN183" s="2114"/>
      <c r="AO183" s="2114"/>
      <c r="AP183" s="2114"/>
      <c r="AQ183" s="2114"/>
      <c r="AR183" s="2114"/>
      <c r="AS183" s="2114"/>
      <c r="AT183" s="2114"/>
      <c r="AU183" s="2114"/>
      <c r="AV183" s="2114"/>
      <c r="AW183" s="2116"/>
      <c r="AX183" s="2116"/>
      <c r="AY183" s="2116"/>
      <c r="AZ183" s="2116"/>
      <c r="BA183" s="2116"/>
      <c r="BB183" s="2116"/>
      <c r="BC183" s="2116"/>
      <c r="BD183" s="2116"/>
      <c r="BE183" s="2116"/>
      <c r="BF183" s="439"/>
      <c r="BG183" s="439"/>
      <c r="BH183" s="441"/>
      <c r="BI183" s="441"/>
      <c r="BJ183" s="441"/>
      <c r="BK183" s="105"/>
      <c r="BL183" s="105"/>
      <c r="BM183" s="105"/>
      <c r="BN183" s="105"/>
      <c r="BO183" s="2138"/>
      <c r="BP183" s="2138"/>
      <c r="BQ183" s="2138"/>
      <c r="BR183" s="2138"/>
      <c r="BS183" s="2138"/>
      <c r="BT183" s="2138"/>
      <c r="BU183" s="2138"/>
      <c r="BV183" s="2138"/>
      <c r="BW183" s="2139"/>
      <c r="BX183" s="331"/>
      <c r="BY183" s="327"/>
      <c r="BZ183" s="327"/>
      <c r="CA183" s="87"/>
      <c r="CB183" s="2145" t="str">
        <f>IF(Race="","",IF(NOT(ISERROR(GD183)),MID(FeatsTakenList,GD179+1,GD183-GD179-1),""))</f>
        <v/>
      </c>
      <c r="CC183" s="2145"/>
      <c r="CD183" s="2145"/>
      <c r="CE183" s="2145"/>
      <c r="CF183" s="2145"/>
      <c r="CG183" s="2145"/>
      <c r="CH183" s="2145"/>
      <c r="CI183" s="2145"/>
      <c r="CJ183" s="2145"/>
      <c r="CK183" s="2145"/>
      <c r="CL183" s="2145"/>
      <c r="CM183" s="2145"/>
      <c r="CN183" s="2145"/>
      <c r="CO183" s="2145"/>
      <c r="CP183" s="2145"/>
      <c r="CQ183" s="2145"/>
      <c r="CR183" s="2145"/>
      <c r="CS183" s="2145"/>
      <c r="CT183" s="2145"/>
      <c r="CU183" s="2145"/>
      <c r="CV183" s="2145"/>
      <c r="CW183" s="2145"/>
      <c r="CX183" s="2145"/>
      <c r="CY183" s="2145"/>
      <c r="CZ183" s="2145"/>
      <c r="DA183" s="2145"/>
      <c r="DB183" s="2145"/>
      <c r="DC183" s="2145"/>
      <c r="DD183" s="2145"/>
      <c r="DE183" s="2145"/>
      <c r="DF183" s="2145"/>
      <c r="DG183" s="2145"/>
      <c r="DH183" s="2145"/>
      <c r="DI183" s="2145"/>
      <c r="DJ183" s="2145"/>
      <c r="DK183" s="2145"/>
      <c r="DL183" s="2145"/>
      <c r="DM183" s="2145"/>
      <c r="DN183" s="2145"/>
      <c r="DO183" s="2145"/>
      <c r="DP183" s="2145"/>
      <c r="DQ183" s="87"/>
      <c r="DR183" s="87"/>
      <c r="DS183" s="2147" t="str">
        <f>IF(Race="","",IF(NOT(ISERROR(GE183)),MID(FeatsTakenListPageRef,GE179+1,GE183-GE179-1),""))</f>
        <v/>
      </c>
      <c r="DT183" s="2147"/>
      <c r="DU183" s="2147"/>
      <c r="DV183" s="2147"/>
      <c r="DW183" s="2147"/>
      <c r="DX183" s="2147"/>
      <c r="DY183" s="2147"/>
      <c r="DZ183" s="87"/>
      <c r="EA183" s="87"/>
      <c r="EB183" s="2145" t="str">
        <f>IF(Race="","",IF(NOT(ISERROR(GH183)),MID(FeatsTakenList,GH179+1,GH183-GH179-1),""))</f>
        <v/>
      </c>
      <c r="EC183" s="2145"/>
      <c r="ED183" s="2145"/>
      <c r="EE183" s="2145"/>
      <c r="EF183" s="2145"/>
      <c r="EG183" s="2145"/>
      <c r="EH183" s="2145"/>
      <c r="EI183" s="2145"/>
      <c r="EJ183" s="2145"/>
      <c r="EK183" s="2145"/>
      <c r="EL183" s="2145"/>
      <c r="EM183" s="2145"/>
      <c r="EN183" s="2145"/>
      <c r="EO183" s="2145"/>
      <c r="EP183" s="2145"/>
      <c r="EQ183" s="2145"/>
      <c r="ER183" s="2145"/>
      <c r="ES183" s="2145"/>
      <c r="ET183" s="2145"/>
      <c r="EU183" s="2145"/>
      <c r="EV183" s="2145"/>
      <c r="EW183" s="2145"/>
      <c r="EX183" s="2145"/>
      <c r="EY183" s="2145"/>
      <c r="EZ183" s="2145"/>
      <c r="FA183" s="2145"/>
      <c r="FB183" s="2145"/>
      <c r="FC183" s="2145"/>
      <c r="FD183" s="2145"/>
      <c r="FE183" s="2145"/>
      <c r="FF183" s="2145"/>
      <c r="FG183" s="2145"/>
      <c r="FH183" s="2145"/>
      <c r="FI183" s="2145"/>
      <c r="FJ183" s="2145"/>
      <c r="FK183" s="2145"/>
      <c r="FL183" s="2145"/>
      <c r="FM183" s="2145"/>
      <c r="FN183" s="2145"/>
      <c r="FO183" s="2145"/>
      <c r="FP183" s="2145"/>
      <c r="FQ183" s="87"/>
      <c r="FR183" s="87"/>
      <c r="FS183" s="2147" t="str">
        <f>IF(Race="","",IF(NOT(ISERROR(GI183)),MID(FeatsTakenListPageRef,GI179+1,GI183-GI179-1),""))</f>
        <v/>
      </c>
      <c r="FT183" s="2147"/>
      <c r="FU183" s="2147"/>
      <c r="FV183" s="2147"/>
      <c r="FW183" s="2147"/>
      <c r="FX183" s="2147"/>
      <c r="FY183" s="2147"/>
      <c r="FZ183" s="87"/>
      <c r="GA183" s="87"/>
      <c r="GC183" s="1853">
        <f>GC179+1</f>
        <v>4</v>
      </c>
      <c r="GD183" s="1853" t="e">
        <f ca="1">FIND(";",FeatsTakenList,GD179+1)</f>
        <v>#VALUE!</v>
      </c>
      <c r="GE183" s="1853" t="e">
        <f ca="1">FIND(";",FeatsTakenListPageRef,GE179+1)</f>
        <v>#VALUE!</v>
      </c>
      <c r="GG183" s="1853">
        <f>GG179+1</f>
        <v>18</v>
      </c>
      <c r="GH183" s="1853" t="e">
        <f ca="1">FIND(";",FeatsTakenList,GH179+1)</f>
        <v>#VALUE!</v>
      </c>
      <c r="GI183" s="1853" t="e">
        <f ca="1">FIND(";",FeatsTakenListPageRef,GI179+1)</f>
        <v>#VALUE!</v>
      </c>
    </row>
    <row r="184" spans="1:191" ht="9" customHeight="1">
      <c r="A184" s="87"/>
      <c r="B184" s="313"/>
      <c r="C184" s="301"/>
      <c r="D184" s="301"/>
      <c r="E184" s="181"/>
      <c r="F184" s="181"/>
      <c r="G184" s="181"/>
      <c r="H184" s="181"/>
      <c r="I184" s="181"/>
      <c r="J184" s="181"/>
      <c r="K184" s="301"/>
      <c r="L184" s="301"/>
      <c r="M184" s="301"/>
      <c r="N184" s="301"/>
      <c r="O184" s="301"/>
      <c r="P184" s="301"/>
      <c r="Q184" s="301"/>
      <c r="R184" s="301"/>
      <c r="S184" s="301"/>
      <c r="T184" s="301"/>
      <c r="U184" s="301"/>
      <c r="V184" s="301"/>
      <c r="W184" s="301"/>
      <c r="X184" s="301"/>
      <c r="Y184" s="301"/>
      <c r="Z184" s="301"/>
      <c r="AA184" s="301"/>
      <c r="AB184" s="301"/>
      <c r="AC184" s="301"/>
      <c r="AD184" s="301"/>
      <c r="AE184" s="301"/>
      <c r="AF184" s="301"/>
      <c r="AG184" s="301"/>
      <c r="AH184" s="301"/>
      <c r="AI184" s="301"/>
      <c r="AJ184" s="301"/>
      <c r="AK184" s="301"/>
      <c r="AL184" s="301"/>
      <c r="AM184" s="301"/>
      <c r="AN184" s="301"/>
      <c r="AO184" s="301"/>
      <c r="AP184" s="301"/>
      <c r="AQ184" s="301"/>
      <c r="AR184" s="301"/>
      <c r="AS184" s="301"/>
      <c r="AT184" s="301"/>
      <c r="AU184" s="301"/>
      <c r="AV184" s="301"/>
      <c r="AW184" s="1087"/>
      <c r="AX184" s="1087"/>
      <c r="AY184" s="1087"/>
      <c r="AZ184" s="1087"/>
      <c r="BA184" s="1087"/>
      <c r="BB184" s="1087"/>
      <c r="BC184" s="1087"/>
      <c r="BD184" s="1087"/>
      <c r="BE184" s="1087"/>
      <c r="BF184" s="439"/>
      <c r="BG184" s="463"/>
      <c r="BH184" s="441"/>
      <c r="BI184" s="441"/>
      <c r="BJ184" s="441"/>
      <c r="BK184" s="105"/>
      <c r="BL184" s="105"/>
      <c r="BM184" s="105"/>
      <c r="BN184" s="105"/>
      <c r="BO184" s="2138"/>
      <c r="BP184" s="2138"/>
      <c r="BQ184" s="2138"/>
      <c r="BR184" s="2138"/>
      <c r="BS184" s="2138"/>
      <c r="BT184" s="2138"/>
      <c r="BU184" s="2138"/>
      <c r="BV184" s="2138"/>
      <c r="BW184" s="2139"/>
      <c r="BX184" s="331"/>
      <c r="BY184" s="105"/>
      <c r="BZ184" s="105"/>
      <c r="CA184" s="87"/>
      <c r="CB184" s="2145"/>
      <c r="CC184" s="2145"/>
      <c r="CD184" s="2145"/>
      <c r="CE184" s="2145"/>
      <c r="CF184" s="2145"/>
      <c r="CG184" s="2145"/>
      <c r="CH184" s="2145"/>
      <c r="CI184" s="2145"/>
      <c r="CJ184" s="2145"/>
      <c r="CK184" s="2145"/>
      <c r="CL184" s="2145"/>
      <c r="CM184" s="2145"/>
      <c r="CN184" s="2145"/>
      <c r="CO184" s="2145"/>
      <c r="CP184" s="2145"/>
      <c r="CQ184" s="2145"/>
      <c r="CR184" s="2145"/>
      <c r="CS184" s="2145"/>
      <c r="CT184" s="2145"/>
      <c r="CU184" s="2145"/>
      <c r="CV184" s="2145"/>
      <c r="CW184" s="2145"/>
      <c r="CX184" s="2145"/>
      <c r="CY184" s="2145"/>
      <c r="CZ184" s="2145"/>
      <c r="DA184" s="2145"/>
      <c r="DB184" s="2145"/>
      <c r="DC184" s="2145"/>
      <c r="DD184" s="2145"/>
      <c r="DE184" s="2145"/>
      <c r="DF184" s="2145"/>
      <c r="DG184" s="2145"/>
      <c r="DH184" s="2145"/>
      <c r="DI184" s="2145"/>
      <c r="DJ184" s="2145"/>
      <c r="DK184" s="2145"/>
      <c r="DL184" s="2145"/>
      <c r="DM184" s="2145"/>
      <c r="DN184" s="2145"/>
      <c r="DO184" s="2145"/>
      <c r="DP184" s="2145"/>
      <c r="DQ184" s="87"/>
      <c r="DR184" s="87"/>
      <c r="DS184" s="2147"/>
      <c r="DT184" s="2147"/>
      <c r="DU184" s="2147"/>
      <c r="DV184" s="2147"/>
      <c r="DW184" s="2147"/>
      <c r="DX184" s="2147"/>
      <c r="DY184" s="2147"/>
      <c r="DZ184" s="87"/>
      <c r="EA184" s="87"/>
      <c r="EB184" s="2145"/>
      <c r="EC184" s="2145"/>
      <c r="ED184" s="2145"/>
      <c r="EE184" s="2145"/>
      <c r="EF184" s="2145"/>
      <c r="EG184" s="2145"/>
      <c r="EH184" s="2145"/>
      <c r="EI184" s="2145"/>
      <c r="EJ184" s="2145"/>
      <c r="EK184" s="2145"/>
      <c r="EL184" s="2145"/>
      <c r="EM184" s="2145"/>
      <c r="EN184" s="2145"/>
      <c r="EO184" s="2145"/>
      <c r="EP184" s="2145"/>
      <c r="EQ184" s="2145"/>
      <c r="ER184" s="2145"/>
      <c r="ES184" s="2145"/>
      <c r="ET184" s="2145"/>
      <c r="EU184" s="2145"/>
      <c r="EV184" s="2145"/>
      <c r="EW184" s="2145"/>
      <c r="EX184" s="2145"/>
      <c r="EY184" s="2145"/>
      <c r="EZ184" s="2145"/>
      <c r="FA184" s="2145"/>
      <c r="FB184" s="2145"/>
      <c r="FC184" s="2145"/>
      <c r="FD184" s="2145"/>
      <c r="FE184" s="2145"/>
      <c r="FF184" s="2145"/>
      <c r="FG184" s="2145"/>
      <c r="FH184" s="2145"/>
      <c r="FI184" s="2145"/>
      <c r="FJ184" s="2145"/>
      <c r="FK184" s="2145"/>
      <c r="FL184" s="2145"/>
      <c r="FM184" s="2145"/>
      <c r="FN184" s="2145"/>
      <c r="FO184" s="2145"/>
      <c r="FP184" s="2145"/>
      <c r="FQ184" s="87"/>
      <c r="FR184" s="87"/>
      <c r="FS184" s="2147"/>
      <c r="FT184" s="2147"/>
      <c r="FU184" s="2147"/>
      <c r="FV184" s="2147"/>
      <c r="FW184" s="2147"/>
      <c r="FX184" s="2147"/>
      <c r="FY184" s="2147"/>
      <c r="FZ184" s="87"/>
      <c r="GA184" s="87"/>
      <c r="GC184" s="1853"/>
      <c r="GD184" s="1853"/>
      <c r="GE184" s="1853"/>
      <c r="GG184" s="1853"/>
      <c r="GH184" s="1853"/>
      <c r="GI184" s="1853"/>
    </row>
    <row r="185" spans="1:191" ht="9" customHeight="1" thickBot="1">
      <c r="A185" s="87"/>
      <c r="B185" s="313"/>
      <c r="C185" s="2113"/>
      <c r="D185" s="2113"/>
      <c r="E185" s="2113"/>
      <c r="F185" s="2113"/>
      <c r="G185" s="2113"/>
      <c r="H185" s="2113"/>
      <c r="I185" s="2113"/>
      <c r="J185" s="2113"/>
      <c r="K185" s="2113"/>
      <c r="L185" s="2113"/>
      <c r="M185" s="2113"/>
      <c r="N185" s="2113"/>
      <c r="O185" s="2113"/>
      <c r="P185" s="2113"/>
      <c r="Q185" s="2113"/>
      <c r="R185" s="2113"/>
      <c r="S185" s="2113"/>
      <c r="T185" s="2113"/>
      <c r="U185" s="2113"/>
      <c r="V185" s="2113"/>
      <c r="W185" s="2113"/>
      <c r="X185" s="2113"/>
      <c r="Y185" s="2113"/>
      <c r="Z185" s="2113"/>
      <c r="AA185" s="2113"/>
      <c r="AB185" s="2113"/>
      <c r="AC185" s="2113"/>
      <c r="AD185" s="2113"/>
      <c r="AE185" s="2113"/>
      <c r="AF185" s="2113"/>
      <c r="AG185" s="2113"/>
      <c r="AH185" s="2113"/>
      <c r="AI185" s="2113"/>
      <c r="AJ185" s="2113"/>
      <c r="AK185" s="2113"/>
      <c r="AL185" s="2113"/>
      <c r="AM185" s="2113"/>
      <c r="AN185" s="2113"/>
      <c r="AO185" s="2113"/>
      <c r="AP185" s="2113"/>
      <c r="AQ185" s="2113"/>
      <c r="AR185" s="2113"/>
      <c r="AS185" s="2113"/>
      <c r="AT185" s="2113"/>
      <c r="AU185" s="2113"/>
      <c r="AV185" s="2113"/>
      <c r="AW185" s="2115"/>
      <c r="AX185" s="2115"/>
      <c r="AY185" s="2115"/>
      <c r="AZ185" s="2115"/>
      <c r="BA185" s="2115"/>
      <c r="BB185" s="2115"/>
      <c r="BC185" s="2115"/>
      <c r="BD185" s="2115"/>
      <c r="BE185" s="2115"/>
      <c r="BF185" s="439"/>
      <c r="BG185" s="463"/>
      <c r="BH185" s="441"/>
      <c r="BI185" s="441"/>
      <c r="BJ185" s="441"/>
      <c r="BK185" s="105"/>
      <c r="BL185" s="105"/>
      <c r="BM185" s="105"/>
      <c r="BN185" s="105"/>
      <c r="BO185" s="2138"/>
      <c r="BP185" s="2138"/>
      <c r="BQ185" s="2138"/>
      <c r="BR185" s="2138"/>
      <c r="BS185" s="2138"/>
      <c r="BT185" s="2138"/>
      <c r="BU185" s="2138"/>
      <c r="BV185" s="2138"/>
      <c r="BW185" s="2139"/>
      <c r="BX185" s="105"/>
      <c r="BY185" s="105"/>
      <c r="BZ185" s="105"/>
      <c r="CA185" s="87"/>
      <c r="CB185" s="2146"/>
      <c r="CC185" s="2146"/>
      <c r="CD185" s="2146"/>
      <c r="CE185" s="2146"/>
      <c r="CF185" s="2146"/>
      <c r="CG185" s="2146"/>
      <c r="CH185" s="2146"/>
      <c r="CI185" s="2146"/>
      <c r="CJ185" s="2146"/>
      <c r="CK185" s="2146"/>
      <c r="CL185" s="2146"/>
      <c r="CM185" s="2146"/>
      <c r="CN185" s="2146"/>
      <c r="CO185" s="2146"/>
      <c r="CP185" s="2146"/>
      <c r="CQ185" s="2146"/>
      <c r="CR185" s="2146"/>
      <c r="CS185" s="2146"/>
      <c r="CT185" s="2146"/>
      <c r="CU185" s="2146"/>
      <c r="CV185" s="2146"/>
      <c r="CW185" s="2146"/>
      <c r="CX185" s="2146"/>
      <c r="CY185" s="2146"/>
      <c r="CZ185" s="2146"/>
      <c r="DA185" s="2146"/>
      <c r="DB185" s="2146"/>
      <c r="DC185" s="2146"/>
      <c r="DD185" s="2146"/>
      <c r="DE185" s="2146"/>
      <c r="DF185" s="2146"/>
      <c r="DG185" s="2146"/>
      <c r="DH185" s="2146"/>
      <c r="DI185" s="2146"/>
      <c r="DJ185" s="2146"/>
      <c r="DK185" s="2146"/>
      <c r="DL185" s="2146"/>
      <c r="DM185" s="2146"/>
      <c r="DN185" s="2146"/>
      <c r="DO185" s="2146"/>
      <c r="DP185" s="2146"/>
      <c r="DQ185" s="87"/>
      <c r="DR185" s="87"/>
      <c r="DS185" s="2148"/>
      <c r="DT185" s="2148"/>
      <c r="DU185" s="2148"/>
      <c r="DV185" s="2148"/>
      <c r="DW185" s="2148"/>
      <c r="DX185" s="2148"/>
      <c r="DY185" s="2148"/>
      <c r="DZ185" s="87"/>
      <c r="EA185" s="87"/>
      <c r="EB185" s="2146"/>
      <c r="EC185" s="2146"/>
      <c r="ED185" s="2146"/>
      <c r="EE185" s="2146"/>
      <c r="EF185" s="2146"/>
      <c r="EG185" s="2146"/>
      <c r="EH185" s="2146"/>
      <c r="EI185" s="2146"/>
      <c r="EJ185" s="2146"/>
      <c r="EK185" s="2146"/>
      <c r="EL185" s="2146"/>
      <c r="EM185" s="2146"/>
      <c r="EN185" s="2146"/>
      <c r="EO185" s="2146"/>
      <c r="EP185" s="2146"/>
      <c r="EQ185" s="2146"/>
      <c r="ER185" s="2146"/>
      <c r="ES185" s="2146"/>
      <c r="ET185" s="2146"/>
      <c r="EU185" s="2146"/>
      <c r="EV185" s="2146"/>
      <c r="EW185" s="2146"/>
      <c r="EX185" s="2146"/>
      <c r="EY185" s="2146"/>
      <c r="EZ185" s="2146"/>
      <c r="FA185" s="2146"/>
      <c r="FB185" s="2146"/>
      <c r="FC185" s="2146"/>
      <c r="FD185" s="2146"/>
      <c r="FE185" s="2146"/>
      <c r="FF185" s="2146"/>
      <c r="FG185" s="2146"/>
      <c r="FH185" s="2146"/>
      <c r="FI185" s="2146"/>
      <c r="FJ185" s="2146"/>
      <c r="FK185" s="2146"/>
      <c r="FL185" s="2146"/>
      <c r="FM185" s="2146"/>
      <c r="FN185" s="2146"/>
      <c r="FO185" s="2146"/>
      <c r="FP185" s="2146"/>
      <c r="FQ185" s="87"/>
      <c r="FR185" s="87"/>
      <c r="FS185" s="2148"/>
      <c r="FT185" s="2148"/>
      <c r="FU185" s="2148"/>
      <c r="FV185" s="2148"/>
      <c r="FW185" s="2148"/>
      <c r="FX185" s="2148"/>
      <c r="FY185" s="2148"/>
      <c r="FZ185" s="87"/>
      <c r="GA185" s="87"/>
      <c r="GC185" s="1853"/>
      <c r="GD185" s="1853"/>
      <c r="GE185" s="1853"/>
      <c r="GG185" s="1853"/>
      <c r="GH185" s="1853"/>
      <c r="GI185" s="1853"/>
    </row>
    <row r="186" spans="1:191" ht="9" customHeight="1">
      <c r="A186" s="87"/>
      <c r="B186" s="313"/>
      <c r="C186" s="2113"/>
      <c r="D186" s="2113"/>
      <c r="E186" s="2113"/>
      <c r="F186" s="2113"/>
      <c r="G186" s="2113"/>
      <c r="H186" s="2113"/>
      <c r="I186" s="2113"/>
      <c r="J186" s="2113"/>
      <c r="K186" s="2113"/>
      <c r="L186" s="2113"/>
      <c r="M186" s="2113"/>
      <c r="N186" s="2113"/>
      <c r="O186" s="2113"/>
      <c r="P186" s="2113"/>
      <c r="Q186" s="2113"/>
      <c r="R186" s="2113"/>
      <c r="S186" s="2113"/>
      <c r="T186" s="2113"/>
      <c r="U186" s="2113"/>
      <c r="V186" s="2113"/>
      <c r="W186" s="2113"/>
      <c r="X186" s="2113"/>
      <c r="Y186" s="2113"/>
      <c r="Z186" s="2113"/>
      <c r="AA186" s="2113"/>
      <c r="AB186" s="2113"/>
      <c r="AC186" s="2113"/>
      <c r="AD186" s="2113"/>
      <c r="AE186" s="2113"/>
      <c r="AF186" s="2113"/>
      <c r="AG186" s="2113"/>
      <c r="AH186" s="2113"/>
      <c r="AI186" s="2113"/>
      <c r="AJ186" s="2113"/>
      <c r="AK186" s="2113"/>
      <c r="AL186" s="2113"/>
      <c r="AM186" s="2113"/>
      <c r="AN186" s="2113"/>
      <c r="AO186" s="2113"/>
      <c r="AP186" s="2113"/>
      <c r="AQ186" s="2113"/>
      <c r="AR186" s="2113"/>
      <c r="AS186" s="2113"/>
      <c r="AT186" s="2113"/>
      <c r="AU186" s="2113"/>
      <c r="AV186" s="2113"/>
      <c r="AW186" s="2115"/>
      <c r="AX186" s="2115"/>
      <c r="AY186" s="2115"/>
      <c r="AZ186" s="2115"/>
      <c r="BA186" s="2115"/>
      <c r="BB186" s="2115"/>
      <c r="BC186" s="2115"/>
      <c r="BD186" s="2115"/>
      <c r="BE186" s="2115"/>
      <c r="BF186" s="444"/>
      <c r="BG186" s="444"/>
      <c r="BH186" s="105"/>
      <c r="BI186" s="105"/>
      <c r="BJ186" s="105"/>
      <c r="BK186" s="105"/>
      <c r="BL186" s="105"/>
      <c r="BM186" s="105"/>
      <c r="BN186" s="105"/>
      <c r="BO186" s="2138"/>
      <c r="BP186" s="2138"/>
      <c r="BQ186" s="2138"/>
      <c r="BR186" s="2138"/>
      <c r="BS186" s="2138"/>
      <c r="BT186" s="2138"/>
      <c r="BU186" s="2138"/>
      <c r="BV186" s="2138"/>
      <c r="BW186" s="2139"/>
      <c r="BX186" s="105"/>
      <c r="BY186" s="105"/>
      <c r="BZ186" s="105"/>
      <c r="CA186" s="87"/>
      <c r="CB186" s="458"/>
      <c r="CC186" s="458"/>
      <c r="CD186" s="458"/>
      <c r="CE186" s="458"/>
      <c r="CF186" s="458"/>
      <c r="CG186" s="458"/>
      <c r="CH186" s="458"/>
      <c r="CI186" s="458"/>
      <c r="CJ186" s="458"/>
      <c r="CK186" s="458"/>
      <c r="CL186" s="458"/>
      <c r="CM186" s="458"/>
      <c r="CN186" s="458"/>
      <c r="CO186" s="458"/>
      <c r="CP186" s="458"/>
      <c r="CQ186" s="458"/>
      <c r="CR186" s="458"/>
      <c r="CS186" s="458"/>
      <c r="CT186" s="458"/>
      <c r="CU186" s="458"/>
      <c r="CV186" s="458"/>
      <c r="CW186" s="458"/>
      <c r="CX186" s="458"/>
      <c r="CY186" s="458"/>
      <c r="CZ186" s="458"/>
      <c r="DA186" s="458"/>
      <c r="DB186" s="458"/>
      <c r="DC186" s="458"/>
      <c r="DD186" s="458"/>
      <c r="DE186" s="419"/>
      <c r="DF186" s="419"/>
      <c r="DG186" s="419"/>
      <c r="DH186" s="419"/>
      <c r="DI186" s="419"/>
      <c r="DJ186" s="419"/>
      <c r="DK186" s="368"/>
      <c r="DL186" s="459"/>
      <c r="DM186" s="459"/>
      <c r="DN186" s="459"/>
      <c r="DO186" s="459"/>
      <c r="DP186" s="459"/>
      <c r="DQ186" s="87"/>
      <c r="DR186" s="87"/>
      <c r="DS186" s="384"/>
      <c r="DT186" s="384"/>
      <c r="DU186" s="384"/>
      <c r="DV186" s="384"/>
      <c r="DW186" s="384"/>
      <c r="DX186" s="384"/>
      <c r="DY186" s="384"/>
      <c r="DZ186" s="87"/>
      <c r="EA186" s="87"/>
      <c r="EB186" s="368"/>
      <c r="EC186" s="459"/>
      <c r="ED186" s="459"/>
      <c r="EE186" s="459"/>
      <c r="EF186" s="459"/>
      <c r="EG186" s="459"/>
      <c r="EH186" s="460"/>
      <c r="EI186" s="460"/>
      <c r="EJ186" s="460"/>
      <c r="EK186" s="460"/>
      <c r="EL186" s="460"/>
      <c r="EM186" s="460"/>
      <c r="EN186" s="460"/>
      <c r="EO186" s="460"/>
      <c r="EP186" s="460"/>
      <c r="EQ186" s="460"/>
      <c r="ER186" s="460"/>
      <c r="ES186" s="460"/>
      <c r="ET186" s="460"/>
      <c r="EU186" s="460"/>
      <c r="EV186" s="460"/>
      <c r="EW186" s="460"/>
      <c r="EX186" s="460"/>
      <c r="EY186" s="460"/>
      <c r="EZ186" s="460"/>
      <c r="FA186" s="460"/>
      <c r="FB186" s="460"/>
      <c r="FC186" s="460"/>
      <c r="FD186" s="460"/>
      <c r="FE186" s="460"/>
      <c r="FF186" s="460"/>
      <c r="FG186" s="460"/>
      <c r="FH186" s="460"/>
      <c r="FI186" s="460"/>
      <c r="FJ186" s="460"/>
      <c r="FK186" s="419"/>
      <c r="FL186" s="419"/>
      <c r="FM186" s="419"/>
      <c r="FN186" s="419"/>
      <c r="FO186" s="419"/>
      <c r="FP186" s="419"/>
      <c r="FQ186" s="384"/>
      <c r="FR186" s="384"/>
      <c r="FS186" s="384"/>
      <c r="FT186" s="384"/>
      <c r="FU186" s="384"/>
      <c r="FV186" s="384"/>
      <c r="FW186" s="384"/>
      <c r="FX186" s="384"/>
      <c r="FY186" s="384"/>
      <c r="FZ186" s="87"/>
      <c r="GA186" s="87"/>
      <c r="GC186" s="714"/>
      <c r="GD186" s="714"/>
      <c r="GE186" s="714"/>
      <c r="GG186" s="714"/>
      <c r="GH186" s="714"/>
      <c r="GI186" s="714"/>
    </row>
    <row r="187" spans="1:191" ht="9" customHeight="1" thickBot="1">
      <c r="A187" s="87"/>
      <c r="B187" s="313"/>
      <c r="C187" s="2114"/>
      <c r="D187" s="2114"/>
      <c r="E187" s="2114"/>
      <c r="F187" s="2114"/>
      <c r="G187" s="2114"/>
      <c r="H187" s="2114"/>
      <c r="I187" s="2114"/>
      <c r="J187" s="2114"/>
      <c r="K187" s="2114"/>
      <c r="L187" s="2114"/>
      <c r="M187" s="2114"/>
      <c r="N187" s="2114"/>
      <c r="O187" s="2114"/>
      <c r="P187" s="2114"/>
      <c r="Q187" s="2114"/>
      <c r="R187" s="2114"/>
      <c r="S187" s="2114"/>
      <c r="T187" s="2114"/>
      <c r="U187" s="2114"/>
      <c r="V187" s="2114"/>
      <c r="W187" s="2114"/>
      <c r="X187" s="2114"/>
      <c r="Y187" s="2114"/>
      <c r="Z187" s="2114"/>
      <c r="AA187" s="2114"/>
      <c r="AB187" s="2114"/>
      <c r="AC187" s="2114"/>
      <c r="AD187" s="2114"/>
      <c r="AE187" s="2114"/>
      <c r="AF187" s="2114"/>
      <c r="AG187" s="2114"/>
      <c r="AH187" s="2114"/>
      <c r="AI187" s="2114"/>
      <c r="AJ187" s="2114"/>
      <c r="AK187" s="2114"/>
      <c r="AL187" s="2114"/>
      <c r="AM187" s="2114"/>
      <c r="AN187" s="2114"/>
      <c r="AO187" s="2114"/>
      <c r="AP187" s="2114"/>
      <c r="AQ187" s="2114"/>
      <c r="AR187" s="2114"/>
      <c r="AS187" s="2114"/>
      <c r="AT187" s="2114"/>
      <c r="AU187" s="2114"/>
      <c r="AV187" s="2114"/>
      <c r="AW187" s="2116"/>
      <c r="AX187" s="2116"/>
      <c r="AY187" s="2116"/>
      <c r="AZ187" s="2116"/>
      <c r="BA187" s="2116"/>
      <c r="BB187" s="2116"/>
      <c r="BC187" s="2116"/>
      <c r="BD187" s="2116"/>
      <c r="BE187" s="2116"/>
      <c r="BF187" s="445"/>
      <c r="BG187" s="445"/>
      <c r="BH187" s="131"/>
      <c r="BI187" s="131"/>
      <c r="BJ187" s="131"/>
      <c r="BK187" s="131"/>
      <c r="BL187" s="131"/>
      <c r="BM187" s="131"/>
      <c r="BN187" s="131"/>
      <c r="BO187" s="2138"/>
      <c r="BP187" s="2138"/>
      <c r="BQ187" s="2138"/>
      <c r="BR187" s="2138"/>
      <c r="BS187" s="2138"/>
      <c r="BT187" s="2138"/>
      <c r="BU187" s="2138"/>
      <c r="BV187" s="2138"/>
      <c r="BW187" s="2139"/>
      <c r="BX187" s="131"/>
      <c r="BY187" s="131"/>
      <c r="BZ187" s="131"/>
      <c r="CA187" s="87"/>
      <c r="CB187" s="2145" t="str">
        <f>IF(Race="","",IF(NOT(ISERROR(GD187)),MID(FeatsTakenList,GD183+1,GD187-GD183-1),""))</f>
        <v/>
      </c>
      <c r="CC187" s="2145"/>
      <c r="CD187" s="2145"/>
      <c r="CE187" s="2145"/>
      <c r="CF187" s="2145"/>
      <c r="CG187" s="2145"/>
      <c r="CH187" s="2145"/>
      <c r="CI187" s="2145"/>
      <c r="CJ187" s="2145"/>
      <c r="CK187" s="2145"/>
      <c r="CL187" s="2145"/>
      <c r="CM187" s="2145"/>
      <c r="CN187" s="2145"/>
      <c r="CO187" s="2145"/>
      <c r="CP187" s="2145"/>
      <c r="CQ187" s="2145"/>
      <c r="CR187" s="2145"/>
      <c r="CS187" s="2145"/>
      <c r="CT187" s="2145"/>
      <c r="CU187" s="2145"/>
      <c r="CV187" s="2145"/>
      <c r="CW187" s="2145"/>
      <c r="CX187" s="2145"/>
      <c r="CY187" s="2145"/>
      <c r="CZ187" s="2145"/>
      <c r="DA187" s="2145"/>
      <c r="DB187" s="2145"/>
      <c r="DC187" s="2145"/>
      <c r="DD187" s="2145"/>
      <c r="DE187" s="2145"/>
      <c r="DF187" s="2145"/>
      <c r="DG187" s="2145"/>
      <c r="DH187" s="2145"/>
      <c r="DI187" s="2145"/>
      <c r="DJ187" s="2145"/>
      <c r="DK187" s="2145"/>
      <c r="DL187" s="2145"/>
      <c r="DM187" s="2145"/>
      <c r="DN187" s="2145"/>
      <c r="DO187" s="2145"/>
      <c r="DP187" s="2145"/>
      <c r="DQ187" s="87"/>
      <c r="DR187" s="87"/>
      <c r="DS187" s="2147" t="str">
        <f>IF(Race="","",IF(NOT(ISERROR(GE187)),MID(FeatsTakenListPageRef,GE183+1,GE187-GE183-1),""))</f>
        <v/>
      </c>
      <c r="DT187" s="2147"/>
      <c r="DU187" s="2147"/>
      <c r="DV187" s="2147"/>
      <c r="DW187" s="2147"/>
      <c r="DX187" s="2147"/>
      <c r="DY187" s="2147"/>
      <c r="DZ187" s="87"/>
      <c r="EA187" s="87"/>
      <c r="EB187" s="2145" t="str">
        <f>IF(Race="","",IF(NOT(ISERROR(GH187)),MID(FeatsTakenList,GH183+1,GH187-GH183-1),""))</f>
        <v/>
      </c>
      <c r="EC187" s="2145"/>
      <c r="ED187" s="2145"/>
      <c r="EE187" s="2145"/>
      <c r="EF187" s="2145"/>
      <c r="EG187" s="2145"/>
      <c r="EH187" s="2145"/>
      <c r="EI187" s="2145"/>
      <c r="EJ187" s="2145"/>
      <c r="EK187" s="2145"/>
      <c r="EL187" s="2145"/>
      <c r="EM187" s="2145"/>
      <c r="EN187" s="2145"/>
      <c r="EO187" s="2145"/>
      <c r="EP187" s="2145"/>
      <c r="EQ187" s="2145"/>
      <c r="ER187" s="2145"/>
      <c r="ES187" s="2145"/>
      <c r="ET187" s="2145"/>
      <c r="EU187" s="2145"/>
      <c r="EV187" s="2145"/>
      <c r="EW187" s="2145"/>
      <c r="EX187" s="2145"/>
      <c r="EY187" s="2145"/>
      <c r="EZ187" s="2145"/>
      <c r="FA187" s="2145"/>
      <c r="FB187" s="2145"/>
      <c r="FC187" s="2145"/>
      <c r="FD187" s="2145"/>
      <c r="FE187" s="2145"/>
      <c r="FF187" s="2145"/>
      <c r="FG187" s="2145"/>
      <c r="FH187" s="2145"/>
      <c r="FI187" s="2145"/>
      <c r="FJ187" s="2145"/>
      <c r="FK187" s="2145"/>
      <c r="FL187" s="2145"/>
      <c r="FM187" s="2145"/>
      <c r="FN187" s="2145"/>
      <c r="FO187" s="2145"/>
      <c r="FP187" s="2145"/>
      <c r="FQ187" s="87"/>
      <c r="FR187" s="87"/>
      <c r="FS187" s="2147" t="str">
        <f>IF(Race="","",IF(NOT(ISERROR(GI187)),MID(FeatsTakenListPageRef,GI183+1,GI187-GI183-1),""))</f>
        <v/>
      </c>
      <c r="FT187" s="2147"/>
      <c r="FU187" s="2147"/>
      <c r="FV187" s="2147"/>
      <c r="FW187" s="2147"/>
      <c r="FX187" s="2147"/>
      <c r="FY187" s="2147"/>
      <c r="FZ187" s="87"/>
      <c r="GA187" s="87"/>
      <c r="GC187" s="1853">
        <f>GC183+1</f>
        <v>5</v>
      </c>
      <c r="GD187" s="1853" t="e">
        <f ca="1">FIND(";",FeatsTakenList,GD183+1)</f>
        <v>#VALUE!</v>
      </c>
      <c r="GE187" s="1853" t="e">
        <f ca="1">FIND(";",FeatsTakenListPageRef,GE183+1)</f>
        <v>#VALUE!</v>
      </c>
      <c r="GG187" s="1853">
        <f>GG183+1</f>
        <v>19</v>
      </c>
      <c r="GH187" s="1853" t="e">
        <f ca="1">FIND(";",FeatsTakenList,GH183+1)</f>
        <v>#VALUE!</v>
      </c>
      <c r="GI187" s="1853" t="e">
        <f ca="1">FIND(";",FeatsTakenListPageRef,GI183+1)</f>
        <v>#VALUE!</v>
      </c>
    </row>
    <row r="188" spans="1:191" ht="9" customHeight="1">
      <c r="A188" s="87"/>
      <c r="B188" s="313"/>
      <c r="BF188" s="445"/>
      <c r="BG188" s="464"/>
      <c r="BH188" s="131"/>
      <c r="BI188" s="131"/>
      <c r="BJ188" s="131"/>
      <c r="BK188" s="131"/>
      <c r="BL188" s="131"/>
      <c r="BM188" s="131"/>
      <c r="BN188" s="131"/>
      <c r="BO188" s="2138"/>
      <c r="BP188" s="2138"/>
      <c r="BQ188" s="2138"/>
      <c r="BR188" s="2138"/>
      <c r="BS188" s="2138"/>
      <c r="BT188" s="2138"/>
      <c r="BU188" s="2138"/>
      <c r="BV188" s="2138"/>
      <c r="BW188" s="2139"/>
      <c r="BX188" s="131"/>
      <c r="BY188" s="131"/>
      <c r="BZ188" s="131"/>
      <c r="CA188" s="87"/>
      <c r="CB188" s="2145"/>
      <c r="CC188" s="2145"/>
      <c r="CD188" s="2145"/>
      <c r="CE188" s="2145"/>
      <c r="CF188" s="2145"/>
      <c r="CG188" s="2145"/>
      <c r="CH188" s="2145"/>
      <c r="CI188" s="2145"/>
      <c r="CJ188" s="2145"/>
      <c r="CK188" s="2145"/>
      <c r="CL188" s="2145"/>
      <c r="CM188" s="2145"/>
      <c r="CN188" s="2145"/>
      <c r="CO188" s="2145"/>
      <c r="CP188" s="2145"/>
      <c r="CQ188" s="2145"/>
      <c r="CR188" s="2145"/>
      <c r="CS188" s="2145"/>
      <c r="CT188" s="2145"/>
      <c r="CU188" s="2145"/>
      <c r="CV188" s="2145"/>
      <c r="CW188" s="2145"/>
      <c r="CX188" s="2145"/>
      <c r="CY188" s="2145"/>
      <c r="CZ188" s="2145"/>
      <c r="DA188" s="2145"/>
      <c r="DB188" s="2145"/>
      <c r="DC188" s="2145"/>
      <c r="DD188" s="2145"/>
      <c r="DE188" s="2145"/>
      <c r="DF188" s="2145"/>
      <c r="DG188" s="2145"/>
      <c r="DH188" s="2145"/>
      <c r="DI188" s="2145"/>
      <c r="DJ188" s="2145"/>
      <c r="DK188" s="2145"/>
      <c r="DL188" s="2145"/>
      <c r="DM188" s="2145"/>
      <c r="DN188" s="2145"/>
      <c r="DO188" s="2145"/>
      <c r="DP188" s="2145"/>
      <c r="DQ188" s="87"/>
      <c r="DR188" s="87"/>
      <c r="DS188" s="2147"/>
      <c r="DT188" s="2147"/>
      <c r="DU188" s="2147"/>
      <c r="DV188" s="2147"/>
      <c r="DW188" s="2147"/>
      <c r="DX188" s="2147"/>
      <c r="DY188" s="2147"/>
      <c r="DZ188" s="87"/>
      <c r="EA188" s="87"/>
      <c r="EB188" s="2145"/>
      <c r="EC188" s="2145"/>
      <c r="ED188" s="2145"/>
      <c r="EE188" s="2145"/>
      <c r="EF188" s="2145"/>
      <c r="EG188" s="2145"/>
      <c r="EH188" s="2145"/>
      <c r="EI188" s="2145"/>
      <c r="EJ188" s="2145"/>
      <c r="EK188" s="2145"/>
      <c r="EL188" s="2145"/>
      <c r="EM188" s="2145"/>
      <c r="EN188" s="2145"/>
      <c r="EO188" s="2145"/>
      <c r="EP188" s="2145"/>
      <c r="EQ188" s="2145"/>
      <c r="ER188" s="2145"/>
      <c r="ES188" s="2145"/>
      <c r="ET188" s="2145"/>
      <c r="EU188" s="2145"/>
      <c r="EV188" s="2145"/>
      <c r="EW188" s="2145"/>
      <c r="EX188" s="2145"/>
      <c r="EY188" s="2145"/>
      <c r="EZ188" s="2145"/>
      <c r="FA188" s="2145"/>
      <c r="FB188" s="2145"/>
      <c r="FC188" s="2145"/>
      <c r="FD188" s="2145"/>
      <c r="FE188" s="2145"/>
      <c r="FF188" s="2145"/>
      <c r="FG188" s="2145"/>
      <c r="FH188" s="2145"/>
      <c r="FI188" s="2145"/>
      <c r="FJ188" s="2145"/>
      <c r="FK188" s="2145"/>
      <c r="FL188" s="2145"/>
      <c r="FM188" s="2145"/>
      <c r="FN188" s="2145"/>
      <c r="FO188" s="2145"/>
      <c r="FP188" s="2145"/>
      <c r="FQ188" s="87"/>
      <c r="FR188" s="87"/>
      <c r="FS188" s="2147"/>
      <c r="FT188" s="2147"/>
      <c r="FU188" s="2147"/>
      <c r="FV188" s="2147"/>
      <c r="FW188" s="2147"/>
      <c r="FX188" s="2147"/>
      <c r="FY188" s="2147"/>
      <c r="FZ188" s="87"/>
      <c r="GA188" s="87"/>
      <c r="GC188" s="1853"/>
      <c r="GD188" s="1853"/>
      <c r="GE188" s="1853"/>
      <c r="GG188" s="1853"/>
      <c r="GH188" s="1853"/>
      <c r="GI188" s="1853"/>
    </row>
    <row r="189" spans="1:191" ht="9" customHeight="1" thickBot="1">
      <c r="A189" s="87"/>
      <c r="B189" s="313"/>
      <c r="BF189" s="445"/>
      <c r="BG189" s="464"/>
      <c r="BH189" s="131"/>
      <c r="BI189" s="131"/>
      <c r="BJ189" s="131"/>
      <c r="BK189" s="131"/>
      <c r="BL189" s="131"/>
      <c r="BM189" s="131"/>
      <c r="BN189" s="131"/>
      <c r="BO189" s="2138"/>
      <c r="BP189" s="2138"/>
      <c r="BQ189" s="2138"/>
      <c r="BR189" s="2138"/>
      <c r="BS189" s="2138"/>
      <c r="BT189" s="2138"/>
      <c r="BU189" s="2138"/>
      <c r="BV189" s="2138"/>
      <c r="BW189" s="2139"/>
      <c r="BX189" s="131"/>
      <c r="BY189" s="131"/>
      <c r="BZ189" s="131"/>
      <c r="CA189" s="87"/>
      <c r="CB189" s="2146"/>
      <c r="CC189" s="2146"/>
      <c r="CD189" s="2146"/>
      <c r="CE189" s="2146"/>
      <c r="CF189" s="2146"/>
      <c r="CG189" s="2146"/>
      <c r="CH189" s="2146"/>
      <c r="CI189" s="2146"/>
      <c r="CJ189" s="2146"/>
      <c r="CK189" s="2146"/>
      <c r="CL189" s="2146"/>
      <c r="CM189" s="2146"/>
      <c r="CN189" s="2146"/>
      <c r="CO189" s="2146"/>
      <c r="CP189" s="2146"/>
      <c r="CQ189" s="2146"/>
      <c r="CR189" s="2146"/>
      <c r="CS189" s="2146"/>
      <c r="CT189" s="2146"/>
      <c r="CU189" s="2146"/>
      <c r="CV189" s="2146"/>
      <c r="CW189" s="2146"/>
      <c r="CX189" s="2146"/>
      <c r="CY189" s="2146"/>
      <c r="CZ189" s="2146"/>
      <c r="DA189" s="2146"/>
      <c r="DB189" s="2146"/>
      <c r="DC189" s="2146"/>
      <c r="DD189" s="2146"/>
      <c r="DE189" s="2146"/>
      <c r="DF189" s="2146"/>
      <c r="DG189" s="2146"/>
      <c r="DH189" s="2146"/>
      <c r="DI189" s="2146"/>
      <c r="DJ189" s="2146"/>
      <c r="DK189" s="2146"/>
      <c r="DL189" s="2146"/>
      <c r="DM189" s="2146"/>
      <c r="DN189" s="2146"/>
      <c r="DO189" s="2146"/>
      <c r="DP189" s="2146"/>
      <c r="DQ189" s="87"/>
      <c r="DR189" s="87"/>
      <c r="DS189" s="2148"/>
      <c r="DT189" s="2148"/>
      <c r="DU189" s="2148"/>
      <c r="DV189" s="2148"/>
      <c r="DW189" s="2148"/>
      <c r="DX189" s="2148"/>
      <c r="DY189" s="2148"/>
      <c r="DZ189" s="87"/>
      <c r="EA189" s="87"/>
      <c r="EB189" s="2146"/>
      <c r="EC189" s="2146"/>
      <c r="ED189" s="2146"/>
      <c r="EE189" s="2146"/>
      <c r="EF189" s="2146"/>
      <c r="EG189" s="2146"/>
      <c r="EH189" s="2146"/>
      <c r="EI189" s="2146"/>
      <c r="EJ189" s="2146"/>
      <c r="EK189" s="2146"/>
      <c r="EL189" s="2146"/>
      <c r="EM189" s="2146"/>
      <c r="EN189" s="2146"/>
      <c r="EO189" s="2146"/>
      <c r="EP189" s="2146"/>
      <c r="EQ189" s="2146"/>
      <c r="ER189" s="2146"/>
      <c r="ES189" s="2146"/>
      <c r="ET189" s="2146"/>
      <c r="EU189" s="2146"/>
      <c r="EV189" s="2146"/>
      <c r="EW189" s="2146"/>
      <c r="EX189" s="2146"/>
      <c r="EY189" s="2146"/>
      <c r="EZ189" s="2146"/>
      <c r="FA189" s="2146"/>
      <c r="FB189" s="2146"/>
      <c r="FC189" s="2146"/>
      <c r="FD189" s="2146"/>
      <c r="FE189" s="2146"/>
      <c r="FF189" s="2146"/>
      <c r="FG189" s="2146"/>
      <c r="FH189" s="2146"/>
      <c r="FI189" s="2146"/>
      <c r="FJ189" s="2146"/>
      <c r="FK189" s="2146"/>
      <c r="FL189" s="2146"/>
      <c r="FM189" s="2146"/>
      <c r="FN189" s="2146"/>
      <c r="FO189" s="2146"/>
      <c r="FP189" s="2146"/>
      <c r="FQ189" s="87"/>
      <c r="FR189" s="87"/>
      <c r="FS189" s="2148"/>
      <c r="FT189" s="2148"/>
      <c r="FU189" s="2148"/>
      <c r="FV189" s="2148"/>
      <c r="FW189" s="2148"/>
      <c r="FX189" s="2148"/>
      <c r="FY189" s="2148"/>
      <c r="FZ189" s="87"/>
      <c r="GA189" s="87"/>
      <c r="GC189" s="1853"/>
      <c r="GD189" s="1853"/>
      <c r="GE189" s="1853"/>
      <c r="GG189" s="1853"/>
      <c r="GH189" s="1853"/>
      <c r="GI189" s="1853"/>
    </row>
    <row r="190" spans="1:191" ht="9" customHeight="1" thickBot="1">
      <c r="A190" s="87"/>
      <c r="B190" s="465"/>
      <c r="C190" s="404"/>
      <c r="D190" s="404"/>
      <c r="E190" s="466"/>
      <c r="F190" s="466"/>
      <c r="G190" s="466"/>
      <c r="H190" s="466"/>
      <c r="I190" s="466"/>
      <c r="J190" s="466"/>
      <c r="K190" s="404"/>
      <c r="L190" s="404"/>
      <c r="M190" s="404"/>
      <c r="N190" s="404"/>
      <c r="O190" s="404"/>
      <c r="P190" s="404"/>
      <c r="Q190" s="404"/>
      <c r="R190" s="404"/>
      <c r="S190" s="404"/>
      <c r="T190" s="404"/>
      <c r="U190" s="404"/>
      <c r="V190" s="404"/>
      <c r="W190" s="404"/>
      <c r="X190" s="404"/>
      <c r="Y190" s="404"/>
      <c r="Z190" s="404"/>
      <c r="AA190" s="404"/>
      <c r="AB190" s="404"/>
      <c r="AC190" s="404"/>
      <c r="AD190" s="404"/>
      <c r="AE190" s="404"/>
      <c r="AF190" s="404"/>
      <c r="AG190" s="404"/>
      <c r="AH190" s="404"/>
      <c r="AI190" s="404"/>
      <c r="AJ190" s="404"/>
      <c r="AK190" s="404"/>
      <c r="AL190" s="404"/>
      <c r="AM190" s="404"/>
      <c r="AN190" s="404"/>
      <c r="AO190" s="404"/>
      <c r="AP190" s="404"/>
      <c r="AQ190" s="404"/>
      <c r="AR190" s="404"/>
      <c r="AS190" s="404"/>
      <c r="AT190" s="404"/>
      <c r="AU190" s="404"/>
      <c r="AV190" s="404"/>
      <c r="AW190" s="404"/>
      <c r="AX190" s="404"/>
      <c r="AY190" s="404"/>
      <c r="AZ190" s="404"/>
      <c r="BA190" s="404"/>
      <c r="BB190" s="404"/>
      <c r="BC190" s="404"/>
      <c r="BD190" s="404"/>
      <c r="BE190" s="404"/>
      <c r="BF190" s="467"/>
      <c r="BG190" s="445"/>
      <c r="BH190" s="131"/>
      <c r="BI190" s="131"/>
      <c r="BJ190" s="131"/>
      <c r="BK190" s="131"/>
      <c r="BL190" s="131"/>
      <c r="BM190" s="131"/>
      <c r="BN190" s="131"/>
      <c r="BO190" s="2138"/>
      <c r="BP190" s="2138"/>
      <c r="BQ190" s="2138"/>
      <c r="BR190" s="2138"/>
      <c r="BS190" s="2138"/>
      <c r="BT190" s="2138"/>
      <c r="BU190" s="2138"/>
      <c r="BV190" s="2138"/>
      <c r="BW190" s="2139"/>
      <c r="BX190" s="131"/>
      <c r="BY190" s="131"/>
      <c r="BZ190" s="131"/>
      <c r="CA190" s="87"/>
      <c r="CB190" s="460"/>
      <c r="CC190" s="460"/>
      <c r="CD190" s="460"/>
      <c r="CE190" s="460"/>
      <c r="CF190" s="460"/>
      <c r="CG190" s="460"/>
      <c r="CH190" s="460"/>
      <c r="CI190" s="460"/>
      <c r="CJ190" s="460"/>
      <c r="CK190" s="460"/>
      <c r="CL190" s="460"/>
      <c r="CM190" s="460"/>
      <c r="CN190" s="460"/>
      <c r="CO190" s="460"/>
      <c r="CP190" s="460"/>
      <c r="CQ190" s="460"/>
      <c r="CR190" s="460"/>
      <c r="CS190" s="460"/>
      <c r="CT190" s="460"/>
      <c r="CU190" s="460"/>
      <c r="CV190" s="460"/>
      <c r="CW190" s="460"/>
      <c r="CX190" s="460"/>
      <c r="CY190" s="460"/>
      <c r="CZ190" s="460"/>
      <c r="DA190" s="460"/>
      <c r="DB190" s="460"/>
      <c r="DC190" s="460"/>
      <c r="DD190" s="460"/>
      <c r="DE190" s="419"/>
      <c r="DF190" s="419"/>
      <c r="DG190" s="419"/>
      <c r="DH190" s="419"/>
      <c r="DI190" s="419"/>
      <c r="DJ190" s="419"/>
      <c r="DK190" s="368"/>
      <c r="DL190" s="459"/>
      <c r="DM190" s="459"/>
      <c r="DN190" s="459"/>
      <c r="DO190" s="459"/>
      <c r="DP190" s="459"/>
      <c r="DQ190" s="87"/>
      <c r="DR190" s="87"/>
      <c r="DS190" s="384"/>
      <c r="DT190" s="384"/>
      <c r="DU190" s="384"/>
      <c r="DV190" s="384"/>
      <c r="DW190" s="384"/>
      <c r="DX190" s="384"/>
      <c r="DY190" s="384"/>
      <c r="DZ190" s="87"/>
      <c r="EA190" s="87"/>
      <c r="EB190" s="368"/>
      <c r="EC190" s="459"/>
      <c r="ED190" s="459"/>
      <c r="EE190" s="459"/>
      <c r="EF190" s="459"/>
      <c r="EG190" s="459"/>
      <c r="EH190" s="460"/>
      <c r="EI190" s="460"/>
      <c r="EJ190" s="460"/>
      <c r="EK190" s="460"/>
      <c r="EL190" s="460"/>
      <c r="EM190" s="460"/>
      <c r="EN190" s="460"/>
      <c r="EO190" s="460"/>
      <c r="EP190" s="460"/>
      <c r="EQ190" s="460"/>
      <c r="ER190" s="460"/>
      <c r="ES190" s="460"/>
      <c r="ET190" s="460"/>
      <c r="EU190" s="460"/>
      <c r="EV190" s="460"/>
      <c r="EW190" s="460"/>
      <c r="EX190" s="460"/>
      <c r="EY190" s="460"/>
      <c r="EZ190" s="460"/>
      <c r="FA190" s="460"/>
      <c r="FB190" s="460"/>
      <c r="FC190" s="460"/>
      <c r="FD190" s="460"/>
      <c r="FE190" s="460"/>
      <c r="FF190" s="460"/>
      <c r="FG190" s="460"/>
      <c r="FH190" s="460"/>
      <c r="FI190" s="460"/>
      <c r="FJ190" s="460"/>
      <c r="FK190" s="419"/>
      <c r="FL190" s="419"/>
      <c r="FM190" s="419"/>
      <c r="FN190" s="419"/>
      <c r="FO190" s="419"/>
      <c r="FP190" s="419"/>
      <c r="FQ190" s="384"/>
      <c r="FR190" s="384"/>
      <c r="FS190" s="384"/>
      <c r="FT190" s="384"/>
      <c r="FU190" s="384"/>
      <c r="FV190" s="384"/>
      <c r="FW190" s="384"/>
      <c r="FX190" s="384"/>
      <c r="FY190" s="384"/>
      <c r="FZ190" s="87"/>
      <c r="GA190" s="87"/>
      <c r="GC190" s="714"/>
      <c r="GD190" s="714"/>
      <c r="GE190" s="714"/>
      <c r="GG190" s="714"/>
      <c r="GH190" s="714"/>
      <c r="GI190" s="714"/>
    </row>
    <row r="191" spans="1:191" ht="9" customHeight="1" thickTop="1" thickBot="1">
      <c r="A191" s="87"/>
      <c r="B191" s="151"/>
      <c r="C191" s="468"/>
      <c r="D191" s="469"/>
      <c r="E191" s="469"/>
      <c r="F191" s="469"/>
      <c r="G191" s="469"/>
      <c r="H191" s="469"/>
      <c r="I191" s="469"/>
      <c r="J191" s="469"/>
      <c r="K191" s="469"/>
      <c r="L191" s="469"/>
      <c r="M191" s="469"/>
      <c r="N191" s="469"/>
      <c r="O191" s="469"/>
      <c r="P191" s="469"/>
      <c r="Q191" s="469"/>
      <c r="R191" s="469"/>
      <c r="S191" s="469"/>
      <c r="T191" s="469"/>
      <c r="U191" s="469"/>
      <c r="V191" s="469"/>
      <c r="W191" s="469"/>
      <c r="X191" s="469"/>
      <c r="Y191" s="469"/>
      <c r="Z191" s="469"/>
      <c r="AA191" s="469"/>
      <c r="AB191" s="469"/>
      <c r="AC191" s="469"/>
      <c r="AD191" s="468"/>
      <c r="AE191" s="468"/>
      <c r="AF191" s="252"/>
      <c r="AG191" s="252"/>
      <c r="AH191" s="252"/>
      <c r="AI191" s="252"/>
      <c r="AJ191" s="468"/>
      <c r="AK191" s="468"/>
      <c r="AL191" s="469"/>
      <c r="AM191" s="469"/>
      <c r="AN191" s="469"/>
      <c r="AO191" s="469"/>
      <c r="AP191" s="469"/>
      <c r="AQ191" s="469"/>
      <c r="AR191" s="469"/>
      <c r="AS191" s="469"/>
      <c r="AT191" s="469"/>
      <c r="AU191" s="469"/>
      <c r="AV191" s="469"/>
      <c r="AW191" s="470"/>
      <c r="AX191" s="470"/>
      <c r="AY191" s="470"/>
      <c r="AZ191" s="470"/>
      <c r="BA191" s="470"/>
      <c r="BB191" s="470"/>
      <c r="BC191" s="470"/>
      <c r="BD191" s="470"/>
      <c r="BE191" s="471"/>
      <c r="BF191" s="472"/>
      <c r="BG191" s="444"/>
      <c r="BH191" s="105"/>
      <c r="BI191" s="105"/>
      <c r="BJ191" s="105"/>
      <c r="BK191" s="105"/>
      <c r="BL191" s="105"/>
      <c r="BM191" s="105"/>
      <c r="BN191" s="105"/>
      <c r="BO191" s="2138"/>
      <c r="BP191" s="2138"/>
      <c r="BQ191" s="2138"/>
      <c r="BR191" s="2138"/>
      <c r="BS191" s="2138"/>
      <c r="BT191" s="2138"/>
      <c r="BU191" s="2138"/>
      <c r="BV191" s="2138"/>
      <c r="BW191" s="2139"/>
      <c r="BX191" s="105"/>
      <c r="BY191" s="105"/>
      <c r="BZ191" s="105"/>
      <c r="CA191" s="87"/>
      <c r="CB191" s="2149" t="str">
        <f>IF(Race="","",IF(NOT(ISERROR(GD191)),MID(FeatsTakenList,GD187+1,GD191-GD187-1),""))</f>
        <v/>
      </c>
      <c r="CC191" s="2149"/>
      <c r="CD191" s="2149"/>
      <c r="CE191" s="2149"/>
      <c r="CF191" s="2149"/>
      <c r="CG191" s="2149"/>
      <c r="CH191" s="2149"/>
      <c r="CI191" s="2149"/>
      <c r="CJ191" s="2149"/>
      <c r="CK191" s="2149"/>
      <c r="CL191" s="2149"/>
      <c r="CM191" s="2149"/>
      <c r="CN191" s="2149"/>
      <c r="CO191" s="2149"/>
      <c r="CP191" s="2149"/>
      <c r="CQ191" s="2149"/>
      <c r="CR191" s="2149"/>
      <c r="CS191" s="2149"/>
      <c r="CT191" s="2149"/>
      <c r="CU191" s="2149"/>
      <c r="CV191" s="2149"/>
      <c r="CW191" s="2149"/>
      <c r="CX191" s="2149"/>
      <c r="CY191" s="2149"/>
      <c r="CZ191" s="2149"/>
      <c r="DA191" s="2149"/>
      <c r="DB191" s="2149"/>
      <c r="DC191" s="2149"/>
      <c r="DD191" s="2149"/>
      <c r="DE191" s="2149"/>
      <c r="DF191" s="2149"/>
      <c r="DG191" s="2149"/>
      <c r="DH191" s="2149"/>
      <c r="DI191" s="2149"/>
      <c r="DJ191" s="2149"/>
      <c r="DK191" s="2149"/>
      <c r="DL191" s="2149"/>
      <c r="DM191" s="2149"/>
      <c r="DN191" s="2149"/>
      <c r="DO191" s="2149"/>
      <c r="DP191" s="2149"/>
      <c r="DQ191" s="87"/>
      <c r="DR191" s="87"/>
      <c r="DS191" s="2147" t="str">
        <f>IF(Race="","",IF(NOT(ISERROR(GE191)),MID(FeatsTakenListPageRef,GE187+1,GE191-GE187-1),""))</f>
        <v/>
      </c>
      <c r="DT191" s="2147"/>
      <c r="DU191" s="2147"/>
      <c r="DV191" s="2147"/>
      <c r="DW191" s="2147"/>
      <c r="DX191" s="2147"/>
      <c r="DY191" s="2147"/>
      <c r="DZ191" s="87"/>
      <c r="EA191" s="87"/>
      <c r="EB191" s="2149" t="str">
        <f>IF(Race="","",IF(NOT(ISERROR(GH191)),MID(FeatsTakenList,GH187+1,GH191-GH187-1),""))</f>
        <v/>
      </c>
      <c r="EC191" s="2149"/>
      <c r="ED191" s="2149"/>
      <c r="EE191" s="2149"/>
      <c r="EF191" s="2149"/>
      <c r="EG191" s="2149"/>
      <c r="EH191" s="2149"/>
      <c r="EI191" s="2149"/>
      <c r="EJ191" s="2149"/>
      <c r="EK191" s="2149"/>
      <c r="EL191" s="2149"/>
      <c r="EM191" s="2149"/>
      <c r="EN191" s="2149"/>
      <c r="EO191" s="2149"/>
      <c r="EP191" s="2149"/>
      <c r="EQ191" s="2149"/>
      <c r="ER191" s="2149"/>
      <c r="ES191" s="2149"/>
      <c r="ET191" s="2149"/>
      <c r="EU191" s="2149"/>
      <c r="EV191" s="2149"/>
      <c r="EW191" s="2149"/>
      <c r="EX191" s="2149"/>
      <c r="EY191" s="2149"/>
      <c r="EZ191" s="2149"/>
      <c r="FA191" s="2149"/>
      <c r="FB191" s="2149"/>
      <c r="FC191" s="2149"/>
      <c r="FD191" s="2149"/>
      <c r="FE191" s="2149"/>
      <c r="FF191" s="2149"/>
      <c r="FG191" s="2149"/>
      <c r="FH191" s="2149"/>
      <c r="FI191" s="2149"/>
      <c r="FJ191" s="2149"/>
      <c r="FK191" s="2149"/>
      <c r="FL191" s="2149"/>
      <c r="FM191" s="2149"/>
      <c r="FN191" s="2149"/>
      <c r="FO191" s="2149"/>
      <c r="FP191" s="2149"/>
      <c r="FQ191" s="87"/>
      <c r="FR191" s="87"/>
      <c r="FS191" s="2147" t="str">
        <f>IF(Race="","",IF(NOT(ISERROR(GI191)),MID(FeatsTakenListPageRef,GI187+1,GI191-GI187-1),""))</f>
        <v/>
      </c>
      <c r="FT191" s="2147"/>
      <c r="FU191" s="2147"/>
      <c r="FV191" s="2147"/>
      <c r="FW191" s="2147"/>
      <c r="FX191" s="2147"/>
      <c r="FY191" s="2147"/>
      <c r="FZ191" s="87"/>
      <c r="GA191" s="87"/>
      <c r="GC191" s="1853">
        <f>GC187+1</f>
        <v>6</v>
      </c>
      <c r="GD191" s="1853" t="e">
        <f ca="1">FIND(";",FeatsTakenList,GD187+1)</f>
        <v>#VALUE!</v>
      </c>
      <c r="GE191" s="1853" t="e">
        <f ca="1">FIND(";",FeatsTakenListPageRef,GE187+1)</f>
        <v>#VALUE!</v>
      </c>
      <c r="GG191" s="1853">
        <f>GG187+1</f>
        <v>20</v>
      </c>
      <c r="GH191" s="1853" t="e">
        <f ca="1">FIND(";",FeatsTakenList,GH187+1)</f>
        <v>#VALUE!</v>
      </c>
      <c r="GI191" s="1853" t="e">
        <f ca="1">FIND(";",FeatsTakenListPageRef,GI187+1)</f>
        <v>#VALUE!</v>
      </c>
    </row>
    <row r="192" spans="1:191" ht="9" customHeight="1" thickTop="1">
      <c r="A192" s="170"/>
      <c r="B192" s="2151" t="s">
        <v>3643</v>
      </c>
      <c r="C192" s="2152"/>
      <c r="D192" s="2152"/>
      <c r="E192" s="2152"/>
      <c r="F192" s="2152"/>
      <c r="G192" s="2152"/>
      <c r="H192" s="2152"/>
      <c r="I192" s="2152"/>
      <c r="J192" s="473"/>
      <c r="K192" s="473"/>
      <c r="L192" s="252"/>
      <c r="M192" s="252"/>
      <c r="N192" s="252"/>
      <c r="O192" s="252"/>
      <c r="P192" s="252"/>
      <c r="Q192" s="252"/>
      <c r="R192" s="252"/>
      <c r="S192" s="252"/>
      <c r="T192" s="252"/>
      <c r="U192" s="252"/>
      <c r="V192" s="474"/>
      <c r="W192" s="474"/>
      <c r="X192" s="474"/>
      <c r="Y192" s="474"/>
      <c r="Z192" s="474"/>
      <c r="AA192" s="252"/>
      <c r="AB192" s="252"/>
      <c r="AC192" s="252"/>
      <c r="AD192" s="252"/>
      <c r="AE192" s="475"/>
      <c r="AF192" s="252"/>
      <c r="AG192" s="252"/>
      <c r="AH192" s="252"/>
      <c r="AI192" s="475"/>
      <c r="AJ192" s="252"/>
      <c r="AK192" s="252"/>
      <c r="AL192" s="252"/>
      <c r="AM192" s="252"/>
      <c r="AN192" s="252"/>
      <c r="AO192" s="252"/>
      <c r="AP192" s="252"/>
      <c r="AQ192" s="252"/>
      <c r="AR192" s="252"/>
      <c r="AS192" s="252"/>
      <c r="AT192" s="252"/>
      <c r="AU192" s="252"/>
      <c r="AV192" s="252"/>
      <c r="AW192" s="476"/>
      <c r="AX192" s="476"/>
      <c r="AY192" s="2152" t="s">
        <v>3644</v>
      </c>
      <c r="AZ192" s="2152"/>
      <c r="BA192" s="2152"/>
      <c r="BB192" s="2152"/>
      <c r="BC192" s="2152"/>
      <c r="BD192" s="2152"/>
      <c r="BE192" s="2152"/>
      <c r="BF192" s="2157"/>
      <c r="BG192" s="477"/>
      <c r="BH192" s="478"/>
      <c r="BI192" s="478"/>
      <c r="BJ192" s="478"/>
      <c r="BK192" s="105"/>
      <c r="BL192" s="105"/>
      <c r="BM192" s="105"/>
      <c r="BN192" s="105"/>
      <c r="BO192" s="2138"/>
      <c r="BP192" s="2138"/>
      <c r="BQ192" s="2138"/>
      <c r="BR192" s="2138"/>
      <c r="BS192" s="2138"/>
      <c r="BT192" s="2138"/>
      <c r="BU192" s="2138"/>
      <c r="BV192" s="2138"/>
      <c r="BW192" s="2139"/>
      <c r="BX192" s="105"/>
      <c r="BY192" s="105"/>
      <c r="BZ192" s="105"/>
      <c r="CA192" s="87"/>
      <c r="CB192" s="2149"/>
      <c r="CC192" s="2149"/>
      <c r="CD192" s="2149"/>
      <c r="CE192" s="2149"/>
      <c r="CF192" s="2149"/>
      <c r="CG192" s="2149"/>
      <c r="CH192" s="2149"/>
      <c r="CI192" s="2149"/>
      <c r="CJ192" s="2149"/>
      <c r="CK192" s="2149"/>
      <c r="CL192" s="2149"/>
      <c r="CM192" s="2149"/>
      <c r="CN192" s="2149"/>
      <c r="CO192" s="2149"/>
      <c r="CP192" s="2149"/>
      <c r="CQ192" s="2149"/>
      <c r="CR192" s="2149"/>
      <c r="CS192" s="2149"/>
      <c r="CT192" s="2149"/>
      <c r="CU192" s="2149"/>
      <c r="CV192" s="2149"/>
      <c r="CW192" s="2149"/>
      <c r="CX192" s="2149"/>
      <c r="CY192" s="2149"/>
      <c r="CZ192" s="2149"/>
      <c r="DA192" s="2149"/>
      <c r="DB192" s="2149"/>
      <c r="DC192" s="2149"/>
      <c r="DD192" s="2149"/>
      <c r="DE192" s="2149"/>
      <c r="DF192" s="2149"/>
      <c r="DG192" s="2149"/>
      <c r="DH192" s="2149"/>
      <c r="DI192" s="2149"/>
      <c r="DJ192" s="2149"/>
      <c r="DK192" s="2149"/>
      <c r="DL192" s="2149"/>
      <c r="DM192" s="2149"/>
      <c r="DN192" s="2149"/>
      <c r="DO192" s="2149"/>
      <c r="DP192" s="2149"/>
      <c r="DQ192" s="87"/>
      <c r="DR192" s="87"/>
      <c r="DS192" s="2147"/>
      <c r="DT192" s="2147"/>
      <c r="DU192" s="2147"/>
      <c r="DV192" s="2147"/>
      <c r="DW192" s="2147"/>
      <c r="DX192" s="2147"/>
      <c r="DY192" s="2147"/>
      <c r="DZ192" s="87"/>
      <c r="EA192" s="87"/>
      <c r="EB192" s="2149"/>
      <c r="EC192" s="2149"/>
      <c r="ED192" s="2149"/>
      <c r="EE192" s="2149"/>
      <c r="EF192" s="2149"/>
      <c r="EG192" s="2149"/>
      <c r="EH192" s="2149"/>
      <c r="EI192" s="2149"/>
      <c r="EJ192" s="2149"/>
      <c r="EK192" s="2149"/>
      <c r="EL192" s="2149"/>
      <c r="EM192" s="2149"/>
      <c r="EN192" s="2149"/>
      <c r="EO192" s="2149"/>
      <c r="EP192" s="2149"/>
      <c r="EQ192" s="2149"/>
      <c r="ER192" s="2149"/>
      <c r="ES192" s="2149"/>
      <c r="ET192" s="2149"/>
      <c r="EU192" s="2149"/>
      <c r="EV192" s="2149"/>
      <c r="EW192" s="2149"/>
      <c r="EX192" s="2149"/>
      <c r="EY192" s="2149"/>
      <c r="EZ192" s="2149"/>
      <c r="FA192" s="2149"/>
      <c r="FB192" s="2149"/>
      <c r="FC192" s="2149"/>
      <c r="FD192" s="2149"/>
      <c r="FE192" s="2149"/>
      <c r="FF192" s="2149"/>
      <c r="FG192" s="2149"/>
      <c r="FH192" s="2149"/>
      <c r="FI192" s="2149"/>
      <c r="FJ192" s="2149"/>
      <c r="FK192" s="2149"/>
      <c r="FL192" s="2149"/>
      <c r="FM192" s="2149"/>
      <c r="FN192" s="2149"/>
      <c r="FO192" s="2149"/>
      <c r="FP192" s="2149"/>
      <c r="FQ192" s="87"/>
      <c r="FR192" s="87"/>
      <c r="FS192" s="2147"/>
      <c r="FT192" s="2147"/>
      <c r="FU192" s="2147"/>
      <c r="FV192" s="2147"/>
      <c r="FW192" s="2147"/>
      <c r="FX192" s="2147"/>
      <c r="FY192" s="2147"/>
      <c r="FZ192" s="87"/>
      <c r="GA192" s="87"/>
      <c r="GC192" s="1853"/>
      <c r="GD192" s="1853"/>
      <c r="GE192" s="1853"/>
      <c r="GG192" s="1853"/>
      <c r="GH192" s="1853"/>
      <c r="GI192" s="1853"/>
    </row>
    <row r="193" spans="1:198" ht="9" customHeight="1" thickBot="1">
      <c r="A193" s="170"/>
      <c r="B193" s="2153"/>
      <c r="C193" s="2154"/>
      <c r="D193" s="2154"/>
      <c r="E193" s="2154"/>
      <c r="F193" s="2154"/>
      <c r="G193" s="2154"/>
      <c r="H193" s="2154"/>
      <c r="I193" s="2154"/>
      <c r="J193" s="2160">
        <f>Credits</f>
        <v>0</v>
      </c>
      <c r="K193" s="2160"/>
      <c r="L193" s="2160"/>
      <c r="M193" s="2160"/>
      <c r="N193" s="2160"/>
      <c r="O193" s="2160"/>
      <c r="P193" s="2160"/>
      <c r="Q193" s="2160"/>
      <c r="R193" s="2160"/>
      <c r="S193" s="2160"/>
      <c r="T193" s="2160"/>
      <c r="U193" s="2160"/>
      <c r="V193" s="2160"/>
      <c r="W193" s="2160"/>
      <c r="X193" s="2160"/>
      <c r="Y193" s="479"/>
      <c r="Z193" s="479"/>
      <c r="AA193" s="252"/>
      <c r="AB193" s="252"/>
      <c r="AC193" s="252"/>
      <c r="AD193" s="475"/>
      <c r="AE193" s="252"/>
      <c r="AF193" s="252"/>
      <c r="AG193" s="252"/>
      <c r="AH193" s="475"/>
      <c r="AI193" s="2161">
        <f>SUM(AW13:BE189)</f>
        <v>0</v>
      </c>
      <c r="AJ193" s="2161"/>
      <c r="AK193" s="2161"/>
      <c r="AL193" s="2161"/>
      <c r="AM193" s="2161"/>
      <c r="AN193" s="2161"/>
      <c r="AO193" s="2161"/>
      <c r="AP193" s="2161"/>
      <c r="AQ193" s="2161"/>
      <c r="AR193" s="2161"/>
      <c r="AS193" s="2161"/>
      <c r="AT193" s="2161"/>
      <c r="AU193" s="2161"/>
      <c r="AV193" s="2161"/>
      <c r="AW193" s="2161"/>
      <c r="AX193" s="2161"/>
      <c r="AY193" s="2154"/>
      <c r="AZ193" s="2154"/>
      <c r="BA193" s="2154"/>
      <c r="BB193" s="2154"/>
      <c r="BC193" s="2154"/>
      <c r="BD193" s="2154"/>
      <c r="BE193" s="2154"/>
      <c r="BF193" s="2158"/>
      <c r="BG193" s="480"/>
      <c r="BH193" s="478"/>
      <c r="BI193" s="478"/>
      <c r="BJ193" s="478"/>
      <c r="BK193" s="105"/>
      <c r="BL193" s="105"/>
      <c r="BM193" s="105"/>
      <c r="BN193" s="105"/>
      <c r="BO193" s="2138"/>
      <c r="BP193" s="2138"/>
      <c r="BQ193" s="2138"/>
      <c r="BR193" s="2138"/>
      <c r="BS193" s="2138"/>
      <c r="BT193" s="2138"/>
      <c r="BU193" s="2138"/>
      <c r="BV193" s="2138"/>
      <c r="BW193" s="2139"/>
      <c r="BX193" s="105"/>
      <c r="BY193" s="105"/>
      <c r="BZ193" s="105"/>
      <c r="CA193" s="87"/>
      <c r="CB193" s="2150"/>
      <c r="CC193" s="2150"/>
      <c r="CD193" s="2150"/>
      <c r="CE193" s="2150"/>
      <c r="CF193" s="2150"/>
      <c r="CG193" s="2150"/>
      <c r="CH193" s="2150"/>
      <c r="CI193" s="2150"/>
      <c r="CJ193" s="2150"/>
      <c r="CK193" s="2150"/>
      <c r="CL193" s="2150"/>
      <c r="CM193" s="2150"/>
      <c r="CN193" s="2150"/>
      <c r="CO193" s="2150"/>
      <c r="CP193" s="2150"/>
      <c r="CQ193" s="2150"/>
      <c r="CR193" s="2150"/>
      <c r="CS193" s="2150"/>
      <c r="CT193" s="2150"/>
      <c r="CU193" s="2150"/>
      <c r="CV193" s="2150"/>
      <c r="CW193" s="2150"/>
      <c r="CX193" s="2150"/>
      <c r="CY193" s="2150"/>
      <c r="CZ193" s="2150"/>
      <c r="DA193" s="2150"/>
      <c r="DB193" s="2150"/>
      <c r="DC193" s="2150"/>
      <c r="DD193" s="2150"/>
      <c r="DE193" s="2150"/>
      <c r="DF193" s="2150"/>
      <c r="DG193" s="2150"/>
      <c r="DH193" s="2150"/>
      <c r="DI193" s="2150"/>
      <c r="DJ193" s="2150"/>
      <c r="DK193" s="2150"/>
      <c r="DL193" s="2150"/>
      <c r="DM193" s="2150"/>
      <c r="DN193" s="2150"/>
      <c r="DO193" s="2150"/>
      <c r="DP193" s="2150"/>
      <c r="DQ193" s="87"/>
      <c r="DR193" s="87"/>
      <c r="DS193" s="2148"/>
      <c r="DT193" s="2148"/>
      <c r="DU193" s="2148"/>
      <c r="DV193" s="2148"/>
      <c r="DW193" s="2148"/>
      <c r="DX193" s="2148"/>
      <c r="DY193" s="2148"/>
      <c r="DZ193" s="87"/>
      <c r="EA193" s="87"/>
      <c r="EB193" s="2150"/>
      <c r="EC193" s="2150"/>
      <c r="ED193" s="2150"/>
      <c r="EE193" s="2150"/>
      <c r="EF193" s="2150"/>
      <c r="EG193" s="2150"/>
      <c r="EH193" s="2150"/>
      <c r="EI193" s="2150"/>
      <c r="EJ193" s="2150"/>
      <c r="EK193" s="2150"/>
      <c r="EL193" s="2150"/>
      <c r="EM193" s="2150"/>
      <c r="EN193" s="2150"/>
      <c r="EO193" s="2150"/>
      <c r="EP193" s="2150"/>
      <c r="EQ193" s="2150"/>
      <c r="ER193" s="2150"/>
      <c r="ES193" s="2150"/>
      <c r="ET193" s="2150"/>
      <c r="EU193" s="2150"/>
      <c r="EV193" s="2150"/>
      <c r="EW193" s="2150"/>
      <c r="EX193" s="2150"/>
      <c r="EY193" s="2150"/>
      <c r="EZ193" s="2150"/>
      <c r="FA193" s="2150"/>
      <c r="FB193" s="2150"/>
      <c r="FC193" s="2150"/>
      <c r="FD193" s="2150"/>
      <c r="FE193" s="2150"/>
      <c r="FF193" s="2150"/>
      <c r="FG193" s="2150"/>
      <c r="FH193" s="2150"/>
      <c r="FI193" s="2150"/>
      <c r="FJ193" s="2150"/>
      <c r="FK193" s="2150"/>
      <c r="FL193" s="2150"/>
      <c r="FM193" s="2150"/>
      <c r="FN193" s="2150"/>
      <c r="FO193" s="2150"/>
      <c r="FP193" s="2150"/>
      <c r="FQ193" s="87"/>
      <c r="FR193" s="87"/>
      <c r="FS193" s="2148"/>
      <c r="FT193" s="2148"/>
      <c r="FU193" s="2148"/>
      <c r="FV193" s="2148"/>
      <c r="FW193" s="2148"/>
      <c r="FX193" s="2148"/>
      <c r="FY193" s="2148"/>
      <c r="FZ193" s="87"/>
      <c r="GA193" s="87"/>
      <c r="GC193" s="1853"/>
      <c r="GD193" s="1853"/>
      <c r="GE193" s="1853"/>
      <c r="GG193" s="1853"/>
      <c r="GH193" s="1853"/>
      <c r="GI193" s="1853"/>
    </row>
    <row r="194" spans="1:198" ht="9" customHeight="1">
      <c r="A194" s="170"/>
      <c r="B194" s="2153"/>
      <c r="C194" s="2154"/>
      <c r="D194" s="2154"/>
      <c r="E194" s="2154"/>
      <c r="F194" s="2154"/>
      <c r="G194" s="2154"/>
      <c r="H194" s="2154"/>
      <c r="I194" s="2154"/>
      <c r="J194" s="2160"/>
      <c r="K194" s="2160"/>
      <c r="L194" s="2160"/>
      <c r="M194" s="2160"/>
      <c r="N194" s="2160"/>
      <c r="O194" s="2160"/>
      <c r="P194" s="2160"/>
      <c r="Q194" s="2160"/>
      <c r="R194" s="2160"/>
      <c r="S194" s="2160"/>
      <c r="T194" s="2160"/>
      <c r="U194" s="2160"/>
      <c r="V194" s="2160"/>
      <c r="W194" s="2160"/>
      <c r="X194" s="2160"/>
      <c r="Y194" s="479"/>
      <c r="Z194" s="479"/>
      <c r="AA194" s="109"/>
      <c r="AB194" s="109"/>
      <c r="AC194" s="305"/>
      <c r="AD194" s="109"/>
      <c r="AE194" s="109"/>
      <c r="AF194" s="109"/>
      <c r="AG194" s="305"/>
      <c r="AH194" s="109"/>
      <c r="AI194" s="2161"/>
      <c r="AJ194" s="2161"/>
      <c r="AK194" s="2161"/>
      <c r="AL194" s="2161"/>
      <c r="AM194" s="2161"/>
      <c r="AN194" s="2161"/>
      <c r="AO194" s="2161"/>
      <c r="AP194" s="2161"/>
      <c r="AQ194" s="2161"/>
      <c r="AR194" s="2161"/>
      <c r="AS194" s="2161"/>
      <c r="AT194" s="2161"/>
      <c r="AU194" s="2161"/>
      <c r="AV194" s="2161"/>
      <c r="AW194" s="2161"/>
      <c r="AX194" s="2161"/>
      <c r="AY194" s="2154"/>
      <c r="AZ194" s="2154"/>
      <c r="BA194" s="2154"/>
      <c r="BB194" s="2154"/>
      <c r="BC194" s="2154"/>
      <c r="BD194" s="2154"/>
      <c r="BE194" s="2154"/>
      <c r="BF194" s="2158"/>
      <c r="BG194" s="480"/>
      <c r="BH194" s="478"/>
      <c r="BI194" s="478"/>
      <c r="BJ194" s="478"/>
      <c r="BK194" s="131"/>
      <c r="BL194" s="131"/>
      <c r="BM194" s="131"/>
      <c r="BN194" s="105"/>
      <c r="BO194" s="2138"/>
      <c r="BP194" s="2138"/>
      <c r="BQ194" s="2138"/>
      <c r="BR194" s="2138"/>
      <c r="BS194" s="2138"/>
      <c r="BT194" s="2138"/>
      <c r="BU194" s="2138"/>
      <c r="BV194" s="2138"/>
      <c r="BW194" s="2139"/>
      <c r="BX194" s="105"/>
      <c r="BY194" s="327"/>
      <c r="BZ194" s="327"/>
      <c r="CA194" s="87"/>
      <c r="CB194" s="99"/>
      <c r="CC194" s="99"/>
      <c r="CD194" s="99"/>
      <c r="CE194" s="99"/>
      <c r="CF194" s="99"/>
      <c r="CG194" s="461"/>
      <c r="CH194" s="461"/>
      <c r="CI194" s="461"/>
      <c r="CJ194" s="461"/>
      <c r="CK194" s="461"/>
      <c r="CL194" s="461"/>
      <c r="CM194" s="461"/>
      <c r="CN194" s="461"/>
      <c r="CO194" s="461"/>
      <c r="CP194" s="461"/>
      <c r="CQ194" s="461"/>
      <c r="CR194" s="461"/>
      <c r="CS194" s="461"/>
      <c r="CT194" s="461"/>
      <c r="CU194" s="461"/>
      <c r="CV194" s="461"/>
      <c r="CW194" s="461"/>
      <c r="CX194" s="461"/>
      <c r="CY194" s="461"/>
      <c r="CZ194" s="460"/>
      <c r="DA194" s="458"/>
      <c r="DB194" s="458"/>
      <c r="DC194" s="458"/>
      <c r="DD194" s="458"/>
      <c r="DE194" s="419"/>
      <c r="DF194" s="419"/>
      <c r="DG194" s="419"/>
      <c r="DH194" s="419"/>
      <c r="DI194" s="419"/>
      <c r="DJ194" s="419"/>
      <c r="DK194" s="368"/>
      <c r="DL194" s="459"/>
      <c r="DM194" s="459"/>
      <c r="DN194" s="459"/>
      <c r="DO194" s="459"/>
      <c r="DP194" s="459"/>
      <c r="DQ194" s="87"/>
      <c r="DR194" s="87"/>
      <c r="DS194" s="384"/>
      <c r="DT194" s="384"/>
      <c r="DU194" s="384"/>
      <c r="DV194" s="384"/>
      <c r="DW194" s="384"/>
      <c r="DX194" s="384"/>
      <c r="DY194" s="384"/>
      <c r="DZ194" s="87"/>
      <c r="EA194" s="87"/>
      <c r="EB194" s="368"/>
      <c r="EC194" s="459"/>
      <c r="ED194" s="459"/>
      <c r="EE194" s="459"/>
      <c r="EF194" s="459"/>
      <c r="EG194" s="459"/>
      <c r="EH194" s="460"/>
      <c r="EI194" s="460"/>
      <c r="EJ194" s="460"/>
      <c r="EK194" s="460"/>
      <c r="EL194" s="460"/>
      <c r="EM194" s="460"/>
      <c r="EN194" s="460"/>
      <c r="EO194" s="460"/>
      <c r="EP194" s="460"/>
      <c r="EQ194" s="460"/>
      <c r="ER194" s="460"/>
      <c r="ES194" s="460"/>
      <c r="ET194" s="460"/>
      <c r="EU194" s="460"/>
      <c r="EV194" s="460"/>
      <c r="EW194" s="460"/>
      <c r="EX194" s="460"/>
      <c r="EY194" s="460"/>
      <c r="EZ194" s="460"/>
      <c r="FA194" s="460"/>
      <c r="FB194" s="460"/>
      <c r="FC194" s="460"/>
      <c r="FD194" s="460"/>
      <c r="FE194" s="460"/>
      <c r="FF194" s="460"/>
      <c r="FG194" s="460"/>
      <c r="FH194" s="460"/>
      <c r="FI194" s="460"/>
      <c r="FJ194" s="460"/>
      <c r="FK194" s="419"/>
      <c r="FL194" s="419"/>
      <c r="FM194" s="419"/>
      <c r="FN194" s="419"/>
      <c r="FO194" s="419"/>
      <c r="FP194" s="419"/>
      <c r="FQ194" s="384"/>
      <c r="FR194" s="384"/>
      <c r="FS194" s="384"/>
      <c r="FT194" s="384"/>
      <c r="FU194" s="384"/>
      <c r="FV194" s="384"/>
      <c r="FW194" s="384"/>
      <c r="FX194" s="384"/>
      <c r="FY194" s="384"/>
      <c r="FZ194" s="87"/>
      <c r="GA194" s="87"/>
      <c r="GC194" s="714"/>
      <c r="GD194" s="714"/>
      <c r="GE194" s="714"/>
      <c r="GG194" s="714"/>
      <c r="GH194" s="714"/>
      <c r="GI194" s="714"/>
    </row>
    <row r="195" spans="1:198" ht="9" customHeight="1">
      <c r="A195" s="170"/>
      <c r="B195" s="2153"/>
      <c r="C195" s="2154"/>
      <c r="D195" s="2154"/>
      <c r="E195" s="2154"/>
      <c r="F195" s="2154"/>
      <c r="G195" s="2154"/>
      <c r="H195" s="2154"/>
      <c r="I195" s="2154"/>
      <c r="J195" s="2160"/>
      <c r="K195" s="2160"/>
      <c r="L195" s="2160"/>
      <c r="M195" s="2160"/>
      <c r="N195" s="2160"/>
      <c r="O195" s="2160"/>
      <c r="P195" s="2160"/>
      <c r="Q195" s="2160"/>
      <c r="R195" s="2160"/>
      <c r="S195" s="2160"/>
      <c r="T195" s="2160"/>
      <c r="U195" s="2160"/>
      <c r="V195" s="2160"/>
      <c r="W195" s="2160"/>
      <c r="X195" s="2160"/>
      <c r="Y195" s="479"/>
      <c r="Z195" s="479"/>
      <c r="AA195" s="252"/>
      <c r="AB195" s="475"/>
      <c r="AC195" s="252"/>
      <c r="AD195" s="252"/>
      <c r="AE195" s="252"/>
      <c r="AF195" s="475"/>
      <c r="AG195" s="252"/>
      <c r="AH195" s="252"/>
      <c r="AI195" s="2161"/>
      <c r="AJ195" s="2161"/>
      <c r="AK195" s="2161"/>
      <c r="AL195" s="2161"/>
      <c r="AM195" s="2161"/>
      <c r="AN195" s="2161"/>
      <c r="AO195" s="2161"/>
      <c r="AP195" s="2161"/>
      <c r="AQ195" s="2161"/>
      <c r="AR195" s="2161"/>
      <c r="AS195" s="2161"/>
      <c r="AT195" s="2161"/>
      <c r="AU195" s="2161"/>
      <c r="AV195" s="2161"/>
      <c r="AW195" s="2161"/>
      <c r="AX195" s="2161"/>
      <c r="AY195" s="2154"/>
      <c r="AZ195" s="2154"/>
      <c r="BA195" s="2154"/>
      <c r="BB195" s="2154"/>
      <c r="BC195" s="2154"/>
      <c r="BD195" s="2154"/>
      <c r="BE195" s="2154"/>
      <c r="BF195" s="2158"/>
      <c r="BG195" s="477"/>
      <c r="BH195" s="478"/>
      <c r="BI195" s="478"/>
      <c r="BJ195" s="478"/>
      <c r="BK195" s="105"/>
      <c r="BL195" s="105"/>
      <c r="BM195" s="105"/>
      <c r="BN195" s="105"/>
      <c r="BO195" s="2138"/>
      <c r="BP195" s="2138"/>
      <c r="BQ195" s="2138"/>
      <c r="BR195" s="2138"/>
      <c r="BS195" s="2138"/>
      <c r="BT195" s="2138"/>
      <c r="BU195" s="2138"/>
      <c r="BV195" s="2138"/>
      <c r="BW195" s="2139"/>
      <c r="BX195" s="331"/>
      <c r="BY195" s="327"/>
      <c r="BZ195" s="327"/>
      <c r="CA195" s="87"/>
      <c r="CB195" s="2145" t="str">
        <f>IF(Race="","",IF(NOT(ISERROR(GD195)),MID(FeatsTakenList,GD191+1,GD195-GD191-1),""))</f>
        <v/>
      </c>
      <c r="CC195" s="2145"/>
      <c r="CD195" s="2145"/>
      <c r="CE195" s="2145"/>
      <c r="CF195" s="2145"/>
      <c r="CG195" s="2145"/>
      <c r="CH195" s="2145"/>
      <c r="CI195" s="2145"/>
      <c r="CJ195" s="2145"/>
      <c r="CK195" s="2145"/>
      <c r="CL195" s="2145"/>
      <c r="CM195" s="2145"/>
      <c r="CN195" s="2145"/>
      <c r="CO195" s="2145"/>
      <c r="CP195" s="2145"/>
      <c r="CQ195" s="2145"/>
      <c r="CR195" s="2145"/>
      <c r="CS195" s="2145"/>
      <c r="CT195" s="2145"/>
      <c r="CU195" s="2145"/>
      <c r="CV195" s="2145"/>
      <c r="CW195" s="2145"/>
      <c r="CX195" s="2145"/>
      <c r="CY195" s="2145"/>
      <c r="CZ195" s="2145"/>
      <c r="DA195" s="2145"/>
      <c r="DB195" s="2145"/>
      <c r="DC195" s="2145"/>
      <c r="DD195" s="2145"/>
      <c r="DE195" s="2145"/>
      <c r="DF195" s="2145"/>
      <c r="DG195" s="2145"/>
      <c r="DH195" s="2145"/>
      <c r="DI195" s="2145"/>
      <c r="DJ195" s="2145"/>
      <c r="DK195" s="2145"/>
      <c r="DL195" s="2145"/>
      <c r="DM195" s="2145"/>
      <c r="DN195" s="2145"/>
      <c r="DO195" s="2145"/>
      <c r="DP195" s="2145"/>
      <c r="DQ195" s="87"/>
      <c r="DR195" s="87"/>
      <c r="DS195" s="2147" t="str">
        <f>IF(Race="","",IF(NOT(ISERROR(GE195)),MID(FeatsTakenListPageRef,GE191+1,GE195-GE191-1),""))</f>
        <v/>
      </c>
      <c r="DT195" s="2147"/>
      <c r="DU195" s="2147"/>
      <c r="DV195" s="2147"/>
      <c r="DW195" s="2147"/>
      <c r="DX195" s="2147"/>
      <c r="DY195" s="2147"/>
      <c r="DZ195" s="87"/>
      <c r="EA195" s="87"/>
      <c r="EB195" s="2145" t="str">
        <f>IF(Race="","",IF(NOT(ISERROR(GH195)),MID(FeatsTakenList,GH191+1,GH195-GH191-1),""))</f>
        <v/>
      </c>
      <c r="EC195" s="2145"/>
      <c r="ED195" s="2145"/>
      <c r="EE195" s="2145"/>
      <c r="EF195" s="2145"/>
      <c r="EG195" s="2145"/>
      <c r="EH195" s="2145"/>
      <c r="EI195" s="2145"/>
      <c r="EJ195" s="2145"/>
      <c r="EK195" s="2145"/>
      <c r="EL195" s="2145"/>
      <c r="EM195" s="2145"/>
      <c r="EN195" s="2145"/>
      <c r="EO195" s="2145"/>
      <c r="EP195" s="2145"/>
      <c r="EQ195" s="2145"/>
      <c r="ER195" s="2145"/>
      <c r="ES195" s="2145"/>
      <c r="ET195" s="2145"/>
      <c r="EU195" s="2145"/>
      <c r="EV195" s="2145"/>
      <c r="EW195" s="2145"/>
      <c r="EX195" s="2145"/>
      <c r="EY195" s="2145"/>
      <c r="EZ195" s="2145"/>
      <c r="FA195" s="2145"/>
      <c r="FB195" s="2145"/>
      <c r="FC195" s="2145"/>
      <c r="FD195" s="2145"/>
      <c r="FE195" s="2145"/>
      <c r="FF195" s="2145"/>
      <c r="FG195" s="2145"/>
      <c r="FH195" s="2145"/>
      <c r="FI195" s="2145"/>
      <c r="FJ195" s="2145"/>
      <c r="FK195" s="2145"/>
      <c r="FL195" s="2145"/>
      <c r="FM195" s="2145"/>
      <c r="FN195" s="2145"/>
      <c r="FO195" s="2145"/>
      <c r="FP195" s="2145"/>
      <c r="FQ195" s="87"/>
      <c r="FR195" s="87"/>
      <c r="FS195" s="2147" t="str">
        <f>IF(Race="","",IF(NOT(ISERROR(GI195)),MID(FeatsTakenListPageRef,GI191+1,GI195-GI191-1),""))</f>
        <v/>
      </c>
      <c r="FT195" s="2147"/>
      <c r="FU195" s="2147"/>
      <c r="FV195" s="2147"/>
      <c r="FW195" s="2147"/>
      <c r="FX195" s="2147"/>
      <c r="FY195" s="2147"/>
      <c r="FZ195" s="87"/>
      <c r="GA195" s="87"/>
      <c r="GC195" s="1853">
        <f>GC191+1</f>
        <v>7</v>
      </c>
      <c r="GD195" s="1853" t="e">
        <f ca="1">FIND(";",FeatsTakenList,GD191+1)</f>
        <v>#VALUE!</v>
      </c>
      <c r="GE195" s="1853" t="e">
        <f ca="1">FIND(";",FeatsTakenListPageRef,GE191+1)</f>
        <v>#VALUE!</v>
      </c>
      <c r="GG195" s="1853">
        <f>GG191+1</f>
        <v>21</v>
      </c>
      <c r="GH195" s="1853" t="e">
        <f ca="1">FIND(";",FeatsTakenList,GH191+1)</f>
        <v>#VALUE!</v>
      </c>
      <c r="GI195" s="1853" t="e">
        <f ca="1">FIND(";",FeatsTakenListPageRef,GI191+1)</f>
        <v>#VALUE!</v>
      </c>
    </row>
    <row r="196" spans="1:198" ht="9" customHeight="1">
      <c r="A196" s="170"/>
      <c r="B196" s="2153"/>
      <c r="C196" s="2154"/>
      <c r="D196" s="2154"/>
      <c r="E196" s="2154"/>
      <c r="F196" s="2154"/>
      <c r="G196" s="2154"/>
      <c r="H196" s="2154"/>
      <c r="I196" s="2154"/>
      <c r="J196" s="2160"/>
      <c r="K196" s="2160"/>
      <c r="L196" s="2160"/>
      <c r="M196" s="2160"/>
      <c r="N196" s="2160"/>
      <c r="O196" s="2160"/>
      <c r="P196" s="2160"/>
      <c r="Q196" s="2160"/>
      <c r="R196" s="2160"/>
      <c r="S196" s="2160"/>
      <c r="T196" s="2160"/>
      <c r="U196" s="2160"/>
      <c r="V196" s="2160"/>
      <c r="W196" s="2160"/>
      <c r="X196" s="2160"/>
      <c r="Y196" s="479"/>
      <c r="Z196" s="479"/>
      <c r="AA196" s="475"/>
      <c r="AB196" s="252"/>
      <c r="AC196" s="252"/>
      <c r="AD196" s="252"/>
      <c r="AE196" s="475"/>
      <c r="AF196" s="2162" t="e">
        <f>(Strength*Strength*0.5*INDEX(SizeTable,MATCH(OutputSize,SizeList,0),9)*IF(IsZeroG,10,1)*IF(AND(NOT(ISERROR(FIND("Droid",Race,1))),Droids!G21&lt;&gt;""),1.5,1))/2</f>
        <v>#VALUE!</v>
      </c>
      <c r="AG196" s="2162"/>
      <c r="AH196" s="2162"/>
      <c r="AI196" s="2164" t="str">
        <f>IF(AND(CharacterLevel&gt;0,Race&lt;&gt;""),"(max "&amp;Strength*Strength*0.5*INDEX(SizeTable,MATCH(OutputSize,SizeList,0),9)*IF(IsZeroG,10,1)*IF(AND(NOT(ISERROR(FIND("Droid",Race,1))),Droids!G21&lt;&gt;""),1.5,1)&amp;" kg)","")</f>
        <v/>
      </c>
      <c r="AJ196" s="2164"/>
      <c r="AK196" s="2164"/>
      <c r="AL196" s="2164"/>
      <c r="AM196" s="2164"/>
      <c r="AN196" s="2164"/>
      <c r="AO196" s="2164"/>
      <c r="AP196" s="2164"/>
      <c r="AQ196" s="2164"/>
      <c r="AR196" s="2164"/>
      <c r="AS196" s="2164"/>
      <c r="AT196" s="2164"/>
      <c r="AU196" s="2164"/>
      <c r="AV196" s="2164"/>
      <c r="AW196" s="2164"/>
      <c r="AX196" s="2164"/>
      <c r="AY196" s="2154"/>
      <c r="AZ196" s="2154"/>
      <c r="BA196" s="2154"/>
      <c r="BB196" s="2154"/>
      <c r="BC196" s="2154"/>
      <c r="BD196" s="2154"/>
      <c r="BE196" s="2154"/>
      <c r="BF196" s="2158"/>
      <c r="BG196" s="477"/>
      <c r="BH196" s="478"/>
      <c r="BI196" s="478"/>
      <c r="BJ196" s="478"/>
      <c r="BK196" s="105"/>
      <c r="BL196" s="105"/>
      <c r="BM196" s="105"/>
      <c r="BN196" s="105"/>
      <c r="BO196" s="2138"/>
      <c r="BP196" s="2138"/>
      <c r="BQ196" s="2138"/>
      <c r="BR196" s="2138"/>
      <c r="BS196" s="2138"/>
      <c r="BT196" s="2138"/>
      <c r="BU196" s="2138"/>
      <c r="BV196" s="2138"/>
      <c r="BW196" s="2139"/>
      <c r="BX196" s="331"/>
      <c r="BY196" s="105"/>
      <c r="BZ196" s="105"/>
      <c r="CA196" s="87"/>
      <c r="CB196" s="2145"/>
      <c r="CC196" s="2145"/>
      <c r="CD196" s="2145"/>
      <c r="CE196" s="2145"/>
      <c r="CF196" s="2145"/>
      <c r="CG196" s="2145"/>
      <c r="CH196" s="2145"/>
      <c r="CI196" s="2145"/>
      <c r="CJ196" s="2145"/>
      <c r="CK196" s="2145"/>
      <c r="CL196" s="2145"/>
      <c r="CM196" s="2145"/>
      <c r="CN196" s="2145"/>
      <c r="CO196" s="2145"/>
      <c r="CP196" s="2145"/>
      <c r="CQ196" s="2145"/>
      <c r="CR196" s="2145"/>
      <c r="CS196" s="2145"/>
      <c r="CT196" s="2145"/>
      <c r="CU196" s="2145"/>
      <c r="CV196" s="2145"/>
      <c r="CW196" s="2145"/>
      <c r="CX196" s="2145"/>
      <c r="CY196" s="2145"/>
      <c r="CZ196" s="2145"/>
      <c r="DA196" s="2145"/>
      <c r="DB196" s="2145"/>
      <c r="DC196" s="2145"/>
      <c r="DD196" s="2145"/>
      <c r="DE196" s="2145"/>
      <c r="DF196" s="2145"/>
      <c r="DG196" s="2145"/>
      <c r="DH196" s="2145"/>
      <c r="DI196" s="2145"/>
      <c r="DJ196" s="2145"/>
      <c r="DK196" s="2145"/>
      <c r="DL196" s="2145"/>
      <c r="DM196" s="2145"/>
      <c r="DN196" s="2145"/>
      <c r="DO196" s="2145"/>
      <c r="DP196" s="2145"/>
      <c r="DQ196" s="87"/>
      <c r="DR196" s="87"/>
      <c r="DS196" s="2147"/>
      <c r="DT196" s="2147"/>
      <c r="DU196" s="2147"/>
      <c r="DV196" s="2147"/>
      <c r="DW196" s="2147"/>
      <c r="DX196" s="2147"/>
      <c r="DY196" s="2147"/>
      <c r="DZ196" s="87"/>
      <c r="EA196" s="87"/>
      <c r="EB196" s="2145"/>
      <c r="EC196" s="2145"/>
      <c r="ED196" s="2145"/>
      <c r="EE196" s="2145"/>
      <c r="EF196" s="2145"/>
      <c r="EG196" s="2145"/>
      <c r="EH196" s="2145"/>
      <c r="EI196" s="2145"/>
      <c r="EJ196" s="2145"/>
      <c r="EK196" s="2145"/>
      <c r="EL196" s="2145"/>
      <c r="EM196" s="2145"/>
      <c r="EN196" s="2145"/>
      <c r="EO196" s="2145"/>
      <c r="EP196" s="2145"/>
      <c r="EQ196" s="2145"/>
      <c r="ER196" s="2145"/>
      <c r="ES196" s="2145"/>
      <c r="ET196" s="2145"/>
      <c r="EU196" s="2145"/>
      <c r="EV196" s="2145"/>
      <c r="EW196" s="2145"/>
      <c r="EX196" s="2145"/>
      <c r="EY196" s="2145"/>
      <c r="EZ196" s="2145"/>
      <c r="FA196" s="2145"/>
      <c r="FB196" s="2145"/>
      <c r="FC196" s="2145"/>
      <c r="FD196" s="2145"/>
      <c r="FE196" s="2145"/>
      <c r="FF196" s="2145"/>
      <c r="FG196" s="2145"/>
      <c r="FH196" s="2145"/>
      <c r="FI196" s="2145"/>
      <c r="FJ196" s="2145"/>
      <c r="FK196" s="2145"/>
      <c r="FL196" s="2145"/>
      <c r="FM196" s="2145"/>
      <c r="FN196" s="2145"/>
      <c r="FO196" s="2145"/>
      <c r="FP196" s="2145"/>
      <c r="FQ196" s="87"/>
      <c r="FR196" s="87"/>
      <c r="FS196" s="2147"/>
      <c r="FT196" s="2147"/>
      <c r="FU196" s="2147"/>
      <c r="FV196" s="2147"/>
      <c r="FW196" s="2147"/>
      <c r="FX196" s="2147"/>
      <c r="FY196" s="2147"/>
      <c r="FZ196" s="87"/>
      <c r="GA196" s="87"/>
      <c r="GC196" s="1853"/>
      <c r="GD196" s="1853"/>
      <c r="GE196" s="1853"/>
      <c r="GG196" s="1853"/>
      <c r="GH196" s="1853"/>
      <c r="GI196" s="1853"/>
    </row>
    <row r="197" spans="1:198" ht="9" customHeight="1" thickBot="1">
      <c r="A197" s="170"/>
      <c r="B197" s="2153"/>
      <c r="C197" s="2154"/>
      <c r="D197" s="2154"/>
      <c r="E197" s="2154"/>
      <c r="F197" s="2154"/>
      <c r="G197" s="2154"/>
      <c r="H197" s="2154"/>
      <c r="I197" s="2154"/>
      <c r="J197" s="2160"/>
      <c r="K197" s="2160"/>
      <c r="L197" s="2160"/>
      <c r="M197" s="2160"/>
      <c r="N197" s="2160"/>
      <c r="O197" s="2160"/>
      <c r="P197" s="2160"/>
      <c r="Q197" s="2160"/>
      <c r="R197" s="2160"/>
      <c r="S197" s="2160"/>
      <c r="T197" s="2160"/>
      <c r="U197" s="2160"/>
      <c r="V197" s="2160"/>
      <c r="W197" s="2160"/>
      <c r="X197" s="2160"/>
      <c r="Y197" s="252"/>
      <c r="Z197" s="475"/>
      <c r="AA197" s="252"/>
      <c r="AB197" s="252"/>
      <c r="AC197" s="252"/>
      <c r="AD197" s="475"/>
      <c r="AE197" s="252"/>
      <c r="AF197" s="2162"/>
      <c r="AG197" s="2162"/>
      <c r="AH197" s="2162"/>
      <c r="AI197" s="2164"/>
      <c r="AJ197" s="2164"/>
      <c r="AK197" s="2164"/>
      <c r="AL197" s="2164"/>
      <c r="AM197" s="2164"/>
      <c r="AN197" s="2164"/>
      <c r="AO197" s="2164"/>
      <c r="AP197" s="2164"/>
      <c r="AQ197" s="2164"/>
      <c r="AR197" s="2164"/>
      <c r="AS197" s="2164"/>
      <c r="AT197" s="2164"/>
      <c r="AU197" s="2164"/>
      <c r="AV197" s="2164"/>
      <c r="AW197" s="2164"/>
      <c r="AX197" s="2164"/>
      <c r="AY197" s="2154"/>
      <c r="AZ197" s="2154"/>
      <c r="BA197" s="2154"/>
      <c r="BB197" s="2154"/>
      <c r="BC197" s="2154"/>
      <c r="BD197" s="2154"/>
      <c r="BE197" s="2154"/>
      <c r="BF197" s="2158"/>
      <c r="BG197" s="480"/>
      <c r="BH197" s="478"/>
      <c r="BI197" s="478"/>
      <c r="BJ197" s="478"/>
      <c r="BK197" s="105"/>
      <c r="BL197" s="105"/>
      <c r="BM197" s="105"/>
      <c r="BN197" s="105"/>
      <c r="BO197" s="2138"/>
      <c r="BP197" s="2138"/>
      <c r="BQ197" s="2138"/>
      <c r="BR197" s="2138"/>
      <c r="BS197" s="2138"/>
      <c r="BT197" s="2138"/>
      <c r="BU197" s="2138"/>
      <c r="BV197" s="2138"/>
      <c r="BW197" s="2139"/>
      <c r="BX197" s="105"/>
      <c r="BY197" s="105"/>
      <c r="BZ197" s="105"/>
      <c r="CA197" s="87"/>
      <c r="CB197" s="2146"/>
      <c r="CC197" s="2146"/>
      <c r="CD197" s="2146"/>
      <c r="CE197" s="2146"/>
      <c r="CF197" s="2146"/>
      <c r="CG197" s="2146"/>
      <c r="CH197" s="2146"/>
      <c r="CI197" s="2146"/>
      <c r="CJ197" s="2146"/>
      <c r="CK197" s="2146"/>
      <c r="CL197" s="2146"/>
      <c r="CM197" s="2146"/>
      <c r="CN197" s="2146"/>
      <c r="CO197" s="2146"/>
      <c r="CP197" s="2146"/>
      <c r="CQ197" s="2146"/>
      <c r="CR197" s="2146"/>
      <c r="CS197" s="2146"/>
      <c r="CT197" s="2146"/>
      <c r="CU197" s="2146"/>
      <c r="CV197" s="2146"/>
      <c r="CW197" s="2146"/>
      <c r="CX197" s="2146"/>
      <c r="CY197" s="2146"/>
      <c r="CZ197" s="2146"/>
      <c r="DA197" s="2146"/>
      <c r="DB197" s="2146"/>
      <c r="DC197" s="2146"/>
      <c r="DD197" s="2146"/>
      <c r="DE197" s="2146"/>
      <c r="DF197" s="2146"/>
      <c r="DG197" s="2146"/>
      <c r="DH197" s="2146"/>
      <c r="DI197" s="2146"/>
      <c r="DJ197" s="2146"/>
      <c r="DK197" s="2146"/>
      <c r="DL197" s="2146"/>
      <c r="DM197" s="2146"/>
      <c r="DN197" s="2146"/>
      <c r="DO197" s="2146"/>
      <c r="DP197" s="2146"/>
      <c r="DQ197" s="87"/>
      <c r="DR197" s="87"/>
      <c r="DS197" s="2148"/>
      <c r="DT197" s="2148"/>
      <c r="DU197" s="2148"/>
      <c r="DV197" s="2148"/>
      <c r="DW197" s="2148"/>
      <c r="DX197" s="2148"/>
      <c r="DY197" s="2148"/>
      <c r="DZ197" s="87"/>
      <c r="EA197" s="87"/>
      <c r="EB197" s="2146"/>
      <c r="EC197" s="2146"/>
      <c r="ED197" s="2146"/>
      <c r="EE197" s="2146"/>
      <c r="EF197" s="2146"/>
      <c r="EG197" s="2146"/>
      <c r="EH197" s="2146"/>
      <c r="EI197" s="2146"/>
      <c r="EJ197" s="2146"/>
      <c r="EK197" s="2146"/>
      <c r="EL197" s="2146"/>
      <c r="EM197" s="2146"/>
      <c r="EN197" s="2146"/>
      <c r="EO197" s="2146"/>
      <c r="EP197" s="2146"/>
      <c r="EQ197" s="2146"/>
      <c r="ER197" s="2146"/>
      <c r="ES197" s="2146"/>
      <c r="ET197" s="2146"/>
      <c r="EU197" s="2146"/>
      <c r="EV197" s="2146"/>
      <c r="EW197" s="2146"/>
      <c r="EX197" s="2146"/>
      <c r="EY197" s="2146"/>
      <c r="EZ197" s="2146"/>
      <c r="FA197" s="2146"/>
      <c r="FB197" s="2146"/>
      <c r="FC197" s="2146"/>
      <c r="FD197" s="2146"/>
      <c r="FE197" s="2146"/>
      <c r="FF197" s="2146"/>
      <c r="FG197" s="2146"/>
      <c r="FH197" s="2146"/>
      <c r="FI197" s="2146"/>
      <c r="FJ197" s="2146"/>
      <c r="FK197" s="2146"/>
      <c r="FL197" s="2146"/>
      <c r="FM197" s="2146"/>
      <c r="FN197" s="2146"/>
      <c r="FO197" s="2146"/>
      <c r="FP197" s="2146"/>
      <c r="FQ197" s="87"/>
      <c r="FR197" s="87"/>
      <c r="FS197" s="2148"/>
      <c r="FT197" s="2148"/>
      <c r="FU197" s="2148"/>
      <c r="FV197" s="2148"/>
      <c r="FW197" s="2148"/>
      <c r="FX197" s="2148"/>
      <c r="FY197" s="2148"/>
      <c r="FZ197" s="87"/>
      <c r="GA197" s="87"/>
      <c r="GC197" s="1853"/>
      <c r="GD197" s="1853"/>
      <c r="GE197" s="1853"/>
      <c r="GG197" s="1853"/>
      <c r="GH197" s="1853"/>
      <c r="GI197" s="1853"/>
    </row>
    <row r="198" spans="1:198" ht="9" customHeight="1">
      <c r="A198" s="170"/>
      <c r="B198" s="2153"/>
      <c r="C198" s="2154"/>
      <c r="D198" s="2154"/>
      <c r="E198" s="2154"/>
      <c r="F198" s="2154"/>
      <c r="G198" s="2154"/>
      <c r="H198" s="2154"/>
      <c r="I198" s="2154"/>
      <c r="J198" s="2160"/>
      <c r="K198" s="2160"/>
      <c r="L198" s="2160"/>
      <c r="M198" s="2160"/>
      <c r="N198" s="2160"/>
      <c r="O198" s="2160"/>
      <c r="P198" s="2160"/>
      <c r="Q198" s="2160"/>
      <c r="R198" s="2160"/>
      <c r="S198" s="2160"/>
      <c r="T198" s="2160"/>
      <c r="U198" s="2160"/>
      <c r="V198" s="2160"/>
      <c r="W198" s="2160"/>
      <c r="X198" s="2160"/>
      <c r="Y198" s="305"/>
      <c r="Z198" s="109"/>
      <c r="AA198" s="109"/>
      <c r="AB198" s="109"/>
      <c r="AC198" s="305"/>
      <c r="AD198" s="109"/>
      <c r="AE198" s="109"/>
      <c r="AF198" s="2162"/>
      <c r="AG198" s="2162"/>
      <c r="AH198" s="2162"/>
      <c r="AI198" s="2164"/>
      <c r="AJ198" s="2164"/>
      <c r="AK198" s="2164"/>
      <c r="AL198" s="2164"/>
      <c r="AM198" s="2164"/>
      <c r="AN198" s="2164"/>
      <c r="AO198" s="2164"/>
      <c r="AP198" s="2164"/>
      <c r="AQ198" s="2164"/>
      <c r="AR198" s="2164"/>
      <c r="AS198" s="2164"/>
      <c r="AT198" s="2164"/>
      <c r="AU198" s="2164"/>
      <c r="AV198" s="2164"/>
      <c r="AW198" s="2164"/>
      <c r="AX198" s="2164"/>
      <c r="AY198" s="2154"/>
      <c r="AZ198" s="2154"/>
      <c r="BA198" s="2154"/>
      <c r="BB198" s="2154"/>
      <c r="BC198" s="2154"/>
      <c r="BD198" s="2154"/>
      <c r="BE198" s="2154"/>
      <c r="BF198" s="2158"/>
      <c r="BG198" s="480"/>
      <c r="BH198" s="478"/>
      <c r="BI198" s="478"/>
      <c r="BJ198" s="478"/>
      <c r="BK198" s="105"/>
      <c r="BL198" s="105"/>
      <c r="BM198" s="105"/>
      <c r="BN198" s="105"/>
      <c r="BO198" s="2138"/>
      <c r="BP198" s="2138"/>
      <c r="BQ198" s="2138"/>
      <c r="BR198" s="2138"/>
      <c r="BS198" s="2138"/>
      <c r="BT198" s="2138"/>
      <c r="BU198" s="2138"/>
      <c r="BV198" s="2138"/>
      <c r="BW198" s="2139"/>
      <c r="BX198" s="105"/>
      <c r="BY198" s="105"/>
      <c r="BZ198" s="105"/>
      <c r="CA198" s="87"/>
      <c r="CB198" s="458"/>
      <c r="CC198" s="458"/>
      <c r="CD198" s="458"/>
      <c r="CE198" s="458"/>
      <c r="CF198" s="458"/>
      <c r="CG198" s="458"/>
      <c r="CH198" s="458"/>
      <c r="CI198" s="458"/>
      <c r="CJ198" s="458"/>
      <c r="CK198" s="458"/>
      <c r="CL198" s="458"/>
      <c r="CM198" s="458"/>
      <c r="CN198" s="458"/>
      <c r="CO198" s="458"/>
      <c r="CP198" s="458"/>
      <c r="CQ198" s="458"/>
      <c r="CR198" s="458"/>
      <c r="CS198" s="458"/>
      <c r="CT198" s="458"/>
      <c r="CU198" s="458"/>
      <c r="CV198" s="458"/>
      <c r="CW198" s="458"/>
      <c r="CX198" s="458"/>
      <c r="CY198" s="458"/>
      <c r="CZ198" s="458"/>
      <c r="DA198" s="458"/>
      <c r="DB198" s="458"/>
      <c r="DC198" s="458"/>
      <c r="DD198" s="458"/>
      <c r="DE198" s="419"/>
      <c r="DF198" s="419"/>
      <c r="DG198" s="419"/>
      <c r="DH198" s="419"/>
      <c r="DI198" s="419"/>
      <c r="DJ198" s="419"/>
      <c r="DK198" s="368"/>
      <c r="DL198" s="459"/>
      <c r="DM198" s="459"/>
      <c r="DN198" s="459"/>
      <c r="DO198" s="459"/>
      <c r="DP198" s="459"/>
      <c r="DQ198" s="87"/>
      <c r="DR198" s="87"/>
      <c r="DS198" s="384"/>
      <c r="DT198" s="384"/>
      <c r="DU198" s="384"/>
      <c r="DV198" s="384"/>
      <c r="DW198" s="384"/>
      <c r="DX198" s="384"/>
      <c r="DY198" s="384"/>
      <c r="DZ198" s="87"/>
      <c r="EA198" s="87"/>
      <c r="EB198" s="368"/>
      <c r="EC198" s="459"/>
      <c r="ED198" s="459"/>
      <c r="EE198" s="459"/>
      <c r="EF198" s="459"/>
      <c r="EG198" s="459"/>
      <c r="EH198" s="460"/>
      <c r="EI198" s="460"/>
      <c r="EJ198" s="460"/>
      <c r="EK198" s="460"/>
      <c r="EL198" s="460"/>
      <c r="EM198" s="460"/>
      <c r="EN198" s="460"/>
      <c r="EO198" s="460"/>
      <c r="EP198" s="460"/>
      <c r="EQ198" s="460"/>
      <c r="ER198" s="460"/>
      <c r="ES198" s="460"/>
      <c r="ET198" s="460"/>
      <c r="EU198" s="460"/>
      <c r="EV198" s="460"/>
      <c r="EW198" s="460"/>
      <c r="EX198" s="460"/>
      <c r="EY198" s="460"/>
      <c r="EZ198" s="460"/>
      <c r="FA198" s="460"/>
      <c r="FB198" s="460"/>
      <c r="FC198" s="460"/>
      <c r="FD198" s="460"/>
      <c r="FE198" s="460"/>
      <c r="FF198" s="460"/>
      <c r="FG198" s="460"/>
      <c r="FH198" s="460"/>
      <c r="FI198" s="460"/>
      <c r="FJ198" s="460"/>
      <c r="FK198" s="419"/>
      <c r="FL198" s="419"/>
      <c r="FM198" s="419"/>
      <c r="FN198" s="419"/>
      <c r="FO198" s="419"/>
      <c r="FP198" s="419"/>
      <c r="FQ198" s="384"/>
      <c r="FR198" s="384"/>
      <c r="FS198" s="384"/>
      <c r="FT198" s="384"/>
      <c r="FU198" s="384"/>
      <c r="FV198" s="384"/>
      <c r="FW198" s="384"/>
      <c r="FX198" s="384"/>
      <c r="FY198" s="384"/>
      <c r="FZ198" s="87"/>
      <c r="GA198" s="87"/>
      <c r="GD198" s="714"/>
      <c r="GE198" s="714"/>
      <c r="GH198" s="714"/>
      <c r="GI198" s="714"/>
    </row>
    <row r="199" spans="1:198" ht="9" customHeight="1" thickBot="1">
      <c r="A199" s="170"/>
      <c r="B199" s="2155"/>
      <c r="C199" s="2156"/>
      <c r="D199" s="2156"/>
      <c r="E199" s="2156"/>
      <c r="F199" s="2156"/>
      <c r="G199" s="2156"/>
      <c r="H199" s="2156"/>
      <c r="I199" s="2156"/>
      <c r="J199" s="481"/>
      <c r="K199" s="481"/>
      <c r="L199" s="482"/>
      <c r="M199" s="482"/>
      <c r="N199" s="482"/>
      <c r="O199" s="482"/>
      <c r="P199" s="482"/>
      <c r="Q199" s="482"/>
      <c r="R199" s="482"/>
      <c r="S199" s="482"/>
      <c r="T199" s="482"/>
      <c r="U199" s="482"/>
      <c r="V199" s="483"/>
      <c r="W199" s="483"/>
      <c r="X199" s="475"/>
      <c r="Y199" s="252"/>
      <c r="Z199" s="252"/>
      <c r="AA199" s="252"/>
      <c r="AB199" s="484"/>
      <c r="AC199" s="483"/>
      <c r="AD199" s="483"/>
      <c r="AE199" s="483"/>
      <c r="AF199" s="483"/>
      <c r="AG199" s="483"/>
      <c r="AH199" s="483"/>
      <c r="AI199" s="483"/>
      <c r="AJ199" s="483"/>
      <c r="AK199" s="483"/>
      <c r="AL199" s="483"/>
      <c r="AM199" s="483"/>
      <c r="AN199" s="483"/>
      <c r="AO199" s="483"/>
      <c r="AP199" s="483"/>
      <c r="AQ199" s="483"/>
      <c r="AR199" s="483"/>
      <c r="AS199" s="483"/>
      <c r="AT199" s="483"/>
      <c r="AU199" s="483"/>
      <c r="AV199" s="483"/>
      <c r="AW199" s="482"/>
      <c r="AX199" s="482"/>
      <c r="AY199" s="2156"/>
      <c r="AZ199" s="2156"/>
      <c r="BA199" s="2156"/>
      <c r="BB199" s="2156"/>
      <c r="BC199" s="2156"/>
      <c r="BD199" s="2156"/>
      <c r="BE199" s="2156"/>
      <c r="BF199" s="2159"/>
      <c r="BG199" s="477"/>
      <c r="BH199" s="478"/>
      <c r="BI199" s="478"/>
      <c r="BJ199" s="478"/>
      <c r="BK199" s="131"/>
      <c r="BL199" s="131"/>
      <c r="BM199" s="131"/>
      <c r="BN199" s="131"/>
      <c r="BO199" s="2138"/>
      <c r="BP199" s="2138"/>
      <c r="BQ199" s="2138"/>
      <c r="BR199" s="2138"/>
      <c r="BS199" s="2138"/>
      <c r="BT199" s="2138"/>
      <c r="BU199" s="2138"/>
      <c r="BV199" s="2138"/>
      <c r="BW199" s="2139"/>
      <c r="BX199" s="131"/>
      <c r="BY199" s="131"/>
      <c r="BZ199" s="131"/>
      <c r="CA199" s="87"/>
      <c r="CB199" s="2145" t="str">
        <f>IF(Race="","",IF(NOT(ISERROR(GD199)),MID(FeatsTakenList,GD195+1,GD199-GD195-1),""))</f>
        <v/>
      </c>
      <c r="CC199" s="2145"/>
      <c r="CD199" s="2145"/>
      <c r="CE199" s="2145"/>
      <c r="CF199" s="2145"/>
      <c r="CG199" s="2145"/>
      <c r="CH199" s="2145"/>
      <c r="CI199" s="2145"/>
      <c r="CJ199" s="2145"/>
      <c r="CK199" s="2145"/>
      <c r="CL199" s="2145"/>
      <c r="CM199" s="2145"/>
      <c r="CN199" s="2145"/>
      <c r="CO199" s="2145"/>
      <c r="CP199" s="2145"/>
      <c r="CQ199" s="2145"/>
      <c r="CR199" s="2145"/>
      <c r="CS199" s="2145"/>
      <c r="CT199" s="2145"/>
      <c r="CU199" s="2145"/>
      <c r="CV199" s="2145"/>
      <c r="CW199" s="2145"/>
      <c r="CX199" s="2145"/>
      <c r="CY199" s="2145"/>
      <c r="CZ199" s="2145"/>
      <c r="DA199" s="2145"/>
      <c r="DB199" s="2145"/>
      <c r="DC199" s="2145"/>
      <c r="DD199" s="2145"/>
      <c r="DE199" s="2145"/>
      <c r="DF199" s="2145"/>
      <c r="DG199" s="2145"/>
      <c r="DH199" s="2145"/>
      <c r="DI199" s="2145"/>
      <c r="DJ199" s="2145"/>
      <c r="DK199" s="2145"/>
      <c r="DL199" s="2145"/>
      <c r="DM199" s="2145"/>
      <c r="DN199" s="2145"/>
      <c r="DO199" s="2145"/>
      <c r="DP199" s="2145"/>
      <c r="DQ199" s="87"/>
      <c r="DR199" s="87"/>
      <c r="DS199" s="2147" t="str">
        <f>IF(Race="","",IF(NOT(ISERROR(GE199)),MID(FeatsTakenListPageRef,GE195+1,GE199-GE195-1),""))</f>
        <v/>
      </c>
      <c r="DT199" s="2147"/>
      <c r="DU199" s="2147"/>
      <c r="DV199" s="2147"/>
      <c r="DW199" s="2147"/>
      <c r="DX199" s="2147"/>
      <c r="DY199" s="2147"/>
      <c r="DZ199" s="87"/>
      <c r="EA199" s="87"/>
      <c r="EB199" s="2145" t="str">
        <f>IF(Race="","",IF(NOT(ISERROR(GH199)),MID(FeatsTakenList,GH195+1,GH199-GH195-1),""))</f>
        <v/>
      </c>
      <c r="EC199" s="2145"/>
      <c r="ED199" s="2145"/>
      <c r="EE199" s="2145"/>
      <c r="EF199" s="2145"/>
      <c r="EG199" s="2145"/>
      <c r="EH199" s="2145"/>
      <c r="EI199" s="2145"/>
      <c r="EJ199" s="2145"/>
      <c r="EK199" s="2145"/>
      <c r="EL199" s="2145"/>
      <c r="EM199" s="2145"/>
      <c r="EN199" s="2145"/>
      <c r="EO199" s="2145"/>
      <c r="EP199" s="2145"/>
      <c r="EQ199" s="2145"/>
      <c r="ER199" s="2145"/>
      <c r="ES199" s="2145"/>
      <c r="ET199" s="2145"/>
      <c r="EU199" s="2145"/>
      <c r="EV199" s="2145"/>
      <c r="EW199" s="2145"/>
      <c r="EX199" s="2145"/>
      <c r="EY199" s="2145"/>
      <c r="EZ199" s="2145"/>
      <c r="FA199" s="2145"/>
      <c r="FB199" s="2145"/>
      <c r="FC199" s="2145"/>
      <c r="FD199" s="2145"/>
      <c r="FE199" s="2145"/>
      <c r="FF199" s="2145"/>
      <c r="FG199" s="2145"/>
      <c r="FH199" s="2145"/>
      <c r="FI199" s="2145"/>
      <c r="FJ199" s="2145"/>
      <c r="FK199" s="2145"/>
      <c r="FL199" s="2145"/>
      <c r="FM199" s="2145"/>
      <c r="FN199" s="2145"/>
      <c r="FO199" s="2145"/>
      <c r="FP199" s="2145"/>
      <c r="FQ199" s="87"/>
      <c r="FR199" s="87"/>
      <c r="FS199" s="2147" t="str">
        <f>IF(Race="","",IF(NOT(ISERROR(GI199)),MID(FeatsTakenListPageRef,GI195+1,GI199-GI195-1),""))</f>
        <v/>
      </c>
      <c r="FT199" s="2147"/>
      <c r="FU199" s="2147"/>
      <c r="FV199" s="2147"/>
      <c r="FW199" s="2147"/>
      <c r="FX199" s="2147"/>
      <c r="FY199" s="2147"/>
      <c r="FZ199" s="87"/>
      <c r="GA199" s="87"/>
      <c r="GC199" s="1853">
        <f>GC195+1</f>
        <v>8</v>
      </c>
      <c r="GD199" s="1853" t="e">
        <f ca="1">FIND(";",FeatsTakenList,GD195+1)</f>
        <v>#VALUE!</v>
      </c>
      <c r="GE199" s="1853" t="e">
        <f ca="1">FIND(";",FeatsTakenListPageRef,GE195+1)</f>
        <v>#VALUE!</v>
      </c>
      <c r="GG199" s="1853">
        <f>GG195+1</f>
        <v>22</v>
      </c>
      <c r="GH199" s="1853" t="e">
        <f ca="1">FIND(";",FeatsTakenList,GH195+1)</f>
        <v>#VALUE!</v>
      </c>
      <c r="GI199" s="1853" t="e">
        <f ca="1">FIND(";",FeatsTakenListPageRef,GI195+1)</f>
        <v>#VALUE!</v>
      </c>
    </row>
    <row r="200" spans="1:198" ht="9" customHeight="1" thickTop="1">
      <c r="A200" s="87"/>
      <c r="B200" s="252"/>
      <c r="C200" s="252"/>
      <c r="D200" s="252"/>
      <c r="E200" s="252"/>
      <c r="F200" s="252"/>
      <c r="G200" s="252"/>
      <c r="H200" s="252"/>
      <c r="I200" s="252"/>
      <c r="J200" s="476"/>
      <c r="K200" s="476"/>
      <c r="L200" s="476"/>
      <c r="M200" s="476"/>
      <c r="N200" s="476"/>
      <c r="O200" s="476"/>
      <c r="P200" s="476"/>
      <c r="Q200" s="476"/>
      <c r="R200" s="476"/>
      <c r="S200" s="476"/>
      <c r="T200" s="476"/>
      <c r="U200" s="476"/>
      <c r="V200" s="252"/>
      <c r="W200" s="252"/>
      <c r="X200" s="252"/>
      <c r="Y200" s="252"/>
      <c r="Z200" s="252"/>
      <c r="AA200" s="252"/>
      <c r="AB200" s="252"/>
      <c r="AC200" s="252"/>
      <c r="AD200" s="252"/>
      <c r="AE200" s="252"/>
      <c r="AF200" s="252"/>
      <c r="AG200" s="252"/>
      <c r="AH200" s="252"/>
      <c r="AI200" s="252"/>
      <c r="AJ200" s="252"/>
      <c r="AK200" s="252"/>
      <c r="AL200" s="252"/>
      <c r="AM200" s="252"/>
      <c r="AN200" s="252"/>
      <c r="AO200" s="252"/>
      <c r="AP200" s="252"/>
      <c r="AQ200" s="252"/>
      <c r="AR200" s="252"/>
      <c r="AS200" s="252"/>
      <c r="AT200" s="252"/>
      <c r="AU200" s="252"/>
      <c r="AV200" s="252"/>
      <c r="AW200" s="476"/>
      <c r="AX200" s="476"/>
      <c r="AY200" s="476"/>
      <c r="AZ200" s="476"/>
      <c r="BA200" s="476"/>
      <c r="BB200" s="476"/>
      <c r="BC200" s="476"/>
      <c r="BD200" s="476"/>
      <c r="BE200" s="476"/>
      <c r="BF200" s="131"/>
      <c r="BG200" s="445"/>
      <c r="BH200" s="131"/>
      <c r="BI200" s="131"/>
      <c r="BJ200" s="131"/>
      <c r="BK200" s="131"/>
      <c r="BL200" s="131"/>
      <c r="BM200" s="131"/>
      <c r="BN200" s="131"/>
      <c r="BO200" s="2138"/>
      <c r="BP200" s="2138"/>
      <c r="BQ200" s="2138"/>
      <c r="BR200" s="2138"/>
      <c r="BS200" s="2138"/>
      <c r="BT200" s="2138"/>
      <c r="BU200" s="2138"/>
      <c r="BV200" s="2138"/>
      <c r="BW200" s="2139"/>
      <c r="BX200" s="131"/>
      <c r="BY200" s="131"/>
      <c r="BZ200" s="131"/>
      <c r="CA200" s="87"/>
      <c r="CB200" s="2145"/>
      <c r="CC200" s="2145"/>
      <c r="CD200" s="2145"/>
      <c r="CE200" s="2145"/>
      <c r="CF200" s="2145"/>
      <c r="CG200" s="2145"/>
      <c r="CH200" s="2145"/>
      <c r="CI200" s="2145"/>
      <c r="CJ200" s="2145"/>
      <c r="CK200" s="2145"/>
      <c r="CL200" s="2145"/>
      <c r="CM200" s="2145"/>
      <c r="CN200" s="2145"/>
      <c r="CO200" s="2145"/>
      <c r="CP200" s="2145"/>
      <c r="CQ200" s="2145"/>
      <c r="CR200" s="2145"/>
      <c r="CS200" s="2145"/>
      <c r="CT200" s="2145"/>
      <c r="CU200" s="2145"/>
      <c r="CV200" s="2145"/>
      <c r="CW200" s="2145"/>
      <c r="CX200" s="2145"/>
      <c r="CY200" s="2145"/>
      <c r="CZ200" s="2145"/>
      <c r="DA200" s="2145"/>
      <c r="DB200" s="2145"/>
      <c r="DC200" s="2145"/>
      <c r="DD200" s="2145"/>
      <c r="DE200" s="2145"/>
      <c r="DF200" s="2145"/>
      <c r="DG200" s="2145"/>
      <c r="DH200" s="2145"/>
      <c r="DI200" s="2145"/>
      <c r="DJ200" s="2145"/>
      <c r="DK200" s="2145"/>
      <c r="DL200" s="2145"/>
      <c r="DM200" s="2145"/>
      <c r="DN200" s="2145"/>
      <c r="DO200" s="2145"/>
      <c r="DP200" s="2145"/>
      <c r="DQ200" s="87"/>
      <c r="DR200" s="87"/>
      <c r="DS200" s="2147"/>
      <c r="DT200" s="2147"/>
      <c r="DU200" s="2147"/>
      <c r="DV200" s="2147"/>
      <c r="DW200" s="2147"/>
      <c r="DX200" s="2147"/>
      <c r="DY200" s="2147"/>
      <c r="DZ200" s="87"/>
      <c r="EA200" s="87"/>
      <c r="EB200" s="2145"/>
      <c r="EC200" s="2145"/>
      <c r="ED200" s="2145"/>
      <c r="EE200" s="2145"/>
      <c r="EF200" s="2145"/>
      <c r="EG200" s="2145"/>
      <c r="EH200" s="2145"/>
      <c r="EI200" s="2145"/>
      <c r="EJ200" s="2145"/>
      <c r="EK200" s="2145"/>
      <c r="EL200" s="2145"/>
      <c r="EM200" s="2145"/>
      <c r="EN200" s="2145"/>
      <c r="EO200" s="2145"/>
      <c r="EP200" s="2145"/>
      <c r="EQ200" s="2145"/>
      <c r="ER200" s="2145"/>
      <c r="ES200" s="2145"/>
      <c r="ET200" s="2145"/>
      <c r="EU200" s="2145"/>
      <c r="EV200" s="2145"/>
      <c r="EW200" s="2145"/>
      <c r="EX200" s="2145"/>
      <c r="EY200" s="2145"/>
      <c r="EZ200" s="2145"/>
      <c r="FA200" s="2145"/>
      <c r="FB200" s="2145"/>
      <c r="FC200" s="2145"/>
      <c r="FD200" s="2145"/>
      <c r="FE200" s="2145"/>
      <c r="FF200" s="2145"/>
      <c r="FG200" s="2145"/>
      <c r="FH200" s="2145"/>
      <c r="FI200" s="2145"/>
      <c r="FJ200" s="2145"/>
      <c r="FK200" s="2145"/>
      <c r="FL200" s="2145"/>
      <c r="FM200" s="2145"/>
      <c r="FN200" s="2145"/>
      <c r="FO200" s="2145"/>
      <c r="FP200" s="2145"/>
      <c r="FQ200" s="87"/>
      <c r="FR200" s="87"/>
      <c r="FS200" s="2147"/>
      <c r="FT200" s="2147"/>
      <c r="FU200" s="2147"/>
      <c r="FV200" s="2147"/>
      <c r="FW200" s="2147"/>
      <c r="FX200" s="2147"/>
      <c r="FY200" s="2147"/>
      <c r="FZ200" s="87"/>
      <c r="GA200" s="87"/>
      <c r="GC200" s="1853"/>
      <c r="GD200" s="1853"/>
      <c r="GE200" s="1853"/>
      <c r="GG200" s="1853"/>
      <c r="GH200" s="1853"/>
      <c r="GI200" s="1853"/>
    </row>
    <row r="201" spans="1:198" ht="9" customHeight="1" thickBot="1">
      <c r="A201" s="87"/>
      <c r="B201" s="87"/>
      <c r="C201" s="252"/>
      <c r="D201" s="252"/>
      <c r="E201" s="252"/>
      <c r="F201" s="252"/>
      <c r="G201" s="252"/>
      <c r="H201" s="252"/>
      <c r="I201" s="252"/>
      <c r="J201" s="252"/>
      <c r="K201" s="252"/>
      <c r="L201" s="252"/>
      <c r="M201" s="252"/>
      <c r="N201" s="252"/>
      <c r="O201" s="252"/>
      <c r="P201" s="252"/>
      <c r="Q201" s="252"/>
      <c r="R201" s="252"/>
      <c r="S201" s="252"/>
      <c r="T201" s="252"/>
      <c r="U201" s="252"/>
      <c r="V201" s="252"/>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252"/>
      <c r="AS201" s="252"/>
      <c r="AT201" s="252"/>
      <c r="AU201" s="252"/>
      <c r="AV201" s="252"/>
      <c r="AW201" s="476"/>
      <c r="AX201" s="476"/>
      <c r="AY201" s="476"/>
      <c r="AZ201" s="476"/>
      <c r="BA201" s="476"/>
      <c r="BB201" s="476"/>
      <c r="BC201" s="476"/>
      <c r="BD201" s="476"/>
      <c r="BE201" s="476"/>
      <c r="BF201" s="131"/>
      <c r="BG201" s="131"/>
      <c r="BH201" s="446"/>
      <c r="BI201" s="131"/>
      <c r="BJ201" s="131"/>
      <c r="BK201" s="131"/>
      <c r="BL201" s="131"/>
      <c r="BM201" s="131"/>
      <c r="BN201" s="131"/>
      <c r="BO201" s="2138"/>
      <c r="BP201" s="2138"/>
      <c r="BQ201" s="2138"/>
      <c r="BR201" s="2138"/>
      <c r="BS201" s="2138"/>
      <c r="BT201" s="2138"/>
      <c r="BU201" s="2138"/>
      <c r="BV201" s="2138"/>
      <c r="BW201" s="2139"/>
      <c r="BX201" s="131"/>
      <c r="BY201" s="131"/>
      <c r="BZ201" s="131"/>
      <c r="CA201" s="87"/>
      <c r="CB201" s="2146"/>
      <c r="CC201" s="2146"/>
      <c r="CD201" s="2146"/>
      <c r="CE201" s="2146"/>
      <c r="CF201" s="2146"/>
      <c r="CG201" s="2146"/>
      <c r="CH201" s="2146"/>
      <c r="CI201" s="2146"/>
      <c r="CJ201" s="2146"/>
      <c r="CK201" s="2146"/>
      <c r="CL201" s="2146"/>
      <c r="CM201" s="2146"/>
      <c r="CN201" s="2146"/>
      <c r="CO201" s="2146"/>
      <c r="CP201" s="2146"/>
      <c r="CQ201" s="2146"/>
      <c r="CR201" s="2146"/>
      <c r="CS201" s="2146"/>
      <c r="CT201" s="2146"/>
      <c r="CU201" s="2146"/>
      <c r="CV201" s="2146"/>
      <c r="CW201" s="2146"/>
      <c r="CX201" s="2146"/>
      <c r="CY201" s="2146"/>
      <c r="CZ201" s="2146"/>
      <c r="DA201" s="2146"/>
      <c r="DB201" s="2146"/>
      <c r="DC201" s="2146"/>
      <c r="DD201" s="2146"/>
      <c r="DE201" s="2146"/>
      <c r="DF201" s="2146"/>
      <c r="DG201" s="2146"/>
      <c r="DH201" s="2146"/>
      <c r="DI201" s="2146"/>
      <c r="DJ201" s="2146"/>
      <c r="DK201" s="2146"/>
      <c r="DL201" s="2146"/>
      <c r="DM201" s="2146"/>
      <c r="DN201" s="2146"/>
      <c r="DO201" s="2146"/>
      <c r="DP201" s="2146"/>
      <c r="DQ201" s="87"/>
      <c r="DR201" s="87"/>
      <c r="DS201" s="2148"/>
      <c r="DT201" s="2148"/>
      <c r="DU201" s="2148"/>
      <c r="DV201" s="2148"/>
      <c r="DW201" s="2148"/>
      <c r="DX201" s="2148"/>
      <c r="DY201" s="2148"/>
      <c r="DZ201" s="87"/>
      <c r="EA201" s="87"/>
      <c r="EB201" s="2146"/>
      <c r="EC201" s="2146"/>
      <c r="ED201" s="2146"/>
      <c r="EE201" s="2146"/>
      <c r="EF201" s="2146"/>
      <c r="EG201" s="2146"/>
      <c r="EH201" s="2146"/>
      <c r="EI201" s="2146"/>
      <c r="EJ201" s="2146"/>
      <c r="EK201" s="2146"/>
      <c r="EL201" s="2146"/>
      <c r="EM201" s="2146"/>
      <c r="EN201" s="2146"/>
      <c r="EO201" s="2146"/>
      <c r="EP201" s="2146"/>
      <c r="EQ201" s="2146"/>
      <c r="ER201" s="2146"/>
      <c r="ES201" s="2146"/>
      <c r="ET201" s="2146"/>
      <c r="EU201" s="2146"/>
      <c r="EV201" s="2146"/>
      <c r="EW201" s="2146"/>
      <c r="EX201" s="2146"/>
      <c r="EY201" s="2146"/>
      <c r="EZ201" s="2146"/>
      <c r="FA201" s="2146"/>
      <c r="FB201" s="2146"/>
      <c r="FC201" s="2146"/>
      <c r="FD201" s="2146"/>
      <c r="FE201" s="2146"/>
      <c r="FF201" s="2146"/>
      <c r="FG201" s="2146"/>
      <c r="FH201" s="2146"/>
      <c r="FI201" s="2146"/>
      <c r="FJ201" s="2146"/>
      <c r="FK201" s="2146"/>
      <c r="FL201" s="2146"/>
      <c r="FM201" s="2146"/>
      <c r="FN201" s="2146"/>
      <c r="FO201" s="2146"/>
      <c r="FP201" s="2146"/>
      <c r="FQ201" s="87"/>
      <c r="FR201" s="87"/>
      <c r="FS201" s="2148"/>
      <c r="FT201" s="2148"/>
      <c r="FU201" s="2148"/>
      <c r="FV201" s="2148"/>
      <c r="FW201" s="2148"/>
      <c r="FX201" s="2148"/>
      <c r="FY201" s="2148"/>
      <c r="FZ201" s="87"/>
      <c r="GA201" s="87"/>
      <c r="GC201" s="1853"/>
      <c r="GD201" s="1853"/>
      <c r="GE201" s="1853"/>
      <c r="GG201" s="1853"/>
      <c r="GH201" s="1853"/>
      <c r="GI201" s="1853"/>
    </row>
    <row r="202" spans="1:198" ht="9" customHeight="1" thickTop="1" thickBot="1">
      <c r="A202" s="87"/>
      <c r="B202" s="448"/>
      <c r="C202" s="448"/>
      <c r="D202" s="153"/>
      <c r="E202" s="1855" t="s">
        <v>3645</v>
      </c>
      <c r="F202" s="1855"/>
      <c r="G202" s="1855"/>
      <c r="H202" s="1855"/>
      <c r="I202" s="1855"/>
      <c r="J202" s="1855"/>
      <c r="K202" s="1855"/>
      <c r="L202" s="1855"/>
      <c r="M202" s="1855"/>
      <c r="N202" s="1855"/>
      <c r="O202" s="1855"/>
      <c r="P202" s="1855"/>
      <c r="Q202" s="1855"/>
      <c r="R202" s="1855"/>
      <c r="S202" s="1855"/>
      <c r="T202" s="1855"/>
      <c r="U202" s="1855"/>
      <c r="V202" s="1855"/>
      <c r="W202" s="1855"/>
      <c r="X202" s="1855"/>
      <c r="Y202" s="1855"/>
      <c r="Z202" s="1855"/>
      <c r="AA202" s="1855"/>
      <c r="AB202" s="1855"/>
      <c r="AC202" s="1855"/>
      <c r="AD202" s="154"/>
      <c r="AE202" s="448"/>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31"/>
      <c r="BG202" s="485"/>
      <c r="BH202" s="486"/>
      <c r="BI202" s="446"/>
      <c r="BJ202" s="131"/>
      <c r="BK202" s="131"/>
      <c r="BL202" s="131"/>
      <c r="BM202" s="131"/>
      <c r="BN202" s="131"/>
      <c r="BO202" s="2138"/>
      <c r="BP202" s="2138"/>
      <c r="BQ202" s="2138"/>
      <c r="BR202" s="2138"/>
      <c r="BS202" s="2138"/>
      <c r="BT202" s="2138"/>
      <c r="BU202" s="2138"/>
      <c r="BV202" s="2138"/>
      <c r="BW202" s="2139"/>
      <c r="BX202" s="131"/>
      <c r="BY202" s="131"/>
      <c r="BZ202" s="131"/>
      <c r="CA202" s="87"/>
      <c r="CB202" s="460"/>
      <c r="CC202" s="460"/>
      <c r="CD202" s="460"/>
      <c r="CE202" s="460"/>
      <c r="CF202" s="460"/>
      <c r="CG202" s="460"/>
      <c r="CH202" s="460"/>
      <c r="CI202" s="460"/>
      <c r="CJ202" s="460"/>
      <c r="CK202" s="460"/>
      <c r="CL202" s="460"/>
      <c r="CM202" s="460"/>
      <c r="CN202" s="460"/>
      <c r="CO202" s="460"/>
      <c r="CP202" s="460"/>
      <c r="CQ202" s="460"/>
      <c r="CR202" s="460"/>
      <c r="CS202" s="460"/>
      <c r="CT202" s="460"/>
      <c r="CU202" s="460"/>
      <c r="CV202" s="460"/>
      <c r="CW202" s="460"/>
      <c r="CX202" s="460"/>
      <c r="CY202" s="460"/>
      <c r="CZ202" s="460"/>
      <c r="DA202" s="460"/>
      <c r="DB202" s="460"/>
      <c r="DC202" s="460"/>
      <c r="DD202" s="460"/>
      <c r="DE202" s="419"/>
      <c r="DF202" s="419"/>
      <c r="DG202" s="419"/>
      <c r="DH202" s="419"/>
      <c r="DI202" s="419"/>
      <c r="DJ202" s="419"/>
      <c r="DK202" s="368"/>
      <c r="DL202" s="459"/>
      <c r="DM202" s="459"/>
      <c r="DN202" s="459"/>
      <c r="DO202" s="459"/>
      <c r="DP202" s="459"/>
      <c r="DQ202" s="87"/>
      <c r="DR202" s="87"/>
      <c r="DS202" s="384"/>
      <c r="DT202" s="384"/>
      <c r="DU202" s="384"/>
      <c r="DV202" s="384"/>
      <c r="DW202" s="384"/>
      <c r="DX202" s="384"/>
      <c r="DY202" s="384"/>
      <c r="DZ202" s="87"/>
      <c r="EA202" s="87"/>
      <c r="EB202" s="368"/>
      <c r="EC202" s="459"/>
      <c r="ED202" s="459"/>
      <c r="EE202" s="459"/>
      <c r="EF202" s="459"/>
      <c r="EG202" s="459"/>
      <c r="EH202" s="460"/>
      <c r="EI202" s="460"/>
      <c r="EJ202" s="460"/>
      <c r="EK202" s="460"/>
      <c r="EL202" s="460"/>
      <c r="EM202" s="460"/>
      <c r="EN202" s="460"/>
      <c r="EO202" s="460"/>
      <c r="EP202" s="460"/>
      <c r="EQ202" s="460"/>
      <c r="ER202" s="460"/>
      <c r="ES202" s="460"/>
      <c r="ET202" s="460"/>
      <c r="EU202" s="460"/>
      <c r="EV202" s="460"/>
      <c r="EW202" s="460"/>
      <c r="EX202" s="460"/>
      <c r="EY202" s="460"/>
      <c r="EZ202" s="460"/>
      <c r="FA202" s="460"/>
      <c r="FB202" s="460"/>
      <c r="FC202" s="460"/>
      <c r="FD202" s="460"/>
      <c r="FE202" s="460"/>
      <c r="FF202" s="460"/>
      <c r="FG202" s="460"/>
      <c r="FH202" s="460"/>
      <c r="FI202" s="460"/>
      <c r="FJ202" s="460"/>
      <c r="FK202" s="419"/>
      <c r="FL202" s="419"/>
      <c r="FM202" s="419"/>
      <c r="FN202" s="419"/>
      <c r="FO202" s="419"/>
      <c r="FP202" s="419"/>
      <c r="FQ202" s="384"/>
      <c r="FR202" s="384"/>
      <c r="FS202" s="384"/>
      <c r="FT202" s="384"/>
      <c r="FU202" s="384"/>
      <c r="FV202" s="384"/>
      <c r="FW202" s="384"/>
      <c r="FX202" s="384"/>
      <c r="FY202" s="384"/>
      <c r="FZ202" s="87"/>
      <c r="GA202" s="87"/>
      <c r="GD202" s="714"/>
      <c r="GE202" s="714"/>
      <c r="GH202" s="714"/>
      <c r="GI202" s="714"/>
    </row>
    <row r="203" spans="1:198" ht="9" customHeight="1">
      <c r="A203" s="87"/>
      <c r="B203" s="451"/>
      <c r="C203" s="451"/>
      <c r="D203" s="162"/>
      <c r="E203" s="1856"/>
      <c r="F203" s="1856"/>
      <c r="G203" s="1856"/>
      <c r="H203" s="1856"/>
      <c r="I203" s="1856"/>
      <c r="J203" s="1856"/>
      <c r="K203" s="1856"/>
      <c r="L203" s="1856"/>
      <c r="M203" s="1856"/>
      <c r="N203" s="1856"/>
      <c r="O203" s="1856"/>
      <c r="P203" s="1856"/>
      <c r="Q203" s="1856"/>
      <c r="R203" s="1856"/>
      <c r="S203" s="1856"/>
      <c r="T203" s="1856"/>
      <c r="U203" s="1856"/>
      <c r="V203" s="1856"/>
      <c r="W203" s="1856"/>
      <c r="X203" s="1856"/>
      <c r="Y203" s="1856"/>
      <c r="Z203" s="1856"/>
      <c r="AA203" s="1856"/>
      <c r="AB203" s="1856"/>
      <c r="AC203" s="1856"/>
      <c r="AD203" s="163"/>
      <c r="AE203" s="451"/>
      <c r="AF203" s="1858"/>
      <c r="AG203" s="1858"/>
      <c r="AH203" s="1858"/>
      <c r="AI203" s="1858"/>
      <c r="AJ203" s="1858"/>
      <c r="AK203" s="1858"/>
      <c r="AL203" s="1858"/>
      <c r="AM203" s="1858"/>
      <c r="AN203" s="1858"/>
      <c r="AO203" s="1858"/>
      <c r="AP203" s="1858"/>
      <c r="AQ203" s="1858"/>
      <c r="AR203" s="1858"/>
      <c r="AS203" s="1858"/>
      <c r="AT203" s="1858"/>
      <c r="AU203" s="1858"/>
      <c r="AV203" s="1858"/>
      <c r="AW203" s="1858"/>
      <c r="AX203" s="1858"/>
      <c r="AY203" s="1858"/>
      <c r="AZ203" s="1858"/>
      <c r="BA203" s="1858"/>
      <c r="BB203" s="1858"/>
      <c r="BC203" s="1858"/>
      <c r="BD203" s="1858"/>
      <c r="BE203" s="1858"/>
      <c r="BF203" s="1858"/>
      <c r="BG203" s="1858"/>
      <c r="BH203" s="100"/>
      <c r="BI203" s="100"/>
      <c r="BJ203" s="487"/>
      <c r="BK203" s="105"/>
      <c r="BL203" s="105"/>
      <c r="BM203" s="105"/>
      <c r="BN203" s="105"/>
      <c r="BO203" s="2138"/>
      <c r="BP203" s="2138"/>
      <c r="BQ203" s="2138"/>
      <c r="BR203" s="2138"/>
      <c r="BS203" s="2138"/>
      <c r="BT203" s="2138"/>
      <c r="BU203" s="2138"/>
      <c r="BV203" s="2138"/>
      <c r="BW203" s="2139"/>
      <c r="BX203" s="105"/>
      <c r="BY203" s="105"/>
      <c r="BZ203" s="105"/>
      <c r="CA203" s="87"/>
      <c r="CB203" s="2145" t="str">
        <f>IF(Race="","",IF(NOT(ISERROR(GD203)),MID(FeatsTakenList,GD199+1,GD203-GD199-1),""))</f>
        <v/>
      </c>
      <c r="CC203" s="2145"/>
      <c r="CD203" s="2145"/>
      <c r="CE203" s="2145"/>
      <c r="CF203" s="2145"/>
      <c r="CG203" s="2145"/>
      <c r="CH203" s="2145"/>
      <c r="CI203" s="2145"/>
      <c r="CJ203" s="2145"/>
      <c r="CK203" s="2145"/>
      <c r="CL203" s="2145"/>
      <c r="CM203" s="2145"/>
      <c r="CN203" s="2145"/>
      <c r="CO203" s="2145"/>
      <c r="CP203" s="2145"/>
      <c r="CQ203" s="2145"/>
      <c r="CR203" s="2145"/>
      <c r="CS203" s="2145"/>
      <c r="CT203" s="2145"/>
      <c r="CU203" s="2145"/>
      <c r="CV203" s="2145"/>
      <c r="CW203" s="2145"/>
      <c r="CX203" s="2145"/>
      <c r="CY203" s="2145"/>
      <c r="CZ203" s="2145"/>
      <c r="DA203" s="2145"/>
      <c r="DB203" s="2145"/>
      <c r="DC203" s="2145"/>
      <c r="DD203" s="2145"/>
      <c r="DE203" s="2145"/>
      <c r="DF203" s="2145"/>
      <c r="DG203" s="2145"/>
      <c r="DH203" s="2145"/>
      <c r="DI203" s="2145"/>
      <c r="DJ203" s="2145"/>
      <c r="DK203" s="2145"/>
      <c r="DL203" s="2145"/>
      <c r="DM203" s="2145"/>
      <c r="DN203" s="2145"/>
      <c r="DO203" s="2145"/>
      <c r="DP203" s="2145"/>
      <c r="DQ203" s="87"/>
      <c r="DR203" s="87"/>
      <c r="DS203" s="2147" t="str">
        <f>IF(Race="","",IF(NOT(ISERROR(GE203)),MID(FeatsTakenListPageRef,GE199+1,GE203-GE199-1),""))</f>
        <v/>
      </c>
      <c r="DT203" s="2147"/>
      <c r="DU203" s="2147"/>
      <c r="DV203" s="2147"/>
      <c r="DW203" s="2147"/>
      <c r="DX203" s="2147"/>
      <c r="DY203" s="2147"/>
      <c r="DZ203" s="87"/>
      <c r="EA203" s="87"/>
      <c r="EB203" s="2145" t="str">
        <f>IF(Race="","",IF(NOT(ISERROR(GH203)),MID(FeatsTakenList,GH199+1,GH203-GH199-1),""))</f>
        <v/>
      </c>
      <c r="EC203" s="2145"/>
      <c r="ED203" s="2145"/>
      <c r="EE203" s="2145"/>
      <c r="EF203" s="2145"/>
      <c r="EG203" s="2145"/>
      <c r="EH203" s="2145"/>
      <c r="EI203" s="2145"/>
      <c r="EJ203" s="2145"/>
      <c r="EK203" s="2145"/>
      <c r="EL203" s="2145"/>
      <c r="EM203" s="2145"/>
      <c r="EN203" s="2145"/>
      <c r="EO203" s="2145"/>
      <c r="EP203" s="2145"/>
      <c r="EQ203" s="2145"/>
      <c r="ER203" s="2145"/>
      <c r="ES203" s="2145"/>
      <c r="ET203" s="2145"/>
      <c r="EU203" s="2145"/>
      <c r="EV203" s="2145"/>
      <c r="EW203" s="2145"/>
      <c r="EX203" s="2145"/>
      <c r="EY203" s="2145"/>
      <c r="EZ203" s="2145"/>
      <c r="FA203" s="2145"/>
      <c r="FB203" s="2145"/>
      <c r="FC203" s="2145"/>
      <c r="FD203" s="2145"/>
      <c r="FE203" s="2145"/>
      <c r="FF203" s="2145"/>
      <c r="FG203" s="2145"/>
      <c r="FH203" s="2145"/>
      <c r="FI203" s="2145"/>
      <c r="FJ203" s="2145"/>
      <c r="FK203" s="2145"/>
      <c r="FL203" s="2145"/>
      <c r="FM203" s="2145"/>
      <c r="FN203" s="2145"/>
      <c r="FO203" s="2145"/>
      <c r="FP203" s="2145"/>
      <c r="FQ203" s="87"/>
      <c r="FR203" s="87"/>
      <c r="FS203" s="2147" t="str">
        <f>IF(Race="","",IF(NOT(ISERROR(GI203)),MID(FeatsTakenListPageRef,GI199+1,GI203-GI199-1),""))</f>
        <v/>
      </c>
      <c r="FT203" s="2147"/>
      <c r="FU203" s="2147"/>
      <c r="FV203" s="2147"/>
      <c r="FW203" s="2147"/>
      <c r="FX203" s="2147"/>
      <c r="FY203" s="2147"/>
      <c r="FZ203" s="87"/>
      <c r="GA203" s="87"/>
      <c r="GC203" s="1853">
        <f>GC199+1</f>
        <v>9</v>
      </c>
      <c r="GD203" s="1853" t="e">
        <f ca="1">FIND(";",FeatsTakenList,GD199+1)</f>
        <v>#VALUE!</v>
      </c>
      <c r="GE203" s="1853" t="e">
        <f ca="1">FIND(";",FeatsTakenListPageRef,GE199+1)</f>
        <v>#VALUE!</v>
      </c>
      <c r="GG203" s="1853">
        <f>GG199+1</f>
        <v>23</v>
      </c>
      <c r="GH203" s="1853" t="e">
        <f ca="1">FIND(";",FeatsTakenList,GH199+1)</f>
        <v>#VALUE!</v>
      </c>
      <c r="GI203" s="1853" t="e">
        <f ca="1">FIND(";",FeatsTakenListPageRef,GI199+1)</f>
        <v>#VALUE!</v>
      </c>
    </row>
    <row r="204" spans="1:198" ht="9" customHeight="1" thickBot="1">
      <c r="A204" s="87"/>
      <c r="B204" s="452"/>
      <c r="C204" s="453"/>
      <c r="D204" s="162"/>
      <c r="E204" s="1856"/>
      <c r="F204" s="1856"/>
      <c r="G204" s="1856"/>
      <c r="H204" s="1856"/>
      <c r="I204" s="1856"/>
      <c r="J204" s="1856"/>
      <c r="K204" s="1856"/>
      <c r="L204" s="1856"/>
      <c r="M204" s="1856"/>
      <c r="N204" s="1856"/>
      <c r="O204" s="1856"/>
      <c r="P204" s="1856"/>
      <c r="Q204" s="1856"/>
      <c r="R204" s="1856"/>
      <c r="S204" s="1856"/>
      <c r="T204" s="1856"/>
      <c r="U204" s="1856"/>
      <c r="V204" s="1856"/>
      <c r="W204" s="1856"/>
      <c r="X204" s="1856"/>
      <c r="Y204" s="1856"/>
      <c r="Z204" s="1856"/>
      <c r="AA204" s="1856"/>
      <c r="AB204" s="1856"/>
      <c r="AC204" s="1856"/>
      <c r="AD204" s="163"/>
      <c r="AE204" s="454"/>
      <c r="AF204" s="2163"/>
      <c r="AG204" s="2163"/>
      <c r="AH204" s="2163"/>
      <c r="AI204" s="2163"/>
      <c r="AJ204" s="2163"/>
      <c r="AK204" s="2163"/>
      <c r="AL204" s="2163"/>
      <c r="AM204" s="2163"/>
      <c r="AN204" s="2163"/>
      <c r="AO204" s="2163"/>
      <c r="AP204" s="2163"/>
      <c r="AQ204" s="2163"/>
      <c r="AR204" s="2163"/>
      <c r="AS204" s="2163"/>
      <c r="AT204" s="2163"/>
      <c r="AU204" s="2163"/>
      <c r="AV204" s="2163"/>
      <c r="AW204" s="2163"/>
      <c r="AX204" s="2163"/>
      <c r="AY204" s="2163"/>
      <c r="AZ204" s="2163"/>
      <c r="BA204" s="2163"/>
      <c r="BB204" s="2163"/>
      <c r="BC204" s="2163"/>
      <c r="BD204" s="2163"/>
      <c r="BE204" s="2163"/>
      <c r="BF204" s="2163"/>
      <c r="BG204" s="2163"/>
      <c r="BH204" s="100"/>
      <c r="BI204" s="100"/>
      <c r="BJ204" s="105"/>
      <c r="BK204" s="487"/>
      <c r="BL204" s="105"/>
      <c r="BM204" s="105"/>
      <c r="BN204" s="105"/>
      <c r="BO204" s="2138"/>
      <c r="BP204" s="2138"/>
      <c r="BQ204" s="2138"/>
      <c r="BR204" s="2138"/>
      <c r="BS204" s="2138"/>
      <c r="BT204" s="2138"/>
      <c r="BU204" s="2138"/>
      <c r="BV204" s="2138"/>
      <c r="BW204" s="2139"/>
      <c r="BX204" s="105"/>
      <c r="BY204" s="105"/>
      <c r="BZ204" s="105"/>
      <c r="CA204" s="87"/>
      <c r="CB204" s="2145"/>
      <c r="CC204" s="2145"/>
      <c r="CD204" s="2145"/>
      <c r="CE204" s="2145"/>
      <c r="CF204" s="2145"/>
      <c r="CG204" s="2145"/>
      <c r="CH204" s="2145"/>
      <c r="CI204" s="2145"/>
      <c r="CJ204" s="2145"/>
      <c r="CK204" s="2145"/>
      <c r="CL204" s="2145"/>
      <c r="CM204" s="2145"/>
      <c r="CN204" s="2145"/>
      <c r="CO204" s="2145"/>
      <c r="CP204" s="2145"/>
      <c r="CQ204" s="2145"/>
      <c r="CR204" s="2145"/>
      <c r="CS204" s="2145"/>
      <c r="CT204" s="2145"/>
      <c r="CU204" s="2145"/>
      <c r="CV204" s="2145"/>
      <c r="CW204" s="2145"/>
      <c r="CX204" s="2145"/>
      <c r="CY204" s="2145"/>
      <c r="CZ204" s="2145"/>
      <c r="DA204" s="2145"/>
      <c r="DB204" s="2145"/>
      <c r="DC204" s="2145"/>
      <c r="DD204" s="2145"/>
      <c r="DE204" s="2145"/>
      <c r="DF204" s="2145"/>
      <c r="DG204" s="2145"/>
      <c r="DH204" s="2145"/>
      <c r="DI204" s="2145"/>
      <c r="DJ204" s="2145"/>
      <c r="DK204" s="2145"/>
      <c r="DL204" s="2145"/>
      <c r="DM204" s="2145"/>
      <c r="DN204" s="2145"/>
      <c r="DO204" s="2145"/>
      <c r="DP204" s="2145"/>
      <c r="DQ204" s="87"/>
      <c r="DR204" s="87"/>
      <c r="DS204" s="2147"/>
      <c r="DT204" s="2147"/>
      <c r="DU204" s="2147"/>
      <c r="DV204" s="2147"/>
      <c r="DW204" s="2147"/>
      <c r="DX204" s="2147"/>
      <c r="DY204" s="2147"/>
      <c r="DZ204" s="87"/>
      <c r="EA204" s="87"/>
      <c r="EB204" s="2145"/>
      <c r="EC204" s="2145"/>
      <c r="ED204" s="2145"/>
      <c r="EE204" s="2145"/>
      <c r="EF204" s="2145"/>
      <c r="EG204" s="2145"/>
      <c r="EH204" s="2145"/>
      <c r="EI204" s="2145"/>
      <c r="EJ204" s="2145"/>
      <c r="EK204" s="2145"/>
      <c r="EL204" s="2145"/>
      <c r="EM204" s="2145"/>
      <c r="EN204" s="2145"/>
      <c r="EO204" s="2145"/>
      <c r="EP204" s="2145"/>
      <c r="EQ204" s="2145"/>
      <c r="ER204" s="2145"/>
      <c r="ES204" s="2145"/>
      <c r="ET204" s="2145"/>
      <c r="EU204" s="2145"/>
      <c r="EV204" s="2145"/>
      <c r="EW204" s="2145"/>
      <c r="EX204" s="2145"/>
      <c r="EY204" s="2145"/>
      <c r="EZ204" s="2145"/>
      <c r="FA204" s="2145"/>
      <c r="FB204" s="2145"/>
      <c r="FC204" s="2145"/>
      <c r="FD204" s="2145"/>
      <c r="FE204" s="2145"/>
      <c r="FF204" s="2145"/>
      <c r="FG204" s="2145"/>
      <c r="FH204" s="2145"/>
      <c r="FI204" s="2145"/>
      <c r="FJ204" s="2145"/>
      <c r="FK204" s="2145"/>
      <c r="FL204" s="2145"/>
      <c r="FM204" s="2145"/>
      <c r="FN204" s="2145"/>
      <c r="FO204" s="2145"/>
      <c r="FP204" s="2145"/>
      <c r="FQ204" s="87"/>
      <c r="FR204" s="87"/>
      <c r="FS204" s="2147"/>
      <c r="FT204" s="2147"/>
      <c r="FU204" s="2147"/>
      <c r="FV204" s="2147"/>
      <c r="FW204" s="2147"/>
      <c r="FX204" s="2147"/>
      <c r="FY204" s="2147"/>
      <c r="FZ204" s="87"/>
      <c r="GA204" s="87"/>
      <c r="GC204" s="1853"/>
      <c r="GD204" s="1853"/>
      <c r="GE204" s="1853"/>
      <c r="GG204" s="1853"/>
      <c r="GH204" s="1853"/>
      <c r="GI204" s="1853"/>
    </row>
    <row r="205" spans="1:198" ht="9" customHeight="1" thickBot="1">
      <c r="A205" s="87"/>
      <c r="B205" s="105"/>
      <c r="C205" s="105"/>
      <c r="D205" s="154"/>
      <c r="E205" s="1857"/>
      <c r="F205" s="1857"/>
      <c r="G205" s="1857"/>
      <c r="H205" s="1857"/>
      <c r="I205" s="1857"/>
      <c r="J205" s="1857"/>
      <c r="K205" s="1857"/>
      <c r="L205" s="1857"/>
      <c r="M205" s="1857"/>
      <c r="N205" s="1857"/>
      <c r="O205" s="1857"/>
      <c r="P205" s="1857"/>
      <c r="Q205" s="1857"/>
      <c r="R205" s="1857"/>
      <c r="S205" s="1857"/>
      <c r="T205" s="1857"/>
      <c r="U205" s="1857"/>
      <c r="V205" s="1857"/>
      <c r="W205" s="1857"/>
      <c r="X205" s="1857"/>
      <c r="Y205" s="1857"/>
      <c r="Z205" s="1857"/>
      <c r="AA205" s="1857"/>
      <c r="AB205" s="1857"/>
      <c r="AC205" s="1857"/>
      <c r="AD205" s="153"/>
      <c r="AE205" s="105"/>
      <c r="AF205" s="252"/>
      <c r="AG205" s="252"/>
      <c r="AH205" s="252"/>
      <c r="AI205" s="252"/>
      <c r="AJ205" s="252"/>
      <c r="AK205" s="252"/>
      <c r="AL205" s="252"/>
      <c r="AM205" s="252"/>
      <c r="AN205" s="252"/>
      <c r="AO205" s="252"/>
      <c r="AP205" s="252"/>
      <c r="AQ205" s="252"/>
      <c r="AR205" s="252"/>
      <c r="AS205" s="252"/>
      <c r="AT205" s="252"/>
      <c r="AU205" s="252"/>
      <c r="AV205" s="252"/>
      <c r="AW205" s="476"/>
      <c r="AX205" s="476"/>
      <c r="AY205" s="476"/>
      <c r="AZ205" s="476"/>
      <c r="BA205" s="476"/>
      <c r="BB205" s="476"/>
      <c r="BC205" s="476"/>
      <c r="BD205" s="476"/>
      <c r="BE205" s="476"/>
      <c r="BF205" s="105"/>
      <c r="BG205" s="488"/>
      <c r="BH205" s="100"/>
      <c r="BI205" s="100"/>
      <c r="BJ205" s="105"/>
      <c r="BK205" s="444"/>
      <c r="BL205" s="105"/>
      <c r="BM205" s="105"/>
      <c r="BN205" s="105"/>
      <c r="BO205" s="2138"/>
      <c r="BP205" s="2138"/>
      <c r="BQ205" s="2138"/>
      <c r="BR205" s="2138"/>
      <c r="BS205" s="2138"/>
      <c r="BT205" s="2138"/>
      <c r="BU205" s="2138"/>
      <c r="BV205" s="2138"/>
      <c r="BW205" s="2139"/>
      <c r="BX205" s="105"/>
      <c r="BY205" s="105"/>
      <c r="BZ205" s="105"/>
      <c r="CA205" s="87"/>
      <c r="CB205" s="2146"/>
      <c r="CC205" s="2146"/>
      <c r="CD205" s="2146"/>
      <c r="CE205" s="2146"/>
      <c r="CF205" s="2146"/>
      <c r="CG205" s="2146"/>
      <c r="CH205" s="2146"/>
      <c r="CI205" s="2146"/>
      <c r="CJ205" s="2146"/>
      <c r="CK205" s="2146"/>
      <c r="CL205" s="2146"/>
      <c r="CM205" s="2146"/>
      <c r="CN205" s="2146"/>
      <c r="CO205" s="2146"/>
      <c r="CP205" s="2146"/>
      <c r="CQ205" s="2146"/>
      <c r="CR205" s="2146"/>
      <c r="CS205" s="2146"/>
      <c r="CT205" s="2146"/>
      <c r="CU205" s="2146"/>
      <c r="CV205" s="2146"/>
      <c r="CW205" s="2146"/>
      <c r="CX205" s="2146"/>
      <c r="CY205" s="2146"/>
      <c r="CZ205" s="2146"/>
      <c r="DA205" s="2146"/>
      <c r="DB205" s="2146"/>
      <c r="DC205" s="2146"/>
      <c r="DD205" s="2146"/>
      <c r="DE205" s="2146"/>
      <c r="DF205" s="2146"/>
      <c r="DG205" s="2146"/>
      <c r="DH205" s="2146"/>
      <c r="DI205" s="2146"/>
      <c r="DJ205" s="2146"/>
      <c r="DK205" s="2146"/>
      <c r="DL205" s="2146"/>
      <c r="DM205" s="2146"/>
      <c r="DN205" s="2146"/>
      <c r="DO205" s="2146"/>
      <c r="DP205" s="2146"/>
      <c r="DQ205" s="87"/>
      <c r="DR205" s="87"/>
      <c r="DS205" s="2148"/>
      <c r="DT205" s="2148"/>
      <c r="DU205" s="2148"/>
      <c r="DV205" s="2148"/>
      <c r="DW205" s="2148"/>
      <c r="DX205" s="2148"/>
      <c r="DY205" s="2148"/>
      <c r="DZ205" s="87"/>
      <c r="EA205" s="87"/>
      <c r="EB205" s="2146"/>
      <c r="EC205" s="2146"/>
      <c r="ED205" s="2146"/>
      <c r="EE205" s="2146"/>
      <c r="EF205" s="2146"/>
      <c r="EG205" s="2146"/>
      <c r="EH205" s="2146"/>
      <c r="EI205" s="2146"/>
      <c r="EJ205" s="2146"/>
      <c r="EK205" s="2146"/>
      <c r="EL205" s="2146"/>
      <c r="EM205" s="2146"/>
      <c r="EN205" s="2146"/>
      <c r="EO205" s="2146"/>
      <c r="EP205" s="2146"/>
      <c r="EQ205" s="2146"/>
      <c r="ER205" s="2146"/>
      <c r="ES205" s="2146"/>
      <c r="ET205" s="2146"/>
      <c r="EU205" s="2146"/>
      <c r="EV205" s="2146"/>
      <c r="EW205" s="2146"/>
      <c r="EX205" s="2146"/>
      <c r="EY205" s="2146"/>
      <c r="EZ205" s="2146"/>
      <c r="FA205" s="2146"/>
      <c r="FB205" s="2146"/>
      <c r="FC205" s="2146"/>
      <c r="FD205" s="2146"/>
      <c r="FE205" s="2146"/>
      <c r="FF205" s="2146"/>
      <c r="FG205" s="2146"/>
      <c r="FH205" s="2146"/>
      <c r="FI205" s="2146"/>
      <c r="FJ205" s="2146"/>
      <c r="FK205" s="2146"/>
      <c r="FL205" s="2146"/>
      <c r="FM205" s="2146"/>
      <c r="FN205" s="2146"/>
      <c r="FO205" s="2146"/>
      <c r="FP205" s="2146"/>
      <c r="FQ205" s="87"/>
      <c r="FR205" s="87"/>
      <c r="FS205" s="2148"/>
      <c r="FT205" s="2148"/>
      <c r="FU205" s="2148"/>
      <c r="FV205" s="2148"/>
      <c r="FW205" s="2148"/>
      <c r="FX205" s="2148"/>
      <c r="FY205" s="2148"/>
      <c r="FZ205" s="87"/>
      <c r="GA205" s="87"/>
      <c r="GC205" s="1853"/>
      <c r="GD205" s="1853"/>
      <c r="GE205" s="1853"/>
      <c r="GG205" s="1853"/>
      <c r="GH205" s="1853"/>
      <c r="GI205" s="1853"/>
    </row>
    <row r="206" spans="1:198" ht="9" customHeight="1" thickTop="1">
      <c r="A206" s="87"/>
      <c r="B206" s="87"/>
      <c r="C206" s="109"/>
      <c r="D206" s="109"/>
      <c r="E206" s="370"/>
      <c r="F206" s="370"/>
      <c r="G206" s="370"/>
      <c r="H206" s="370"/>
      <c r="I206" s="370"/>
      <c r="J206" s="370"/>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c r="BA206" s="109"/>
      <c r="BB206" s="109"/>
      <c r="BC206" s="109"/>
      <c r="BD206" s="109"/>
      <c r="BE206" s="109"/>
      <c r="BF206" s="327"/>
      <c r="BG206" s="327"/>
      <c r="BH206" s="489"/>
      <c r="BI206" s="489"/>
      <c r="BJ206" s="490"/>
      <c r="BK206" s="491"/>
      <c r="BL206" s="327"/>
      <c r="BM206" s="327"/>
      <c r="BN206" s="327"/>
      <c r="BO206" s="2138"/>
      <c r="BP206" s="2138"/>
      <c r="BQ206" s="2138"/>
      <c r="BR206" s="2138"/>
      <c r="BS206" s="2138"/>
      <c r="BT206" s="2138"/>
      <c r="BU206" s="2138"/>
      <c r="BV206" s="2138"/>
      <c r="BW206" s="2139"/>
      <c r="BX206" s="327"/>
      <c r="BY206" s="327"/>
      <c r="BZ206" s="327"/>
      <c r="CA206" s="87"/>
      <c r="CB206" s="99"/>
      <c r="CC206" s="99"/>
      <c r="CD206" s="99"/>
      <c r="CE206" s="99"/>
      <c r="CF206" s="99"/>
      <c r="CG206" s="461"/>
      <c r="CH206" s="461"/>
      <c r="CI206" s="461"/>
      <c r="CJ206" s="461"/>
      <c r="CK206" s="461"/>
      <c r="CL206" s="461"/>
      <c r="CM206" s="461"/>
      <c r="CN206" s="461"/>
      <c r="CO206" s="461"/>
      <c r="CP206" s="461"/>
      <c r="CQ206" s="461"/>
      <c r="CR206" s="461"/>
      <c r="CS206" s="461"/>
      <c r="CT206" s="461"/>
      <c r="CU206" s="461"/>
      <c r="CV206" s="461"/>
      <c r="CW206" s="461"/>
      <c r="CX206" s="461"/>
      <c r="CY206" s="461"/>
      <c r="CZ206" s="460"/>
      <c r="DA206" s="458"/>
      <c r="DB206" s="458"/>
      <c r="DC206" s="458"/>
      <c r="DD206" s="458"/>
      <c r="DE206" s="419"/>
      <c r="DF206" s="419"/>
      <c r="DG206" s="419"/>
      <c r="DH206" s="419"/>
      <c r="DI206" s="419"/>
      <c r="DJ206" s="419"/>
      <c r="DK206" s="368"/>
      <c r="DL206" s="459"/>
      <c r="DM206" s="459"/>
      <c r="DN206" s="459"/>
      <c r="DO206" s="459"/>
      <c r="DP206" s="459"/>
      <c r="DQ206" s="87"/>
      <c r="DR206" s="87"/>
      <c r="DS206" s="384"/>
      <c r="DT206" s="384"/>
      <c r="DU206" s="384"/>
      <c r="DV206" s="384"/>
      <c r="DW206" s="384"/>
      <c r="DX206" s="384"/>
      <c r="DY206" s="384"/>
      <c r="DZ206" s="87"/>
      <c r="EA206" s="87"/>
      <c r="EB206" s="368"/>
      <c r="EC206" s="459"/>
      <c r="ED206" s="459"/>
      <c r="EE206" s="459"/>
      <c r="EF206" s="459"/>
      <c r="EG206" s="459"/>
      <c r="EH206" s="460"/>
      <c r="EI206" s="460"/>
      <c r="EJ206" s="460"/>
      <c r="EK206" s="460"/>
      <c r="EL206" s="460"/>
      <c r="EM206" s="460"/>
      <c r="EN206" s="460"/>
      <c r="EO206" s="460"/>
      <c r="EP206" s="460"/>
      <c r="EQ206" s="460"/>
      <c r="ER206" s="460"/>
      <c r="ES206" s="460"/>
      <c r="ET206" s="460"/>
      <c r="EU206" s="460"/>
      <c r="EV206" s="460"/>
      <c r="EW206" s="460"/>
      <c r="EX206" s="460"/>
      <c r="EY206" s="460"/>
      <c r="EZ206" s="460"/>
      <c r="FA206" s="460"/>
      <c r="FB206" s="460"/>
      <c r="FC206" s="460"/>
      <c r="FD206" s="460"/>
      <c r="FE206" s="460"/>
      <c r="FF206" s="460"/>
      <c r="FG206" s="460"/>
      <c r="FH206" s="460"/>
      <c r="FI206" s="460"/>
      <c r="FJ206" s="460"/>
      <c r="FK206" s="419"/>
      <c r="FL206" s="419"/>
      <c r="FM206" s="419"/>
      <c r="FN206" s="419"/>
      <c r="FO206" s="419"/>
      <c r="FP206" s="419"/>
      <c r="FQ206" s="384"/>
      <c r="FR206" s="384"/>
      <c r="FS206" s="384"/>
      <c r="FT206" s="384"/>
      <c r="FU206" s="384"/>
      <c r="FV206" s="384"/>
      <c r="FW206" s="384"/>
      <c r="FX206" s="384"/>
      <c r="FY206" s="384"/>
      <c r="FZ206" s="87"/>
      <c r="GA206" s="87"/>
    </row>
    <row r="207" spans="1:198" ht="9" customHeight="1">
      <c r="A207" s="87"/>
      <c r="B207" s="2145" t="str">
        <f>IF(Race="","",IF(NOT(ISERROR(GL207)),MID(LanguagesTaken,GL203+1,GL207-GL203-1),""))</f>
        <v/>
      </c>
      <c r="C207" s="2145"/>
      <c r="D207" s="2145"/>
      <c r="E207" s="2145"/>
      <c r="F207" s="2145"/>
      <c r="G207" s="2145"/>
      <c r="H207" s="2145"/>
      <c r="I207" s="2145"/>
      <c r="J207" s="2145"/>
      <c r="K207" s="2145"/>
      <c r="L207" s="2145"/>
      <c r="M207" s="2145"/>
      <c r="N207" s="2145"/>
      <c r="O207" s="2145"/>
      <c r="P207" s="2145"/>
      <c r="Q207" s="2145"/>
      <c r="R207" s="2145"/>
      <c r="S207" s="2145"/>
      <c r="T207" s="2145"/>
      <c r="U207" s="2145"/>
      <c r="V207" s="2145"/>
      <c r="W207" s="2145"/>
      <c r="X207" s="2145"/>
      <c r="Y207" s="2145"/>
      <c r="Z207" s="2145"/>
      <c r="AA207" s="2145"/>
      <c r="AB207" s="2145"/>
      <c r="AC207" s="2145"/>
      <c r="AD207" s="457"/>
      <c r="AE207" s="2145" t="str">
        <f>IF(Race="","",IF(NOT(ISERROR(GP207)),MID(LanguagesTaken,GL223+1,GP207-GL223-1),""))</f>
        <v/>
      </c>
      <c r="AF207" s="2145"/>
      <c r="AG207" s="2145"/>
      <c r="AH207" s="2145"/>
      <c r="AI207" s="2145"/>
      <c r="AJ207" s="2145"/>
      <c r="AK207" s="2145"/>
      <c r="AL207" s="2145"/>
      <c r="AM207" s="2145"/>
      <c r="AN207" s="2145"/>
      <c r="AO207" s="2145"/>
      <c r="AP207" s="2145"/>
      <c r="AQ207" s="2145"/>
      <c r="AR207" s="2145"/>
      <c r="AS207" s="2145"/>
      <c r="AT207" s="2145"/>
      <c r="AU207" s="2145"/>
      <c r="AV207" s="2145"/>
      <c r="AW207" s="2145"/>
      <c r="AX207" s="2145"/>
      <c r="AY207" s="2145"/>
      <c r="AZ207" s="2145"/>
      <c r="BA207" s="2145"/>
      <c r="BB207" s="2145"/>
      <c r="BC207" s="2145"/>
      <c r="BD207" s="2145"/>
      <c r="BE207" s="2145"/>
      <c r="BF207" s="2145"/>
      <c r="BG207" s="327"/>
      <c r="BH207" s="489"/>
      <c r="BI207" s="489"/>
      <c r="BJ207" s="490"/>
      <c r="BK207" s="491"/>
      <c r="BL207" s="327"/>
      <c r="BM207" s="327"/>
      <c r="BN207" s="327"/>
      <c r="BO207" s="2138"/>
      <c r="BP207" s="2138"/>
      <c r="BQ207" s="2138"/>
      <c r="BR207" s="2138"/>
      <c r="BS207" s="2138"/>
      <c r="BT207" s="2138"/>
      <c r="BU207" s="2138"/>
      <c r="BV207" s="2138"/>
      <c r="BW207" s="2139"/>
      <c r="BX207" s="327"/>
      <c r="BY207" s="327"/>
      <c r="BZ207" s="327"/>
      <c r="CA207" s="87"/>
      <c r="CB207" s="2145" t="str">
        <f>IF(Race="","",IF(NOT(ISERROR(GD207)),MID(FeatsTakenList,GD203+1,GD207-GD203-1),""))</f>
        <v/>
      </c>
      <c r="CC207" s="2145"/>
      <c r="CD207" s="2145"/>
      <c r="CE207" s="2145"/>
      <c r="CF207" s="2145"/>
      <c r="CG207" s="2145"/>
      <c r="CH207" s="2145"/>
      <c r="CI207" s="2145"/>
      <c r="CJ207" s="2145"/>
      <c r="CK207" s="2145"/>
      <c r="CL207" s="2145"/>
      <c r="CM207" s="2145"/>
      <c r="CN207" s="2145"/>
      <c r="CO207" s="2145"/>
      <c r="CP207" s="2145"/>
      <c r="CQ207" s="2145"/>
      <c r="CR207" s="2145"/>
      <c r="CS207" s="2145"/>
      <c r="CT207" s="2145"/>
      <c r="CU207" s="2145"/>
      <c r="CV207" s="2145"/>
      <c r="CW207" s="2145"/>
      <c r="CX207" s="2145"/>
      <c r="CY207" s="2145"/>
      <c r="CZ207" s="2145"/>
      <c r="DA207" s="2145"/>
      <c r="DB207" s="2145"/>
      <c r="DC207" s="2145"/>
      <c r="DD207" s="2145"/>
      <c r="DE207" s="2145"/>
      <c r="DF207" s="2145"/>
      <c r="DG207" s="2145"/>
      <c r="DH207" s="2145"/>
      <c r="DI207" s="2145"/>
      <c r="DJ207" s="2145"/>
      <c r="DK207" s="2145"/>
      <c r="DL207" s="2145"/>
      <c r="DM207" s="2145"/>
      <c r="DN207" s="2145"/>
      <c r="DO207" s="2145"/>
      <c r="DP207" s="2145"/>
      <c r="DQ207" s="87"/>
      <c r="DR207" s="87"/>
      <c r="DS207" s="2147" t="str">
        <f>IF(Race="","",IF(NOT(ISERROR(GE207)),MID(FeatsTakenListPageRef,GE203+1,GE207-GE203-1),""))</f>
        <v/>
      </c>
      <c r="DT207" s="2147"/>
      <c r="DU207" s="2147"/>
      <c r="DV207" s="2147"/>
      <c r="DW207" s="2147"/>
      <c r="DX207" s="2147"/>
      <c r="DY207" s="2147"/>
      <c r="DZ207" s="87"/>
      <c r="EA207" s="87"/>
      <c r="EB207" s="2145" t="str">
        <f>IF(Race="","",IF(NOT(ISERROR(GH207)),MID(FeatsTakenList,GH203+1,GH207-GH203-1),""))</f>
        <v/>
      </c>
      <c r="EC207" s="2145"/>
      <c r="ED207" s="2145"/>
      <c r="EE207" s="2145"/>
      <c r="EF207" s="2145"/>
      <c r="EG207" s="2145"/>
      <c r="EH207" s="2145"/>
      <c r="EI207" s="2145"/>
      <c r="EJ207" s="2145"/>
      <c r="EK207" s="2145"/>
      <c r="EL207" s="2145"/>
      <c r="EM207" s="2145"/>
      <c r="EN207" s="2145"/>
      <c r="EO207" s="2145"/>
      <c r="EP207" s="2145"/>
      <c r="EQ207" s="2145"/>
      <c r="ER207" s="2145"/>
      <c r="ES207" s="2145"/>
      <c r="ET207" s="2145"/>
      <c r="EU207" s="2145"/>
      <c r="EV207" s="2145"/>
      <c r="EW207" s="2145"/>
      <c r="EX207" s="2145"/>
      <c r="EY207" s="2145"/>
      <c r="EZ207" s="2145"/>
      <c r="FA207" s="2145"/>
      <c r="FB207" s="2145"/>
      <c r="FC207" s="2145"/>
      <c r="FD207" s="2145"/>
      <c r="FE207" s="2145"/>
      <c r="FF207" s="2145"/>
      <c r="FG207" s="2145"/>
      <c r="FH207" s="2145"/>
      <c r="FI207" s="2145"/>
      <c r="FJ207" s="2145"/>
      <c r="FK207" s="2145"/>
      <c r="FL207" s="2145"/>
      <c r="FM207" s="2145"/>
      <c r="FN207" s="2145"/>
      <c r="FO207" s="2145"/>
      <c r="FP207" s="2145"/>
      <c r="FQ207" s="87"/>
      <c r="FR207" s="87"/>
      <c r="FS207" s="2147" t="str">
        <f>IF(Race="","",IF(NOT(ISERROR(GI207)),MID(FeatsTakenListPageRef,GI203+1,GI207-GI203-1),""))</f>
        <v/>
      </c>
      <c r="FT207" s="2147"/>
      <c r="FU207" s="2147"/>
      <c r="FV207" s="2147"/>
      <c r="FW207" s="2147"/>
      <c r="FX207" s="2147"/>
      <c r="FY207" s="2147"/>
      <c r="FZ207" s="87"/>
      <c r="GA207" s="87"/>
      <c r="GC207" s="1853">
        <f>GC203+1</f>
        <v>10</v>
      </c>
      <c r="GD207" s="1853" t="e">
        <f ca="1">FIND(";",FeatsTakenList,GD203+1)</f>
        <v>#VALUE!</v>
      </c>
      <c r="GE207" s="1853" t="e">
        <f ca="1">FIND(";",FeatsTakenListPageRef,GE203+1)</f>
        <v>#VALUE!</v>
      </c>
      <c r="GG207" s="1853">
        <f>GG203+1</f>
        <v>24</v>
      </c>
      <c r="GH207" s="1853" t="e">
        <f ca="1">FIND(";",FeatsTakenList,GH203+1)</f>
        <v>#VALUE!</v>
      </c>
      <c r="GI207" s="1853" t="e">
        <f ca="1">FIND(";",FeatsTakenListPageRef,GI203+1)</f>
        <v>#VALUE!</v>
      </c>
      <c r="GK207" s="1853">
        <v>1</v>
      </c>
      <c r="GL207" s="1853" t="e">
        <f>FIND(";",LanguagesTaken,1)</f>
        <v>#VALUE!</v>
      </c>
      <c r="GO207" s="1853">
        <f>GK223+1</f>
        <v>6</v>
      </c>
      <c r="GP207" s="1853" t="e">
        <f>FIND(";",LanguagesTaken,GL223+1)</f>
        <v>#VALUE!</v>
      </c>
    </row>
    <row r="208" spans="1:198" ht="9" customHeight="1">
      <c r="A208" s="87"/>
      <c r="B208" s="2145"/>
      <c r="C208" s="2145"/>
      <c r="D208" s="2145"/>
      <c r="E208" s="2145"/>
      <c r="F208" s="2145"/>
      <c r="G208" s="2145"/>
      <c r="H208" s="2145"/>
      <c r="I208" s="2145"/>
      <c r="J208" s="2145"/>
      <c r="K208" s="2145"/>
      <c r="L208" s="2145"/>
      <c r="M208" s="2145"/>
      <c r="N208" s="2145"/>
      <c r="O208" s="2145"/>
      <c r="P208" s="2145"/>
      <c r="Q208" s="2145"/>
      <c r="R208" s="2145"/>
      <c r="S208" s="2145"/>
      <c r="T208" s="2145"/>
      <c r="U208" s="2145"/>
      <c r="V208" s="2145"/>
      <c r="W208" s="2145"/>
      <c r="X208" s="2145"/>
      <c r="Y208" s="2145"/>
      <c r="Z208" s="2145"/>
      <c r="AA208" s="2145"/>
      <c r="AB208" s="2145"/>
      <c r="AC208" s="2145"/>
      <c r="AD208" s="457"/>
      <c r="AE208" s="2145"/>
      <c r="AF208" s="2145"/>
      <c r="AG208" s="2145"/>
      <c r="AH208" s="2145"/>
      <c r="AI208" s="2145"/>
      <c r="AJ208" s="2145"/>
      <c r="AK208" s="2145"/>
      <c r="AL208" s="2145"/>
      <c r="AM208" s="2145"/>
      <c r="AN208" s="2145"/>
      <c r="AO208" s="2145"/>
      <c r="AP208" s="2145"/>
      <c r="AQ208" s="2145"/>
      <c r="AR208" s="2145"/>
      <c r="AS208" s="2145"/>
      <c r="AT208" s="2145"/>
      <c r="AU208" s="2145"/>
      <c r="AV208" s="2145"/>
      <c r="AW208" s="2145"/>
      <c r="AX208" s="2145"/>
      <c r="AY208" s="2145"/>
      <c r="AZ208" s="2145"/>
      <c r="BA208" s="2145"/>
      <c r="BB208" s="2145"/>
      <c r="BC208" s="2145"/>
      <c r="BD208" s="2145"/>
      <c r="BE208" s="2145"/>
      <c r="BF208" s="2145"/>
      <c r="BG208" s="105"/>
      <c r="BH208" s="100"/>
      <c r="BI208" s="100"/>
      <c r="BJ208" s="492"/>
      <c r="BK208" s="462"/>
      <c r="BL208" s="105"/>
      <c r="BM208" s="105"/>
      <c r="BN208" s="105"/>
      <c r="BO208" s="2138"/>
      <c r="BP208" s="2138"/>
      <c r="BQ208" s="2138"/>
      <c r="BR208" s="2138"/>
      <c r="BS208" s="2138"/>
      <c r="BT208" s="2138"/>
      <c r="BU208" s="2138"/>
      <c r="BV208" s="2138"/>
      <c r="BW208" s="2139"/>
      <c r="BX208" s="105"/>
      <c r="BY208" s="105"/>
      <c r="BZ208" s="105"/>
      <c r="CA208" s="87"/>
      <c r="CB208" s="2145"/>
      <c r="CC208" s="2145"/>
      <c r="CD208" s="2145"/>
      <c r="CE208" s="2145"/>
      <c r="CF208" s="2145"/>
      <c r="CG208" s="2145"/>
      <c r="CH208" s="2145"/>
      <c r="CI208" s="2145"/>
      <c r="CJ208" s="2145"/>
      <c r="CK208" s="2145"/>
      <c r="CL208" s="2145"/>
      <c r="CM208" s="2145"/>
      <c r="CN208" s="2145"/>
      <c r="CO208" s="2145"/>
      <c r="CP208" s="2145"/>
      <c r="CQ208" s="2145"/>
      <c r="CR208" s="2145"/>
      <c r="CS208" s="2145"/>
      <c r="CT208" s="2145"/>
      <c r="CU208" s="2145"/>
      <c r="CV208" s="2145"/>
      <c r="CW208" s="2145"/>
      <c r="CX208" s="2145"/>
      <c r="CY208" s="2145"/>
      <c r="CZ208" s="2145"/>
      <c r="DA208" s="2145"/>
      <c r="DB208" s="2145"/>
      <c r="DC208" s="2145"/>
      <c r="DD208" s="2145"/>
      <c r="DE208" s="2145"/>
      <c r="DF208" s="2145"/>
      <c r="DG208" s="2145"/>
      <c r="DH208" s="2145"/>
      <c r="DI208" s="2145"/>
      <c r="DJ208" s="2145"/>
      <c r="DK208" s="2145"/>
      <c r="DL208" s="2145"/>
      <c r="DM208" s="2145"/>
      <c r="DN208" s="2145"/>
      <c r="DO208" s="2145"/>
      <c r="DP208" s="2145"/>
      <c r="DQ208" s="87"/>
      <c r="DR208" s="87"/>
      <c r="DS208" s="2147"/>
      <c r="DT208" s="2147"/>
      <c r="DU208" s="2147"/>
      <c r="DV208" s="2147"/>
      <c r="DW208" s="2147"/>
      <c r="DX208" s="2147"/>
      <c r="DY208" s="2147"/>
      <c r="DZ208" s="87"/>
      <c r="EA208" s="87"/>
      <c r="EB208" s="2145"/>
      <c r="EC208" s="2145"/>
      <c r="ED208" s="2145"/>
      <c r="EE208" s="2145"/>
      <c r="EF208" s="2145"/>
      <c r="EG208" s="2145"/>
      <c r="EH208" s="2145"/>
      <c r="EI208" s="2145"/>
      <c r="EJ208" s="2145"/>
      <c r="EK208" s="2145"/>
      <c r="EL208" s="2145"/>
      <c r="EM208" s="2145"/>
      <c r="EN208" s="2145"/>
      <c r="EO208" s="2145"/>
      <c r="EP208" s="2145"/>
      <c r="EQ208" s="2145"/>
      <c r="ER208" s="2145"/>
      <c r="ES208" s="2145"/>
      <c r="ET208" s="2145"/>
      <c r="EU208" s="2145"/>
      <c r="EV208" s="2145"/>
      <c r="EW208" s="2145"/>
      <c r="EX208" s="2145"/>
      <c r="EY208" s="2145"/>
      <c r="EZ208" s="2145"/>
      <c r="FA208" s="2145"/>
      <c r="FB208" s="2145"/>
      <c r="FC208" s="2145"/>
      <c r="FD208" s="2145"/>
      <c r="FE208" s="2145"/>
      <c r="FF208" s="2145"/>
      <c r="FG208" s="2145"/>
      <c r="FH208" s="2145"/>
      <c r="FI208" s="2145"/>
      <c r="FJ208" s="2145"/>
      <c r="FK208" s="2145"/>
      <c r="FL208" s="2145"/>
      <c r="FM208" s="2145"/>
      <c r="FN208" s="2145"/>
      <c r="FO208" s="2145"/>
      <c r="FP208" s="2145"/>
      <c r="FQ208" s="87"/>
      <c r="FR208" s="87"/>
      <c r="FS208" s="2147"/>
      <c r="FT208" s="2147"/>
      <c r="FU208" s="2147"/>
      <c r="FV208" s="2147"/>
      <c r="FW208" s="2147"/>
      <c r="FX208" s="2147"/>
      <c r="FY208" s="2147"/>
      <c r="FZ208" s="87"/>
      <c r="GA208" s="87"/>
      <c r="GC208" s="1853"/>
      <c r="GD208" s="1853"/>
      <c r="GE208" s="1853"/>
      <c r="GG208" s="1853"/>
      <c r="GH208" s="1853"/>
      <c r="GI208" s="1853"/>
      <c r="GK208" s="1853"/>
      <c r="GL208" s="1853"/>
      <c r="GO208" s="1853"/>
      <c r="GP208" s="1853"/>
    </row>
    <row r="209" spans="1:198" ht="9" customHeight="1" thickBot="1">
      <c r="A209" s="87"/>
      <c r="B209" s="2146"/>
      <c r="C209" s="2146"/>
      <c r="D209" s="2146"/>
      <c r="E209" s="2146"/>
      <c r="F209" s="2146"/>
      <c r="G209" s="2146"/>
      <c r="H209" s="2146"/>
      <c r="I209" s="2146"/>
      <c r="J209" s="2146"/>
      <c r="K209" s="2146"/>
      <c r="L209" s="2146"/>
      <c r="M209" s="2146"/>
      <c r="N209" s="2146"/>
      <c r="O209" s="2146"/>
      <c r="P209" s="2146"/>
      <c r="Q209" s="2146"/>
      <c r="R209" s="2146"/>
      <c r="S209" s="2146"/>
      <c r="T209" s="2146"/>
      <c r="U209" s="2146"/>
      <c r="V209" s="2146"/>
      <c r="W209" s="2146"/>
      <c r="X209" s="2146"/>
      <c r="Y209" s="2146"/>
      <c r="Z209" s="2146"/>
      <c r="AA209" s="2146"/>
      <c r="AB209" s="2146"/>
      <c r="AC209" s="2146"/>
      <c r="AD209" s="457"/>
      <c r="AE209" s="2146"/>
      <c r="AF209" s="2146"/>
      <c r="AG209" s="2146"/>
      <c r="AH209" s="2146"/>
      <c r="AI209" s="2146"/>
      <c r="AJ209" s="2146"/>
      <c r="AK209" s="2146"/>
      <c r="AL209" s="2146"/>
      <c r="AM209" s="2146"/>
      <c r="AN209" s="2146"/>
      <c r="AO209" s="2146"/>
      <c r="AP209" s="2146"/>
      <c r="AQ209" s="2146"/>
      <c r="AR209" s="2146"/>
      <c r="AS209" s="2146"/>
      <c r="AT209" s="2146"/>
      <c r="AU209" s="2146"/>
      <c r="AV209" s="2146"/>
      <c r="AW209" s="2146"/>
      <c r="AX209" s="2146"/>
      <c r="AY209" s="2146"/>
      <c r="AZ209" s="2146"/>
      <c r="BA209" s="2146"/>
      <c r="BB209" s="2146"/>
      <c r="BC209" s="2146"/>
      <c r="BD209" s="2146"/>
      <c r="BE209" s="2146"/>
      <c r="BF209" s="2146"/>
      <c r="BG209" s="105"/>
      <c r="BH209" s="100"/>
      <c r="BI209" s="100"/>
      <c r="BJ209" s="492"/>
      <c r="BK209" s="462"/>
      <c r="BL209" s="105"/>
      <c r="BM209" s="105"/>
      <c r="BN209" s="105"/>
      <c r="BO209" s="2138"/>
      <c r="BP209" s="2138"/>
      <c r="BQ209" s="2138"/>
      <c r="BR209" s="2138"/>
      <c r="BS209" s="2138"/>
      <c r="BT209" s="2138"/>
      <c r="BU209" s="2138"/>
      <c r="BV209" s="2138"/>
      <c r="BW209" s="2139"/>
      <c r="BX209" s="105"/>
      <c r="BY209" s="105"/>
      <c r="BZ209" s="105"/>
      <c r="CA209" s="87"/>
      <c r="CB209" s="2146"/>
      <c r="CC209" s="2146"/>
      <c r="CD209" s="2146"/>
      <c r="CE209" s="2146"/>
      <c r="CF209" s="2146"/>
      <c r="CG209" s="2146"/>
      <c r="CH209" s="2146"/>
      <c r="CI209" s="2146"/>
      <c r="CJ209" s="2146"/>
      <c r="CK209" s="2146"/>
      <c r="CL209" s="2146"/>
      <c r="CM209" s="2146"/>
      <c r="CN209" s="2146"/>
      <c r="CO209" s="2146"/>
      <c r="CP209" s="2146"/>
      <c r="CQ209" s="2146"/>
      <c r="CR209" s="2146"/>
      <c r="CS209" s="2146"/>
      <c r="CT209" s="2146"/>
      <c r="CU209" s="2146"/>
      <c r="CV209" s="2146"/>
      <c r="CW209" s="2146"/>
      <c r="CX209" s="2146"/>
      <c r="CY209" s="2146"/>
      <c r="CZ209" s="2146"/>
      <c r="DA209" s="2146"/>
      <c r="DB209" s="2146"/>
      <c r="DC209" s="2146"/>
      <c r="DD209" s="2146"/>
      <c r="DE209" s="2146"/>
      <c r="DF209" s="2146"/>
      <c r="DG209" s="2146"/>
      <c r="DH209" s="2146"/>
      <c r="DI209" s="2146"/>
      <c r="DJ209" s="2146"/>
      <c r="DK209" s="2146"/>
      <c r="DL209" s="2146"/>
      <c r="DM209" s="2146"/>
      <c r="DN209" s="2146"/>
      <c r="DO209" s="2146"/>
      <c r="DP209" s="2146"/>
      <c r="DQ209" s="87"/>
      <c r="DR209" s="87"/>
      <c r="DS209" s="2148"/>
      <c r="DT209" s="2148"/>
      <c r="DU209" s="2148"/>
      <c r="DV209" s="2148"/>
      <c r="DW209" s="2148"/>
      <c r="DX209" s="2148"/>
      <c r="DY209" s="2148"/>
      <c r="DZ209" s="87"/>
      <c r="EA209" s="87"/>
      <c r="EB209" s="2146"/>
      <c r="EC209" s="2146"/>
      <c r="ED209" s="2146"/>
      <c r="EE209" s="2146"/>
      <c r="EF209" s="2146"/>
      <c r="EG209" s="2146"/>
      <c r="EH209" s="2146"/>
      <c r="EI209" s="2146"/>
      <c r="EJ209" s="2146"/>
      <c r="EK209" s="2146"/>
      <c r="EL209" s="2146"/>
      <c r="EM209" s="2146"/>
      <c r="EN209" s="2146"/>
      <c r="EO209" s="2146"/>
      <c r="EP209" s="2146"/>
      <c r="EQ209" s="2146"/>
      <c r="ER209" s="2146"/>
      <c r="ES209" s="2146"/>
      <c r="ET209" s="2146"/>
      <c r="EU209" s="2146"/>
      <c r="EV209" s="2146"/>
      <c r="EW209" s="2146"/>
      <c r="EX209" s="2146"/>
      <c r="EY209" s="2146"/>
      <c r="EZ209" s="2146"/>
      <c r="FA209" s="2146"/>
      <c r="FB209" s="2146"/>
      <c r="FC209" s="2146"/>
      <c r="FD209" s="2146"/>
      <c r="FE209" s="2146"/>
      <c r="FF209" s="2146"/>
      <c r="FG209" s="2146"/>
      <c r="FH209" s="2146"/>
      <c r="FI209" s="2146"/>
      <c r="FJ209" s="2146"/>
      <c r="FK209" s="2146"/>
      <c r="FL209" s="2146"/>
      <c r="FM209" s="2146"/>
      <c r="FN209" s="2146"/>
      <c r="FO209" s="2146"/>
      <c r="FP209" s="2146"/>
      <c r="FQ209" s="87"/>
      <c r="FR209" s="87"/>
      <c r="FS209" s="2148"/>
      <c r="FT209" s="2148"/>
      <c r="FU209" s="2148"/>
      <c r="FV209" s="2148"/>
      <c r="FW209" s="2148"/>
      <c r="FX209" s="2148"/>
      <c r="FY209" s="2148"/>
      <c r="FZ209" s="87"/>
      <c r="GA209" s="87"/>
      <c r="GC209" s="1853"/>
      <c r="GD209" s="1853"/>
      <c r="GE209" s="1853"/>
      <c r="GG209" s="1853"/>
      <c r="GH209" s="1853"/>
      <c r="GI209" s="1853"/>
      <c r="GK209" s="1853"/>
      <c r="GL209" s="1853"/>
      <c r="GO209" s="1853"/>
      <c r="GP209" s="1853"/>
    </row>
    <row r="210" spans="1:198" ht="9" customHeight="1">
      <c r="A210" s="87"/>
      <c r="B210" s="87"/>
      <c r="C210" s="109"/>
      <c r="D210" s="109"/>
      <c r="E210" s="370"/>
      <c r="F210" s="370"/>
      <c r="G210" s="370"/>
      <c r="H210" s="370"/>
      <c r="I210" s="370"/>
      <c r="J210" s="370"/>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c r="BA210" s="109"/>
      <c r="BB210" s="109"/>
      <c r="BC210" s="109"/>
      <c r="BD210" s="109"/>
      <c r="BE210" s="109"/>
      <c r="BF210" s="105"/>
      <c r="BG210" s="105"/>
      <c r="BH210" s="100"/>
      <c r="BI210" s="100"/>
      <c r="BJ210" s="492"/>
      <c r="BK210" s="462"/>
      <c r="BL210" s="105"/>
      <c r="BM210" s="105"/>
      <c r="BN210" s="105"/>
      <c r="BO210" s="2138"/>
      <c r="BP210" s="2138"/>
      <c r="BQ210" s="2138"/>
      <c r="BR210" s="2138"/>
      <c r="BS210" s="2138"/>
      <c r="BT210" s="2138"/>
      <c r="BU210" s="2138"/>
      <c r="BV210" s="2138"/>
      <c r="BW210" s="2139"/>
      <c r="BX210" s="105"/>
      <c r="BY210" s="105"/>
      <c r="BZ210" s="105"/>
      <c r="CA210" s="87"/>
      <c r="CB210" s="458"/>
      <c r="CC210" s="458"/>
      <c r="CD210" s="458"/>
      <c r="CE210" s="458"/>
      <c r="CF210" s="458"/>
      <c r="CG210" s="458"/>
      <c r="CH210" s="458"/>
      <c r="CI210" s="458"/>
      <c r="CJ210" s="458"/>
      <c r="CK210" s="458"/>
      <c r="CL210" s="458"/>
      <c r="CM210" s="458"/>
      <c r="CN210" s="458"/>
      <c r="CO210" s="458"/>
      <c r="CP210" s="458"/>
      <c r="CQ210" s="458"/>
      <c r="CR210" s="458"/>
      <c r="CS210" s="458"/>
      <c r="CT210" s="458"/>
      <c r="CU210" s="458"/>
      <c r="CV210" s="458"/>
      <c r="CW210" s="458"/>
      <c r="CX210" s="458"/>
      <c r="CY210" s="458"/>
      <c r="CZ210" s="458"/>
      <c r="DA210" s="458"/>
      <c r="DB210" s="458"/>
      <c r="DC210" s="458"/>
      <c r="DD210" s="458"/>
      <c r="DE210" s="419"/>
      <c r="DF210" s="419"/>
      <c r="DG210" s="419"/>
      <c r="DH210" s="419"/>
      <c r="DI210" s="419"/>
      <c r="DJ210" s="419"/>
      <c r="DK210" s="368"/>
      <c r="DL210" s="459"/>
      <c r="DM210" s="459"/>
      <c r="DN210" s="459"/>
      <c r="DO210" s="459"/>
      <c r="DP210" s="459"/>
      <c r="DQ210" s="87"/>
      <c r="DR210" s="87"/>
      <c r="DS210" s="384"/>
      <c r="DT210" s="384"/>
      <c r="DU210" s="384"/>
      <c r="DV210" s="384"/>
      <c r="DW210" s="384"/>
      <c r="DX210" s="384"/>
      <c r="DY210" s="384"/>
      <c r="DZ210" s="87"/>
      <c r="EA210" s="87"/>
      <c r="EB210" s="368"/>
      <c r="EC210" s="459"/>
      <c r="ED210" s="459"/>
      <c r="EE210" s="459"/>
      <c r="EF210" s="459"/>
      <c r="EG210" s="459"/>
      <c r="EH210" s="460"/>
      <c r="EI210" s="460"/>
      <c r="EJ210" s="460"/>
      <c r="EK210" s="460"/>
      <c r="EL210" s="460"/>
      <c r="EM210" s="460"/>
      <c r="EN210" s="460"/>
      <c r="EO210" s="460"/>
      <c r="EP210" s="460"/>
      <c r="EQ210" s="460"/>
      <c r="ER210" s="460"/>
      <c r="ES210" s="460"/>
      <c r="ET210" s="460"/>
      <c r="EU210" s="460"/>
      <c r="EV210" s="460"/>
      <c r="EW210" s="460"/>
      <c r="EX210" s="460"/>
      <c r="EY210" s="460"/>
      <c r="EZ210" s="460"/>
      <c r="FA210" s="460"/>
      <c r="FB210" s="460"/>
      <c r="FC210" s="460"/>
      <c r="FD210" s="460"/>
      <c r="FE210" s="460"/>
      <c r="FF210" s="460"/>
      <c r="FG210" s="460"/>
      <c r="FH210" s="460"/>
      <c r="FI210" s="460"/>
      <c r="FJ210" s="460"/>
      <c r="FK210" s="419"/>
      <c r="FL210" s="419"/>
      <c r="FM210" s="419"/>
      <c r="FN210" s="419"/>
      <c r="FO210" s="419"/>
      <c r="FP210" s="419"/>
      <c r="FQ210" s="384"/>
      <c r="FR210" s="384"/>
      <c r="FS210" s="384"/>
      <c r="FT210" s="384"/>
      <c r="FU210" s="384"/>
      <c r="FV210" s="384"/>
      <c r="FW210" s="384"/>
      <c r="FX210" s="384"/>
      <c r="FY210" s="384"/>
      <c r="FZ210" s="87"/>
      <c r="GA210" s="87"/>
      <c r="GD210" s="714"/>
      <c r="GE210" s="714"/>
      <c r="GH210" s="714"/>
      <c r="GI210" s="714"/>
    </row>
    <row r="211" spans="1:198" ht="9" customHeight="1">
      <c r="A211" s="87"/>
      <c r="B211" s="2145" t="str">
        <f>IF(Race="","",IF(NOT(ISERROR(GL211)),MID(LanguagesTaken,GL207+1,GL211-GL207-1),""))</f>
        <v/>
      </c>
      <c r="C211" s="2145"/>
      <c r="D211" s="2145"/>
      <c r="E211" s="2145"/>
      <c r="F211" s="2145"/>
      <c r="G211" s="2145"/>
      <c r="H211" s="2145"/>
      <c r="I211" s="2145"/>
      <c r="J211" s="2145"/>
      <c r="K211" s="2145"/>
      <c r="L211" s="2145"/>
      <c r="M211" s="2145"/>
      <c r="N211" s="2145"/>
      <c r="O211" s="2145"/>
      <c r="P211" s="2145"/>
      <c r="Q211" s="2145"/>
      <c r="R211" s="2145"/>
      <c r="S211" s="2145"/>
      <c r="T211" s="2145"/>
      <c r="U211" s="2145"/>
      <c r="V211" s="2145"/>
      <c r="W211" s="2145"/>
      <c r="X211" s="2145"/>
      <c r="Y211" s="2145"/>
      <c r="Z211" s="2145"/>
      <c r="AA211" s="2145"/>
      <c r="AB211" s="2145"/>
      <c r="AC211" s="2145"/>
      <c r="AD211" s="252"/>
      <c r="AE211" s="2145" t="str">
        <f>IF(Race="","",IF(NOT(ISERROR(GP211)),MID(LanguagesTaken,GP207+1,GP211-GP207-1),""))</f>
        <v/>
      </c>
      <c r="AF211" s="2145"/>
      <c r="AG211" s="2145"/>
      <c r="AH211" s="2145"/>
      <c r="AI211" s="2145"/>
      <c r="AJ211" s="2145"/>
      <c r="AK211" s="2145"/>
      <c r="AL211" s="2145"/>
      <c r="AM211" s="2145"/>
      <c r="AN211" s="2145"/>
      <c r="AO211" s="2145"/>
      <c r="AP211" s="2145"/>
      <c r="AQ211" s="2145"/>
      <c r="AR211" s="2145"/>
      <c r="AS211" s="2145"/>
      <c r="AT211" s="2145"/>
      <c r="AU211" s="2145"/>
      <c r="AV211" s="2145"/>
      <c r="AW211" s="2145"/>
      <c r="AX211" s="2145"/>
      <c r="AY211" s="2145"/>
      <c r="AZ211" s="2145"/>
      <c r="BA211" s="2145"/>
      <c r="BB211" s="2145"/>
      <c r="BC211" s="2145"/>
      <c r="BD211" s="2145"/>
      <c r="BE211" s="2145"/>
      <c r="BF211" s="2145"/>
      <c r="BG211" s="131"/>
      <c r="BH211" s="100"/>
      <c r="BI211" s="100"/>
      <c r="BJ211" s="492"/>
      <c r="BK211" s="462"/>
      <c r="BL211" s="105"/>
      <c r="BM211" s="105"/>
      <c r="BN211" s="105"/>
      <c r="BO211" s="2138"/>
      <c r="BP211" s="2138"/>
      <c r="BQ211" s="2138"/>
      <c r="BR211" s="2138"/>
      <c r="BS211" s="2138"/>
      <c r="BT211" s="2138"/>
      <c r="BU211" s="2138"/>
      <c r="BV211" s="2138"/>
      <c r="BW211" s="2139"/>
      <c r="BX211" s="131"/>
      <c r="BY211" s="131"/>
      <c r="BZ211" s="131"/>
      <c r="CA211" s="87"/>
      <c r="CB211" s="2145" t="str">
        <f>IF(Race="","",IF(NOT(ISERROR(GD211)),MID(FeatsTakenList,GD207+1,GD211-GD207-1),""))</f>
        <v/>
      </c>
      <c r="CC211" s="2145"/>
      <c r="CD211" s="2145"/>
      <c r="CE211" s="2145"/>
      <c r="CF211" s="2145"/>
      <c r="CG211" s="2145"/>
      <c r="CH211" s="2145"/>
      <c r="CI211" s="2145"/>
      <c r="CJ211" s="2145"/>
      <c r="CK211" s="2145"/>
      <c r="CL211" s="2145"/>
      <c r="CM211" s="2145"/>
      <c r="CN211" s="2145"/>
      <c r="CO211" s="2145"/>
      <c r="CP211" s="2145"/>
      <c r="CQ211" s="2145"/>
      <c r="CR211" s="2145"/>
      <c r="CS211" s="2145"/>
      <c r="CT211" s="2145"/>
      <c r="CU211" s="2145"/>
      <c r="CV211" s="2145"/>
      <c r="CW211" s="2145"/>
      <c r="CX211" s="2145"/>
      <c r="CY211" s="2145"/>
      <c r="CZ211" s="2145"/>
      <c r="DA211" s="2145"/>
      <c r="DB211" s="2145"/>
      <c r="DC211" s="2145"/>
      <c r="DD211" s="2145"/>
      <c r="DE211" s="2145"/>
      <c r="DF211" s="2145"/>
      <c r="DG211" s="2145"/>
      <c r="DH211" s="2145"/>
      <c r="DI211" s="2145"/>
      <c r="DJ211" s="2145"/>
      <c r="DK211" s="2145"/>
      <c r="DL211" s="2145"/>
      <c r="DM211" s="2145"/>
      <c r="DN211" s="2145"/>
      <c r="DO211" s="2145"/>
      <c r="DP211" s="2145"/>
      <c r="DQ211" s="87"/>
      <c r="DR211" s="87"/>
      <c r="DS211" s="2147" t="str">
        <f>IF(Race="","",IF(NOT(ISERROR(GE211)),MID(FeatsTakenListPageRef,GE207+1,GE211-GE207-1),""))</f>
        <v/>
      </c>
      <c r="DT211" s="2147"/>
      <c r="DU211" s="2147"/>
      <c r="DV211" s="2147"/>
      <c r="DW211" s="2147"/>
      <c r="DX211" s="2147"/>
      <c r="DY211" s="2147"/>
      <c r="DZ211" s="87"/>
      <c r="EA211" s="87"/>
      <c r="EB211" s="2145" t="str">
        <f>IF(Race="","",IF(NOT(ISERROR(GH211)),MID(FeatsTakenList,GH207+1,GH211-GH207-1),""))</f>
        <v/>
      </c>
      <c r="EC211" s="2145"/>
      <c r="ED211" s="2145"/>
      <c r="EE211" s="2145"/>
      <c r="EF211" s="2145"/>
      <c r="EG211" s="2145"/>
      <c r="EH211" s="2145"/>
      <c r="EI211" s="2145"/>
      <c r="EJ211" s="2145"/>
      <c r="EK211" s="2145"/>
      <c r="EL211" s="2145"/>
      <c r="EM211" s="2145"/>
      <c r="EN211" s="2145"/>
      <c r="EO211" s="2145"/>
      <c r="EP211" s="2145"/>
      <c r="EQ211" s="2145"/>
      <c r="ER211" s="2145"/>
      <c r="ES211" s="2145"/>
      <c r="ET211" s="2145"/>
      <c r="EU211" s="2145"/>
      <c r="EV211" s="2145"/>
      <c r="EW211" s="2145"/>
      <c r="EX211" s="2145"/>
      <c r="EY211" s="2145"/>
      <c r="EZ211" s="2145"/>
      <c r="FA211" s="2145"/>
      <c r="FB211" s="2145"/>
      <c r="FC211" s="2145"/>
      <c r="FD211" s="2145"/>
      <c r="FE211" s="2145"/>
      <c r="FF211" s="2145"/>
      <c r="FG211" s="2145"/>
      <c r="FH211" s="2145"/>
      <c r="FI211" s="2145"/>
      <c r="FJ211" s="2145"/>
      <c r="FK211" s="2145"/>
      <c r="FL211" s="2145"/>
      <c r="FM211" s="2145"/>
      <c r="FN211" s="2145"/>
      <c r="FO211" s="2145"/>
      <c r="FP211" s="2145"/>
      <c r="FQ211" s="87"/>
      <c r="FR211" s="87"/>
      <c r="FS211" s="2147" t="str">
        <f>IF(Race="","",IF(NOT(ISERROR(GI211)),MID(FeatsTakenListPageRef,GI207+1,GI211-GI207-1),""))</f>
        <v/>
      </c>
      <c r="FT211" s="2147"/>
      <c r="FU211" s="2147"/>
      <c r="FV211" s="2147"/>
      <c r="FW211" s="2147"/>
      <c r="FX211" s="2147"/>
      <c r="FY211" s="2147"/>
      <c r="FZ211" s="87"/>
      <c r="GA211" s="87"/>
      <c r="GC211" s="1853">
        <f>GC207+1</f>
        <v>11</v>
      </c>
      <c r="GD211" s="1853" t="e">
        <f ca="1">FIND(";",FeatsTakenList,GD207+1)</f>
        <v>#VALUE!</v>
      </c>
      <c r="GE211" s="1853" t="e">
        <f ca="1">FIND(";",FeatsTakenListPageRef,GE207+1)</f>
        <v>#VALUE!</v>
      </c>
      <c r="GG211" s="1853">
        <f>GG207+1</f>
        <v>25</v>
      </c>
      <c r="GH211" s="1853" t="e">
        <f ca="1">FIND(";",FeatsTakenList,GH207+1)</f>
        <v>#VALUE!</v>
      </c>
      <c r="GI211" s="1853" t="e">
        <f ca="1">FIND(";",FeatsTakenListPageRef,GI207+1)</f>
        <v>#VALUE!</v>
      </c>
      <c r="GK211" s="1853">
        <f>GK207+1</f>
        <v>2</v>
      </c>
      <c r="GL211" s="1853" t="e">
        <f>FIND(";",LanguagesTaken,GL207+1)</f>
        <v>#VALUE!</v>
      </c>
      <c r="GO211" s="1853">
        <f>GO207+1</f>
        <v>7</v>
      </c>
      <c r="GP211" s="1853" t="e">
        <f>FIND(";",LanguagesTaken,GP207+1)</f>
        <v>#VALUE!</v>
      </c>
    </row>
    <row r="212" spans="1:198" ht="9" customHeight="1">
      <c r="A212" s="87"/>
      <c r="B212" s="2145"/>
      <c r="C212" s="2145"/>
      <c r="D212" s="2145"/>
      <c r="E212" s="2145"/>
      <c r="F212" s="2145"/>
      <c r="G212" s="2145"/>
      <c r="H212" s="2145"/>
      <c r="I212" s="2145"/>
      <c r="J212" s="2145"/>
      <c r="K212" s="2145"/>
      <c r="L212" s="2145"/>
      <c r="M212" s="2145"/>
      <c r="N212" s="2145"/>
      <c r="O212" s="2145"/>
      <c r="P212" s="2145"/>
      <c r="Q212" s="2145"/>
      <c r="R212" s="2145"/>
      <c r="S212" s="2145"/>
      <c r="T212" s="2145"/>
      <c r="U212" s="2145"/>
      <c r="V212" s="2145"/>
      <c r="W212" s="2145"/>
      <c r="X212" s="2145"/>
      <c r="Y212" s="2145"/>
      <c r="Z212" s="2145"/>
      <c r="AA212" s="2145"/>
      <c r="AB212" s="2145"/>
      <c r="AC212" s="2145"/>
      <c r="AD212" s="252"/>
      <c r="AE212" s="2145"/>
      <c r="AF212" s="2145"/>
      <c r="AG212" s="2145"/>
      <c r="AH212" s="2145"/>
      <c r="AI212" s="2145"/>
      <c r="AJ212" s="2145"/>
      <c r="AK212" s="2145"/>
      <c r="AL212" s="2145"/>
      <c r="AM212" s="2145"/>
      <c r="AN212" s="2145"/>
      <c r="AO212" s="2145"/>
      <c r="AP212" s="2145"/>
      <c r="AQ212" s="2145"/>
      <c r="AR212" s="2145"/>
      <c r="AS212" s="2145"/>
      <c r="AT212" s="2145"/>
      <c r="AU212" s="2145"/>
      <c r="AV212" s="2145"/>
      <c r="AW212" s="2145"/>
      <c r="AX212" s="2145"/>
      <c r="AY212" s="2145"/>
      <c r="AZ212" s="2145"/>
      <c r="BA212" s="2145"/>
      <c r="BB212" s="2145"/>
      <c r="BC212" s="2145"/>
      <c r="BD212" s="2145"/>
      <c r="BE212" s="2145"/>
      <c r="BF212" s="2145"/>
      <c r="BG212" s="131"/>
      <c r="BH212" s="100"/>
      <c r="BI212" s="100"/>
      <c r="BJ212" s="492"/>
      <c r="BK212" s="462"/>
      <c r="BL212" s="105"/>
      <c r="BM212" s="105"/>
      <c r="BN212" s="105"/>
      <c r="BO212" s="2138"/>
      <c r="BP212" s="2138"/>
      <c r="BQ212" s="2138"/>
      <c r="BR212" s="2138"/>
      <c r="BS212" s="2138"/>
      <c r="BT212" s="2138"/>
      <c r="BU212" s="2138"/>
      <c r="BV212" s="2138"/>
      <c r="BW212" s="2139"/>
      <c r="BX212" s="131"/>
      <c r="BY212" s="131"/>
      <c r="BZ212" s="131"/>
      <c r="CA212" s="87"/>
      <c r="CB212" s="2145"/>
      <c r="CC212" s="2145"/>
      <c r="CD212" s="2145"/>
      <c r="CE212" s="2145"/>
      <c r="CF212" s="2145"/>
      <c r="CG212" s="2145"/>
      <c r="CH212" s="2145"/>
      <c r="CI212" s="2145"/>
      <c r="CJ212" s="2145"/>
      <c r="CK212" s="2145"/>
      <c r="CL212" s="2145"/>
      <c r="CM212" s="2145"/>
      <c r="CN212" s="2145"/>
      <c r="CO212" s="2145"/>
      <c r="CP212" s="2145"/>
      <c r="CQ212" s="2145"/>
      <c r="CR212" s="2145"/>
      <c r="CS212" s="2145"/>
      <c r="CT212" s="2145"/>
      <c r="CU212" s="2145"/>
      <c r="CV212" s="2145"/>
      <c r="CW212" s="2145"/>
      <c r="CX212" s="2145"/>
      <c r="CY212" s="2145"/>
      <c r="CZ212" s="2145"/>
      <c r="DA212" s="2145"/>
      <c r="DB212" s="2145"/>
      <c r="DC212" s="2145"/>
      <c r="DD212" s="2145"/>
      <c r="DE212" s="2145"/>
      <c r="DF212" s="2145"/>
      <c r="DG212" s="2145"/>
      <c r="DH212" s="2145"/>
      <c r="DI212" s="2145"/>
      <c r="DJ212" s="2145"/>
      <c r="DK212" s="2145"/>
      <c r="DL212" s="2145"/>
      <c r="DM212" s="2145"/>
      <c r="DN212" s="2145"/>
      <c r="DO212" s="2145"/>
      <c r="DP212" s="2145"/>
      <c r="DQ212" s="87"/>
      <c r="DR212" s="87"/>
      <c r="DS212" s="2147"/>
      <c r="DT212" s="2147"/>
      <c r="DU212" s="2147"/>
      <c r="DV212" s="2147"/>
      <c r="DW212" s="2147"/>
      <c r="DX212" s="2147"/>
      <c r="DY212" s="2147"/>
      <c r="DZ212" s="87"/>
      <c r="EA212" s="87"/>
      <c r="EB212" s="2145"/>
      <c r="EC212" s="2145"/>
      <c r="ED212" s="2145"/>
      <c r="EE212" s="2145"/>
      <c r="EF212" s="2145"/>
      <c r="EG212" s="2145"/>
      <c r="EH212" s="2145"/>
      <c r="EI212" s="2145"/>
      <c r="EJ212" s="2145"/>
      <c r="EK212" s="2145"/>
      <c r="EL212" s="2145"/>
      <c r="EM212" s="2145"/>
      <c r="EN212" s="2145"/>
      <c r="EO212" s="2145"/>
      <c r="EP212" s="2145"/>
      <c r="EQ212" s="2145"/>
      <c r="ER212" s="2145"/>
      <c r="ES212" s="2145"/>
      <c r="ET212" s="2145"/>
      <c r="EU212" s="2145"/>
      <c r="EV212" s="2145"/>
      <c r="EW212" s="2145"/>
      <c r="EX212" s="2145"/>
      <c r="EY212" s="2145"/>
      <c r="EZ212" s="2145"/>
      <c r="FA212" s="2145"/>
      <c r="FB212" s="2145"/>
      <c r="FC212" s="2145"/>
      <c r="FD212" s="2145"/>
      <c r="FE212" s="2145"/>
      <c r="FF212" s="2145"/>
      <c r="FG212" s="2145"/>
      <c r="FH212" s="2145"/>
      <c r="FI212" s="2145"/>
      <c r="FJ212" s="2145"/>
      <c r="FK212" s="2145"/>
      <c r="FL212" s="2145"/>
      <c r="FM212" s="2145"/>
      <c r="FN212" s="2145"/>
      <c r="FO212" s="2145"/>
      <c r="FP212" s="2145"/>
      <c r="FQ212" s="87"/>
      <c r="FR212" s="87"/>
      <c r="FS212" s="2147"/>
      <c r="FT212" s="2147"/>
      <c r="FU212" s="2147"/>
      <c r="FV212" s="2147"/>
      <c r="FW212" s="2147"/>
      <c r="FX212" s="2147"/>
      <c r="FY212" s="2147"/>
      <c r="FZ212" s="87"/>
      <c r="GA212" s="87"/>
      <c r="GC212" s="1853"/>
      <c r="GD212" s="1853"/>
      <c r="GE212" s="1853"/>
      <c r="GG212" s="1853"/>
      <c r="GH212" s="1853"/>
      <c r="GI212" s="1853"/>
      <c r="GK212" s="1853"/>
      <c r="GL212" s="1853"/>
      <c r="GO212" s="1853"/>
      <c r="GP212" s="1853"/>
    </row>
    <row r="213" spans="1:198" ht="9" customHeight="1" thickBot="1">
      <c r="A213" s="87"/>
      <c r="B213" s="2146"/>
      <c r="C213" s="2146"/>
      <c r="D213" s="2146"/>
      <c r="E213" s="2146"/>
      <c r="F213" s="2146"/>
      <c r="G213" s="2146"/>
      <c r="H213" s="2146"/>
      <c r="I213" s="2146"/>
      <c r="J213" s="2146"/>
      <c r="K213" s="2146"/>
      <c r="L213" s="2146"/>
      <c r="M213" s="2146"/>
      <c r="N213" s="2146"/>
      <c r="O213" s="2146"/>
      <c r="P213" s="2146"/>
      <c r="Q213" s="2146"/>
      <c r="R213" s="2146"/>
      <c r="S213" s="2146"/>
      <c r="T213" s="2146"/>
      <c r="U213" s="2146"/>
      <c r="V213" s="2146"/>
      <c r="W213" s="2146"/>
      <c r="X213" s="2146"/>
      <c r="Y213" s="2146"/>
      <c r="Z213" s="2146"/>
      <c r="AA213" s="2146"/>
      <c r="AB213" s="2146"/>
      <c r="AC213" s="2146"/>
      <c r="AD213" s="252"/>
      <c r="AE213" s="2146"/>
      <c r="AF213" s="2146"/>
      <c r="AG213" s="2146"/>
      <c r="AH213" s="2146"/>
      <c r="AI213" s="2146"/>
      <c r="AJ213" s="2146"/>
      <c r="AK213" s="2146"/>
      <c r="AL213" s="2146"/>
      <c r="AM213" s="2146"/>
      <c r="AN213" s="2146"/>
      <c r="AO213" s="2146"/>
      <c r="AP213" s="2146"/>
      <c r="AQ213" s="2146"/>
      <c r="AR213" s="2146"/>
      <c r="AS213" s="2146"/>
      <c r="AT213" s="2146"/>
      <c r="AU213" s="2146"/>
      <c r="AV213" s="2146"/>
      <c r="AW213" s="2146"/>
      <c r="AX213" s="2146"/>
      <c r="AY213" s="2146"/>
      <c r="AZ213" s="2146"/>
      <c r="BA213" s="2146"/>
      <c r="BB213" s="2146"/>
      <c r="BC213" s="2146"/>
      <c r="BD213" s="2146"/>
      <c r="BE213" s="2146"/>
      <c r="BF213" s="2146"/>
      <c r="BG213" s="131"/>
      <c r="BH213" s="100"/>
      <c r="BI213" s="100"/>
      <c r="BJ213" s="492"/>
      <c r="BK213" s="462"/>
      <c r="BL213" s="105"/>
      <c r="BM213" s="105"/>
      <c r="BN213" s="105"/>
      <c r="BO213" s="2138"/>
      <c r="BP213" s="2138"/>
      <c r="BQ213" s="2138"/>
      <c r="BR213" s="2138"/>
      <c r="BS213" s="2138"/>
      <c r="BT213" s="2138"/>
      <c r="BU213" s="2138"/>
      <c r="BV213" s="2138"/>
      <c r="BW213" s="2139"/>
      <c r="BX213" s="131"/>
      <c r="BY213" s="131"/>
      <c r="BZ213" s="131"/>
      <c r="CA213" s="87"/>
      <c r="CB213" s="2146"/>
      <c r="CC213" s="2146"/>
      <c r="CD213" s="2146"/>
      <c r="CE213" s="2146"/>
      <c r="CF213" s="2146"/>
      <c r="CG213" s="2146"/>
      <c r="CH213" s="2146"/>
      <c r="CI213" s="2146"/>
      <c r="CJ213" s="2146"/>
      <c r="CK213" s="2146"/>
      <c r="CL213" s="2146"/>
      <c r="CM213" s="2146"/>
      <c r="CN213" s="2146"/>
      <c r="CO213" s="2146"/>
      <c r="CP213" s="2146"/>
      <c r="CQ213" s="2146"/>
      <c r="CR213" s="2146"/>
      <c r="CS213" s="2146"/>
      <c r="CT213" s="2146"/>
      <c r="CU213" s="2146"/>
      <c r="CV213" s="2146"/>
      <c r="CW213" s="2146"/>
      <c r="CX213" s="2146"/>
      <c r="CY213" s="2146"/>
      <c r="CZ213" s="2146"/>
      <c r="DA213" s="2146"/>
      <c r="DB213" s="2146"/>
      <c r="DC213" s="2146"/>
      <c r="DD213" s="2146"/>
      <c r="DE213" s="2146"/>
      <c r="DF213" s="2146"/>
      <c r="DG213" s="2146"/>
      <c r="DH213" s="2146"/>
      <c r="DI213" s="2146"/>
      <c r="DJ213" s="2146"/>
      <c r="DK213" s="2146"/>
      <c r="DL213" s="2146"/>
      <c r="DM213" s="2146"/>
      <c r="DN213" s="2146"/>
      <c r="DO213" s="2146"/>
      <c r="DP213" s="2146"/>
      <c r="DQ213" s="87"/>
      <c r="DR213" s="87"/>
      <c r="DS213" s="2148"/>
      <c r="DT213" s="2148"/>
      <c r="DU213" s="2148"/>
      <c r="DV213" s="2148"/>
      <c r="DW213" s="2148"/>
      <c r="DX213" s="2148"/>
      <c r="DY213" s="2148"/>
      <c r="DZ213" s="87"/>
      <c r="EA213" s="87"/>
      <c r="EB213" s="2146"/>
      <c r="EC213" s="2146"/>
      <c r="ED213" s="2146"/>
      <c r="EE213" s="2146"/>
      <c r="EF213" s="2146"/>
      <c r="EG213" s="2146"/>
      <c r="EH213" s="2146"/>
      <c r="EI213" s="2146"/>
      <c r="EJ213" s="2146"/>
      <c r="EK213" s="2146"/>
      <c r="EL213" s="2146"/>
      <c r="EM213" s="2146"/>
      <c r="EN213" s="2146"/>
      <c r="EO213" s="2146"/>
      <c r="EP213" s="2146"/>
      <c r="EQ213" s="2146"/>
      <c r="ER213" s="2146"/>
      <c r="ES213" s="2146"/>
      <c r="ET213" s="2146"/>
      <c r="EU213" s="2146"/>
      <c r="EV213" s="2146"/>
      <c r="EW213" s="2146"/>
      <c r="EX213" s="2146"/>
      <c r="EY213" s="2146"/>
      <c r="EZ213" s="2146"/>
      <c r="FA213" s="2146"/>
      <c r="FB213" s="2146"/>
      <c r="FC213" s="2146"/>
      <c r="FD213" s="2146"/>
      <c r="FE213" s="2146"/>
      <c r="FF213" s="2146"/>
      <c r="FG213" s="2146"/>
      <c r="FH213" s="2146"/>
      <c r="FI213" s="2146"/>
      <c r="FJ213" s="2146"/>
      <c r="FK213" s="2146"/>
      <c r="FL213" s="2146"/>
      <c r="FM213" s="2146"/>
      <c r="FN213" s="2146"/>
      <c r="FO213" s="2146"/>
      <c r="FP213" s="2146"/>
      <c r="FQ213" s="87"/>
      <c r="FR213" s="87"/>
      <c r="FS213" s="2148"/>
      <c r="FT213" s="2148"/>
      <c r="FU213" s="2148"/>
      <c r="FV213" s="2148"/>
      <c r="FW213" s="2148"/>
      <c r="FX213" s="2148"/>
      <c r="FY213" s="2148"/>
      <c r="FZ213" s="87"/>
      <c r="GA213" s="87"/>
      <c r="GC213" s="1853"/>
      <c r="GD213" s="1853"/>
      <c r="GE213" s="1853"/>
      <c r="GG213" s="1853"/>
      <c r="GH213" s="1853"/>
      <c r="GI213" s="1853"/>
      <c r="GK213" s="1853"/>
      <c r="GL213" s="1853"/>
      <c r="GO213" s="1853"/>
      <c r="GP213" s="1853"/>
    </row>
    <row r="214" spans="1:198" ht="9" customHeight="1">
      <c r="A214" s="87"/>
      <c r="B214" s="87"/>
      <c r="C214" s="109"/>
      <c r="D214" s="109"/>
      <c r="E214" s="370"/>
      <c r="F214" s="370"/>
      <c r="G214" s="370"/>
      <c r="H214" s="370"/>
      <c r="I214" s="370"/>
      <c r="J214" s="370"/>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c r="BA214" s="109"/>
      <c r="BB214" s="109"/>
      <c r="BC214" s="109"/>
      <c r="BD214" s="109"/>
      <c r="BE214" s="109"/>
      <c r="BF214" s="131"/>
      <c r="BG214" s="131"/>
      <c r="BH214" s="100"/>
      <c r="BI214" s="100"/>
      <c r="BJ214" s="492"/>
      <c r="BK214" s="462"/>
      <c r="BL214" s="105"/>
      <c r="BM214" s="105"/>
      <c r="BN214" s="105"/>
      <c r="BO214" s="2138"/>
      <c r="BP214" s="2138"/>
      <c r="BQ214" s="2138"/>
      <c r="BR214" s="2138"/>
      <c r="BS214" s="2138"/>
      <c r="BT214" s="2138"/>
      <c r="BU214" s="2138"/>
      <c r="BV214" s="2138"/>
      <c r="BW214" s="2139"/>
      <c r="BX214" s="131"/>
      <c r="BY214" s="131"/>
      <c r="BZ214" s="131"/>
      <c r="CA214" s="87"/>
      <c r="CB214" s="460"/>
      <c r="CC214" s="460"/>
      <c r="CD214" s="460"/>
      <c r="CE214" s="460"/>
      <c r="CF214" s="460"/>
      <c r="CG214" s="460"/>
      <c r="CH214" s="460"/>
      <c r="CI214" s="460"/>
      <c r="CJ214" s="460"/>
      <c r="CK214" s="460"/>
      <c r="CL214" s="460"/>
      <c r="CM214" s="460"/>
      <c r="CN214" s="460"/>
      <c r="CO214" s="460"/>
      <c r="CP214" s="460"/>
      <c r="CQ214" s="460"/>
      <c r="CR214" s="460"/>
      <c r="CS214" s="460"/>
      <c r="CT214" s="460"/>
      <c r="CU214" s="460"/>
      <c r="CV214" s="460"/>
      <c r="CW214" s="460"/>
      <c r="CX214" s="460"/>
      <c r="CY214" s="460"/>
      <c r="CZ214" s="460"/>
      <c r="DA214" s="460"/>
      <c r="DB214" s="460"/>
      <c r="DC214" s="460"/>
      <c r="DD214" s="460"/>
      <c r="DE214" s="419"/>
      <c r="DF214" s="419"/>
      <c r="DG214" s="419"/>
      <c r="DH214" s="419"/>
      <c r="DI214" s="419"/>
      <c r="DJ214" s="419"/>
      <c r="DK214" s="368"/>
      <c r="DL214" s="459"/>
      <c r="DM214" s="459"/>
      <c r="DN214" s="459"/>
      <c r="DO214" s="459"/>
      <c r="DP214" s="459"/>
      <c r="DQ214" s="87"/>
      <c r="DR214" s="87"/>
      <c r="DS214" s="384"/>
      <c r="DT214" s="384"/>
      <c r="DU214" s="384"/>
      <c r="DV214" s="384"/>
      <c r="DW214" s="384"/>
      <c r="DX214" s="384"/>
      <c r="DY214" s="384"/>
      <c r="DZ214" s="87"/>
      <c r="EA214" s="87"/>
      <c r="EB214" s="368"/>
      <c r="EC214" s="459"/>
      <c r="ED214" s="459"/>
      <c r="EE214" s="459"/>
      <c r="EF214" s="459"/>
      <c r="EG214" s="459"/>
      <c r="EH214" s="460"/>
      <c r="EI214" s="460"/>
      <c r="EJ214" s="460"/>
      <c r="EK214" s="460"/>
      <c r="EL214" s="460"/>
      <c r="EM214" s="460"/>
      <c r="EN214" s="460"/>
      <c r="EO214" s="460"/>
      <c r="EP214" s="460"/>
      <c r="EQ214" s="460"/>
      <c r="ER214" s="460"/>
      <c r="ES214" s="460"/>
      <c r="ET214" s="460"/>
      <c r="EU214" s="460"/>
      <c r="EV214" s="460"/>
      <c r="EW214" s="460"/>
      <c r="EX214" s="460"/>
      <c r="EY214" s="460"/>
      <c r="EZ214" s="460"/>
      <c r="FA214" s="460"/>
      <c r="FB214" s="460"/>
      <c r="FC214" s="460"/>
      <c r="FD214" s="460"/>
      <c r="FE214" s="460"/>
      <c r="FF214" s="460"/>
      <c r="FG214" s="460"/>
      <c r="FH214" s="460"/>
      <c r="FI214" s="460"/>
      <c r="FJ214" s="460"/>
      <c r="FK214" s="419"/>
      <c r="FL214" s="419"/>
      <c r="FM214" s="419"/>
      <c r="FN214" s="419"/>
      <c r="FO214" s="419"/>
      <c r="FP214" s="419"/>
      <c r="FQ214" s="384"/>
      <c r="FR214" s="384"/>
      <c r="FS214" s="384"/>
      <c r="FT214" s="384"/>
      <c r="FU214" s="384"/>
      <c r="FV214" s="384"/>
      <c r="FW214" s="384"/>
      <c r="FX214" s="384"/>
      <c r="FY214" s="384"/>
      <c r="FZ214" s="87"/>
      <c r="GA214" s="87"/>
      <c r="GD214" s="714"/>
      <c r="GE214" s="714"/>
      <c r="GH214" s="714"/>
      <c r="GI214" s="714"/>
      <c r="GK214" s="714"/>
      <c r="GL214" s="714"/>
      <c r="GO214" s="714"/>
      <c r="GP214" s="714"/>
    </row>
    <row r="215" spans="1:198" ht="9" customHeight="1">
      <c r="A215" s="87"/>
      <c r="B215" s="2145" t="str">
        <f>IF(Race="","",IF(NOT(ISERROR(GL215)),MID(LanguagesTaken,GL211+1,GL215-GL211-1),""))</f>
        <v/>
      </c>
      <c r="C215" s="2145"/>
      <c r="D215" s="2145"/>
      <c r="E215" s="2145"/>
      <c r="F215" s="2145"/>
      <c r="G215" s="2145"/>
      <c r="H215" s="2145"/>
      <c r="I215" s="2145"/>
      <c r="J215" s="2145"/>
      <c r="K215" s="2145"/>
      <c r="L215" s="2145"/>
      <c r="M215" s="2145"/>
      <c r="N215" s="2145"/>
      <c r="O215" s="2145"/>
      <c r="P215" s="2145"/>
      <c r="Q215" s="2145"/>
      <c r="R215" s="2145"/>
      <c r="S215" s="2145"/>
      <c r="T215" s="2145"/>
      <c r="U215" s="2145"/>
      <c r="V215" s="2145"/>
      <c r="W215" s="2145"/>
      <c r="X215" s="2145"/>
      <c r="Y215" s="2145"/>
      <c r="Z215" s="2145"/>
      <c r="AA215" s="2145"/>
      <c r="AB215" s="2145"/>
      <c r="AC215" s="2145"/>
      <c r="AD215" s="252"/>
      <c r="AE215" s="2145" t="str">
        <f>IF(Race="","",IF(NOT(ISERROR(GP215)),MID(LanguagesTaken,GP211+1,GP215-GP211-1),""))</f>
        <v/>
      </c>
      <c r="AF215" s="2145"/>
      <c r="AG215" s="2145"/>
      <c r="AH215" s="2145"/>
      <c r="AI215" s="2145"/>
      <c r="AJ215" s="2145"/>
      <c r="AK215" s="2145"/>
      <c r="AL215" s="2145"/>
      <c r="AM215" s="2145"/>
      <c r="AN215" s="2145"/>
      <c r="AO215" s="2145"/>
      <c r="AP215" s="2145"/>
      <c r="AQ215" s="2145"/>
      <c r="AR215" s="2145"/>
      <c r="AS215" s="2145"/>
      <c r="AT215" s="2145"/>
      <c r="AU215" s="2145"/>
      <c r="AV215" s="2145"/>
      <c r="AW215" s="2145"/>
      <c r="AX215" s="2145"/>
      <c r="AY215" s="2145"/>
      <c r="AZ215" s="2145"/>
      <c r="BA215" s="2145"/>
      <c r="BB215" s="2145"/>
      <c r="BC215" s="2145"/>
      <c r="BD215" s="2145"/>
      <c r="BE215" s="2145"/>
      <c r="BF215" s="2145"/>
      <c r="BG215" s="105"/>
      <c r="BH215" s="100"/>
      <c r="BI215" s="100"/>
      <c r="BJ215" s="492"/>
      <c r="BK215" s="462"/>
      <c r="BL215" s="105"/>
      <c r="BM215" s="105"/>
      <c r="BN215" s="105"/>
      <c r="BO215" s="2138"/>
      <c r="BP215" s="2138"/>
      <c r="BQ215" s="2138"/>
      <c r="BR215" s="2138"/>
      <c r="BS215" s="2138"/>
      <c r="BT215" s="2138"/>
      <c r="BU215" s="2138"/>
      <c r="BV215" s="2138"/>
      <c r="BW215" s="2139"/>
      <c r="BX215" s="105"/>
      <c r="BY215" s="105"/>
      <c r="BZ215" s="105"/>
      <c r="CA215" s="87"/>
      <c r="CB215" s="2145" t="str">
        <f>IF(Race="","",IF(NOT(ISERROR(GD215)),MID(FeatsTakenList,GD211+1,GD215-GD211-1),""))</f>
        <v/>
      </c>
      <c r="CC215" s="2145"/>
      <c r="CD215" s="2145"/>
      <c r="CE215" s="2145"/>
      <c r="CF215" s="2145"/>
      <c r="CG215" s="2145"/>
      <c r="CH215" s="2145"/>
      <c r="CI215" s="2145"/>
      <c r="CJ215" s="2145"/>
      <c r="CK215" s="2145"/>
      <c r="CL215" s="2145"/>
      <c r="CM215" s="2145"/>
      <c r="CN215" s="2145"/>
      <c r="CO215" s="2145"/>
      <c r="CP215" s="2145"/>
      <c r="CQ215" s="2145"/>
      <c r="CR215" s="2145"/>
      <c r="CS215" s="2145"/>
      <c r="CT215" s="2145"/>
      <c r="CU215" s="2145"/>
      <c r="CV215" s="2145"/>
      <c r="CW215" s="2145"/>
      <c r="CX215" s="2145"/>
      <c r="CY215" s="2145"/>
      <c r="CZ215" s="2145"/>
      <c r="DA215" s="2145"/>
      <c r="DB215" s="2145"/>
      <c r="DC215" s="2145"/>
      <c r="DD215" s="2145"/>
      <c r="DE215" s="2145"/>
      <c r="DF215" s="2145"/>
      <c r="DG215" s="2145"/>
      <c r="DH215" s="2145"/>
      <c r="DI215" s="2145"/>
      <c r="DJ215" s="2145"/>
      <c r="DK215" s="2145"/>
      <c r="DL215" s="2145"/>
      <c r="DM215" s="2145"/>
      <c r="DN215" s="2145"/>
      <c r="DO215" s="2145"/>
      <c r="DP215" s="2145"/>
      <c r="DQ215" s="87"/>
      <c r="DR215" s="87"/>
      <c r="DS215" s="2147" t="str">
        <f>IF(Race="","",IF(NOT(ISERROR(GE215)),MID(FeatsTakenListPageRef,GE211+1,GE215-GE211-1),""))</f>
        <v/>
      </c>
      <c r="DT215" s="2147"/>
      <c r="DU215" s="2147"/>
      <c r="DV215" s="2147"/>
      <c r="DW215" s="2147"/>
      <c r="DX215" s="2147"/>
      <c r="DY215" s="2147"/>
      <c r="DZ215" s="87"/>
      <c r="EA215" s="87"/>
      <c r="EB215" s="2145" t="str">
        <f>IF(Race="","",IF(NOT(ISERROR(GH215)),MID(FeatsTakenList,GH211+1,GH215-GH211-1),""))</f>
        <v/>
      </c>
      <c r="EC215" s="2145"/>
      <c r="ED215" s="2145"/>
      <c r="EE215" s="2145"/>
      <c r="EF215" s="2145"/>
      <c r="EG215" s="2145"/>
      <c r="EH215" s="2145"/>
      <c r="EI215" s="2145"/>
      <c r="EJ215" s="2145"/>
      <c r="EK215" s="2145"/>
      <c r="EL215" s="2145"/>
      <c r="EM215" s="2145"/>
      <c r="EN215" s="2145"/>
      <c r="EO215" s="2145"/>
      <c r="EP215" s="2145"/>
      <c r="EQ215" s="2145"/>
      <c r="ER215" s="2145"/>
      <c r="ES215" s="2145"/>
      <c r="ET215" s="2145"/>
      <c r="EU215" s="2145"/>
      <c r="EV215" s="2145"/>
      <c r="EW215" s="2145"/>
      <c r="EX215" s="2145"/>
      <c r="EY215" s="2145"/>
      <c r="EZ215" s="2145"/>
      <c r="FA215" s="2145"/>
      <c r="FB215" s="2145"/>
      <c r="FC215" s="2145"/>
      <c r="FD215" s="2145"/>
      <c r="FE215" s="2145"/>
      <c r="FF215" s="2145"/>
      <c r="FG215" s="2145"/>
      <c r="FH215" s="2145"/>
      <c r="FI215" s="2145"/>
      <c r="FJ215" s="2145"/>
      <c r="FK215" s="2145"/>
      <c r="FL215" s="2145"/>
      <c r="FM215" s="2145"/>
      <c r="FN215" s="2145"/>
      <c r="FO215" s="2145"/>
      <c r="FP215" s="2145"/>
      <c r="FQ215" s="87"/>
      <c r="FR215" s="87"/>
      <c r="FS215" s="2147" t="str">
        <f>IF(Race="","",IF(NOT(ISERROR(GI215)),MID(FeatsTakenListPageRef,GI211+1,GI215-GI211-1),""))</f>
        <v/>
      </c>
      <c r="FT215" s="2147"/>
      <c r="FU215" s="2147"/>
      <c r="FV215" s="2147"/>
      <c r="FW215" s="2147"/>
      <c r="FX215" s="2147"/>
      <c r="FY215" s="2147"/>
      <c r="FZ215" s="87"/>
      <c r="GA215" s="87"/>
      <c r="GC215" s="1853">
        <f>GC211+1</f>
        <v>12</v>
      </c>
      <c r="GD215" s="1853" t="e">
        <f ca="1">FIND(";",FeatsTakenList,GD211+1)</f>
        <v>#VALUE!</v>
      </c>
      <c r="GE215" s="1853" t="e">
        <f ca="1">FIND(";",FeatsTakenListPageRef,GE211+1)</f>
        <v>#VALUE!</v>
      </c>
      <c r="GG215" s="1853">
        <f>GG211+1</f>
        <v>26</v>
      </c>
      <c r="GH215" s="1853" t="e">
        <f ca="1">FIND(";",FeatsTakenList,GH211+1)</f>
        <v>#VALUE!</v>
      </c>
      <c r="GI215" s="1853" t="e">
        <f ca="1">FIND(";",FeatsTakenListPageRef,GI211+1)</f>
        <v>#VALUE!</v>
      </c>
      <c r="GK215" s="1853">
        <f>GK211+1</f>
        <v>3</v>
      </c>
      <c r="GL215" s="1853" t="e">
        <f>FIND(";",LanguagesTaken,GL211+1)</f>
        <v>#VALUE!</v>
      </c>
      <c r="GO215" s="1853">
        <f>GO211+1</f>
        <v>8</v>
      </c>
      <c r="GP215" s="1853" t="e">
        <f>FIND(";",LanguagesTaken,GP211+1)</f>
        <v>#VALUE!</v>
      </c>
    </row>
    <row r="216" spans="1:198" ht="9" customHeight="1">
      <c r="A216" s="87"/>
      <c r="B216" s="2145"/>
      <c r="C216" s="2145"/>
      <c r="D216" s="2145"/>
      <c r="E216" s="2145"/>
      <c r="F216" s="2145"/>
      <c r="G216" s="2145"/>
      <c r="H216" s="2145"/>
      <c r="I216" s="2145"/>
      <c r="J216" s="2145"/>
      <c r="K216" s="2145"/>
      <c r="L216" s="2145"/>
      <c r="M216" s="2145"/>
      <c r="N216" s="2145"/>
      <c r="O216" s="2145"/>
      <c r="P216" s="2145"/>
      <c r="Q216" s="2145"/>
      <c r="R216" s="2145"/>
      <c r="S216" s="2145"/>
      <c r="T216" s="2145"/>
      <c r="U216" s="2145"/>
      <c r="V216" s="2145"/>
      <c r="W216" s="2145"/>
      <c r="X216" s="2145"/>
      <c r="Y216" s="2145"/>
      <c r="Z216" s="2145"/>
      <c r="AA216" s="2145"/>
      <c r="AB216" s="2145"/>
      <c r="AC216" s="2145"/>
      <c r="AD216" s="252"/>
      <c r="AE216" s="2145"/>
      <c r="AF216" s="2145"/>
      <c r="AG216" s="2145"/>
      <c r="AH216" s="2145"/>
      <c r="AI216" s="2145"/>
      <c r="AJ216" s="2145"/>
      <c r="AK216" s="2145"/>
      <c r="AL216" s="2145"/>
      <c r="AM216" s="2145"/>
      <c r="AN216" s="2145"/>
      <c r="AO216" s="2145"/>
      <c r="AP216" s="2145"/>
      <c r="AQ216" s="2145"/>
      <c r="AR216" s="2145"/>
      <c r="AS216" s="2145"/>
      <c r="AT216" s="2145"/>
      <c r="AU216" s="2145"/>
      <c r="AV216" s="2145"/>
      <c r="AW216" s="2145"/>
      <c r="AX216" s="2145"/>
      <c r="AY216" s="2145"/>
      <c r="AZ216" s="2145"/>
      <c r="BA216" s="2145"/>
      <c r="BB216" s="2145"/>
      <c r="BC216" s="2145"/>
      <c r="BD216" s="2145"/>
      <c r="BE216" s="2145"/>
      <c r="BF216" s="2145"/>
      <c r="BG216" s="105"/>
      <c r="BH216" s="100"/>
      <c r="BI216" s="100"/>
      <c r="BJ216" s="492"/>
      <c r="BK216" s="462"/>
      <c r="BL216" s="105"/>
      <c r="BM216" s="105"/>
      <c r="BN216" s="105"/>
      <c r="BO216" s="2138"/>
      <c r="BP216" s="2138"/>
      <c r="BQ216" s="2138"/>
      <c r="BR216" s="2138"/>
      <c r="BS216" s="2138"/>
      <c r="BT216" s="2138"/>
      <c r="BU216" s="2138"/>
      <c r="BV216" s="2138"/>
      <c r="BW216" s="2139"/>
      <c r="BX216" s="105"/>
      <c r="BY216" s="105"/>
      <c r="BZ216" s="105"/>
      <c r="CA216" s="87"/>
      <c r="CB216" s="2145"/>
      <c r="CC216" s="2145"/>
      <c r="CD216" s="2145"/>
      <c r="CE216" s="2145"/>
      <c r="CF216" s="2145"/>
      <c r="CG216" s="2145"/>
      <c r="CH216" s="2145"/>
      <c r="CI216" s="2145"/>
      <c r="CJ216" s="2145"/>
      <c r="CK216" s="2145"/>
      <c r="CL216" s="2145"/>
      <c r="CM216" s="2145"/>
      <c r="CN216" s="2145"/>
      <c r="CO216" s="2145"/>
      <c r="CP216" s="2145"/>
      <c r="CQ216" s="2145"/>
      <c r="CR216" s="2145"/>
      <c r="CS216" s="2145"/>
      <c r="CT216" s="2145"/>
      <c r="CU216" s="2145"/>
      <c r="CV216" s="2145"/>
      <c r="CW216" s="2145"/>
      <c r="CX216" s="2145"/>
      <c r="CY216" s="2145"/>
      <c r="CZ216" s="2145"/>
      <c r="DA216" s="2145"/>
      <c r="DB216" s="2145"/>
      <c r="DC216" s="2145"/>
      <c r="DD216" s="2145"/>
      <c r="DE216" s="2145"/>
      <c r="DF216" s="2145"/>
      <c r="DG216" s="2145"/>
      <c r="DH216" s="2145"/>
      <c r="DI216" s="2145"/>
      <c r="DJ216" s="2145"/>
      <c r="DK216" s="2145"/>
      <c r="DL216" s="2145"/>
      <c r="DM216" s="2145"/>
      <c r="DN216" s="2145"/>
      <c r="DO216" s="2145"/>
      <c r="DP216" s="2145"/>
      <c r="DQ216" s="87"/>
      <c r="DR216" s="87"/>
      <c r="DS216" s="2147"/>
      <c r="DT216" s="2147"/>
      <c r="DU216" s="2147"/>
      <c r="DV216" s="2147"/>
      <c r="DW216" s="2147"/>
      <c r="DX216" s="2147"/>
      <c r="DY216" s="2147"/>
      <c r="DZ216" s="87"/>
      <c r="EA216" s="87"/>
      <c r="EB216" s="2145"/>
      <c r="EC216" s="2145"/>
      <c r="ED216" s="2145"/>
      <c r="EE216" s="2145"/>
      <c r="EF216" s="2145"/>
      <c r="EG216" s="2145"/>
      <c r="EH216" s="2145"/>
      <c r="EI216" s="2145"/>
      <c r="EJ216" s="2145"/>
      <c r="EK216" s="2145"/>
      <c r="EL216" s="2145"/>
      <c r="EM216" s="2145"/>
      <c r="EN216" s="2145"/>
      <c r="EO216" s="2145"/>
      <c r="EP216" s="2145"/>
      <c r="EQ216" s="2145"/>
      <c r="ER216" s="2145"/>
      <c r="ES216" s="2145"/>
      <c r="ET216" s="2145"/>
      <c r="EU216" s="2145"/>
      <c r="EV216" s="2145"/>
      <c r="EW216" s="2145"/>
      <c r="EX216" s="2145"/>
      <c r="EY216" s="2145"/>
      <c r="EZ216" s="2145"/>
      <c r="FA216" s="2145"/>
      <c r="FB216" s="2145"/>
      <c r="FC216" s="2145"/>
      <c r="FD216" s="2145"/>
      <c r="FE216" s="2145"/>
      <c r="FF216" s="2145"/>
      <c r="FG216" s="2145"/>
      <c r="FH216" s="2145"/>
      <c r="FI216" s="2145"/>
      <c r="FJ216" s="2145"/>
      <c r="FK216" s="2145"/>
      <c r="FL216" s="2145"/>
      <c r="FM216" s="2145"/>
      <c r="FN216" s="2145"/>
      <c r="FO216" s="2145"/>
      <c r="FP216" s="2145"/>
      <c r="FQ216" s="87"/>
      <c r="FR216" s="87"/>
      <c r="FS216" s="2147"/>
      <c r="FT216" s="2147"/>
      <c r="FU216" s="2147"/>
      <c r="FV216" s="2147"/>
      <c r="FW216" s="2147"/>
      <c r="FX216" s="2147"/>
      <c r="FY216" s="2147"/>
      <c r="FZ216" s="87"/>
      <c r="GA216" s="87"/>
      <c r="GC216" s="1853"/>
      <c r="GD216" s="1853"/>
      <c r="GE216" s="1853"/>
      <c r="GG216" s="1853"/>
      <c r="GH216" s="1853"/>
      <c r="GI216" s="1853"/>
      <c r="GK216" s="1853"/>
      <c r="GL216" s="1853"/>
      <c r="GO216" s="1853"/>
      <c r="GP216" s="1853"/>
    </row>
    <row r="217" spans="1:198" ht="9" customHeight="1" thickBot="1">
      <c r="A217" s="87"/>
      <c r="B217" s="2146"/>
      <c r="C217" s="2146"/>
      <c r="D217" s="2146"/>
      <c r="E217" s="2146"/>
      <c r="F217" s="2146"/>
      <c r="G217" s="2146"/>
      <c r="H217" s="2146"/>
      <c r="I217" s="2146"/>
      <c r="J217" s="2146"/>
      <c r="K217" s="2146"/>
      <c r="L217" s="2146"/>
      <c r="M217" s="2146"/>
      <c r="N217" s="2146"/>
      <c r="O217" s="2146"/>
      <c r="P217" s="2146"/>
      <c r="Q217" s="2146"/>
      <c r="R217" s="2146"/>
      <c r="S217" s="2146"/>
      <c r="T217" s="2146"/>
      <c r="U217" s="2146"/>
      <c r="V217" s="2146"/>
      <c r="W217" s="2146"/>
      <c r="X217" s="2146"/>
      <c r="Y217" s="2146"/>
      <c r="Z217" s="2146"/>
      <c r="AA217" s="2146"/>
      <c r="AB217" s="2146"/>
      <c r="AC217" s="2146"/>
      <c r="AD217" s="252"/>
      <c r="AE217" s="2146"/>
      <c r="AF217" s="2146"/>
      <c r="AG217" s="2146"/>
      <c r="AH217" s="2146"/>
      <c r="AI217" s="2146"/>
      <c r="AJ217" s="2146"/>
      <c r="AK217" s="2146"/>
      <c r="AL217" s="2146"/>
      <c r="AM217" s="2146"/>
      <c r="AN217" s="2146"/>
      <c r="AO217" s="2146"/>
      <c r="AP217" s="2146"/>
      <c r="AQ217" s="2146"/>
      <c r="AR217" s="2146"/>
      <c r="AS217" s="2146"/>
      <c r="AT217" s="2146"/>
      <c r="AU217" s="2146"/>
      <c r="AV217" s="2146"/>
      <c r="AW217" s="2146"/>
      <c r="AX217" s="2146"/>
      <c r="AY217" s="2146"/>
      <c r="AZ217" s="2146"/>
      <c r="BA217" s="2146"/>
      <c r="BB217" s="2146"/>
      <c r="BC217" s="2146"/>
      <c r="BD217" s="2146"/>
      <c r="BE217" s="2146"/>
      <c r="BF217" s="2146"/>
      <c r="BG217" s="105"/>
      <c r="BH217" s="100"/>
      <c r="BI217" s="100"/>
      <c r="BJ217" s="492"/>
      <c r="BK217" s="462"/>
      <c r="BL217" s="105"/>
      <c r="BM217" s="105"/>
      <c r="BN217" s="105"/>
      <c r="BO217" s="2138"/>
      <c r="BP217" s="2138"/>
      <c r="BQ217" s="2138"/>
      <c r="BR217" s="2138"/>
      <c r="BS217" s="2138"/>
      <c r="BT217" s="2138"/>
      <c r="BU217" s="2138"/>
      <c r="BV217" s="2138"/>
      <c r="BW217" s="2139"/>
      <c r="BX217" s="105"/>
      <c r="BY217" s="105"/>
      <c r="BZ217" s="105"/>
      <c r="CA217" s="87"/>
      <c r="CB217" s="2146"/>
      <c r="CC217" s="2146"/>
      <c r="CD217" s="2146"/>
      <c r="CE217" s="2146"/>
      <c r="CF217" s="2146"/>
      <c r="CG217" s="2146"/>
      <c r="CH217" s="2146"/>
      <c r="CI217" s="2146"/>
      <c r="CJ217" s="2146"/>
      <c r="CK217" s="2146"/>
      <c r="CL217" s="2146"/>
      <c r="CM217" s="2146"/>
      <c r="CN217" s="2146"/>
      <c r="CO217" s="2146"/>
      <c r="CP217" s="2146"/>
      <c r="CQ217" s="2146"/>
      <c r="CR217" s="2146"/>
      <c r="CS217" s="2146"/>
      <c r="CT217" s="2146"/>
      <c r="CU217" s="2146"/>
      <c r="CV217" s="2146"/>
      <c r="CW217" s="2146"/>
      <c r="CX217" s="2146"/>
      <c r="CY217" s="2146"/>
      <c r="CZ217" s="2146"/>
      <c r="DA217" s="2146"/>
      <c r="DB217" s="2146"/>
      <c r="DC217" s="2146"/>
      <c r="DD217" s="2146"/>
      <c r="DE217" s="2146"/>
      <c r="DF217" s="2146"/>
      <c r="DG217" s="2146"/>
      <c r="DH217" s="2146"/>
      <c r="DI217" s="2146"/>
      <c r="DJ217" s="2146"/>
      <c r="DK217" s="2146"/>
      <c r="DL217" s="2146"/>
      <c r="DM217" s="2146"/>
      <c r="DN217" s="2146"/>
      <c r="DO217" s="2146"/>
      <c r="DP217" s="2146"/>
      <c r="DQ217" s="87"/>
      <c r="DR217" s="87"/>
      <c r="DS217" s="2148"/>
      <c r="DT217" s="2148"/>
      <c r="DU217" s="2148"/>
      <c r="DV217" s="2148"/>
      <c r="DW217" s="2148"/>
      <c r="DX217" s="2148"/>
      <c r="DY217" s="2148"/>
      <c r="DZ217" s="87"/>
      <c r="EA217" s="87"/>
      <c r="EB217" s="2146"/>
      <c r="EC217" s="2146"/>
      <c r="ED217" s="2146"/>
      <c r="EE217" s="2146"/>
      <c r="EF217" s="2146"/>
      <c r="EG217" s="2146"/>
      <c r="EH217" s="2146"/>
      <c r="EI217" s="2146"/>
      <c r="EJ217" s="2146"/>
      <c r="EK217" s="2146"/>
      <c r="EL217" s="2146"/>
      <c r="EM217" s="2146"/>
      <c r="EN217" s="2146"/>
      <c r="EO217" s="2146"/>
      <c r="EP217" s="2146"/>
      <c r="EQ217" s="2146"/>
      <c r="ER217" s="2146"/>
      <c r="ES217" s="2146"/>
      <c r="ET217" s="2146"/>
      <c r="EU217" s="2146"/>
      <c r="EV217" s="2146"/>
      <c r="EW217" s="2146"/>
      <c r="EX217" s="2146"/>
      <c r="EY217" s="2146"/>
      <c r="EZ217" s="2146"/>
      <c r="FA217" s="2146"/>
      <c r="FB217" s="2146"/>
      <c r="FC217" s="2146"/>
      <c r="FD217" s="2146"/>
      <c r="FE217" s="2146"/>
      <c r="FF217" s="2146"/>
      <c r="FG217" s="2146"/>
      <c r="FH217" s="2146"/>
      <c r="FI217" s="2146"/>
      <c r="FJ217" s="2146"/>
      <c r="FK217" s="2146"/>
      <c r="FL217" s="2146"/>
      <c r="FM217" s="2146"/>
      <c r="FN217" s="2146"/>
      <c r="FO217" s="2146"/>
      <c r="FP217" s="2146"/>
      <c r="FQ217" s="87"/>
      <c r="FR217" s="87"/>
      <c r="FS217" s="2148"/>
      <c r="FT217" s="2148"/>
      <c r="FU217" s="2148"/>
      <c r="FV217" s="2148"/>
      <c r="FW217" s="2148"/>
      <c r="FX217" s="2148"/>
      <c r="FY217" s="2148"/>
      <c r="FZ217" s="87"/>
      <c r="GA217" s="87"/>
      <c r="GC217" s="1853"/>
      <c r="GD217" s="1853"/>
      <c r="GE217" s="1853"/>
      <c r="GG217" s="1853"/>
      <c r="GH217" s="1853"/>
      <c r="GI217" s="1853"/>
      <c r="GK217" s="1853"/>
      <c r="GL217" s="1853"/>
      <c r="GO217" s="1853"/>
      <c r="GP217" s="1853"/>
    </row>
    <row r="218" spans="1:198" ht="9" customHeight="1">
      <c r="A218" s="87"/>
      <c r="B218" s="87"/>
      <c r="C218" s="109"/>
      <c r="D218" s="109"/>
      <c r="E218" s="370"/>
      <c r="F218" s="370"/>
      <c r="G218" s="370"/>
      <c r="H218" s="370"/>
      <c r="I218" s="370"/>
      <c r="J218" s="370"/>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c r="BA218" s="109"/>
      <c r="BB218" s="109"/>
      <c r="BC218" s="109"/>
      <c r="BD218" s="109"/>
      <c r="BE218" s="109"/>
      <c r="BF218" s="327"/>
      <c r="BG218" s="327"/>
      <c r="BH218" s="100"/>
      <c r="BI218" s="100"/>
      <c r="BJ218" s="492"/>
      <c r="BK218" s="462"/>
      <c r="BL218" s="105"/>
      <c r="BM218" s="105"/>
      <c r="BN218" s="105"/>
      <c r="BO218" s="2138"/>
      <c r="BP218" s="2138"/>
      <c r="BQ218" s="2138"/>
      <c r="BR218" s="2138"/>
      <c r="BS218" s="2138"/>
      <c r="BT218" s="2138"/>
      <c r="BU218" s="2138"/>
      <c r="BV218" s="2138"/>
      <c r="BW218" s="2139"/>
      <c r="BX218" s="327"/>
      <c r="BY218" s="327"/>
      <c r="BZ218" s="327"/>
      <c r="CA218" s="87"/>
      <c r="CB218" s="460"/>
      <c r="CC218" s="460"/>
      <c r="CD218" s="460"/>
      <c r="CE218" s="460"/>
      <c r="CF218" s="460"/>
      <c r="CG218" s="460"/>
      <c r="CH218" s="460"/>
      <c r="CI218" s="460"/>
      <c r="CJ218" s="460"/>
      <c r="CK218" s="460"/>
      <c r="CL218" s="460"/>
      <c r="CM218" s="460"/>
      <c r="CN218" s="460"/>
      <c r="CO218" s="460"/>
      <c r="CP218" s="460"/>
      <c r="CQ218" s="460"/>
      <c r="CR218" s="460"/>
      <c r="CS218" s="460"/>
      <c r="CT218" s="460"/>
      <c r="CU218" s="460"/>
      <c r="CV218" s="460"/>
      <c r="CW218" s="460"/>
      <c r="CX218" s="460"/>
      <c r="CY218" s="460"/>
      <c r="CZ218" s="460"/>
      <c r="DA218" s="460"/>
      <c r="DB218" s="460"/>
      <c r="DC218" s="460"/>
      <c r="DD218" s="460"/>
      <c r="DE218" s="419"/>
      <c r="DF218" s="419"/>
      <c r="DG218" s="419"/>
      <c r="DH218" s="419"/>
      <c r="DI218" s="419"/>
      <c r="DJ218" s="419"/>
      <c r="DK218" s="368"/>
      <c r="DL218" s="459"/>
      <c r="DM218" s="459"/>
      <c r="DN218" s="459"/>
      <c r="DO218" s="459"/>
      <c r="DP218" s="459"/>
      <c r="DQ218" s="87"/>
      <c r="DR218" s="87"/>
      <c r="DS218" s="384"/>
      <c r="DT218" s="384"/>
      <c r="DU218" s="384"/>
      <c r="DV218" s="384"/>
      <c r="DW218" s="384"/>
      <c r="DX218" s="384"/>
      <c r="DY218" s="384"/>
      <c r="DZ218" s="87"/>
      <c r="EA218" s="87"/>
      <c r="EB218" s="368"/>
      <c r="EC218" s="459"/>
      <c r="ED218" s="459"/>
      <c r="EE218" s="459"/>
      <c r="EF218" s="459"/>
      <c r="EG218" s="459"/>
      <c r="EH218" s="460"/>
      <c r="EI218" s="460"/>
      <c r="EJ218" s="460"/>
      <c r="EK218" s="460"/>
      <c r="EL218" s="460"/>
      <c r="EM218" s="460"/>
      <c r="EN218" s="460"/>
      <c r="EO218" s="460"/>
      <c r="EP218" s="460"/>
      <c r="EQ218" s="460"/>
      <c r="ER218" s="460"/>
      <c r="ES218" s="460"/>
      <c r="ET218" s="460"/>
      <c r="EU218" s="460"/>
      <c r="EV218" s="460"/>
      <c r="EW218" s="460"/>
      <c r="EX218" s="460"/>
      <c r="EY218" s="460"/>
      <c r="EZ218" s="460"/>
      <c r="FA218" s="460"/>
      <c r="FB218" s="460"/>
      <c r="FC218" s="460"/>
      <c r="FD218" s="460"/>
      <c r="FE218" s="460"/>
      <c r="FF218" s="460"/>
      <c r="FG218" s="460"/>
      <c r="FH218" s="460"/>
      <c r="FI218" s="460"/>
      <c r="FJ218" s="460"/>
      <c r="FK218" s="419"/>
      <c r="FL218" s="419"/>
      <c r="FM218" s="419"/>
      <c r="FN218" s="419"/>
      <c r="FO218" s="419"/>
      <c r="FP218" s="419"/>
      <c r="FQ218" s="384"/>
      <c r="FR218" s="384"/>
      <c r="FS218" s="384"/>
      <c r="FT218" s="384"/>
      <c r="FU218" s="384"/>
      <c r="FV218" s="384"/>
      <c r="FW218" s="384"/>
      <c r="FX218" s="384"/>
      <c r="FY218" s="384"/>
      <c r="FZ218" s="87"/>
      <c r="GA218" s="87"/>
      <c r="GD218" s="714"/>
      <c r="GE218" s="714"/>
      <c r="GH218" s="714"/>
      <c r="GI218" s="714"/>
      <c r="GK218" s="714"/>
      <c r="GL218" s="714"/>
      <c r="GO218" s="714"/>
      <c r="GP218" s="714"/>
    </row>
    <row r="219" spans="1:198" ht="9" customHeight="1">
      <c r="A219" s="87"/>
      <c r="B219" s="2145" t="str">
        <f>IF(Race="","",IF(NOT(ISERROR(GL219)),MID(LanguagesTaken,GL215+1,GL219-GL215-1),""))</f>
        <v/>
      </c>
      <c r="C219" s="2145"/>
      <c r="D219" s="2145"/>
      <c r="E219" s="2145"/>
      <c r="F219" s="2145"/>
      <c r="G219" s="2145"/>
      <c r="H219" s="2145"/>
      <c r="I219" s="2145"/>
      <c r="J219" s="2145"/>
      <c r="K219" s="2145"/>
      <c r="L219" s="2145"/>
      <c r="M219" s="2145"/>
      <c r="N219" s="2145"/>
      <c r="O219" s="2145"/>
      <c r="P219" s="2145"/>
      <c r="Q219" s="2145"/>
      <c r="R219" s="2145"/>
      <c r="S219" s="2145"/>
      <c r="T219" s="2145"/>
      <c r="U219" s="2145"/>
      <c r="V219" s="2145"/>
      <c r="W219" s="2145"/>
      <c r="X219" s="2145"/>
      <c r="Y219" s="2145"/>
      <c r="Z219" s="2145"/>
      <c r="AA219" s="2145"/>
      <c r="AB219" s="2145"/>
      <c r="AC219" s="2145"/>
      <c r="AD219" s="252"/>
      <c r="AE219" s="2145" t="str">
        <f>IF(Race="","",IF(NOT(ISERROR(GP219)),MID(LanguagesTaken,GP215+1,GP219-GP215-1),""))</f>
        <v/>
      </c>
      <c r="AF219" s="2145"/>
      <c r="AG219" s="2145"/>
      <c r="AH219" s="2145"/>
      <c r="AI219" s="2145"/>
      <c r="AJ219" s="2145"/>
      <c r="AK219" s="2145"/>
      <c r="AL219" s="2145"/>
      <c r="AM219" s="2145"/>
      <c r="AN219" s="2145"/>
      <c r="AO219" s="2145"/>
      <c r="AP219" s="2145"/>
      <c r="AQ219" s="2145"/>
      <c r="AR219" s="2145"/>
      <c r="AS219" s="2145"/>
      <c r="AT219" s="2145"/>
      <c r="AU219" s="2145"/>
      <c r="AV219" s="2145"/>
      <c r="AW219" s="2145"/>
      <c r="AX219" s="2145"/>
      <c r="AY219" s="2145"/>
      <c r="AZ219" s="2145"/>
      <c r="BA219" s="2145"/>
      <c r="BB219" s="2145"/>
      <c r="BC219" s="2145"/>
      <c r="BD219" s="2145"/>
      <c r="BE219" s="2145"/>
      <c r="BF219" s="2145"/>
      <c r="BG219" s="327"/>
      <c r="BH219" s="100"/>
      <c r="BI219" s="100"/>
      <c r="BJ219" s="492"/>
      <c r="BK219" s="462"/>
      <c r="BL219" s="105"/>
      <c r="BM219" s="105"/>
      <c r="BN219" s="105"/>
      <c r="BO219" s="2138"/>
      <c r="BP219" s="2138"/>
      <c r="BQ219" s="2138"/>
      <c r="BR219" s="2138"/>
      <c r="BS219" s="2138"/>
      <c r="BT219" s="2138"/>
      <c r="BU219" s="2138"/>
      <c r="BV219" s="2138"/>
      <c r="BW219" s="2139"/>
      <c r="BX219" s="327"/>
      <c r="BY219" s="327"/>
      <c r="BZ219" s="327"/>
      <c r="CA219" s="87"/>
      <c r="CB219" s="2145" t="str">
        <f>IF(Race="","",IF(NOT(ISERROR(GD219)),MID(FeatsTakenList,GD215+1,GD219-GD215-1),""))</f>
        <v/>
      </c>
      <c r="CC219" s="2145"/>
      <c r="CD219" s="2145"/>
      <c r="CE219" s="2145"/>
      <c r="CF219" s="2145"/>
      <c r="CG219" s="2145"/>
      <c r="CH219" s="2145"/>
      <c r="CI219" s="2145"/>
      <c r="CJ219" s="2145"/>
      <c r="CK219" s="2145"/>
      <c r="CL219" s="2145"/>
      <c r="CM219" s="2145"/>
      <c r="CN219" s="2145"/>
      <c r="CO219" s="2145"/>
      <c r="CP219" s="2145"/>
      <c r="CQ219" s="2145"/>
      <c r="CR219" s="2145"/>
      <c r="CS219" s="2145"/>
      <c r="CT219" s="2145"/>
      <c r="CU219" s="2145"/>
      <c r="CV219" s="2145"/>
      <c r="CW219" s="2145"/>
      <c r="CX219" s="2145"/>
      <c r="CY219" s="2145"/>
      <c r="CZ219" s="2145"/>
      <c r="DA219" s="2145"/>
      <c r="DB219" s="2145"/>
      <c r="DC219" s="2145"/>
      <c r="DD219" s="2145"/>
      <c r="DE219" s="2145"/>
      <c r="DF219" s="2145"/>
      <c r="DG219" s="2145"/>
      <c r="DH219" s="2145"/>
      <c r="DI219" s="2145"/>
      <c r="DJ219" s="2145"/>
      <c r="DK219" s="2145"/>
      <c r="DL219" s="2145"/>
      <c r="DM219" s="2145"/>
      <c r="DN219" s="2145"/>
      <c r="DO219" s="2145"/>
      <c r="DP219" s="2145"/>
      <c r="DQ219" s="87"/>
      <c r="DR219" s="87"/>
      <c r="DS219" s="2147" t="str">
        <f>IF(Race="","",IF(NOT(ISERROR(GE219)),MID(FeatsTakenListPageRef,GE215+1,GE219-GE215-1),""))</f>
        <v/>
      </c>
      <c r="DT219" s="2147"/>
      <c r="DU219" s="2147"/>
      <c r="DV219" s="2147"/>
      <c r="DW219" s="2147"/>
      <c r="DX219" s="2147"/>
      <c r="DY219" s="2147"/>
      <c r="DZ219" s="87"/>
      <c r="EA219" s="87"/>
      <c r="EB219" s="2145" t="str">
        <f>IF(Race="","",IF(NOT(ISERROR(GH219)),MID(FeatsTakenList,GH215+1,GH219-GH215-1),""))</f>
        <v/>
      </c>
      <c r="EC219" s="2145"/>
      <c r="ED219" s="2145"/>
      <c r="EE219" s="2145"/>
      <c r="EF219" s="2145"/>
      <c r="EG219" s="2145"/>
      <c r="EH219" s="2145"/>
      <c r="EI219" s="2145"/>
      <c r="EJ219" s="2145"/>
      <c r="EK219" s="2145"/>
      <c r="EL219" s="2145"/>
      <c r="EM219" s="2145"/>
      <c r="EN219" s="2145"/>
      <c r="EO219" s="2145"/>
      <c r="EP219" s="2145"/>
      <c r="EQ219" s="2145"/>
      <c r="ER219" s="2145"/>
      <c r="ES219" s="2145"/>
      <c r="ET219" s="2145"/>
      <c r="EU219" s="2145"/>
      <c r="EV219" s="2145"/>
      <c r="EW219" s="2145"/>
      <c r="EX219" s="2145"/>
      <c r="EY219" s="2145"/>
      <c r="EZ219" s="2145"/>
      <c r="FA219" s="2145"/>
      <c r="FB219" s="2145"/>
      <c r="FC219" s="2145"/>
      <c r="FD219" s="2145"/>
      <c r="FE219" s="2145"/>
      <c r="FF219" s="2145"/>
      <c r="FG219" s="2145"/>
      <c r="FH219" s="2145"/>
      <c r="FI219" s="2145"/>
      <c r="FJ219" s="2145"/>
      <c r="FK219" s="2145"/>
      <c r="FL219" s="2145"/>
      <c r="FM219" s="2145"/>
      <c r="FN219" s="2145"/>
      <c r="FO219" s="2145"/>
      <c r="FP219" s="2145"/>
      <c r="FQ219" s="87"/>
      <c r="FR219" s="87"/>
      <c r="FS219" s="2147" t="str">
        <f>IF(Race="","",IF(NOT(ISERROR(GI219)),MID(FeatsTakenListPageRef,GI215+1,GI219-GI215-1),""))</f>
        <v/>
      </c>
      <c r="FT219" s="2147"/>
      <c r="FU219" s="2147"/>
      <c r="FV219" s="2147"/>
      <c r="FW219" s="2147"/>
      <c r="FX219" s="2147"/>
      <c r="FY219" s="2147"/>
      <c r="FZ219" s="87"/>
      <c r="GA219" s="87"/>
      <c r="GC219" s="1853">
        <f>GC215+1</f>
        <v>13</v>
      </c>
      <c r="GD219" s="1853" t="e">
        <f ca="1">FIND(";",FeatsTakenList,GD215+1)</f>
        <v>#VALUE!</v>
      </c>
      <c r="GE219" s="1853" t="e">
        <f ca="1">FIND(";",FeatsTakenListPageRef,GE215+1)</f>
        <v>#VALUE!</v>
      </c>
      <c r="GG219" s="1853">
        <f>GG215+1</f>
        <v>27</v>
      </c>
      <c r="GH219" s="1853" t="e">
        <f ca="1">FIND(";",FeatsTakenList,GH215+1)</f>
        <v>#VALUE!</v>
      </c>
      <c r="GI219" s="1853" t="e">
        <f ca="1">FIND(";",FeatsTakenListPageRef,GI215+1)</f>
        <v>#VALUE!</v>
      </c>
      <c r="GK219" s="1853">
        <f>GK215+1</f>
        <v>4</v>
      </c>
      <c r="GL219" s="1853" t="e">
        <f>FIND(";",LanguagesTaken,GL215+1)</f>
        <v>#VALUE!</v>
      </c>
      <c r="GO219" s="1853">
        <f>GO215+1</f>
        <v>9</v>
      </c>
      <c r="GP219" s="1853" t="e">
        <f>FIND(";",LanguagesTaken,GP215+1)</f>
        <v>#VALUE!</v>
      </c>
    </row>
    <row r="220" spans="1:198" ht="9" customHeight="1">
      <c r="A220" s="87"/>
      <c r="B220" s="2145"/>
      <c r="C220" s="2145"/>
      <c r="D220" s="2145"/>
      <c r="E220" s="2145"/>
      <c r="F220" s="2145"/>
      <c r="G220" s="2145"/>
      <c r="H220" s="2145"/>
      <c r="I220" s="2145"/>
      <c r="J220" s="2145"/>
      <c r="K220" s="2145"/>
      <c r="L220" s="2145"/>
      <c r="M220" s="2145"/>
      <c r="N220" s="2145"/>
      <c r="O220" s="2145"/>
      <c r="P220" s="2145"/>
      <c r="Q220" s="2145"/>
      <c r="R220" s="2145"/>
      <c r="S220" s="2145"/>
      <c r="T220" s="2145"/>
      <c r="U220" s="2145"/>
      <c r="V220" s="2145"/>
      <c r="W220" s="2145"/>
      <c r="X220" s="2145"/>
      <c r="Y220" s="2145"/>
      <c r="Z220" s="2145"/>
      <c r="AA220" s="2145"/>
      <c r="AB220" s="2145"/>
      <c r="AC220" s="2145"/>
      <c r="AD220" s="252"/>
      <c r="AE220" s="2145"/>
      <c r="AF220" s="2145"/>
      <c r="AG220" s="2145"/>
      <c r="AH220" s="2145"/>
      <c r="AI220" s="2145"/>
      <c r="AJ220" s="2145"/>
      <c r="AK220" s="2145"/>
      <c r="AL220" s="2145"/>
      <c r="AM220" s="2145"/>
      <c r="AN220" s="2145"/>
      <c r="AO220" s="2145"/>
      <c r="AP220" s="2145"/>
      <c r="AQ220" s="2145"/>
      <c r="AR220" s="2145"/>
      <c r="AS220" s="2145"/>
      <c r="AT220" s="2145"/>
      <c r="AU220" s="2145"/>
      <c r="AV220" s="2145"/>
      <c r="AW220" s="2145"/>
      <c r="AX220" s="2145"/>
      <c r="AY220" s="2145"/>
      <c r="AZ220" s="2145"/>
      <c r="BA220" s="2145"/>
      <c r="BB220" s="2145"/>
      <c r="BC220" s="2145"/>
      <c r="BD220" s="2145"/>
      <c r="BE220" s="2145"/>
      <c r="BF220" s="2145"/>
      <c r="BG220" s="105"/>
      <c r="BH220" s="100"/>
      <c r="BI220" s="100"/>
      <c r="BJ220" s="492"/>
      <c r="BK220" s="462"/>
      <c r="BL220" s="105"/>
      <c r="BM220" s="105"/>
      <c r="BN220" s="105"/>
      <c r="BO220" s="2138"/>
      <c r="BP220" s="2138"/>
      <c r="BQ220" s="2138"/>
      <c r="BR220" s="2138"/>
      <c r="BS220" s="2138"/>
      <c r="BT220" s="2138"/>
      <c r="BU220" s="2138"/>
      <c r="BV220" s="2138"/>
      <c r="BW220" s="2139"/>
      <c r="BX220" s="105"/>
      <c r="BY220" s="105"/>
      <c r="BZ220" s="105"/>
      <c r="CA220" s="87"/>
      <c r="CB220" s="2145"/>
      <c r="CC220" s="2145"/>
      <c r="CD220" s="2145"/>
      <c r="CE220" s="2145"/>
      <c r="CF220" s="2145"/>
      <c r="CG220" s="2145"/>
      <c r="CH220" s="2145"/>
      <c r="CI220" s="2145"/>
      <c r="CJ220" s="2145"/>
      <c r="CK220" s="2145"/>
      <c r="CL220" s="2145"/>
      <c r="CM220" s="2145"/>
      <c r="CN220" s="2145"/>
      <c r="CO220" s="2145"/>
      <c r="CP220" s="2145"/>
      <c r="CQ220" s="2145"/>
      <c r="CR220" s="2145"/>
      <c r="CS220" s="2145"/>
      <c r="CT220" s="2145"/>
      <c r="CU220" s="2145"/>
      <c r="CV220" s="2145"/>
      <c r="CW220" s="2145"/>
      <c r="CX220" s="2145"/>
      <c r="CY220" s="2145"/>
      <c r="CZ220" s="2145"/>
      <c r="DA220" s="2145"/>
      <c r="DB220" s="2145"/>
      <c r="DC220" s="2145"/>
      <c r="DD220" s="2145"/>
      <c r="DE220" s="2145"/>
      <c r="DF220" s="2145"/>
      <c r="DG220" s="2145"/>
      <c r="DH220" s="2145"/>
      <c r="DI220" s="2145"/>
      <c r="DJ220" s="2145"/>
      <c r="DK220" s="2145"/>
      <c r="DL220" s="2145"/>
      <c r="DM220" s="2145"/>
      <c r="DN220" s="2145"/>
      <c r="DO220" s="2145"/>
      <c r="DP220" s="2145"/>
      <c r="DQ220" s="87"/>
      <c r="DR220" s="87"/>
      <c r="DS220" s="2147"/>
      <c r="DT220" s="2147"/>
      <c r="DU220" s="2147"/>
      <c r="DV220" s="2147"/>
      <c r="DW220" s="2147"/>
      <c r="DX220" s="2147"/>
      <c r="DY220" s="2147"/>
      <c r="DZ220" s="87"/>
      <c r="EA220" s="87"/>
      <c r="EB220" s="2145"/>
      <c r="EC220" s="2145"/>
      <c r="ED220" s="2145"/>
      <c r="EE220" s="2145"/>
      <c r="EF220" s="2145"/>
      <c r="EG220" s="2145"/>
      <c r="EH220" s="2145"/>
      <c r="EI220" s="2145"/>
      <c r="EJ220" s="2145"/>
      <c r="EK220" s="2145"/>
      <c r="EL220" s="2145"/>
      <c r="EM220" s="2145"/>
      <c r="EN220" s="2145"/>
      <c r="EO220" s="2145"/>
      <c r="EP220" s="2145"/>
      <c r="EQ220" s="2145"/>
      <c r="ER220" s="2145"/>
      <c r="ES220" s="2145"/>
      <c r="ET220" s="2145"/>
      <c r="EU220" s="2145"/>
      <c r="EV220" s="2145"/>
      <c r="EW220" s="2145"/>
      <c r="EX220" s="2145"/>
      <c r="EY220" s="2145"/>
      <c r="EZ220" s="2145"/>
      <c r="FA220" s="2145"/>
      <c r="FB220" s="2145"/>
      <c r="FC220" s="2145"/>
      <c r="FD220" s="2145"/>
      <c r="FE220" s="2145"/>
      <c r="FF220" s="2145"/>
      <c r="FG220" s="2145"/>
      <c r="FH220" s="2145"/>
      <c r="FI220" s="2145"/>
      <c r="FJ220" s="2145"/>
      <c r="FK220" s="2145"/>
      <c r="FL220" s="2145"/>
      <c r="FM220" s="2145"/>
      <c r="FN220" s="2145"/>
      <c r="FO220" s="2145"/>
      <c r="FP220" s="2145"/>
      <c r="FQ220" s="87"/>
      <c r="FR220" s="87"/>
      <c r="FS220" s="2147"/>
      <c r="FT220" s="2147"/>
      <c r="FU220" s="2147"/>
      <c r="FV220" s="2147"/>
      <c r="FW220" s="2147"/>
      <c r="FX220" s="2147"/>
      <c r="FY220" s="2147"/>
      <c r="FZ220" s="87"/>
      <c r="GA220" s="87"/>
      <c r="GC220" s="1853"/>
      <c r="GD220" s="1853"/>
      <c r="GE220" s="1853"/>
      <c r="GG220" s="1853"/>
      <c r="GH220" s="1853"/>
      <c r="GI220" s="1853"/>
      <c r="GK220" s="1853"/>
      <c r="GL220" s="1853"/>
      <c r="GO220" s="1853"/>
      <c r="GP220" s="1853"/>
    </row>
    <row r="221" spans="1:198" ht="9" customHeight="1" thickBot="1">
      <c r="A221" s="87"/>
      <c r="B221" s="2146"/>
      <c r="C221" s="2146"/>
      <c r="D221" s="2146"/>
      <c r="E221" s="2146"/>
      <c r="F221" s="2146"/>
      <c r="G221" s="2146"/>
      <c r="H221" s="2146"/>
      <c r="I221" s="2146"/>
      <c r="J221" s="2146"/>
      <c r="K221" s="2146"/>
      <c r="L221" s="2146"/>
      <c r="M221" s="2146"/>
      <c r="N221" s="2146"/>
      <c r="O221" s="2146"/>
      <c r="P221" s="2146"/>
      <c r="Q221" s="2146"/>
      <c r="R221" s="2146"/>
      <c r="S221" s="2146"/>
      <c r="T221" s="2146"/>
      <c r="U221" s="2146"/>
      <c r="V221" s="2146"/>
      <c r="W221" s="2146"/>
      <c r="X221" s="2146"/>
      <c r="Y221" s="2146"/>
      <c r="Z221" s="2146"/>
      <c r="AA221" s="2146"/>
      <c r="AB221" s="2146"/>
      <c r="AC221" s="2146"/>
      <c r="AD221" s="252"/>
      <c r="AE221" s="2146"/>
      <c r="AF221" s="2146"/>
      <c r="AG221" s="2146"/>
      <c r="AH221" s="2146"/>
      <c r="AI221" s="2146"/>
      <c r="AJ221" s="2146"/>
      <c r="AK221" s="2146"/>
      <c r="AL221" s="2146"/>
      <c r="AM221" s="2146"/>
      <c r="AN221" s="2146"/>
      <c r="AO221" s="2146"/>
      <c r="AP221" s="2146"/>
      <c r="AQ221" s="2146"/>
      <c r="AR221" s="2146"/>
      <c r="AS221" s="2146"/>
      <c r="AT221" s="2146"/>
      <c r="AU221" s="2146"/>
      <c r="AV221" s="2146"/>
      <c r="AW221" s="2146"/>
      <c r="AX221" s="2146"/>
      <c r="AY221" s="2146"/>
      <c r="AZ221" s="2146"/>
      <c r="BA221" s="2146"/>
      <c r="BB221" s="2146"/>
      <c r="BC221" s="2146"/>
      <c r="BD221" s="2146"/>
      <c r="BE221" s="2146"/>
      <c r="BF221" s="2146"/>
      <c r="BG221" s="105"/>
      <c r="BH221" s="100"/>
      <c r="BI221" s="100"/>
      <c r="BJ221" s="492"/>
      <c r="BK221" s="462"/>
      <c r="BL221" s="105"/>
      <c r="BM221" s="105"/>
      <c r="BN221" s="105"/>
      <c r="BO221" s="2138"/>
      <c r="BP221" s="2138"/>
      <c r="BQ221" s="2138"/>
      <c r="BR221" s="2138"/>
      <c r="BS221" s="2138"/>
      <c r="BT221" s="2138"/>
      <c r="BU221" s="2138"/>
      <c r="BV221" s="2138"/>
      <c r="BW221" s="2139"/>
      <c r="BX221" s="105"/>
      <c r="BY221" s="105"/>
      <c r="BZ221" s="105"/>
      <c r="CA221" s="87"/>
      <c r="CB221" s="2146"/>
      <c r="CC221" s="2146"/>
      <c r="CD221" s="2146"/>
      <c r="CE221" s="2146"/>
      <c r="CF221" s="2146"/>
      <c r="CG221" s="2146"/>
      <c r="CH221" s="2146"/>
      <c r="CI221" s="2146"/>
      <c r="CJ221" s="2146"/>
      <c r="CK221" s="2146"/>
      <c r="CL221" s="2146"/>
      <c r="CM221" s="2146"/>
      <c r="CN221" s="2146"/>
      <c r="CO221" s="2146"/>
      <c r="CP221" s="2146"/>
      <c r="CQ221" s="2146"/>
      <c r="CR221" s="2146"/>
      <c r="CS221" s="2146"/>
      <c r="CT221" s="2146"/>
      <c r="CU221" s="2146"/>
      <c r="CV221" s="2146"/>
      <c r="CW221" s="2146"/>
      <c r="CX221" s="2146"/>
      <c r="CY221" s="2146"/>
      <c r="CZ221" s="2146"/>
      <c r="DA221" s="2146"/>
      <c r="DB221" s="2146"/>
      <c r="DC221" s="2146"/>
      <c r="DD221" s="2146"/>
      <c r="DE221" s="2146"/>
      <c r="DF221" s="2146"/>
      <c r="DG221" s="2146"/>
      <c r="DH221" s="2146"/>
      <c r="DI221" s="2146"/>
      <c r="DJ221" s="2146"/>
      <c r="DK221" s="2146"/>
      <c r="DL221" s="2146"/>
      <c r="DM221" s="2146"/>
      <c r="DN221" s="2146"/>
      <c r="DO221" s="2146"/>
      <c r="DP221" s="2146"/>
      <c r="DQ221" s="87"/>
      <c r="DR221" s="87"/>
      <c r="DS221" s="2148"/>
      <c r="DT221" s="2148"/>
      <c r="DU221" s="2148"/>
      <c r="DV221" s="2148"/>
      <c r="DW221" s="2148"/>
      <c r="DX221" s="2148"/>
      <c r="DY221" s="2148"/>
      <c r="DZ221" s="87"/>
      <c r="EA221" s="87"/>
      <c r="EB221" s="2146"/>
      <c r="EC221" s="2146"/>
      <c r="ED221" s="2146"/>
      <c r="EE221" s="2146"/>
      <c r="EF221" s="2146"/>
      <c r="EG221" s="2146"/>
      <c r="EH221" s="2146"/>
      <c r="EI221" s="2146"/>
      <c r="EJ221" s="2146"/>
      <c r="EK221" s="2146"/>
      <c r="EL221" s="2146"/>
      <c r="EM221" s="2146"/>
      <c r="EN221" s="2146"/>
      <c r="EO221" s="2146"/>
      <c r="EP221" s="2146"/>
      <c r="EQ221" s="2146"/>
      <c r="ER221" s="2146"/>
      <c r="ES221" s="2146"/>
      <c r="ET221" s="2146"/>
      <c r="EU221" s="2146"/>
      <c r="EV221" s="2146"/>
      <c r="EW221" s="2146"/>
      <c r="EX221" s="2146"/>
      <c r="EY221" s="2146"/>
      <c r="EZ221" s="2146"/>
      <c r="FA221" s="2146"/>
      <c r="FB221" s="2146"/>
      <c r="FC221" s="2146"/>
      <c r="FD221" s="2146"/>
      <c r="FE221" s="2146"/>
      <c r="FF221" s="2146"/>
      <c r="FG221" s="2146"/>
      <c r="FH221" s="2146"/>
      <c r="FI221" s="2146"/>
      <c r="FJ221" s="2146"/>
      <c r="FK221" s="2146"/>
      <c r="FL221" s="2146"/>
      <c r="FM221" s="2146"/>
      <c r="FN221" s="2146"/>
      <c r="FO221" s="2146"/>
      <c r="FP221" s="2146"/>
      <c r="FQ221" s="87"/>
      <c r="FR221" s="87"/>
      <c r="FS221" s="2148"/>
      <c r="FT221" s="2148"/>
      <c r="FU221" s="2148"/>
      <c r="FV221" s="2148"/>
      <c r="FW221" s="2148"/>
      <c r="FX221" s="2148"/>
      <c r="FY221" s="2148"/>
      <c r="FZ221" s="87"/>
      <c r="GA221" s="87"/>
      <c r="GC221" s="1853"/>
      <c r="GD221" s="1853"/>
      <c r="GE221" s="1853"/>
      <c r="GG221" s="1853"/>
      <c r="GH221" s="1853"/>
      <c r="GI221" s="1853"/>
      <c r="GK221" s="1853"/>
      <c r="GL221" s="1853"/>
      <c r="GO221" s="1853"/>
      <c r="GP221" s="1853"/>
    </row>
    <row r="222" spans="1:198" ht="9" customHeight="1" thickBot="1">
      <c r="A222" s="87"/>
      <c r="B222" s="87"/>
      <c r="C222" s="109"/>
      <c r="D222" s="301"/>
      <c r="E222" s="181"/>
      <c r="F222" s="181"/>
      <c r="G222" s="181"/>
      <c r="H222" s="181"/>
      <c r="I222" s="181"/>
      <c r="J222" s="301"/>
      <c r="K222" s="301"/>
      <c r="L222" s="301"/>
      <c r="M222" s="301"/>
      <c r="N222" s="301"/>
      <c r="O222" s="301"/>
      <c r="P222" s="301"/>
      <c r="Q222" s="301"/>
      <c r="R222" s="301"/>
      <c r="S222" s="301"/>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0"/>
      <c r="BI222" s="100"/>
      <c r="BJ222" s="105"/>
      <c r="BK222" s="444"/>
      <c r="BL222" s="494"/>
      <c r="BM222" s="495"/>
      <c r="BN222" s="495"/>
      <c r="BO222" s="2140"/>
      <c r="BP222" s="2140"/>
      <c r="BQ222" s="2140"/>
      <c r="BR222" s="2140"/>
      <c r="BS222" s="2140"/>
      <c r="BT222" s="2140"/>
      <c r="BU222" s="2140"/>
      <c r="BV222" s="2140"/>
      <c r="BW222" s="2141"/>
      <c r="BX222" s="105"/>
      <c r="BY222" s="105"/>
      <c r="BZ222" s="105"/>
      <c r="CA222" s="87"/>
      <c r="CB222" s="99"/>
      <c r="CC222" s="99"/>
      <c r="CD222" s="99"/>
      <c r="CE222" s="99"/>
      <c r="CF222" s="99"/>
      <c r="CG222" s="461"/>
      <c r="CH222" s="461"/>
      <c r="CI222" s="461"/>
      <c r="CJ222" s="461"/>
      <c r="CK222" s="461"/>
      <c r="CL222" s="461"/>
      <c r="CM222" s="461"/>
      <c r="CN222" s="461"/>
      <c r="CO222" s="461"/>
      <c r="CP222" s="461"/>
      <c r="CQ222" s="461"/>
      <c r="CR222" s="461"/>
      <c r="CS222" s="461"/>
      <c r="CT222" s="461"/>
      <c r="CU222" s="461"/>
      <c r="CV222" s="461"/>
      <c r="CW222" s="461"/>
      <c r="CX222" s="461"/>
      <c r="CY222" s="461"/>
      <c r="CZ222" s="460"/>
      <c r="DA222" s="458"/>
      <c r="DB222" s="458"/>
      <c r="DC222" s="458"/>
      <c r="DD222" s="458"/>
      <c r="DE222" s="419"/>
      <c r="DF222" s="419"/>
      <c r="DG222" s="419"/>
      <c r="DH222" s="419"/>
      <c r="DI222" s="419"/>
      <c r="DJ222" s="419"/>
      <c r="DK222" s="367"/>
      <c r="DL222" s="367"/>
      <c r="DM222" s="367"/>
      <c r="DN222" s="367"/>
      <c r="DO222" s="367"/>
      <c r="DP222" s="367"/>
      <c r="DQ222" s="87"/>
      <c r="DR222" s="87"/>
      <c r="DS222" s="384"/>
      <c r="DT222" s="384"/>
      <c r="DU222" s="384"/>
      <c r="DV222" s="384"/>
      <c r="DW222" s="384"/>
      <c r="DX222" s="384"/>
      <c r="DY222" s="384"/>
      <c r="DZ222" s="87"/>
      <c r="EA222" s="87"/>
      <c r="EB222" s="368"/>
      <c r="EC222" s="459"/>
      <c r="ED222" s="459"/>
      <c r="EE222" s="459"/>
      <c r="EF222" s="459"/>
      <c r="EG222" s="459"/>
      <c r="EH222" s="460"/>
      <c r="EI222" s="460"/>
      <c r="EJ222" s="460"/>
      <c r="EK222" s="460"/>
      <c r="EL222" s="460"/>
      <c r="EM222" s="460"/>
      <c r="EN222" s="460"/>
      <c r="EO222" s="460"/>
      <c r="EP222" s="460"/>
      <c r="EQ222" s="460"/>
      <c r="ER222" s="460"/>
      <c r="ES222" s="460"/>
      <c r="ET222" s="460"/>
      <c r="EU222" s="460"/>
      <c r="EV222" s="460"/>
      <c r="EW222" s="460"/>
      <c r="EX222" s="460"/>
      <c r="EY222" s="460"/>
      <c r="EZ222" s="460"/>
      <c r="FA222" s="460"/>
      <c r="FB222" s="460"/>
      <c r="FC222" s="460"/>
      <c r="FD222" s="460"/>
      <c r="FE222" s="460"/>
      <c r="FF222" s="460"/>
      <c r="FG222" s="460"/>
      <c r="FH222" s="460"/>
      <c r="FI222" s="460"/>
      <c r="FJ222" s="460"/>
      <c r="FK222" s="419"/>
      <c r="FL222" s="419"/>
      <c r="FM222" s="419"/>
      <c r="FN222" s="419"/>
      <c r="FO222" s="419"/>
      <c r="FP222" s="419"/>
      <c r="FQ222" s="384"/>
      <c r="FR222" s="384"/>
      <c r="FS222" s="384"/>
      <c r="FT222" s="384"/>
      <c r="FU222" s="384"/>
      <c r="FV222" s="384"/>
      <c r="FW222" s="384"/>
      <c r="FX222" s="384"/>
      <c r="FY222" s="384"/>
      <c r="FZ222" s="87"/>
      <c r="GA222" s="87"/>
      <c r="GK222" s="714"/>
      <c r="GL222" s="714"/>
      <c r="GO222" s="714"/>
      <c r="GP222" s="714"/>
    </row>
    <row r="223" spans="1:198" ht="9" customHeight="1" thickTop="1" thickBot="1">
      <c r="A223" s="87"/>
      <c r="B223" s="2145" t="str">
        <f>IF(Race="","",IF(NOT(ISERROR(GL223)),MID(LanguagesTaken,GL219+1,GL223-GL219-1),""))</f>
        <v/>
      </c>
      <c r="C223" s="2145"/>
      <c r="D223" s="2145"/>
      <c r="E223" s="2145"/>
      <c r="F223" s="2145"/>
      <c r="G223" s="2145"/>
      <c r="H223" s="2145"/>
      <c r="I223" s="2145"/>
      <c r="J223" s="2145"/>
      <c r="K223" s="2145"/>
      <c r="L223" s="2145"/>
      <c r="M223" s="2145"/>
      <c r="N223" s="2145"/>
      <c r="O223" s="2145"/>
      <c r="P223" s="2145"/>
      <c r="Q223" s="2145"/>
      <c r="R223" s="2145"/>
      <c r="S223" s="2145"/>
      <c r="T223" s="2145"/>
      <c r="U223" s="2145"/>
      <c r="V223" s="2145"/>
      <c r="W223" s="2145"/>
      <c r="X223" s="2145"/>
      <c r="Y223" s="2145"/>
      <c r="Z223" s="2145"/>
      <c r="AA223" s="2145"/>
      <c r="AB223" s="2145"/>
      <c r="AC223" s="2145"/>
      <c r="AD223" s="105"/>
      <c r="AE223" s="2145" t="str">
        <f>IF(Race="","",IF(NOT(ISERROR(GP223)),MID(LanguagesTaken,GP219+1,GP223-GP219-1),""))</f>
        <v/>
      </c>
      <c r="AF223" s="2145"/>
      <c r="AG223" s="2145"/>
      <c r="AH223" s="2145"/>
      <c r="AI223" s="2145"/>
      <c r="AJ223" s="2145"/>
      <c r="AK223" s="2145"/>
      <c r="AL223" s="2145"/>
      <c r="AM223" s="2145"/>
      <c r="AN223" s="2145"/>
      <c r="AO223" s="2145"/>
      <c r="AP223" s="2145"/>
      <c r="AQ223" s="2145"/>
      <c r="AR223" s="2145"/>
      <c r="AS223" s="2145"/>
      <c r="AT223" s="2145"/>
      <c r="AU223" s="2145"/>
      <c r="AV223" s="2145"/>
      <c r="AW223" s="2145"/>
      <c r="AX223" s="2145"/>
      <c r="AY223" s="2145"/>
      <c r="AZ223" s="2145"/>
      <c r="BA223" s="2145"/>
      <c r="BB223" s="2145"/>
      <c r="BC223" s="2145"/>
      <c r="BD223" s="2145"/>
      <c r="BE223" s="2145"/>
      <c r="BF223" s="2145"/>
      <c r="BG223" s="131"/>
      <c r="BH223" s="105"/>
      <c r="BI223" s="91"/>
      <c r="BJ223" s="91"/>
      <c r="BK223" s="108"/>
      <c r="BL223" s="108"/>
      <c r="BM223" s="108"/>
      <c r="BN223" s="108"/>
      <c r="BO223" s="108"/>
      <c r="BP223" s="108"/>
      <c r="BQ223" s="108"/>
      <c r="BR223" s="108"/>
      <c r="BS223" s="108"/>
      <c r="BT223" s="87"/>
      <c r="BU223" s="87"/>
      <c r="BV223" s="87"/>
      <c r="BW223" s="87"/>
      <c r="BX223" s="131"/>
      <c r="BY223" s="131"/>
      <c r="BZ223" s="131"/>
      <c r="CA223" s="87"/>
      <c r="CB223" s="2145" t="str">
        <f>IF(Race="","",IF(NOT(ISERROR(GD223)),MID(FeatsTakenList,GD219+1,GD223-GD219-1),""))</f>
        <v/>
      </c>
      <c r="CC223" s="2145"/>
      <c r="CD223" s="2145"/>
      <c r="CE223" s="2145"/>
      <c r="CF223" s="2145"/>
      <c r="CG223" s="2145"/>
      <c r="CH223" s="2145"/>
      <c r="CI223" s="2145"/>
      <c r="CJ223" s="2145"/>
      <c r="CK223" s="2145"/>
      <c r="CL223" s="2145"/>
      <c r="CM223" s="2145"/>
      <c r="CN223" s="2145"/>
      <c r="CO223" s="2145"/>
      <c r="CP223" s="2145"/>
      <c r="CQ223" s="2145"/>
      <c r="CR223" s="2145"/>
      <c r="CS223" s="2145"/>
      <c r="CT223" s="2145"/>
      <c r="CU223" s="2145"/>
      <c r="CV223" s="2145"/>
      <c r="CW223" s="2145"/>
      <c r="CX223" s="2145"/>
      <c r="CY223" s="2145"/>
      <c r="CZ223" s="2145"/>
      <c r="DA223" s="2145"/>
      <c r="DB223" s="2145"/>
      <c r="DC223" s="2145"/>
      <c r="DD223" s="2145"/>
      <c r="DE223" s="2145"/>
      <c r="DF223" s="2145"/>
      <c r="DG223" s="2145"/>
      <c r="DH223" s="2145"/>
      <c r="DI223" s="2145"/>
      <c r="DJ223" s="2145"/>
      <c r="DK223" s="2145"/>
      <c r="DL223" s="2145"/>
      <c r="DM223" s="2145"/>
      <c r="DN223" s="2145"/>
      <c r="DO223" s="2145"/>
      <c r="DP223" s="2145"/>
      <c r="DQ223" s="87"/>
      <c r="DR223" s="87"/>
      <c r="DS223" s="2147" t="str">
        <f>IF(Race="","",IF(NOT(ISERROR(GE223)),MID(FeatsTakenListPageRef,GE219+1,GE223-GE219-1),""))</f>
        <v/>
      </c>
      <c r="DT223" s="2147"/>
      <c r="DU223" s="2147"/>
      <c r="DV223" s="2147"/>
      <c r="DW223" s="2147"/>
      <c r="DX223" s="2147"/>
      <c r="DY223" s="2147"/>
      <c r="DZ223" s="87"/>
      <c r="EA223" s="87"/>
      <c r="EB223" s="2145" t="str">
        <f>IF(Race="","",IF(NOT(ISERROR(GH223)),MID(FeatsTakenList,GH219+1,GH223-GH219-1),""))</f>
        <v/>
      </c>
      <c r="EC223" s="2145"/>
      <c r="ED223" s="2145"/>
      <c r="EE223" s="2145"/>
      <c r="EF223" s="2145"/>
      <c r="EG223" s="2145"/>
      <c r="EH223" s="2145"/>
      <c r="EI223" s="2145"/>
      <c r="EJ223" s="2145"/>
      <c r="EK223" s="2145"/>
      <c r="EL223" s="2145"/>
      <c r="EM223" s="2145"/>
      <c r="EN223" s="2145"/>
      <c r="EO223" s="2145"/>
      <c r="EP223" s="2145"/>
      <c r="EQ223" s="2145"/>
      <c r="ER223" s="2145"/>
      <c r="ES223" s="2145"/>
      <c r="ET223" s="2145"/>
      <c r="EU223" s="2145"/>
      <c r="EV223" s="2145"/>
      <c r="EW223" s="2145"/>
      <c r="EX223" s="2145"/>
      <c r="EY223" s="2145"/>
      <c r="EZ223" s="2145"/>
      <c r="FA223" s="2145"/>
      <c r="FB223" s="2145"/>
      <c r="FC223" s="2145"/>
      <c r="FD223" s="2145"/>
      <c r="FE223" s="2145"/>
      <c r="FF223" s="2145"/>
      <c r="FG223" s="2145"/>
      <c r="FH223" s="2145"/>
      <c r="FI223" s="2145"/>
      <c r="FJ223" s="2145"/>
      <c r="FK223" s="2145"/>
      <c r="FL223" s="2145"/>
      <c r="FM223" s="2145"/>
      <c r="FN223" s="2145"/>
      <c r="FO223" s="2145"/>
      <c r="FP223" s="2145"/>
      <c r="FQ223" s="87"/>
      <c r="FR223" s="87"/>
      <c r="FS223" s="2147" t="str">
        <f>IF(Race="","",IF(NOT(ISERROR(GI223)),MID(FeatsTakenListPageRef,GI219+1,GI223-GI219-1),""))</f>
        <v/>
      </c>
      <c r="FT223" s="2147"/>
      <c r="FU223" s="2147"/>
      <c r="FV223" s="2147"/>
      <c r="FW223" s="2147"/>
      <c r="FX223" s="2147"/>
      <c r="FY223" s="2147"/>
      <c r="FZ223" s="87"/>
      <c r="GA223" s="87"/>
      <c r="GC223" s="1853">
        <f>GC219+1</f>
        <v>14</v>
      </c>
      <c r="GD223" s="1853" t="e">
        <f ca="1">FIND(";",FeatsTakenList,GD219+1)</f>
        <v>#VALUE!</v>
      </c>
      <c r="GE223" s="1853" t="e">
        <f ca="1">FIND(";",FeatsTakenListPageRef,GE219+1)</f>
        <v>#VALUE!</v>
      </c>
      <c r="GG223" s="1853">
        <f>GG219+1</f>
        <v>28</v>
      </c>
      <c r="GH223" s="1853" t="e">
        <f ca="1">FIND(";",FeatsTakenList,GH219+1)</f>
        <v>#VALUE!</v>
      </c>
      <c r="GI223" s="1853" t="e">
        <f ca="1">FIND(";",FeatsTakenListPageRef,GI219+1)</f>
        <v>#VALUE!</v>
      </c>
      <c r="GK223" s="1853">
        <f>GK219+1</f>
        <v>5</v>
      </c>
      <c r="GL223" s="1853" t="e">
        <f>FIND(";",LanguagesTaken,GL219+1)</f>
        <v>#VALUE!</v>
      </c>
      <c r="GO223" s="1853">
        <f>GO219+1</f>
        <v>10</v>
      </c>
      <c r="GP223" s="1853" t="e">
        <f>FIND(";",LanguagesTaken,GP219+1)</f>
        <v>#VALUE!</v>
      </c>
    </row>
    <row r="224" spans="1:198" ht="9" customHeight="1" thickTop="1" thickBot="1">
      <c r="A224" s="87"/>
      <c r="B224" s="2145"/>
      <c r="C224" s="2145"/>
      <c r="D224" s="2145"/>
      <c r="E224" s="2145"/>
      <c r="F224" s="2145"/>
      <c r="G224" s="2145"/>
      <c r="H224" s="2145"/>
      <c r="I224" s="2145"/>
      <c r="J224" s="2145"/>
      <c r="K224" s="2145"/>
      <c r="L224" s="2145"/>
      <c r="M224" s="2145"/>
      <c r="N224" s="2145"/>
      <c r="O224" s="2145"/>
      <c r="P224" s="2145"/>
      <c r="Q224" s="2145"/>
      <c r="R224" s="2145"/>
      <c r="S224" s="2145"/>
      <c r="T224" s="2145"/>
      <c r="U224" s="2145"/>
      <c r="V224" s="2145"/>
      <c r="W224" s="2145"/>
      <c r="X224" s="2145"/>
      <c r="Y224" s="2145"/>
      <c r="Z224" s="2145"/>
      <c r="AA224" s="2145"/>
      <c r="AB224" s="2145"/>
      <c r="AC224" s="2145"/>
      <c r="AD224" s="105"/>
      <c r="AE224" s="2145"/>
      <c r="AF224" s="2145"/>
      <c r="AG224" s="2145"/>
      <c r="AH224" s="2145"/>
      <c r="AI224" s="2145"/>
      <c r="AJ224" s="2145"/>
      <c r="AK224" s="2145"/>
      <c r="AL224" s="2145"/>
      <c r="AM224" s="2145"/>
      <c r="AN224" s="2145"/>
      <c r="AO224" s="2145"/>
      <c r="AP224" s="2145"/>
      <c r="AQ224" s="2145"/>
      <c r="AR224" s="2145"/>
      <c r="AS224" s="2145"/>
      <c r="AT224" s="2145"/>
      <c r="AU224" s="2145"/>
      <c r="AV224" s="2145"/>
      <c r="AW224" s="2145"/>
      <c r="AX224" s="2145"/>
      <c r="AY224" s="2145"/>
      <c r="AZ224" s="2145"/>
      <c r="BA224" s="2145"/>
      <c r="BB224" s="2145"/>
      <c r="BC224" s="2145"/>
      <c r="BD224" s="2145"/>
      <c r="BE224" s="2145"/>
      <c r="BF224" s="2145"/>
      <c r="BG224" s="131"/>
      <c r="BH224" s="105"/>
      <c r="BI224" s="105"/>
      <c r="BJ224" s="91"/>
      <c r="BK224" s="496"/>
      <c r="BL224" s="496"/>
      <c r="BM224" s="496"/>
      <c r="BN224" s="496"/>
      <c r="BO224" s="496"/>
      <c r="BP224" s="496"/>
      <c r="BQ224" s="496"/>
      <c r="BR224" s="496"/>
      <c r="BS224" s="497"/>
      <c r="BT224" s="87"/>
      <c r="BU224" s="87"/>
      <c r="BV224" s="87"/>
      <c r="BW224" s="87"/>
      <c r="BX224" s="131"/>
      <c r="BY224" s="131"/>
      <c r="BZ224" s="131"/>
      <c r="CA224" s="87"/>
      <c r="CB224" s="2145"/>
      <c r="CC224" s="2145"/>
      <c r="CD224" s="2145"/>
      <c r="CE224" s="2145"/>
      <c r="CF224" s="2145"/>
      <c r="CG224" s="2145"/>
      <c r="CH224" s="2145"/>
      <c r="CI224" s="2145"/>
      <c r="CJ224" s="2145"/>
      <c r="CK224" s="2145"/>
      <c r="CL224" s="2145"/>
      <c r="CM224" s="2145"/>
      <c r="CN224" s="2145"/>
      <c r="CO224" s="2145"/>
      <c r="CP224" s="2145"/>
      <c r="CQ224" s="2145"/>
      <c r="CR224" s="2145"/>
      <c r="CS224" s="2145"/>
      <c r="CT224" s="2145"/>
      <c r="CU224" s="2145"/>
      <c r="CV224" s="2145"/>
      <c r="CW224" s="2145"/>
      <c r="CX224" s="2145"/>
      <c r="CY224" s="2145"/>
      <c r="CZ224" s="2145"/>
      <c r="DA224" s="2145"/>
      <c r="DB224" s="2145"/>
      <c r="DC224" s="2145"/>
      <c r="DD224" s="2145"/>
      <c r="DE224" s="2145"/>
      <c r="DF224" s="2145"/>
      <c r="DG224" s="2145"/>
      <c r="DH224" s="2145"/>
      <c r="DI224" s="2145"/>
      <c r="DJ224" s="2145"/>
      <c r="DK224" s="2145"/>
      <c r="DL224" s="2145"/>
      <c r="DM224" s="2145"/>
      <c r="DN224" s="2145"/>
      <c r="DO224" s="2145"/>
      <c r="DP224" s="2145"/>
      <c r="DQ224" s="87"/>
      <c r="DR224" s="87"/>
      <c r="DS224" s="2147"/>
      <c r="DT224" s="2147"/>
      <c r="DU224" s="2147"/>
      <c r="DV224" s="2147"/>
      <c r="DW224" s="2147"/>
      <c r="DX224" s="2147"/>
      <c r="DY224" s="2147"/>
      <c r="DZ224" s="87"/>
      <c r="EA224" s="87"/>
      <c r="EB224" s="2145"/>
      <c r="EC224" s="2145"/>
      <c r="ED224" s="2145"/>
      <c r="EE224" s="2145"/>
      <c r="EF224" s="2145"/>
      <c r="EG224" s="2145"/>
      <c r="EH224" s="2145"/>
      <c r="EI224" s="2145"/>
      <c r="EJ224" s="2145"/>
      <c r="EK224" s="2145"/>
      <c r="EL224" s="2145"/>
      <c r="EM224" s="2145"/>
      <c r="EN224" s="2145"/>
      <c r="EO224" s="2145"/>
      <c r="EP224" s="2145"/>
      <c r="EQ224" s="2145"/>
      <c r="ER224" s="2145"/>
      <c r="ES224" s="2145"/>
      <c r="ET224" s="2145"/>
      <c r="EU224" s="2145"/>
      <c r="EV224" s="2145"/>
      <c r="EW224" s="2145"/>
      <c r="EX224" s="2145"/>
      <c r="EY224" s="2145"/>
      <c r="EZ224" s="2145"/>
      <c r="FA224" s="2145"/>
      <c r="FB224" s="2145"/>
      <c r="FC224" s="2145"/>
      <c r="FD224" s="2145"/>
      <c r="FE224" s="2145"/>
      <c r="FF224" s="2145"/>
      <c r="FG224" s="2145"/>
      <c r="FH224" s="2145"/>
      <c r="FI224" s="2145"/>
      <c r="FJ224" s="2145"/>
      <c r="FK224" s="2145"/>
      <c r="FL224" s="2145"/>
      <c r="FM224" s="2145"/>
      <c r="FN224" s="2145"/>
      <c r="FO224" s="2145"/>
      <c r="FP224" s="2145"/>
      <c r="FQ224" s="87"/>
      <c r="FR224" s="87"/>
      <c r="FS224" s="2147"/>
      <c r="FT224" s="2147"/>
      <c r="FU224" s="2147"/>
      <c r="FV224" s="2147"/>
      <c r="FW224" s="2147"/>
      <c r="FX224" s="2147"/>
      <c r="FY224" s="2147"/>
      <c r="FZ224" s="87"/>
      <c r="GA224" s="87"/>
      <c r="GC224" s="1853"/>
      <c r="GD224" s="1853"/>
      <c r="GE224" s="1853"/>
      <c r="GG224" s="1853"/>
      <c r="GH224" s="1853"/>
      <c r="GI224" s="1853"/>
      <c r="GK224" s="1853"/>
      <c r="GL224" s="1853"/>
      <c r="GO224" s="1853"/>
      <c r="GP224" s="1853"/>
    </row>
    <row r="225" spans="1:198" ht="9" customHeight="1" thickTop="1" thickBot="1">
      <c r="A225" s="87"/>
      <c r="B225" s="2146"/>
      <c r="C225" s="2146"/>
      <c r="D225" s="2146"/>
      <c r="E225" s="2146"/>
      <c r="F225" s="2146"/>
      <c r="G225" s="2146"/>
      <c r="H225" s="2146"/>
      <c r="I225" s="2146"/>
      <c r="J225" s="2146"/>
      <c r="K225" s="2146"/>
      <c r="L225" s="2146"/>
      <c r="M225" s="2146"/>
      <c r="N225" s="2146"/>
      <c r="O225" s="2146"/>
      <c r="P225" s="2146"/>
      <c r="Q225" s="2146"/>
      <c r="R225" s="2146"/>
      <c r="S225" s="2146"/>
      <c r="T225" s="2146"/>
      <c r="U225" s="2146"/>
      <c r="V225" s="2146"/>
      <c r="W225" s="2146"/>
      <c r="X225" s="2146"/>
      <c r="Y225" s="2146"/>
      <c r="Z225" s="2146"/>
      <c r="AA225" s="2146"/>
      <c r="AB225" s="2146"/>
      <c r="AC225" s="2146"/>
      <c r="AD225" s="105"/>
      <c r="AE225" s="2146"/>
      <c r="AF225" s="2146"/>
      <c r="AG225" s="2146"/>
      <c r="AH225" s="2146"/>
      <c r="AI225" s="2146"/>
      <c r="AJ225" s="2146"/>
      <c r="AK225" s="2146"/>
      <c r="AL225" s="2146"/>
      <c r="AM225" s="2146"/>
      <c r="AN225" s="2146"/>
      <c r="AO225" s="2146"/>
      <c r="AP225" s="2146"/>
      <c r="AQ225" s="2146"/>
      <c r="AR225" s="2146"/>
      <c r="AS225" s="2146"/>
      <c r="AT225" s="2146"/>
      <c r="AU225" s="2146"/>
      <c r="AV225" s="2146"/>
      <c r="AW225" s="2146"/>
      <c r="AX225" s="2146"/>
      <c r="AY225" s="2146"/>
      <c r="AZ225" s="2146"/>
      <c r="BA225" s="2146"/>
      <c r="BB225" s="2146"/>
      <c r="BC225" s="2146"/>
      <c r="BD225" s="2146"/>
      <c r="BE225" s="2146"/>
      <c r="BF225" s="2146"/>
      <c r="BG225" s="131"/>
      <c r="BH225" s="105"/>
      <c r="BI225" s="105"/>
      <c r="BJ225" s="105"/>
      <c r="BK225" s="105"/>
      <c r="BL225" s="105"/>
      <c r="BM225" s="105"/>
      <c r="BN225" s="105"/>
      <c r="BO225" s="105"/>
      <c r="BP225" s="105"/>
      <c r="BQ225" s="105"/>
      <c r="BR225" s="105"/>
      <c r="BS225" s="105"/>
      <c r="BT225" s="87"/>
      <c r="BU225" s="87"/>
      <c r="BV225" s="87"/>
      <c r="BW225" s="87"/>
      <c r="BX225" s="131"/>
      <c r="BY225" s="131"/>
      <c r="BZ225" s="131"/>
      <c r="CA225" s="87"/>
      <c r="CB225" s="2146"/>
      <c r="CC225" s="2146"/>
      <c r="CD225" s="2146"/>
      <c r="CE225" s="2146"/>
      <c r="CF225" s="2146"/>
      <c r="CG225" s="2146"/>
      <c r="CH225" s="2146"/>
      <c r="CI225" s="2146"/>
      <c r="CJ225" s="2146"/>
      <c r="CK225" s="2146"/>
      <c r="CL225" s="2146"/>
      <c r="CM225" s="2146"/>
      <c r="CN225" s="2146"/>
      <c r="CO225" s="2146"/>
      <c r="CP225" s="2146"/>
      <c r="CQ225" s="2146"/>
      <c r="CR225" s="2146"/>
      <c r="CS225" s="2146"/>
      <c r="CT225" s="2146"/>
      <c r="CU225" s="2146"/>
      <c r="CV225" s="2146"/>
      <c r="CW225" s="2146"/>
      <c r="CX225" s="2146"/>
      <c r="CY225" s="2146"/>
      <c r="CZ225" s="2146"/>
      <c r="DA225" s="2146"/>
      <c r="DB225" s="2146"/>
      <c r="DC225" s="2146"/>
      <c r="DD225" s="2146"/>
      <c r="DE225" s="2146"/>
      <c r="DF225" s="2146"/>
      <c r="DG225" s="2146"/>
      <c r="DH225" s="2146"/>
      <c r="DI225" s="2146"/>
      <c r="DJ225" s="2146"/>
      <c r="DK225" s="2146"/>
      <c r="DL225" s="2146"/>
      <c r="DM225" s="2146"/>
      <c r="DN225" s="2146"/>
      <c r="DO225" s="2146"/>
      <c r="DP225" s="2146"/>
      <c r="DQ225" s="87"/>
      <c r="DR225" s="87"/>
      <c r="DS225" s="2148"/>
      <c r="DT225" s="2148"/>
      <c r="DU225" s="2148"/>
      <c r="DV225" s="2148"/>
      <c r="DW225" s="2148"/>
      <c r="DX225" s="2148"/>
      <c r="DY225" s="2148"/>
      <c r="DZ225" s="87"/>
      <c r="EA225" s="87"/>
      <c r="EB225" s="2146"/>
      <c r="EC225" s="2146"/>
      <c r="ED225" s="2146"/>
      <c r="EE225" s="2146"/>
      <c r="EF225" s="2146"/>
      <c r="EG225" s="2146"/>
      <c r="EH225" s="2146"/>
      <c r="EI225" s="2146"/>
      <c r="EJ225" s="2146"/>
      <c r="EK225" s="2146"/>
      <c r="EL225" s="2146"/>
      <c r="EM225" s="2146"/>
      <c r="EN225" s="2146"/>
      <c r="EO225" s="2146"/>
      <c r="EP225" s="2146"/>
      <c r="EQ225" s="2146"/>
      <c r="ER225" s="2146"/>
      <c r="ES225" s="2146"/>
      <c r="ET225" s="2146"/>
      <c r="EU225" s="2146"/>
      <c r="EV225" s="2146"/>
      <c r="EW225" s="2146"/>
      <c r="EX225" s="2146"/>
      <c r="EY225" s="2146"/>
      <c r="EZ225" s="2146"/>
      <c r="FA225" s="2146"/>
      <c r="FB225" s="2146"/>
      <c r="FC225" s="2146"/>
      <c r="FD225" s="2146"/>
      <c r="FE225" s="2146"/>
      <c r="FF225" s="2146"/>
      <c r="FG225" s="2146"/>
      <c r="FH225" s="2146"/>
      <c r="FI225" s="2146"/>
      <c r="FJ225" s="2146"/>
      <c r="FK225" s="2146"/>
      <c r="FL225" s="2146"/>
      <c r="FM225" s="2146"/>
      <c r="FN225" s="2146"/>
      <c r="FO225" s="2146"/>
      <c r="FP225" s="2146"/>
      <c r="FQ225" s="87"/>
      <c r="FR225" s="87"/>
      <c r="FS225" s="2148"/>
      <c r="FT225" s="2148"/>
      <c r="FU225" s="2148"/>
      <c r="FV225" s="2148"/>
      <c r="FW225" s="2148"/>
      <c r="FX225" s="2148"/>
      <c r="FY225" s="2148"/>
      <c r="FZ225" s="87"/>
      <c r="GA225" s="87"/>
      <c r="GC225" s="1853"/>
      <c r="GD225" s="1853"/>
      <c r="GE225" s="1853"/>
      <c r="GG225" s="1853"/>
      <c r="GH225" s="1853"/>
      <c r="GI225" s="1853"/>
      <c r="GK225" s="1853"/>
      <c r="GL225" s="1853"/>
      <c r="GO225" s="1853"/>
      <c r="GP225" s="1853"/>
    </row>
    <row r="226" spans="1:198" ht="9" customHeight="1" thickBot="1">
      <c r="A226" s="87"/>
      <c r="B226" s="87"/>
      <c r="C226" s="87"/>
      <c r="D226" s="301"/>
      <c r="E226" s="181"/>
      <c r="F226" s="181"/>
      <c r="G226" s="181"/>
      <c r="H226" s="181"/>
      <c r="I226" s="181"/>
      <c r="J226" s="301"/>
      <c r="K226" s="301"/>
      <c r="L226" s="301"/>
      <c r="M226" s="301"/>
      <c r="N226" s="301"/>
      <c r="O226" s="301"/>
      <c r="P226" s="301"/>
      <c r="Q226" s="301"/>
      <c r="R226" s="301"/>
      <c r="S226" s="301"/>
      <c r="T226" s="105"/>
      <c r="U226" s="105"/>
      <c r="V226" s="105"/>
      <c r="W226" s="105"/>
      <c r="X226" s="442"/>
      <c r="Y226" s="442"/>
      <c r="Z226" s="442"/>
      <c r="AA226" s="442"/>
      <c r="AB226" s="442"/>
      <c r="AC226" s="105"/>
      <c r="AD226" s="105"/>
      <c r="AE226" s="105"/>
      <c r="AF226" s="105"/>
      <c r="AG226" s="105"/>
      <c r="AH226" s="105"/>
      <c r="AI226" s="105"/>
      <c r="AJ226" s="105"/>
      <c r="AK226" s="442"/>
      <c r="AL226" s="442"/>
      <c r="AM226" s="442"/>
      <c r="AN226" s="442"/>
      <c r="AO226" s="442"/>
      <c r="AP226" s="442"/>
      <c r="AQ226" s="442"/>
      <c r="AR226" s="442"/>
      <c r="AS226" s="442"/>
      <c r="AT226" s="442"/>
      <c r="AU226" s="105"/>
      <c r="AV226" s="105"/>
      <c r="AW226" s="105"/>
      <c r="AX226" s="105"/>
      <c r="AY226" s="105"/>
      <c r="AZ226" s="131"/>
      <c r="BA226" s="131"/>
      <c r="BB226" s="131"/>
      <c r="BC226" s="131"/>
      <c r="BD226" s="131"/>
      <c r="BE226" s="131"/>
      <c r="BF226" s="131"/>
      <c r="BG226" s="498"/>
      <c r="BH226" s="499"/>
      <c r="BI226" s="499"/>
      <c r="BJ226" s="499"/>
      <c r="BK226" s="499"/>
      <c r="BL226" s="499"/>
      <c r="BM226" s="499"/>
      <c r="BN226" s="499"/>
      <c r="BO226" s="499"/>
      <c r="BP226" s="499"/>
      <c r="BQ226" s="499"/>
      <c r="BR226" s="499"/>
      <c r="BS226" s="499"/>
      <c r="BT226" s="87"/>
      <c r="BU226" s="87"/>
      <c r="BV226" s="87"/>
      <c r="BW226" s="87"/>
      <c r="BX226" s="131"/>
      <c r="BY226" s="131"/>
      <c r="BZ226" s="131"/>
      <c r="CA226" s="87"/>
      <c r="CB226" s="87"/>
      <c r="CC226" s="87"/>
      <c r="CD226" s="87"/>
      <c r="CE226" s="87"/>
      <c r="CF226" s="87"/>
      <c r="CG226" s="87"/>
      <c r="CH226" s="87"/>
      <c r="CI226" s="87"/>
      <c r="CJ226" s="87"/>
      <c r="CK226" s="87"/>
      <c r="CL226" s="131"/>
      <c r="CM226" s="131"/>
      <c r="CN226" s="131"/>
      <c r="CO226" s="131"/>
      <c r="CP226" s="131"/>
      <c r="CQ226" s="131"/>
      <c r="CR226" s="131"/>
      <c r="CS226" s="131"/>
      <c r="CT226" s="131"/>
      <c r="CU226" s="131"/>
      <c r="CV226" s="131"/>
      <c r="CW226" s="131"/>
      <c r="CX226" s="131"/>
      <c r="CY226" s="131"/>
      <c r="CZ226" s="131"/>
      <c r="DA226" s="131"/>
      <c r="DB226" s="131"/>
      <c r="DC226" s="131"/>
      <c r="DD226" s="131"/>
      <c r="DE226" s="131"/>
      <c r="DF226" s="131"/>
      <c r="DG226" s="131"/>
      <c r="DH226" s="131"/>
      <c r="DI226" s="131"/>
      <c r="DJ226" s="105"/>
      <c r="DK226" s="105"/>
      <c r="DL226" s="105"/>
      <c r="DM226" s="105"/>
      <c r="DN226" s="105"/>
      <c r="DO226" s="301"/>
      <c r="DP226" s="301"/>
      <c r="DQ226" s="301"/>
      <c r="DR226" s="301"/>
      <c r="DS226" s="301"/>
      <c r="DT226" s="301"/>
      <c r="DU226" s="493"/>
      <c r="DV226" s="493"/>
      <c r="DW226" s="384"/>
      <c r="DX226" s="384"/>
      <c r="DY226" s="384"/>
      <c r="DZ226" s="384"/>
      <c r="EA226" s="384"/>
      <c r="EB226" s="384"/>
      <c r="EC226" s="384"/>
      <c r="ED226" s="500"/>
      <c r="EE226" s="500"/>
      <c r="EF226" s="500"/>
      <c r="EG226" s="105"/>
      <c r="EH226" s="301"/>
      <c r="EI226" s="301"/>
      <c r="EJ226" s="493"/>
      <c r="EK226" s="493"/>
      <c r="EL226" s="493"/>
      <c r="EM226" s="493"/>
      <c r="EN226" s="501"/>
      <c r="EO226" s="500"/>
      <c r="EP226" s="500"/>
      <c r="EQ226" s="500"/>
      <c r="ER226" s="500"/>
      <c r="ES226" s="500"/>
      <c r="ET226" s="500"/>
      <c r="EU226" s="500"/>
      <c r="EV226" s="500"/>
      <c r="EW226" s="500"/>
      <c r="EX226" s="500"/>
      <c r="EY226" s="500"/>
      <c r="EZ226" s="105"/>
      <c r="FA226" s="301"/>
      <c r="FB226" s="105"/>
      <c r="FC226" s="105"/>
      <c r="FD226" s="131"/>
      <c r="FE226" s="131"/>
      <c r="FF226" s="131"/>
      <c r="FG226" s="131"/>
      <c r="FH226" s="131"/>
      <c r="FI226" s="502"/>
      <c r="FJ226" s="502"/>
      <c r="FK226" s="502"/>
      <c r="FL226" s="502"/>
      <c r="FM226" s="502"/>
      <c r="FN226" s="502"/>
      <c r="FO226" s="502"/>
      <c r="FP226" s="502"/>
      <c r="FQ226" s="105"/>
      <c r="FR226" s="109"/>
      <c r="FS226" s="109"/>
      <c r="FT226" s="109"/>
      <c r="FU226" s="109"/>
      <c r="FV226" s="109"/>
      <c r="FW226" s="87"/>
      <c r="FX226" s="87"/>
      <c r="FY226" s="87"/>
      <c r="FZ226" s="87"/>
      <c r="GA226" s="87"/>
    </row>
    <row r="227" spans="1:198" ht="9" customHeight="1" thickTop="1" thickBot="1">
      <c r="A227" s="87"/>
      <c r="B227" s="87"/>
      <c r="C227" s="87"/>
      <c r="D227" s="301"/>
      <c r="E227" s="1657"/>
      <c r="F227" s="1657"/>
      <c r="G227" s="1657"/>
      <c r="H227" s="1657"/>
      <c r="I227" s="1657"/>
      <c r="J227" s="301"/>
      <c r="K227" s="301"/>
      <c r="L227" s="301"/>
      <c r="M227" s="301"/>
      <c r="N227" s="301"/>
      <c r="O227" s="301"/>
      <c r="P227" s="301"/>
      <c r="Q227" s="301"/>
      <c r="R227" s="301"/>
      <c r="S227" s="301"/>
      <c r="T227" s="301"/>
      <c r="U227" s="301"/>
      <c r="V227" s="301"/>
      <c r="W227" s="301"/>
      <c r="X227" s="301"/>
      <c r="Y227" s="301"/>
      <c r="Z227" s="301"/>
      <c r="AA227" s="301"/>
      <c r="AB227" s="301"/>
      <c r="AC227" s="301"/>
      <c r="AD227" s="153"/>
      <c r="AE227" s="1855" t="s">
        <v>3646</v>
      </c>
      <c r="AF227" s="2165"/>
      <c r="AG227" s="2165"/>
      <c r="AH227" s="2165"/>
      <c r="AI227" s="2165"/>
      <c r="AJ227" s="2165"/>
      <c r="AK227" s="2165"/>
      <c r="AL227" s="2165"/>
      <c r="AM227" s="2165"/>
      <c r="AN227" s="2165"/>
      <c r="AO227" s="2165"/>
      <c r="AP227" s="2165"/>
      <c r="AQ227" s="2165"/>
      <c r="AR227" s="2165"/>
      <c r="AS227" s="2165"/>
      <c r="AT227" s="2165"/>
      <c r="AU227" s="2165"/>
      <c r="AV227" s="2165"/>
      <c r="AW227" s="2165"/>
      <c r="AX227" s="2165"/>
      <c r="AY227" s="2165"/>
      <c r="AZ227" s="2165"/>
      <c r="BA227" s="2165"/>
      <c r="BB227" s="2165"/>
      <c r="BC227" s="2165"/>
      <c r="BD227" s="2165"/>
      <c r="BE227" s="2165"/>
      <c r="BF227" s="2165"/>
      <c r="BG227" s="2165"/>
      <c r="BH227" s="2165"/>
      <c r="BI227" s="2165"/>
      <c r="BJ227" s="2165"/>
      <c r="BK227" s="2165"/>
      <c r="BL227" s="2165"/>
      <c r="BM227" s="2165"/>
      <c r="BN227" s="2165"/>
      <c r="BO227" s="2165"/>
      <c r="BP227" s="2165"/>
      <c r="BQ227" s="2165"/>
      <c r="BR227" s="2165"/>
      <c r="BS227" s="2165"/>
      <c r="BT227" s="154"/>
      <c r="BU227" s="87"/>
      <c r="BV227" s="87"/>
      <c r="BW227" s="87"/>
      <c r="BX227" s="301"/>
      <c r="BY227" s="301"/>
      <c r="BZ227" s="301"/>
      <c r="CA227" s="87"/>
      <c r="CB227" s="448"/>
      <c r="CC227" s="448"/>
      <c r="CD227" s="153"/>
      <c r="CE227" s="1855" t="s">
        <v>3647</v>
      </c>
      <c r="CF227" s="1855"/>
      <c r="CG227" s="1855"/>
      <c r="CH227" s="1855"/>
      <c r="CI227" s="1855"/>
      <c r="CJ227" s="1855"/>
      <c r="CK227" s="1855"/>
      <c r="CL227" s="1855"/>
      <c r="CM227" s="1855"/>
      <c r="CN227" s="1855"/>
      <c r="CO227" s="1855"/>
      <c r="CP227" s="1855"/>
      <c r="CQ227" s="1855"/>
      <c r="CR227" s="1855"/>
      <c r="CS227" s="1855"/>
      <c r="CT227" s="154"/>
      <c r="CU227" s="448"/>
      <c r="CV227" s="448"/>
      <c r="CW227" s="448"/>
      <c r="CX227" s="448"/>
      <c r="CY227" s="448"/>
      <c r="CZ227" s="448"/>
      <c r="DA227" s="448"/>
      <c r="DB227" s="448"/>
      <c r="DC227" s="448"/>
      <c r="DD227" s="448"/>
      <c r="DE227" s="448"/>
      <c r="DF227" s="448"/>
      <c r="DG227" s="448"/>
      <c r="DH227" s="448"/>
      <c r="DI227" s="448"/>
      <c r="DJ227" s="448"/>
      <c r="DK227" s="448"/>
      <c r="DL227" s="448"/>
      <c r="DM227" s="448"/>
      <c r="DN227" s="448"/>
      <c r="DO227" s="449"/>
      <c r="DP227" s="449"/>
      <c r="DQ227" s="449"/>
      <c r="DR227" s="449"/>
      <c r="DS227" s="449"/>
      <c r="DT227" s="450"/>
      <c r="DU227" s="450"/>
      <c r="DV227" s="450"/>
      <c r="DW227" s="450"/>
      <c r="DX227" s="450"/>
      <c r="DY227" s="450"/>
      <c r="DZ227" s="450"/>
      <c r="EA227" s="450"/>
      <c r="EB227" s="450"/>
      <c r="EC227" s="450"/>
      <c r="ED227" s="450"/>
      <c r="EE227" s="450"/>
      <c r="EF227" s="450"/>
      <c r="EG227" s="450"/>
      <c r="EH227" s="450"/>
      <c r="EI227" s="450"/>
      <c r="EJ227" s="450"/>
      <c r="EK227" s="450"/>
      <c r="EL227" s="450"/>
      <c r="EM227" s="450"/>
      <c r="EN227" s="450"/>
      <c r="EO227" s="450"/>
      <c r="EP227" s="450"/>
      <c r="EQ227" s="450"/>
      <c r="ER227" s="450"/>
      <c r="ES227" s="450"/>
      <c r="ET227" s="450"/>
      <c r="EU227" s="450"/>
      <c r="EV227" s="450"/>
      <c r="EW227" s="450"/>
      <c r="EX227" s="450"/>
      <c r="EY227" s="450"/>
      <c r="EZ227" s="450"/>
      <c r="FA227" s="450"/>
      <c r="FB227" s="450"/>
      <c r="FC227" s="450"/>
      <c r="FD227" s="450"/>
      <c r="FE227" s="450"/>
      <c r="FF227" s="450"/>
      <c r="FG227" s="450"/>
      <c r="FH227" s="450"/>
      <c r="FI227" s="450"/>
      <c r="FJ227" s="450"/>
      <c r="FK227" s="450"/>
      <c r="FL227" s="450"/>
      <c r="FM227" s="450"/>
      <c r="FN227" s="449"/>
      <c r="FO227" s="449"/>
      <c r="FP227" s="449"/>
      <c r="FQ227" s="449"/>
      <c r="FR227" s="449"/>
      <c r="FS227" s="449"/>
      <c r="FT227" s="449"/>
      <c r="FU227" s="449"/>
      <c r="FV227" s="449"/>
      <c r="FW227" s="449"/>
      <c r="FX227" s="449"/>
      <c r="FY227" s="449"/>
      <c r="FZ227" s="87"/>
      <c r="GA227" s="87"/>
    </row>
    <row r="228" spans="1:198" ht="9" customHeight="1">
      <c r="A228" s="87"/>
      <c r="B228" s="2167"/>
      <c r="C228" s="2168"/>
      <c r="D228" s="2168"/>
      <c r="E228" s="2168"/>
      <c r="F228" s="2168"/>
      <c r="G228" s="2168"/>
      <c r="H228" s="2168"/>
      <c r="I228" s="2168"/>
      <c r="J228" s="2168"/>
      <c r="K228" s="2168"/>
      <c r="L228" s="2168"/>
      <c r="M228" s="2168"/>
      <c r="N228" s="2168"/>
      <c r="O228" s="2168"/>
      <c r="P228" s="2168"/>
      <c r="Q228" s="2168"/>
      <c r="R228" s="2168"/>
      <c r="S228" s="2168"/>
      <c r="T228" s="2168"/>
      <c r="U228" s="2168"/>
      <c r="V228" s="2168"/>
      <c r="W228" s="2168"/>
      <c r="X228" s="2168"/>
      <c r="Y228" s="2168"/>
      <c r="Z228" s="2168"/>
      <c r="AA228" s="2168"/>
      <c r="AB228" s="2168"/>
      <c r="AC228" s="2169"/>
      <c r="AD228" s="162"/>
      <c r="AE228" s="2138"/>
      <c r="AF228" s="2138"/>
      <c r="AG228" s="2138"/>
      <c r="AH228" s="2138"/>
      <c r="AI228" s="2138"/>
      <c r="AJ228" s="2138"/>
      <c r="AK228" s="2138"/>
      <c r="AL228" s="2138"/>
      <c r="AM228" s="2138"/>
      <c r="AN228" s="2138"/>
      <c r="AO228" s="2138"/>
      <c r="AP228" s="2138"/>
      <c r="AQ228" s="2138"/>
      <c r="AR228" s="2138"/>
      <c r="AS228" s="2138"/>
      <c r="AT228" s="2138"/>
      <c r="AU228" s="2138"/>
      <c r="AV228" s="2138"/>
      <c r="AW228" s="2138"/>
      <c r="AX228" s="2138"/>
      <c r="AY228" s="2138"/>
      <c r="AZ228" s="2138"/>
      <c r="BA228" s="2138"/>
      <c r="BB228" s="2138"/>
      <c r="BC228" s="2138"/>
      <c r="BD228" s="2138"/>
      <c r="BE228" s="2138"/>
      <c r="BF228" s="2138"/>
      <c r="BG228" s="2138"/>
      <c r="BH228" s="2138"/>
      <c r="BI228" s="2138"/>
      <c r="BJ228" s="2138"/>
      <c r="BK228" s="2138"/>
      <c r="BL228" s="2138"/>
      <c r="BM228" s="2138"/>
      <c r="BN228" s="2138"/>
      <c r="BO228" s="2138"/>
      <c r="BP228" s="2138"/>
      <c r="BQ228" s="2138"/>
      <c r="BR228" s="2138"/>
      <c r="BS228" s="2138"/>
      <c r="BT228" s="163"/>
      <c r="BU228" s="503"/>
      <c r="BV228" s="504"/>
      <c r="BW228" s="301"/>
      <c r="BX228" s="301"/>
      <c r="BY228" s="301"/>
      <c r="BZ228" s="301"/>
      <c r="CA228" s="87"/>
      <c r="CB228" s="451"/>
      <c r="CC228" s="451"/>
      <c r="CD228" s="162"/>
      <c r="CE228" s="1856"/>
      <c r="CF228" s="1856"/>
      <c r="CG228" s="1856"/>
      <c r="CH228" s="1856"/>
      <c r="CI228" s="1856"/>
      <c r="CJ228" s="1856"/>
      <c r="CK228" s="1856"/>
      <c r="CL228" s="1856"/>
      <c r="CM228" s="1856"/>
      <c r="CN228" s="1856"/>
      <c r="CO228" s="1856"/>
      <c r="CP228" s="1856"/>
      <c r="CQ228" s="1856"/>
      <c r="CR228" s="1856"/>
      <c r="CS228" s="1856"/>
      <c r="CT228" s="163"/>
      <c r="CU228" s="451"/>
      <c r="CV228" s="2142"/>
      <c r="CW228" s="2142"/>
      <c r="CX228" s="2142"/>
      <c r="CY228" s="2142"/>
      <c r="CZ228" s="2142"/>
      <c r="DA228" s="2142"/>
      <c r="DB228" s="2142"/>
      <c r="DC228" s="2142"/>
      <c r="DD228" s="2142"/>
      <c r="DE228" s="2142"/>
      <c r="DF228" s="2142"/>
      <c r="DG228" s="2142"/>
      <c r="DH228" s="2142"/>
      <c r="DI228" s="2142"/>
      <c r="DJ228" s="2142"/>
      <c r="DK228" s="2142"/>
      <c r="DL228" s="2142"/>
      <c r="DM228" s="2142"/>
      <c r="DN228" s="2142"/>
      <c r="DO228" s="2142"/>
      <c r="DP228" s="2142"/>
      <c r="DQ228" s="2142"/>
      <c r="DR228" s="2142"/>
      <c r="DS228" s="2142"/>
      <c r="DT228" s="2142"/>
      <c r="DU228" s="2142"/>
      <c r="DV228" s="2142"/>
      <c r="DW228" s="2142"/>
      <c r="DX228" s="2142"/>
      <c r="DY228" s="2142"/>
      <c r="DZ228" s="2142"/>
      <c r="EA228" s="2142"/>
      <c r="EB228" s="2142"/>
      <c r="EC228" s="2142"/>
      <c r="ED228" s="2142"/>
      <c r="EE228" s="2142"/>
      <c r="EF228" s="2142"/>
      <c r="EG228" s="2142"/>
      <c r="EH228" s="2142"/>
      <c r="EI228" s="2142"/>
      <c r="EJ228" s="2142"/>
      <c r="EK228" s="2142"/>
      <c r="EL228" s="2142"/>
      <c r="EM228" s="2142"/>
      <c r="EN228" s="2142"/>
      <c r="EO228" s="2142"/>
      <c r="EP228" s="2142"/>
      <c r="EQ228" s="2142"/>
      <c r="ER228" s="2142"/>
      <c r="ES228" s="2142"/>
      <c r="ET228" s="2142"/>
      <c r="EU228" s="2142"/>
      <c r="EV228" s="2142"/>
      <c r="EW228" s="2142"/>
      <c r="EX228" s="2142"/>
      <c r="EY228" s="2142"/>
      <c r="EZ228" s="2142"/>
      <c r="FA228" s="2142"/>
      <c r="FB228" s="2142"/>
      <c r="FC228" s="2142"/>
      <c r="FD228" s="2142"/>
      <c r="FE228" s="2142"/>
      <c r="FF228" s="2142"/>
      <c r="FG228" s="2142"/>
      <c r="FH228" s="2142"/>
      <c r="FI228" s="2142"/>
      <c r="FJ228" s="2142"/>
      <c r="FK228" s="2142"/>
      <c r="FL228" s="2142"/>
      <c r="FM228" s="2142"/>
      <c r="FN228" s="2142"/>
      <c r="FO228" s="2142"/>
      <c r="FP228" s="2142"/>
      <c r="FQ228" s="2142"/>
      <c r="FR228" s="2142"/>
      <c r="FS228" s="2142"/>
      <c r="FT228" s="2142"/>
      <c r="FU228" s="2142"/>
      <c r="FV228" s="2142"/>
      <c r="FW228" s="2142"/>
      <c r="FX228" s="2142"/>
      <c r="FY228" s="2142"/>
      <c r="FZ228" s="87"/>
      <c r="GA228" s="87"/>
    </row>
    <row r="229" spans="1:198" ht="9" customHeight="1" thickBot="1">
      <c r="A229" s="87"/>
      <c r="B229" s="2170"/>
      <c r="C229" s="2170"/>
      <c r="D229" s="2170"/>
      <c r="E229" s="2170"/>
      <c r="F229" s="2170"/>
      <c r="G229" s="2170"/>
      <c r="H229" s="2170"/>
      <c r="I229" s="2170"/>
      <c r="J229" s="2170"/>
      <c r="K229" s="2170"/>
      <c r="L229" s="2170"/>
      <c r="M229" s="2170"/>
      <c r="N229" s="2170"/>
      <c r="O229" s="2170"/>
      <c r="P229" s="2170"/>
      <c r="Q229" s="2170"/>
      <c r="R229" s="2170"/>
      <c r="S229" s="2170"/>
      <c r="T229" s="2170"/>
      <c r="U229" s="2170"/>
      <c r="V229" s="2170"/>
      <c r="W229" s="2170"/>
      <c r="X229" s="2170"/>
      <c r="Y229" s="2170"/>
      <c r="Z229" s="2170"/>
      <c r="AA229" s="2170"/>
      <c r="AB229" s="2170"/>
      <c r="AC229" s="2171"/>
      <c r="AD229" s="162"/>
      <c r="AE229" s="2138"/>
      <c r="AF229" s="2138"/>
      <c r="AG229" s="2138"/>
      <c r="AH229" s="2138"/>
      <c r="AI229" s="2138"/>
      <c r="AJ229" s="2138"/>
      <c r="AK229" s="2138"/>
      <c r="AL229" s="2138"/>
      <c r="AM229" s="2138"/>
      <c r="AN229" s="2138"/>
      <c r="AO229" s="2138"/>
      <c r="AP229" s="2138"/>
      <c r="AQ229" s="2138"/>
      <c r="AR229" s="2138"/>
      <c r="AS229" s="2138"/>
      <c r="AT229" s="2138"/>
      <c r="AU229" s="2138"/>
      <c r="AV229" s="2138"/>
      <c r="AW229" s="2138"/>
      <c r="AX229" s="2138"/>
      <c r="AY229" s="2138"/>
      <c r="AZ229" s="2138"/>
      <c r="BA229" s="2138"/>
      <c r="BB229" s="2138"/>
      <c r="BC229" s="2138"/>
      <c r="BD229" s="2138"/>
      <c r="BE229" s="2138"/>
      <c r="BF229" s="2138"/>
      <c r="BG229" s="2138"/>
      <c r="BH229" s="2138"/>
      <c r="BI229" s="2138"/>
      <c r="BJ229" s="2138"/>
      <c r="BK229" s="2138"/>
      <c r="BL229" s="2138"/>
      <c r="BM229" s="2138"/>
      <c r="BN229" s="2138"/>
      <c r="BO229" s="2138"/>
      <c r="BP229" s="2138"/>
      <c r="BQ229" s="2138"/>
      <c r="BR229" s="2138"/>
      <c r="BS229" s="2138"/>
      <c r="BT229" s="163"/>
      <c r="BU229" s="505"/>
      <c r="BV229" s="506"/>
      <c r="BW229" s="384"/>
      <c r="BX229" s="384"/>
      <c r="BY229" s="384"/>
      <c r="BZ229" s="384"/>
      <c r="CA229" s="87"/>
      <c r="CB229" s="452"/>
      <c r="CC229" s="453"/>
      <c r="CD229" s="162"/>
      <c r="CE229" s="1856"/>
      <c r="CF229" s="1856"/>
      <c r="CG229" s="1856"/>
      <c r="CH229" s="1856"/>
      <c r="CI229" s="1856"/>
      <c r="CJ229" s="1856"/>
      <c r="CK229" s="1856"/>
      <c r="CL229" s="1856"/>
      <c r="CM229" s="1856"/>
      <c r="CN229" s="1856"/>
      <c r="CO229" s="1856"/>
      <c r="CP229" s="1856"/>
      <c r="CQ229" s="1856"/>
      <c r="CR229" s="1856"/>
      <c r="CS229" s="1856"/>
      <c r="CT229" s="163"/>
      <c r="CU229" s="454"/>
      <c r="CV229" s="2143"/>
      <c r="CW229" s="2143"/>
      <c r="CX229" s="2143"/>
      <c r="CY229" s="2143"/>
      <c r="CZ229" s="2143"/>
      <c r="DA229" s="2143"/>
      <c r="DB229" s="2143"/>
      <c r="DC229" s="2143"/>
      <c r="DD229" s="2143"/>
      <c r="DE229" s="2143"/>
      <c r="DF229" s="2143"/>
      <c r="DG229" s="2143"/>
      <c r="DH229" s="2143"/>
      <c r="DI229" s="2143"/>
      <c r="DJ229" s="2143"/>
      <c r="DK229" s="2143"/>
      <c r="DL229" s="2143"/>
      <c r="DM229" s="2143"/>
      <c r="DN229" s="2143"/>
      <c r="DO229" s="2143"/>
      <c r="DP229" s="2143"/>
      <c r="DQ229" s="2143"/>
      <c r="DR229" s="2143"/>
      <c r="DS229" s="2143"/>
      <c r="DT229" s="2143"/>
      <c r="DU229" s="2143"/>
      <c r="DV229" s="2143"/>
      <c r="DW229" s="2143"/>
      <c r="DX229" s="2143"/>
      <c r="DY229" s="2143"/>
      <c r="DZ229" s="2143"/>
      <c r="EA229" s="2143"/>
      <c r="EB229" s="2143"/>
      <c r="EC229" s="2143"/>
      <c r="ED229" s="2143"/>
      <c r="EE229" s="2143"/>
      <c r="EF229" s="2143"/>
      <c r="EG229" s="2143"/>
      <c r="EH229" s="2143"/>
      <c r="EI229" s="2143"/>
      <c r="EJ229" s="2143"/>
      <c r="EK229" s="2143"/>
      <c r="EL229" s="2143"/>
      <c r="EM229" s="2143"/>
      <c r="EN229" s="2143"/>
      <c r="EO229" s="2143"/>
      <c r="EP229" s="2143"/>
      <c r="EQ229" s="2143"/>
      <c r="ER229" s="2143"/>
      <c r="ES229" s="2143"/>
      <c r="ET229" s="2143"/>
      <c r="EU229" s="2143"/>
      <c r="EV229" s="2143"/>
      <c r="EW229" s="2143"/>
      <c r="EX229" s="2143"/>
      <c r="EY229" s="2143"/>
      <c r="EZ229" s="2143"/>
      <c r="FA229" s="2143"/>
      <c r="FB229" s="2143"/>
      <c r="FC229" s="2143"/>
      <c r="FD229" s="2143"/>
      <c r="FE229" s="2143"/>
      <c r="FF229" s="2143"/>
      <c r="FG229" s="2143"/>
      <c r="FH229" s="2143"/>
      <c r="FI229" s="2143"/>
      <c r="FJ229" s="2143"/>
      <c r="FK229" s="2143"/>
      <c r="FL229" s="2143"/>
      <c r="FM229" s="2143"/>
      <c r="FN229" s="2143"/>
      <c r="FO229" s="2143"/>
      <c r="FP229" s="2143"/>
      <c r="FQ229" s="2143"/>
      <c r="FR229" s="2143"/>
      <c r="FS229" s="2143"/>
      <c r="FT229" s="2143"/>
      <c r="FU229" s="2143"/>
      <c r="FV229" s="2143"/>
      <c r="FW229" s="2143"/>
      <c r="FX229" s="2143"/>
      <c r="FY229" s="2143"/>
      <c r="FZ229" s="87"/>
      <c r="GA229" s="87"/>
    </row>
    <row r="230" spans="1:198" ht="9" customHeight="1" thickBot="1">
      <c r="A230" s="87"/>
      <c r="B230" s="87"/>
      <c r="C230" s="87"/>
      <c r="D230" s="384"/>
      <c r="E230" s="384"/>
      <c r="F230" s="384"/>
      <c r="G230" s="384"/>
      <c r="H230" s="384"/>
      <c r="I230" s="384"/>
      <c r="J230" s="384"/>
      <c r="K230" s="384"/>
      <c r="L230" s="384"/>
      <c r="M230" s="384"/>
      <c r="N230" s="384"/>
      <c r="O230" s="384"/>
      <c r="P230" s="384"/>
      <c r="Q230" s="384"/>
      <c r="R230" s="384"/>
      <c r="S230" s="384"/>
      <c r="T230" s="384"/>
      <c r="U230" s="384"/>
      <c r="V230" s="384"/>
      <c r="W230" s="384"/>
      <c r="X230" s="384"/>
      <c r="Y230" s="384"/>
      <c r="Z230" s="384"/>
      <c r="AA230" s="384"/>
      <c r="AB230" s="384"/>
      <c r="AC230" s="384"/>
      <c r="AD230" s="154"/>
      <c r="AE230" s="2166"/>
      <c r="AF230" s="2166"/>
      <c r="AG230" s="2166"/>
      <c r="AH230" s="2166"/>
      <c r="AI230" s="2166"/>
      <c r="AJ230" s="2166"/>
      <c r="AK230" s="2166"/>
      <c r="AL230" s="2166"/>
      <c r="AM230" s="2166"/>
      <c r="AN230" s="2166"/>
      <c r="AO230" s="2166"/>
      <c r="AP230" s="2166"/>
      <c r="AQ230" s="2166"/>
      <c r="AR230" s="2166"/>
      <c r="AS230" s="2166"/>
      <c r="AT230" s="2166"/>
      <c r="AU230" s="2166"/>
      <c r="AV230" s="2166"/>
      <c r="AW230" s="2166"/>
      <c r="AX230" s="2166"/>
      <c r="AY230" s="2166"/>
      <c r="AZ230" s="2166"/>
      <c r="BA230" s="2166"/>
      <c r="BB230" s="2166"/>
      <c r="BC230" s="2166"/>
      <c r="BD230" s="2166"/>
      <c r="BE230" s="2166"/>
      <c r="BF230" s="2166"/>
      <c r="BG230" s="2166"/>
      <c r="BH230" s="2166"/>
      <c r="BI230" s="2166"/>
      <c r="BJ230" s="2166"/>
      <c r="BK230" s="2166"/>
      <c r="BL230" s="2166"/>
      <c r="BM230" s="2166"/>
      <c r="BN230" s="2166"/>
      <c r="BO230" s="2166"/>
      <c r="BP230" s="2166"/>
      <c r="BQ230" s="2166"/>
      <c r="BR230" s="2166"/>
      <c r="BS230" s="2166"/>
      <c r="BT230" s="153"/>
      <c r="BU230" s="384"/>
      <c r="BV230" s="384"/>
      <c r="BW230" s="384"/>
      <c r="BX230" s="384"/>
      <c r="BY230" s="384"/>
      <c r="BZ230" s="384"/>
      <c r="CA230" s="87"/>
      <c r="CB230" s="105"/>
      <c r="CC230" s="105"/>
      <c r="CD230" s="154"/>
      <c r="CE230" s="1857"/>
      <c r="CF230" s="1857"/>
      <c r="CG230" s="1857"/>
      <c r="CH230" s="1857"/>
      <c r="CI230" s="1857"/>
      <c r="CJ230" s="1857"/>
      <c r="CK230" s="1857"/>
      <c r="CL230" s="1857"/>
      <c r="CM230" s="1857"/>
      <c r="CN230" s="1857"/>
      <c r="CO230" s="1857"/>
      <c r="CP230" s="1857"/>
      <c r="CQ230" s="1857"/>
      <c r="CR230" s="1857"/>
      <c r="CS230" s="1857"/>
      <c r="CT230" s="153"/>
      <c r="CU230" s="105"/>
      <c r="CV230" s="105"/>
      <c r="CW230" s="105"/>
      <c r="CX230" s="105"/>
      <c r="CY230" s="105"/>
      <c r="CZ230" s="105"/>
      <c r="DA230" s="105"/>
      <c r="DB230" s="105"/>
      <c r="DC230" s="105"/>
      <c r="DD230" s="105"/>
      <c r="DE230" s="105"/>
      <c r="DF230" s="105"/>
      <c r="DG230" s="105"/>
      <c r="DH230" s="105"/>
      <c r="DI230" s="105"/>
      <c r="DJ230" s="105"/>
      <c r="DK230" s="105"/>
      <c r="DL230" s="105"/>
      <c r="DM230" s="105"/>
      <c r="DN230" s="105"/>
      <c r="DO230" s="301"/>
      <c r="DP230" s="301"/>
      <c r="DQ230" s="301"/>
      <c r="DR230" s="301"/>
      <c r="DS230" s="2144" t="s">
        <v>3642</v>
      </c>
      <c r="DT230" s="2144"/>
      <c r="DU230" s="2144"/>
      <c r="DV230" s="2144"/>
      <c r="DW230" s="2144"/>
      <c r="DX230" s="2144"/>
      <c r="DY230" s="2144"/>
      <c r="DZ230" s="507"/>
      <c r="EA230" s="507"/>
      <c r="EB230" s="507"/>
      <c r="EC230" s="507"/>
      <c r="ED230" s="87"/>
      <c r="EE230" s="87"/>
      <c r="EF230" s="384"/>
      <c r="EG230" s="87"/>
      <c r="EH230" s="87"/>
      <c r="EI230" s="87"/>
      <c r="EJ230" s="87"/>
      <c r="EK230" s="87"/>
      <c r="EL230" s="87"/>
      <c r="EM230" s="87"/>
      <c r="EN230" s="455"/>
      <c r="EO230" s="455"/>
      <c r="EP230" s="384"/>
      <c r="EQ230" s="384"/>
      <c r="ER230" s="384"/>
      <c r="ES230" s="384"/>
      <c r="ET230" s="384"/>
      <c r="EU230" s="384"/>
      <c r="EV230" s="384"/>
      <c r="EW230" s="384"/>
      <c r="EX230" s="384"/>
      <c r="EY230" s="384"/>
      <c r="EZ230" s="384"/>
      <c r="FA230" s="384"/>
      <c r="FB230" s="384"/>
      <c r="FC230" s="384"/>
      <c r="FD230" s="384"/>
      <c r="FE230" s="384"/>
      <c r="FF230" s="384"/>
      <c r="FG230" s="384"/>
      <c r="FH230" s="384"/>
      <c r="FI230" s="384"/>
      <c r="FJ230" s="384"/>
      <c r="FK230" s="384"/>
      <c r="FL230" s="384"/>
      <c r="FM230" s="384"/>
      <c r="FN230" s="301"/>
      <c r="FO230" s="301"/>
      <c r="FP230" s="301"/>
      <c r="FQ230" s="301"/>
      <c r="FR230" s="109"/>
      <c r="FS230" s="2144" t="s">
        <v>3642</v>
      </c>
      <c r="FT230" s="2144"/>
      <c r="FU230" s="2144"/>
      <c r="FV230" s="2144"/>
      <c r="FW230" s="2144"/>
      <c r="FX230" s="2144"/>
      <c r="FY230" s="2144"/>
      <c r="FZ230" s="87"/>
      <c r="GA230" s="87"/>
    </row>
    <row r="231" spans="1:198" ht="9" customHeight="1" thickTop="1">
      <c r="A231" s="87"/>
      <c r="B231" s="87"/>
      <c r="C231" s="87"/>
      <c r="D231" s="384"/>
      <c r="E231" s="384"/>
      <c r="F231" s="384"/>
      <c r="G231" s="384"/>
      <c r="H231" s="384"/>
      <c r="I231" s="384"/>
      <c r="J231" s="384"/>
      <c r="K231" s="384"/>
      <c r="L231" s="384"/>
      <c r="M231" s="384"/>
      <c r="N231" s="384"/>
      <c r="O231" s="384"/>
      <c r="P231" s="384"/>
      <c r="Q231" s="384"/>
      <c r="R231" s="384"/>
      <c r="S231" s="384"/>
      <c r="T231" s="384"/>
      <c r="U231" s="384"/>
      <c r="V231" s="384"/>
      <c r="W231" s="384"/>
      <c r="X231" s="384"/>
      <c r="Y231" s="384"/>
      <c r="Z231" s="384"/>
      <c r="AA231" s="384"/>
      <c r="AB231" s="384"/>
      <c r="AC231" s="384"/>
      <c r="AD231" s="384"/>
      <c r="AE231" s="384"/>
      <c r="AF231" s="384"/>
      <c r="AG231" s="384"/>
      <c r="AH231" s="384"/>
      <c r="AI231" s="384"/>
      <c r="AJ231" s="384"/>
      <c r="AK231" s="384"/>
      <c r="AL231" s="384"/>
      <c r="AM231" s="384"/>
      <c r="AN231" s="384"/>
      <c r="AO231" s="384"/>
      <c r="AP231" s="384"/>
      <c r="AQ231" s="384"/>
      <c r="AR231" s="384"/>
      <c r="AS231" s="384"/>
      <c r="AT231" s="384"/>
      <c r="AU231" s="384"/>
      <c r="AV231" s="384"/>
      <c r="AW231" s="384"/>
      <c r="AX231" s="384"/>
      <c r="AY231" s="384"/>
      <c r="AZ231" s="384"/>
      <c r="BA231" s="384"/>
      <c r="BB231" s="384"/>
      <c r="BC231" s="384"/>
      <c r="BD231" s="384"/>
      <c r="BE231" s="384"/>
      <c r="BF231" s="384"/>
      <c r="BG231" s="384"/>
      <c r="BH231" s="384"/>
      <c r="BI231" s="384"/>
      <c r="BJ231" s="384"/>
      <c r="BK231" s="384"/>
      <c r="BL231" s="384"/>
      <c r="BM231" s="384"/>
      <c r="BN231" s="384"/>
      <c r="BO231" s="384"/>
      <c r="BP231" s="384"/>
      <c r="BQ231" s="384"/>
      <c r="BR231" s="384"/>
      <c r="BS231" s="384"/>
      <c r="BT231" s="384"/>
      <c r="BU231" s="384"/>
      <c r="BV231" s="384"/>
      <c r="BW231" s="384"/>
      <c r="BX231" s="384"/>
      <c r="BY231" s="384"/>
      <c r="BZ231" s="384"/>
      <c r="CA231" s="87"/>
      <c r="CB231" s="87"/>
      <c r="CC231" s="87"/>
      <c r="CD231" s="87"/>
      <c r="CE231" s="87"/>
      <c r="CF231" s="87"/>
      <c r="CG231" s="87"/>
      <c r="CH231" s="87"/>
      <c r="CI231" s="87"/>
      <c r="CJ231" s="87"/>
      <c r="CK231" s="87"/>
      <c r="CL231" s="327"/>
      <c r="CM231" s="327"/>
      <c r="CN231" s="327"/>
      <c r="CO231" s="327"/>
      <c r="CP231" s="327"/>
      <c r="CQ231" s="442"/>
      <c r="CR231" s="442"/>
      <c r="CS231" s="442"/>
      <c r="CT231" s="442"/>
      <c r="CU231" s="442"/>
      <c r="CV231" s="442"/>
      <c r="CW231" s="442"/>
      <c r="CX231" s="442"/>
      <c r="CY231" s="442"/>
      <c r="CZ231" s="442"/>
      <c r="DA231" s="442"/>
      <c r="DB231" s="442"/>
      <c r="DC231" s="442"/>
      <c r="DD231" s="442"/>
      <c r="DE231" s="442"/>
      <c r="DF231" s="442"/>
      <c r="DG231" s="442"/>
      <c r="DH231" s="442"/>
      <c r="DI231" s="442"/>
      <c r="DJ231" s="131"/>
      <c r="DK231" s="105"/>
      <c r="DL231" s="105"/>
      <c r="DM231" s="105"/>
      <c r="DN231" s="105"/>
      <c r="DO231" s="301"/>
      <c r="DP231" s="301"/>
      <c r="DQ231" s="301"/>
      <c r="DR231" s="301"/>
      <c r="DS231" s="2144"/>
      <c r="DT231" s="2144"/>
      <c r="DU231" s="2144"/>
      <c r="DV231" s="2144"/>
      <c r="DW231" s="2144"/>
      <c r="DX231" s="2144"/>
      <c r="DY231" s="2144"/>
      <c r="DZ231" s="455"/>
      <c r="EA231" s="455"/>
      <c r="EB231" s="455"/>
      <c r="EC231" s="455"/>
      <c r="ED231" s="87"/>
      <c r="EE231" s="87"/>
      <c r="EF231" s="384"/>
      <c r="EG231" s="87"/>
      <c r="EH231" s="87"/>
      <c r="EI231" s="87"/>
      <c r="EJ231" s="87"/>
      <c r="EK231" s="87"/>
      <c r="EL231" s="87"/>
      <c r="EM231" s="87"/>
      <c r="EN231" s="455"/>
      <c r="EO231" s="455"/>
      <c r="EP231" s="384"/>
      <c r="EQ231" s="384"/>
      <c r="ER231" s="384"/>
      <c r="ES231" s="384"/>
      <c r="ET231" s="384"/>
      <c r="EU231" s="384"/>
      <c r="EV231" s="384"/>
      <c r="EW231" s="384"/>
      <c r="EX231" s="384"/>
      <c r="EY231" s="384"/>
      <c r="EZ231" s="384"/>
      <c r="FA231" s="384"/>
      <c r="FB231" s="384"/>
      <c r="FC231" s="384"/>
      <c r="FD231" s="384"/>
      <c r="FE231" s="384"/>
      <c r="FF231" s="384"/>
      <c r="FG231" s="384"/>
      <c r="FH231" s="384"/>
      <c r="FI231" s="384"/>
      <c r="FJ231" s="384"/>
      <c r="FK231" s="384"/>
      <c r="FL231" s="384"/>
      <c r="FM231" s="384"/>
      <c r="FN231" s="301"/>
      <c r="FO231" s="301"/>
      <c r="FP231" s="301"/>
      <c r="FQ231" s="301"/>
      <c r="FR231" s="109"/>
      <c r="FS231" s="2144"/>
      <c r="FT231" s="2144"/>
      <c r="FU231" s="2144"/>
      <c r="FV231" s="2144"/>
      <c r="FW231" s="2144"/>
      <c r="FX231" s="2144"/>
      <c r="FY231" s="2144"/>
      <c r="FZ231" s="109"/>
      <c r="GA231" s="87"/>
    </row>
    <row r="232" spans="1:198" ht="9" customHeight="1">
      <c r="A232" s="87"/>
      <c r="B232" s="2145" t="str">
        <f>IF(Race="","",IF(NOT(ISERROR(GL232)),MID(ForcePowersTaken,GL228+1,GL232-GL228-1),""))</f>
        <v/>
      </c>
      <c r="C232" s="2145"/>
      <c r="D232" s="2145"/>
      <c r="E232" s="2145"/>
      <c r="F232" s="2145"/>
      <c r="G232" s="2145"/>
      <c r="H232" s="2145"/>
      <c r="I232" s="2145"/>
      <c r="J232" s="2145"/>
      <c r="K232" s="2145"/>
      <c r="L232" s="2145"/>
      <c r="M232" s="2145"/>
      <c r="N232" s="2145"/>
      <c r="O232" s="2145"/>
      <c r="P232" s="2145"/>
      <c r="Q232" s="2145"/>
      <c r="R232" s="2145"/>
      <c r="S232" s="2145"/>
      <c r="T232" s="2145"/>
      <c r="U232" s="2145"/>
      <c r="V232" s="2145"/>
      <c r="W232" s="2145"/>
      <c r="X232" s="2145"/>
      <c r="Y232" s="2145"/>
      <c r="Z232" s="2145"/>
      <c r="AA232" s="2145"/>
      <c r="AB232" s="2145"/>
      <c r="AC232" s="2145"/>
      <c r="AD232" s="2145"/>
      <c r="AE232" s="2145"/>
      <c r="AF232" s="2145"/>
      <c r="AG232" s="2145"/>
      <c r="AH232" s="2145"/>
      <c r="AI232" s="2145"/>
      <c r="AJ232" s="2145"/>
      <c r="AK232" s="2145"/>
      <c r="AL232" s="301"/>
      <c r="AM232" s="2145" t="str">
        <f>IF(Race="","",IF(NOT(ISERROR(GP232)),MID(ForcePowersTaken,GL272+1,GP232-GL272-1),""))</f>
        <v/>
      </c>
      <c r="AN232" s="2145"/>
      <c r="AO232" s="2145"/>
      <c r="AP232" s="2145"/>
      <c r="AQ232" s="2145"/>
      <c r="AR232" s="2145"/>
      <c r="AS232" s="2145"/>
      <c r="AT232" s="2145"/>
      <c r="AU232" s="2145"/>
      <c r="AV232" s="2145"/>
      <c r="AW232" s="2145"/>
      <c r="AX232" s="2145"/>
      <c r="AY232" s="2145"/>
      <c r="AZ232" s="2145"/>
      <c r="BA232" s="2145"/>
      <c r="BB232" s="2145"/>
      <c r="BC232" s="2145"/>
      <c r="BD232" s="2145"/>
      <c r="BE232" s="2145"/>
      <c r="BF232" s="2145"/>
      <c r="BG232" s="2145"/>
      <c r="BH232" s="2145"/>
      <c r="BI232" s="2145"/>
      <c r="BJ232" s="2145"/>
      <c r="BK232" s="2145"/>
      <c r="BL232" s="2145"/>
      <c r="BM232" s="2145"/>
      <c r="BN232" s="2145"/>
      <c r="BO232" s="2145"/>
      <c r="BP232" s="2145"/>
      <c r="BQ232" s="2145"/>
      <c r="BR232" s="2145"/>
      <c r="BS232" s="2145"/>
      <c r="BT232" s="2145"/>
      <c r="BU232" s="2145"/>
      <c r="BV232" s="2145"/>
      <c r="BW232" s="301"/>
      <c r="BX232" s="301"/>
      <c r="BY232" s="301"/>
      <c r="BZ232" s="301"/>
      <c r="CA232" s="87"/>
      <c r="CB232" s="2145" t="str">
        <f>IF(Race="","",IF(NOT(ISERROR(GD232)),MID(TalentsTakenList,GD228+1,GD232-GD228-1),""))</f>
        <v/>
      </c>
      <c r="CC232" s="2145"/>
      <c r="CD232" s="2145"/>
      <c r="CE232" s="2145"/>
      <c r="CF232" s="2145"/>
      <c r="CG232" s="2145"/>
      <c r="CH232" s="2145"/>
      <c r="CI232" s="2145"/>
      <c r="CJ232" s="2145"/>
      <c r="CK232" s="2145"/>
      <c r="CL232" s="2145"/>
      <c r="CM232" s="2145"/>
      <c r="CN232" s="2145"/>
      <c r="CO232" s="2145"/>
      <c r="CP232" s="2145"/>
      <c r="CQ232" s="2145"/>
      <c r="CR232" s="2145"/>
      <c r="CS232" s="2145"/>
      <c r="CT232" s="2145"/>
      <c r="CU232" s="2145"/>
      <c r="CV232" s="2145"/>
      <c r="CW232" s="2145"/>
      <c r="CX232" s="2145"/>
      <c r="CY232" s="2145"/>
      <c r="CZ232" s="2145"/>
      <c r="DA232" s="2145"/>
      <c r="DB232" s="2145"/>
      <c r="DC232" s="2145"/>
      <c r="DD232" s="2145"/>
      <c r="DE232" s="2145"/>
      <c r="DF232" s="2145"/>
      <c r="DG232" s="2145"/>
      <c r="DH232" s="2145"/>
      <c r="DI232" s="2145"/>
      <c r="DJ232" s="2145"/>
      <c r="DK232" s="2145"/>
      <c r="DL232" s="2145"/>
      <c r="DM232" s="2145"/>
      <c r="DN232" s="2145"/>
      <c r="DO232" s="2145"/>
      <c r="DP232" s="2145"/>
      <c r="DQ232" s="87"/>
      <c r="DR232" s="87"/>
      <c r="DS232" s="2147" t="str">
        <f>IF(Race="","",IF(NOT(ISERROR(GE232)),MID(TalentsTakenListPageRef,GE228+1,GE232-GE228-1),""))</f>
        <v/>
      </c>
      <c r="DT232" s="2147"/>
      <c r="DU232" s="2147"/>
      <c r="DV232" s="2147"/>
      <c r="DW232" s="2147"/>
      <c r="DX232" s="2147"/>
      <c r="DY232" s="2147"/>
      <c r="DZ232" s="87"/>
      <c r="EA232" s="87"/>
      <c r="EB232" s="2145" t="str">
        <f>IF(Race="","",IF(NOT(ISERROR(GH232)),MID(TalentsTakenList,GD256+1,GH232-GD256-1),""))</f>
        <v/>
      </c>
      <c r="EC232" s="2145"/>
      <c r="ED232" s="2145"/>
      <c r="EE232" s="2145"/>
      <c r="EF232" s="2145"/>
      <c r="EG232" s="2145"/>
      <c r="EH232" s="2145"/>
      <c r="EI232" s="2145"/>
      <c r="EJ232" s="2145"/>
      <c r="EK232" s="2145"/>
      <c r="EL232" s="2145"/>
      <c r="EM232" s="2145"/>
      <c r="EN232" s="2145"/>
      <c r="EO232" s="2145"/>
      <c r="EP232" s="2145"/>
      <c r="EQ232" s="2145"/>
      <c r="ER232" s="2145"/>
      <c r="ES232" s="2145"/>
      <c r="ET232" s="2145"/>
      <c r="EU232" s="2145"/>
      <c r="EV232" s="2145"/>
      <c r="EW232" s="2145"/>
      <c r="EX232" s="2145"/>
      <c r="EY232" s="2145"/>
      <c r="EZ232" s="2145"/>
      <c r="FA232" s="2145"/>
      <c r="FB232" s="2145"/>
      <c r="FC232" s="2145"/>
      <c r="FD232" s="2145"/>
      <c r="FE232" s="2145"/>
      <c r="FF232" s="2145"/>
      <c r="FG232" s="2145"/>
      <c r="FH232" s="2145"/>
      <c r="FI232" s="2145"/>
      <c r="FJ232" s="2145"/>
      <c r="FK232" s="2145"/>
      <c r="FL232" s="2145"/>
      <c r="FM232" s="2145"/>
      <c r="FN232" s="2145"/>
      <c r="FO232" s="2145"/>
      <c r="FP232" s="2145"/>
      <c r="FQ232" s="87"/>
      <c r="FR232" s="87"/>
      <c r="FS232" s="2147" t="str">
        <f>IF(Race="","",IF(NOT(ISERROR(GI232)),MID(TalentsTakenListPageRef,GE256+1,GI232-GE256-1),""))</f>
        <v/>
      </c>
      <c r="FT232" s="2147"/>
      <c r="FU232" s="2147"/>
      <c r="FV232" s="2147"/>
      <c r="FW232" s="2147"/>
      <c r="FX232" s="2147"/>
      <c r="FY232" s="2147"/>
      <c r="FZ232" s="109"/>
      <c r="GA232" s="87"/>
      <c r="GC232" s="1853">
        <v>1</v>
      </c>
      <c r="GD232" s="1853" t="e">
        <f>FIND(";",TalentsTakenList,1)</f>
        <v>#VALUE!</v>
      </c>
      <c r="GE232" s="1853" t="e">
        <f>FIND(";",TalentsTakenListPageRef,1)</f>
        <v>#VALUE!</v>
      </c>
      <c r="GG232" s="1853">
        <f>GC256+1</f>
        <v>8</v>
      </c>
      <c r="GH232" s="1853" t="e">
        <f>FIND(";",TalentsTakenList,GD256+1)</f>
        <v>#VALUE!</v>
      </c>
      <c r="GI232" s="1853" t="e">
        <f>FIND(";",TalentsTakenListPageRef,GE256+1)</f>
        <v>#VALUE!</v>
      </c>
      <c r="GK232" s="1853">
        <v>1</v>
      </c>
      <c r="GL232" s="1853" t="e">
        <f>FIND(";",ForcePowersTaken,1)</f>
        <v>#VALUE!</v>
      </c>
      <c r="GO232" s="1853">
        <f>GK272+1</f>
        <v>12</v>
      </c>
      <c r="GP232" s="1853" t="e">
        <f>FIND(";",ForcePowersTaken,GL272+1)</f>
        <v>#VALUE!</v>
      </c>
    </row>
    <row r="233" spans="1:198" ht="9" customHeight="1">
      <c r="A233" s="87"/>
      <c r="B233" s="2145"/>
      <c r="C233" s="2145"/>
      <c r="D233" s="2145"/>
      <c r="E233" s="2145"/>
      <c r="F233" s="2145"/>
      <c r="G233" s="2145"/>
      <c r="H233" s="2145"/>
      <c r="I233" s="2145"/>
      <c r="J233" s="2145"/>
      <c r="K233" s="2145"/>
      <c r="L233" s="2145"/>
      <c r="M233" s="2145"/>
      <c r="N233" s="2145"/>
      <c r="O233" s="2145"/>
      <c r="P233" s="2145"/>
      <c r="Q233" s="2145"/>
      <c r="R233" s="2145"/>
      <c r="S233" s="2145"/>
      <c r="T233" s="2145"/>
      <c r="U233" s="2145"/>
      <c r="V233" s="2145"/>
      <c r="W233" s="2145"/>
      <c r="X233" s="2145"/>
      <c r="Y233" s="2145"/>
      <c r="Z233" s="2145"/>
      <c r="AA233" s="2145"/>
      <c r="AB233" s="2145"/>
      <c r="AC233" s="2145"/>
      <c r="AD233" s="2145"/>
      <c r="AE233" s="2145"/>
      <c r="AF233" s="2145"/>
      <c r="AG233" s="2145"/>
      <c r="AH233" s="2145"/>
      <c r="AI233" s="2145"/>
      <c r="AJ233" s="2145"/>
      <c r="AK233" s="2145"/>
      <c r="AL233" s="384"/>
      <c r="AM233" s="2145"/>
      <c r="AN233" s="2145"/>
      <c r="AO233" s="2145"/>
      <c r="AP233" s="2145"/>
      <c r="AQ233" s="2145"/>
      <c r="AR233" s="2145"/>
      <c r="AS233" s="2145"/>
      <c r="AT233" s="2145"/>
      <c r="AU233" s="2145"/>
      <c r="AV233" s="2145"/>
      <c r="AW233" s="2145"/>
      <c r="AX233" s="2145"/>
      <c r="AY233" s="2145"/>
      <c r="AZ233" s="2145"/>
      <c r="BA233" s="2145"/>
      <c r="BB233" s="2145"/>
      <c r="BC233" s="2145"/>
      <c r="BD233" s="2145"/>
      <c r="BE233" s="2145"/>
      <c r="BF233" s="2145"/>
      <c r="BG233" s="2145"/>
      <c r="BH233" s="2145"/>
      <c r="BI233" s="2145"/>
      <c r="BJ233" s="2145"/>
      <c r="BK233" s="2145"/>
      <c r="BL233" s="2145"/>
      <c r="BM233" s="2145"/>
      <c r="BN233" s="2145"/>
      <c r="BO233" s="2145"/>
      <c r="BP233" s="2145"/>
      <c r="BQ233" s="2145"/>
      <c r="BR233" s="2145"/>
      <c r="BS233" s="2145"/>
      <c r="BT233" s="2145"/>
      <c r="BU233" s="2145"/>
      <c r="BV233" s="2145"/>
      <c r="BW233" s="384"/>
      <c r="BX233" s="384"/>
      <c r="BY233" s="384"/>
      <c r="BZ233" s="384"/>
      <c r="CA233" s="87"/>
      <c r="CB233" s="2145"/>
      <c r="CC233" s="2145"/>
      <c r="CD233" s="2145"/>
      <c r="CE233" s="2145"/>
      <c r="CF233" s="2145"/>
      <c r="CG233" s="2145"/>
      <c r="CH233" s="2145"/>
      <c r="CI233" s="2145"/>
      <c r="CJ233" s="2145"/>
      <c r="CK233" s="2145"/>
      <c r="CL233" s="2145"/>
      <c r="CM233" s="2145"/>
      <c r="CN233" s="2145"/>
      <c r="CO233" s="2145"/>
      <c r="CP233" s="2145"/>
      <c r="CQ233" s="2145"/>
      <c r="CR233" s="2145"/>
      <c r="CS233" s="2145"/>
      <c r="CT233" s="2145"/>
      <c r="CU233" s="2145"/>
      <c r="CV233" s="2145"/>
      <c r="CW233" s="2145"/>
      <c r="CX233" s="2145"/>
      <c r="CY233" s="2145"/>
      <c r="CZ233" s="2145"/>
      <c r="DA233" s="2145"/>
      <c r="DB233" s="2145"/>
      <c r="DC233" s="2145"/>
      <c r="DD233" s="2145"/>
      <c r="DE233" s="2145"/>
      <c r="DF233" s="2145"/>
      <c r="DG233" s="2145"/>
      <c r="DH233" s="2145"/>
      <c r="DI233" s="2145"/>
      <c r="DJ233" s="2145"/>
      <c r="DK233" s="2145"/>
      <c r="DL233" s="2145"/>
      <c r="DM233" s="2145"/>
      <c r="DN233" s="2145"/>
      <c r="DO233" s="2145"/>
      <c r="DP233" s="2145"/>
      <c r="DQ233" s="87"/>
      <c r="DR233" s="87"/>
      <c r="DS233" s="2147"/>
      <c r="DT233" s="2147"/>
      <c r="DU233" s="2147"/>
      <c r="DV233" s="2147"/>
      <c r="DW233" s="2147"/>
      <c r="DX233" s="2147"/>
      <c r="DY233" s="2147"/>
      <c r="DZ233" s="87"/>
      <c r="EA233" s="87"/>
      <c r="EB233" s="2145"/>
      <c r="EC233" s="2145"/>
      <c r="ED233" s="2145"/>
      <c r="EE233" s="2145"/>
      <c r="EF233" s="2145"/>
      <c r="EG233" s="2145"/>
      <c r="EH233" s="2145"/>
      <c r="EI233" s="2145"/>
      <c r="EJ233" s="2145"/>
      <c r="EK233" s="2145"/>
      <c r="EL233" s="2145"/>
      <c r="EM233" s="2145"/>
      <c r="EN233" s="2145"/>
      <c r="EO233" s="2145"/>
      <c r="EP233" s="2145"/>
      <c r="EQ233" s="2145"/>
      <c r="ER233" s="2145"/>
      <c r="ES233" s="2145"/>
      <c r="ET233" s="2145"/>
      <c r="EU233" s="2145"/>
      <c r="EV233" s="2145"/>
      <c r="EW233" s="2145"/>
      <c r="EX233" s="2145"/>
      <c r="EY233" s="2145"/>
      <c r="EZ233" s="2145"/>
      <c r="FA233" s="2145"/>
      <c r="FB233" s="2145"/>
      <c r="FC233" s="2145"/>
      <c r="FD233" s="2145"/>
      <c r="FE233" s="2145"/>
      <c r="FF233" s="2145"/>
      <c r="FG233" s="2145"/>
      <c r="FH233" s="2145"/>
      <c r="FI233" s="2145"/>
      <c r="FJ233" s="2145"/>
      <c r="FK233" s="2145"/>
      <c r="FL233" s="2145"/>
      <c r="FM233" s="2145"/>
      <c r="FN233" s="2145"/>
      <c r="FO233" s="2145"/>
      <c r="FP233" s="2145"/>
      <c r="FQ233" s="87"/>
      <c r="FR233" s="87"/>
      <c r="FS233" s="2147"/>
      <c r="FT233" s="2147"/>
      <c r="FU233" s="2147"/>
      <c r="FV233" s="2147"/>
      <c r="FW233" s="2147"/>
      <c r="FX233" s="2147"/>
      <c r="FY233" s="2147"/>
      <c r="FZ233" s="457"/>
      <c r="GA233" s="87"/>
      <c r="GC233" s="1853"/>
      <c r="GD233" s="1853"/>
      <c r="GE233" s="1853"/>
      <c r="GG233" s="1853"/>
      <c r="GH233" s="1853"/>
      <c r="GI233" s="1853"/>
      <c r="GK233" s="1853"/>
      <c r="GL233" s="1853"/>
      <c r="GO233" s="1853"/>
      <c r="GP233" s="1853"/>
    </row>
    <row r="234" spans="1:198" ht="9" customHeight="1" thickBot="1">
      <c r="A234" s="87"/>
      <c r="B234" s="2146"/>
      <c r="C234" s="2146"/>
      <c r="D234" s="2146"/>
      <c r="E234" s="2146"/>
      <c r="F234" s="2146"/>
      <c r="G234" s="2146"/>
      <c r="H234" s="2146"/>
      <c r="I234" s="2146"/>
      <c r="J234" s="2146"/>
      <c r="K234" s="2146"/>
      <c r="L234" s="2146"/>
      <c r="M234" s="2146"/>
      <c r="N234" s="2146"/>
      <c r="O234" s="2146"/>
      <c r="P234" s="2146"/>
      <c r="Q234" s="2146"/>
      <c r="R234" s="2146"/>
      <c r="S234" s="2146"/>
      <c r="T234" s="2146"/>
      <c r="U234" s="2146"/>
      <c r="V234" s="2146"/>
      <c r="W234" s="2146"/>
      <c r="X234" s="2146"/>
      <c r="Y234" s="2146"/>
      <c r="Z234" s="2146"/>
      <c r="AA234" s="2146"/>
      <c r="AB234" s="2146"/>
      <c r="AC234" s="2146"/>
      <c r="AD234" s="2146"/>
      <c r="AE234" s="2146"/>
      <c r="AF234" s="2146"/>
      <c r="AG234" s="2146"/>
      <c r="AH234" s="2146"/>
      <c r="AI234" s="2146"/>
      <c r="AJ234" s="2146"/>
      <c r="AK234" s="2146"/>
      <c r="AL234" s="384"/>
      <c r="AM234" s="2146"/>
      <c r="AN234" s="2146"/>
      <c r="AO234" s="2146"/>
      <c r="AP234" s="2146"/>
      <c r="AQ234" s="2146"/>
      <c r="AR234" s="2146"/>
      <c r="AS234" s="2146"/>
      <c r="AT234" s="2146"/>
      <c r="AU234" s="2146"/>
      <c r="AV234" s="2146"/>
      <c r="AW234" s="2146"/>
      <c r="AX234" s="2146"/>
      <c r="AY234" s="2146"/>
      <c r="AZ234" s="2146"/>
      <c r="BA234" s="2146"/>
      <c r="BB234" s="2146"/>
      <c r="BC234" s="2146"/>
      <c r="BD234" s="2146"/>
      <c r="BE234" s="2146"/>
      <c r="BF234" s="2146"/>
      <c r="BG234" s="2146"/>
      <c r="BH234" s="2146"/>
      <c r="BI234" s="2146"/>
      <c r="BJ234" s="2146"/>
      <c r="BK234" s="2146"/>
      <c r="BL234" s="2146"/>
      <c r="BM234" s="2146"/>
      <c r="BN234" s="2146"/>
      <c r="BO234" s="2146"/>
      <c r="BP234" s="2146"/>
      <c r="BQ234" s="2146"/>
      <c r="BR234" s="2146"/>
      <c r="BS234" s="2146"/>
      <c r="BT234" s="2146"/>
      <c r="BU234" s="2146"/>
      <c r="BV234" s="2146"/>
      <c r="BW234" s="384"/>
      <c r="BX234" s="384"/>
      <c r="BY234" s="384"/>
      <c r="BZ234" s="384"/>
      <c r="CA234" s="87"/>
      <c r="CB234" s="2146"/>
      <c r="CC234" s="2146"/>
      <c r="CD234" s="2146"/>
      <c r="CE234" s="2146"/>
      <c r="CF234" s="2146"/>
      <c r="CG234" s="2146"/>
      <c r="CH234" s="2146"/>
      <c r="CI234" s="2146"/>
      <c r="CJ234" s="2146"/>
      <c r="CK234" s="2146"/>
      <c r="CL234" s="2146"/>
      <c r="CM234" s="2146"/>
      <c r="CN234" s="2146"/>
      <c r="CO234" s="2146"/>
      <c r="CP234" s="2146"/>
      <c r="CQ234" s="2146"/>
      <c r="CR234" s="2146"/>
      <c r="CS234" s="2146"/>
      <c r="CT234" s="2146"/>
      <c r="CU234" s="2146"/>
      <c r="CV234" s="2146"/>
      <c r="CW234" s="2146"/>
      <c r="CX234" s="2146"/>
      <c r="CY234" s="2146"/>
      <c r="CZ234" s="2146"/>
      <c r="DA234" s="2146"/>
      <c r="DB234" s="2146"/>
      <c r="DC234" s="2146"/>
      <c r="DD234" s="2146"/>
      <c r="DE234" s="2146"/>
      <c r="DF234" s="2146"/>
      <c r="DG234" s="2146"/>
      <c r="DH234" s="2146"/>
      <c r="DI234" s="2146"/>
      <c r="DJ234" s="2146"/>
      <c r="DK234" s="2146"/>
      <c r="DL234" s="2146"/>
      <c r="DM234" s="2146"/>
      <c r="DN234" s="2146"/>
      <c r="DO234" s="2146"/>
      <c r="DP234" s="2146"/>
      <c r="DQ234" s="87"/>
      <c r="DR234" s="87"/>
      <c r="DS234" s="2148"/>
      <c r="DT234" s="2148"/>
      <c r="DU234" s="2148"/>
      <c r="DV234" s="2148"/>
      <c r="DW234" s="2148"/>
      <c r="DX234" s="2148"/>
      <c r="DY234" s="2148"/>
      <c r="DZ234" s="87"/>
      <c r="EA234" s="87"/>
      <c r="EB234" s="2146"/>
      <c r="EC234" s="2146"/>
      <c r="ED234" s="2146"/>
      <c r="EE234" s="2146"/>
      <c r="EF234" s="2146"/>
      <c r="EG234" s="2146"/>
      <c r="EH234" s="2146"/>
      <c r="EI234" s="2146"/>
      <c r="EJ234" s="2146"/>
      <c r="EK234" s="2146"/>
      <c r="EL234" s="2146"/>
      <c r="EM234" s="2146"/>
      <c r="EN234" s="2146"/>
      <c r="EO234" s="2146"/>
      <c r="EP234" s="2146"/>
      <c r="EQ234" s="2146"/>
      <c r="ER234" s="2146"/>
      <c r="ES234" s="2146"/>
      <c r="ET234" s="2146"/>
      <c r="EU234" s="2146"/>
      <c r="EV234" s="2146"/>
      <c r="EW234" s="2146"/>
      <c r="EX234" s="2146"/>
      <c r="EY234" s="2146"/>
      <c r="EZ234" s="2146"/>
      <c r="FA234" s="2146"/>
      <c r="FB234" s="2146"/>
      <c r="FC234" s="2146"/>
      <c r="FD234" s="2146"/>
      <c r="FE234" s="2146"/>
      <c r="FF234" s="2146"/>
      <c r="FG234" s="2146"/>
      <c r="FH234" s="2146"/>
      <c r="FI234" s="2146"/>
      <c r="FJ234" s="2146"/>
      <c r="FK234" s="2146"/>
      <c r="FL234" s="2146"/>
      <c r="FM234" s="2146"/>
      <c r="FN234" s="2146"/>
      <c r="FO234" s="2146"/>
      <c r="FP234" s="2146"/>
      <c r="FQ234" s="87"/>
      <c r="FR234" s="87"/>
      <c r="FS234" s="2148"/>
      <c r="FT234" s="2148"/>
      <c r="FU234" s="2148"/>
      <c r="FV234" s="2148"/>
      <c r="FW234" s="2148"/>
      <c r="FX234" s="2148"/>
      <c r="FY234" s="2148"/>
      <c r="FZ234" s="457"/>
      <c r="GA234" s="87"/>
      <c r="GC234" s="1853"/>
      <c r="GD234" s="1853"/>
      <c r="GE234" s="1853"/>
      <c r="GG234" s="1853"/>
      <c r="GH234" s="1853"/>
      <c r="GI234" s="1853"/>
      <c r="GK234" s="1853"/>
      <c r="GL234" s="1853"/>
      <c r="GO234" s="1853"/>
      <c r="GP234" s="1853"/>
    </row>
    <row r="235" spans="1:198" ht="9" customHeight="1">
      <c r="A235" s="87"/>
      <c r="B235" s="87"/>
      <c r="C235" s="87"/>
      <c r="D235" s="384"/>
      <c r="E235" s="384"/>
      <c r="F235" s="384"/>
      <c r="G235" s="384"/>
      <c r="H235" s="384"/>
      <c r="I235" s="384"/>
      <c r="J235" s="384"/>
      <c r="K235" s="384"/>
      <c r="L235" s="384"/>
      <c r="M235" s="384"/>
      <c r="N235" s="384"/>
      <c r="O235" s="384"/>
      <c r="P235" s="384"/>
      <c r="Q235" s="384"/>
      <c r="R235" s="384"/>
      <c r="S235" s="384"/>
      <c r="T235" s="384"/>
      <c r="U235" s="384"/>
      <c r="V235" s="384"/>
      <c r="W235" s="384"/>
      <c r="X235" s="384"/>
      <c r="Y235" s="384"/>
      <c r="Z235" s="384"/>
      <c r="AA235" s="384"/>
      <c r="AB235" s="384"/>
      <c r="AC235" s="384"/>
      <c r="AD235" s="384"/>
      <c r="AE235" s="384"/>
      <c r="AF235" s="384"/>
      <c r="AG235" s="384"/>
      <c r="AH235" s="384"/>
      <c r="AI235" s="384"/>
      <c r="AJ235" s="384"/>
      <c r="AK235" s="384"/>
      <c r="AL235" s="384"/>
      <c r="AM235" s="87"/>
      <c r="AN235" s="87"/>
      <c r="AO235" s="87"/>
      <c r="AP235" s="87"/>
      <c r="AQ235" s="87"/>
      <c r="AR235" s="87"/>
      <c r="AS235" s="87"/>
      <c r="AT235" s="384"/>
      <c r="AU235" s="384"/>
      <c r="AV235" s="384"/>
      <c r="AW235" s="384"/>
      <c r="AX235" s="384"/>
      <c r="AY235" s="384"/>
      <c r="AZ235" s="384"/>
      <c r="BA235" s="384"/>
      <c r="BB235" s="384"/>
      <c r="BC235" s="384"/>
      <c r="BD235" s="384"/>
      <c r="BE235" s="384"/>
      <c r="BF235" s="384"/>
      <c r="BG235" s="384"/>
      <c r="BH235" s="384"/>
      <c r="BI235" s="384"/>
      <c r="BJ235" s="384"/>
      <c r="BK235" s="384"/>
      <c r="BL235" s="384"/>
      <c r="BM235" s="384"/>
      <c r="BN235" s="384"/>
      <c r="BO235" s="384"/>
      <c r="BP235" s="384"/>
      <c r="BQ235" s="384"/>
      <c r="BR235" s="384"/>
      <c r="BS235" s="384"/>
      <c r="BT235" s="384"/>
      <c r="BU235" s="384"/>
      <c r="BV235" s="384"/>
      <c r="BW235" s="384"/>
      <c r="BX235" s="384"/>
      <c r="BY235" s="384"/>
      <c r="BZ235" s="384"/>
      <c r="CA235" s="87"/>
      <c r="CB235" s="460"/>
      <c r="CC235" s="460"/>
      <c r="CD235" s="460"/>
      <c r="CE235" s="460"/>
      <c r="CF235" s="460"/>
      <c r="CG235" s="460"/>
      <c r="CH235" s="460"/>
      <c r="CI235" s="460"/>
      <c r="CJ235" s="460"/>
      <c r="CK235" s="460"/>
      <c r="CL235" s="460"/>
      <c r="CM235" s="460"/>
      <c r="CN235" s="460"/>
      <c r="CO235" s="460"/>
      <c r="CP235" s="460"/>
      <c r="CQ235" s="460"/>
      <c r="CR235" s="460"/>
      <c r="CS235" s="460"/>
      <c r="CT235" s="460"/>
      <c r="CU235" s="460"/>
      <c r="CV235" s="460"/>
      <c r="CW235" s="460"/>
      <c r="CX235" s="460"/>
      <c r="CY235" s="460"/>
      <c r="CZ235" s="460"/>
      <c r="DA235" s="460"/>
      <c r="DB235" s="460"/>
      <c r="DC235" s="460"/>
      <c r="DD235" s="460"/>
      <c r="DE235" s="419"/>
      <c r="DF235" s="419"/>
      <c r="DG235" s="419"/>
      <c r="DH235" s="419"/>
      <c r="DI235" s="419"/>
      <c r="DJ235" s="419"/>
      <c r="DK235" s="368"/>
      <c r="DL235" s="459"/>
      <c r="DM235" s="459"/>
      <c r="DN235" s="459"/>
      <c r="DO235" s="459"/>
      <c r="DP235" s="459"/>
      <c r="DQ235" s="87"/>
      <c r="DR235" s="87"/>
      <c r="DS235" s="105"/>
      <c r="DT235" s="105"/>
      <c r="DU235" s="105"/>
      <c r="DV235" s="105"/>
      <c r="DW235" s="105"/>
      <c r="DX235" s="105"/>
      <c r="DY235" s="105"/>
      <c r="DZ235" s="87"/>
      <c r="EA235" s="87"/>
      <c r="EB235" s="368"/>
      <c r="EC235" s="459"/>
      <c r="ED235" s="459"/>
      <c r="EE235" s="459"/>
      <c r="EF235" s="459"/>
      <c r="EG235" s="459"/>
      <c r="EH235" s="99"/>
      <c r="EI235" s="99"/>
      <c r="EJ235" s="99"/>
      <c r="EK235" s="99"/>
      <c r="EL235" s="99"/>
      <c r="EM235" s="461"/>
      <c r="EN235" s="461"/>
      <c r="EO235" s="461"/>
      <c r="EP235" s="461"/>
      <c r="EQ235" s="461"/>
      <c r="ER235" s="461"/>
      <c r="ES235" s="461"/>
      <c r="ET235" s="461"/>
      <c r="EU235" s="461"/>
      <c r="EV235" s="461"/>
      <c r="EW235" s="461"/>
      <c r="EX235" s="461"/>
      <c r="EY235" s="461"/>
      <c r="EZ235" s="461"/>
      <c r="FA235" s="461"/>
      <c r="FB235" s="461"/>
      <c r="FC235" s="461"/>
      <c r="FD235" s="461"/>
      <c r="FE235" s="461"/>
      <c r="FF235" s="460"/>
      <c r="FG235" s="458"/>
      <c r="FH235" s="458"/>
      <c r="FI235" s="458"/>
      <c r="FJ235" s="458"/>
      <c r="FK235" s="419"/>
      <c r="FL235" s="419"/>
      <c r="FM235" s="419"/>
      <c r="FN235" s="419"/>
      <c r="FO235" s="419"/>
      <c r="FP235" s="419"/>
      <c r="FQ235" s="314"/>
      <c r="FR235" s="314"/>
      <c r="FS235" s="105"/>
      <c r="FT235" s="105"/>
      <c r="FU235" s="105"/>
      <c r="FV235" s="105"/>
      <c r="FW235" s="105"/>
      <c r="FX235" s="105"/>
      <c r="FY235" s="105"/>
      <c r="FZ235" s="457"/>
      <c r="GA235" s="87"/>
    </row>
    <row r="236" spans="1:198" ht="9" customHeight="1">
      <c r="A236" s="87"/>
      <c r="B236" s="2145" t="str">
        <f>IF(Race="","",IF(NOT(ISERROR(GL236)),MID(ForcePowersTaken,GL232+1,GL236-GL232-1),""))</f>
        <v/>
      </c>
      <c r="C236" s="2145"/>
      <c r="D236" s="2145"/>
      <c r="E236" s="2145"/>
      <c r="F236" s="2145"/>
      <c r="G236" s="2145"/>
      <c r="H236" s="2145"/>
      <c r="I236" s="2145"/>
      <c r="J236" s="2145"/>
      <c r="K236" s="2145"/>
      <c r="L236" s="2145"/>
      <c r="M236" s="2145"/>
      <c r="N236" s="2145"/>
      <c r="O236" s="2145"/>
      <c r="P236" s="2145"/>
      <c r="Q236" s="2145"/>
      <c r="R236" s="2145"/>
      <c r="S236" s="2145"/>
      <c r="T236" s="2145"/>
      <c r="U236" s="2145"/>
      <c r="V236" s="2145"/>
      <c r="W236" s="2145"/>
      <c r="X236" s="2145"/>
      <c r="Y236" s="2145"/>
      <c r="Z236" s="2145"/>
      <c r="AA236" s="2145"/>
      <c r="AB236" s="2145"/>
      <c r="AC236" s="2145"/>
      <c r="AD236" s="2145"/>
      <c r="AE236" s="2145"/>
      <c r="AF236" s="2145"/>
      <c r="AG236" s="2145"/>
      <c r="AH236" s="2145"/>
      <c r="AI236" s="2145"/>
      <c r="AJ236" s="2145"/>
      <c r="AK236" s="2145"/>
      <c r="AL236" s="301"/>
      <c r="AM236" s="2145" t="str">
        <f>IF(Race="","",IF(NOT(ISERROR(GP236)),MID(ForcePowersTaken,GP232+1,GP236-GP232-1),""))</f>
        <v/>
      </c>
      <c r="AN236" s="2145"/>
      <c r="AO236" s="2145"/>
      <c r="AP236" s="2145"/>
      <c r="AQ236" s="2145"/>
      <c r="AR236" s="2145"/>
      <c r="AS236" s="2145"/>
      <c r="AT236" s="2145"/>
      <c r="AU236" s="2145"/>
      <c r="AV236" s="2145"/>
      <c r="AW236" s="2145"/>
      <c r="AX236" s="2145"/>
      <c r="AY236" s="2145"/>
      <c r="AZ236" s="2145"/>
      <c r="BA236" s="2145"/>
      <c r="BB236" s="2145"/>
      <c r="BC236" s="2145"/>
      <c r="BD236" s="2145"/>
      <c r="BE236" s="2145"/>
      <c r="BF236" s="2145"/>
      <c r="BG236" s="2145"/>
      <c r="BH236" s="2145"/>
      <c r="BI236" s="2145"/>
      <c r="BJ236" s="2145"/>
      <c r="BK236" s="2145"/>
      <c r="BL236" s="2145"/>
      <c r="BM236" s="2145"/>
      <c r="BN236" s="2145"/>
      <c r="BO236" s="2145"/>
      <c r="BP236" s="2145"/>
      <c r="BQ236" s="2145"/>
      <c r="BR236" s="2145"/>
      <c r="BS236" s="2145"/>
      <c r="BT236" s="2145"/>
      <c r="BU236" s="2145"/>
      <c r="BV236" s="2145"/>
      <c r="BW236" s="301"/>
      <c r="BX236" s="301"/>
      <c r="BY236" s="301"/>
      <c r="BZ236" s="301"/>
      <c r="CA236" s="87"/>
      <c r="CB236" s="2145" t="str">
        <f>IF(Race="","",IF(NOT(ISERROR(GD236)),MID(TalentsTakenList,GD232+1,GD236-GD232-1),""))</f>
        <v/>
      </c>
      <c r="CC236" s="2145"/>
      <c r="CD236" s="2145"/>
      <c r="CE236" s="2145"/>
      <c r="CF236" s="2145"/>
      <c r="CG236" s="2145"/>
      <c r="CH236" s="2145"/>
      <c r="CI236" s="2145"/>
      <c r="CJ236" s="2145"/>
      <c r="CK236" s="2145"/>
      <c r="CL236" s="2145"/>
      <c r="CM236" s="2145"/>
      <c r="CN236" s="2145"/>
      <c r="CO236" s="2145"/>
      <c r="CP236" s="2145"/>
      <c r="CQ236" s="2145"/>
      <c r="CR236" s="2145"/>
      <c r="CS236" s="2145"/>
      <c r="CT236" s="2145"/>
      <c r="CU236" s="2145"/>
      <c r="CV236" s="2145"/>
      <c r="CW236" s="2145"/>
      <c r="CX236" s="2145"/>
      <c r="CY236" s="2145"/>
      <c r="CZ236" s="2145"/>
      <c r="DA236" s="2145"/>
      <c r="DB236" s="2145"/>
      <c r="DC236" s="2145"/>
      <c r="DD236" s="2145"/>
      <c r="DE236" s="2145"/>
      <c r="DF236" s="2145"/>
      <c r="DG236" s="2145"/>
      <c r="DH236" s="2145"/>
      <c r="DI236" s="2145"/>
      <c r="DJ236" s="2145"/>
      <c r="DK236" s="2145"/>
      <c r="DL236" s="2145"/>
      <c r="DM236" s="2145"/>
      <c r="DN236" s="2145"/>
      <c r="DO236" s="2145"/>
      <c r="DP236" s="2145"/>
      <c r="DQ236" s="87"/>
      <c r="DR236" s="87"/>
      <c r="DS236" s="2147" t="str">
        <f>IF(Race="","",IF(NOT(ISERROR(GE236)),MID(TalentsTakenListPageRef,GE232+1,GE236-GE232-1),""))</f>
        <v/>
      </c>
      <c r="DT236" s="2147"/>
      <c r="DU236" s="2147"/>
      <c r="DV236" s="2147"/>
      <c r="DW236" s="2147"/>
      <c r="DX236" s="2147"/>
      <c r="DY236" s="2147"/>
      <c r="DZ236" s="87"/>
      <c r="EA236" s="87"/>
      <c r="EB236" s="2145" t="str">
        <f>IF(Race="","",IF(NOT(ISERROR(GH236)),MID(TalentsTakenList,GH232+1,GH236-GH232-1),""))</f>
        <v/>
      </c>
      <c r="EC236" s="2145"/>
      <c r="ED236" s="2145"/>
      <c r="EE236" s="2145"/>
      <c r="EF236" s="2145"/>
      <c r="EG236" s="2145"/>
      <c r="EH236" s="2145"/>
      <c r="EI236" s="2145"/>
      <c r="EJ236" s="2145"/>
      <c r="EK236" s="2145"/>
      <c r="EL236" s="2145"/>
      <c r="EM236" s="2145"/>
      <c r="EN236" s="2145"/>
      <c r="EO236" s="2145"/>
      <c r="EP236" s="2145"/>
      <c r="EQ236" s="2145"/>
      <c r="ER236" s="2145"/>
      <c r="ES236" s="2145"/>
      <c r="ET236" s="2145"/>
      <c r="EU236" s="2145"/>
      <c r="EV236" s="2145"/>
      <c r="EW236" s="2145"/>
      <c r="EX236" s="2145"/>
      <c r="EY236" s="2145"/>
      <c r="EZ236" s="2145"/>
      <c r="FA236" s="2145"/>
      <c r="FB236" s="2145"/>
      <c r="FC236" s="2145"/>
      <c r="FD236" s="2145"/>
      <c r="FE236" s="2145"/>
      <c r="FF236" s="2145"/>
      <c r="FG236" s="2145"/>
      <c r="FH236" s="2145"/>
      <c r="FI236" s="2145"/>
      <c r="FJ236" s="2145"/>
      <c r="FK236" s="2145"/>
      <c r="FL236" s="2145"/>
      <c r="FM236" s="2145"/>
      <c r="FN236" s="2145"/>
      <c r="FO236" s="2145"/>
      <c r="FP236" s="2145"/>
      <c r="FQ236" s="87"/>
      <c r="FR236" s="87"/>
      <c r="FS236" s="2147" t="str">
        <f>IF(Race="","",IF(NOT(ISERROR(GI236)),MID(TalentsTakenListPageRef,GI232+1,GI236-GI232-1),""))</f>
        <v/>
      </c>
      <c r="FT236" s="2147"/>
      <c r="FU236" s="2147"/>
      <c r="FV236" s="2147"/>
      <c r="FW236" s="2147"/>
      <c r="FX236" s="2147"/>
      <c r="FY236" s="2147"/>
      <c r="FZ236" s="109"/>
      <c r="GA236" s="87"/>
      <c r="GC236" s="1853">
        <f>GC232+1</f>
        <v>2</v>
      </c>
      <c r="GD236" s="1853" t="e">
        <f>FIND(";",TalentsTakenList,GD232+1)</f>
        <v>#VALUE!</v>
      </c>
      <c r="GE236" s="1853" t="e">
        <f>FIND(";",TalentsTakenListPageRef,GE232+1)</f>
        <v>#VALUE!</v>
      </c>
      <c r="GG236" s="1853">
        <f>GG232+1</f>
        <v>9</v>
      </c>
      <c r="GH236" s="1853" t="e">
        <f>FIND(";",TalentsTakenList,GH232+1)</f>
        <v>#VALUE!</v>
      </c>
      <c r="GI236" s="1853" t="e">
        <f>FIND(";",TalentsTakenListPageRef,GI232+1)</f>
        <v>#VALUE!</v>
      </c>
      <c r="GK236" s="1853">
        <f>GK232+1</f>
        <v>2</v>
      </c>
      <c r="GL236" s="1853" t="e">
        <f>FIND(";",ForcePowersTaken,GL232+1)</f>
        <v>#VALUE!</v>
      </c>
      <c r="GO236" s="1853">
        <f>GO232+1</f>
        <v>13</v>
      </c>
      <c r="GP236" s="1853" t="e">
        <f>FIND(";",ForcePowersTaken,GP232+1)</f>
        <v>#VALUE!</v>
      </c>
    </row>
    <row r="237" spans="1:198" ht="9" customHeight="1">
      <c r="A237" s="87"/>
      <c r="B237" s="2145"/>
      <c r="C237" s="2145"/>
      <c r="D237" s="2145"/>
      <c r="E237" s="2145"/>
      <c r="F237" s="2145"/>
      <c r="G237" s="2145"/>
      <c r="H237" s="2145"/>
      <c r="I237" s="2145"/>
      <c r="J237" s="2145"/>
      <c r="K237" s="2145"/>
      <c r="L237" s="2145"/>
      <c r="M237" s="2145"/>
      <c r="N237" s="2145"/>
      <c r="O237" s="2145"/>
      <c r="P237" s="2145"/>
      <c r="Q237" s="2145"/>
      <c r="R237" s="2145"/>
      <c r="S237" s="2145"/>
      <c r="T237" s="2145"/>
      <c r="U237" s="2145"/>
      <c r="V237" s="2145"/>
      <c r="W237" s="2145"/>
      <c r="X237" s="2145"/>
      <c r="Y237" s="2145"/>
      <c r="Z237" s="2145"/>
      <c r="AA237" s="2145"/>
      <c r="AB237" s="2145"/>
      <c r="AC237" s="2145"/>
      <c r="AD237" s="2145"/>
      <c r="AE237" s="2145"/>
      <c r="AF237" s="2145"/>
      <c r="AG237" s="2145"/>
      <c r="AH237" s="2145"/>
      <c r="AI237" s="2145"/>
      <c r="AJ237" s="2145"/>
      <c r="AK237" s="2145"/>
      <c r="AL237" s="384"/>
      <c r="AM237" s="2145"/>
      <c r="AN237" s="2145"/>
      <c r="AO237" s="2145"/>
      <c r="AP237" s="2145"/>
      <c r="AQ237" s="2145"/>
      <c r="AR237" s="2145"/>
      <c r="AS237" s="2145"/>
      <c r="AT237" s="2145"/>
      <c r="AU237" s="2145"/>
      <c r="AV237" s="2145"/>
      <c r="AW237" s="2145"/>
      <c r="AX237" s="2145"/>
      <c r="AY237" s="2145"/>
      <c r="AZ237" s="2145"/>
      <c r="BA237" s="2145"/>
      <c r="BB237" s="2145"/>
      <c r="BC237" s="2145"/>
      <c r="BD237" s="2145"/>
      <c r="BE237" s="2145"/>
      <c r="BF237" s="2145"/>
      <c r="BG237" s="2145"/>
      <c r="BH237" s="2145"/>
      <c r="BI237" s="2145"/>
      <c r="BJ237" s="2145"/>
      <c r="BK237" s="2145"/>
      <c r="BL237" s="2145"/>
      <c r="BM237" s="2145"/>
      <c r="BN237" s="2145"/>
      <c r="BO237" s="2145"/>
      <c r="BP237" s="2145"/>
      <c r="BQ237" s="2145"/>
      <c r="BR237" s="2145"/>
      <c r="BS237" s="2145"/>
      <c r="BT237" s="2145"/>
      <c r="BU237" s="2145"/>
      <c r="BV237" s="2145"/>
      <c r="BW237" s="384"/>
      <c r="BX237" s="384"/>
      <c r="BY237" s="384"/>
      <c r="BZ237" s="384"/>
      <c r="CA237" s="87"/>
      <c r="CB237" s="2145"/>
      <c r="CC237" s="2145"/>
      <c r="CD237" s="2145"/>
      <c r="CE237" s="2145"/>
      <c r="CF237" s="2145"/>
      <c r="CG237" s="2145"/>
      <c r="CH237" s="2145"/>
      <c r="CI237" s="2145"/>
      <c r="CJ237" s="2145"/>
      <c r="CK237" s="2145"/>
      <c r="CL237" s="2145"/>
      <c r="CM237" s="2145"/>
      <c r="CN237" s="2145"/>
      <c r="CO237" s="2145"/>
      <c r="CP237" s="2145"/>
      <c r="CQ237" s="2145"/>
      <c r="CR237" s="2145"/>
      <c r="CS237" s="2145"/>
      <c r="CT237" s="2145"/>
      <c r="CU237" s="2145"/>
      <c r="CV237" s="2145"/>
      <c r="CW237" s="2145"/>
      <c r="CX237" s="2145"/>
      <c r="CY237" s="2145"/>
      <c r="CZ237" s="2145"/>
      <c r="DA237" s="2145"/>
      <c r="DB237" s="2145"/>
      <c r="DC237" s="2145"/>
      <c r="DD237" s="2145"/>
      <c r="DE237" s="2145"/>
      <c r="DF237" s="2145"/>
      <c r="DG237" s="2145"/>
      <c r="DH237" s="2145"/>
      <c r="DI237" s="2145"/>
      <c r="DJ237" s="2145"/>
      <c r="DK237" s="2145"/>
      <c r="DL237" s="2145"/>
      <c r="DM237" s="2145"/>
      <c r="DN237" s="2145"/>
      <c r="DO237" s="2145"/>
      <c r="DP237" s="2145"/>
      <c r="DQ237" s="87"/>
      <c r="DR237" s="87"/>
      <c r="DS237" s="2147"/>
      <c r="DT237" s="2147"/>
      <c r="DU237" s="2147"/>
      <c r="DV237" s="2147"/>
      <c r="DW237" s="2147"/>
      <c r="DX237" s="2147"/>
      <c r="DY237" s="2147"/>
      <c r="DZ237" s="87"/>
      <c r="EA237" s="87"/>
      <c r="EB237" s="2145"/>
      <c r="EC237" s="2145"/>
      <c r="ED237" s="2145"/>
      <c r="EE237" s="2145"/>
      <c r="EF237" s="2145"/>
      <c r="EG237" s="2145"/>
      <c r="EH237" s="2145"/>
      <c r="EI237" s="2145"/>
      <c r="EJ237" s="2145"/>
      <c r="EK237" s="2145"/>
      <c r="EL237" s="2145"/>
      <c r="EM237" s="2145"/>
      <c r="EN237" s="2145"/>
      <c r="EO237" s="2145"/>
      <c r="EP237" s="2145"/>
      <c r="EQ237" s="2145"/>
      <c r="ER237" s="2145"/>
      <c r="ES237" s="2145"/>
      <c r="ET237" s="2145"/>
      <c r="EU237" s="2145"/>
      <c r="EV237" s="2145"/>
      <c r="EW237" s="2145"/>
      <c r="EX237" s="2145"/>
      <c r="EY237" s="2145"/>
      <c r="EZ237" s="2145"/>
      <c r="FA237" s="2145"/>
      <c r="FB237" s="2145"/>
      <c r="FC237" s="2145"/>
      <c r="FD237" s="2145"/>
      <c r="FE237" s="2145"/>
      <c r="FF237" s="2145"/>
      <c r="FG237" s="2145"/>
      <c r="FH237" s="2145"/>
      <c r="FI237" s="2145"/>
      <c r="FJ237" s="2145"/>
      <c r="FK237" s="2145"/>
      <c r="FL237" s="2145"/>
      <c r="FM237" s="2145"/>
      <c r="FN237" s="2145"/>
      <c r="FO237" s="2145"/>
      <c r="FP237" s="2145"/>
      <c r="FQ237" s="87"/>
      <c r="FR237" s="87"/>
      <c r="FS237" s="2147"/>
      <c r="FT237" s="2147"/>
      <c r="FU237" s="2147"/>
      <c r="FV237" s="2147"/>
      <c r="FW237" s="2147"/>
      <c r="FX237" s="2147"/>
      <c r="FY237" s="2147"/>
      <c r="FZ237" s="87"/>
      <c r="GA237" s="87"/>
      <c r="GC237" s="1853"/>
      <c r="GD237" s="1853"/>
      <c r="GE237" s="1853"/>
      <c r="GG237" s="1853"/>
      <c r="GH237" s="1853"/>
      <c r="GI237" s="1853"/>
      <c r="GK237" s="1853"/>
      <c r="GL237" s="1853"/>
      <c r="GO237" s="1853"/>
      <c r="GP237" s="1853"/>
    </row>
    <row r="238" spans="1:198" ht="9" customHeight="1" thickBot="1">
      <c r="A238" s="87"/>
      <c r="B238" s="2146"/>
      <c r="C238" s="2146"/>
      <c r="D238" s="2146"/>
      <c r="E238" s="2146"/>
      <c r="F238" s="2146"/>
      <c r="G238" s="2146"/>
      <c r="H238" s="2146"/>
      <c r="I238" s="2146"/>
      <c r="J238" s="2146"/>
      <c r="K238" s="2146"/>
      <c r="L238" s="2146"/>
      <c r="M238" s="2146"/>
      <c r="N238" s="2146"/>
      <c r="O238" s="2146"/>
      <c r="P238" s="2146"/>
      <c r="Q238" s="2146"/>
      <c r="R238" s="2146"/>
      <c r="S238" s="2146"/>
      <c r="T238" s="2146"/>
      <c r="U238" s="2146"/>
      <c r="V238" s="2146"/>
      <c r="W238" s="2146"/>
      <c r="X238" s="2146"/>
      <c r="Y238" s="2146"/>
      <c r="Z238" s="2146"/>
      <c r="AA238" s="2146"/>
      <c r="AB238" s="2146"/>
      <c r="AC238" s="2146"/>
      <c r="AD238" s="2146"/>
      <c r="AE238" s="2146"/>
      <c r="AF238" s="2146"/>
      <c r="AG238" s="2146"/>
      <c r="AH238" s="2146"/>
      <c r="AI238" s="2146"/>
      <c r="AJ238" s="2146"/>
      <c r="AK238" s="2146"/>
      <c r="AL238" s="384"/>
      <c r="AM238" s="2146"/>
      <c r="AN238" s="2146"/>
      <c r="AO238" s="2146"/>
      <c r="AP238" s="2146"/>
      <c r="AQ238" s="2146"/>
      <c r="AR238" s="2146"/>
      <c r="AS238" s="2146"/>
      <c r="AT238" s="2146"/>
      <c r="AU238" s="2146"/>
      <c r="AV238" s="2146"/>
      <c r="AW238" s="2146"/>
      <c r="AX238" s="2146"/>
      <c r="AY238" s="2146"/>
      <c r="AZ238" s="2146"/>
      <c r="BA238" s="2146"/>
      <c r="BB238" s="2146"/>
      <c r="BC238" s="2146"/>
      <c r="BD238" s="2146"/>
      <c r="BE238" s="2146"/>
      <c r="BF238" s="2146"/>
      <c r="BG238" s="2146"/>
      <c r="BH238" s="2146"/>
      <c r="BI238" s="2146"/>
      <c r="BJ238" s="2146"/>
      <c r="BK238" s="2146"/>
      <c r="BL238" s="2146"/>
      <c r="BM238" s="2146"/>
      <c r="BN238" s="2146"/>
      <c r="BO238" s="2146"/>
      <c r="BP238" s="2146"/>
      <c r="BQ238" s="2146"/>
      <c r="BR238" s="2146"/>
      <c r="BS238" s="2146"/>
      <c r="BT238" s="2146"/>
      <c r="BU238" s="2146"/>
      <c r="BV238" s="2146"/>
      <c r="BW238" s="384"/>
      <c r="BX238" s="384"/>
      <c r="BY238" s="384"/>
      <c r="BZ238" s="384"/>
      <c r="CA238" s="87"/>
      <c r="CB238" s="2146"/>
      <c r="CC238" s="2146"/>
      <c r="CD238" s="2146"/>
      <c r="CE238" s="2146"/>
      <c r="CF238" s="2146"/>
      <c r="CG238" s="2146"/>
      <c r="CH238" s="2146"/>
      <c r="CI238" s="2146"/>
      <c r="CJ238" s="2146"/>
      <c r="CK238" s="2146"/>
      <c r="CL238" s="2146"/>
      <c r="CM238" s="2146"/>
      <c r="CN238" s="2146"/>
      <c r="CO238" s="2146"/>
      <c r="CP238" s="2146"/>
      <c r="CQ238" s="2146"/>
      <c r="CR238" s="2146"/>
      <c r="CS238" s="2146"/>
      <c r="CT238" s="2146"/>
      <c r="CU238" s="2146"/>
      <c r="CV238" s="2146"/>
      <c r="CW238" s="2146"/>
      <c r="CX238" s="2146"/>
      <c r="CY238" s="2146"/>
      <c r="CZ238" s="2146"/>
      <c r="DA238" s="2146"/>
      <c r="DB238" s="2146"/>
      <c r="DC238" s="2146"/>
      <c r="DD238" s="2146"/>
      <c r="DE238" s="2146"/>
      <c r="DF238" s="2146"/>
      <c r="DG238" s="2146"/>
      <c r="DH238" s="2146"/>
      <c r="DI238" s="2146"/>
      <c r="DJ238" s="2146"/>
      <c r="DK238" s="2146"/>
      <c r="DL238" s="2146"/>
      <c r="DM238" s="2146"/>
      <c r="DN238" s="2146"/>
      <c r="DO238" s="2146"/>
      <c r="DP238" s="2146"/>
      <c r="DQ238" s="87"/>
      <c r="DR238" s="87"/>
      <c r="DS238" s="2148"/>
      <c r="DT238" s="2148"/>
      <c r="DU238" s="2148"/>
      <c r="DV238" s="2148"/>
      <c r="DW238" s="2148"/>
      <c r="DX238" s="2148"/>
      <c r="DY238" s="2148"/>
      <c r="DZ238" s="87"/>
      <c r="EA238" s="87"/>
      <c r="EB238" s="2146"/>
      <c r="EC238" s="2146"/>
      <c r="ED238" s="2146"/>
      <c r="EE238" s="2146"/>
      <c r="EF238" s="2146"/>
      <c r="EG238" s="2146"/>
      <c r="EH238" s="2146"/>
      <c r="EI238" s="2146"/>
      <c r="EJ238" s="2146"/>
      <c r="EK238" s="2146"/>
      <c r="EL238" s="2146"/>
      <c r="EM238" s="2146"/>
      <c r="EN238" s="2146"/>
      <c r="EO238" s="2146"/>
      <c r="EP238" s="2146"/>
      <c r="EQ238" s="2146"/>
      <c r="ER238" s="2146"/>
      <c r="ES238" s="2146"/>
      <c r="ET238" s="2146"/>
      <c r="EU238" s="2146"/>
      <c r="EV238" s="2146"/>
      <c r="EW238" s="2146"/>
      <c r="EX238" s="2146"/>
      <c r="EY238" s="2146"/>
      <c r="EZ238" s="2146"/>
      <c r="FA238" s="2146"/>
      <c r="FB238" s="2146"/>
      <c r="FC238" s="2146"/>
      <c r="FD238" s="2146"/>
      <c r="FE238" s="2146"/>
      <c r="FF238" s="2146"/>
      <c r="FG238" s="2146"/>
      <c r="FH238" s="2146"/>
      <c r="FI238" s="2146"/>
      <c r="FJ238" s="2146"/>
      <c r="FK238" s="2146"/>
      <c r="FL238" s="2146"/>
      <c r="FM238" s="2146"/>
      <c r="FN238" s="2146"/>
      <c r="FO238" s="2146"/>
      <c r="FP238" s="2146"/>
      <c r="FQ238" s="87"/>
      <c r="FR238" s="87"/>
      <c r="FS238" s="2148"/>
      <c r="FT238" s="2148"/>
      <c r="FU238" s="2148"/>
      <c r="FV238" s="2148"/>
      <c r="FW238" s="2148"/>
      <c r="FX238" s="2148"/>
      <c r="FY238" s="2148"/>
      <c r="FZ238" s="87"/>
      <c r="GA238" s="87"/>
      <c r="GC238" s="1853"/>
      <c r="GD238" s="1853"/>
      <c r="GE238" s="1853"/>
      <c r="GG238" s="1853"/>
      <c r="GH238" s="1853"/>
      <c r="GI238" s="1853"/>
      <c r="GK238" s="1853"/>
      <c r="GL238" s="1853"/>
      <c r="GO238" s="1853"/>
      <c r="GP238" s="1853"/>
    </row>
    <row r="239" spans="1:198" ht="9" customHeight="1">
      <c r="A239" s="87"/>
      <c r="B239" s="87"/>
      <c r="C239" s="87"/>
      <c r="D239" s="384"/>
      <c r="E239" s="384"/>
      <c r="F239" s="384"/>
      <c r="G239" s="384"/>
      <c r="H239" s="384"/>
      <c r="I239" s="384"/>
      <c r="J239" s="384"/>
      <c r="K239" s="384"/>
      <c r="L239" s="384"/>
      <c r="M239" s="384"/>
      <c r="N239" s="384"/>
      <c r="O239" s="384"/>
      <c r="P239" s="384"/>
      <c r="Q239" s="384"/>
      <c r="R239" s="384"/>
      <c r="S239" s="384"/>
      <c r="T239" s="384"/>
      <c r="U239" s="384"/>
      <c r="V239" s="384"/>
      <c r="W239" s="384"/>
      <c r="X239" s="384"/>
      <c r="Y239" s="384"/>
      <c r="Z239" s="384"/>
      <c r="AA239" s="384"/>
      <c r="AB239" s="384"/>
      <c r="AC239" s="384"/>
      <c r="AD239" s="384"/>
      <c r="AE239" s="384"/>
      <c r="AF239" s="384"/>
      <c r="AG239" s="384"/>
      <c r="AH239" s="384"/>
      <c r="AI239" s="384"/>
      <c r="AJ239" s="384"/>
      <c r="AK239" s="384"/>
      <c r="AL239" s="384"/>
      <c r="AM239" s="384"/>
      <c r="AN239" s="384"/>
      <c r="AO239" s="384"/>
      <c r="AP239" s="384"/>
      <c r="AQ239" s="384"/>
      <c r="AR239" s="384"/>
      <c r="AS239" s="384"/>
      <c r="AT239" s="384"/>
      <c r="AU239" s="384"/>
      <c r="AV239" s="384"/>
      <c r="AW239" s="384"/>
      <c r="AX239" s="384"/>
      <c r="AY239" s="384"/>
      <c r="AZ239" s="384"/>
      <c r="BA239" s="384"/>
      <c r="BB239" s="384"/>
      <c r="BC239" s="384"/>
      <c r="BD239" s="384"/>
      <c r="BE239" s="384"/>
      <c r="BF239" s="384"/>
      <c r="BG239" s="384"/>
      <c r="BH239" s="384"/>
      <c r="BI239" s="384"/>
      <c r="BJ239" s="384"/>
      <c r="BK239" s="384"/>
      <c r="BL239" s="384"/>
      <c r="BM239" s="384"/>
      <c r="BN239" s="384"/>
      <c r="BO239" s="384"/>
      <c r="BP239" s="384"/>
      <c r="BQ239" s="384"/>
      <c r="BR239" s="384"/>
      <c r="BS239" s="384"/>
      <c r="BT239" s="384"/>
      <c r="BU239" s="384"/>
      <c r="BV239" s="384"/>
      <c r="BW239" s="384"/>
      <c r="BX239" s="384"/>
      <c r="BY239" s="384"/>
      <c r="BZ239" s="384"/>
      <c r="CA239" s="87"/>
      <c r="CB239" s="460"/>
      <c r="CC239" s="460"/>
      <c r="CD239" s="460"/>
      <c r="CE239" s="460"/>
      <c r="CF239" s="460"/>
      <c r="CG239" s="460"/>
      <c r="CH239" s="460"/>
      <c r="CI239" s="460"/>
      <c r="CJ239" s="460"/>
      <c r="CK239" s="460"/>
      <c r="CL239" s="460"/>
      <c r="CM239" s="460"/>
      <c r="CN239" s="460"/>
      <c r="CO239" s="460"/>
      <c r="CP239" s="460"/>
      <c r="CQ239" s="460"/>
      <c r="CR239" s="460"/>
      <c r="CS239" s="460"/>
      <c r="CT239" s="460"/>
      <c r="CU239" s="460"/>
      <c r="CV239" s="460"/>
      <c r="CW239" s="460"/>
      <c r="CX239" s="460"/>
      <c r="CY239" s="460"/>
      <c r="CZ239" s="460"/>
      <c r="DA239" s="460"/>
      <c r="DB239" s="460"/>
      <c r="DC239" s="460"/>
      <c r="DD239" s="460"/>
      <c r="DE239" s="419"/>
      <c r="DF239" s="419"/>
      <c r="DG239" s="419"/>
      <c r="DH239" s="419"/>
      <c r="DI239" s="419"/>
      <c r="DJ239" s="419"/>
      <c r="DK239" s="368"/>
      <c r="DL239" s="459"/>
      <c r="DM239" s="459"/>
      <c r="DN239" s="459"/>
      <c r="DO239" s="459"/>
      <c r="DP239" s="459"/>
      <c r="DQ239" s="87"/>
      <c r="DR239" s="87"/>
      <c r="DS239" s="105"/>
      <c r="DT239" s="105"/>
      <c r="DU239" s="105"/>
      <c r="DV239" s="105"/>
      <c r="DW239" s="105"/>
      <c r="DX239" s="105"/>
      <c r="DY239" s="105"/>
      <c r="DZ239" s="87"/>
      <c r="EA239" s="87"/>
      <c r="EB239" s="368"/>
      <c r="EC239" s="459"/>
      <c r="ED239" s="459"/>
      <c r="EE239" s="459"/>
      <c r="EF239" s="459"/>
      <c r="EG239" s="459"/>
      <c r="EH239" s="99"/>
      <c r="EI239" s="99"/>
      <c r="EJ239" s="99"/>
      <c r="EK239" s="99"/>
      <c r="EL239" s="99"/>
      <c r="EM239" s="461"/>
      <c r="EN239" s="461"/>
      <c r="EO239" s="461"/>
      <c r="EP239" s="461"/>
      <c r="EQ239" s="461"/>
      <c r="ER239" s="461"/>
      <c r="ES239" s="461"/>
      <c r="ET239" s="461"/>
      <c r="EU239" s="461"/>
      <c r="EV239" s="461"/>
      <c r="EW239" s="461"/>
      <c r="EX239" s="461"/>
      <c r="EY239" s="461"/>
      <c r="EZ239" s="461"/>
      <c r="FA239" s="461"/>
      <c r="FB239" s="461"/>
      <c r="FC239" s="461"/>
      <c r="FD239" s="461"/>
      <c r="FE239" s="461"/>
      <c r="FF239" s="460"/>
      <c r="FG239" s="458"/>
      <c r="FH239" s="458"/>
      <c r="FI239" s="458"/>
      <c r="FJ239" s="458"/>
      <c r="FK239" s="419"/>
      <c r="FL239" s="419"/>
      <c r="FM239" s="419"/>
      <c r="FN239" s="419"/>
      <c r="FO239" s="419"/>
      <c r="FP239" s="419"/>
      <c r="FQ239" s="314"/>
      <c r="FR239" s="314"/>
      <c r="FS239" s="105"/>
      <c r="FT239" s="105"/>
      <c r="FU239" s="105"/>
      <c r="FV239" s="105"/>
      <c r="FW239" s="105"/>
      <c r="FX239" s="105"/>
      <c r="FY239" s="105"/>
      <c r="FZ239" s="87"/>
      <c r="GA239" s="87"/>
      <c r="GC239" s="714"/>
      <c r="GD239" s="714"/>
      <c r="GE239" s="714"/>
      <c r="GK239" s="714"/>
      <c r="GL239" s="714"/>
    </row>
    <row r="240" spans="1:198" ht="9" customHeight="1">
      <c r="A240" s="87"/>
      <c r="B240" s="2145" t="str">
        <f>IF(Race="","",IF(NOT(ISERROR(GL240)),MID(ForcePowersTaken,GL236+1,GL240-GL236-1),""))</f>
        <v/>
      </c>
      <c r="C240" s="2145"/>
      <c r="D240" s="2145"/>
      <c r="E240" s="2145"/>
      <c r="F240" s="2145"/>
      <c r="G240" s="2145"/>
      <c r="H240" s="2145"/>
      <c r="I240" s="2145"/>
      <c r="J240" s="2145"/>
      <c r="K240" s="2145"/>
      <c r="L240" s="2145"/>
      <c r="M240" s="2145"/>
      <c r="N240" s="2145"/>
      <c r="O240" s="2145"/>
      <c r="P240" s="2145"/>
      <c r="Q240" s="2145"/>
      <c r="R240" s="2145"/>
      <c r="S240" s="2145"/>
      <c r="T240" s="2145"/>
      <c r="U240" s="2145"/>
      <c r="V240" s="2145"/>
      <c r="W240" s="2145"/>
      <c r="X240" s="2145"/>
      <c r="Y240" s="2145"/>
      <c r="Z240" s="2145"/>
      <c r="AA240" s="2145"/>
      <c r="AB240" s="2145"/>
      <c r="AC240" s="2145"/>
      <c r="AD240" s="2145"/>
      <c r="AE240" s="2145"/>
      <c r="AF240" s="2145"/>
      <c r="AG240" s="2145"/>
      <c r="AH240" s="2145"/>
      <c r="AI240" s="2145"/>
      <c r="AJ240" s="2145"/>
      <c r="AK240" s="2145"/>
      <c r="AL240" s="301"/>
      <c r="AM240" s="2145" t="str">
        <f>IF(Race="","",IF(NOT(ISERROR(GP240)),MID(ForcePowersTaken,GP236+1,GP240-GP236-1),""))</f>
        <v/>
      </c>
      <c r="AN240" s="2145"/>
      <c r="AO240" s="2145"/>
      <c r="AP240" s="2145"/>
      <c r="AQ240" s="2145"/>
      <c r="AR240" s="2145"/>
      <c r="AS240" s="2145"/>
      <c r="AT240" s="2145"/>
      <c r="AU240" s="2145"/>
      <c r="AV240" s="2145"/>
      <c r="AW240" s="2145"/>
      <c r="AX240" s="2145"/>
      <c r="AY240" s="2145"/>
      <c r="AZ240" s="2145"/>
      <c r="BA240" s="2145"/>
      <c r="BB240" s="2145"/>
      <c r="BC240" s="2145"/>
      <c r="BD240" s="2145"/>
      <c r="BE240" s="2145"/>
      <c r="BF240" s="2145"/>
      <c r="BG240" s="2145"/>
      <c r="BH240" s="2145"/>
      <c r="BI240" s="2145"/>
      <c r="BJ240" s="2145"/>
      <c r="BK240" s="2145"/>
      <c r="BL240" s="2145"/>
      <c r="BM240" s="2145"/>
      <c r="BN240" s="2145"/>
      <c r="BO240" s="2145"/>
      <c r="BP240" s="2145"/>
      <c r="BQ240" s="2145"/>
      <c r="BR240" s="2145"/>
      <c r="BS240" s="2145"/>
      <c r="BT240" s="2145"/>
      <c r="BU240" s="2145"/>
      <c r="BV240" s="2145"/>
      <c r="BW240" s="301"/>
      <c r="BX240" s="301"/>
      <c r="BY240" s="301"/>
      <c r="BZ240" s="301"/>
      <c r="CA240" s="87"/>
      <c r="CB240" s="2145" t="str">
        <f>IF(Race="","",IF(NOT(ISERROR(GD240)),MID(TalentsTakenList,GD236+1,GD240-GD236-1),""))</f>
        <v/>
      </c>
      <c r="CC240" s="2145"/>
      <c r="CD240" s="2145"/>
      <c r="CE240" s="2145"/>
      <c r="CF240" s="2145"/>
      <c r="CG240" s="2145"/>
      <c r="CH240" s="2145"/>
      <c r="CI240" s="2145"/>
      <c r="CJ240" s="2145"/>
      <c r="CK240" s="2145"/>
      <c r="CL240" s="2145"/>
      <c r="CM240" s="2145"/>
      <c r="CN240" s="2145"/>
      <c r="CO240" s="2145"/>
      <c r="CP240" s="2145"/>
      <c r="CQ240" s="2145"/>
      <c r="CR240" s="2145"/>
      <c r="CS240" s="2145"/>
      <c r="CT240" s="2145"/>
      <c r="CU240" s="2145"/>
      <c r="CV240" s="2145"/>
      <c r="CW240" s="2145"/>
      <c r="CX240" s="2145"/>
      <c r="CY240" s="2145"/>
      <c r="CZ240" s="2145"/>
      <c r="DA240" s="2145"/>
      <c r="DB240" s="2145"/>
      <c r="DC240" s="2145"/>
      <c r="DD240" s="2145"/>
      <c r="DE240" s="2145"/>
      <c r="DF240" s="2145"/>
      <c r="DG240" s="2145"/>
      <c r="DH240" s="2145"/>
      <c r="DI240" s="2145"/>
      <c r="DJ240" s="2145"/>
      <c r="DK240" s="2145"/>
      <c r="DL240" s="2145"/>
      <c r="DM240" s="2145"/>
      <c r="DN240" s="2145"/>
      <c r="DO240" s="2145"/>
      <c r="DP240" s="2145"/>
      <c r="DQ240" s="87"/>
      <c r="DR240" s="87"/>
      <c r="DS240" s="2147" t="str">
        <f>IF(Race="","",IF(NOT(ISERROR(GE240)),MID(TalentsTakenListPageRef,GE236+1,GE240-GE236-1),""))</f>
        <v/>
      </c>
      <c r="DT240" s="2147"/>
      <c r="DU240" s="2147"/>
      <c r="DV240" s="2147"/>
      <c r="DW240" s="2147"/>
      <c r="DX240" s="2147"/>
      <c r="DY240" s="2147"/>
      <c r="DZ240" s="87"/>
      <c r="EA240" s="87"/>
      <c r="EB240" s="2145" t="str">
        <f>IF(Race="","",IF(NOT(ISERROR(GH240)),MID(TalentsTakenList,GH236+1,GH240-GH236-1),""))</f>
        <v/>
      </c>
      <c r="EC240" s="2145"/>
      <c r="ED240" s="2145"/>
      <c r="EE240" s="2145"/>
      <c r="EF240" s="2145"/>
      <c r="EG240" s="2145"/>
      <c r="EH240" s="2145"/>
      <c r="EI240" s="2145"/>
      <c r="EJ240" s="2145"/>
      <c r="EK240" s="2145"/>
      <c r="EL240" s="2145"/>
      <c r="EM240" s="2145"/>
      <c r="EN240" s="2145"/>
      <c r="EO240" s="2145"/>
      <c r="EP240" s="2145"/>
      <c r="EQ240" s="2145"/>
      <c r="ER240" s="2145"/>
      <c r="ES240" s="2145"/>
      <c r="ET240" s="2145"/>
      <c r="EU240" s="2145"/>
      <c r="EV240" s="2145"/>
      <c r="EW240" s="2145"/>
      <c r="EX240" s="2145"/>
      <c r="EY240" s="2145"/>
      <c r="EZ240" s="2145"/>
      <c r="FA240" s="2145"/>
      <c r="FB240" s="2145"/>
      <c r="FC240" s="2145"/>
      <c r="FD240" s="2145"/>
      <c r="FE240" s="2145"/>
      <c r="FF240" s="2145"/>
      <c r="FG240" s="2145"/>
      <c r="FH240" s="2145"/>
      <c r="FI240" s="2145"/>
      <c r="FJ240" s="2145"/>
      <c r="FK240" s="2145"/>
      <c r="FL240" s="2145"/>
      <c r="FM240" s="2145"/>
      <c r="FN240" s="2145"/>
      <c r="FO240" s="2145"/>
      <c r="FP240" s="2145"/>
      <c r="FQ240" s="87"/>
      <c r="FR240" s="87"/>
      <c r="FS240" s="2147" t="str">
        <f>IF(Race="","",IF(NOT(ISERROR(GI240)),MID(TalentsTakenListPageRef,GI236+1,GI240-GI236-1),""))</f>
        <v/>
      </c>
      <c r="FT240" s="2147"/>
      <c r="FU240" s="2147"/>
      <c r="FV240" s="2147"/>
      <c r="FW240" s="2147"/>
      <c r="FX240" s="2147"/>
      <c r="FY240" s="2147"/>
      <c r="FZ240" s="87"/>
      <c r="GA240" s="87"/>
      <c r="GC240" s="1853">
        <f>GC236+1</f>
        <v>3</v>
      </c>
      <c r="GD240" s="1853" t="e">
        <f>FIND(";",TalentsTakenList,GD236+1)</f>
        <v>#VALUE!</v>
      </c>
      <c r="GE240" s="1853" t="e">
        <f>FIND(";",TalentsTakenListPageRef,GE236+1)</f>
        <v>#VALUE!</v>
      </c>
      <c r="GG240" s="1853">
        <f>GG236+1</f>
        <v>10</v>
      </c>
      <c r="GH240" s="1853" t="e">
        <f>FIND(";",TalentsTakenList,GH236+1)</f>
        <v>#VALUE!</v>
      </c>
      <c r="GI240" s="1853" t="e">
        <f>FIND(";",TalentsTakenListPageRef,GI236+1)</f>
        <v>#VALUE!</v>
      </c>
      <c r="GK240" s="1853">
        <f>GK236+1</f>
        <v>3</v>
      </c>
      <c r="GL240" s="1853" t="e">
        <f>FIND(";",ForcePowersTaken,GL236+1)</f>
        <v>#VALUE!</v>
      </c>
      <c r="GO240" s="1853">
        <f>GO236+1</f>
        <v>14</v>
      </c>
      <c r="GP240" s="1853" t="e">
        <f>FIND(";",ForcePowersTaken,GP236+1)</f>
        <v>#VALUE!</v>
      </c>
    </row>
    <row r="241" spans="1:198" ht="9" customHeight="1">
      <c r="A241" s="87"/>
      <c r="B241" s="2145"/>
      <c r="C241" s="2145"/>
      <c r="D241" s="2145"/>
      <c r="E241" s="2145"/>
      <c r="F241" s="2145"/>
      <c r="G241" s="2145"/>
      <c r="H241" s="2145"/>
      <c r="I241" s="2145"/>
      <c r="J241" s="2145"/>
      <c r="K241" s="2145"/>
      <c r="L241" s="2145"/>
      <c r="M241" s="2145"/>
      <c r="N241" s="2145"/>
      <c r="O241" s="2145"/>
      <c r="P241" s="2145"/>
      <c r="Q241" s="2145"/>
      <c r="R241" s="2145"/>
      <c r="S241" s="2145"/>
      <c r="T241" s="2145"/>
      <c r="U241" s="2145"/>
      <c r="V241" s="2145"/>
      <c r="W241" s="2145"/>
      <c r="X241" s="2145"/>
      <c r="Y241" s="2145"/>
      <c r="Z241" s="2145"/>
      <c r="AA241" s="2145"/>
      <c r="AB241" s="2145"/>
      <c r="AC241" s="2145"/>
      <c r="AD241" s="2145"/>
      <c r="AE241" s="2145"/>
      <c r="AF241" s="2145"/>
      <c r="AG241" s="2145"/>
      <c r="AH241" s="2145"/>
      <c r="AI241" s="2145"/>
      <c r="AJ241" s="2145"/>
      <c r="AK241" s="2145"/>
      <c r="AL241" s="384"/>
      <c r="AM241" s="2145"/>
      <c r="AN241" s="2145"/>
      <c r="AO241" s="2145"/>
      <c r="AP241" s="2145"/>
      <c r="AQ241" s="2145"/>
      <c r="AR241" s="2145"/>
      <c r="AS241" s="2145"/>
      <c r="AT241" s="2145"/>
      <c r="AU241" s="2145"/>
      <c r="AV241" s="2145"/>
      <c r="AW241" s="2145"/>
      <c r="AX241" s="2145"/>
      <c r="AY241" s="2145"/>
      <c r="AZ241" s="2145"/>
      <c r="BA241" s="2145"/>
      <c r="BB241" s="2145"/>
      <c r="BC241" s="2145"/>
      <c r="BD241" s="2145"/>
      <c r="BE241" s="2145"/>
      <c r="BF241" s="2145"/>
      <c r="BG241" s="2145"/>
      <c r="BH241" s="2145"/>
      <c r="BI241" s="2145"/>
      <c r="BJ241" s="2145"/>
      <c r="BK241" s="2145"/>
      <c r="BL241" s="2145"/>
      <c r="BM241" s="2145"/>
      <c r="BN241" s="2145"/>
      <c r="BO241" s="2145"/>
      <c r="BP241" s="2145"/>
      <c r="BQ241" s="2145"/>
      <c r="BR241" s="2145"/>
      <c r="BS241" s="2145"/>
      <c r="BT241" s="2145"/>
      <c r="BU241" s="2145"/>
      <c r="BV241" s="2145"/>
      <c r="BW241" s="384"/>
      <c r="BX241" s="384"/>
      <c r="BY241" s="384"/>
      <c r="BZ241" s="384"/>
      <c r="CA241" s="87"/>
      <c r="CB241" s="2145"/>
      <c r="CC241" s="2145"/>
      <c r="CD241" s="2145"/>
      <c r="CE241" s="2145"/>
      <c r="CF241" s="2145"/>
      <c r="CG241" s="2145"/>
      <c r="CH241" s="2145"/>
      <c r="CI241" s="2145"/>
      <c r="CJ241" s="2145"/>
      <c r="CK241" s="2145"/>
      <c r="CL241" s="2145"/>
      <c r="CM241" s="2145"/>
      <c r="CN241" s="2145"/>
      <c r="CO241" s="2145"/>
      <c r="CP241" s="2145"/>
      <c r="CQ241" s="2145"/>
      <c r="CR241" s="2145"/>
      <c r="CS241" s="2145"/>
      <c r="CT241" s="2145"/>
      <c r="CU241" s="2145"/>
      <c r="CV241" s="2145"/>
      <c r="CW241" s="2145"/>
      <c r="CX241" s="2145"/>
      <c r="CY241" s="2145"/>
      <c r="CZ241" s="2145"/>
      <c r="DA241" s="2145"/>
      <c r="DB241" s="2145"/>
      <c r="DC241" s="2145"/>
      <c r="DD241" s="2145"/>
      <c r="DE241" s="2145"/>
      <c r="DF241" s="2145"/>
      <c r="DG241" s="2145"/>
      <c r="DH241" s="2145"/>
      <c r="DI241" s="2145"/>
      <c r="DJ241" s="2145"/>
      <c r="DK241" s="2145"/>
      <c r="DL241" s="2145"/>
      <c r="DM241" s="2145"/>
      <c r="DN241" s="2145"/>
      <c r="DO241" s="2145"/>
      <c r="DP241" s="2145"/>
      <c r="DQ241" s="87"/>
      <c r="DR241" s="87"/>
      <c r="DS241" s="2147"/>
      <c r="DT241" s="2147"/>
      <c r="DU241" s="2147"/>
      <c r="DV241" s="2147"/>
      <c r="DW241" s="2147"/>
      <c r="DX241" s="2147"/>
      <c r="DY241" s="2147"/>
      <c r="DZ241" s="87"/>
      <c r="EA241" s="87"/>
      <c r="EB241" s="2145"/>
      <c r="EC241" s="2145"/>
      <c r="ED241" s="2145"/>
      <c r="EE241" s="2145"/>
      <c r="EF241" s="2145"/>
      <c r="EG241" s="2145"/>
      <c r="EH241" s="2145"/>
      <c r="EI241" s="2145"/>
      <c r="EJ241" s="2145"/>
      <c r="EK241" s="2145"/>
      <c r="EL241" s="2145"/>
      <c r="EM241" s="2145"/>
      <c r="EN241" s="2145"/>
      <c r="EO241" s="2145"/>
      <c r="EP241" s="2145"/>
      <c r="EQ241" s="2145"/>
      <c r="ER241" s="2145"/>
      <c r="ES241" s="2145"/>
      <c r="ET241" s="2145"/>
      <c r="EU241" s="2145"/>
      <c r="EV241" s="2145"/>
      <c r="EW241" s="2145"/>
      <c r="EX241" s="2145"/>
      <c r="EY241" s="2145"/>
      <c r="EZ241" s="2145"/>
      <c r="FA241" s="2145"/>
      <c r="FB241" s="2145"/>
      <c r="FC241" s="2145"/>
      <c r="FD241" s="2145"/>
      <c r="FE241" s="2145"/>
      <c r="FF241" s="2145"/>
      <c r="FG241" s="2145"/>
      <c r="FH241" s="2145"/>
      <c r="FI241" s="2145"/>
      <c r="FJ241" s="2145"/>
      <c r="FK241" s="2145"/>
      <c r="FL241" s="2145"/>
      <c r="FM241" s="2145"/>
      <c r="FN241" s="2145"/>
      <c r="FO241" s="2145"/>
      <c r="FP241" s="2145"/>
      <c r="FQ241" s="87"/>
      <c r="FR241" s="87"/>
      <c r="FS241" s="2147"/>
      <c r="FT241" s="2147"/>
      <c r="FU241" s="2147"/>
      <c r="FV241" s="2147"/>
      <c r="FW241" s="2147"/>
      <c r="FX241" s="2147"/>
      <c r="FY241" s="2147"/>
      <c r="FZ241" s="87"/>
      <c r="GA241" s="87"/>
      <c r="GC241" s="1853"/>
      <c r="GD241" s="1853"/>
      <c r="GE241" s="1853"/>
      <c r="GG241" s="1853"/>
      <c r="GH241" s="1853"/>
      <c r="GI241" s="1853"/>
      <c r="GK241" s="1853"/>
      <c r="GL241" s="1853"/>
      <c r="GO241" s="1853"/>
      <c r="GP241" s="1853"/>
    </row>
    <row r="242" spans="1:198" ht="9" customHeight="1" thickBot="1">
      <c r="A242" s="87"/>
      <c r="B242" s="2146"/>
      <c r="C242" s="2146"/>
      <c r="D242" s="2146"/>
      <c r="E242" s="2146"/>
      <c r="F242" s="2146"/>
      <c r="G242" s="2146"/>
      <c r="H242" s="2146"/>
      <c r="I242" s="2146"/>
      <c r="J242" s="2146"/>
      <c r="K242" s="2146"/>
      <c r="L242" s="2146"/>
      <c r="M242" s="2146"/>
      <c r="N242" s="2146"/>
      <c r="O242" s="2146"/>
      <c r="P242" s="2146"/>
      <c r="Q242" s="2146"/>
      <c r="R242" s="2146"/>
      <c r="S242" s="2146"/>
      <c r="T242" s="2146"/>
      <c r="U242" s="2146"/>
      <c r="V242" s="2146"/>
      <c r="W242" s="2146"/>
      <c r="X242" s="2146"/>
      <c r="Y242" s="2146"/>
      <c r="Z242" s="2146"/>
      <c r="AA242" s="2146"/>
      <c r="AB242" s="2146"/>
      <c r="AC242" s="2146"/>
      <c r="AD242" s="2146"/>
      <c r="AE242" s="2146"/>
      <c r="AF242" s="2146"/>
      <c r="AG242" s="2146"/>
      <c r="AH242" s="2146"/>
      <c r="AI242" s="2146"/>
      <c r="AJ242" s="2146"/>
      <c r="AK242" s="2146"/>
      <c r="AL242" s="384"/>
      <c r="AM242" s="2146"/>
      <c r="AN242" s="2146"/>
      <c r="AO242" s="2146"/>
      <c r="AP242" s="2146"/>
      <c r="AQ242" s="2146"/>
      <c r="AR242" s="2146"/>
      <c r="AS242" s="2146"/>
      <c r="AT242" s="2146"/>
      <c r="AU242" s="2146"/>
      <c r="AV242" s="2146"/>
      <c r="AW242" s="2146"/>
      <c r="AX242" s="2146"/>
      <c r="AY242" s="2146"/>
      <c r="AZ242" s="2146"/>
      <c r="BA242" s="2146"/>
      <c r="BB242" s="2146"/>
      <c r="BC242" s="2146"/>
      <c r="BD242" s="2146"/>
      <c r="BE242" s="2146"/>
      <c r="BF242" s="2146"/>
      <c r="BG242" s="2146"/>
      <c r="BH242" s="2146"/>
      <c r="BI242" s="2146"/>
      <c r="BJ242" s="2146"/>
      <c r="BK242" s="2146"/>
      <c r="BL242" s="2146"/>
      <c r="BM242" s="2146"/>
      <c r="BN242" s="2146"/>
      <c r="BO242" s="2146"/>
      <c r="BP242" s="2146"/>
      <c r="BQ242" s="2146"/>
      <c r="BR242" s="2146"/>
      <c r="BS242" s="2146"/>
      <c r="BT242" s="2146"/>
      <c r="BU242" s="2146"/>
      <c r="BV242" s="2146"/>
      <c r="BW242" s="384"/>
      <c r="BX242" s="384"/>
      <c r="BY242" s="384"/>
      <c r="BZ242" s="384"/>
      <c r="CA242" s="87"/>
      <c r="CB242" s="2146"/>
      <c r="CC242" s="2146"/>
      <c r="CD242" s="2146"/>
      <c r="CE242" s="2146"/>
      <c r="CF242" s="2146"/>
      <c r="CG242" s="2146"/>
      <c r="CH242" s="2146"/>
      <c r="CI242" s="2146"/>
      <c r="CJ242" s="2146"/>
      <c r="CK242" s="2146"/>
      <c r="CL242" s="2146"/>
      <c r="CM242" s="2146"/>
      <c r="CN242" s="2146"/>
      <c r="CO242" s="2146"/>
      <c r="CP242" s="2146"/>
      <c r="CQ242" s="2146"/>
      <c r="CR242" s="2146"/>
      <c r="CS242" s="2146"/>
      <c r="CT242" s="2146"/>
      <c r="CU242" s="2146"/>
      <c r="CV242" s="2146"/>
      <c r="CW242" s="2146"/>
      <c r="CX242" s="2146"/>
      <c r="CY242" s="2146"/>
      <c r="CZ242" s="2146"/>
      <c r="DA242" s="2146"/>
      <c r="DB242" s="2146"/>
      <c r="DC242" s="2146"/>
      <c r="DD242" s="2146"/>
      <c r="DE242" s="2146"/>
      <c r="DF242" s="2146"/>
      <c r="DG242" s="2146"/>
      <c r="DH242" s="2146"/>
      <c r="DI242" s="2146"/>
      <c r="DJ242" s="2146"/>
      <c r="DK242" s="2146"/>
      <c r="DL242" s="2146"/>
      <c r="DM242" s="2146"/>
      <c r="DN242" s="2146"/>
      <c r="DO242" s="2146"/>
      <c r="DP242" s="2146"/>
      <c r="DQ242" s="87"/>
      <c r="DR242" s="87"/>
      <c r="DS242" s="2148"/>
      <c r="DT242" s="2148"/>
      <c r="DU242" s="2148"/>
      <c r="DV242" s="2148"/>
      <c r="DW242" s="2148"/>
      <c r="DX242" s="2148"/>
      <c r="DY242" s="2148"/>
      <c r="DZ242" s="87"/>
      <c r="EA242" s="87"/>
      <c r="EB242" s="2146"/>
      <c r="EC242" s="2146"/>
      <c r="ED242" s="2146"/>
      <c r="EE242" s="2146"/>
      <c r="EF242" s="2146"/>
      <c r="EG242" s="2146"/>
      <c r="EH242" s="2146"/>
      <c r="EI242" s="2146"/>
      <c r="EJ242" s="2146"/>
      <c r="EK242" s="2146"/>
      <c r="EL242" s="2146"/>
      <c r="EM242" s="2146"/>
      <c r="EN242" s="2146"/>
      <c r="EO242" s="2146"/>
      <c r="EP242" s="2146"/>
      <c r="EQ242" s="2146"/>
      <c r="ER242" s="2146"/>
      <c r="ES242" s="2146"/>
      <c r="ET242" s="2146"/>
      <c r="EU242" s="2146"/>
      <c r="EV242" s="2146"/>
      <c r="EW242" s="2146"/>
      <c r="EX242" s="2146"/>
      <c r="EY242" s="2146"/>
      <c r="EZ242" s="2146"/>
      <c r="FA242" s="2146"/>
      <c r="FB242" s="2146"/>
      <c r="FC242" s="2146"/>
      <c r="FD242" s="2146"/>
      <c r="FE242" s="2146"/>
      <c r="FF242" s="2146"/>
      <c r="FG242" s="2146"/>
      <c r="FH242" s="2146"/>
      <c r="FI242" s="2146"/>
      <c r="FJ242" s="2146"/>
      <c r="FK242" s="2146"/>
      <c r="FL242" s="2146"/>
      <c r="FM242" s="2146"/>
      <c r="FN242" s="2146"/>
      <c r="FO242" s="2146"/>
      <c r="FP242" s="2146"/>
      <c r="FQ242" s="87"/>
      <c r="FR242" s="87"/>
      <c r="FS242" s="2148"/>
      <c r="FT242" s="2148"/>
      <c r="FU242" s="2148"/>
      <c r="FV242" s="2148"/>
      <c r="FW242" s="2148"/>
      <c r="FX242" s="2148"/>
      <c r="FY242" s="2148"/>
      <c r="FZ242" s="87"/>
      <c r="GA242" s="87"/>
      <c r="GC242" s="1853"/>
      <c r="GD242" s="1853"/>
      <c r="GE242" s="1853"/>
      <c r="GG242" s="1853"/>
      <c r="GH242" s="1853"/>
      <c r="GI242" s="1853"/>
      <c r="GK242" s="1853"/>
      <c r="GL242" s="1853"/>
      <c r="GO242" s="1853"/>
      <c r="GP242" s="1853"/>
    </row>
    <row r="243" spans="1:198" ht="9" customHeight="1">
      <c r="A243" s="87"/>
      <c r="B243" s="87"/>
      <c r="C243" s="87"/>
      <c r="D243" s="384"/>
      <c r="E243" s="384"/>
      <c r="F243" s="384"/>
      <c r="G243" s="384"/>
      <c r="H243" s="384"/>
      <c r="I243" s="384"/>
      <c r="J243" s="384"/>
      <c r="K243" s="384"/>
      <c r="L243" s="384"/>
      <c r="M243" s="384"/>
      <c r="N243" s="384"/>
      <c r="O243" s="384"/>
      <c r="P243" s="384"/>
      <c r="Q243" s="384"/>
      <c r="R243" s="384"/>
      <c r="S243" s="384"/>
      <c r="T243" s="384"/>
      <c r="U243" s="384"/>
      <c r="V243" s="384"/>
      <c r="W243" s="384"/>
      <c r="X243" s="384"/>
      <c r="Y243" s="384"/>
      <c r="Z243" s="384"/>
      <c r="AA243" s="384"/>
      <c r="AB243" s="384"/>
      <c r="AC243" s="384"/>
      <c r="AD243" s="384"/>
      <c r="AE243" s="384"/>
      <c r="AF243" s="384"/>
      <c r="AG243" s="384"/>
      <c r="AH243" s="384"/>
      <c r="AI243" s="384"/>
      <c r="AJ243" s="384"/>
      <c r="AK243" s="384"/>
      <c r="AL243" s="384"/>
      <c r="AM243" s="87"/>
      <c r="AN243" s="87"/>
      <c r="AO243" s="87"/>
      <c r="AP243" s="87"/>
      <c r="AQ243" s="87"/>
      <c r="AR243" s="87"/>
      <c r="AS243" s="87"/>
      <c r="AT243" s="384"/>
      <c r="AU243" s="384"/>
      <c r="AV243" s="384"/>
      <c r="AW243" s="384"/>
      <c r="AX243" s="384"/>
      <c r="AY243" s="384"/>
      <c r="AZ243" s="384"/>
      <c r="BA243" s="384"/>
      <c r="BB243" s="384"/>
      <c r="BC243" s="384"/>
      <c r="BD243" s="384"/>
      <c r="BE243" s="384"/>
      <c r="BF243" s="384"/>
      <c r="BG243" s="384"/>
      <c r="BH243" s="384"/>
      <c r="BI243" s="384"/>
      <c r="BJ243" s="384"/>
      <c r="BK243" s="384"/>
      <c r="BL243" s="384"/>
      <c r="BM243" s="384"/>
      <c r="BN243" s="384"/>
      <c r="BO243" s="384"/>
      <c r="BP243" s="384"/>
      <c r="BQ243" s="384"/>
      <c r="BR243" s="384"/>
      <c r="BS243" s="384"/>
      <c r="BT243" s="384"/>
      <c r="BU243" s="384"/>
      <c r="BV243" s="384"/>
      <c r="BW243" s="384"/>
      <c r="BX243" s="384"/>
      <c r="BY243" s="384"/>
      <c r="BZ243" s="384"/>
      <c r="CA243" s="87"/>
      <c r="CB243" s="460"/>
      <c r="CC243" s="460"/>
      <c r="CD243" s="460"/>
      <c r="CE243" s="460"/>
      <c r="CF243" s="460"/>
      <c r="CG243" s="460"/>
      <c r="CH243" s="460"/>
      <c r="CI243" s="460"/>
      <c r="CJ243" s="460"/>
      <c r="CK243" s="460"/>
      <c r="CL243" s="460"/>
      <c r="CM243" s="460"/>
      <c r="CN243" s="460"/>
      <c r="CO243" s="460"/>
      <c r="CP243" s="460"/>
      <c r="CQ243" s="460"/>
      <c r="CR243" s="460"/>
      <c r="CS243" s="460"/>
      <c r="CT243" s="460"/>
      <c r="CU243" s="460"/>
      <c r="CV243" s="460"/>
      <c r="CW243" s="460"/>
      <c r="CX243" s="460"/>
      <c r="CY243" s="460"/>
      <c r="CZ243" s="460"/>
      <c r="DA243" s="460"/>
      <c r="DB243" s="460"/>
      <c r="DC243" s="460"/>
      <c r="DD243" s="460"/>
      <c r="DE243" s="419"/>
      <c r="DF243" s="419"/>
      <c r="DG243" s="419"/>
      <c r="DH243" s="419"/>
      <c r="DI243" s="419"/>
      <c r="DJ243" s="419"/>
      <c r="DK243" s="368"/>
      <c r="DL243" s="459"/>
      <c r="DM243" s="459"/>
      <c r="DN243" s="459"/>
      <c r="DO243" s="459"/>
      <c r="DP243" s="459"/>
      <c r="DQ243" s="87"/>
      <c r="DR243" s="87"/>
      <c r="DS243" s="105"/>
      <c r="DT243" s="105"/>
      <c r="DU243" s="105"/>
      <c r="DV243" s="105"/>
      <c r="DW243" s="105"/>
      <c r="DX243" s="105"/>
      <c r="DY243" s="105"/>
      <c r="DZ243" s="87"/>
      <c r="EA243" s="87"/>
      <c r="EB243" s="368"/>
      <c r="EC243" s="459"/>
      <c r="ED243" s="459"/>
      <c r="EE243" s="459"/>
      <c r="EF243" s="459"/>
      <c r="EG243" s="459"/>
      <c r="EH243" s="99"/>
      <c r="EI243" s="99"/>
      <c r="EJ243" s="99"/>
      <c r="EK243" s="99"/>
      <c r="EL243" s="99"/>
      <c r="EM243" s="461"/>
      <c r="EN243" s="461"/>
      <c r="EO243" s="461"/>
      <c r="EP243" s="461"/>
      <c r="EQ243" s="461"/>
      <c r="ER243" s="461"/>
      <c r="ES243" s="461"/>
      <c r="ET243" s="461"/>
      <c r="EU243" s="461"/>
      <c r="EV243" s="461"/>
      <c r="EW243" s="461"/>
      <c r="EX243" s="461"/>
      <c r="EY243" s="461"/>
      <c r="EZ243" s="461"/>
      <c r="FA243" s="461"/>
      <c r="FB243" s="461"/>
      <c r="FC243" s="461"/>
      <c r="FD243" s="461"/>
      <c r="FE243" s="461"/>
      <c r="FF243" s="460"/>
      <c r="FG243" s="458"/>
      <c r="FH243" s="458"/>
      <c r="FI243" s="458"/>
      <c r="FJ243" s="458"/>
      <c r="FK243" s="419"/>
      <c r="FL243" s="419"/>
      <c r="FM243" s="419"/>
      <c r="FN243" s="419"/>
      <c r="FO243" s="419"/>
      <c r="FP243" s="419"/>
      <c r="FQ243" s="314"/>
      <c r="FR243" s="314"/>
      <c r="FS243" s="105"/>
      <c r="FT243" s="105"/>
      <c r="FU243" s="105"/>
      <c r="FV243" s="105"/>
      <c r="FW243" s="105"/>
      <c r="FX243" s="105"/>
      <c r="FY243" s="105"/>
      <c r="FZ243" s="87"/>
      <c r="GA243" s="87"/>
      <c r="GC243" s="714"/>
      <c r="GD243" s="714"/>
      <c r="GE243" s="714"/>
      <c r="GK243" s="714"/>
      <c r="GL243" s="714"/>
    </row>
    <row r="244" spans="1:198" ht="9" customHeight="1">
      <c r="A244" s="87"/>
      <c r="B244" s="2145" t="str">
        <f>IF(Race="","",IF(NOT(ISERROR(GL244)),MID(ForcePowersTaken,GL240+1,GL244-GL240-1),""))</f>
        <v/>
      </c>
      <c r="C244" s="2145"/>
      <c r="D244" s="2145"/>
      <c r="E244" s="2145"/>
      <c r="F244" s="2145"/>
      <c r="G244" s="2145"/>
      <c r="H244" s="2145"/>
      <c r="I244" s="2145"/>
      <c r="J244" s="2145"/>
      <c r="K244" s="2145"/>
      <c r="L244" s="2145"/>
      <c r="M244" s="2145"/>
      <c r="N244" s="2145"/>
      <c r="O244" s="2145"/>
      <c r="P244" s="2145"/>
      <c r="Q244" s="2145"/>
      <c r="R244" s="2145"/>
      <c r="S244" s="2145"/>
      <c r="T244" s="2145"/>
      <c r="U244" s="2145"/>
      <c r="V244" s="2145"/>
      <c r="W244" s="2145"/>
      <c r="X244" s="2145"/>
      <c r="Y244" s="2145"/>
      <c r="Z244" s="2145"/>
      <c r="AA244" s="2145"/>
      <c r="AB244" s="2145"/>
      <c r="AC244" s="2145"/>
      <c r="AD244" s="2145"/>
      <c r="AE244" s="2145"/>
      <c r="AF244" s="2145"/>
      <c r="AG244" s="2145"/>
      <c r="AH244" s="2145"/>
      <c r="AI244" s="2145"/>
      <c r="AJ244" s="2145"/>
      <c r="AK244" s="2145"/>
      <c r="AL244" s="301"/>
      <c r="AM244" s="2145" t="str">
        <f>IF(Race="","",IF(NOT(ISERROR(GP244)),MID(ForcePowersTaken,GP240+1,GP244-GP240-1),""))</f>
        <v/>
      </c>
      <c r="AN244" s="2145"/>
      <c r="AO244" s="2145"/>
      <c r="AP244" s="2145"/>
      <c r="AQ244" s="2145"/>
      <c r="AR244" s="2145"/>
      <c r="AS244" s="2145"/>
      <c r="AT244" s="2145"/>
      <c r="AU244" s="2145"/>
      <c r="AV244" s="2145"/>
      <c r="AW244" s="2145"/>
      <c r="AX244" s="2145"/>
      <c r="AY244" s="2145"/>
      <c r="AZ244" s="2145"/>
      <c r="BA244" s="2145"/>
      <c r="BB244" s="2145"/>
      <c r="BC244" s="2145"/>
      <c r="BD244" s="2145"/>
      <c r="BE244" s="2145"/>
      <c r="BF244" s="2145"/>
      <c r="BG244" s="2145"/>
      <c r="BH244" s="2145"/>
      <c r="BI244" s="2145"/>
      <c r="BJ244" s="2145"/>
      <c r="BK244" s="2145"/>
      <c r="BL244" s="2145"/>
      <c r="BM244" s="2145"/>
      <c r="BN244" s="2145"/>
      <c r="BO244" s="2145"/>
      <c r="BP244" s="2145"/>
      <c r="BQ244" s="2145"/>
      <c r="BR244" s="2145"/>
      <c r="BS244" s="2145"/>
      <c r="BT244" s="2145"/>
      <c r="BU244" s="2145"/>
      <c r="BV244" s="2145"/>
      <c r="BW244" s="301"/>
      <c r="BX244" s="301"/>
      <c r="BY244" s="301"/>
      <c r="BZ244" s="301"/>
      <c r="CA244" s="87"/>
      <c r="CB244" s="2145" t="str">
        <f>IF(Race="","",IF(NOT(ISERROR(GD244)),MID(TalentsTakenList,GD240+1,GD244-GD240-1),""))</f>
        <v/>
      </c>
      <c r="CC244" s="2145"/>
      <c r="CD244" s="2145"/>
      <c r="CE244" s="2145"/>
      <c r="CF244" s="2145"/>
      <c r="CG244" s="2145"/>
      <c r="CH244" s="2145"/>
      <c r="CI244" s="2145"/>
      <c r="CJ244" s="2145"/>
      <c r="CK244" s="2145"/>
      <c r="CL244" s="2145"/>
      <c r="CM244" s="2145"/>
      <c r="CN244" s="2145"/>
      <c r="CO244" s="2145"/>
      <c r="CP244" s="2145"/>
      <c r="CQ244" s="2145"/>
      <c r="CR244" s="2145"/>
      <c r="CS244" s="2145"/>
      <c r="CT244" s="2145"/>
      <c r="CU244" s="2145"/>
      <c r="CV244" s="2145"/>
      <c r="CW244" s="2145"/>
      <c r="CX244" s="2145"/>
      <c r="CY244" s="2145"/>
      <c r="CZ244" s="2145"/>
      <c r="DA244" s="2145"/>
      <c r="DB244" s="2145"/>
      <c r="DC244" s="2145"/>
      <c r="DD244" s="2145"/>
      <c r="DE244" s="2145"/>
      <c r="DF244" s="2145"/>
      <c r="DG244" s="2145"/>
      <c r="DH244" s="2145"/>
      <c r="DI244" s="2145"/>
      <c r="DJ244" s="2145"/>
      <c r="DK244" s="2145"/>
      <c r="DL244" s="2145"/>
      <c r="DM244" s="2145"/>
      <c r="DN244" s="2145"/>
      <c r="DO244" s="2145"/>
      <c r="DP244" s="2145"/>
      <c r="DQ244" s="87"/>
      <c r="DR244" s="87"/>
      <c r="DS244" s="2147" t="str">
        <f>IF(Race="","",IF(NOT(ISERROR(GE244)),MID(TalentsTakenListPageRef,GE240+1,GE244-GE240-1),""))</f>
        <v/>
      </c>
      <c r="DT244" s="2147"/>
      <c r="DU244" s="2147"/>
      <c r="DV244" s="2147"/>
      <c r="DW244" s="2147"/>
      <c r="DX244" s="2147"/>
      <c r="DY244" s="2147"/>
      <c r="DZ244" s="87"/>
      <c r="EA244" s="87"/>
      <c r="EB244" s="2145" t="str">
        <f>IF(Race="","",IF(NOT(ISERROR(GH244)),MID(TalentsTakenList,GH240+1,GH244-GH240-1),""))</f>
        <v/>
      </c>
      <c r="EC244" s="2145"/>
      <c r="ED244" s="2145"/>
      <c r="EE244" s="2145"/>
      <c r="EF244" s="2145"/>
      <c r="EG244" s="2145"/>
      <c r="EH244" s="2145"/>
      <c r="EI244" s="2145"/>
      <c r="EJ244" s="2145"/>
      <c r="EK244" s="2145"/>
      <c r="EL244" s="2145"/>
      <c r="EM244" s="2145"/>
      <c r="EN244" s="2145"/>
      <c r="EO244" s="2145"/>
      <c r="EP244" s="2145"/>
      <c r="EQ244" s="2145"/>
      <c r="ER244" s="2145"/>
      <c r="ES244" s="2145"/>
      <c r="ET244" s="2145"/>
      <c r="EU244" s="2145"/>
      <c r="EV244" s="2145"/>
      <c r="EW244" s="2145"/>
      <c r="EX244" s="2145"/>
      <c r="EY244" s="2145"/>
      <c r="EZ244" s="2145"/>
      <c r="FA244" s="2145"/>
      <c r="FB244" s="2145"/>
      <c r="FC244" s="2145"/>
      <c r="FD244" s="2145"/>
      <c r="FE244" s="2145"/>
      <c r="FF244" s="2145"/>
      <c r="FG244" s="2145"/>
      <c r="FH244" s="2145"/>
      <c r="FI244" s="2145"/>
      <c r="FJ244" s="2145"/>
      <c r="FK244" s="2145"/>
      <c r="FL244" s="2145"/>
      <c r="FM244" s="2145"/>
      <c r="FN244" s="2145"/>
      <c r="FO244" s="2145"/>
      <c r="FP244" s="2145"/>
      <c r="FQ244" s="87"/>
      <c r="FR244" s="87"/>
      <c r="FS244" s="2147" t="str">
        <f>IF(Race="","",IF(NOT(ISERROR(GI244)),MID(TalentsTakenListPageRef,GI240+1,GI244-GI240-1),""))</f>
        <v/>
      </c>
      <c r="FT244" s="2147"/>
      <c r="FU244" s="2147"/>
      <c r="FV244" s="2147"/>
      <c r="FW244" s="2147"/>
      <c r="FX244" s="2147"/>
      <c r="FY244" s="2147"/>
      <c r="FZ244" s="87"/>
      <c r="GA244" s="87"/>
      <c r="GC244" s="1853">
        <f>GC240+1</f>
        <v>4</v>
      </c>
      <c r="GD244" s="1853" t="e">
        <f>FIND(";",TalentsTakenList,GD240+1)</f>
        <v>#VALUE!</v>
      </c>
      <c r="GE244" s="1853" t="e">
        <f>FIND(";",TalentsTakenListPageRef,GE240+1)</f>
        <v>#VALUE!</v>
      </c>
      <c r="GG244" s="1853">
        <f>GG240+1</f>
        <v>11</v>
      </c>
      <c r="GH244" s="1853" t="e">
        <f>FIND(";",TalentsTakenList,GH240+1)</f>
        <v>#VALUE!</v>
      </c>
      <c r="GI244" s="1853" t="e">
        <f>FIND(";",TalentsTakenListPageRef,GI240+1)</f>
        <v>#VALUE!</v>
      </c>
      <c r="GK244" s="1853">
        <f>GK240+1</f>
        <v>4</v>
      </c>
      <c r="GL244" s="1853" t="e">
        <f>FIND(";",ForcePowersTaken,GL240+1)</f>
        <v>#VALUE!</v>
      </c>
      <c r="GO244" s="1853">
        <f>GO240+1</f>
        <v>15</v>
      </c>
      <c r="GP244" s="1853" t="e">
        <f>FIND(";",ForcePowersTaken,GP240+1)</f>
        <v>#VALUE!</v>
      </c>
    </row>
    <row r="245" spans="1:198" ht="9" customHeight="1">
      <c r="A245" s="87"/>
      <c r="B245" s="2145"/>
      <c r="C245" s="2145"/>
      <c r="D245" s="2145"/>
      <c r="E245" s="2145"/>
      <c r="F245" s="2145"/>
      <c r="G245" s="2145"/>
      <c r="H245" s="2145"/>
      <c r="I245" s="2145"/>
      <c r="J245" s="2145"/>
      <c r="K245" s="2145"/>
      <c r="L245" s="2145"/>
      <c r="M245" s="2145"/>
      <c r="N245" s="2145"/>
      <c r="O245" s="2145"/>
      <c r="P245" s="2145"/>
      <c r="Q245" s="2145"/>
      <c r="R245" s="2145"/>
      <c r="S245" s="2145"/>
      <c r="T245" s="2145"/>
      <c r="U245" s="2145"/>
      <c r="V245" s="2145"/>
      <c r="W245" s="2145"/>
      <c r="X245" s="2145"/>
      <c r="Y245" s="2145"/>
      <c r="Z245" s="2145"/>
      <c r="AA245" s="2145"/>
      <c r="AB245" s="2145"/>
      <c r="AC245" s="2145"/>
      <c r="AD245" s="2145"/>
      <c r="AE245" s="2145"/>
      <c r="AF245" s="2145"/>
      <c r="AG245" s="2145"/>
      <c r="AH245" s="2145"/>
      <c r="AI245" s="2145"/>
      <c r="AJ245" s="2145"/>
      <c r="AK245" s="2145"/>
      <c r="AL245" s="384"/>
      <c r="AM245" s="2145"/>
      <c r="AN245" s="2145"/>
      <c r="AO245" s="2145"/>
      <c r="AP245" s="2145"/>
      <c r="AQ245" s="2145"/>
      <c r="AR245" s="2145"/>
      <c r="AS245" s="2145"/>
      <c r="AT245" s="2145"/>
      <c r="AU245" s="2145"/>
      <c r="AV245" s="2145"/>
      <c r="AW245" s="2145"/>
      <c r="AX245" s="2145"/>
      <c r="AY245" s="2145"/>
      <c r="AZ245" s="2145"/>
      <c r="BA245" s="2145"/>
      <c r="BB245" s="2145"/>
      <c r="BC245" s="2145"/>
      <c r="BD245" s="2145"/>
      <c r="BE245" s="2145"/>
      <c r="BF245" s="2145"/>
      <c r="BG245" s="2145"/>
      <c r="BH245" s="2145"/>
      <c r="BI245" s="2145"/>
      <c r="BJ245" s="2145"/>
      <c r="BK245" s="2145"/>
      <c r="BL245" s="2145"/>
      <c r="BM245" s="2145"/>
      <c r="BN245" s="2145"/>
      <c r="BO245" s="2145"/>
      <c r="BP245" s="2145"/>
      <c r="BQ245" s="2145"/>
      <c r="BR245" s="2145"/>
      <c r="BS245" s="2145"/>
      <c r="BT245" s="2145"/>
      <c r="BU245" s="2145"/>
      <c r="BV245" s="2145"/>
      <c r="BW245" s="384"/>
      <c r="BX245" s="384"/>
      <c r="BY245" s="384"/>
      <c r="BZ245" s="384"/>
      <c r="CA245" s="87"/>
      <c r="CB245" s="2145"/>
      <c r="CC245" s="2145"/>
      <c r="CD245" s="2145"/>
      <c r="CE245" s="2145"/>
      <c r="CF245" s="2145"/>
      <c r="CG245" s="2145"/>
      <c r="CH245" s="2145"/>
      <c r="CI245" s="2145"/>
      <c r="CJ245" s="2145"/>
      <c r="CK245" s="2145"/>
      <c r="CL245" s="2145"/>
      <c r="CM245" s="2145"/>
      <c r="CN245" s="2145"/>
      <c r="CO245" s="2145"/>
      <c r="CP245" s="2145"/>
      <c r="CQ245" s="2145"/>
      <c r="CR245" s="2145"/>
      <c r="CS245" s="2145"/>
      <c r="CT245" s="2145"/>
      <c r="CU245" s="2145"/>
      <c r="CV245" s="2145"/>
      <c r="CW245" s="2145"/>
      <c r="CX245" s="2145"/>
      <c r="CY245" s="2145"/>
      <c r="CZ245" s="2145"/>
      <c r="DA245" s="2145"/>
      <c r="DB245" s="2145"/>
      <c r="DC245" s="2145"/>
      <c r="DD245" s="2145"/>
      <c r="DE245" s="2145"/>
      <c r="DF245" s="2145"/>
      <c r="DG245" s="2145"/>
      <c r="DH245" s="2145"/>
      <c r="DI245" s="2145"/>
      <c r="DJ245" s="2145"/>
      <c r="DK245" s="2145"/>
      <c r="DL245" s="2145"/>
      <c r="DM245" s="2145"/>
      <c r="DN245" s="2145"/>
      <c r="DO245" s="2145"/>
      <c r="DP245" s="2145"/>
      <c r="DQ245" s="87"/>
      <c r="DR245" s="87"/>
      <c r="DS245" s="2147"/>
      <c r="DT245" s="2147"/>
      <c r="DU245" s="2147"/>
      <c r="DV245" s="2147"/>
      <c r="DW245" s="2147"/>
      <c r="DX245" s="2147"/>
      <c r="DY245" s="2147"/>
      <c r="DZ245" s="87"/>
      <c r="EA245" s="87"/>
      <c r="EB245" s="2145"/>
      <c r="EC245" s="2145"/>
      <c r="ED245" s="2145"/>
      <c r="EE245" s="2145"/>
      <c r="EF245" s="2145"/>
      <c r="EG245" s="2145"/>
      <c r="EH245" s="2145"/>
      <c r="EI245" s="2145"/>
      <c r="EJ245" s="2145"/>
      <c r="EK245" s="2145"/>
      <c r="EL245" s="2145"/>
      <c r="EM245" s="2145"/>
      <c r="EN245" s="2145"/>
      <c r="EO245" s="2145"/>
      <c r="EP245" s="2145"/>
      <c r="EQ245" s="2145"/>
      <c r="ER245" s="2145"/>
      <c r="ES245" s="2145"/>
      <c r="ET245" s="2145"/>
      <c r="EU245" s="2145"/>
      <c r="EV245" s="2145"/>
      <c r="EW245" s="2145"/>
      <c r="EX245" s="2145"/>
      <c r="EY245" s="2145"/>
      <c r="EZ245" s="2145"/>
      <c r="FA245" s="2145"/>
      <c r="FB245" s="2145"/>
      <c r="FC245" s="2145"/>
      <c r="FD245" s="2145"/>
      <c r="FE245" s="2145"/>
      <c r="FF245" s="2145"/>
      <c r="FG245" s="2145"/>
      <c r="FH245" s="2145"/>
      <c r="FI245" s="2145"/>
      <c r="FJ245" s="2145"/>
      <c r="FK245" s="2145"/>
      <c r="FL245" s="2145"/>
      <c r="FM245" s="2145"/>
      <c r="FN245" s="2145"/>
      <c r="FO245" s="2145"/>
      <c r="FP245" s="2145"/>
      <c r="FQ245" s="87"/>
      <c r="FR245" s="87"/>
      <c r="FS245" s="2147"/>
      <c r="FT245" s="2147"/>
      <c r="FU245" s="2147"/>
      <c r="FV245" s="2147"/>
      <c r="FW245" s="2147"/>
      <c r="FX245" s="2147"/>
      <c r="FY245" s="2147"/>
      <c r="FZ245" s="87"/>
      <c r="GA245" s="87"/>
      <c r="GC245" s="1853"/>
      <c r="GD245" s="1853"/>
      <c r="GE245" s="1853"/>
      <c r="GG245" s="1853"/>
      <c r="GH245" s="1853"/>
      <c r="GI245" s="1853"/>
      <c r="GK245" s="1853"/>
      <c r="GL245" s="1853"/>
      <c r="GO245" s="1853"/>
      <c r="GP245" s="1853"/>
    </row>
    <row r="246" spans="1:198" ht="9" customHeight="1" thickBot="1">
      <c r="A246" s="87"/>
      <c r="B246" s="2146"/>
      <c r="C246" s="2146"/>
      <c r="D246" s="2146"/>
      <c r="E246" s="2146"/>
      <c r="F246" s="2146"/>
      <c r="G246" s="2146"/>
      <c r="H246" s="2146"/>
      <c r="I246" s="2146"/>
      <c r="J246" s="2146"/>
      <c r="K246" s="2146"/>
      <c r="L246" s="2146"/>
      <c r="M246" s="2146"/>
      <c r="N246" s="2146"/>
      <c r="O246" s="2146"/>
      <c r="P246" s="2146"/>
      <c r="Q246" s="2146"/>
      <c r="R246" s="2146"/>
      <c r="S246" s="2146"/>
      <c r="T246" s="2146"/>
      <c r="U246" s="2146"/>
      <c r="V246" s="2146"/>
      <c r="W246" s="2146"/>
      <c r="X246" s="2146"/>
      <c r="Y246" s="2146"/>
      <c r="Z246" s="2146"/>
      <c r="AA246" s="2146"/>
      <c r="AB246" s="2146"/>
      <c r="AC246" s="2146"/>
      <c r="AD246" s="2146"/>
      <c r="AE246" s="2146"/>
      <c r="AF246" s="2146"/>
      <c r="AG246" s="2146"/>
      <c r="AH246" s="2146"/>
      <c r="AI246" s="2146"/>
      <c r="AJ246" s="2146"/>
      <c r="AK246" s="2146"/>
      <c r="AL246" s="384"/>
      <c r="AM246" s="2146"/>
      <c r="AN246" s="2146"/>
      <c r="AO246" s="2146"/>
      <c r="AP246" s="2146"/>
      <c r="AQ246" s="2146"/>
      <c r="AR246" s="2146"/>
      <c r="AS246" s="2146"/>
      <c r="AT246" s="2146"/>
      <c r="AU246" s="2146"/>
      <c r="AV246" s="2146"/>
      <c r="AW246" s="2146"/>
      <c r="AX246" s="2146"/>
      <c r="AY246" s="2146"/>
      <c r="AZ246" s="2146"/>
      <c r="BA246" s="2146"/>
      <c r="BB246" s="2146"/>
      <c r="BC246" s="2146"/>
      <c r="BD246" s="2146"/>
      <c r="BE246" s="2146"/>
      <c r="BF246" s="2146"/>
      <c r="BG246" s="2146"/>
      <c r="BH246" s="2146"/>
      <c r="BI246" s="2146"/>
      <c r="BJ246" s="2146"/>
      <c r="BK246" s="2146"/>
      <c r="BL246" s="2146"/>
      <c r="BM246" s="2146"/>
      <c r="BN246" s="2146"/>
      <c r="BO246" s="2146"/>
      <c r="BP246" s="2146"/>
      <c r="BQ246" s="2146"/>
      <c r="BR246" s="2146"/>
      <c r="BS246" s="2146"/>
      <c r="BT246" s="2146"/>
      <c r="BU246" s="2146"/>
      <c r="BV246" s="2146"/>
      <c r="BW246" s="384"/>
      <c r="BX246" s="384"/>
      <c r="BY246" s="384"/>
      <c r="BZ246" s="384"/>
      <c r="CA246" s="87"/>
      <c r="CB246" s="2146"/>
      <c r="CC246" s="2146"/>
      <c r="CD246" s="2146"/>
      <c r="CE246" s="2146"/>
      <c r="CF246" s="2146"/>
      <c r="CG246" s="2146"/>
      <c r="CH246" s="2146"/>
      <c r="CI246" s="2146"/>
      <c r="CJ246" s="2146"/>
      <c r="CK246" s="2146"/>
      <c r="CL246" s="2146"/>
      <c r="CM246" s="2146"/>
      <c r="CN246" s="2146"/>
      <c r="CO246" s="2146"/>
      <c r="CP246" s="2146"/>
      <c r="CQ246" s="2146"/>
      <c r="CR246" s="2146"/>
      <c r="CS246" s="2146"/>
      <c r="CT246" s="2146"/>
      <c r="CU246" s="2146"/>
      <c r="CV246" s="2146"/>
      <c r="CW246" s="2146"/>
      <c r="CX246" s="2146"/>
      <c r="CY246" s="2146"/>
      <c r="CZ246" s="2146"/>
      <c r="DA246" s="2146"/>
      <c r="DB246" s="2146"/>
      <c r="DC246" s="2146"/>
      <c r="DD246" s="2146"/>
      <c r="DE246" s="2146"/>
      <c r="DF246" s="2146"/>
      <c r="DG246" s="2146"/>
      <c r="DH246" s="2146"/>
      <c r="DI246" s="2146"/>
      <c r="DJ246" s="2146"/>
      <c r="DK246" s="2146"/>
      <c r="DL246" s="2146"/>
      <c r="DM246" s="2146"/>
      <c r="DN246" s="2146"/>
      <c r="DO246" s="2146"/>
      <c r="DP246" s="2146"/>
      <c r="DQ246" s="87"/>
      <c r="DR246" s="87"/>
      <c r="DS246" s="2148"/>
      <c r="DT246" s="2148"/>
      <c r="DU246" s="2148"/>
      <c r="DV246" s="2148"/>
      <c r="DW246" s="2148"/>
      <c r="DX246" s="2148"/>
      <c r="DY246" s="2148"/>
      <c r="DZ246" s="87"/>
      <c r="EA246" s="87"/>
      <c r="EB246" s="2146"/>
      <c r="EC246" s="2146"/>
      <c r="ED246" s="2146"/>
      <c r="EE246" s="2146"/>
      <c r="EF246" s="2146"/>
      <c r="EG246" s="2146"/>
      <c r="EH246" s="2146"/>
      <c r="EI246" s="2146"/>
      <c r="EJ246" s="2146"/>
      <c r="EK246" s="2146"/>
      <c r="EL246" s="2146"/>
      <c r="EM246" s="2146"/>
      <c r="EN246" s="2146"/>
      <c r="EO246" s="2146"/>
      <c r="EP246" s="2146"/>
      <c r="EQ246" s="2146"/>
      <c r="ER246" s="2146"/>
      <c r="ES246" s="2146"/>
      <c r="ET246" s="2146"/>
      <c r="EU246" s="2146"/>
      <c r="EV246" s="2146"/>
      <c r="EW246" s="2146"/>
      <c r="EX246" s="2146"/>
      <c r="EY246" s="2146"/>
      <c r="EZ246" s="2146"/>
      <c r="FA246" s="2146"/>
      <c r="FB246" s="2146"/>
      <c r="FC246" s="2146"/>
      <c r="FD246" s="2146"/>
      <c r="FE246" s="2146"/>
      <c r="FF246" s="2146"/>
      <c r="FG246" s="2146"/>
      <c r="FH246" s="2146"/>
      <c r="FI246" s="2146"/>
      <c r="FJ246" s="2146"/>
      <c r="FK246" s="2146"/>
      <c r="FL246" s="2146"/>
      <c r="FM246" s="2146"/>
      <c r="FN246" s="2146"/>
      <c r="FO246" s="2146"/>
      <c r="FP246" s="2146"/>
      <c r="FQ246" s="87"/>
      <c r="FR246" s="87"/>
      <c r="FS246" s="2148"/>
      <c r="FT246" s="2148"/>
      <c r="FU246" s="2148"/>
      <c r="FV246" s="2148"/>
      <c r="FW246" s="2148"/>
      <c r="FX246" s="2148"/>
      <c r="FY246" s="2148"/>
      <c r="FZ246" s="87"/>
      <c r="GA246" s="87"/>
      <c r="GC246" s="1853"/>
      <c r="GD246" s="1853"/>
      <c r="GE246" s="1853"/>
      <c r="GG246" s="1853"/>
      <c r="GH246" s="1853"/>
      <c r="GI246" s="1853"/>
      <c r="GK246" s="1853"/>
      <c r="GL246" s="1853"/>
      <c r="GO246" s="1853"/>
      <c r="GP246" s="1853"/>
    </row>
    <row r="247" spans="1:198" ht="9" customHeight="1">
      <c r="A247" s="87"/>
      <c r="B247" s="87"/>
      <c r="C247" s="87"/>
      <c r="D247" s="384"/>
      <c r="E247" s="384"/>
      <c r="F247" s="384"/>
      <c r="G247" s="384"/>
      <c r="H247" s="384"/>
      <c r="I247" s="384"/>
      <c r="J247" s="384"/>
      <c r="K247" s="384"/>
      <c r="L247" s="384"/>
      <c r="M247" s="384"/>
      <c r="N247" s="384"/>
      <c r="O247" s="384"/>
      <c r="P247" s="384"/>
      <c r="Q247" s="384"/>
      <c r="R247" s="384"/>
      <c r="S247" s="384"/>
      <c r="T247" s="384"/>
      <c r="U247" s="384"/>
      <c r="V247" s="384"/>
      <c r="W247" s="384"/>
      <c r="X247" s="384"/>
      <c r="Y247" s="384"/>
      <c r="Z247" s="384"/>
      <c r="AA247" s="384"/>
      <c r="AB247" s="384"/>
      <c r="AC247" s="384"/>
      <c r="AD247" s="384"/>
      <c r="AE247" s="384"/>
      <c r="AF247" s="384"/>
      <c r="AG247" s="384"/>
      <c r="AH247" s="384"/>
      <c r="AI247" s="384"/>
      <c r="AJ247" s="384"/>
      <c r="AK247" s="384"/>
      <c r="AL247" s="384"/>
      <c r="AM247" s="87"/>
      <c r="AN247" s="87"/>
      <c r="AO247" s="87"/>
      <c r="AP247" s="87"/>
      <c r="AQ247" s="87"/>
      <c r="AR247" s="87"/>
      <c r="AS247" s="87"/>
      <c r="AT247" s="384"/>
      <c r="AU247" s="384"/>
      <c r="AV247" s="384"/>
      <c r="AW247" s="384"/>
      <c r="AX247" s="384"/>
      <c r="AY247" s="384"/>
      <c r="AZ247" s="384"/>
      <c r="BA247" s="384"/>
      <c r="BB247" s="384"/>
      <c r="BC247" s="384"/>
      <c r="BD247" s="384"/>
      <c r="BE247" s="384"/>
      <c r="BF247" s="384"/>
      <c r="BG247" s="384"/>
      <c r="BH247" s="384"/>
      <c r="BI247" s="384"/>
      <c r="BJ247" s="384"/>
      <c r="BK247" s="384"/>
      <c r="BL247" s="384"/>
      <c r="BM247" s="384"/>
      <c r="BN247" s="384"/>
      <c r="BO247" s="384"/>
      <c r="BP247" s="384"/>
      <c r="BQ247" s="384"/>
      <c r="BR247" s="384"/>
      <c r="BS247" s="384"/>
      <c r="BT247" s="384"/>
      <c r="BU247" s="384"/>
      <c r="BV247" s="384"/>
      <c r="BW247" s="384"/>
      <c r="BX247" s="384"/>
      <c r="BY247" s="384"/>
      <c r="BZ247" s="384"/>
      <c r="CA247" s="87"/>
      <c r="CB247" s="460"/>
      <c r="CC247" s="460"/>
      <c r="CD247" s="460"/>
      <c r="CE247" s="460"/>
      <c r="CF247" s="460"/>
      <c r="CG247" s="460"/>
      <c r="CH247" s="460"/>
      <c r="CI247" s="460"/>
      <c r="CJ247" s="460"/>
      <c r="CK247" s="460"/>
      <c r="CL247" s="460"/>
      <c r="CM247" s="460"/>
      <c r="CN247" s="460"/>
      <c r="CO247" s="460"/>
      <c r="CP247" s="460"/>
      <c r="CQ247" s="460"/>
      <c r="CR247" s="460"/>
      <c r="CS247" s="460"/>
      <c r="CT247" s="460"/>
      <c r="CU247" s="460"/>
      <c r="CV247" s="460"/>
      <c r="CW247" s="460"/>
      <c r="CX247" s="460"/>
      <c r="CY247" s="460"/>
      <c r="CZ247" s="460"/>
      <c r="DA247" s="460"/>
      <c r="DB247" s="460"/>
      <c r="DC247" s="460"/>
      <c r="DD247" s="460"/>
      <c r="DE247" s="419"/>
      <c r="DF247" s="419"/>
      <c r="DG247" s="419"/>
      <c r="DH247" s="419"/>
      <c r="DI247" s="419"/>
      <c r="DJ247" s="419"/>
      <c r="DK247" s="368"/>
      <c r="DL247" s="459"/>
      <c r="DM247" s="459"/>
      <c r="DN247" s="459"/>
      <c r="DO247" s="459"/>
      <c r="DP247" s="459"/>
      <c r="DQ247" s="87"/>
      <c r="DR247" s="87"/>
      <c r="DS247" s="105"/>
      <c r="DT247" s="105"/>
      <c r="DU247" s="105"/>
      <c r="DV247" s="105"/>
      <c r="DW247" s="105"/>
      <c r="DX247" s="105"/>
      <c r="DY247" s="105"/>
      <c r="DZ247" s="87"/>
      <c r="EA247" s="87"/>
      <c r="EB247" s="368"/>
      <c r="EC247" s="459"/>
      <c r="ED247" s="459"/>
      <c r="EE247" s="459"/>
      <c r="EF247" s="459"/>
      <c r="EG247" s="459"/>
      <c r="EH247" s="99"/>
      <c r="EI247" s="99"/>
      <c r="EJ247" s="99"/>
      <c r="EK247" s="99"/>
      <c r="EL247" s="99"/>
      <c r="EM247" s="461"/>
      <c r="EN247" s="461"/>
      <c r="EO247" s="461"/>
      <c r="EP247" s="461"/>
      <c r="EQ247" s="461"/>
      <c r="ER247" s="461"/>
      <c r="ES247" s="461"/>
      <c r="ET247" s="461"/>
      <c r="EU247" s="461"/>
      <c r="EV247" s="461"/>
      <c r="EW247" s="461"/>
      <c r="EX247" s="461"/>
      <c r="EY247" s="461"/>
      <c r="EZ247" s="461"/>
      <c r="FA247" s="461"/>
      <c r="FB247" s="461"/>
      <c r="FC247" s="461"/>
      <c r="FD247" s="461"/>
      <c r="FE247" s="461"/>
      <c r="FF247" s="460"/>
      <c r="FG247" s="458"/>
      <c r="FH247" s="458"/>
      <c r="FI247" s="458"/>
      <c r="FJ247" s="458"/>
      <c r="FK247" s="419"/>
      <c r="FL247" s="419"/>
      <c r="FM247" s="419"/>
      <c r="FN247" s="419"/>
      <c r="FO247" s="419"/>
      <c r="FP247" s="419"/>
      <c r="FQ247" s="314"/>
      <c r="FR247" s="314"/>
      <c r="FS247" s="105"/>
      <c r="FT247" s="105"/>
      <c r="FU247" s="105"/>
      <c r="FV247" s="105"/>
      <c r="FW247" s="105"/>
      <c r="FX247" s="105"/>
      <c r="FY247" s="105"/>
      <c r="FZ247" s="87"/>
      <c r="GA247" s="87"/>
      <c r="GC247" s="714"/>
      <c r="GD247" s="714"/>
      <c r="GE247" s="714"/>
      <c r="GK247" s="714"/>
      <c r="GL247" s="714"/>
    </row>
    <row r="248" spans="1:198" ht="9" customHeight="1">
      <c r="A248" s="87"/>
      <c r="B248" s="2145" t="str">
        <f>IF(Race="","",IF(NOT(ISERROR(GL248)),MID(ForcePowersTaken,GL244+1,GL248-GL244-1),""))</f>
        <v/>
      </c>
      <c r="C248" s="2145"/>
      <c r="D248" s="2145"/>
      <c r="E248" s="2145"/>
      <c r="F248" s="2145"/>
      <c r="G248" s="2145"/>
      <c r="H248" s="2145"/>
      <c r="I248" s="2145"/>
      <c r="J248" s="2145"/>
      <c r="K248" s="2145"/>
      <c r="L248" s="2145"/>
      <c r="M248" s="2145"/>
      <c r="N248" s="2145"/>
      <c r="O248" s="2145"/>
      <c r="P248" s="2145"/>
      <c r="Q248" s="2145"/>
      <c r="R248" s="2145"/>
      <c r="S248" s="2145"/>
      <c r="T248" s="2145"/>
      <c r="U248" s="2145"/>
      <c r="V248" s="2145"/>
      <c r="W248" s="2145"/>
      <c r="X248" s="2145"/>
      <c r="Y248" s="2145"/>
      <c r="Z248" s="2145"/>
      <c r="AA248" s="2145"/>
      <c r="AB248" s="2145"/>
      <c r="AC248" s="2145"/>
      <c r="AD248" s="2145"/>
      <c r="AE248" s="2145"/>
      <c r="AF248" s="2145"/>
      <c r="AG248" s="2145"/>
      <c r="AH248" s="2145"/>
      <c r="AI248" s="2145"/>
      <c r="AJ248" s="2145"/>
      <c r="AK248" s="2145"/>
      <c r="AL248" s="301"/>
      <c r="AM248" s="2145" t="str">
        <f>IF(Race="","",IF(NOT(ISERROR(GP248)),MID(ForcePowersTaken,GP244+1,GP248-GP244-1),""))</f>
        <v/>
      </c>
      <c r="AN248" s="2145"/>
      <c r="AO248" s="2145"/>
      <c r="AP248" s="2145"/>
      <c r="AQ248" s="2145"/>
      <c r="AR248" s="2145"/>
      <c r="AS248" s="2145"/>
      <c r="AT248" s="2145"/>
      <c r="AU248" s="2145"/>
      <c r="AV248" s="2145"/>
      <c r="AW248" s="2145"/>
      <c r="AX248" s="2145"/>
      <c r="AY248" s="2145"/>
      <c r="AZ248" s="2145"/>
      <c r="BA248" s="2145"/>
      <c r="BB248" s="2145"/>
      <c r="BC248" s="2145"/>
      <c r="BD248" s="2145"/>
      <c r="BE248" s="2145"/>
      <c r="BF248" s="2145"/>
      <c r="BG248" s="2145"/>
      <c r="BH248" s="2145"/>
      <c r="BI248" s="2145"/>
      <c r="BJ248" s="2145"/>
      <c r="BK248" s="2145"/>
      <c r="BL248" s="2145"/>
      <c r="BM248" s="2145"/>
      <c r="BN248" s="2145"/>
      <c r="BO248" s="2145"/>
      <c r="BP248" s="2145"/>
      <c r="BQ248" s="2145"/>
      <c r="BR248" s="2145"/>
      <c r="BS248" s="2145"/>
      <c r="BT248" s="2145"/>
      <c r="BU248" s="2145"/>
      <c r="BV248" s="2145"/>
      <c r="BW248" s="301"/>
      <c r="BX248" s="301"/>
      <c r="BY248" s="301"/>
      <c r="BZ248" s="301"/>
      <c r="CA248" s="87"/>
      <c r="CB248" s="2145" t="str">
        <f>IF(Race="","",IF(NOT(ISERROR(GD248)),MID(TalentsTakenList,GD244+1,GD248-GD244-1),""))</f>
        <v/>
      </c>
      <c r="CC248" s="2145"/>
      <c r="CD248" s="2145"/>
      <c r="CE248" s="2145"/>
      <c r="CF248" s="2145"/>
      <c r="CG248" s="2145"/>
      <c r="CH248" s="2145"/>
      <c r="CI248" s="2145"/>
      <c r="CJ248" s="2145"/>
      <c r="CK248" s="2145"/>
      <c r="CL248" s="2145"/>
      <c r="CM248" s="2145"/>
      <c r="CN248" s="2145"/>
      <c r="CO248" s="2145"/>
      <c r="CP248" s="2145"/>
      <c r="CQ248" s="2145"/>
      <c r="CR248" s="2145"/>
      <c r="CS248" s="2145"/>
      <c r="CT248" s="2145"/>
      <c r="CU248" s="2145"/>
      <c r="CV248" s="2145"/>
      <c r="CW248" s="2145"/>
      <c r="CX248" s="2145"/>
      <c r="CY248" s="2145"/>
      <c r="CZ248" s="2145"/>
      <c r="DA248" s="2145"/>
      <c r="DB248" s="2145"/>
      <c r="DC248" s="2145"/>
      <c r="DD248" s="2145"/>
      <c r="DE248" s="2145"/>
      <c r="DF248" s="2145"/>
      <c r="DG248" s="2145"/>
      <c r="DH248" s="2145"/>
      <c r="DI248" s="2145"/>
      <c r="DJ248" s="2145"/>
      <c r="DK248" s="2145"/>
      <c r="DL248" s="2145"/>
      <c r="DM248" s="2145"/>
      <c r="DN248" s="2145"/>
      <c r="DO248" s="2145"/>
      <c r="DP248" s="2145"/>
      <c r="DQ248" s="87"/>
      <c r="DR248" s="87"/>
      <c r="DS248" s="2147" t="str">
        <f>IF(Race="","",IF(NOT(ISERROR(GE248)),MID(TalentsTakenListPageRef,GE244+1,GE248-GE244-1),""))</f>
        <v/>
      </c>
      <c r="DT248" s="2147"/>
      <c r="DU248" s="2147"/>
      <c r="DV248" s="2147"/>
      <c r="DW248" s="2147"/>
      <c r="DX248" s="2147"/>
      <c r="DY248" s="2147"/>
      <c r="DZ248" s="87"/>
      <c r="EA248" s="87"/>
      <c r="EB248" s="2145" t="str">
        <f>IF(Race="","",IF(NOT(ISERROR(GH248)),MID(TalentsTakenList,GH244+1,GH248-GH244-1),""))</f>
        <v/>
      </c>
      <c r="EC248" s="2145"/>
      <c r="ED248" s="2145"/>
      <c r="EE248" s="2145"/>
      <c r="EF248" s="2145"/>
      <c r="EG248" s="2145"/>
      <c r="EH248" s="2145"/>
      <c r="EI248" s="2145"/>
      <c r="EJ248" s="2145"/>
      <c r="EK248" s="2145"/>
      <c r="EL248" s="2145"/>
      <c r="EM248" s="2145"/>
      <c r="EN248" s="2145"/>
      <c r="EO248" s="2145"/>
      <c r="EP248" s="2145"/>
      <c r="EQ248" s="2145"/>
      <c r="ER248" s="2145"/>
      <c r="ES248" s="2145"/>
      <c r="ET248" s="2145"/>
      <c r="EU248" s="2145"/>
      <c r="EV248" s="2145"/>
      <c r="EW248" s="2145"/>
      <c r="EX248" s="2145"/>
      <c r="EY248" s="2145"/>
      <c r="EZ248" s="2145"/>
      <c r="FA248" s="2145"/>
      <c r="FB248" s="2145"/>
      <c r="FC248" s="2145"/>
      <c r="FD248" s="2145"/>
      <c r="FE248" s="2145"/>
      <c r="FF248" s="2145"/>
      <c r="FG248" s="2145"/>
      <c r="FH248" s="2145"/>
      <c r="FI248" s="2145"/>
      <c r="FJ248" s="2145"/>
      <c r="FK248" s="2145"/>
      <c r="FL248" s="2145"/>
      <c r="FM248" s="2145"/>
      <c r="FN248" s="2145"/>
      <c r="FO248" s="2145"/>
      <c r="FP248" s="2145"/>
      <c r="FQ248" s="87"/>
      <c r="FR248" s="87"/>
      <c r="FS248" s="2147" t="str">
        <f>IF(Race="","",IF(NOT(ISERROR(GI248)),MID(TalentsTakenListPageRef,GI244+1,GI248-GI244-1),""))</f>
        <v/>
      </c>
      <c r="FT248" s="2147"/>
      <c r="FU248" s="2147"/>
      <c r="FV248" s="2147"/>
      <c r="FW248" s="2147"/>
      <c r="FX248" s="2147"/>
      <c r="FY248" s="2147"/>
      <c r="FZ248" s="87"/>
      <c r="GA248" s="87"/>
      <c r="GC248" s="1853">
        <f>GC244+1</f>
        <v>5</v>
      </c>
      <c r="GD248" s="1853" t="e">
        <f>FIND(";",TalentsTakenList,GD244+1)</f>
        <v>#VALUE!</v>
      </c>
      <c r="GE248" s="1853" t="e">
        <f>FIND(";",TalentsTakenListPageRef,GE244+1)</f>
        <v>#VALUE!</v>
      </c>
      <c r="GG248" s="1853">
        <f>GG244+1</f>
        <v>12</v>
      </c>
      <c r="GH248" s="1853" t="e">
        <f>FIND(";",TalentsTakenList,GH244+1)</f>
        <v>#VALUE!</v>
      </c>
      <c r="GI248" s="1853" t="e">
        <f>FIND(";",TalentsTakenListPageRef,GI244+1)</f>
        <v>#VALUE!</v>
      </c>
      <c r="GK248" s="1853">
        <f>GK244+1</f>
        <v>5</v>
      </c>
      <c r="GL248" s="1853" t="e">
        <f>FIND(";",ForcePowersTaken,GL244+1)</f>
        <v>#VALUE!</v>
      </c>
      <c r="GO248" s="1853">
        <f>GO244+1</f>
        <v>16</v>
      </c>
      <c r="GP248" s="1853" t="e">
        <f>FIND(";",ForcePowersTaken,GP244+1)</f>
        <v>#VALUE!</v>
      </c>
    </row>
    <row r="249" spans="1:198" ht="9" customHeight="1">
      <c r="A249" s="87"/>
      <c r="B249" s="2145"/>
      <c r="C249" s="2145"/>
      <c r="D249" s="2145"/>
      <c r="E249" s="2145"/>
      <c r="F249" s="2145"/>
      <c r="G249" s="2145"/>
      <c r="H249" s="2145"/>
      <c r="I249" s="2145"/>
      <c r="J249" s="2145"/>
      <c r="K249" s="2145"/>
      <c r="L249" s="2145"/>
      <c r="M249" s="2145"/>
      <c r="N249" s="2145"/>
      <c r="O249" s="2145"/>
      <c r="P249" s="2145"/>
      <c r="Q249" s="2145"/>
      <c r="R249" s="2145"/>
      <c r="S249" s="2145"/>
      <c r="T249" s="2145"/>
      <c r="U249" s="2145"/>
      <c r="V249" s="2145"/>
      <c r="W249" s="2145"/>
      <c r="X249" s="2145"/>
      <c r="Y249" s="2145"/>
      <c r="Z249" s="2145"/>
      <c r="AA249" s="2145"/>
      <c r="AB249" s="2145"/>
      <c r="AC249" s="2145"/>
      <c r="AD249" s="2145"/>
      <c r="AE249" s="2145"/>
      <c r="AF249" s="2145"/>
      <c r="AG249" s="2145"/>
      <c r="AH249" s="2145"/>
      <c r="AI249" s="2145"/>
      <c r="AJ249" s="2145"/>
      <c r="AK249" s="2145"/>
      <c r="AL249" s="384"/>
      <c r="AM249" s="2145"/>
      <c r="AN249" s="2145"/>
      <c r="AO249" s="2145"/>
      <c r="AP249" s="2145"/>
      <c r="AQ249" s="2145"/>
      <c r="AR249" s="2145"/>
      <c r="AS249" s="2145"/>
      <c r="AT249" s="2145"/>
      <c r="AU249" s="2145"/>
      <c r="AV249" s="2145"/>
      <c r="AW249" s="2145"/>
      <c r="AX249" s="2145"/>
      <c r="AY249" s="2145"/>
      <c r="AZ249" s="2145"/>
      <c r="BA249" s="2145"/>
      <c r="BB249" s="2145"/>
      <c r="BC249" s="2145"/>
      <c r="BD249" s="2145"/>
      <c r="BE249" s="2145"/>
      <c r="BF249" s="2145"/>
      <c r="BG249" s="2145"/>
      <c r="BH249" s="2145"/>
      <c r="BI249" s="2145"/>
      <c r="BJ249" s="2145"/>
      <c r="BK249" s="2145"/>
      <c r="BL249" s="2145"/>
      <c r="BM249" s="2145"/>
      <c r="BN249" s="2145"/>
      <c r="BO249" s="2145"/>
      <c r="BP249" s="2145"/>
      <c r="BQ249" s="2145"/>
      <c r="BR249" s="2145"/>
      <c r="BS249" s="2145"/>
      <c r="BT249" s="2145"/>
      <c r="BU249" s="2145"/>
      <c r="BV249" s="2145"/>
      <c r="BW249" s="384"/>
      <c r="BX249" s="384"/>
      <c r="BY249" s="384"/>
      <c r="BZ249" s="384"/>
      <c r="CA249" s="87"/>
      <c r="CB249" s="2145"/>
      <c r="CC249" s="2145"/>
      <c r="CD249" s="2145"/>
      <c r="CE249" s="2145"/>
      <c r="CF249" s="2145"/>
      <c r="CG249" s="2145"/>
      <c r="CH249" s="2145"/>
      <c r="CI249" s="2145"/>
      <c r="CJ249" s="2145"/>
      <c r="CK249" s="2145"/>
      <c r="CL249" s="2145"/>
      <c r="CM249" s="2145"/>
      <c r="CN249" s="2145"/>
      <c r="CO249" s="2145"/>
      <c r="CP249" s="2145"/>
      <c r="CQ249" s="2145"/>
      <c r="CR249" s="2145"/>
      <c r="CS249" s="2145"/>
      <c r="CT249" s="2145"/>
      <c r="CU249" s="2145"/>
      <c r="CV249" s="2145"/>
      <c r="CW249" s="2145"/>
      <c r="CX249" s="2145"/>
      <c r="CY249" s="2145"/>
      <c r="CZ249" s="2145"/>
      <c r="DA249" s="2145"/>
      <c r="DB249" s="2145"/>
      <c r="DC249" s="2145"/>
      <c r="DD249" s="2145"/>
      <c r="DE249" s="2145"/>
      <c r="DF249" s="2145"/>
      <c r="DG249" s="2145"/>
      <c r="DH249" s="2145"/>
      <c r="DI249" s="2145"/>
      <c r="DJ249" s="2145"/>
      <c r="DK249" s="2145"/>
      <c r="DL249" s="2145"/>
      <c r="DM249" s="2145"/>
      <c r="DN249" s="2145"/>
      <c r="DO249" s="2145"/>
      <c r="DP249" s="2145"/>
      <c r="DQ249" s="87"/>
      <c r="DR249" s="87"/>
      <c r="DS249" s="2147"/>
      <c r="DT249" s="2147"/>
      <c r="DU249" s="2147"/>
      <c r="DV249" s="2147"/>
      <c r="DW249" s="2147"/>
      <c r="DX249" s="2147"/>
      <c r="DY249" s="2147"/>
      <c r="DZ249" s="87"/>
      <c r="EA249" s="87"/>
      <c r="EB249" s="2145"/>
      <c r="EC249" s="2145"/>
      <c r="ED249" s="2145"/>
      <c r="EE249" s="2145"/>
      <c r="EF249" s="2145"/>
      <c r="EG249" s="2145"/>
      <c r="EH249" s="2145"/>
      <c r="EI249" s="2145"/>
      <c r="EJ249" s="2145"/>
      <c r="EK249" s="2145"/>
      <c r="EL249" s="2145"/>
      <c r="EM249" s="2145"/>
      <c r="EN249" s="2145"/>
      <c r="EO249" s="2145"/>
      <c r="EP249" s="2145"/>
      <c r="EQ249" s="2145"/>
      <c r="ER249" s="2145"/>
      <c r="ES249" s="2145"/>
      <c r="ET249" s="2145"/>
      <c r="EU249" s="2145"/>
      <c r="EV249" s="2145"/>
      <c r="EW249" s="2145"/>
      <c r="EX249" s="2145"/>
      <c r="EY249" s="2145"/>
      <c r="EZ249" s="2145"/>
      <c r="FA249" s="2145"/>
      <c r="FB249" s="2145"/>
      <c r="FC249" s="2145"/>
      <c r="FD249" s="2145"/>
      <c r="FE249" s="2145"/>
      <c r="FF249" s="2145"/>
      <c r="FG249" s="2145"/>
      <c r="FH249" s="2145"/>
      <c r="FI249" s="2145"/>
      <c r="FJ249" s="2145"/>
      <c r="FK249" s="2145"/>
      <c r="FL249" s="2145"/>
      <c r="FM249" s="2145"/>
      <c r="FN249" s="2145"/>
      <c r="FO249" s="2145"/>
      <c r="FP249" s="2145"/>
      <c r="FQ249" s="87"/>
      <c r="FR249" s="87"/>
      <c r="FS249" s="2147"/>
      <c r="FT249" s="2147"/>
      <c r="FU249" s="2147"/>
      <c r="FV249" s="2147"/>
      <c r="FW249" s="2147"/>
      <c r="FX249" s="2147"/>
      <c r="FY249" s="2147"/>
      <c r="FZ249" s="87"/>
      <c r="GA249" s="87"/>
      <c r="GC249" s="1853"/>
      <c r="GD249" s="1853"/>
      <c r="GE249" s="1853"/>
      <c r="GG249" s="1853"/>
      <c r="GH249" s="1853"/>
      <c r="GI249" s="1853"/>
      <c r="GK249" s="1853"/>
      <c r="GL249" s="1853"/>
      <c r="GO249" s="1853"/>
      <c r="GP249" s="1853"/>
    </row>
    <row r="250" spans="1:198" ht="9" customHeight="1" thickBot="1">
      <c r="A250" s="87"/>
      <c r="B250" s="2146"/>
      <c r="C250" s="2146"/>
      <c r="D250" s="2146"/>
      <c r="E250" s="2146"/>
      <c r="F250" s="2146"/>
      <c r="G250" s="2146"/>
      <c r="H250" s="2146"/>
      <c r="I250" s="2146"/>
      <c r="J250" s="2146"/>
      <c r="K250" s="2146"/>
      <c r="L250" s="2146"/>
      <c r="M250" s="2146"/>
      <c r="N250" s="2146"/>
      <c r="O250" s="2146"/>
      <c r="P250" s="2146"/>
      <c r="Q250" s="2146"/>
      <c r="R250" s="2146"/>
      <c r="S250" s="2146"/>
      <c r="T250" s="2146"/>
      <c r="U250" s="2146"/>
      <c r="V250" s="2146"/>
      <c r="W250" s="2146"/>
      <c r="X250" s="2146"/>
      <c r="Y250" s="2146"/>
      <c r="Z250" s="2146"/>
      <c r="AA250" s="2146"/>
      <c r="AB250" s="2146"/>
      <c r="AC250" s="2146"/>
      <c r="AD250" s="2146"/>
      <c r="AE250" s="2146"/>
      <c r="AF250" s="2146"/>
      <c r="AG250" s="2146"/>
      <c r="AH250" s="2146"/>
      <c r="AI250" s="2146"/>
      <c r="AJ250" s="2146"/>
      <c r="AK250" s="2146"/>
      <c r="AL250" s="384"/>
      <c r="AM250" s="2146"/>
      <c r="AN250" s="2146"/>
      <c r="AO250" s="2146"/>
      <c r="AP250" s="2146"/>
      <c r="AQ250" s="2146"/>
      <c r="AR250" s="2146"/>
      <c r="AS250" s="2146"/>
      <c r="AT250" s="2146"/>
      <c r="AU250" s="2146"/>
      <c r="AV250" s="2146"/>
      <c r="AW250" s="2146"/>
      <c r="AX250" s="2146"/>
      <c r="AY250" s="2146"/>
      <c r="AZ250" s="2146"/>
      <c r="BA250" s="2146"/>
      <c r="BB250" s="2146"/>
      <c r="BC250" s="2146"/>
      <c r="BD250" s="2146"/>
      <c r="BE250" s="2146"/>
      <c r="BF250" s="2146"/>
      <c r="BG250" s="2146"/>
      <c r="BH250" s="2146"/>
      <c r="BI250" s="2146"/>
      <c r="BJ250" s="2146"/>
      <c r="BK250" s="2146"/>
      <c r="BL250" s="2146"/>
      <c r="BM250" s="2146"/>
      <c r="BN250" s="2146"/>
      <c r="BO250" s="2146"/>
      <c r="BP250" s="2146"/>
      <c r="BQ250" s="2146"/>
      <c r="BR250" s="2146"/>
      <c r="BS250" s="2146"/>
      <c r="BT250" s="2146"/>
      <c r="BU250" s="2146"/>
      <c r="BV250" s="2146"/>
      <c r="BW250" s="384"/>
      <c r="BX250" s="384"/>
      <c r="BY250" s="384"/>
      <c r="BZ250" s="384"/>
      <c r="CA250" s="87"/>
      <c r="CB250" s="2146"/>
      <c r="CC250" s="2146"/>
      <c r="CD250" s="2146"/>
      <c r="CE250" s="2146"/>
      <c r="CF250" s="2146"/>
      <c r="CG250" s="2146"/>
      <c r="CH250" s="2146"/>
      <c r="CI250" s="2146"/>
      <c r="CJ250" s="2146"/>
      <c r="CK250" s="2146"/>
      <c r="CL250" s="2146"/>
      <c r="CM250" s="2146"/>
      <c r="CN250" s="2146"/>
      <c r="CO250" s="2146"/>
      <c r="CP250" s="2146"/>
      <c r="CQ250" s="2146"/>
      <c r="CR250" s="2146"/>
      <c r="CS250" s="2146"/>
      <c r="CT250" s="2146"/>
      <c r="CU250" s="2146"/>
      <c r="CV250" s="2146"/>
      <c r="CW250" s="2146"/>
      <c r="CX250" s="2146"/>
      <c r="CY250" s="2146"/>
      <c r="CZ250" s="2146"/>
      <c r="DA250" s="2146"/>
      <c r="DB250" s="2146"/>
      <c r="DC250" s="2146"/>
      <c r="DD250" s="2146"/>
      <c r="DE250" s="2146"/>
      <c r="DF250" s="2146"/>
      <c r="DG250" s="2146"/>
      <c r="DH250" s="2146"/>
      <c r="DI250" s="2146"/>
      <c r="DJ250" s="2146"/>
      <c r="DK250" s="2146"/>
      <c r="DL250" s="2146"/>
      <c r="DM250" s="2146"/>
      <c r="DN250" s="2146"/>
      <c r="DO250" s="2146"/>
      <c r="DP250" s="2146"/>
      <c r="DQ250" s="87"/>
      <c r="DR250" s="87"/>
      <c r="DS250" s="2148"/>
      <c r="DT250" s="2148"/>
      <c r="DU250" s="2148"/>
      <c r="DV250" s="2148"/>
      <c r="DW250" s="2148"/>
      <c r="DX250" s="2148"/>
      <c r="DY250" s="2148"/>
      <c r="DZ250" s="87"/>
      <c r="EA250" s="87"/>
      <c r="EB250" s="2146"/>
      <c r="EC250" s="2146"/>
      <c r="ED250" s="2146"/>
      <c r="EE250" s="2146"/>
      <c r="EF250" s="2146"/>
      <c r="EG250" s="2146"/>
      <c r="EH250" s="2146"/>
      <c r="EI250" s="2146"/>
      <c r="EJ250" s="2146"/>
      <c r="EK250" s="2146"/>
      <c r="EL250" s="2146"/>
      <c r="EM250" s="2146"/>
      <c r="EN250" s="2146"/>
      <c r="EO250" s="2146"/>
      <c r="EP250" s="2146"/>
      <c r="EQ250" s="2146"/>
      <c r="ER250" s="2146"/>
      <c r="ES250" s="2146"/>
      <c r="ET250" s="2146"/>
      <c r="EU250" s="2146"/>
      <c r="EV250" s="2146"/>
      <c r="EW250" s="2146"/>
      <c r="EX250" s="2146"/>
      <c r="EY250" s="2146"/>
      <c r="EZ250" s="2146"/>
      <c r="FA250" s="2146"/>
      <c r="FB250" s="2146"/>
      <c r="FC250" s="2146"/>
      <c r="FD250" s="2146"/>
      <c r="FE250" s="2146"/>
      <c r="FF250" s="2146"/>
      <c r="FG250" s="2146"/>
      <c r="FH250" s="2146"/>
      <c r="FI250" s="2146"/>
      <c r="FJ250" s="2146"/>
      <c r="FK250" s="2146"/>
      <c r="FL250" s="2146"/>
      <c r="FM250" s="2146"/>
      <c r="FN250" s="2146"/>
      <c r="FO250" s="2146"/>
      <c r="FP250" s="2146"/>
      <c r="FQ250" s="87"/>
      <c r="FR250" s="87"/>
      <c r="FS250" s="2148"/>
      <c r="FT250" s="2148"/>
      <c r="FU250" s="2148"/>
      <c r="FV250" s="2148"/>
      <c r="FW250" s="2148"/>
      <c r="FX250" s="2148"/>
      <c r="FY250" s="2148"/>
      <c r="FZ250" s="87"/>
      <c r="GA250" s="87"/>
      <c r="GC250" s="1853"/>
      <c r="GD250" s="1853"/>
      <c r="GE250" s="1853"/>
      <c r="GG250" s="1853"/>
      <c r="GH250" s="1853"/>
      <c r="GI250" s="1853"/>
      <c r="GK250" s="1853"/>
      <c r="GL250" s="1853"/>
      <c r="GO250" s="1853"/>
      <c r="GP250" s="1853"/>
    </row>
    <row r="251" spans="1:198" ht="9" customHeight="1">
      <c r="A251" s="87"/>
      <c r="B251" s="87"/>
      <c r="C251" s="87"/>
      <c r="D251" s="384"/>
      <c r="E251" s="384"/>
      <c r="F251" s="384"/>
      <c r="G251" s="384"/>
      <c r="H251" s="384"/>
      <c r="I251" s="384"/>
      <c r="J251" s="384"/>
      <c r="K251" s="384"/>
      <c r="L251" s="384"/>
      <c r="M251" s="384"/>
      <c r="N251" s="384"/>
      <c r="O251" s="384"/>
      <c r="P251" s="384"/>
      <c r="Q251" s="384"/>
      <c r="R251" s="384"/>
      <c r="S251" s="384"/>
      <c r="T251" s="384"/>
      <c r="U251" s="384"/>
      <c r="V251" s="384"/>
      <c r="W251" s="384"/>
      <c r="X251" s="384"/>
      <c r="Y251" s="384"/>
      <c r="Z251" s="384"/>
      <c r="AA251" s="384"/>
      <c r="AB251" s="384"/>
      <c r="AC251" s="384"/>
      <c r="AD251" s="384"/>
      <c r="AE251" s="384"/>
      <c r="AF251" s="384"/>
      <c r="AG251" s="384"/>
      <c r="AH251" s="384"/>
      <c r="AI251" s="384"/>
      <c r="AJ251" s="384"/>
      <c r="AK251" s="384"/>
      <c r="AL251" s="384"/>
      <c r="AM251" s="87"/>
      <c r="AN251" s="87"/>
      <c r="AO251" s="87"/>
      <c r="AP251" s="87"/>
      <c r="AQ251" s="87"/>
      <c r="AR251" s="87"/>
      <c r="AS251" s="87"/>
      <c r="AT251" s="384"/>
      <c r="AU251" s="384"/>
      <c r="AV251" s="384"/>
      <c r="AW251" s="384"/>
      <c r="AX251" s="384"/>
      <c r="AY251" s="384"/>
      <c r="AZ251" s="384"/>
      <c r="BA251" s="384"/>
      <c r="BB251" s="384"/>
      <c r="BC251" s="384"/>
      <c r="BD251" s="384"/>
      <c r="BE251" s="384"/>
      <c r="BF251" s="384"/>
      <c r="BG251" s="384"/>
      <c r="BH251" s="384"/>
      <c r="BI251" s="384"/>
      <c r="BJ251" s="384"/>
      <c r="BK251" s="384"/>
      <c r="BL251" s="384"/>
      <c r="BM251" s="384"/>
      <c r="BN251" s="384"/>
      <c r="BO251" s="384"/>
      <c r="BP251" s="384"/>
      <c r="BQ251" s="384"/>
      <c r="BR251" s="384"/>
      <c r="BS251" s="384"/>
      <c r="BT251" s="384"/>
      <c r="BU251" s="384"/>
      <c r="BV251" s="384"/>
      <c r="BW251" s="384"/>
      <c r="BX251" s="384"/>
      <c r="BY251" s="384"/>
      <c r="BZ251" s="384"/>
      <c r="CA251" s="87"/>
      <c r="CB251" s="460"/>
      <c r="CC251" s="460"/>
      <c r="CD251" s="460"/>
      <c r="CE251" s="460"/>
      <c r="CF251" s="460"/>
      <c r="CG251" s="460"/>
      <c r="CH251" s="460"/>
      <c r="CI251" s="460"/>
      <c r="CJ251" s="460"/>
      <c r="CK251" s="460"/>
      <c r="CL251" s="460"/>
      <c r="CM251" s="460"/>
      <c r="CN251" s="460"/>
      <c r="CO251" s="460"/>
      <c r="CP251" s="460"/>
      <c r="CQ251" s="460"/>
      <c r="CR251" s="460"/>
      <c r="CS251" s="460"/>
      <c r="CT251" s="460"/>
      <c r="CU251" s="460"/>
      <c r="CV251" s="460"/>
      <c r="CW251" s="460"/>
      <c r="CX251" s="460"/>
      <c r="CY251" s="460"/>
      <c r="CZ251" s="460"/>
      <c r="DA251" s="460"/>
      <c r="DB251" s="460"/>
      <c r="DC251" s="460"/>
      <c r="DD251" s="460"/>
      <c r="DE251" s="419"/>
      <c r="DF251" s="419"/>
      <c r="DG251" s="419"/>
      <c r="DH251" s="419"/>
      <c r="DI251" s="419"/>
      <c r="DJ251" s="419"/>
      <c r="DK251" s="368"/>
      <c r="DL251" s="459"/>
      <c r="DM251" s="459"/>
      <c r="DN251" s="459"/>
      <c r="DO251" s="459"/>
      <c r="DP251" s="459"/>
      <c r="DQ251" s="87"/>
      <c r="DR251" s="87"/>
      <c r="DS251" s="105"/>
      <c r="DT251" s="105"/>
      <c r="DU251" s="105"/>
      <c r="DV251" s="105"/>
      <c r="DW251" s="105"/>
      <c r="DX251" s="105"/>
      <c r="DY251" s="105"/>
      <c r="DZ251" s="87"/>
      <c r="EA251" s="87"/>
      <c r="EB251" s="368"/>
      <c r="EC251" s="459"/>
      <c r="ED251" s="459"/>
      <c r="EE251" s="459"/>
      <c r="EF251" s="459"/>
      <c r="EG251" s="459"/>
      <c r="EH251" s="99"/>
      <c r="EI251" s="99"/>
      <c r="EJ251" s="99"/>
      <c r="EK251" s="99"/>
      <c r="EL251" s="99"/>
      <c r="EM251" s="461"/>
      <c r="EN251" s="461"/>
      <c r="EO251" s="461"/>
      <c r="EP251" s="461"/>
      <c r="EQ251" s="461"/>
      <c r="ER251" s="461"/>
      <c r="ES251" s="461"/>
      <c r="ET251" s="461"/>
      <c r="EU251" s="461"/>
      <c r="EV251" s="461"/>
      <c r="EW251" s="461"/>
      <c r="EX251" s="461"/>
      <c r="EY251" s="461"/>
      <c r="EZ251" s="461"/>
      <c r="FA251" s="461"/>
      <c r="FB251" s="461"/>
      <c r="FC251" s="461"/>
      <c r="FD251" s="461"/>
      <c r="FE251" s="461"/>
      <c r="FF251" s="460"/>
      <c r="FG251" s="458"/>
      <c r="FH251" s="458"/>
      <c r="FI251" s="458"/>
      <c r="FJ251" s="458"/>
      <c r="FK251" s="419"/>
      <c r="FL251" s="419"/>
      <c r="FM251" s="419"/>
      <c r="FN251" s="419"/>
      <c r="FO251" s="419"/>
      <c r="FP251" s="419"/>
      <c r="FQ251" s="314"/>
      <c r="FR251" s="314"/>
      <c r="FS251" s="105"/>
      <c r="FT251" s="105"/>
      <c r="FU251" s="105"/>
      <c r="FV251" s="105"/>
      <c r="FW251" s="105"/>
      <c r="FX251" s="105"/>
      <c r="FY251" s="105"/>
      <c r="FZ251" s="87"/>
      <c r="GA251" s="87"/>
      <c r="GC251" s="714"/>
      <c r="GD251" s="714"/>
      <c r="GE251" s="714"/>
      <c r="GK251" s="714"/>
      <c r="GL251" s="714"/>
    </row>
    <row r="252" spans="1:198" ht="9" customHeight="1">
      <c r="A252" s="87"/>
      <c r="B252" s="2145" t="str">
        <f>IF(Race="","",IF(NOT(ISERROR(GL252)),MID(ForcePowersTaken,GL248+1,GL252-GL248-1),""))</f>
        <v/>
      </c>
      <c r="C252" s="2145"/>
      <c r="D252" s="2145"/>
      <c r="E252" s="2145"/>
      <c r="F252" s="2145"/>
      <c r="G252" s="2145"/>
      <c r="H252" s="2145"/>
      <c r="I252" s="2145"/>
      <c r="J252" s="2145"/>
      <c r="K252" s="2145"/>
      <c r="L252" s="2145"/>
      <c r="M252" s="2145"/>
      <c r="N252" s="2145"/>
      <c r="O252" s="2145"/>
      <c r="P252" s="2145"/>
      <c r="Q252" s="2145"/>
      <c r="R252" s="2145"/>
      <c r="S252" s="2145"/>
      <c r="T252" s="2145"/>
      <c r="U252" s="2145"/>
      <c r="V252" s="2145"/>
      <c r="W252" s="2145"/>
      <c r="X252" s="2145"/>
      <c r="Y252" s="2145"/>
      <c r="Z252" s="2145"/>
      <c r="AA252" s="2145"/>
      <c r="AB252" s="2145"/>
      <c r="AC252" s="2145"/>
      <c r="AD252" s="2145"/>
      <c r="AE252" s="2145"/>
      <c r="AF252" s="2145"/>
      <c r="AG252" s="2145"/>
      <c r="AH252" s="2145"/>
      <c r="AI252" s="2145"/>
      <c r="AJ252" s="2145"/>
      <c r="AK252" s="2145"/>
      <c r="AL252" s="301"/>
      <c r="AM252" s="2145" t="str">
        <f>IF(Race="","",IF(NOT(ISERROR(GP252)),MID(ForcePowersTaken,GP248+1,GP252-GP248-1),""))</f>
        <v/>
      </c>
      <c r="AN252" s="2145"/>
      <c r="AO252" s="2145"/>
      <c r="AP252" s="2145"/>
      <c r="AQ252" s="2145"/>
      <c r="AR252" s="2145"/>
      <c r="AS252" s="2145"/>
      <c r="AT252" s="2145"/>
      <c r="AU252" s="2145"/>
      <c r="AV252" s="2145"/>
      <c r="AW252" s="2145"/>
      <c r="AX252" s="2145"/>
      <c r="AY252" s="2145"/>
      <c r="AZ252" s="2145"/>
      <c r="BA252" s="2145"/>
      <c r="BB252" s="2145"/>
      <c r="BC252" s="2145"/>
      <c r="BD252" s="2145"/>
      <c r="BE252" s="2145"/>
      <c r="BF252" s="2145"/>
      <c r="BG252" s="2145"/>
      <c r="BH252" s="2145"/>
      <c r="BI252" s="2145"/>
      <c r="BJ252" s="2145"/>
      <c r="BK252" s="2145"/>
      <c r="BL252" s="2145"/>
      <c r="BM252" s="2145"/>
      <c r="BN252" s="2145"/>
      <c r="BO252" s="2145"/>
      <c r="BP252" s="2145"/>
      <c r="BQ252" s="2145"/>
      <c r="BR252" s="2145"/>
      <c r="BS252" s="2145"/>
      <c r="BT252" s="2145"/>
      <c r="BU252" s="2145"/>
      <c r="BV252" s="2145"/>
      <c r="BW252" s="301"/>
      <c r="BX252" s="301"/>
      <c r="BY252" s="301"/>
      <c r="BZ252" s="301"/>
      <c r="CA252" s="87"/>
      <c r="CB252" s="2145" t="str">
        <f>IF(Race="","",IF(NOT(ISERROR(GD252)),MID(TalentsTakenList,GD248+1,GD252-GD248-1),""))</f>
        <v/>
      </c>
      <c r="CC252" s="2145"/>
      <c r="CD252" s="2145"/>
      <c r="CE252" s="2145"/>
      <c r="CF252" s="2145"/>
      <c r="CG252" s="2145"/>
      <c r="CH252" s="2145"/>
      <c r="CI252" s="2145"/>
      <c r="CJ252" s="2145"/>
      <c r="CK252" s="2145"/>
      <c r="CL252" s="2145"/>
      <c r="CM252" s="2145"/>
      <c r="CN252" s="2145"/>
      <c r="CO252" s="2145"/>
      <c r="CP252" s="2145"/>
      <c r="CQ252" s="2145"/>
      <c r="CR252" s="2145"/>
      <c r="CS252" s="2145"/>
      <c r="CT252" s="2145"/>
      <c r="CU252" s="2145"/>
      <c r="CV252" s="2145"/>
      <c r="CW252" s="2145"/>
      <c r="CX252" s="2145"/>
      <c r="CY252" s="2145"/>
      <c r="CZ252" s="2145"/>
      <c r="DA252" s="2145"/>
      <c r="DB252" s="2145"/>
      <c r="DC252" s="2145"/>
      <c r="DD252" s="2145"/>
      <c r="DE252" s="2145"/>
      <c r="DF252" s="2145"/>
      <c r="DG252" s="2145"/>
      <c r="DH252" s="2145"/>
      <c r="DI252" s="2145"/>
      <c r="DJ252" s="2145"/>
      <c r="DK252" s="2145"/>
      <c r="DL252" s="2145"/>
      <c r="DM252" s="2145"/>
      <c r="DN252" s="2145"/>
      <c r="DO252" s="2145"/>
      <c r="DP252" s="2145"/>
      <c r="DQ252" s="87"/>
      <c r="DR252" s="87"/>
      <c r="DS252" s="2147" t="str">
        <f>IF(Race="","",IF(NOT(ISERROR(GE252)),MID(TalentsTakenListPageRef,GE248+1,GE252-GE248-1),""))</f>
        <v/>
      </c>
      <c r="DT252" s="2147"/>
      <c r="DU252" s="2147"/>
      <c r="DV252" s="2147"/>
      <c r="DW252" s="2147"/>
      <c r="DX252" s="2147"/>
      <c r="DY252" s="2147"/>
      <c r="DZ252" s="87"/>
      <c r="EA252" s="87"/>
      <c r="EB252" s="2145" t="str">
        <f>IF(Race="","",IF(NOT(ISERROR(GH252)),MID(TalentsTakenList,GH248+1,GH252-GH248-1),""))</f>
        <v/>
      </c>
      <c r="EC252" s="2145"/>
      <c r="ED252" s="2145"/>
      <c r="EE252" s="2145"/>
      <c r="EF252" s="2145"/>
      <c r="EG252" s="2145"/>
      <c r="EH252" s="2145"/>
      <c r="EI252" s="2145"/>
      <c r="EJ252" s="2145"/>
      <c r="EK252" s="2145"/>
      <c r="EL252" s="2145"/>
      <c r="EM252" s="2145"/>
      <c r="EN252" s="2145"/>
      <c r="EO252" s="2145"/>
      <c r="EP252" s="2145"/>
      <c r="EQ252" s="2145"/>
      <c r="ER252" s="2145"/>
      <c r="ES252" s="2145"/>
      <c r="ET252" s="2145"/>
      <c r="EU252" s="2145"/>
      <c r="EV252" s="2145"/>
      <c r="EW252" s="2145"/>
      <c r="EX252" s="2145"/>
      <c r="EY252" s="2145"/>
      <c r="EZ252" s="2145"/>
      <c r="FA252" s="2145"/>
      <c r="FB252" s="2145"/>
      <c r="FC252" s="2145"/>
      <c r="FD252" s="2145"/>
      <c r="FE252" s="2145"/>
      <c r="FF252" s="2145"/>
      <c r="FG252" s="2145"/>
      <c r="FH252" s="2145"/>
      <c r="FI252" s="2145"/>
      <c r="FJ252" s="2145"/>
      <c r="FK252" s="2145"/>
      <c r="FL252" s="2145"/>
      <c r="FM252" s="2145"/>
      <c r="FN252" s="2145"/>
      <c r="FO252" s="2145"/>
      <c r="FP252" s="2145"/>
      <c r="FQ252" s="87"/>
      <c r="FR252" s="87"/>
      <c r="FS252" s="2147" t="str">
        <f>IF(Race="","",IF(NOT(ISERROR(GI252)),MID(TalentsTakenListPageRef,GI248+1,GI252-GI248-1),""))</f>
        <v/>
      </c>
      <c r="FT252" s="2147"/>
      <c r="FU252" s="2147"/>
      <c r="FV252" s="2147"/>
      <c r="FW252" s="2147"/>
      <c r="FX252" s="2147"/>
      <c r="FY252" s="2147"/>
      <c r="FZ252" s="87"/>
      <c r="GA252" s="87"/>
      <c r="GC252" s="1853">
        <f>GC248+1</f>
        <v>6</v>
      </c>
      <c r="GD252" s="1853" t="e">
        <f>FIND(";",TalentsTakenList,GD248+1)</f>
        <v>#VALUE!</v>
      </c>
      <c r="GE252" s="1853" t="e">
        <f>FIND(";",TalentsTakenListPageRef,GE248+1)</f>
        <v>#VALUE!</v>
      </c>
      <c r="GG252" s="1853">
        <f>GG248+1</f>
        <v>13</v>
      </c>
      <c r="GH252" s="1853" t="e">
        <f>FIND(";",TalentsTakenList,GH248+1)</f>
        <v>#VALUE!</v>
      </c>
      <c r="GI252" s="1853" t="e">
        <f>FIND(";",TalentsTakenListPageRef,GI248+1)</f>
        <v>#VALUE!</v>
      </c>
      <c r="GK252" s="1853">
        <f>GK248+1</f>
        <v>6</v>
      </c>
      <c r="GL252" s="1853" t="e">
        <f>FIND(";",ForcePowersTaken,GL248+1)</f>
        <v>#VALUE!</v>
      </c>
      <c r="GO252" s="1853">
        <f>GO248+1</f>
        <v>17</v>
      </c>
      <c r="GP252" s="1853" t="e">
        <f>FIND(";",ForcePowersTaken,GP248+1)</f>
        <v>#VALUE!</v>
      </c>
    </row>
    <row r="253" spans="1:198" ht="9" customHeight="1">
      <c r="A253" s="87"/>
      <c r="B253" s="2145"/>
      <c r="C253" s="2145"/>
      <c r="D253" s="2145"/>
      <c r="E253" s="2145"/>
      <c r="F253" s="2145"/>
      <c r="G253" s="2145"/>
      <c r="H253" s="2145"/>
      <c r="I253" s="2145"/>
      <c r="J253" s="2145"/>
      <c r="K253" s="2145"/>
      <c r="L253" s="2145"/>
      <c r="M253" s="2145"/>
      <c r="N253" s="2145"/>
      <c r="O253" s="2145"/>
      <c r="P253" s="2145"/>
      <c r="Q253" s="2145"/>
      <c r="R253" s="2145"/>
      <c r="S253" s="2145"/>
      <c r="T253" s="2145"/>
      <c r="U253" s="2145"/>
      <c r="V253" s="2145"/>
      <c r="W253" s="2145"/>
      <c r="X253" s="2145"/>
      <c r="Y253" s="2145"/>
      <c r="Z253" s="2145"/>
      <c r="AA253" s="2145"/>
      <c r="AB253" s="2145"/>
      <c r="AC253" s="2145"/>
      <c r="AD253" s="2145"/>
      <c r="AE253" s="2145"/>
      <c r="AF253" s="2145"/>
      <c r="AG253" s="2145"/>
      <c r="AH253" s="2145"/>
      <c r="AI253" s="2145"/>
      <c r="AJ253" s="2145"/>
      <c r="AK253" s="2145"/>
      <c r="AL253" s="384"/>
      <c r="AM253" s="2145"/>
      <c r="AN253" s="2145"/>
      <c r="AO253" s="2145"/>
      <c r="AP253" s="2145"/>
      <c r="AQ253" s="2145"/>
      <c r="AR253" s="2145"/>
      <c r="AS253" s="2145"/>
      <c r="AT253" s="2145"/>
      <c r="AU253" s="2145"/>
      <c r="AV253" s="2145"/>
      <c r="AW253" s="2145"/>
      <c r="AX253" s="2145"/>
      <c r="AY253" s="2145"/>
      <c r="AZ253" s="2145"/>
      <c r="BA253" s="2145"/>
      <c r="BB253" s="2145"/>
      <c r="BC253" s="2145"/>
      <c r="BD253" s="2145"/>
      <c r="BE253" s="2145"/>
      <c r="BF253" s="2145"/>
      <c r="BG253" s="2145"/>
      <c r="BH253" s="2145"/>
      <c r="BI253" s="2145"/>
      <c r="BJ253" s="2145"/>
      <c r="BK253" s="2145"/>
      <c r="BL253" s="2145"/>
      <c r="BM253" s="2145"/>
      <c r="BN253" s="2145"/>
      <c r="BO253" s="2145"/>
      <c r="BP253" s="2145"/>
      <c r="BQ253" s="2145"/>
      <c r="BR253" s="2145"/>
      <c r="BS253" s="2145"/>
      <c r="BT253" s="2145"/>
      <c r="BU253" s="2145"/>
      <c r="BV253" s="2145"/>
      <c r="BW253" s="384"/>
      <c r="BX253" s="384"/>
      <c r="BY253" s="384"/>
      <c r="BZ253" s="384"/>
      <c r="CA253" s="87"/>
      <c r="CB253" s="2145"/>
      <c r="CC253" s="2145"/>
      <c r="CD253" s="2145"/>
      <c r="CE253" s="2145"/>
      <c r="CF253" s="2145"/>
      <c r="CG253" s="2145"/>
      <c r="CH253" s="2145"/>
      <c r="CI253" s="2145"/>
      <c r="CJ253" s="2145"/>
      <c r="CK253" s="2145"/>
      <c r="CL253" s="2145"/>
      <c r="CM253" s="2145"/>
      <c r="CN253" s="2145"/>
      <c r="CO253" s="2145"/>
      <c r="CP253" s="2145"/>
      <c r="CQ253" s="2145"/>
      <c r="CR253" s="2145"/>
      <c r="CS253" s="2145"/>
      <c r="CT253" s="2145"/>
      <c r="CU253" s="2145"/>
      <c r="CV253" s="2145"/>
      <c r="CW253" s="2145"/>
      <c r="CX253" s="2145"/>
      <c r="CY253" s="2145"/>
      <c r="CZ253" s="2145"/>
      <c r="DA253" s="2145"/>
      <c r="DB253" s="2145"/>
      <c r="DC253" s="2145"/>
      <c r="DD253" s="2145"/>
      <c r="DE253" s="2145"/>
      <c r="DF253" s="2145"/>
      <c r="DG253" s="2145"/>
      <c r="DH253" s="2145"/>
      <c r="DI253" s="2145"/>
      <c r="DJ253" s="2145"/>
      <c r="DK253" s="2145"/>
      <c r="DL253" s="2145"/>
      <c r="DM253" s="2145"/>
      <c r="DN253" s="2145"/>
      <c r="DO253" s="2145"/>
      <c r="DP253" s="2145"/>
      <c r="DQ253" s="87"/>
      <c r="DR253" s="87"/>
      <c r="DS253" s="2147"/>
      <c r="DT253" s="2147"/>
      <c r="DU253" s="2147"/>
      <c r="DV253" s="2147"/>
      <c r="DW253" s="2147"/>
      <c r="DX253" s="2147"/>
      <c r="DY253" s="2147"/>
      <c r="DZ253" s="87"/>
      <c r="EA253" s="87"/>
      <c r="EB253" s="2145"/>
      <c r="EC253" s="2145"/>
      <c r="ED253" s="2145"/>
      <c r="EE253" s="2145"/>
      <c r="EF253" s="2145"/>
      <c r="EG253" s="2145"/>
      <c r="EH253" s="2145"/>
      <c r="EI253" s="2145"/>
      <c r="EJ253" s="2145"/>
      <c r="EK253" s="2145"/>
      <c r="EL253" s="2145"/>
      <c r="EM253" s="2145"/>
      <c r="EN253" s="2145"/>
      <c r="EO253" s="2145"/>
      <c r="EP253" s="2145"/>
      <c r="EQ253" s="2145"/>
      <c r="ER253" s="2145"/>
      <c r="ES253" s="2145"/>
      <c r="ET253" s="2145"/>
      <c r="EU253" s="2145"/>
      <c r="EV253" s="2145"/>
      <c r="EW253" s="2145"/>
      <c r="EX253" s="2145"/>
      <c r="EY253" s="2145"/>
      <c r="EZ253" s="2145"/>
      <c r="FA253" s="2145"/>
      <c r="FB253" s="2145"/>
      <c r="FC253" s="2145"/>
      <c r="FD253" s="2145"/>
      <c r="FE253" s="2145"/>
      <c r="FF253" s="2145"/>
      <c r="FG253" s="2145"/>
      <c r="FH253" s="2145"/>
      <c r="FI253" s="2145"/>
      <c r="FJ253" s="2145"/>
      <c r="FK253" s="2145"/>
      <c r="FL253" s="2145"/>
      <c r="FM253" s="2145"/>
      <c r="FN253" s="2145"/>
      <c r="FO253" s="2145"/>
      <c r="FP253" s="2145"/>
      <c r="FQ253" s="87"/>
      <c r="FR253" s="87"/>
      <c r="FS253" s="2147"/>
      <c r="FT253" s="2147"/>
      <c r="FU253" s="2147"/>
      <c r="FV253" s="2147"/>
      <c r="FW253" s="2147"/>
      <c r="FX253" s="2147"/>
      <c r="FY253" s="2147"/>
      <c r="FZ253" s="87"/>
      <c r="GA253" s="87"/>
      <c r="GC253" s="1853"/>
      <c r="GD253" s="1853"/>
      <c r="GE253" s="1853"/>
      <c r="GG253" s="1853"/>
      <c r="GH253" s="1853"/>
      <c r="GI253" s="1853"/>
      <c r="GK253" s="1853"/>
      <c r="GL253" s="1853"/>
      <c r="GO253" s="1853"/>
      <c r="GP253" s="1853"/>
    </row>
    <row r="254" spans="1:198" ht="9" customHeight="1" thickBot="1">
      <c r="A254" s="87"/>
      <c r="B254" s="2146"/>
      <c r="C254" s="2146"/>
      <c r="D254" s="2146"/>
      <c r="E254" s="2146"/>
      <c r="F254" s="2146"/>
      <c r="G254" s="2146"/>
      <c r="H254" s="2146"/>
      <c r="I254" s="2146"/>
      <c r="J254" s="2146"/>
      <c r="K254" s="2146"/>
      <c r="L254" s="2146"/>
      <c r="M254" s="2146"/>
      <c r="N254" s="2146"/>
      <c r="O254" s="2146"/>
      <c r="P254" s="2146"/>
      <c r="Q254" s="2146"/>
      <c r="R254" s="2146"/>
      <c r="S254" s="2146"/>
      <c r="T254" s="2146"/>
      <c r="U254" s="2146"/>
      <c r="V254" s="2146"/>
      <c r="W254" s="2146"/>
      <c r="X254" s="2146"/>
      <c r="Y254" s="2146"/>
      <c r="Z254" s="2146"/>
      <c r="AA254" s="2146"/>
      <c r="AB254" s="2146"/>
      <c r="AC254" s="2146"/>
      <c r="AD254" s="2146"/>
      <c r="AE254" s="2146"/>
      <c r="AF254" s="2146"/>
      <c r="AG254" s="2146"/>
      <c r="AH254" s="2146"/>
      <c r="AI254" s="2146"/>
      <c r="AJ254" s="2146"/>
      <c r="AK254" s="2146"/>
      <c r="AL254" s="384"/>
      <c r="AM254" s="2146"/>
      <c r="AN254" s="2146"/>
      <c r="AO254" s="2146"/>
      <c r="AP254" s="2146"/>
      <c r="AQ254" s="2146"/>
      <c r="AR254" s="2146"/>
      <c r="AS254" s="2146"/>
      <c r="AT254" s="2146"/>
      <c r="AU254" s="2146"/>
      <c r="AV254" s="2146"/>
      <c r="AW254" s="2146"/>
      <c r="AX254" s="2146"/>
      <c r="AY254" s="2146"/>
      <c r="AZ254" s="2146"/>
      <c r="BA254" s="2146"/>
      <c r="BB254" s="2146"/>
      <c r="BC254" s="2146"/>
      <c r="BD254" s="2146"/>
      <c r="BE254" s="2146"/>
      <c r="BF254" s="2146"/>
      <c r="BG254" s="2146"/>
      <c r="BH254" s="2146"/>
      <c r="BI254" s="2146"/>
      <c r="BJ254" s="2146"/>
      <c r="BK254" s="2146"/>
      <c r="BL254" s="2146"/>
      <c r="BM254" s="2146"/>
      <c r="BN254" s="2146"/>
      <c r="BO254" s="2146"/>
      <c r="BP254" s="2146"/>
      <c r="BQ254" s="2146"/>
      <c r="BR254" s="2146"/>
      <c r="BS254" s="2146"/>
      <c r="BT254" s="2146"/>
      <c r="BU254" s="2146"/>
      <c r="BV254" s="2146"/>
      <c r="BW254" s="384"/>
      <c r="BX254" s="384"/>
      <c r="BY254" s="384"/>
      <c r="BZ254" s="384"/>
      <c r="CA254" s="87"/>
      <c r="CB254" s="2146"/>
      <c r="CC254" s="2146"/>
      <c r="CD254" s="2146"/>
      <c r="CE254" s="2146"/>
      <c r="CF254" s="2146"/>
      <c r="CG254" s="2146"/>
      <c r="CH254" s="2146"/>
      <c r="CI254" s="2146"/>
      <c r="CJ254" s="2146"/>
      <c r="CK254" s="2146"/>
      <c r="CL254" s="2146"/>
      <c r="CM254" s="2146"/>
      <c r="CN254" s="2146"/>
      <c r="CO254" s="2146"/>
      <c r="CP254" s="2146"/>
      <c r="CQ254" s="2146"/>
      <c r="CR254" s="2146"/>
      <c r="CS254" s="2146"/>
      <c r="CT254" s="2146"/>
      <c r="CU254" s="2146"/>
      <c r="CV254" s="2146"/>
      <c r="CW254" s="2146"/>
      <c r="CX254" s="2146"/>
      <c r="CY254" s="2146"/>
      <c r="CZ254" s="2146"/>
      <c r="DA254" s="2146"/>
      <c r="DB254" s="2146"/>
      <c r="DC254" s="2146"/>
      <c r="DD254" s="2146"/>
      <c r="DE254" s="2146"/>
      <c r="DF254" s="2146"/>
      <c r="DG254" s="2146"/>
      <c r="DH254" s="2146"/>
      <c r="DI254" s="2146"/>
      <c r="DJ254" s="2146"/>
      <c r="DK254" s="2146"/>
      <c r="DL254" s="2146"/>
      <c r="DM254" s="2146"/>
      <c r="DN254" s="2146"/>
      <c r="DO254" s="2146"/>
      <c r="DP254" s="2146"/>
      <c r="DQ254" s="87"/>
      <c r="DR254" s="87"/>
      <c r="DS254" s="2148"/>
      <c r="DT254" s="2148"/>
      <c r="DU254" s="2148"/>
      <c r="DV254" s="2148"/>
      <c r="DW254" s="2148"/>
      <c r="DX254" s="2148"/>
      <c r="DY254" s="2148"/>
      <c r="DZ254" s="87"/>
      <c r="EA254" s="87"/>
      <c r="EB254" s="2146"/>
      <c r="EC254" s="2146"/>
      <c r="ED254" s="2146"/>
      <c r="EE254" s="2146"/>
      <c r="EF254" s="2146"/>
      <c r="EG254" s="2146"/>
      <c r="EH254" s="2146"/>
      <c r="EI254" s="2146"/>
      <c r="EJ254" s="2146"/>
      <c r="EK254" s="2146"/>
      <c r="EL254" s="2146"/>
      <c r="EM254" s="2146"/>
      <c r="EN254" s="2146"/>
      <c r="EO254" s="2146"/>
      <c r="EP254" s="2146"/>
      <c r="EQ254" s="2146"/>
      <c r="ER254" s="2146"/>
      <c r="ES254" s="2146"/>
      <c r="ET254" s="2146"/>
      <c r="EU254" s="2146"/>
      <c r="EV254" s="2146"/>
      <c r="EW254" s="2146"/>
      <c r="EX254" s="2146"/>
      <c r="EY254" s="2146"/>
      <c r="EZ254" s="2146"/>
      <c r="FA254" s="2146"/>
      <c r="FB254" s="2146"/>
      <c r="FC254" s="2146"/>
      <c r="FD254" s="2146"/>
      <c r="FE254" s="2146"/>
      <c r="FF254" s="2146"/>
      <c r="FG254" s="2146"/>
      <c r="FH254" s="2146"/>
      <c r="FI254" s="2146"/>
      <c r="FJ254" s="2146"/>
      <c r="FK254" s="2146"/>
      <c r="FL254" s="2146"/>
      <c r="FM254" s="2146"/>
      <c r="FN254" s="2146"/>
      <c r="FO254" s="2146"/>
      <c r="FP254" s="2146"/>
      <c r="FQ254" s="87"/>
      <c r="FR254" s="87"/>
      <c r="FS254" s="2148"/>
      <c r="FT254" s="2148"/>
      <c r="FU254" s="2148"/>
      <c r="FV254" s="2148"/>
      <c r="FW254" s="2148"/>
      <c r="FX254" s="2148"/>
      <c r="FY254" s="2148"/>
      <c r="FZ254" s="87"/>
      <c r="GA254" s="87"/>
      <c r="GC254" s="1853"/>
      <c r="GD254" s="1853"/>
      <c r="GE254" s="1853"/>
      <c r="GG254" s="1853"/>
      <c r="GH254" s="1853"/>
      <c r="GI254" s="1853"/>
      <c r="GK254" s="1853"/>
      <c r="GL254" s="1853"/>
      <c r="GO254" s="1853"/>
      <c r="GP254" s="1853"/>
    </row>
    <row r="255" spans="1:198" ht="9" customHeight="1">
      <c r="A255" s="87"/>
      <c r="B255" s="87"/>
      <c r="C255" s="87"/>
      <c r="D255" s="384"/>
      <c r="E255" s="384"/>
      <c r="F255" s="384"/>
      <c r="G255" s="384"/>
      <c r="H255" s="384"/>
      <c r="I255" s="384"/>
      <c r="J255" s="384"/>
      <c r="K255" s="384"/>
      <c r="L255" s="384"/>
      <c r="M255" s="384"/>
      <c r="N255" s="384"/>
      <c r="O255" s="384"/>
      <c r="P255" s="384"/>
      <c r="Q255" s="384"/>
      <c r="R255" s="384"/>
      <c r="S255" s="384"/>
      <c r="T255" s="384"/>
      <c r="U255" s="384"/>
      <c r="V255" s="384"/>
      <c r="W255" s="384"/>
      <c r="X255" s="384"/>
      <c r="Y255" s="384"/>
      <c r="Z255" s="384"/>
      <c r="AA255" s="384"/>
      <c r="AB255" s="384"/>
      <c r="AC255" s="384"/>
      <c r="AD255" s="384"/>
      <c r="AE255" s="384"/>
      <c r="AF255" s="384"/>
      <c r="AG255" s="384"/>
      <c r="AH255" s="384"/>
      <c r="AI255" s="384"/>
      <c r="AJ255" s="384"/>
      <c r="AK255" s="384"/>
      <c r="AL255" s="384"/>
      <c r="AM255" s="87"/>
      <c r="AN255" s="87"/>
      <c r="AO255" s="87"/>
      <c r="AP255" s="87"/>
      <c r="AQ255" s="87"/>
      <c r="AR255" s="87"/>
      <c r="AS255" s="87"/>
      <c r="AT255" s="384"/>
      <c r="AU255" s="384"/>
      <c r="AV255" s="384"/>
      <c r="AW255" s="384"/>
      <c r="AX255" s="384"/>
      <c r="AY255" s="384"/>
      <c r="AZ255" s="384"/>
      <c r="BA255" s="384"/>
      <c r="BB255" s="384"/>
      <c r="BC255" s="384"/>
      <c r="BD255" s="384"/>
      <c r="BE255" s="384"/>
      <c r="BF255" s="384"/>
      <c r="BG255" s="384"/>
      <c r="BH255" s="384"/>
      <c r="BI255" s="384"/>
      <c r="BJ255" s="384"/>
      <c r="BK255" s="384"/>
      <c r="BL255" s="384"/>
      <c r="BM255" s="384"/>
      <c r="BN255" s="384"/>
      <c r="BO255" s="384"/>
      <c r="BP255" s="384"/>
      <c r="BQ255" s="384"/>
      <c r="BR255" s="384"/>
      <c r="BS255" s="384"/>
      <c r="BT255" s="384"/>
      <c r="BU255" s="384"/>
      <c r="BV255" s="384"/>
      <c r="BW255" s="384"/>
      <c r="BX255" s="384"/>
      <c r="BY255" s="384"/>
      <c r="BZ255" s="384"/>
      <c r="CA255" s="87"/>
      <c r="CB255" s="460"/>
      <c r="CC255" s="460"/>
      <c r="CD255" s="460"/>
      <c r="CE255" s="460"/>
      <c r="CF255" s="460"/>
      <c r="CG255" s="460"/>
      <c r="CH255" s="460"/>
      <c r="CI255" s="460"/>
      <c r="CJ255" s="460"/>
      <c r="CK255" s="460"/>
      <c r="CL255" s="460"/>
      <c r="CM255" s="460"/>
      <c r="CN255" s="460"/>
      <c r="CO255" s="460"/>
      <c r="CP255" s="460"/>
      <c r="CQ255" s="460"/>
      <c r="CR255" s="460"/>
      <c r="CS255" s="460"/>
      <c r="CT255" s="460"/>
      <c r="CU255" s="460"/>
      <c r="CV255" s="460"/>
      <c r="CW255" s="460"/>
      <c r="CX255" s="460"/>
      <c r="CY255" s="460"/>
      <c r="CZ255" s="460"/>
      <c r="DA255" s="460"/>
      <c r="DB255" s="460"/>
      <c r="DC255" s="460"/>
      <c r="DD255" s="460"/>
      <c r="DE255" s="419"/>
      <c r="DF255" s="419"/>
      <c r="DG255" s="419"/>
      <c r="DH255" s="419"/>
      <c r="DI255" s="419"/>
      <c r="DJ255" s="419"/>
      <c r="DK255" s="368"/>
      <c r="DL255" s="459"/>
      <c r="DM255" s="459"/>
      <c r="DN255" s="459"/>
      <c r="DO255" s="459"/>
      <c r="DP255" s="459"/>
      <c r="DQ255" s="87"/>
      <c r="DR255" s="87"/>
      <c r="DS255" s="105"/>
      <c r="DT255" s="105"/>
      <c r="DU255" s="105"/>
      <c r="DV255" s="105"/>
      <c r="DW255" s="105"/>
      <c r="DX255" s="105"/>
      <c r="DY255" s="105"/>
      <c r="DZ255" s="87"/>
      <c r="EA255" s="87"/>
      <c r="EB255" s="368"/>
      <c r="EC255" s="459"/>
      <c r="ED255" s="459"/>
      <c r="EE255" s="459"/>
      <c r="EF255" s="459"/>
      <c r="EG255" s="459"/>
      <c r="EH255" s="99"/>
      <c r="EI255" s="99"/>
      <c r="EJ255" s="99"/>
      <c r="EK255" s="99"/>
      <c r="EL255" s="99"/>
      <c r="EM255" s="461"/>
      <c r="EN255" s="461"/>
      <c r="EO255" s="461"/>
      <c r="EP255" s="461"/>
      <c r="EQ255" s="461"/>
      <c r="ER255" s="461"/>
      <c r="ES255" s="461"/>
      <c r="ET255" s="461"/>
      <c r="EU255" s="461"/>
      <c r="EV255" s="461"/>
      <c r="EW255" s="461"/>
      <c r="EX255" s="461"/>
      <c r="EY255" s="461"/>
      <c r="EZ255" s="461"/>
      <c r="FA255" s="461"/>
      <c r="FB255" s="461"/>
      <c r="FC255" s="461"/>
      <c r="FD255" s="461"/>
      <c r="FE255" s="461"/>
      <c r="FF255" s="460"/>
      <c r="FG255" s="458"/>
      <c r="FH255" s="458"/>
      <c r="FI255" s="458"/>
      <c r="FJ255" s="458"/>
      <c r="FK255" s="419"/>
      <c r="FL255" s="419"/>
      <c r="FM255" s="419"/>
      <c r="FN255" s="419"/>
      <c r="FO255" s="419"/>
      <c r="FP255" s="419"/>
      <c r="FQ255" s="314"/>
      <c r="FR255" s="314"/>
      <c r="FS255" s="105"/>
      <c r="FT255" s="105"/>
      <c r="FU255" s="105"/>
      <c r="FV255" s="105"/>
      <c r="FW255" s="105"/>
      <c r="FX255" s="105"/>
      <c r="FY255" s="105"/>
      <c r="FZ255" s="87"/>
      <c r="GA255" s="87"/>
      <c r="GC255" s="714"/>
      <c r="GD255" s="714"/>
      <c r="GE255" s="714"/>
      <c r="GK255" s="714"/>
      <c r="GL255" s="714"/>
    </row>
    <row r="256" spans="1:198" ht="9" customHeight="1">
      <c r="A256" s="87"/>
      <c r="B256" s="2145" t="str">
        <f>IF(Race="","",IF(NOT(ISERROR(GL256)),MID(ForcePowersTaken,GL252+1,GL256-GL252-1),""))</f>
        <v/>
      </c>
      <c r="C256" s="2145"/>
      <c r="D256" s="2145"/>
      <c r="E256" s="2145"/>
      <c r="F256" s="2145"/>
      <c r="G256" s="2145"/>
      <c r="H256" s="2145"/>
      <c r="I256" s="2145"/>
      <c r="J256" s="2145"/>
      <c r="K256" s="2145"/>
      <c r="L256" s="2145"/>
      <c r="M256" s="2145"/>
      <c r="N256" s="2145"/>
      <c r="O256" s="2145"/>
      <c r="P256" s="2145"/>
      <c r="Q256" s="2145"/>
      <c r="R256" s="2145"/>
      <c r="S256" s="2145"/>
      <c r="T256" s="2145"/>
      <c r="U256" s="2145"/>
      <c r="V256" s="2145"/>
      <c r="W256" s="2145"/>
      <c r="X256" s="2145"/>
      <c r="Y256" s="2145"/>
      <c r="Z256" s="2145"/>
      <c r="AA256" s="2145"/>
      <c r="AB256" s="2145"/>
      <c r="AC256" s="2145"/>
      <c r="AD256" s="2145"/>
      <c r="AE256" s="2145"/>
      <c r="AF256" s="2145"/>
      <c r="AG256" s="2145"/>
      <c r="AH256" s="2145"/>
      <c r="AI256" s="2145"/>
      <c r="AJ256" s="2145"/>
      <c r="AK256" s="2145"/>
      <c r="AL256" s="301"/>
      <c r="AM256" s="2145" t="str">
        <f>IF(Race="","",IF(NOT(ISERROR(GP256)),MID(ForcePowersTaken,GP252+1,GP256-GP252-1),""))</f>
        <v/>
      </c>
      <c r="AN256" s="2145"/>
      <c r="AO256" s="2145"/>
      <c r="AP256" s="2145"/>
      <c r="AQ256" s="2145"/>
      <c r="AR256" s="2145"/>
      <c r="AS256" s="2145"/>
      <c r="AT256" s="2145"/>
      <c r="AU256" s="2145"/>
      <c r="AV256" s="2145"/>
      <c r="AW256" s="2145"/>
      <c r="AX256" s="2145"/>
      <c r="AY256" s="2145"/>
      <c r="AZ256" s="2145"/>
      <c r="BA256" s="2145"/>
      <c r="BB256" s="2145"/>
      <c r="BC256" s="2145"/>
      <c r="BD256" s="2145"/>
      <c r="BE256" s="2145"/>
      <c r="BF256" s="2145"/>
      <c r="BG256" s="2145"/>
      <c r="BH256" s="2145"/>
      <c r="BI256" s="2145"/>
      <c r="BJ256" s="2145"/>
      <c r="BK256" s="2145"/>
      <c r="BL256" s="2145"/>
      <c r="BM256" s="2145"/>
      <c r="BN256" s="2145"/>
      <c r="BO256" s="2145"/>
      <c r="BP256" s="2145"/>
      <c r="BQ256" s="2145"/>
      <c r="BR256" s="2145"/>
      <c r="BS256" s="2145"/>
      <c r="BT256" s="2145"/>
      <c r="BU256" s="2145"/>
      <c r="BV256" s="2145"/>
      <c r="BW256" s="301"/>
      <c r="BX256" s="301"/>
      <c r="BY256" s="301"/>
      <c r="BZ256" s="301"/>
      <c r="CA256" s="87"/>
      <c r="CB256" s="2145" t="str">
        <f>IF(Race="","",IF(NOT(ISERROR(GD256)),MID(TalentsTakenList,GD252+1,GD256-GD252-1),""))</f>
        <v/>
      </c>
      <c r="CC256" s="2145"/>
      <c r="CD256" s="2145"/>
      <c r="CE256" s="2145"/>
      <c r="CF256" s="2145"/>
      <c r="CG256" s="2145"/>
      <c r="CH256" s="2145"/>
      <c r="CI256" s="2145"/>
      <c r="CJ256" s="2145"/>
      <c r="CK256" s="2145"/>
      <c r="CL256" s="2145"/>
      <c r="CM256" s="2145"/>
      <c r="CN256" s="2145"/>
      <c r="CO256" s="2145"/>
      <c r="CP256" s="2145"/>
      <c r="CQ256" s="2145"/>
      <c r="CR256" s="2145"/>
      <c r="CS256" s="2145"/>
      <c r="CT256" s="2145"/>
      <c r="CU256" s="2145"/>
      <c r="CV256" s="2145"/>
      <c r="CW256" s="2145"/>
      <c r="CX256" s="2145"/>
      <c r="CY256" s="2145"/>
      <c r="CZ256" s="2145"/>
      <c r="DA256" s="2145"/>
      <c r="DB256" s="2145"/>
      <c r="DC256" s="2145"/>
      <c r="DD256" s="2145"/>
      <c r="DE256" s="2145"/>
      <c r="DF256" s="2145"/>
      <c r="DG256" s="2145"/>
      <c r="DH256" s="2145"/>
      <c r="DI256" s="2145"/>
      <c r="DJ256" s="2145"/>
      <c r="DK256" s="2145"/>
      <c r="DL256" s="2145"/>
      <c r="DM256" s="2145"/>
      <c r="DN256" s="2145"/>
      <c r="DO256" s="2145"/>
      <c r="DP256" s="2145"/>
      <c r="DQ256" s="87"/>
      <c r="DR256" s="87"/>
      <c r="DS256" s="2147" t="str">
        <f>IF(Race="","",IF(NOT(ISERROR(GE256)),MID(TalentsTakenListPageRef,GE252+1,GE256-GE252-1),""))</f>
        <v/>
      </c>
      <c r="DT256" s="2147"/>
      <c r="DU256" s="2147"/>
      <c r="DV256" s="2147"/>
      <c r="DW256" s="2147"/>
      <c r="DX256" s="2147"/>
      <c r="DY256" s="2147"/>
      <c r="DZ256" s="87"/>
      <c r="EA256" s="87"/>
      <c r="EB256" s="2145" t="str">
        <f>IF(Race="","",IF(NOT(ISERROR(GH256)),MID(TalentsTakenList,GH252+1,GH256-GH252-1),""))</f>
        <v/>
      </c>
      <c r="EC256" s="2145"/>
      <c r="ED256" s="2145"/>
      <c r="EE256" s="2145"/>
      <c r="EF256" s="2145"/>
      <c r="EG256" s="2145"/>
      <c r="EH256" s="2145"/>
      <c r="EI256" s="2145"/>
      <c r="EJ256" s="2145"/>
      <c r="EK256" s="2145"/>
      <c r="EL256" s="2145"/>
      <c r="EM256" s="2145"/>
      <c r="EN256" s="2145"/>
      <c r="EO256" s="2145"/>
      <c r="EP256" s="2145"/>
      <c r="EQ256" s="2145"/>
      <c r="ER256" s="2145"/>
      <c r="ES256" s="2145"/>
      <c r="ET256" s="2145"/>
      <c r="EU256" s="2145"/>
      <c r="EV256" s="2145"/>
      <c r="EW256" s="2145"/>
      <c r="EX256" s="2145"/>
      <c r="EY256" s="2145"/>
      <c r="EZ256" s="2145"/>
      <c r="FA256" s="2145"/>
      <c r="FB256" s="2145"/>
      <c r="FC256" s="2145"/>
      <c r="FD256" s="2145"/>
      <c r="FE256" s="2145"/>
      <c r="FF256" s="2145"/>
      <c r="FG256" s="2145"/>
      <c r="FH256" s="2145"/>
      <c r="FI256" s="2145"/>
      <c r="FJ256" s="2145"/>
      <c r="FK256" s="2145"/>
      <c r="FL256" s="2145"/>
      <c r="FM256" s="2145"/>
      <c r="FN256" s="2145"/>
      <c r="FO256" s="2145"/>
      <c r="FP256" s="2145"/>
      <c r="FQ256" s="87"/>
      <c r="FR256" s="87"/>
      <c r="FS256" s="2147" t="str">
        <f>IF(Race="","",IF(NOT(ISERROR(GI256)),MID(TalentsTakenListPageRef,GI252+1,GI256-GI252-1),""))</f>
        <v/>
      </c>
      <c r="FT256" s="2147"/>
      <c r="FU256" s="2147"/>
      <c r="FV256" s="2147"/>
      <c r="FW256" s="2147"/>
      <c r="FX256" s="2147"/>
      <c r="FY256" s="2147"/>
      <c r="FZ256" s="87"/>
      <c r="GA256" s="87"/>
      <c r="GC256" s="1853">
        <f>GC252+1</f>
        <v>7</v>
      </c>
      <c r="GD256" s="1853" t="e">
        <f>FIND(";",TalentsTakenList,GD252+1)</f>
        <v>#VALUE!</v>
      </c>
      <c r="GE256" s="1853" t="e">
        <f>FIND(";",TalentsTakenListPageRef,GE252+1)</f>
        <v>#VALUE!</v>
      </c>
      <c r="GG256" s="1853">
        <f>GG252+1</f>
        <v>14</v>
      </c>
      <c r="GH256" s="1853" t="e">
        <f>FIND(";",TalentsTakenList,GH252+1)</f>
        <v>#VALUE!</v>
      </c>
      <c r="GI256" s="1853" t="e">
        <f>FIND(";",TalentsTakenListPageRef,GI252+1)</f>
        <v>#VALUE!</v>
      </c>
      <c r="GK256" s="1853">
        <f>GK252+1</f>
        <v>7</v>
      </c>
      <c r="GL256" s="1853" t="e">
        <f>FIND(";",ForcePowersTaken,GL252+1)</f>
        <v>#VALUE!</v>
      </c>
      <c r="GO256" s="1853">
        <f>GO252+1</f>
        <v>18</v>
      </c>
      <c r="GP256" s="1853" t="e">
        <f>FIND(";",ForcePowersTaken,GP252+1)</f>
        <v>#VALUE!</v>
      </c>
    </row>
    <row r="257" spans="1:284" ht="9" customHeight="1">
      <c r="A257" s="87"/>
      <c r="B257" s="2145"/>
      <c r="C257" s="2145"/>
      <c r="D257" s="2145"/>
      <c r="E257" s="2145"/>
      <c r="F257" s="2145"/>
      <c r="G257" s="2145"/>
      <c r="H257" s="2145"/>
      <c r="I257" s="2145"/>
      <c r="J257" s="2145"/>
      <c r="K257" s="2145"/>
      <c r="L257" s="2145"/>
      <c r="M257" s="2145"/>
      <c r="N257" s="2145"/>
      <c r="O257" s="2145"/>
      <c r="P257" s="2145"/>
      <c r="Q257" s="2145"/>
      <c r="R257" s="2145"/>
      <c r="S257" s="2145"/>
      <c r="T257" s="2145"/>
      <c r="U257" s="2145"/>
      <c r="V257" s="2145"/>
      <c r="W257" s="2145"/>
      <c r="X257" s="2145"/>
      <c r="Y257" s="2145"/>
      <c r="Z257" s="2145"/>
      <c r="AA257" s="2145"/>
      <c r="AB257" s="2145"/>
      <c r="AC257" s="2145"/>
      <c r="AD257" s="2145"/>
      <c r="AE257" s="2145"/>
      <c r="AF257" s="2145"/>
      <c r="AG257" s="2145"/>
      <c r="AH257" s="2145"/>
      <c r="AI257" s="2145"/>
      <c r="AJ257" s="2145"/>
      <c r="AK257" s="2145"/>
      <c r="AL257" s="384"/>
      <c r="AM257" s="2145"/>
      <c r="AN257" s="2145"/>
      <c r="AO257" s="2145"/>
      <c r="AP257" s="2145"/>
      <c r="AQ257" s="2145"/>
      <c r="AR257" s="2145"/>
      <c r="AS257" s="2145"/>
      <c r="AT257" s="2145"/>
      <c r="AU257" s="2145"/>
      <c r="AV257" s="2145"/>
      <c r="AW257" s="2145"/>
      <c r="AX257" s="2145"/>
      <c r="AY257" s="2145"/>
      <c r="AZ257" s="2145"/>
      <c r="BA257" s="2145"/>
      <c r="BB257" s="2145"/>
      <c r="BC257" s="2145"/>
      <c r="BD257" s="2145"/>
      <c r="BE257" s="2145"/>
      <c r="BF257" s="2145"/>
      <c r="BG257" s="2145"/>
      <c r="BH257" s="2145"/>
      <c r="BI257" s="2145"/>
      <c r="BJ257" s="2145"/>
      <c r="BK257" s="2145"/>
      <c r="BL257" s="2145"/>
      <c r="BM257" s="2145"/>
      <c r="BN257" s="2145"/>
      <c r="BO257" s="2145"/>
      <c r="BP257" s="2145"/>
      <c r="BQ257" s="2145"/>
      <c r="BR257" s="2145"/>
      <c r="BS257" s="2145"/>
      <c r="BT257" s="2145"/>
      <c r="BU257" s="2145"/>
      <c r="BV257" s="2145"/>
      <c r="BW257" s="384"/>
      <c r="BX257" s="384"/>
      <c r="BY257" s="384"/>
      <c r="BZ257" s="384"/>
      <c r="CA257" s="87"/>
      <c r="CB257" s="2145"/>
      <c r="CC257" s="2145"/>
      <c r="CD257" s="2145"/>
      <c r="CE257" s="2145"/>
      <c r="CF257" s="2145"/>
      <c r="CG257" s="2145"/>
      <c r="CH257" s="2145"/>
      <c r="CI257" s="2145"/>
      <c r="CJ257" s="2145"/>
      <c r="CK257" s="2145"/>
      <c r="CL257" s="2145"/>
      <c r="CM257" s="2145"/>
      <c r="CN257" s="2145"/>
      <c r="CO257" s="2145"/>
      <c r="CP257" s="2145"/>
      <c r="CQ257" s="2145"/>
      <c r="CR257" s="2145"/>
      <c r="CS257" s="2145"/>
      <c r="CT257" s="2145"/>
      <c r="CU257" s="2145"/>
      <c r="CV257" s="2145"/>
      <c r="CW257" s="2145"/>
      <c r="CX257" s="2145"/>
      <c r="CY257" s="2145"/>
      <c r="CZ257" s="2145"/>
      <c r="DA257" s="2145"/>
      <c r="DB257" s="2145"/>
      <c r="DC257" s="2145"/>
      <c r="DD257" s="2145"/>
      <c r="DE257" s="2145"/>
      <c r="DF257" s="2145"/>
      <c r="DG257" s="2145"/>
      <c r="DH257" s="2145"/>
      <c r="DI257" s="2145"/>
      <c r="DJ257" s="2145"/>
      <c r="DK257" s="2145"/>
      <c r="DL257" s="2145"/>
      <c r="DM257" s="2145"/>
      <c r="DN257" s="2145"/>
      <c r="DO257" s="2145"/>
      <c r="DP257" s="2145"/>
      <c r="DQ257" s="87"/>
      <c r="DR257" s="87"/>
      <c r="DS257" s="2147"/>
      <c r="DT257" s="2147"/>
      <c r="DU257" s="2147"/>
      <c r="DV257" s="2147"/>
      <c r="DW257" s="2147"/>
      <c r="DX257" s="2147"/>
      <c r="DY257" s="2147"/>
      <c r="DZ257" s="87"/>
      <c r="EA257" s="87"/>
      <c r="EB257" s="2145"/>
      <c r="EC257" s="2145"/>
      <c r="ED257" s="2145"/>
      <c r="EE257" s="2145"/>
      <c r="EF257" s="2145"/>
      <c r="EG257" s="2145"/>
      <c r="EH257" s="2145"/>
      <c r="EI257" s="2145"/>
      <c r="EJ257" s="2145"/>
      <c r="EK257" s="2145"/>
      <c r="EL257" s="2145"/>
      <c r="EM257" s="2145"/>
      <c r="EN257" s="2145"/>
      <c r="EO257" s="2145"/>
      <c r="EP257" s="2145"/>
      <c r="EQ257" s="2145"/>
      <c r="ER257" s="2145"/>
      <c r="ES257" s="2145"/>
      <c r="ET257" s="2145"/>
      <c r="EU257" s="2145"/>
      <c r="EV257" s="2145"/>
      <c r="EW257" s="2145"/>
      <c r="EX257" s="2145"/>
      <c r="EY257" s="2145"/>
      <c r="EZ257" s="2145"/>
      <c r="FA257" s="2145"/>
      <c r="FB257" s="2145"/>
      <c r="FC257" s="2145"/>
      <c r="FD257" s="2145"/>
      <c r="FE257" s="2145"/>
      <c r="FF257" s="2145"/>
      <c r="FG257" s="2145"/>
      <c r="FH257" s="2145"/>
      <c r="FI257" s="2145"/>
      <c r="FJ257" s="2145"/>
      <c r="FK257" s="2145"/>
      <c r="FL257" s="2145"/>
      <c r="FM257" s="2145"/>
      <c r="FN257" s="2145"/>
      <c r="FO257" s="2145"/>
      <c r="FP257" s="2145"/>
      <c r="FQ257" s="87"/>
      <c r="FR257" s="87"/>
      <c r="FS257" s="2147"/>
      <c r="FT257" s="2147"/>
      <c r="FU257" s="2147"/>
      <c r="FV257" s="2147"/>
      <c r="FW257" s="2147"/>
      <c r="FX257" s="2147"/>
      <c r="FY257" s="2147"/>
      <c r="FZ257" s="87"/>
      <c r="GA257" s="87"/>
      <c r="GC257" s="1853"/>
      <c r="GD257" s="1853"/>
      <c r="GE257" s="1853"/>
      <c r="GG257" s="1853"/>
      <c r="GH257" s="1853"/>
      <c r="GI257" s="1853"/>
      <c r="GK257" s="1853"/>
      <c r="GL257" s="1853"/>
      <c r="GO257" s="1853"/>
      <c r="GP257" s="1853"/>
    </row>
    <row r="258" spans="1:284" ht="9" customHeight="1" thickBot="1">
      <c r="A258" s="87"/>
      <c r="B258" s="2146"/>
      <c r="C258" s="2146"/>
      <c r="D258" s="2146"/>
      <c r="E258" s="2146"/>
      <c r="F258" s="2146"/>
      <c r="G258" s="2146"/>
      <c r="H258" s="2146"/>
      <c r="I258" s="2146"/>
      <c r="J258" s="2146"/>
      <c r="K258" s="2146"/>
      <c r="L258" s="2146"/>
      <c r="M258" s="2146"/>
      <c r="N258" s="2146"/>
      <c r="O258" s="2146"/>
      <c r="P258" s="2146"/>
      <c r="Q258" s="2146"/>
      <c r="R258" s="2146"/>
      <c r="S258" s="2146"/>
      <c r="T258" s="2146"/>
      <c r="U258" s="2146"/>
      <c r="V258" s="2146"/>
      <c r="W258" s="2146"/>
      <c r="X258" s="2146"/>
      <c r="Y258" s="2146"/>
      <c r="Z258" s="2146"/>
      <c r="AA258" s="2146"/>
      <c r="AB258" s="2146"/>
      <c r="AC258" s="2146"/>
      <c r="AD258" s="2146"/>
      <c r="AE258" s="2146"/>
      <c r="AF258" s="2146"/>
      <c r="AG258" s="2146"/>
      <c r="AH258" s="2146"/>
      <c r="AI258" s="2146"/>
      <c r="AJ258" s="2146"/>
      <c r="AK258" s="2146"/>
      <c r="AL258" s="384"/>
      <c r="AM258" s="2146"/>
      <c r="AN258" s="2146"/>
      <c r="AO258" s="2146"/>
      <c r="AP258" s="2146"/>
      <c r="AQ258" s="2146"/>
      <c r="AR258" s="2146"/>
      <c r="AS258" s="2146"/>
      <c r="AT258" s="2146"/>
      <c r="AU258" s="2146"/>
      <c r="AV258" s="2146"/>
      <c r="AW258" s="2146"/>
      <c r="AX258" s="2146"/>
      <c r="AY258" s="2146"/>
      <c r="AZ258" s="2146"/>
      <c r="BA258" s="2146"/>
      <c r="BB258" s="2146"/>
      <c r="BC258" s="2146"/>
      <c r="BD258" s="2146"/>
      <c r="BE258" s="2146"/>
      <c r="BF258" s="2146"/>
      <c r="BG258" s="2146"/>
      <c r="BH258" s="2146"/>
      <c r="BI258" s="2146"/>
      <c r="BJ258" s="2146"/>
      <c r="BK258" s="2146"/>
      <c r="BL258" s="2146"/>
      <c r="BM258" s="2146"/>
      <c r="BN258" s="2146"/>
      <c r="BO258" s="2146"/>
      <c r="BP258" s="2146"/>
      <c r="BQ258" s="2146"/>
      <c r="BR258" s="2146"/>
      <c r="BS258" s="2146"/>
      <c r="BT258" s="2146"/>
      <c r="BU258" s="2146"/>
      <c r="BV258" s="2146"/>
      <c r="BW258" s="384"/>
      <c r="BX258" s="384"/>
      <c r="BY258" s="384"/>
      <c r="BZ258" s="384"/>
      <c r="CA258" s="87"/>
      <c r="CB258" s="2146"/>
      <c r="CC258" s="2146"/>
      <c r="CD258" s="2146"/>
      <c r="CE258" s="2146"/>
      <c r="CF258" s="2146"/>
      <c r="CG258" s="2146"/>
      <c r="CH258" s="2146"/>
      <c r="CI258" s="2146"/>
      <c r="CJ258" s="2146"/>
      <c r="CK258" s="2146"/>
      <c r="CL258" s="2146"/>
      <c r="CM258" s="2146"/>
      <c r="CN258" s="2146"/>
      <c r="CO258" s="2146"/>
      <c r="CP258" s="2146"/>
      <c r="CQ258" s="2146"/>
      <c r="CR258" s="2146"/>
      <c r="CS258" s="2146"/>
      <c r="CT258" s="2146"/>
      <c r="CU258" s="2146"/>
      <c r="CV258" s="2146"/>
      <c r="CW258" s="2146"/>
      <c r="CX258" s="2146"/>
      <c r="CY258" s="2146"/>
      <c r="CZ258" s="2146"/>
      <c r="DA258" s="2146"/>
      <c r="DB258" s="2146"/>
      <c r="DC258" s="2146"/>
      <c r="DD258" s="2146"/>
      <c r="DE258" s="2146"/>
      <c r="DF258" s="2146"/>
      <c r="DG258" s="2146"/>
      <c r="DH258" s="2146"/>
      <c r="DI258" s="2146"/>
      <c r="DJ258" s="2146"/>
      <c r="DK258" s="2146"/>
      <c r="DL258" s="2146"/>
      <c r="DM258" s="2146"/>
      <c r="DN258" s="2146"/>
      <c r="DO258" s="2146"/>
      <c r="DP258" s="2146"/>
      <c r="DQ258" s="87"/>
      <c r="DR258" s="87"/>
      <c r="DS258" s="2148"/>
      <c r="DT258" s="2148"/>
      <c r="DU258" s="2148"/>
      <c r="DV258" s="2148"/>
      <c r="DW258" s="2148"/>
      <c r="DX258" s="2148"/>
      <c r="DY258" s="2148"/>
      <c r="DZ258" s="87"/>
      <c r="EA258" s="87"/>
      <c r="EB258" s="2146"/>
      <c r="EC258" s="2146"/>
      <c r="ED258" s="2146"/>
      <c r="EE258" s="2146"/>
      <c r="EF258" s="2146"/>
      <c r="EG258" s="2146"/>
      <c r="EH258" s="2146"/>
      <c r="EI258" s="2146"/>
      <c r="EJ258" s="2146"/>
      <c r="EK258" s="2146"/>
      <c r="EL258" s="2146"/>
      <c r="EM258" s="2146"/>
      <c r="EN258" s="2146"/>
      <c r="EO258" s="2146"/>
      <c r="EP258" s="2146"/>
      <c r="EQ258" s="2146"/>
      <c r="ER258" s="2146"/>
      <c r="ES258" s="2146"/>
      <c r="ET258" s="2146"/>
      <c r="EU258" s="2146"/>
      <c r="EV258" s="2146"/>
      <c r="EW258" s="2146"/>
      <c r="EX258" s="2146"/>
      <c r="EY258" s="2146"/>
      <c r="EZ258" s="2146"/>
      <c r="FA258" s="2146"/>
      <c r="FB258" s="2146"/>
      <c r="FC258" s="2146"/>
      <c r="FD258" s="2146"/>
      <c r="FE258" s="2146"/>
      <c r="FF258" s="2146"/>
      <c r="FG258" s="2146"/>
      <c r="FH258" s="2146"/>
      <c r="FI258" s="2146"/>
      <c r="FJ258" s="2146"/>
      <c r="FK258" s="2146"/>
      <c r="FL258" s="2146"/>
      <c r="FM258" s="2146"/>
      <c r="FN258" s="2146"/>
      <c r="FO258" s="2146"/>
      <c r="FP258" s="2146"/>
      <c r="FQ258" s="87"/>
      <c r="FR258" s="87"/>
      <c r="FS258" s="2148"/>
      <c r="FT258" s="2148"/>
      <c r="FU258" s="2148"/>
      <c r="FV258" s="2148"/>
      <c r="FW258" s="2148"/>
      <c r="FX258" s="2148"/>
      <c r="FY258" s="2148"/>
      <c r="FZ258" s="87"/>
      <c r="GA258" s="87"/>
      <c r="GC258" s="1853"/>
      <c r="GD258" s="1853"/>
      <c r="GE258" s="1853"/>
      <c r="GG258" s="1853"/>
      <c r="GH258" s="1853"/>
      <c r="GI258" s="1853"/>
      <c r="GK258" s="1853"/>
      <c r="GL258" s="1853"/>
      <c r="GO258" s="1853"/>
      <c r="GP258" s="1853"/>
    </row>
    <row r="259" spans="1:284" ht="9" customHeight="1" thickBot="1">
      <c r="A259" s="87"/>
      <c r="B259" s="87"/>
      <c r="C259" s="87"/>
      <c r="D259" s="384"/>
      <c r="E259" s="384"/>
      <c r="F259" s="384"/>
      <c r="G259" s="384"/>
      <c r="H259" s="384"/>
      <c r="I259" s="384"/>
      <c r="J259" s="384"/>
      <c r="K259" s="384"/>
      <c r="L259" s="384"/>
      <c r="M259" s="384"/>
      <c r="N259" s="384"/>
      <c r="O259" s="384"/>
      <c r="P259" s="384"/>
      <c r="Q259" s="384"/>
      <c r="R259" s="384"/>
      <c r="S259" s="384"/>
      <c r="T259" s="384"/>
      <c r="U259" s="384"/>
      <c r="V259" s="384"/>
      <c r="W259" s="384"/>
      <c r="X259" s="384"/>
      <c r="Y259" s="384"/>
      <c r="Z259" s="384"/>
      <c r="AA259" s="384"/>
      <c r="AB259" s="384"/>
      <c r="AC259" s="384"/>
      <c r="AD259" s="384"/>
      <c r="AE259" s="384"/>
      <c r="AF259" s="384"/>
      <c r="AG259" s="384"/>
      <c r="AH259" s="384"/>
      <c r="AI259" s="384"/>
      <c r="AJ259" s="384"/>
      <c r="AK259" s="384"/>
      <c r="AL259" s="384"/>
      <c r="AM259" s="87"/>
      <c r="AN259" s="87"/>
      <c r="AO259" s="87"/>
      <c r="AP259" s="87"/>
      <c r="AQ259" s="87"/>
      <c r="AR259" s="87"/>
      <c r="AS259" s="87"/>
      <c r="AT259" s="384"/>
      <c r="AU259" s="384"/>
      <c r="AV259" s="384"/>
      <c r="AW259" s="384"/>
      <c r="AX259" s="384"/>
      <c r="AY259" s="384"/>
      <c r="AZ259" s="384"/>
      <c r="BA259" s="384"/>
      <c r="BB259" s="384"/>
      <c r="BC259" s="384"/>
      <c r="BD259" s="384"/>
      <c r="BE259" s="384"/>
      <c r="BF259" s="384"/>
      <c r="BG259" s="384"/>
      <c r="BH259" s="384"/>
      <c r="BI259" s="384"/>
      <c r="BJ259" s="384"/>
      <c r="BK259" s="384"/>
      <c r="BL259" s="384"/>
      <c r="BM259" s="384"/>
      <c r="BN259" s="384"/>
      <c r="BO259" s="384"/>
      <c r="BP259" s="384"/>
      <c r="BQ259" s="384"/>
      <c r="BR259" s="384"/>
      <c r="BS259" s="384"/>
      <c r="BT259" s="384"/>
      <c r="BU259" s="384"/>
      <c r="BV259" s="384"/>
      <c r="BW259" s="384"/>
      <c r="BX259" s="384"/>
      <c r="BY259" s="384"/>
      <c r="BZ259" s="384"/>
      <c r="CA259" s="87"/>
      <c r="CB259" s="460"/>
      <c r="CC259" s="460"/>
      <c r="CD259" s="460"/>
      <c r="CE259" s="460"/>
      <c r="CF259" s="460"/>
      <c r="CG259" s="460"/>
      <c r="CH259" s="460"/>
      <c r="CI259" s="460"/>
      <c r="CJ259" s="460"/>
      <c r="CK259" s="460"/>
      <c r="CL259" s="460"/>
      <c r="CM259" s="460"/>
      <c r="CN259" s="460"/>
      <c r="CO259" s="460"/>
      <c r="CP259" s="460"/>
      <c r="CQ259" s="460"/>
      <c r="CR259" s="460"/>
      <c r="CS259" s="460"/>
      <c r="CT259" s="460"/>
      <c r="CU259" s="460"/>
      <c r="CV259" s="460"/>
      <c r="CW259" s="460"/>
      <c r="CX259" s="460"/>
      <c r="CY259" s="460"/>
      <c r="CZ259" s="460"/>
      <c r="DA259" s="460"/>
      <c r="DB259" s="460"/>
      <c r="DC259" s="460"/>
      <c r="DD259" s="460"/>
      <c r="DE259" s="419"/>
      <c r="DF259" s="419"/>
      <c r="DG259" s="419"/>
      <c r="DH259" s="419"/>
      <c r="DI259" s="419"/>
      <c r="DJ259" s="419"/>
      <c r="DK259" s="368"/>
      <c r="DL259" s="459"/>
      <c r="DM259" s="459"/>
      <c r="DN259" s="459"/>
      <c r="DO259" s="459"/>
      <c r="DP259" s="459"/>
      <c r="DQ259" s="87"/>
      <c r="DR259" s="87"/>
      <c r="DS259" s="105"/>
      <c r="DT259" s="105"/>
      <c r="DU259" s="105"/>
      <c r="DV259" s="105"/>
      <c r="DW259" s="105"/>
      <c r="DX259" s="105"/>
      <c r="DY259" s="105"/>
      <c r="DZ259" s="87"/>
      <c r="EA259" s="87"/>
      <c r="EB259" s="368"/>
      <c r="EC259" s="459"/>
      <c r="ED259" s="459"/>
      <c r="EE259" s="459"/>
      <c r="EF259" s="459"/>
      <c r="EG259" s="459"/>
      <c r="EH259" s="99"/>
      <c r="EI259" s="99"/>
      <c r="EJ259" s="99"/>
      <c r="EK259" s="99"/>
      <c r="EL259" s="99"/>
      <c r="EM259" s="461"/>
      <c r="EN259" s="461"/>
      <c r="EO259" s="461"/>
      <c r="EP259" s="461"/>
      <c r="EQ259" s="461"/>
      <c r="ER259" s="461"/>
      <c r="ES259" s="461"/>
      <c r="ET259" s="461"/>
      <c r="EU259" s="461"/>
      <c r="EV259" s="461"/>
      <c r="EW259" s="461"/>
      <c r="EX259" s="461"/>
      <c r="EY259" s="461"/>
      <c r="EZ259" s="461"/>
      <c r="FA259" s="461"/>
      <c r="FB259" s="461"/>
      <c r="FC259" s="461"/>
      <c r="FD259" s="461"/>
      <c r="FE259" s="461"/>
      <c r="FF259" s="460"/>
      <c r="FG259" s="458"/>
      <c r="FH259" s="458"/>
      <c r="FI259" s="458"/>
      <c r="FJ259" s="458"/>
      <c r="FK259" s="419"/>
      <c r="FL259" s="419"/>
      <c r="FM259" s="419"/>
      <c r="FN259" s="419"/>
      <c r="FO259" s="419"/>
      <c r="FP259" s="419"/>
      <c r="FQ259" s="314"/>
      <c r="FR259" s="314"/>
      <c r="FS259" s="105"/>
      <c r="FT259" s="105"/>
      <c r="FU259" s="105"/>
      <c r="FV259" s="105"/>
      <c r="FW259" s="105"/>
      <c r="FX259" s="105"/>
      <c r="FY259" s="105"/>
      <c r="FZ259" s="87"/>
      <c r="GA259" s="87"/>
    </row>
    <row r="260" spans="1:284" ht="9" customHeight="1" thickTop="1" thickBot="1">
      <c r="A260" s="87"/>
      <c r="B260" s="2145" t="str">
        <f>IF(Race="","",IF(NOT(ISERROR(GL260)),MID(ForcePowersTaken,GL256+1,GL260-GL256-1),""))</f>
        <v/>
      </c>
      <c r="C260" s="2145"/>
      <c r="D260" s="2145"/>
      <c r="E260" s="2145"/>
      <c r="F260" s="2145"/>
      <c r="G260" s="2145"/>
      <c r="H260" s="2145"/>
      <c r="I260" s="2145"/>
      <c r="J260" s="2145"/>
      <c r="K260" s="2145"/>
      <c r="L260" s="2145"/>
      <c r="M260" s="2145"/>
      <c r="N260" s="2145"/>
      <c r="O260" s="2145"/>
      <c r="P260" s="2145"/>
      <c r="Q260" s="2145"/>
      <c r="R260" s="2145"/>
      <c r="S260" s="2145"/>
      <c r="T260" s="2145"/>
      <c r="U260" s="2145"/>
      <c r="V260" s="2145"/>
      <c r="W260" s="2145"/>
      <c r="X260" s="2145"/>
      <c r="Y260" s="2145"/>
      <c r="Z260" s="2145"/>
      <c r="AA260" s="2145"/>
      <c r="AB260" s="2145"/>
      <c r="AC260" s="2145"/>
      <c r="AD260" s="2145"/>
      <c r="AE260" s="2145"/>
      <c r="AF260" s="2145"/>
      <c r="AG260" s="2145"/>
      <c r="AH260" s="2145"/>
      <c r="AI260" s="2145"/>
      <c r="AJ260" s="2145"/>
      <c r="AK260" s="2145"/>
      <c r="AL260" s="301"/>
      <c r="AM260" s="2145" t="str">
        <f>IF(Race="","",IF(NOT(ISERROR(GP260)),MID(ForcePowersTaken,GP256+1,GP260-GP256-1),""))</f>
        <v/>
      </c>
      <c r="AN260" s="2145"/>
      <c r="AO260" s="2145"/>
      <c r="AP260" s="2145"/>
      <c r="AQ260" s="2145"/>
      <c r="AR260" s="2145"/>
      <c r="AS260" s="2145"/>
      <c r="AT260" s="2145"/>
      <c r="AU260" s="2145"/>
      <c r="AV260" s="2145"/>
      <c r="AW260" s="2145"/>
      <c r="AX260" s="2145"/>
      <c r="AY260" s="2145"/>
      <c r="AZ260" s="2145"/>
      <c r="BA260" s="2145"/>
      <c r="BB260" s="2145"/>
      <c r="BC260" s="2145"/>
      <c r="BD260" s="2145"/>
      <c r="BE260" s="2145"/>
      <c r="BF260" s="2145"/>
      <c r="BG260" s="2145"/>
      <c r="BH260" s="2145"/>
      <c r="BI260" s="2145"/>
      <c r="BJ260" s="2145"/>
      <c r="BK260" s="2145"/>
      <c r="BL260" s="2145"/>
      <c r="BM260" s="2145"/>
      <c r="BN260" s="2145"/>
      <c r="BO260" s="2145"/>
      <c r="BP260" s="2145"/>
      <c r="BQ260" s="2145"/>
      <c r="BR260" s="2145"/>
      <c r="BS260" s="2145"/>
      <c r="BT260" s="2145"/>
      <c r="BU260" s="2145"/>
      <c r="BV260" s="2145"/>
      <c r="BW260" s="301"/>
      <c r="BX260" s="301"/>
      <c r="BY260" s="301"/>
      <c r="BZ260" s="301"/>
      <c r="CA260" s="87"/>
      <c r="CB260" s="448"/>
      <c r="CC260" s="448"/>
      <c r="CD260" s="153"/>
      <c r="CE260" s="1855" t="s">
        <v>4540</v>
      </c>
      <c r="CF260" s="1855"/>
      <c r="CG260" s="1855"/>
      <c r="CH260" s="1855"/>
      <c r="CI260" s="1855"/>
      <c r="CJ260" s="1855"/>
      <c r="CK260" s="1855"/>
      <c r="CL260" s="1855"/>
      <c r="CM260" s="1855"/>
      <c r="CN260" s="1855"/>
      <c r="CO260" s="1855"/>
      <c r="CP260" s="1855"/>
      <c r="CQ260" s="1855"/>
      <c r="CR260" s="1855"/>
      <c r="CS260" s="1855"/>
      <c r="CT260" s="1855"/>
      <c r="CU260" s="1855"/>
      <c r="CV260" s="1855"/>
      <c r="CW260" s="1855"/>
      <c r="CX260" s="1855"/>
      <c r="CY260" s="1855"/>
      <c r="CZ260" s="1855"/>
      <c r="DA260" s="1855"/>
      <c r="DB260" s="1855"/>
      <c r="DC260" s="1855"/>
      <c r="DD260" s="1855"/>
      <c r="DE260" s="1855"/>
      <c r="DF260" s="1855"/>
      <c r="DG260" s="1855"/>
      <c r="DH260" s="1855"/>
      <c r="DI260" s="1855"/>
      <c r="DJ260" s="1855"/>
      <c r="DK260" s="1855"/>
      <c r="DL260" s="1855"/>
      <c r="DM260" s="1855"/>
      <c r="DN260" s="1855"/>
      <c r="DO260" s="1855"/>
      <c r="DP260" s="1855"/>
      <c r="DQ260" s="1855"/>
      <c r="DR260" s="1855"/>
      <c r="DS260" s="1855"/>
      <c r="DT260" s="1855"/>
      <c r="DU260" s="1855"/>
      <c r="DV260" s="1855"/>
      <c r="DW260" s="1855"/>
      <c r="DX260" s="1855"/>
      <c r="DY260" s="1855"/>
      <c r="DZ260" s="1855"/>
      <c r="EA260" s="1855"/>
      <c r="EB260" s="1855"/>
      <c r="EC260" s="1855"/>
      <c r="ED260" s="1855"/>
      <c r="EE260" s="1855"/>
      <c r="EF260" s="1855"/>
      <c r="EG260" s="1855"/>
      <c r="EH260" s="1855"/>
      <c r="EI260" s="154"/>
      <c r="EJ260" s="448"/>
      <c r="EK260" s="450"/>
      <c r="EL260" s="450"/>
      <c r="EM260" s="450"/>
      <c r="EN260" s="450"/>
      <c r="EO260" s="450"/>
      <c r="EP260" s="450"/>
      <c r="EQ260" s="450"/>
      <c r="ER260" s="450"/>
      <c r="ES260" s="450"/>
      <c r="ET260" s="450"/>
      <c r="EU260" s="450"/>
      <c r="EV260" s="450"/>
      <c r="EW260" s="450"/>
      <c r="EX260" s="450"/>
      <c r="EY260" s="450"/>
      <c r="EZ260" s="450"/>
      <c r="FA260" s="450"/>
      <c r="FB260" s="450"/>
      <c r="FC260" s="450"/>
      <c r="FD260" s="450"/>
      <c r="FE260" s="450"/>
      <c r="FF260" s="450"/>
      <c r="FG260" s="450"/>
      <c r="FH260" s="450"/>
      <c r="FI260" s="450"/>
      <c r="FJ260" s="450"/>
      <c r="FK260" s="450"/>
      <c r="FL260" s="450"/>
      <c r="FM260" s="450"/>
      <c r="FN260" s="449"/>
      <c r="FO260" s="449"/>
      <c r="FP260" s="449"/>
      <c r="FQ260" s="449"/>
      <c r="FR260" s="449"/>
      <c r="FS260" s="449"/>
      <c r="FT260" s="449"/>
      <c r="FU260" s="449"/>
      <c r="FV260" s="449"/>
      <c r="FW260" s="449"/>
      <c r="FX260" s="449"/>
      <c r="FY260" s="449"/>
      <c r="FZ260" s="87"/>
      <c r="GA260" s="87"/>
      <c r="GC260" s="1853"/>
      <c r="GD260" s="1853"/>
      <c r="GE260" s="1853"/>
      <c r="GG260" s="1853"/>
      <c r="GH260" s="1853"/>
      <c r="GI260" s="1853"/>
      <c r="GK260" s="1853">
        <f>GK256+1</f>
        <v>8</v>
      </c>
      <c r="GL260" s="1853" t="e">
        <f>FIND(";",ForcePowersTaken,GL256+1)</f>
        <v>#VALUE!</v>
      </c>
      <c r="GO260" s="1853">
        <f>GO256+1</f>
        <v>19</v>
      </c>
      <c r="GP260" s="1853" t="e">
        <f>FIND(";",ForcePowersTaken,GP256+1)</f>
        <v>#VALUE!</v>
      </c>
    </row>
    <row r="261" spans="1:284" ht="9" customHeight="1">
      <c r="A261" s="87"/>
      <c r="B261" s="2145"/>
      <c r="C261" s="2145"/>
      <c r="D261" s="2145"/>
      <c r="E261" s="2145"/>
      <c r="F261" s="2145"/>
      <c r="G261" s="2145"/>
      <c r="H261" s="2145"/>
      <c r="I261" s="2145"/>
      <c r="J261" s="2145"/>
      <c r="K261" s="2145"/>
      <c r="L261" s="2145"/>
      <c r="M261" s="2145"/>
      <c r="N261" s="2145"/>
      <c r="O261" s="2145"/>
      <c r="P261" s="2145"/>
      <c r="Q261" s="2145"/>
      <c r="R261" s="2145"/>
      <c r="S261" s="2145"/>
      <c r="T261" s="2145"/>
      <c r="U261" s="2145"/>
      <c r="V261" s="2145"/>
      <c r="W261" s="2145"/>
      <c r="X261" s="2145"/>
      <c r="Y261" s="2145"/>
      <c r="Z261" s="2145"/>
      <c r="AA261" s="2145"/>
      <c r="AB261" s="2145"/>
      <c r="AC261" s="2145"/>
      <c r="AD261" s="2145"/>
      <c r="AE261" s="2145"/>
      <c r="AF261" s="2145"/>
      <c r="AG261" s="2145"/>
      <c r="AH261" s="2145"/>
      <c r="AI261" s="2145"/>
      <c r="AJ261" s="2145"/>
      <c r="AK261" s="2145"/>
      <c r="AL261" s="384"/>
      <c r="AM261" s="2145"/>
      <c r="AN261" s="2145"/>
      <c r="AO261" s="2145"/>
      <c r="AP261" s="2145"/>
      <c r="AQ261" s="2145"/>
      <c r="AR261" s="2145"/>
      <c r="AS261" s="2145"/>
      <c r="AT261" s="2145"/>
      <c r="AU261" s="2145"/>
      <c r="AV261" s="2145"/>
      <c r="AW261" s="2145"/>
      <c r="AX261" s="2145"/>
      <c r="AY261" s="2145"/>
      <c r="AZ261" s="2145"/>
      <c r="BA261" s="2145"/>
      <c r="BB261" s="2145"/>
      <c r="BC261" s="2145"/>
      <c r="BD261" s="2145"/>
      <c r="BE261" s="2145"/>
      <c r="BF261" s="2145"/>
      <c r="BG261" s="2145"/>
      <c r="BH261" s="2145"/>
      <c r="BI261" s="2145"/>
      <c r="BJ261" s="2145"/>
      <c r="BK261" s="2145"/>
      <c r="BL261" s="2145"/>
      <c r="BM261" s="2145"/>
      <c r="BN261" s="2145"/>
      <c r="BO261" s="2145"/>
      <c r="BP261" s="2145"/>
      <c r="BQ261" s="2145"/>
      <c r="BR261" s="2145"/>
      <c r="BS261" s="2145"/>
      <c r="BT261" s="2145"/>
      <c r="BU261" s="2145"/>
      <c r="BV261" s="2145"/>
      <c r="BW261" s="384"/>
      <c r="BX261" s="384"/>
      <c r="BY261" s="384"/>
      <c r="BZ261" s="384"/>
      <c r="CA261" s="87"/>
      <c r="CB261" s="451"/>
      <c r="CC261" s="451"/>
      <c r="CD261" s="162"/>
      <c r="CE261" s="1856"/>
      <c r="CF261" s="1856"/>
      <c r="CG261" s="1856"/>
      <c r="CH261" s="1856"/>
      <c r="CI261" s="1856"/>
      <c r="CJ261" s="1856"/>
      <c r="CK261" s="1856"/>
      <c r="CL261" s="1856"/>
      <c r="CM261" s="1856"/>
      <c r="CN261" s="1856"/>
      <c r="CO261" s="1856"/>
      <c r="CP261" s="1856"/>
      <c r="CQ261" s="1856"/>
      <c r="CR261" s="1856"/>
      <c r="CS261" s="1856"/>
      <c r="CT261" s="1856"/>
      <c r="CU261" s="1856"/>
      <c r="CV261" s="1856"/>
      <c r="CW261" s="1856"/>
      <c r="CX261" s="1856"/>
      <c r="CY261" s="1856"/>
      <c r="CZ261" s="1856"/>
      <c r="DA261" s="1856"/>
      <c r="DB261" s="1856"/>
      <c r="DC261" s="1856"/>
      <c r="DD261" s="1856"/>
      <c r="DE261" s="1856"/>
      <c r="DF261" s="1856"/>
      <c r="DG261" s="1856"/>
      <c r="DH261" s="1856"/>
      <c r="DI261" s="1856"/>
      <c r="DJ261" s="1856"/>
      <c r="DK261" s="1856"/>
      <c r="DL261" s="1856"/>
      <c r="DM261" s="1856"/>
      <c r="DN261" s="1856"/>
      <c r="DO261" s="1856"/>
      <c r="DP261" s="1856"/>
      <c r="DQ261" s="1856"/>
      <c r="DR261" s="1856"/>
      <c r="DS261" s="1856"/>
      <c r="DT261" s="1856"/>
      <c r="DU261" s="1856"/>
      <c r="DV261" s="1856"/>
      <c r="DW261" s="1856"/>
      <c r="DX261" s="1856"/>
      <c r="DY261" s="1856"/>
      <c r="DZ261" s="1856"/>
      <c r="EA261" s="1856"/>
      <c r="EB261" s="1856"/>
      <c r="EC261" s="1856"/>
      <c r="ED261" s="1856"/>
      <c r="EE261" s="1856"/>
      <c r="EF261" s="1856"/>
      <c r="EG261" s="1856"/>
      <c r="EH261" s="1856"/>
      <c r="EI261" s="163"/>
      <c r="EJ261" s="451"/>
      <c r="EK261" s="2142"/>
      <c r="EL261" s="2142"/>
      <c r="EM261" s="2142"/>
      <c r="EN261" s="2142"/>
      <c r="EO261" s="2142"/>
      <c r="EP261" s="2142"/>
      <c r="EQ261" s="2142"/>
      <c r="ER261" s="2142"/>
      <c r="ES261" s="2142"/>
      <c r="ET261" s="2142"/>
      <c r="EU261" s="2142"/>
      <c r="EV261" s="2142"/>
      <c r="EW261" s="2142"/>
      <c r="EX261" s="2142"/>
      <c r="EY261" s="2142"/>
      <c r="EZ261" s="2142"/>
      <c r="FA261" s="2142"/>
      <c r="FB261" s="2142"/>
      <c r="FC261" s="2142"/>
      <c r="FD261" s="2142"/>
      <c r="FE261" s="2142"/>
      <c r="FF261" s="2142"/>
      <c r="FG261" s="2142"/>
      <c r="FH261" s="2142"/>
      <c r="FI261" s="2142"/>
      <c r="FJ261" s="2142"/>
      <c r="FK261" s="2142"/>
      <c r="FL261" s="2142"/>
      <c r="FM261" s="2142"/>
      <c r="FN261" s="2142"/>
      <c r="FO261" s="2142"/>
      <c r="FP261" s="2142"/>
      <c r="FQ261" s="2142"/>
      <c r="FR261" s="2142"/>
      <c r="FS261" s="2142"/>
      <c r="FT261" s="2142"/>
      <c r="FU261" s="2142"/>
      <c r="FV261" s="2142"/>
      <c r="FW261" s="2142"/>
      <c r="FX261" s="2142"/>
      <c r="FY261" s="2142"/>
      <c r="FZ261" s="87"/>
      <c r="GA261" s="87"/>
      <c r="GC261" s="1853"/>
      <c r="GD261" s="1853"/>
      <c r="GE261" s="1853"/>
      <c r="GG261" s="1853"/>
      <c r="GH261" s="1853"/>
      <c r="GI261" s="1853"/>
      <c r="GK261" s="1853"/>
      <c r="GL261" s="1853"/>
      <c r="GO261" s="1853"/>
      <c r="GP261" s="1853"/>
    </row>
    <row r="262" spans="1:284" ht="9" customHeight="1" thickBot="1">
      <c r="A262" s="87"/>
      <c r="B262" s="2146"/>
      <c r="C262" s="2146"/>
      <c r="D262" s="2146"/>
      <c r="E262" s="2146"/>
      <c r="F262" s="2146"/>
      <c r="G262" s="2146"/>
      <c r="H262" s="2146"/>
      <c r="I262" s="2146"/>
      <c r="J262" s="2146"/>
      <c r="K262" s="2146"/>
      <c r="L262" s="2146"/>
      <c r="M262" s="2146"/>
      <c r="N262" s="2146"/>
      <c r="O262" s="2146"/>
      <c r="P262" s="2146"/>
      <c r="Q262" s="2146"/>
      <c r="R262" s="2146"/>
      <c r="S262" s="2146"/>
      <c r="T262" s="2146"/>
      <c r="U262" s="2146"/>
      <c r="V262" s="2146"/>
      <c r="W262" s="2146"/>
      <c r="X262" s="2146"/>
      <c r="Y262" s="2146"/>
      <c r="Z262" s="2146"/>
      <c r="AA262" s="2146"/>
      <c r="AB262" s="2146"/>
      <c r="AC262" s="2146"/>
      <c r="AD262" s="2146"/>
      <c r="AE262" s="2146"/>
      <c r="AF262" s="2146"/>
      <c r="AG262" s="2146"/>
      <c r="AH262" s="2146"/>
      <c r="AI262" s="2146"/>
      <c r="AJ262" s="2146"/>
      <c r="AK262" s="2146"/>
      <c r="AL262" s="384"/>
      <c r="AM262" s="2146"/>
      <c r="AN262" s="2146"/>
      <c r="AO262" s="2146"/>
      <c r="AP262" s="2146"/>
      <c r="AQ262" s="2146"/>
      <c r="AR262" s="2146"/>
      <c r="AS262" s="2146"/>
      <c r="AT262" s="2146"/>
      <c r="AU262" s="2146"/>
      <c r="AV262" s="2146"/>
      <c r="AW262" s="2146"/>
      <c r="AX262" s="2146"/>
      <c r="AY262" s="2146"/>
      <c r="AZ262" s="2146"/>
      <c r="BA262" s="2146"/>
      <c r="BB262" s="2146"/>
      <c r="BC262" s="2146"/>
      <c r="BD262" s="2146"/>
      <c r="BE262" s="2146"/>
      <c r="BF262" s="2146"/>
      <c r="BG262" s="2146"/>
      <c r="BH262" s="2146"/>
      <c r="BI262" s="2146"/>
      <c r="BJ262" s="2146"/>
      <c r="BK262" s="2146"/>
      <c r="BL262" s="2146"/>
      <c r="BM262" s="2146"/>
      <c r="BN262" s="2146"/>
      <c r="BO262" s="2146"/>
      <c r="BP262" s="2146"/>
      <c r="BQ262" s="2146"/>
      <c r="BR262" s="2146"/>
      <c r="BS262" s="2146"/>
      <c r="BT262" s="2146"/>
      <c r="BU262" s="2146"/>
      <c r="BV262" s="2146"/>
      <c r="BW262" s="384"/>
      <c r="BX262" s="384"/>
      <c r="BY262" s="384"/>
      <c r="BZ262" s="384"/>
      <c r="CA262" s="87"/>
      <c r="CB262" s="452"/>
      <c r="CC262" s="453"/>
      <c r="CD262" s="162"/>
      <c r="CE262" s="1856"/>
      <c r="CF262" s="1856"/>
      <c r="CG262" s="1856"/>
      <c r="CH262" s="1856"/>
      <c r="CI262" s="1856"/>
      <c r="CJ262" s="1856"/>
      <c r="CK262" s="1856"/>
      <c r="CL262" s="1856"/>
      <c r="CM262" s="1856"/>
      <c r="CN262" s="1856"/>
      <c r="CO262" s="1856"/>
      <c r="CP262" s="1856"/>
      <c r="CQ262" s="1856"/>
      <c r="CR262" s="1856"/>
      <c r="CS262" s="1856"/>
      <c r="CT262" s="1856"/>
      <c r="CU262" s="1856"/>
      <c r="CV262" s="1856"/>
      <c r="CW262" s="1856"/>
      <c r="CX262" s="1856"/>
      <c r="CY262" s="1856"/>
      <c r="CZ262" s="1856"/>
      <c r="DA262" s="1856"/>
      <c r="DB262" s="1856"/>
      <c r="DC262" s="1856"/>
      <c r="DD262" s="1856"/>
      <c r="DE262" s="1856"/>
      <c r="DF262" s="1856"/>
      <c r="DG262" s="1856"/>
      <c r="DH262" s="1856"/>
      <c r="DI262" s="1856"/>
      <c r="DJ262" s="1856"/>
      <c r="DK262" s="1856"/>
      <c r="DL262" s="1856"/>
      <c r="DM262" s="1856"/>
      <c r="DN262" s="1856"/>
      <c r="DO262" s="1856"/>
      <c r="DP262" s="1856"/>
      <c r="DQ262" s="1856"/>
      <c r="DR262" s="1856"/>
      <c r="DS262" s="1856"/>
      <c r="DT262" s="1856"/>
      <c r="DU262" s="1856"/>
      <c r="DV262" s="1856"/>
      <c r="DW262" s="1856"/>
      <c r="DX262" s="1856"/>
      <c r="DY262" s="1856"/>
      <c r="DZ262" s="1856"/>
      <c r="EA262" s="1856"/>
      <c r="EB262" s="1856"/>
      <c r="EC262" s="1856"/>
      <c r="ED262" s="1856"/>
      <c r="EE262" s="1856"/>
      <c r="EF262" s="1856"/>
      <c r="EG262" s="1856"/>
      <c r="EH262" s="1856"/>
      <c r="EI262" s="163"/>
      <c r="EJ262" s="454"/>
      <c r="EK262" s="2143"/>
      <c r="EL262" s="2143"/>
      <c r="EM262" s="2143"/>
      <c r="EN262" s="2143"/>
      <c r="EO262" s="2143"/>
      <c r="EP262" s="2143"/>
      <c r="EQ262" s="2143"/>
      <c r="ER262" s="2143"/>
      <c r="ES262" s="2143"/>
      <c r="ET262" s="2143"/>
      <c r="EU262" s="2143"/>
      <c r="EV262" s="2143"/>
      <c r="EW262" s="2143"/>
      <c r="EX262" s="2143"/>
      <c r="EY262" s="2143"/>
      <c r="EZ262" s="2143"/>
      <c r="FA262" s="2143"/>
      <c r="FB262" s="2143"/>
      <c r="FC262" s="2143"/>
      <c r="FD262" s="2143"/>
      <c r="FE262" s="2143"/>
      <c r="FF262" s="2143"/>
      <c r="FG262" s="2143"/>
      <c r="FH262" s="2143"/>
      <c r="FI262" s="2143"/>
      <c r="FJ262" s="2143"/>
      <c r="FK262" s="2143"/>
      <c r="FL262" s="2143"/>
      <c r="FM262" s="2143"/>
      <c r="FN262" s="2143"/>
      <c r="FO262" s="2143"/>
      <c r="FP262" s="2143"/>
      <c r="FQ262" s="2143"/>
      <c r="FR262" s="2143"/>
      <c r="FS262" s="2143"/>
      <c r="FT262" s="2143"/>
      <c r="FU262" s="2143"/>
      <c r="FV262" s="2143"/>
      <c r="FW262" s="2143"/>
      <c r="FX262" s="2143"/>
      <c r="FY262" s="2143"/>
      <c r="FZ262" s="87"/>
      <c r="GA262" s="87"/>
      <c r="GC262" s="1853"/>
      <c r="GD262" s="1853"/>
      <c r="GE262" s="1853"/>
      <c r="GG262" s="1853"/>
      <c r="GH262" s="1853"/>
      <c r="GI262" s="1853"/>
      <c r="GK262" s="1853"/>
      <c r="GL262" s="1853"/>
      <c r="GO262" s="1853"/>
      <c r="GP262" s="1853"/>
    </row>
    <row r="263" spans="1:284" s="860" customFormat="1" ht="9" customHeight="1" thickBot="1">
      <c r="A263" s="87"/>
      <c r="B263" s="87"/>
      <c r="C263" s="87"/>
      <c r="D263" s="384"/>
      <c r="E263" s="384"/>
      <c r="F263" s="384"/>
      <c r="G263" s="384"/>
      <c r="H263" s="384"/>
      <c r="I263" s="384"/>
      <c r="J263" s="384"/>
      <c r="K263" s="384"/>
      <c r="L263" s="384"/>
      <c r="M263" s="384"/>
      <c r="N263" s="384"/>
      <c r="O263" s="384"/>
      <c r="P263" s="384"/>
      <c r="Q263" s="384"/>
      <c r="R263" s="384"/>
      <c r="S263" s="384"/>
      <c r="T263" s="384"/>
      <c r="U263" s="384"/>
      <c r="V263" s="384"/>
      <c r="W263" s="384"/>
      <c r="X263" s="384"/>
      <c r="Y263" s="384"/>
      <c r="Z263" s="384"/>
      <c r="AA263" s="384"/>
      <c r="AB263" s="384"/>
      <c r="AC263" s="384"/>
      <c r="AD263" s="384"/>
      <c r="AE263" s="384"/>
      <c r="AF263" s="384"/>
      <c r="AG263" s="384"/>
      <c r="AH263" s="384"/>
      <c r="AI263" s="384"/>
      <c r="AJ263" s="384"/>
      <c r="AK263" s="384"/>
      <c r="AL263" s="384"/>
      <c r="AM263" s="87"/>
      <c r="AN263" s="87"/>
      <c r="AO263" s="87"/>
      <c r="AP263" s="87"/>
      <c r="AQ263" s="87"/>
      <c r="AR263" s="87"/>
      <c r="AS263" s="87"/>
      <c r="AT263" s="384"/>
      <c r="AU263" s="384"/>
      <c r="AV263" s="384"/>
      <c r="AW263" s="384"/>
      <c r="AX263" s="384"/>
      <c r="AY263" s="384"/>
      <c r="AZ263" s="384"/>
      <c r="BA263" s="384"/>
      <c r="BB263" s="384"/>
      <c r="BC263" s="384"/>
      <c r="BD263" s="384"/>
      <c r="BE263" s="384"/>
      <c r="BF263" s="384"/>
      <c r="BG263" s="384"/>
      <c r="BH263" s="384"/>
      <c r="BI263" s="384"/>
      <c r="BJ263" s="384"/>
      <c r="BK263" s="384"/>
      <c r="BL263" s="384"/>
      <c r="BM263" s="384"/>
      <c r="BN263" s="384"/>
      <c r="BO263" s="384"/>
      <c r="BP263" s="384"/>
      <c r="BQ263" s="384"/>
      <c r="BR263" s="384"/>
      <c r="BS263" s="384"/>
      <c r="BT263" s="384"/>
      <c r="BU263" s="384"/>
      <c r="BV263" s="384"/>
      <c r="BW263" s="384"/>
      <c r="BX263" s="384"/>
      <c r="BY263" s="384"/>
      <c r="BZ263" s="384"/>
      <c r="CA263" s="87"/>
      <c r="CB263" s="105"/>
      <c r="CC263" s="105"/>
      <c r="CD263" s="154"/>
      <c r="CE263" s="1857"/>
      <c r="CF263" s="1857"/>
      <c r="CG263" s="1857"/>
      <c r="CH263" s="1857"/>
      <c r="CI263" s="1857"/>
      <c r="CJ263" s="1857"/>
      <c r="CK263" s="1857"/>
      <c r="CL263" s="1857"/>
      <c r="CM263" s="1857"/>
      <c r="CN263" s="1857"/>
      <c r="CO263" s="1857"/>
      <c r="CP263" s="1857"/>
      <c r="CQ263" s="1857"/>
      <c r="CR263" s="1857"/>
      <c r="CS263" s="1857"/>
      <c r="CT263" s="1857"/>
      <c r="CU263" s="1857"/>
      <c r="CV263" s="1857"/>
      <c r="CW263" s="1857"/>
      <c r="CX263" s="1857"/>
      <c r="CY263" s="1857"/>
      <c r="CZ263" s="1857"/>
      <c r="DA263" s="1857"/>
      <c r="DB263" s="1857"/>
      <c r="DC263" s="1857"/>
      <c r="DD263" s="1857"/>
      <c r="DE263" s="1857"/>
      <c r="DF263" s="1857"/>
      <c r="DG263" s="1857"/>
      <c r="DH263" s="1857"/>
      <c r="DI263" s="1857"/>
      <c r="DJ263" s="1857"/>
      <c r="DK263" s="1857"/>
      <c r="DL263" s="1857"/>
      <c r="DM263" s="1857"/>
      <c r="DN263" s="1857"/>
      <c r="DO263" s="1857"/>
      <c r="DP263" s="1857"/>
      <c r="DQ263" s="1857"/>
      <c r="DR263" s="1857"/>
      <c r="DS263" s="1857"/>
      <c r="DT263" s="1857"/>
      <c r="DU263" s="1857"/>
      <c r="DV263" s="1857"/>
      <c r="DW263" s="1857"/>
      <c r="DX263" s="1857"/>
      <c r="DY263" s="1857"/>
      <c r="DZ263" s="1857"/>
      <c r="EA263" s="1857"/>
      <c r="EB263" s="1857"/>
      <c r="EC263" s="1857"/>
      <c r="ED263" s="1857"/>
      <c r="EE263" s="1857"/>
      <c r="EF263" s="1857"/>
      <c r="EG263" s="1857"/>
      <c r="EH263" s="1857"/>
      <c r="EI263" s="153"/>
      <c r="EJ263" s="105"/>
      <c r="EK263" s="87"/>
      <c r="EL263" s="87"/>
      <c r="EM263" s="87"/>
      <c r="EN263" s="455"/>
      <c r="EO263" s="455"/>
      <c r="EP263" s="384"/>
      <c r="EQ263" s="384"/>
      <c r="ER263" s="384"/>
      <c r="ES263" s="384"/>
      <c r="ET263" s="384"/>
      <c r="EU263" s="384"/>
      <c r="EV263" s="384"/>
      <c r="EW263" s="384"/>
      <c r="EX263" s="384"/>
      <c r="EY263" s="384"/>
      <c r="EZ263" s="384"/>
      <c r="FA263" s="384"/>
      <c r="FB263" s="384"/>
      <c r="FC263" s="384"/>
      <c r="FD263" s="384"/>
      <c r="FE263" s="384"/>
      <c r="FF263" s="384"/>
      <c r="FG263" s="384"/>
      <c r="FH263" s="384"/>
      <c r="FI263" s="384"/>
      <c r="FJ263" s="384"/>
      <c r="FK263" s="384"/>
      <c r="FL263" s="384"/>
      <c r="FM263" s="384"/>
      <c r="FN263" s="301"/>
      <c r="FO263" s="301"/>
      <c r="FP263" s="301"/>
      <c r="FQ263" s="301"/>
      <c r="FR263" s="109"/>
      <c r="FS263" s="507"/>
      <c r="FT263" s="507"/>
      <c r="FU263" s="507"/>
      <c r="FV263" s="507"/>
      <c r="FW263" s="507"/>
      <c r="FX263" s="507"/>
      <c r="FY263" s="507"/>
      <c r="FZ263" s="87"/>
      <c r="GA263" s="87"/>
      <c r="GC263" s="861"/>
      <c r="GD263" s="861"/>
      <c r="GE263" s="861"/>
      <c r="GF263" s="859"/>
      <c r="GG263" s="861"/>
      <c r="GH263" s="861"/>
      <c r="GI263" s="861"/>
      <c r="GJ263" s="859"/>
      <c r="GK263" s="859"/>
      <c r="GL263" s="859"/>
      <c r="GM263" s="859"/>
      <c r="GN263" s="859"/>
      <c r="GO263" s="861"/>
      <c r="GP263" s="861"/>
      <c r="GQ263" s="859"/>
      <c r="GR263" s="859"/>
      <c r="GS263" s="859"/>
      <c r="GT263" s="859"/>
      <c r="GU263" s="859"/>
      <c r="GV263" s="859"/>
      <c r="GW263" s="859"/>
      <c r="GX263" s="859"/>
      <c r="GY263" s="859"/>
      <c r="GZ263" s="859"/>
      <c r="HA263" s="859"/>
      <c r="HB263" s="859"/>
      <c r="HC263" s="859"/>
      <c r="HD263" s="859"/>
      <c r="HE263" s="859"/>
      <c r="HF263" s="859"/>
      <c r="HG263" s="859"/>
      <c r="HH263" s="859"/>
      <c r="HI263" s="859"/>
      <c r="HJ263" s="859"/>
      <c r="HK263" s="859"/>
      <c r="HL263" s="859"/>
      <c r="HM263" s="859"/>
      <c r="HN263" s="859"/>
      <c r="HO263" s="859"/>
      <c r="HP263" s="859"/>
      <c r="HQ263" s="859"/>
      <c r="HR263" s="859"/>
      <c r="HS263" s="859"/>
      <c r="HT263" s="859"/>
      <c r="HU263" s="859"/>
      <c r="HV263" s="859"/>
      <c r="HW263" s="859"/>
      <c r="HX263" s="859"/>
      <c r="HY263" s="859"/>
      <c r="HZ263" s="859"/>
      <c r="IA263" s="859"/>
      <c r="IB263" s="859"/>
      <c r="IC263" s="859"/>
      <c r="ID263" s="859"/>
      <c r="IE263" s="859"/>
      <c r="IF263" s="859"/>
      <c r="IG263" s="859"/>
      <c r="IH263" s="859"/>
      <c r="II263" s="859"/>
      <c r="IJ263" s="859"/>
      <c r="IK263" s="859"/>
      <c r="IL263" s="859"/>
      <c r="IM263" s="859"/>
      <c r="IN263" s="859"/>
      <c r="IO263" s="859"/>
      <c r="IP263" s="859"/>
      <c r="IQ263" s="859"/>
      <c r="IR263" s="859"/>
      <c r="IS263" s="859"/>
      <c r="IT263" s="859"/>
      <c r="IU263" s="859"/>
      <c r="IV263" s="859"/>
      <c r="IW263" s="859"/>
      <c r="IX263" s="859"/>
      <c r="IY263" s="859"/>
      <c r="IZ263" s="859"/>
      <c r="JA263" s="859"/>
      <c r="JB263" s="859"/>
      <c r="JC263" s="859"/>
      <c r="JD263" s="859"/>
      <c r="JE263" s="859"/>
      <c r="JF263" s="859"/>
      <c r="JG263" s="859"/>
      <c r="JH263" s="859"/>
      <c r="JI263" s="859"/>
      <c r="JJ263" s="859"/>
      <c r="JK263" s="859"/>
      <c r="JL263" s="859"/>
      <c r="JM263" s="859"/>
      <c r="JN263" s="859"/>
      <c r="JO263" s="859"/>
      <c r="JP263" s="859"/>
      <c r="JQ263" s="859"/>
      <c r="JR263" s="859"/>
      <c r="JS263" s="859"/>
      <c r="JT263" s="859"/>
      <c r="JU263" s="859"/>
      <c r="JV263" s="859"/>
      <c r="JW263" s="859"/>
      <c r="JX263" s="859"/>
    </row>
    <row r="264" spans="1:284" s="860" customFormat="1" ht="9" customHeight="1" thickTop="1">
      <c r="A264" s="87"/>
      <c r="B264" s="2145" t="str">
        <f>IF(Race="","",IF(NOT(ISERROR(GL264)),MID(ForcePowersTaken,GL260+1,GL264-GL260-1),""))</f>
        <v/>
      </c>
      <c r="C264" s="2145"/>
      <c r="D264" s="2145"/>
      <c r="E264" s="2145"/>
      <c r="F264" s="2145"/>
      <c r="G264" s="2145"/>
      <c r="H264" s="2145"/>
      <c r="I264" s="2145"/>
      <c r="J264" s="2145"/>
      <c r="K264" s="2145"/>
      <c r="L264" s="2145"/>
      <c r="M264" s="2145"/>
      <c r="N264" s="2145"/>
      <c r="O264" s="2145"/>
      <c r="P264" s="2145"/>
      <c r="Q264" s="2145"/>
      <c r="R264" s="2145"/>
      <c r="S264" s="2145"/>
      <c r="T264" s="2145"/>
      <c r="U264" s="2145"/>
      <c r="V264" s="2145"/>
      <c r="W264" s="2145"/>
      <c r="X264" s="2145"/>
      <c r="Y264" s="2145"/>
      <c r="Z264" s="2145"/>
      <c r="AA264" s="2145"/>
      <c r="AB264" s="2145"/>
      <c r="AC264" s="2145"/>
      <c r="AD264" s="2145"/>
      <c r="AE264" s="2145"/>
      <c r="AF264" s="2145"/>
      <c r="AG264" s="2145"/>
      <c r="AH264" s="2145"/>
      <c r="AI264" s="2145"/>
      <c r="AJ264" s="2145"/>
      <c r="AK264" s="2145"/>
      <c r="AL264" s="301"/>
      <c r="AM264" s="2145" t="str">
        <f>IF(Race="","",IF(NOT(ISERROR(GP264)),MID(ForcePowersTaken,GP260+1,GP264-GP260-1),""))</f>
        <v/>
      </c>
      <c r="AN264" s="2145"/>
      <c r="AO264" s="2145"/>
      <c r="AP264" s="2145"/>
      <c r="AQ264" s="2145"/>
      <c r="AR264" s="2145"/>
      <c r="AS264" s="2145"/>
      <c r="AT264" s="2145"/>
      <c r="AU264" s="2145"/>
      <c r="AV264" s="2145"/>
      <c r="AW264" s="2145"/>
      <c r="AX264" s="2145"/>
      <c r="AY264" s="2145"/>
      <c r="AZ264" s="2145"/>
      <c r="BA264" s="2145"/>
      <c r="BB264" s="2145"/>
      <c r="BC264" s="2145"/>
      <c r="BD264" s="2145"/>
      <c r="BE264" s="2145"/>
      <c r="BF264" s="2145"/>
      <c r="BG264" s="2145"/>
      <c r="BH264" s="2145"/>
      <c r="BI264" s="2145"/>
      <c r="BJ264" s="2145"/>
      <c r="BK264" s="2145"/>
      <c r="BL264" s="2145"/>
      <c r="BM264" s="2145"/>
      <c r="BN264" s="2145"/>
      <c r="BO264" s="2145"/>
      <c r="BP264" s="2145"/>
      <c r="BQ264" s="2145"/>
      <c r="BR264" s="2145"/>
      <c r="BS264" s="2145"/>
      <c r="BT264" s="2145"/>
      <c r="BU264" s="2145"/>
      <c r="BV264" s="2145"/>
      <c r="BW264" s="384"/>
      <c r="BX264" s="384"/>
      <c r="BY264" s="384"/>
      <c r="BZ264" s="384"/>
      <c r="CA264" s="87"/>
      <c r="CB264" s="2173" t="str">
        <f>IF(Race="","",IF(NOT(ISERROR(GS264)),MID(ForceTechniquesTaken&amp;ForceSecretsTaken,GS260+1,GS264-GS260-1),""))</f>
        <v/>
      </c>
      <c r="CC264" s="2173"/>
      <c r="CD264" s="2173"/>
      <c r="CE264" s="2173"/>
      <c r="CF264" s="2173"/>
      <c r="CG264" s="2173"/>
      <c r="CH264" s="2173"/>
      <c r="CI264" s="2173"/>
      <c r="CJ264" s="2173"/>
      <c r="CK264" s="2173"/>
      <c r="CL264" s="2173"/>
      <c r="CM264" s="2173"/>
      <c r="CN264" s="2173"/>
      <c r="CO264" s="2173"/>
      <c r="CP264" s="2173"/>
      <c r="CQ264" s="2173"/>
      <c r="CR264" s="2173"/>
      <c r="CS264" s="2173"/>
      <c r="CT264" s="2173"/>
      <c r="CU264" s="2173"/>
      <c r="CV264" s="2173"/>
      <c r="CW264" s="2173"/>
      <c r="CX264" s="2173"/>
      <c r="CY264" s="2173"/>
      <c r="CZ264" s="2173"/>
      <c r="DA264" s="2173"/>
      <c r="DB264" s="2173"/>
      <c r="DC264" s="2173"/>
      <c r="DD264" s="2173"/>
      <c r="DE264" s="2173"/>
      <c r="DF264" s="2173"/>
      <c r="DG264" s="2173"/>
      <c r="DH264" s="890"/>
      <c r="DI264" s="890"/>
      <c r="DJ264" s="890"/>
      <c r="DK264" s="2173" t="str">
        <f>IF(Race="","",IF(NOT(ISERROR(GV264)),MID(ForceTechniquesTaken&amp;ForceSecretsTaken,GS272+1,GV264-GS272-1),""))</f>
        <v/>
      </c>
      <c r="DL264" s="2173"/>
      <c r="DM264" s="2173"/>
      <c r="DN264" s="2173"/>
      <c r="DO264" s="2173"/>
      <c r="DP264" s="2173"/>
      <c r="DQ264" s="2173"/>
      <c r="DR264" s="2173"/>
      <c r="DS264" s="2173"/>
      <c r="DT264" s="2173"/>
      <c r="DU264" s="2173"/>
      <c r="DV264" s="2173"/>
      <c r="DW264" s="2173"/>
      <c r="DX264" s="2173"/>
      <c r="DY264" s="2173"/>
      <c r="DZ264" s="2173"/>
      <c r="EA264" s="2173"/>
      <c r="EB264" s="2173"/>
      <c r="EC264" s="2173"/>
      <c r="ED264" s="2173"/>
      <c r="EE264" s="2173"/>
      <c r="EF264" s="2173"/>
      <c r="EG264" s="2173"/>
      <c r="EH264" s="2173"/>
      <c r="EI264" s="2173"/>
      <c r="EJ264" s="2173"/>
      <c r="EK264" s="2173"/>
      <c r="EL264" s="2173"/>
      <c r="EM264" s="2173"/>
      <c r="EN264" s="2173"/>
      <c r="EO264" s="2173"/>
      <c r="EP264" s="2173"/>
      <c r="EQ264" s="890"/>
      <c r="ER264" s="890"/>
      <c r="ES264" s="890"/>
      <c r="ET264" s="2173" t="str">
        <f>IF(Race="","",IF(NOT(ISERROR(GY264)),MID(ForceTechniquesTaken&amp;ForceSecretsTaken,GV272+1,GY264-GV272-1),""))</f>
        <v/>
      </c>
      <c r="EU264" s="2173"/>
      <c r="EV264" s="2173"/>
      <c r="EW264" s="2173"/>
      <c r="EX264" s="2173"/>
      <c r="EY264" s="2173"/>
      <c r="EZ264" s="2173"/>
      <c r="FA264" s="2173"/>
      <c r="FB264" s="2173"/>
      <c r="FC264" s="2173"/>
      <c r="FD264" s="2173"/>
      <c r="FE264" s="2173"/>
      <c r="FF264" s="2173"/>
      <c r="FG264" s="2173"/>
      <c r="FH264" s="2173"/>
      <c r="FI264" s="2173"/>
      <c r="FJ264" s="2173"/>
      <c r="FK264" s="2173"/>
      <c r="FL264" s="2173"/>
      <c r="FM264" s="2173"/>
      <c r="FN264" s="2173"/>
      <c r="FO264" s="2173"/>
      <c r="FP264" s="2173"/>
      <c r="FQ264" s="2173"/>
      <c r="FR264" s="2173"/>
      <c r="FS264" s="2173"/>
      <c r="FT264" s="2173"/>
      <c r="FU264" s="2173"/>
      <c r="FV264" s="2173"/>
      <c r="FW264" s="2173"/>
      <c r="FX264" s="2173"/>
      <c r="FY264" s="2173"/>
      <c r="FZ264" s="87"/>
      <c r="GA264" s="87"/>
      <c r="GC264" s="861"/>
      <c r="GD264" s="861"/>
      <c r="GE264" s="861"/>
      <c r="GF264" s="859"/>
      <c r="GG264" s="861"/>
      <c r="GH264" s="861"/>
      <c r="GI264" s="861"/>
      <c r="GJ264" s="859"/>
      <c r="GK264" s="1853">
        <f>GK260+1</f>
        <v>9</v>
      </c>
      <c r="GL264" s="1853" t="e">
        <f>FIND(";",ForcePowersTaken,GL260+1)</f>
        <v>#VALUE!</v>
      </c>
      <c r="GM264" s="859"/>
      <c r="GN264" s="859"/>
      <c r="GO264" s="1853">
        <f>GO260+1</f>
        <v>20</v>
      </c>
      <c r="GP264" s="1853" t="e">
        <f>FIND(";",ForcePowersTaken,GP260+1)</f>
        <v>#VALUE!</v>
      </c>
      <c r="GQ264" s="859"/>
      <c r="GR264" s="1853">
        <v>1</v>
      </c>
      <c r="GS264" s="1853" t="e">
        <f>FIND(";",ForceTechniquesTaken&amp;ForceSecretsTaken,1)</f>
        <v>#VALUE!</v>
      </c>
      <c r="GT264" s="859"/>
      <c r="GU264" s="1853">
        <f>GR272+1</f>
        <v>4</v>
      </c>
      <c r="GV264" s="1853" t="e">
        <f>FIND(";",ForceTechniquesTaken&amp;ForceSecretsTaken,GS272+1)</f>
        <v>#VALUE!</v>
      </c>
      <c r="GW264" s="859"/>
      <c r="GX264" s="1853">
        <f>GU272+1</f>
        <v>7</v>
      </c>
      <c r="GY264" s="1853" t="e">
        <f>FIND(";",ForceTechniquesTaken&amp;ForceSecretsTaken,GV272+1)</f>
        <v>#VALUE!</v>
      </c>
      <c r="GZ264" s="859"/>
      <c r="HA264" s="859"/>
      <c r="HB264" s="859"/>
      <c r="HC264" s="859"/>
      <c r="HD264" s="859"/>
      <c r="HE264" s="859"/>
      <c r="HF264" s="859"/>
      <c r="HG264" s="859"/>
      <c r="HH264" s="859"/>
      <c r="HI264" s="859"/>
      <c r="HJ264" s="859"/>
      <c r="HK264" s="859"/>
      <c r="HL264" s="859"/>
      <c r="HM264" s="859"/>
      <c r="HN264" s="859"/>
      <c r="HO264" s="859"/>
      <c r="HP264" s="859"/>
      <c r="HQ264" s="859"/>
      <c r="HR264" s="859"/>
      <c r="HS264" s="859"/>
      <c r="HT264" s="859"/>
      <c r="HU264" s="859"/>
      <c r="HV264" s="859"/>
      <c r="HW264" s="859"/>
      <c r="HX264" s="859"/>
      <c r="HY264" s="859"/>
      <c r="HZ264" s="859"/>
      <c r="IA264" s="859"/>
      <c r="IB264" s="859"/>
      <c r="IC264" s="859"/>
      <c r="ID264" s="859"/>
      <c r="IE264" s="859"/>
      <c r="IF264" s="859"/>
      <c r="IG264" s="859"/>
      <c r="IH264" s="859"/>
      <c r="II264" s="859"/>
      <c r="IJ264" s="859"/>
      <c r="IK264" s="859"/>
      <c r="IL264" s="859"/>
      <c r="IM264" s="859"/>
      <c r="IN264" s="859"/>
      <c r="IO264" s="859"/>
      <c r="IP264" s="859"/>
      <c r="IQ264" s="859"/>
      <c r="IR264" s="859"/>
      <c r="IS264" s="859"/>
      <c r="IT264" s="859"/>
      <c r="IU264" s="859"/>
      <c r="IV264" s="859"/>
      <c r="IW264" s="859"/>
      <c r="IX264" s="859"/>
      <c r="IY264" s="859"/>
      <c r="IZ264" s="859"/>
      <c r="JA264" s="859"/>
      <c r="JB264" s="859"/>
      <c r="JC264" s="859"/>
      <c r="JD264" s="859"/>
      <c r="JE264" s="859"/>
      <c r="JF264" s="859"/>
      <c r="JG264" s="859"/>
      <c r="JH264" s="859"/>
      <c r="JI264" s="859"/>
      <c r="JJ264" s="859"/>
      <c r="JK264" s="859"/>
      <c r="JL264" s="859"/>
      <c r="JM264" s="859"/>
      <c r="JN264" s="859"/>
      <c r="JO264" s="859"/>
      <c r="JP264" s="859"/>
      <c r="JQ264" s="859"/>
      <c r="JR264" s="859"/>
      <c r="JS264" s="859"/>
      <c r="JT264" s="859"/>
      <c r="JU264" s="859"/>
      <c r="JV264" s="859"/>
      <c r="JW264" s="859"/>
      <c r="JX264" s="859"/>
    </row>
    <row r="265" spans="1:284" s="860" customFormat="1" ht="9" customHeight="1">
      <c r="A265" s="87"/>
      <c r="B265" s="2145"/>
      <c r="C265" s="2145"/>
      <c r="D265" s="2145"/>
      <c r="E265" s="2145"/>
      <c r="F265" s="2145"/>
      <c r="G265" s="2145"/>
      <c r="H265" s="2145"/>
      <c r="I265" s="2145"/>
      <c r="J265" s="2145"/>
      <c r="K265" s="2145"/>
      <c r="L265" s="2145"/>
      <c r="M265" s="2145"/>
      <c r="N265" s="2145"/>
      <c r="O265" s="2145"/>
      <c r="P265" s="2145"/>
      <c r="Q265" s="2145"/>
      <c r="R265" s="2145"/>
      <c r="S265" s="2145"/>
      <c r="T265" s="2145"/>
      <c r="U265" s="2145"/>
      <c r="V265" s="2145"/>
      <c r="W265" s="2145"/>
      <c r="X265" s="2145"/>
      <c r="Y265" s="2145"/>
      <c r="Z265" s="2145"/>
      <c r="AA265" s="2145"/>
      <c r="AB265" s="2145"/>
      <c r="AC265" s="2145"/>
      <c r="AD265" s="2145"/>
      <c r="AE265" s="2145"/>
      <c r="AF265" s="2145"/>
      <c r="AG265" s="2145"/>
      <c r="AH265" s="2145"/>
      <c r="AI265" s="2145"/>
      <c r="AJ265" s="2145"/>
      <c r="AK265" s="2145"/>
      <c r="AL265" s="384"/>
      <c r="AM265" s="2145"/>
      <c r="AN265" s="2145"/>
      <c r="AO265" s="2145"/>
      <c r="AP265" s="2145"/>
      <c r="AQ265" s="2145"/>
      <c r="AR265" s="2145"/>
      <c r="AS265" s="2145"/>
      <c r="AT265" s="2145"/>
      <c r="AU265" s="2145"/>
      <c r="AV265" s="2145"/>
      <c r="AW265" s="2145"/>
      <c r="AX265" s="2145"/>
      <c r="AY265" s="2145"/>
      <c r="AZ265" s="2145"/>
      <c r="BA265" s="2145"/>
      <c r="BB265" s="2145"/>
      <c r="BC265" s="2145"/>
      <c r="BD265" s="2145"/>
      <c r="BE265" s="2145"/>
      <c r="BF265" s="2145"/>
      <c r="BG265" s="2145"/>
      <c r="BH265" s="2145"/>
      <c r="BI265" s="2145"/>
      <c r="BJ265" s="2145"/>
      <c r="BK265" s="2145"/>
      <c r="BL265" s="2145"/>
      <c r="BM265" s="2145"/>
      <c r="BN265" s="2145"/>
      <c r="BO265" s="2145"/>
      <c r="BP265" s="2145"/>
      <c r="BQ265" s="2145"/>
      <c r="BR265" s="2145"/>
      <c r="BS265" s="2145"/>
      <c r="BT265" s="2145"/>
      <c r="BU265" s="2145"/>
      <c r="BV265" s="2145"/>
      <c r="BW265" s="384"/>
      <c r="BX265" s="384"/>
      <c r="BY265" s="384"/>
      <c r="BZ265" s="384"/>
      <c r="CA265" s="87"/>
      <c r="CB265" s="2173"/>
      <c r="CC265" s="2173"/>
      <c r="CD265" s="2173"/>
      <c r="CE265" s="2173"/>
      <c r="CF265" s="2173"/>
      <c r="CG265" s="2173"/>
      <c r="CH265" s="2173"/>
      <c r="CI265" s="2173"/>
      <c r="CJ265" s="2173"/>
      <c r="CK265" s="2173"/>
      <c r="CL265" s="2173"/>
      <c r="CM265" s="2173"/>
      <c r="CN265" s="2173"/>
      <c r="CO265" s="2173"/>
      <c r="CP265" s="2173"/>
      <c r="CQ265" s="2173"/>
      <c r="CR265" s="2173"/>
      <c r="CS265" s="2173"/>
      <c r="CT265" s="2173"/>
      <c r="CU265" s="2173"/>
      <c r="CV265" s="2173"/>
      <c r="CW265" s="2173"/>
      <c r="CX265" s="2173"/>
      <c r="CY265" s="2173"/>
      <c r="CZ265" s="2173"/>
      <c r="DA265" s="2173"/>
      <c r="DB265" s="2173"/>
      <c r="DC265" s="2173"/>
      <c r="DD265" s="2173"/>
      <c r="DE265" s="2173"/>
      <c r="DF265" s="2173"/>
      <c r="DG265" s="2173"/>
      <c r="DH265" s="890"/>
      <c r="DI265" s="890"/>
      <c r="DJ265" s="890"/>
      <c r="DK265" s="2173"/>
      <c r="DL265" s="2173"/>
      <c r="DM265" s="2173"/>
      <c r="DN265" s="2173"/>
      <c r="DO265" s="2173"/>
      <c r="DP265" s="2173"/>
      <c r="DQ265" s="2173"/>
      <c r="DR265" s="2173"/>
      <c r="DS265" s="2173"/>
      <c r="DT265" s="2173"/>
      <c r="DU265" s="2173"/>
      <c r="DV265" s="2173"/>
      <c r="DW265" s="2173"/>
      <c r="DX265" s="2173"/>
      <c r="DY265" s="2173"/>
      <c r="DZ265" s="2173"/>
      <c r="EA265" s="2173"/>
      <c r="EB265" s="2173"/>
      <c r="EC265" s="2173"/>
      <c r="ED265" s="2173"/>
      <c r="EE265" s="2173"/>
      <c r="EF265" s="2173"/>
      <c r="EG265" s="2173"/>
      <c r="EH265" s="2173"/>
      <c r="EI265" s="2173"/>
      <c r="EJ265" s="2173"/>
      <c r="EK265" s="2173"/>
      <c r="EL265" s="2173"/>
      <c r="EM265" s="2173"/>
      <c r="EN265" s="2173"/>
      <c r="EO265" s="2173"/>
      <c r="EP265" s="2173"/>
      <c r="EQ265" s="890"/>
      <c r="ER265" s="890"/>
      <c r="ES265" s="890"/>
      <c r="ET265" s="2173"/>
      <c r="EU265" s="2173"/>
      <c r="EV265" s="2173"/>
      <c r="EW265" s="2173"/>
      <c r="EX265" s="2173"/>
      <c r="EY265" s="2173"/>
      <c r="EZ265" s="2173"/>
      <c r="FA265" s="2173"/>
      <c r="FB265" s="2173"/>
      <c r="FC265" s="2173"/>
      <c r="FD265" s="2173"/>
      <c r="FE265" s="2173"/>
      <c r="FF265" s="2173"/>
      <c r="FG265" s="2173"/>
      <c r="FH265" s="2173"/>
      <c r="FI265" s="2173"/>
      <c r="FJ265" s="2173"/>
      <c r="FK265" s="2173"/>
      <c r="FL265" s="2173"/>
      <c r="FM265" s="2173"/>
      <c r="FN265" s="2173"/>
      <c r="FO265" s="2173"/>
      <c r="FP265" s="2173"/>
      <c r="FQ265" s="2173"/>
      <c r="FR265" s="2173"/>
      <c r="FS265" s="2173"/>
      <c r="FT265" s="2173"/>
      <c r="FU265" s="2173"/>
      <c r="FV265" s="2173"/>
      <c r="FW265" s="2173"/>
      <c r="FX265" s="2173"/>
      <c r="FY265" s="2173"/>
      <c r="FZ265" s="87"/>
      <c r="GA265" s="87"/>
      <c r="GC265" s="861"/>
      <c r="GD265" s="861"/>
      <c r="GE265" s="861"/>
      <c r="GF265" s="859"/>
      <c r="GG265" s="861"/>
      <c r="GH265" s="861"/>
      <c r="GI265" s="861"/>
      <c r="GJ265" s="859"/>
      <c r="GK265" s="1853"/>
      <c r="GL265" s="1853"/>
      <c r="GM265" s="859"/>
      <c r="GN265" s="859"/>
      <c r="GO265" s="1853"/>
      <c r="GP265" s="1853"/>
      <c r="GQ265" s="859"/>
      <c r="GR265" s="1853"/>
      <c r="GS265" s="1853"/>
      <c r="GT265" s="859"/>
      <c r="GU265" s="1853"/>
      <c r="GV265" s="1853"/>
      <c r="GW265" s="859"/>
      <c r="GX265" s="1853"/>
      <c r="GY265" s="1853"/>
      <c r="GZ265" s="859"/>
      <c r="HA265" s="859"/>
      <c r="HB265" s="859"/>
      <c r="HC265" s="859"/>
      <c r="HD265" s="859"/>
      <c r="HE265" s="859"/>
      <c r="HF265" s="859"/>
      <c r="HG265" s="859"/>
      <c r="HH265" s="859"/>
      <c r="HI265" s="859"/>
      <c r="HJ265" s="859"/>
      <c r="HK265" s="859"/>
      <c r="HL265" s="859"/>
      <c r="HM265" s="859"/>
      <c r="HN265" s="859"/>
      <c r="HO265" s="859"/>
      <c r="HP265" s="859"/>
      <c r="HQ265" s="859"/>
      <c r="HR265" s="859"/>
      <c r="HS265" s="859"/>
      <c r="HT265" s="859"/>
      <c r="HU265" s="859"/>
      <c r="HV265" s="859"/>
      <c r="HW265" s="859"/>
      <c r="HX265" s="859"/>
      <c r="HY265" s="859"/>
      <c r="HZ265" s="859"/>
      <c r="IA265" s="859"/>
      <c r="IB265" s="859"/>
      <c r="IC265" s="859"/>
      <c r="ID265" s="859"/>
      <c r="IE265" s="859"/>
      <c r="IF265" s="859"/>
      <c r="IG265" s="859"/>
      <c r="IH265" s="859"/>
      <c r="II265" s="859"/>
      <c r="IJ265" s="859"/>
      <c r="IK265" s="859"/>
      <c r="IL265" s="859"/>
      <c r="IM265" s="859"/>
      <c r="IN265" s="859"/>
      <c r="IO265" s="859"/>
      <c r="IP265" s="859"/>
      <c r="IQ265" s="859"/>
      <c r="IR265" s="859"/>
      <c r="IS265" s="859"/>
      <c r="IT265" s="859"/>
      <c r="IU265" s="859"/>
      <c r="IV265" s="859"/>
      <c r="IW265" s="859"/>
      <c r="IX265" s="859"/>
      <c r="IY265" s="859"/>
      <c r="IZ265" s="859"/>
      <c r="JA265" s="859"/>
      <c r="JB265" s="859"/>
      <c r="JC265" s="859"/>
      <c r="JD265" s="859"/>
      <c r="JE265" s="859"/>
      <c r="JF265" s="859"/>
      <c r="JG265" s="859"/>
      <c r="JH265" s="859"/>
      <c r="JI265" s="859"/>
      <c r="JJ265" s="859"/>
      <c r="JK265" s="859"/>
      <c r="JL265" s="859"/>
      <c r="JM265" s="859"/>
      <c r="JN265" s="859"/>
      <c r="JO265" s="859"/>
      <c r="JP265" s="859"/>
      <c r="JQ265" s="859"/>
      <c r="JR265" s="859"/>
      <c r="JS265" s="859"/>
      <c r="JT265" s="859"/>
      <c r="JU265" s="859"/>
      <c r="JV265" s="859"/>
      <c r="JW265" s="859"/>
      <c r="JX265" s="859"/>
    </row>
    <row r="266" spans="1:284" s="860" customFormat="1" ht="9" customHeight="1" thickBot="1">
      <c r="A266" s="87"/>
      <c r="B266" s="2146"/>
      <c r="C266" s="2146"/>
      <c r="D266" s="2146"/>
      <c r="E266" s="2146"/>
      <c r="F266" s="2146"/>
      <c r="G266" s="2146"/>
      <c r="H266" s="2146"/>
      <c r="I266" s="2146"/>
      <c r="J266" s="2146"/>
      <c r="K266" s="2146"/>
      <c r="L266" s="2146"/>
      <c r="M266" s="2146"/>
      <c r="N266" s="2146"/>
      <c r="O266" s="2146"/>
      <c r="P266" s="2146"/>
      <c r="Q266" s="2146"/>
      <c r="R266" s="2146"/>
      <c r="S266" s="2146"/>
      <c r="T266" s="2146"/>
      <c r="U266" s="2146"/>
      <c r="V266" s="2146"/>
      <c r="W266" s="2146"/>
      <c r="X266" s="2146"/>
      <c r="Y266" s="2146"/>
      <c r="Z266" s="2146"/>
      <c r="AA266" s="2146"/>
      <c r="AB266" s="2146"/>
      <c r="AC266" s="2146"/>
      <c r="AD266" s="2146"/>
      <c r="AE266" s="2146"/>
      <c r="AF266" s="2146"/>
      <c r="AG266" s="2146"/>
      <c r="AH266" s="2146"/>
      <c r="AI266" s="2146"/>
      <c r="AJ266" s="2146"/>
      <c r="AK266" s="2146"/>
      <c r="AL266" s="384"/>
      <c r="AM266" s="2146"/>
      <c r="AN266" s="2146"/>
      <c r="AO266" s="2146"/>
      <c r="AP266" s="2146"/>
      <c r="AQ266" s="2146"/>
      <c r="AR266" s="2146"/>
      <c r="AS266" s="2146"/>
      <c r="AT266" s="2146"/>
      <c r="AU266" s="2146"/>
      <c r="AV266" s="2146"/>
      <c r="AW266" s="2146"/>
      <c r="AX266" s="2146"/>
      <c r="AY266" s="2146"/>
      <c r="AZ266" s="2146"/>
      <c r="BA266" s="2146"/>
      <c r="BB266" s="2146"/>
      <c r="BC266" s="2146"/>
      <c r="BD266" s="2146"/>
      <c r="BE266" s="2146"/>
      <c r="BF266" s="2146"/>
      <c r="BG266" s="2146"/>
      <c r="BH266" s="2146"/>
      <c r="BI266" s="2146"/>
      <c r="BJ266" s="2146"/>
      <c r="BK266" s="2146"/>
      <c r="BL266" s="2146"/>
      <c r="BM266" s="2146"/>
      <c r="BN266" s="2146"/>
      <c r="BO266" s="2146"/>
      <c r="BP266" s="2146"/>
      <c r="BQ266" s="2146"/>
      <c r="BR266" s="2146"/>
      <c r="BS266" s="2146"/>
      <c r="BT266" s="2146"/>
      <c r="BU266" s="2146"/>
      <c r="BV266" s="2146"/>
      <c r="BW266" s="384"/>
      <c r="BX266" s="384"/>
      <c r="BY266" s="384"/>
      <c r="BZ266" s="384"/>
      <c r="CA266" s="87"/>
      <c r="CB266" s="2174"/>
      <c r="CC266" s="2174"/>
      <c r="CD266" s="2174"/>
      <c r="CE266" s="2174"/>
      <c r="CF266" s="2174"/>
      <c r="CG266" s="2174"/>
      <c r="CH266" s="2174"/>
      <c r="CI266" s="2174"/>
      <c r="CJ266" s="2174"/>
      <c r="CK266" s="2174"/>
      <c r="CL266" s="2174"/>
      <c r="CM266" s="2174"/>
      <c r="CN266" s="2174"/>
      <c r="CO266" s="2174"/>
      <c r="CP266" s="2174"/>
      <c r="CQ266" s="2174"/>
      <c r="CR266" s="2174"/>
      <c r="CS266" s="2174"/>
      <c r="CT266" s="2174"/>
      <c r="CU266" s="2174"/>
      <c r="CV266" s="2174"/>
      <c r="CW266" s="2174"/>
      <c r="CX266" s="2174"/>
      <c r="CY266" s="2174"/>
      <c r="CZ266" s="2174"/>
      <c r="DA266" s="2174"/>
      <c r="DB266" s="2174"/>
      <c r="DC266" s="2174"/>
      <c r="DD266" s="2174"/>
      <c r="DE266" s="2174"/>
      <c r="DF266" s="2174"/>
      <c r="DG266" s="2174"/>
      <c r="DH266" s="890"/>
      <c r="DI266" s="890"/>
      <c r="DJ266" s="890"/>
      <c r="DK266" s="2174"/>
      <c r="DL266" s="2174"/>
      <c r="DM266" s="2174"/>
      <c r="DN266" s="2174"/>
      <c r="DO266" s="2174"/>
      <c r="DP266" s="2174"/>
      <c r="DQ266" s="2174"/>
      <c r="DR266" s="2174"/>
      <c r="DS266" s="2174"/>
      <c r="DT266" s="2174"/>
      <c r="DU266" s="2174"/>
      <c r="DV266" s="2174"/>
      <c r="DW266" s="2174"/>
      <c r="DX266" s="2174"/>
      <c r="DY266" s="2174"/>
      <c r="DZ266" s="2174"/>
      <c r="EA266" s="2174"/>
      <c r="EB266" s="2174"/>
      <c r="EC266" s="2174"/>
      <c r="ED266" s="2174"/>
      <c r="EE266" s="2174"/>
      <c r="EF266" s="2174"/>
      <c r="EG266" s="2174"/>
      <c r="EH266" s="2174"/>
      <c r="EI266" s="2174"/>
      <c r="EJ266" s="2174"/>
      <c r="EK266" s="2174"/>
      <c r="EL266" s="2174"/>
      <c r="EM266" s="2174"/>
      <c r="EN266" s="2174"/>
      <c r="EO266" s="2174"/>
      <c r="EP266" s="2174"/>
      <c r="EQ266" s="890"/>
      <c r="ER266" s="890"/>
      <c r="ES266" s="890"/>
      <c r="ET266" s="2174"/>
      <c r="EU266" s="2174"/>
      <c r="EV266" s="2174"/>
      <c r="EW266" s="2174"/>
      <c r="EX266" s="2174"/>
      <c r="EY266" s="2174"/>
      <c r="EZ266" s="2174"/>
      <c r="FA266" s="2174"/>
      <c r="FB266" s="2174"/>
      <c r="FC266" s="2174"/>
      <c r="FD266" s="2174"/>
      <c r="FE266" s="2174"/>
      <c r="FF266" s="2174"/>
      <c r="FG266" s="2174"/>
      <c r="FH266" s="2174"/>
      <c r="FI266" s="2174"/>
      <c r="FJ266" s="2174"/>
      <c r="FK266" s="2174"/>
      <c r="FL266" s="2174"/>
      <c r="FM266" s="2174"/>
      <c r="FN266" s="2174"/>
      <c r="FO266" s="2174"/>
      <c r="FP266" s="2174"/>
      <c r="FQ266" s="2174"/>
      <c r="FR266" s="2174"/>
      <c r="FS266" s="2174"/>
      <c r="FT266" s="2174"/>
      <c r="FU266" s="2174"/>
      <c r="FV266" s="2174"/>
      <c r="FW266" s="2174"/>
      <c r="FX266" s="2174"/>
      <c r="FY266" s="2174"/>
      <c r="FZ266" s="87"/>
      <c r="GA266" s="87"/>
      <c r="GC266" s="861"/>
      <c r="GD266" s="861"/>
      <c r="GE266" s="861"/>
      <c r="GF266" s="859"/>
      <c r="GG266" s="861"/>
      <c r="GH266" s="861"/>
      <c r="GI266" s="861"/>
      <c r="GJ266" s="859"/>
      <c r="GK266" s="1853"/>
      <c r="GL266" s="1853"/>
      <c r="GM266" s="859"/>
      <c r="GN266" s="859"/>
      <c r="GO266" s="1853"/>
      <c r="GP266" s="1853"/>
      <c r="GQ266" s="859"/>
      <c r="GR266" s="1853"/>
      <c r="GS266" s="1853"/>
      <c r="GT266" s="859"/>
      <c r="GU266" s="1853"/>
      <c r="GV266" s="1853"/>
      <c r="GW266" s="859"/>
      <c r="GX266" s="1853"/>
      <c r="GY266" s="1853"/>
      <c r="GZ266" s="859"/>
      <c r="HA266" s="859"/>
      <c r="HB266" s="859"/>
      <c r="HC266" s="859"/>
      <c r="HD266" s="859"/>
      <c r="HE266" s="859"/>
      <c r="HF266" s="859"/>
      <c r="HG266" s="859"/>
      <c r="HH266" s="859"/>
      <c r="HI266" s="859"/>
      <c r="HJ266" s="859"/>
      <c r="HK266" s="859"/>
      <c r="HL266" s="859"/>
      <c r="HM266" s="859"/>
      <c r="HN266" s="859"/>
      <c r="HO266" s="859"/>
      <c r="HP266" s="859"/>
      <c r="HQ266" s="859"/>
      <c r="HR266" s="859"/>
      <c r="HS266" s="859"/>
      <c r="HT266" s="859"/>
      <c r="HU266" s="859"/>
      <c r="HV266" s="859"/>
      <c r="HW266" s="859"/>
      <c r="HX266" s="859"/>
      <c r="HY266" s="859"/>
      <c r="HZ266" s="859"/>
      <c r="IA266" s="859"/>
      <c r="IB266" s="859"/>
      <c r="IC266" s="859"/>
      <c r="ID266" s="859"/>
      <c r="IE266" s="859"/>
      <c r="IF266" s="859"/>
      <c r="IG266" s="859"/>
      <c r="IH266" s="859"/>
      <c r="II266" s="859"/>
      <c r="IJ266" s="859"/>
      <c r="IK266" s="859"/>
      <c r="IL266" s="859"/>
      <c r="IM266" s="859"/>
      <c r="IN266" s="859"/>
      <c r="IO266" s="859"/>
      <c r="IP266" s="859"/>
      <c r="IQ266" s="859"/>
      <c r="IR266" s="859"/>
      <c r="IS266" s="859"/>
      <c r="IT266" s="859"/>
      <c r="IU266" s="859"/>
      <c r="IV266" s="859"/>
      <c r="IW266" s="859"/>
      <c r="IX266" s="859"/>
      <c r="IY266" s="859"/>
      <c r="IZ266" s="859"/>
      <c r="JA266" s="859"/>
      <c r="JB266" s="859"/>
      <c r="JC266" s="859"/>
      <c r="JD266" s="859"/>
      <c r="JE266" s="859"/>
      <c r="JF266" s="859"/>
      <c r="JG266" s="859"/>
      <c r="JH266" s="859"/>
      <c r="JI266" s="859"/>
      <c r="JJ266" s="859"/>
      <c r="JK266" s="859"/>
      <c r="JL266" s="859"/>
      <c r="JM266" s="859"/>
      <c r="JN266" s="859"/>
      <c r="JO266" s="859"/>
      <c r="JP266" s="859"/>
      <c r="JQ266" s="859"/>
      <c r="JR266" s="859"/>
      <c r="JS266" s="859"/>
      <c r="JT266" s="859"/>
      <c r="JU266" s="859"/>
      <c r="JV266" s="859"/>
      <c r="JW266" s="859"/>
      <c r="JX266" s="859"/>
    </row>
    <row r="267" spans="1:284" s="860" customFormat="1" ht="9" customHeight="1">
      <c r="A267" s="87"/>
      <c r="B267" s="87"/>
      <c r="C267" s="87"/>
      <c r="D267" s="384"/>
      <c r="E267" s="384"/>
      <c r="F267" s="384"/>
      <c r="G267" s="384"/>
      <c r="H267" s="384"/>
      <c r="I267" s="384"/>
      <c r="J267" s="384"/>
      <c r="K267" s="384"/>
      <c r="L267" s="384"/>
      <c r="M267" s="384"/>
      <c r="N267" s="384"/>
      <c r="O267" s="384"/>
      <c r="P267" s="384"/>
      <c r="Q267" s="384"/>
      <c r="R267" s="384"/>
      <c r="S267" s="384"/>
      <c r="T267" s="384"/>
      <c r="U267" s="384"/>
      <c r="V267" s="384"/>
      <c r="W267" s="384"/>
      <c r="X267" s="384"/>
      <c r="Y267" s="384"/>
      <c r="Z267" s="384"/>
      <c r="AA267" s="384"/>
      <c r="AB267" s="384"/>
      <c r="AC267" s="384"/>
      <c r="AD267" s="384"/>
      <c r="AE267" s="384"/>
      <c r="AF267" s="384"/>
      <c r="AG267" s="384"/>
      <c r="AH267" s="384"/>
      <c r="AI267" s="384"/>
      <c r="AJ267" s="384"/>
      <c r="AK267" s="384"/>
      <c r="AL267" s="384"/>
      <c r="AM267" s="87"/>
      <c r="AN267" s="87"/>
      <c r="AO267" s="87"/>
      <c r="AP267" s="87"/>
      <c r="AQ267" s="87"/>
      <c r="AR267" s="87"/>
      <c r="AS267" s="87"/>
      <c r="AT267" s="384"/>
      <c r="AU267" s="384"/>
      <c r="AV267" s="384"/>
      <c r="AW267" s="384"/>
      <c r="AX267" s="384"/>
      <c r="AY267" s="384"/>
      <c r="AZ267" s="384"/>
      <c r="BA267" s="384"/>
      <c r="BB267" s="384"/>
      <c r="BC267" s="384"/>
      <c r="BD267" s="384"/>
      <c r="BE267" s="384"/>
      <c r="BF267" s="384"/>
      <c r="BG267" s="384"/>
      <c r="BH267" s="384"/>
      <c r="BI267" s="384"/>
      <c r="BJ267" s="384"/>
      <c r="BK267" s="384"/>
      <c r="BL267" s="384"/>
      <c r="BM267" s="384"/>
      <c r="BN267" s="384"/>
      <c r="BO267" s="384"/>
      <c r="BP267" s="384"/>
      <c r="BQ267" s="384"/>
      <c r="BR267" s="384"/>
      <c r="BS267" s="384"/>
      <c r="BT267" s="384"/>
      <c r="BU267" s="384"/>
      <c r="BV267" s="384"/>
      <c r="BW267" s="384"/>
      <c r="BX267" s="384"/>
      <c r="BY267" s="384"/>
      <c r="BZ267" s="384"/>
      <c r="CA267" s="87"/>
      <c r="CB267" s="891"/>
      <c r="CC267" s="891"/>
      <c r="CD267" s="891"/>
      <c r="CE267" s="891"/>
      <c r="CF267" s="891"/>
      <c r="CG267" s="891"/>
      <c r="CH267" s="891"/>
      <c r="CI267" s="891"/>
      <c r="CJ267" s="891"/>
      <c r="CK267" s="891"/>
      <c r="CL267" s="891"/>
      <c r="CM267" s="891"/>
      <c r="CN267" s="891"/>
      <c r="CO267" s="891"/>
      <c r="CP267" s="891"/>
      <c r="CQ267" s="891"/>
      <c r="CR267" s="891"/>
      <c r="CS267" s="891"/>
      <c r="CT267" s="891"/>
      <c r="CU267" s="891"/>
      <c r="CV267" s="891"/>
      <c r="CW267" s="891"/>
      <c r="CX267" s="891"/>
      <c r="CY267" s="891"/>
      <c r="CZ267" s="891"/>
      <c r="DA267" s="891"/>
      <c r="DB267" s="891"/>
      <c r="DC267" s="891"/>
      <c r="DD267" s="891"/>
      <c r="DE267" s="891"/>
      <c r="DF267" s="891"/>
      <c r="DG267" s="891"/>
      <c r="DH267" s="890"/>
      <c r="DI267" s="890"/>
      <c r="DJ267" s="890"/>
      <c r="DK267" s="890"/>
      <c r="DL267" s="890"/>
      <c r="DM267" s="890"/>
      <c r="DN267" s="890"/>
      <c r="DO267" s="890"/>
      <c r="DP267" s="890"/>
      <c r="DQ267" s="890"/>
      <c r="DR267" s="890"/>
      <c r="DS267" s="890"/>
      <c r="DT267" s="890"/>
      <c r="DU267" s="890"/>
      <c r="DV267" s="890"/>
      <c r="DW267" s="890"/>
      <c r="DX267" s="890"/>
      <c r="DY267" s="890"/>
      <c r="DZ267" s="890"/>
      <c r="EA267" s="890"/>
      <c r="EB267" s="890"/>
      <c r="EC267" s="890"/>
      <c r="ED267" s="890"/>
      <c r="EE267" s="890"/>
      <c r="EF267" s="890"/>
      <c r="EG267" s="890"/>
      <c r="EH267" s="890"/>
      <c r="EI267" s="890"/>
      <c r="EJ267" s="890"/>
      <c r="EK267" s="890"/>
      <c r="EL267" s="890"/>
      <c r="EM267" s="890"/>
      <c r="EN267" s="890"/>
      <c r="EO267" s="890"/>
      <c r="EP267" s="890"/>
      <c r="EQ267" s="890"/>
      <c r="ER267" s="890"/>
      <c r="ES267" s="890"/>
      <c r="ET267" s="890"/>
      <c r="EU267" s="890"/>
      <c r="EV267" s="890"/>
      <c r="EW267" s="890"/>
      <c r="EX267" s="890"/>
      <c r="EY267" s="890"/>
      <c r="EZ267" s="890"/>
      <c r="FA267" s="890"/>
      <c r="FB267" s="890"/>
      <c r="FC267" s="890"/>
      <c r="FD267" s="890"/>
      <c r="FE267" s="890"/>
      <c r="FF267" s="890"/>
      <c r="FG267" s="890"/>
      <c r="FH267" s="890"/>
      <c r="FI267" s="890"/>
      <c r="FJ267" s="890"/>
      <c r="FK267" s="890"/>
      <c r="FL267" s="890"/>
      <c r="FM267" s="890"/>
      <c r="FN267" s="890"/>
      <c r="FO267" s="890"/>
      <c r="FP267" s="890"/>
      <c r="FQ267" s="890"/>
      <c r="FR267" s="890"/>
      <c r="FS267" s="890"/>
      <c r="FT267" s="890"/>
      <c r="FU267" s="890"/>
      <c r="FV267" s="890"/>
      <c r="FW267" s="890"/>
      <c r="FX267" s="890"/>
      <c r="FY267" s="890"/>
      <c r="FZ267" s="87"/>
      <c r="GA267" s="87"/>
      <c r="GC267" s="861"/>
      <c r="GD267" s="861"/>
      <c r="GE267" s="861"/>
      <c r="GF267" s="859"/>
      <c r="GG267" s="861"/>
      <c r="GH267" s="861"/>
      <c r="GI267" s="861"/>
      <c r="GJ267" s="859"/>
      <c r="GK267" s="859"/>
      <c r="GL267" s="859"/>
      <c r="GM267" s="859"/>
      <c r="GN267" s="859"/>
      <c r="GO267" s="861"/>
      <c r="GP267" s="861"/>
      <c r="GQ267" s="859"/>
      <c r="GR267" s="859"/>
      <c r="GS267" s="859"/>
      <c r="GT267" s="859"/>
      <c r="GU267" s="859"/>
      <c r="GV267" s="859"/>
      <c r="GW267" s="859"/>
      <c r="GX267" s="859"/>
      <c r="GY267" s="859"/>
      <c r="GZ267" s="859"/>
      <c r="HA267" s="859"/>
      <c r="HB267" s="859"/>
      <c r="HC267" s="859"/>
      <c r="HD267" s="859"/>
      <c r="HE267" s="859"/>
      <c r="HF267" s="859"/>
      <c r="HG267" s="859"/>
      <c r="HH267" s="859"/>
      <c r="HI267" s="859"/>
      <c r="HJ267" s="859"/>
      <c r="HK267" s="859"/>
      <c r="HL267" s="859"/>
      <c r="HM267" s="859"/>
      <c r="HN267" s="859"/>
      <c r="HO267" s="859"/>
      <c r="HP267" s="859"/>
      <c r="HQ267" s="859"/>
      <c r="HR267" s="859"/>
      <c r="HS267" s="859"/>
      <c r="HT267" s="859"/>
      <c r="HU267" s="859"/>
      <c r="HV267" s="859"/>
      <c r="HW267" s="859"/>
      <c r="HX267" s="859"/>
      <c r="HY267" s="859"/>
      <c r="HZ267" s="859"/>
      <c r="IA267" s="859"/>
      <c r="IB267" s="859"/>
      <c r="IC267" s="859"/>
      <c r="ID267" s="859"/>
      <c r="IE267" s="859"/>
      <c r="IF267" s="859"/>
      <c r="IG267" s="859"/>
      <c r="IH267" s="859"/>
      <c r="II267" s="859"/>
      <c r="IJ267" s="859"/>
      <c r="IK267" s="859"/>
      <c r="IL267" s="859"/>
      <c r="IM267" s="859"/>
      <c r="IN267" s="859"/>
      <c r="IO267" s="859"/>
      <c r="IP267" s="859"/>
      <c r="IQ267" s="859"/>
      <c r="IR267" s="859"/>
      <c r="IS267" s="859"/>
      <c r="IT267" s="859"/>
      <c r="IU267" s="859"/>
      <c r="IV267" s="859"/>
      <c r="IW267" s="859"/>
      <c r="IX267" s="859"/>
      <c r="IY267" s="859"/>
      <c r="IZ267" s="859"/>
      <c r="JA267" s="859"/>
      <c r="JB267" s="859"/>
      <c r="JC267" s="859"/>
      <c r="JD267" s="859"/>
      <c r="JE267" s="859"/>
      <c r="JF267" s="859"/>
      <c r="JG267" s="859"/>
      <c r="JH267" s="859"/>
      <c r="JI267" s="859"/>
      <c r="JJ267" s="859"/>
      <c r="JK267" s="859"/>
      <c r="JL267" s="859"/>
      <c r="JM267" s="859"/>
      <c r="JN267" s="859"/>
      <c r="JO267" s="859"/>
      <c r="JP267" s="859"/>
      <c r="JQ267" s="859"/>
      <c r="JR267" s="859"/>
      <c r="JS267" s="859"/>
      <c r="JT267" s="859"/>
      <c r="JU267" s="859"/>
      <c r="JV267" s="859"/>
      <c r="JW267" s="859"/>
      <c r="JX267" s="859"/>
    </row>
    <row r="268" spans="1:284" s="860" customFormat="1" ht="9" customHeight="1">
      <c r="A268" s="87"/>
      <c r="B268" s="2145" t="str">
        <f>IF(Race="","",IF(NOT(ISERROR(GL268)),MID(ForcePowersTaken,GL264+1,GL268-GL264-1),""))</f>
        <v/>
      </c>
      <c r="C268" s="2145"/>
      <c r="D268" s="2145"/>
      <c r="E268" s="2145"/>
      <c r="F268" s="2145"/>
      <c r="G268" s="2145"/>
      <c r="H268" s="2145"/>
      <c r="I268" s="2145"/>
      <c r="J268" s="2145"/>
      <c r="K268" s="2145"/>
      <c r="L268" s="2145"/>
      <c r="M268" s="2145"/>
      <c r="N268" s="2145"/>
      <c r="O268" s="2145"/>
      <c r="P268" s="2145"/>
      <c r="Q268" s="2145"/>
      <c r="R268" s="2145"/>
      <c r="S268" s="2145"/>
      <c r="T268" s="2145"/>
      <c r="U268" s="2145"/>
      <c r="V268" s="2145"/>
      <c r="W268" s="2145"/>
      <c r="X268" s="2145"/>
      <c r="Y268" s="2145"/>
      <c r="Z268" s="2145"/>
      <c r="AA268" s="2145"/>
      <c r="AB268" s="2145"/>
      <c r="AC268" s="2145"/>
      <c r="AD268" s="2145"/>
      <c r="AE268" s="2145"/>
      <c r="AF268" s="2145"/>
      <c r="AG268" s="2145"/>
      <c r="AH268" s="2145"/>
      <c r="AI268" s="2145"/>
      <c r="AJ268" s="2145"/>
      <c r="AK268" s="2145"/>
      <c r="AL268" s="301"/>
      <c r="AM268" s="2145" t="str">
        <f>IF(Race="","",IF(NOT(ISERROR(GP268)),MID(ForcePowersTaken,GP264+1,GP268-GP264-1),""))</f>
        <v/>
      </c>
      <c r="AN268" s="2145"/>
      <c r="AO268" s="2145"/>
      <c r="AP268" s="2145"/>
      <c r="AQ268" s="2145"/>
      <c r="AR268" s="2145"/>
      <c r="AS268" s="2145"/>
      <c r="AT268" s="2145"/>
      <c r="AU268" s="2145"/>
      <c r="AV268" s="2145"/>
      <c r="AW268" s="2145"/>
      <c r="AX268" s="2145"/>
      <c r="AY268" s="2145"/>
      <c r="AZ268" s="2145"/>
      <c r="BA268" s="2145"/>
      <c r="BB268" s="2145"/>
      <c r="BC268" s="2145"/>
      <c r="BD268" s="2145"/>
      <c r="BE268" s="2145"/>
      <c r="BF268" s="2145"/>
      <c r="BG268" s="2145"/>
      <c r="BH268" s="2145"/>
      <c r="BI268" s="2145"/>
      <c r="BJ268" s="2145"/>
      <c r="BK268" s="2145"/>
      <c r="BL268" s="2145"/>
      <c r="BM268" s="2145"/>
      <c r="BN268" s="2145"/>
      <c r="BO268" s="2145"/>
      <c r="BP268" s="2145"/>
      <c r="BQ268" s="2145"/>
      <c r="BR268" s="2145"/>
      <c r="BS268" s="2145"/>
      <c r="BT268" s="2145"/>
      <c r="BU268" s="2145"/>
      <c r="BV268" s="2145"/>
      <c r="BW268" s="384"/>
      <c r="BX268" s="384"/>
      <c r="BY268" s="384"/>
      <c r="BZ268" s="384"/>
      <c r="CA268" s="87"/>
      <c r="CB268" s="2173" t="str">
        <f>IF(Race="","",IF(NOT(ISERROR(GS268)),MID(ForceTechniquesTaken&amp;ForceSecretsTaken,GS264+1,GS268-GS264-1),""))</f>
        <v/>
      </c>
      <c r="CC268" s="2173"/>
      <c r="CD268" s="2173"/>
      <c r="CE268" s="2173"/>
      <c r="CF268" s="2173"/>
      <c r="CG268" s="2173"/>
      <c r="CH268" s="2173"/>
      <c r="CI268" s="2173"/>
      <c r="CJ268" s="2173"/>
      <c r="CK268" s="2173"/>
      <c r="CL268" s="2173"/>
      <c r="CM268" s="2173"/>
      <c r="CN268" s="2173"/>
      <c r="CO268" s="2173"/>
      <c r="CP268" s="2173"/>
      <c r="CQ268" s="2173"/>
      <c r="CR268" s="2173"/>
      <c r="CS268" s="2173"/>
      <c r="CT268" s="2173"/>
      <c r="CU268" s="2173"/>
      <c r="CV268" s="2173"/>
      <c r="CW268" s="2173"/>
      <c r="CX268" s="2173"/>
      <c r="CY268" s="2173"/>
      <c r="CZ268" s="2173"/>
      <c r="DA268" s="2173"/>
      <c r="DB268" s="2173"/>
      <c r="DC268" s="2173"/>
      <c r="DD268" s="2173"/>
      <c r="DE268" s="2173"/>
      <c r="DF268" s="2173"/>
      <c r="DG268" s="2173"/>
      <c r="DH268" s="442"/>
      <c r="DI268" s="442"/>
      <c r="DJ268" s="131"/>
      <c r="DK268" s="2173" t="str">
        <f>IF(Race="","",IF(NOT(ISERROR(GV268)),MID(ForceTechniquesTaken&amp;ForceSecretsTaken,GV264+1,GV268-GV264-1),""))</f>
        <v/>
      </c>
      <c r="DL268" s="2173"/>
      <c r="DM268" s="2173"/>
      <c r="DN268" s="2173"/>
      <c r="DO268" s="2173"/>
      <c r="DP268" s="2173"/>
      <c r="DQ268" s="2173"/>
      <c r="DR268" s="2173"/>
      <c r="DS268" s="2173"/>
      <c r="DT268" s="2173"/>
      <c r="DU268" s="2173"/>
      <c r="DV268" s="2173"/>
      <c r="DW268" s="2173"/>
      <c r="DX268" s="2173"/>
      <c r="DY268" s="2173"/>
      <c r="DZ268" s="2173"/>
      <c r="EA268" s="2173"/>
      <c r="EB268" s="2173"/>
      <c r="EC268" s="2173"/>
      <c r="ED268" s="2173"/>
      <c r="EE268" s="2173"/>
      <c r="EF268" s="2173"/>
      <c r="EG268" s="2173"/>
      <c r="EH268" s="2173"/>
      <c r="EI268" s="2173"/>
      <c r="EJ268" s="2173"/>
      <c r="EK268" s="2173"/>
      <c r="EL268" s="2173"/>
      <c r="EM268" s="2173"/>
      <c r="EN268" s="2173"/>
      <c r="EO268" s="2173"/>
      <c r="EP268" s="2173"/>
      <c r="EQ268" s="105"/>
      <c r="ER268" s="105"/>
      <c r="ES268" s="105"/>
      <c r="ET268" s="2173" t="str">
        <f>IF(Race="","",IF(NOT(ISERROR(GY268)),MID(ForceTechniquesTaken&amp;ForceSecretsTaken,GY264+1,GY268-GY264-1),""))</f>
        <v/>
      </c>
      <c r="EU268" s="2173"/>
      <c r="EV268" s="2173"/>
      <c r="EW268" s="2173"/>
      <c r="EX268" s="2173"/>
      <c r="EY268" s="2173"/>
      <c r="EZ268" s="2173"/>
      <c r="FA268" s="2173"/>
      <c r="FB268" s="2173"/>
      <c r="FC268" s="2173"/>
      <c r="FD268" s="2173"/>
      <c r="FE268" s="2173"/>
      <c r="FF268" s="2173"/>
      <c r="FG268" s="2173"/>
      <c r="FH268" s="2173"/>
      <c r="FI268" s="2173"/>
      <c r="FJ268" s="2173"/>
      <c r="FK268" s="2173"/>
      <c r="FL268" s="2173"/>
      <c r="FM268" s="2173"/>
      <c r="FN268" s="2173"/>
      <c r="FO268" s="2173"/>
      <c r="FP268" s="2173"/>
      <c r="FQ268" s="2173"/>
      <c r="FR268" s="2173"/>
      <c r="FS268" s="2173"/>
      <c r="FT268" s="2173"/>
      <c r="FU268" s="2173"/>
      <c r="FV268" s="2173"/>
      <c r="FW268" s="2173"/>
      <c r="FX268" s="2173"/>
      <c r="FY268" s="2173"/>
      <c r="FZ268" s="87"/>
      <c r="GA268" s="87"/>
      <c r="GC268" s="861"/>
      <c r="GD268" s="861"/>
      <c r="GE268" s="861"/>
      <c r="GF268" s="859"/>
      <c r="GG268" s="861"/>
      <c r="GH268" s="861"/>
      <c r="GI268" s="861"/>
      <c r="GJ268" s="859"/>
      <c r="GK268" s="1853">
        <f>GK264+1</f>
        <v>10</v>
      </c>
      <c r="GL268" s="1853" t="e">
        <f>FIND(";",ForcePowersTaken,GL264+1)</f>
        <v>#VALUE!</v>
      </c>
      <c r="GM268" s="859"/>
      <c r="GN268" s="859"/>
      <c r="GO268" s="1853">
        <f>GO264+1</f>
        <v>21</v>
      </c>
      <c r="GP268" s="1853" t="e">
        <f>FIND(";",ForcePowersTaken,GP264+1)</f>
        <v>#VALUE!</v>
      </c>
      <c r="GQ268" s="859"/>
      <c r="GR268" s="1853">
        <f>GR264+1</f>
        <v>2</v>
      </c>
      <c r="GS268" s="1853" t="e">
        <f>FIND(";",ForceTechniquesTaken&amp;ForceSecretsTaken,GS264+1)</f>
        <v>#VALUE!</v>
      </c>
      <c r="GT268" s="859"/>
      <c r="GU268" s="1853">
        <f>GU264+1</f>
        <v>5</v>
      </c>
      <c r="GV268" s="1853" t="e">
        <f>FIND(";",ForceTechniquesTaken&amp;ForceSecretsTaken,GV264+1)</f>
        <v>#VALUE!</v>
      </c>
      <c r="GW268" s="859"/>
      <c r="GX268" s="1853">
        <f>GX264+1</f>
        <v>8</v>
      </c>
      <c r="GY268" s="1853" t="e">
        <f>FIND(";",ForceTechniquesTaken&amp;ForceSecretsTaken,GY264+1)</f>
        <v>#VALUE!</v>
      </c>
      <c r="GZ268" s="859"/>
      <c r="HA268" s="859"/>
      <c r="HB268" s="859"/>
      <c r="HC268" s="859"/>
      <c r="HD268" s="859"/>
      <c r="HE268" s="859"/>
      <c r="HF268" s="859"/>
      <c r="HG268" s="859"/>
      <c r="HH268" s="859"/>
      <c r="HI268" s="859"/>
      <c r="HJ268" s="859"/>
      <c r="HK268" s="859"/>
      <c r="HL268" s="859"/>
      <c r="HM268" s="859"/>
      <c r="HN268" s="859"/>
      <c r="HO268" s="859"/>
      <c r="HP268" s="859"/>
      <c r="HQ268" s="859"/>
      <c r="HR268" s="859"/>
      <c r="HS268" s="859"/>
      <c r="HT268" s="859"/>
      <c r="HU268" s="859"/>
      <c r="HV268" s="859"/>
      <c r="HW268" s="859"/>
      <c r="HX268" s="859"/>
      <c r="HY268" s="859"/>
      <c r="HZ268" s="859"/>
      <c r="IA268" s="859"/>
      <c r="IB268" s="859"/>
      <c r="IC268" s="859"/>
      <c r="ID268" s="859"/>
      <c r="IE268" s="859"/>
      <c r="IF268" s="859"/>
      <c r="IG268" s="859"/>
      <c r="IH268" s="859"/>
      <c r="II268" s="859"/>
      <c r="IJ268" s="859"/>
      <c r="IK268" s="859"/>
      <c r="IL268" s="859"/>
      <c r="IM268" s="859"/>
      <c r="IN268" s="859"/>
      <c r="IO268" s="859"/>
      <c r="IP268" s="859"/>
      <c r="IQ268" s="859"/>
      <c r="IR268" s="859"/>
      <c r="IS268" s="859"/>
      <c r="IT268" s="859"/>
      <c r="IU268" s="859"/>
      <c r="IV268" s="859"/>
      <c r="IW268" s="859"/>
      <c r="IX268" s="859"/>
      <c r="IY268" s="859"/>
      <c r="IZ268" s="859"/>
      <c r="JA268" s="859"/>
      <c r="JB268" s="859"/>
      <c r="JC268" s="859"/>
      <c r="JD268" s="859"/>
      <c r="JE268" s="859"/>
      <c r="JF268" s="859"/>
      <c r="JG268" s="859"/>
      <c r="JH268" s="859"/>
      <c r="JI268" s="859"/>
      <c r="JJ268" s="859"/>
      <c r="JK268" s="859"/>
      <c r="JL268" s="859"/>
      <c r="JM268" s="859"/>
      <c r="JN268" s="859"/>
      <c r="JO268" s="859"/>
      <c r="JP268" s="859"/>
      <c r="JQ268" s="859"/>
      <c r="JR268" s="859"/>
      <c r="JS268" s="859"/>
      <c r="JT268" s="859"/>
      <c r="JU268" s="859"/>
      <c r="JV268" s="859"/>
      <c r="JW268" s="859"/>
      <c r="JX268" s="859"/>
    </row>
    <row r="269" spans="1:284" s="860" customFormat="1" ht="9" customHeight="1">
      <c r="A269" s="87"/>
      <c r="B269" s="2145"/>
      <c r="C269" s="2145"/>
      <c r="D269" s="2145"/>
      <c r="E269" s="2145"/>
      <c r="F269" s="2145"/>
      <c r="G269" s="2145"/>
      <c r="H269" s="2145"/>
      <c r="I269" s="2145"/>
      <c r="J269" s="2145"/>
      <c r="K269" s="2145"/>
      <c r="L269" s="2145"/>
      <c r="M269" s="2145"/>
      <c r="N269" s="2145"/>
      <c r="O269" s="2145"/>
      <c r="P269" s="2145"/>
      <c r="Q269" s="2145"/>
      <c r="R269" s="2145"/>
      <c r="S269" s="2145"/>
      <c r="T269" s="2145"/>
      <c r="U269" s="2145"/>
      <c r="V269" s="2145"/>
      <c r="W269" s="2145"/>
      <c r="X269" s="2145"/>
      <c r="Y269" s="2145"/>
      <c r="Z269" s="2145"/>
      <c r="AA269" s="2145"/>
      <c r="AB269" s="2145"/>
      <c r="AC269" s="2145"/>
      <c r="AD269" s="2145"/>
      <c r="AE269" s="2145"/>
      <c r="AF269" s="2145"/>
      <c r="AG269" s="2145"/>
      <c r="AH269" s="2145"/>
      <c r="AI269" s="2145"/>
      <c r="AJ269" s="2145"/>
      <c r="AK269" s="2145"/>
      <c r="AL269" s="384"/>
      <c r="AM269" s="2145"/>
      <c r="AN269" s="2145"/>
      <c r="AO269" s="2145"/>
      <c r="AP269" s="2145"/>
      <c r="AQ269" s="2145"/>
      <c r="AR269" s="2145"/>
      <c r="AS269" s="2145"/>
      <c r="AT269" s="2145"/>
      <c r="AU269" s="2145"/>
      <c r="AV269" s="2145"/>
      <c r="AW269" s="2145"/>
      <c r="AX269" s="2145"/>
      <c r="AY269" s="2145"/>
      <c r="AZ269" s="2145"/>
      <c r="BA269" s="2145"/>
      <c r="BB269" s="2145"/>
      <c r="BC269" s="2145"/>
      <c r="BD269" s="2145"/>
      <c r="BE269" s="2145"/>
      <c r="BF269" s="2145"/>
      <c r="BG269" s="2145"/>
      <c r="BH269" s="2145"/>
      <c r="BI269" s="2145"/>
      <c r="BJ269" s="2145"/>
      <c r="BK269" s="2145"/>
      <c r="BL269" s="2145"/>
      <c r="BM269" s="2145"/>
      <c r="BN269" s="2145"/>
      <c r="BO269" s="2145"/>
      <c r="BP269" s="2145"/>
      <c r="BQ269" s="2145"/>
      <c r="BR269" s="2145"/>
      <c r="BS269" s="2145"/>
      <c r="BT269" s="2145"/>
      <c r="BU269" s="2145"/>
      <c r="BV269" s="2145"/>
      <c r="BW269" s="384"/>
      <c r="BX269" s="384"/>
      <c r="BY269" s="384"/>
      <c r="BZ269" s="384"/>
      <c r="CA269" s="87"/>
      <c r="CB269" s="2173"/>
      <c r="CC269" s="2173"/>
      <c r="CD269" s="2173"/>
      <c r="CE269" s="2173"/>
      <c r="CF269" s="2173"/>
      <c r="CG269" s="2173"/>
      <c r="CH269" s="2173"/>
      <c r="CI269" s="2173"/>
      <c r="CJ269" s="2173"/>
      <c r="CK269" s="2173"/>
      <c r="CL269" s="2173"/>
      <c r="CM269" s="2173"/>
      <c r="CN269" s="2173"/>
      <c r="CO269" s="2173"/>
      <c r="CP269" s="2173"/>
      <c r="CQ269" s="2173"/>
      <c r="CR269" s="2173"/>
      <c r="CS269" s="2173"/>
      <c r="CT269" s="2173"/>
      <c r="CU269" s="2173"/>
      <c r="CV269" s="2173"/>
      <c r="CW269" s="2173"/>
      <c r="CX269" s="2173"/>
      <c r="CY269" s="2173"/>
      <c r="CZ269" s="2173"/>
      <c r="DA269" s="2173"/>
      <c r="DB269" s="2173"/>
      <c r="DC269" s="2173"/>
      <c r="DD269" s="2173"/>
      <c r="DE269" s="2173"/>
      <c r="DF269" s="2173"/>
      <c r="DG269" s="2173"/>
      <c r="DH269" s="874"/>
      <c r="DI269" s="874"/>
      <c r="DJ269" s="874"/>
      <c r="DK269" s="2173"/>
      <c r="DL269" s="2173"/>
      <c r="DM269" s="2173"/>
      <c r="DN269" s="2173"/>
      <c r="DO269" s="2173"/>
      <c r="DP269" s="2173"/>
      <c r="DQ269" s="2173"/>
      <c r="DR269" s="2173"/>
      <c r="DS269" s="2173"/>
      <c r="DT269" s="2173"/>
      <c r="DU269" s="2173"/>
      <c r="DV269" s="2173"/>
      <c r="DW269" s="2173"/>
      <c r="DX269" s="2173"/>
      <c r="DY269" s="2173"/>
      <c r="DZ269" s="2173"/>
      <c r="EA269" s="2173"/>
      <c r="EB269" s="2173"/>
      <c r="EC269" s="2173"/>
      <c r="ED269" s="2173"/>
      <c r="EE269" s="2173"/>
      <c r="EF269" s="2173"/>
      <c r="EG269" s="2173"/>
      <c r="EH269" s="2173"/>
      <c r="EI269" s="2173"/>
      <c r="EJ269" s="2173"/>
      <c r="EK269" s="2173"/>
      <c r="EL269" s="2173"/>
      <c r="EM269" s="2173"/>
      <c r="EN269" s="2173"/>
      <c r="EO269" s="2173"/>
      <c r="EP269" s="2173"/>
      <c r="EQ269" s="874"/>
      <c r="ER269" s="874"/>
      <c r="ES269" s="874"/>
      <c r="ET269" s="2173"/>
      <c r="EU269" s="2173"/>
      <c r="EV269" s="2173"/>
      <c r="EW269" s="2173"/>
      <c r="EX269" s="2173"/>
      <c r="EY269" s="2173"/>
      <c r="EZ269" s="2173"/>
      <c r="FA269" s="2173"/>
      <c r="FB269" s="2173"/>
      <c r="FC269" s="2173"/>
      <c r="FD269" s="2173"/>
      <c r="FE269" s="2173"/>
      <c r="FF269" s="2173"/>
      <c r="FG269" s="2173"/>
      <c r="FH269" s="2173"/>
      <c r="FI269" s="2173"/>
      <c r="FJ269" s="2173"/>
      <c r="FK269" s="2173"/>
      <c r="FL269" s="2173"/>
      <c r="FM269" s="2173"/>
      <c r="FN269" s="2173"/>
      <c r="FO269" s="2173"/>
      <c r="FP269" s="2173"/>
      <c r="FQ269" s="2173"/>
      <c r="FR269" s="2173"/>
      <c r="FS269" s="2173"/>
      <c r="FT269" s="2173"/>
      <c r="FU269" s="2173"/>
      <c r="FV269" s="2173"/>
      <c r="FW269" s="2173"/>
      <c r="FX269" s="2173"/>
      <c r="FY269" s="2173"/>
      <c r="FZ269" s="87"/>
      <c r="GA269" s="87"/>
      <c r="GC269" s="861"/>
      <c r="GD269" s="861"/>
      <c r="GE269" s="861"/>
      <c r="GF269" s="859"/>
      <c r="GG269" s="861"/>
      <c r="GH269" s="861"/>
      <c r="GI269" s="861"/>
      <c r="GJ269" s="859"/>
      <c r="GK269" s="1853"/>
      <c r="GL269" s="1853"/>
      <c r="GM269" s="859"/>
      <c r="GN269" s="859"/>
      <c r="GO269" s="1853"/>
      <c r="GP269" s="1853"/>
      <c r="GQ269" s="859"/>
      <c r="GR269" s="1853"/>
      <c r="GS269" s="1853"/>
      <c r="GT269" s="859"/>
      <c r="GU269" s="1853"/>
      <c r="GV269" s="1853"/>
      <c r="GW269" s="859"/>
      <c r="GX269" s="1853"/>
      <c r="GY269" s="1853"/>
      <c r="GZ269" s="859"/>
      <c r="HA269" s="859"/>
      <c r="HB269" s="859"/>
      <c r="HC269" s="859"/>
      <c r="HD269" s="859"/>
      <c r="HE269" s="859"/>
      <c r="HF269" s="859"/>
      <c r="HG269" s="859"/>
      <c r="HH269" s="859"/>
      <c r="HI269" s="859"/>
      <c r="HJ269" s="859"/>
      <c r="HK269" s="859"/>
      <c r="HL269" s="859"/>
      <c r="HM269" s="859"/>
      <c r="HN269" s="859"/>
      <c r="HO269" s="859"/>
      <c r="HP269" s="859"/>
      <c r="HQ269" s="859"/>
      <c r="HR269" s="859"/>
      <c r="HS269" s="859"/>
      <c r="HT269" s="859"/>
      <c r="HU269" s="859"/>
      <c r="HV269" s="859"/>
      <c r="HW269" s="859"/>
      <c r="HX269" s="859"/>
      <c r="HY269" s="859"/>
      <c r="HZ269" s="859"/>
      <c r="IA269" s="859"/>
      <c r="IB269" s="859"/>
      <c r="IC269" s="859"/>
      <c r="ID269" s="859"/>
      <c r="IE269" s="859"/>
      <c r="IF269" s="859"/>
      <c r="IG269" s="859"/>
      <c r="IH269" s="859"/>
      <c r="II269" s="859"/>
      <c r="IJ269" s="859"/>
      <c r="IK269" s="859"/>
      <c r="IL269" s="859"/>
      <c r="IM269" s="859"/>
      <c r="IN269" s="859"/>
      <c r="IO269" s="859"/>
      <c r="IP269" s="859"/>
      <c r="IQ269" s="859"/>
      <c r="IR269" s="859"/>
      <c r="IS269" s="859"/>
      <c r="IT269" s="859"/>
      <c r="IU269" s="859"/>
      <c r="IV269" s="859"/>
      <c r="IW269" s="859"/>
      <c r="IX269" s="859"/>
      <c r="IY269" s="859"/>
      <c r="IZ269" s="859"/>
      <c r="JA269" s="859"/>
      <c r="JB269" s="859"/>
      <c r="JC269" s="859"/>
      <c r="JD269" s="859"/>
      <c r="JE269" s="859"/>
      <c r="JF269" s="859"/>
      <c r="JG269" s="859"/>
      <c r="JH269" s="859"/>
      <c r="JI269" s="859"/>
      <c r="JJ269" s="859"/>
      <c r="JK269" s="859"/>
      <c r="JL269" s="859"/>
      <c r="JM269" s="859"/>
      <c r="JN269" s="859"/>
      <c r="JO269" s="859"/>
      <c r="JP269" s="859"/>
      <c r="JQ269" s="859"/>
      <c r="JR269" s="859"/>
      <c r="JS269" s="859"/>
      <c r="JT269" s="859"/>
      <c r="JU269" s="859"/>
      <c r="JV269" s="859"/>
      <c r="JW269" s="859"/>
      <c r="JX269" s="859"/>
    </row>
    <row r="270" spans="1:284" s="860" customFormat="1" ht="9" customHeight="1" thickBot="1">
      <c r="A270" s="87"/>
      <c r="B270" s="2146"/>
      <c r="C270" s="2146"/>
      <c r="D270" s="2146"/>
      <c r="E270" s="2146"/>
      <c r="F270" s="2146"/>
      <c r="G270" s="2146"/>
      <c r="H270" s="2146"/>
      <c r="I270" s="2146"/>
      <c r="J270" s="2146"/>
      <c r="K270" s="2146"/>
      <c r="L270" s="2146"/>
      <c r="M270" s="2146"/>
      <c r="N270" s="2146"/>
      <c r="O270" s="2146"/>
      <c r="P270" s="2146"/>
      <c r="Q270" s="2146"/>
      <c r="R270" s="2146"/>
      <c r="S270" s="2146"/>
      <c r="T270" s="2146"/>
      <c r="U270" s="2146"/>
      <c r="V270" s="2146"/>
      <c r="W270" s="2146"/>
      <c r="X270" s="2146"/>
      <c r="Y270" s="2146"/>
      <c r="Z270" s="2146"/>
      <c r="AA270" s="2146"/>
      <c r="AB270" s="2146"/>
      <c r="AC270" s="2146"/>
      <c r="AD270" s="2146"/>
      <c r="AE270" s="2146"/>
      <c r="AF270" s="2146"/>
      <c r="AG270" s="2146"/>
      <c r="AH270" s="2146"/>
      <c r="AI270" s="2146"/>
      <c r="AJ270" s="2146"/>
      <c r="AK270" s="2146"/>
      <c r="AL270" s="384"/>
      <c r="AM270" s="2146"/>
      <c r="AN270" s="2146"/>
      <c r="AO270" s="2146"/>
      <c r="AP270" s="2146"/>
      <c r="AQ270" s="2146"/>
      <c r="AR270" s="2146"/>
      <c r="AS270" s="2146"/>
      <c r="AT270" s="2146"/>
      <c r="AU270" s="2146"/>
      <c r="AV270" s="2146"/>
      <c r="AW270" s="2146"/>
      <c r="AX270" s="2146"/>
      <c r="AY270" s="2146"/>
      <c r="AZ270" s="2146"/>
      <c r="BA270" s="2146"/>
      <c r="BB270" s="2146"/>
      <c r="BC270" s="2146"/>
      <c r="BD270" s="2146"/>
      <c r="BE270" s="2146"/>
      <c r="BF270" s="2146"/>
      <c r="BG270" s="2146"/>
      <c r="BH270" s="2146"/>
      <c r="BI270" s="2146"/>
      <c r="BJ270" s="2146"/>
      <c r="BK270" s="2146"/>
      <c r="BL270" s="2146"/>
      <c r="BM270" s="2146"/>
      <c r="BN270" s="2146"/>
      <c r="BO270" s="2146"/>
      <c r="BP270" s="2146"/>
      <c r="BQ270" s="2146"/>
      <c r="BR270" s="2146"/>
      <c r="BS270" s="2146"/>
      <c r="BT270" s="2146"/>
      <c r="BU270" s="2146"/>
      <c r="BV270" s="2146"/>
      <c r="BW270" s="384"/>
      <c r="BX270" s="384"/>
      <c r="BY270" s="384"/>
      <c r="BZ270" s="384"/>
      <c r="CA270" s="87"/>
      <c r="CB270" s="2174"/>
      <c r="CC270" s="2174"/>
      <c r="CD270" s="2174"/>
      <c r="CE270" s="2174"/>
      <c r="CF270" s="2174"/>
      <c r="CG270" s="2174"/>
      <c r="CH270" s="2174"/>
      <c r="CI270" s="2174"/>
      <c r="CJ270" s="2174"/>
      <c r="CK270" s="2174"/>
      <c r="CL270" s="2174"/>
      <c r="CM270" s="2174"/>
      <c r="CN270" s="2174"/>
      <c r="CO270" s="2174"/>
      <c r="CP270" s="2174"/>
      <c r="CQ270" s="2174"/>
      <c r="CR270" s="2174"/>
      <c r="CS270" s="2174"/>
      <c r="CT270" s="2174"/>
      <c r="CU270" s="2174"/>
      <c r="CV270" s="2174"/>
      <c r="CW270" s="2174"/>
      <c r="CX270" s="2174"/>
      <c r="CY270" s="2174"/>
      <c r="CZ270" s="2174"/>
      <c r="DA270" s="2174"/>
      <c r="DB270" s="2174"/>
      <c r="DC270" s="2174"/>
      <c r="DD270" s="2174"/>
      <c r="DE270" s="2174"/>
      <c r="DF270" s="2174"/>
      <c r="DG270" s="2174"/>
      <c r="DH270" s="874"/>
      <c r="DI270" s="874"/>
      <c r="DJ270" s="874"/>
      <c r="DK270" s="2174"/>
      <c r="DL270" s="2174"/>
      <c r="DM270" s="2174"/>
      <c r="DN270" s="2174"/>
      <c r="DO270" s="2174"/>
      <c r="DP270" s="2174"/>
      <c r="DQ270" s="2174"/>
      <c r="DR270" s="2174"/>
      <c r="DS270" s="2174"/>
      <c r="DT270" s="2174"/>
      <c r="DU270" s="2174"/>
      <c r="DV270" s="2174"/>
      <c r="DW270" s="2174"/>
      <c r="DX270" s="2174"/>
      <c r="DY270" s="2174"/>
      <c r="DZ270" s="2174"/>
      <c r="EA270" s="2174"/>
      <c r="EB270" s="2174"/>
      <c r="EC270" s="2174"/>
      <c r="ED270" s="2174"/>
      <c r="EE270" s="2174"/>
      <c r="EF270" s="2174"/>
      <c r="EG270" s="2174"/>
      <c r="EH270" s="2174"/>
      <c r="EI270" s="2174"/>
      <c r="EJ270" s="2174"/>
      <c r="EK270" s="2174"/>
      <c r="EL270" s="2174"/>
      <c r="EM270" s="2174"/>
      <c r="EN270" s="2174"/>
      <c r="EO270" s="2174"/>
      <c r="EP270" s="2174"/>
      <c r="EQ270" s="874"/>
      <c r="ER270" s="874"/>
      <c r="ES270" s="874"/>
      <c r="ET270" s="2174"/>
      <c r="EU270" s="2174"/>
      <c r="EV270" s="2174"/>
      <c r="EW270" s="2174"/>
      <c r="EX270" s="2174"/>
      <c r="EY270" s="2174"/>
      <c r="EZ270" s="2174"/>
      <c r="FA270" s="2174"/>
      <c r="FB270" s="2174"/>
      <c r="FC270" s="2174"/>
      <c r="FD270" s="2174"/>
      <c r="FE270" s="2174"/>
      <c r="FF270" s="2174"/>
      <c r="FG270" s="2174"/>
      <c r="FH270" s="2174"/>
      <c r="FI270" s="2174"/>
      <c r="FJ270" s="2174"/>
      <c r="FK270" s="2174"/>
      <c r="FL270" s="2174"/>
      <c r="FM270" s="2174"/>
      <c r="FN270" s="2174"/>
      <c r="FO270" s="2174"/>
      <c r="FP270" s="2174"/>
      <c r="FQ270" s="2174"/>
      <c r="FR270" s="2174"/>
      <c r="FS270" s="2174"/>
      <c r="FT270" s="2174"/>
      <c r="FU270" s="2174"/>
      <c r="FV270" s="2174"/>
      <c r="FW270" s="2174"/>
      <c r="FX270" s="2174"/>
      <c r="FY270" s="2174"/>
      <c r="FZ270" s="87"/>
      <c r="GA270" s="87"/>
      <c r="GC270" s="861"/>
      <c r="GD270" s="861"/>
      <c r="GE270" s="861"/>
      <c r="GF270" s="859"/>
      <c r="GG270" s="861"/>
      <c r="GH270" s="861"/>
      <c r="GI270" s="861"/>
      <c r="GJ270" s="859"/>
      <c r="GK270" s="1853"/>
      <c r="GL270" s="1853"/>
      <c r="GM270" s="859"/>
      <c r="GN270" s="859"/>
      <c r="GO270" s="1853"/>
      <c r="GP270" s="1853"/>
      <c r="GQ270" s="859"/>
      <c r="GR270" s="1853"/>
      <c r="GS270" s="1853"/>
      <c r="GT270" s="859"/>
      <c r="GU270" s="1853"/>
      <c r="GV270" s="1853"/>
      <c r="GW270" s="859"/>
      <c r="GX270" s="1853"/>
      <c r="GY270" s="1853"/>
      <c r="GZ270" s="859"/>
      <c r="HA270" s="859"/>
      <c r="HB270" s="859"/>
      <c r="HC270" s="859"/>
      <c r="HD270" s="859"/>
      <c r="HE270" s="859"/>
      <c r="HF270" s="859"/>
      <c r="HG270" s="859"/>
      <c r="HH270" s="859"/>
      <c r="HI270" s="859"/>
      <c r="HJ270" s="859"/>
      <c r="HK270" s="859"/>
      <c r="HL270" s="859"/>
      <c r="HM270" s="859"/>
      <c r="HN270" s="859"/>
      <c r="HO270" s="859"/>
      <c r="HP270" s="859"/>
      <c r="HQ270" s="859"/>
      <c r="HR270" s="859"/>
      <c r="HS270" s="859"/>
      <c r="HT270" s="859"/>
      <c r="HU270" s="859"/>
      <c r="HV270" s="859"/>
      <c r="HW270" s="859"/>
      <c r="HX270" s="859"/>
      <c r="HY270" s="859"/>
      <c r="HZ270" s="859"/>
      <c r="IA270" s="859"/>
      <c r="IB270" s="859"/>
      <c r="IC270" s="859"/>
      <c r="ID270" s="859"/>
      <c r="IE270" s="859"/>
      <c r="IF270" s="859"/>
      <c r="IG270" s="859"/>
      <c r="IH270" s="859"/>
      <c r="II270" s="859"/>
      <c r="IJ270" s="859"/>
      <c r="IK270" s="859"/>
      <c r="IL270" s="859"/>
      <c r="IM270" s="859"/>
      <c r="IN270" s="859"/>
      <c r="IO270" s="859"/>
      <c r="IP270" s="859"/>
      <c r="IQ270" s="859"/>
      <c r="IR270" s="859"/>
      <c r="IS270" s="859"/>
      <c r="IT270" s="859"/>
      <c r="IU270" s="859"/>
      <c r="IV270" s="859"/>
      <c r="IW270" s="859"/>
      <c r="IX270" s="859"/>
      <c r="IY270" s="859"/>
      <c r="IZ270" s="859"/>
      <c r="JA270" s="859"/>
      <c r="JB270" s="859"/>
      <c r="JC270" s="859"/>
      <c r="JD270" s="859"/>
      <c r="JE270" s="859"/>
      <c r="JF270" s="859"/>
      <c r="JG270" s="859"/>
      <c r="JH270" s="859"/>
      <c r="JI270" s="859"/>
      <c r="JJ270" s="859"/>
      <c r="JK270" s="859"/>
      <c r="JL270" s="859"/>
      <c r="JM270" s="859"/>
      <c r="JN270" s="859"/>
      <c r="JO270" s="859"/>
      <c r="JP270" s="859"/>
      <c r="JQ270" s="859"/>
      <c r="JR270" s="859"/>
      <c r="JS270" s="859"/>
      <c r="JT270" s="859"/>
      <c r="JU270" s="859"/>
      <c r="JV270" s="859"/>
      <c r="JW270" s="859"/>
      <c r="JX270" s="859"/>
    </row>
    <row r="271" spans="1:284" s="860" customFormat="1" ht="9" customHeight="1">
      <c r="A271" s="87"/>
      <c r="B271" s="87"/>
      <c r="C271" s="87"/>
      <c r="D271" s="384"/>
      <c r="E271" s="384"/>
      <c r="F271" s="384"/>
      <c r="G271" s="384"/>
      <c r="H271" s="384"/>
      <c r="I271" s="384"/>
      <c r="J271" s="384"/>
      <c r="K271" s="384"/>
      <c r="L271" s="384"/>
      <c r="M271" s="384"/>
      <c r="N271" s="384"/>
      <c r="O271" s="384"/>
      <c r="P271" s="384"/>
      <c r="Q271" s="384"/>
      <c r="R271" s="384"/>
      <c r="S271" s="384"/>
      <c r="T271" s="384"/>
      <c r="U271" s="384"/>
      <c r="V271" s="384"/>
      <c r="W271" s="384"/>
      <c r="X271" s="384"/>
      <c r="Y271" s="384"/>
      <c r="Z271" s="384"/>
      <c r="AA271" s="384"/>
      <c r="AB271" s="384"/>
      <c r="AC271" s="384"/>
      <c r="AD271" s="384"/>
      <c r="AE271" s="384"/>
      <c r="AF271" s="384"/>
      <c r="AG271" s="384"/>
      <c r="AH271" s="384"/>
      <c r="AI271" s="384"/>
      <c r="AJ271" s="384"/>
      <c r="AK271" s="384"/>
      <c r="AL271" s="384"/>
      <c r="AM271" s="87"/>
      <c r="AN271" s="87"/>
      <c r="AO271" s="87"/>
      <c r="AP271" s="87"/>
      <c r="AQ271" s="87"/>
      <c r="AR271" s="87"/>
      <c r="AS271" s="87"/>
      <c r="AT271" s="384"/>
      <c r="AU271" s="384"/>
      <c r="AV271" s="384"/>
      <c r="AW271" s="384"/>
      <c r="AX271" s="384"/>
      <c r="AY271" s="384"/>
      <c r="AZ271" s="384"/>
      <c r="BA271" s="384"/>
      <c r="BB271" s="384"/>
      <c r="BC271" s="384"/>
      <c r="BD271" s="384"/>
      <c r="BE271" s="384"/>
      <c r="BF271" s="384"/>
      <c r="BG271" s="384"/>
      <c r="BH271" s="384"/>
      <c r="BI271" s="384"/>
      <c r="BJ271" s="384"/>
      <c r="BK271" s="384"/>
      <c r="BL271" s="384"/>
      <c r="BM271" s="384"/>
      <c r="BN271" s="384"/>
      <c r="BO271" s="384"/>
      <c r="BP271" s="384"/>
      <c r="BQ271" s="384"/>
      <c r="BR271" s="384"/>
      <c r="BS271" s="384"/>
      <c r="BT271" s="384"/>
      <c r="BU271" s="384"/>
      <c r="BV271" s="384"/>
      <c r="BW271" s="384"/>
      <c r="BX271" s="384"/>
      <c r="BY271" s="384"/>
      <c r="BZ271" s="384"/>
      <c r="CA271" s="87"/>
      <c r="CB271" s="874"/>
      <c r="CC271" s="874"/>
      <c r="CD271" s="874"/>
      <c r="CE271" s="874"/>
      <c r="CF271" s="874"/>
      <c r="CG271" s="874"/>
      <c r="CH271" s="874"/>
      <c r="CI271" s="874"/>
      <c r="CJ271" s="874"/>
      <c r="CK271" s="874"/>
      <c r="CL271" s="874"/>
      <c r="CM271" s="874"/>
      <c r="CN271" s="874"/>
      <c r="CO271" s="874"/>
      <c r="CP271" s="874"/>
      <c r="CQ271" s="874"/>
      <c r="CR271" s="874"/>
      <c r="CS271" s="874"/>
      <c r="CT271" s="874"/>
      <c r="CU271" s="874"/>
      <c r="CV271" s="874"/>
      <c r="CW271" s="874"/>
      <c r="CX271" s="874"/>
      <c r="CY271" s="874"/>
      <c r="CZ271" s="874"/>
      <c r="DA271" s="874"/>
      <c r="DB271" s="874"/>
      <c r="DC271" s="874"/>
      <c r="DD271" s="874"/>
      <c r="DE271" s="874"/>
      <c r="DF271" s="874"/>
      <c r="DG271" s="874"/>
      <c r="DH271" s="874"/>
      <c r="DI271" s="874"/>
      <c r="DJ271" s="874"/>
      <c r="DK271" s="874"/>
      <c r="DL271" s="874"/>
      <c r="DM271" s="874"/>
      <c r="DN271" s="874"/>
      <c r="DO271" s="874"/>
      <c r="DP271" s="874"/>
      <c r="DQ271" s="111"/>
      <c r="DR271" s="111"/>
      <c r="DS271" s="875"/>
      <c r="DT271" s="875"/>
      <c r="DU271" s="875"/>
      <c r="DV271" s="875"/>
      <c r="DW271" s="875"/>
      <c r="DX271" s="875"/>
      <c r="DY271" s="875"/>
      <c r="DZ271" s="111"/>
      <c r="EA271" s="111"/>
      <c r="EB271" s="874"/>
      <c r="EC271" s="874"/>
      <c r="ED271" s="874"/>
      <c r="EE271" s="874"/>
      <c r="EF271" s="874"/>
      <c r="EG271" s="874"/>
      <c r="EH271" s="874"/>
      <c r="EI271" s="874"/>
      <c r="EJ271" s="874"/>
      <c r="EK271" s="874"/>
      <c r="EL271" s="874"/>
      <c r="EM271" s="874"/>
      <c r="EN271" s="874"/>
      <c r="EO271" s="874"/>
      <c r="EP271" s="874"/>
      <c r="EQ271" s="874"/>
      <c r="ER271" s="874"/>
      <c r="ES271" s="874"/>
      <c r="ET271" s="874"/>
      <c r="EU271" s="874"/>
      <c r="EV271" s="874"/>
      <c r="EW271" s="874"/>
      <c r="EX271" s="874"/>
      <c r="EY271" s="874"/>
      <c r="EZ271" s="874"/>
      <c r="FA271" s="874"/>
      <c r="FB271" s="874"/>
      <c r="FC271" s="874"/>
      <c r="FD271" s="874"/>
      <c r="FE271" s="874"/>
      <c r="FF271" s="874"/>
      <c r="FG271" s="874"/>
      <c r="FH271" s="874"/>
      <c r="FI271" s="874"/>
      <c r="FJ271" s="874"/>
      <c r="FK271" s="874"/>
      <c r="FL271" s="874"/>
      <c r="FM271" s="874"/>
      <c r="FN271" s="874"/>
      <c r="FO271" s="874"/>
      <c r="FP271" s="874"/>
      <c r="FQ271" s="111"/>
      <c r="FR271" s="111"/>
      <c r="FS271" s="875"/>
      <c r="FT271" s="875"/>
      <c r="FU271" s="875"/>
      <c r="FV271" s="875"/>
      <c r="FW271" s="875"/>
      <c r="FX271" s="875"/>
      <c r="FY271" s="875"/>
      <c r="FZ271" s="87"/>
      <c r="GA271" s="87"/>
      <c r="GC271" s="861"/>
      <c r="GD271" s="861"/>
      <c r="GE271" s="861"/>
      <c r="GF271" s="859"/>
      <c r="GG271" s="861"/>
      <c r="GH271" s="861"/>
      <c r="GI271" s="861"/>
      <c r="GJ271" s="859"/>
      <c r="GK271" s="859"/>
      <c r="GL271" s="859"/>
      <c r="GM271" s="859"/>
      <c r="GN271" s="859"/>
      <c r="GO271" s="861"/>
      <c r="GP271" s="861"/>
      <c r="GQ271" s="859"/>
      <c r="GR271" s="714"/>
      <c r="GS271" s="714"/>
      <c r="GT271" s="859"/>
      <c r="GU271" s="859"/>
      <c r="GV271" s="859"/>
      <c r="GW271" s="859"/>
      <c r="GX271" s="859"/>
      <c r="GY271" s="859"/>
      <c r="GZ271" s="859"/>
      <c r="HA271" s="859"/>
      <c r="HB271" s="859"/>
      <c r="HC271" s="859"/>
      <c r="HD271" s="859"/>
      <c r="HE271" s="859"/>
      <c r="HF271" s="859"/>
      <c r="HG271" s="859"/>
      <c r="HH271" s="859"/>
      <c r="HI271" s="859"/>
      <c r="HJ271" s="859"/>
      <c r="HK271" s="859"/>
      <c r="HL271" s="859"/>
      <c r="HM271" s="859"/>
      <c r="HN271" s="859"/>
      <c r="HO271" s="859"/>
      <c r="HP271" s="859"/>
      <c r="HQ271" s="859"/>
      <c r="HR271" s="859"/>
      <c r="HS271" s="859"/>
      <c r="HT271" s="859"/>
      <c r="HU271" s="859"/>
      <c r="HV271" s="859"/>
      <c r="HW271" s="859"/>
      <c r="HX271" s="859"/>
      <c r="HY271" s="859"/>
      <c r="HZ271" s="859"/>
      <c r="IA271" s="859"/>
      <c r="IB271" s="859"/>
      <c r="IC271" s="859"/>
      <c r="ID271" s="859"/>
      <c r="IE271" s="859"/>
      <c r="IF271" s="859"/>
      <c r="IG271" s="859"/>
      <c r="IH271" s="859"/>
      <c r="II271" s="859"/>
      <c r="IJ271" s="859"/>
      <c r="IK271" s="859"/>
      <c r="IL271" s="859"/>
      <c r="IM271" s="859"/>
      <c r="IN271" s="859"/>
      <c r="IO271" s="859"/>
      <c r="IP271" s="859"/>
      <c r="IQ271" s="859"/>
      <c r="IR271" s="859"/>
      <c r="IS271" s="859"/>
      <c r="IT271" s="859"/>
      <c r="IU271" s="859"/>
      <c r="IV271" s="859"/>
      <c r="IW271" s="859"/>
      <c r="IX271" s="859"/>
      <c r="IY271" s="859"/>
      <c r="IZ271" s="859"/>
      <c r="JA271" s="859"/>
      <c r="JB271" s="859"/>
      <c r="JC271" s="859"/>
      <c r="JD271" s="859"/>
      <c r="JE271" s="859"/>
      <c r="JF271" s="859"/>
      <c r="JG271" s="859"/>
      <c r="JH271" s="859"/>
      <c r="JI271" s="859"/>
      <c r="JJ271" s="859"/>
      <c r="JK271" s="859"/>
      <c r="JL271" s="859"/>
      <c r="JM271" s="859"/>
      <c r="JN271" s="859"/>
      <c r="JO271" s="859"/>
      <c r="JP271" s="859"/>
      <c r="JQ271" s="859"/>
      <c r="JR271" s="859"/>
      <c r="JS271" s="859"/>
      <c r="JT271" s="859"/>
      <c r="JU271" s="859"/>
      <c r="JV271" s="859"/>
      <c r="JW271" s="859"/>
      <c r="JX271" s="859"/>
    </row>
    <row r="272" spans="1:284" s="860" customFormat="1" ht="9" customHeight="1">
      <c r="A272" s="87"/>
      <c r="B272" s="2145" t="str">
        <f>IF(Race="","",IF(NOT(ISERROR(GL272)),MID(ForcePowersTaken,GL268+1,GL272-GL268-1),""))</f>
        <v/>
      </c>
      <c r="C272" s="2145"/>
      <c r="D272" s="2145"/>
      <c r="E272" s="2145"/>
      <c r="F272" s="2145"/>
      <c r="G272" s="2145"/>
      <c r="H272" s="2145"/>
      <c r="I272" s="2145"/>
      <c r="J272" s="2145"/>
      <c r="K272" s="2145"/>
      <c r="L272" s="2145"/>
      <c r="M272" s="2145"/>
      <c r="N272" s="2145"/>
      <c r="O272" s="2145"/>
      <c r="P272" s="2145"/>
      <c r="Q272" s="2145"/>
      <c r="R272" s="2145"/>
      <c r="S272" s="2145"/>
      <c r="T272" s="2145"/>
      <c r="U272" s="2145"/>
      <c r="V272" s="2145"/>
      <c r="W272" s="2145"/>
      <c r="X272" s="2145"/>
      <c r="Y272" s="2145"/>
      <c r="Z272" s="2145"/>
      <c r="AA272" s="2145"/>
      <c r="AB272" s="2145"/>
      <c r="AC272" s="2145"/>
      <c r="AD272" s="2145"/>
      <c r="AE272" s="2145"/>
      <c r="AF272" s="2145"/>
      <c r="AG272" s="2145"/>
      <c r="AH272" s="2145"/>
      <c r="AI272" s="2145"/>
      <c r="AJ272" s="2145"/>
      <c r="AK272" s="2145"/>
      <c r="AL272" s="301"/>
      <c r="AM272" s="2145" t="str">
        <f>IF(Race="","",IF(NOT(ISERROR(GP272)),MID(ForcePowersTaken,GP268+1,GP272-GP268-1),""))</f>
        <v/>
      </c>
      <c r="AN272" s="2145"/>
      <c r="AO272" s="2145"/>
      <c r="AP272" s="2145"/>
      <c r="AQ272" s="2145"/>
      <c r="AR272" s="2145"/>
      <c r="AS272" s="2145"/>
      <c r="AT272" s="2145"/>
      <c r="AU272" s="2145"/>
      <c r="AV272" s="2145"/>
      <c r="AW272" s="2145"/>
      <c r="AX272" s="2145"/>
      <c r="AY272" s="2145"/>
      <c r="AZ272" s="2145"/>
      <c r="BA272" s="2145"/>
      <c r="BB272" s="2145"/>
      <c r="BC272" s="2145"/>
      <c r="BD272" s="2145"/>
      <c r="BE272" s="2145"/>
      <c r="BF272" s="2145"/>
      <c r="BG272" s="2145"/>
      <c r="BH272" s="2145"/>
      <c r="BI272" s="2145"/>
      <c r="BJ272" s="2145"/>
      <c r="BK272" s="2145"/>
      <c r="BL272" s="2145"/>
      <c r="BM272" s="2145"/>
      <c r="BN272" s="2145"/>
      <c r="BO272" s="2145"/>
      <c r="BP272" s="2145"/>
      <c r="BQ272" s="2145"/>
      <c r="BR272" s="2145"/>
      <c r="BS272" s="2145"/>
      <c r="BT272" s="2145"/>
      <c r="BU272" s="2145"/>
      <c r="BV272" s="2145"/>
      <c r="BW272" s="384"/>
      <c r="BX272" s="384"/>
      <c r="BY272" s="384"/>
      <c r="BZ272" s="384"/>
      <c r="CA272" s="87"/>
      <c r="CB272" s="2173" t="str">
        <f>IF(Race="","",IF(NOT(ISERROR(GS272)),MID(ForceTechniquesTaken&amp;ForceSecretsTaken,GS268+1,GS272-GS268-1),""))</f>
        <v/>
      </c>
      <c r="CC272" s="2173"/>
      <c r="CD272" s="2173"/>
      <c r="CE272" s="2173"/>
      <c r="CF272" s="2173"/>
      <c r="CG272" s="2173"/>
      <c r="CH272" s="2173"/>
      <c r="CI272" s="2173"/>
      <c r="CJ272" s="2173"/>
      <c r="CK272" s="2173"/>
      <c r="CL272" s="2173"/>
      <c r="CM272" s="2173"/>
      <c r="CN272" s="2173"/>
      <c r="CO272" s="2173"/>
      <c r="CP272" s="2173"/>
      <c r="CQ272" s="2173"/>
      <c r="CR272" s="2173"/>
      <c r="CS272" s="2173"/>
      <c r="CT272" s="2173"/>
      <c r="CU272" s="2173"/>
      <c r="CV272" s="2173"/>
      <c r="CW272" s="2173"/>
      <c r="CX272" s="2173"/>
      <c r="CY272" s="2173"/>
      <c r="CZ272" s="2173"/>
      <c r="DA272" s="2173"/>
      <c r="DB272" s="2173"/>
      <c r="DC272" s="2173"/>
      <c r="DD272" s="2173"/>
      <c r="DE272" s="2173"/>
      <c r="DF272" s="2173"/>
      <c r="DG272" s="2173"/>
      <c r="DH272" s="874"/>
      <c r="DI272" s="874"/>
      <c r="DJ272" s="874"/>
      <c r="DK272" s="2173" t="str">
        <f>IF(Race="","",IF(NOT(ISERROR(GV272)),MID(ForceTechniquesTaken&amp;ForceSecretsTaken,GV268+1,GV272-GV268-1),""))</f>
        <v/>
      </c>
      <c r="DL272" s="2173"/>
      <c r="DM272" s="2173"/>
      <c r="DN272" s="2173"/>
      <c r="DO272" s="2173"/>
      <c r="DP272" s="2173"/>
      <c r="DQ272" s="2173"/>
      <c r="DR272" s="2173"/>
      <c r="DS272" s="2173"/>
      <c r="DT272" s="2173"/>
      <c r="DU272" s="2173"/>
      <c r="DV272" s="2173"/>
      <c r="DW272" s="2173"/>
      <c r="DX272" s="2173"/>
      <c r="DY272" s="2173"/>
      <c r="DZ272" s="2173"/>
      <c r="EA272" s="2173"/>
      <c r="EB272" s="2173"/>
      <c r="EC272" s="2173"/>
      <c r="ED272" s="2173"/>
      <c r="EE272" s="2173"/>
      <c r="EF272" s="2173"/>
      <c r="EG272" s="2173"/>
      <c r="EH272" s="2173"/>
      <c r="EI272" s="2173"/>
      <c r="EJ272" s="2173"/>
      <c r="EK272" s="2173"/>
      <c r="EL272" s="2173"/>
      <c r="EM272" s="2173"/>
      <c r="EN272" s="2173"/>
      <c r="EO272" s="2173"/>
      <c r="EP272" s="2173"/>
      <c r="EQ272" s="874"/>
      <c r="ER272" s="874"/>
      <c r="ES272" s="874"/>
      <c r="ET272" s="2173" t="str">
        <f>IF(Race="","",IF(NOT(ISERROR(GY272)),MID(ForceTechniquesTaken&amp;ForceSecretsTaken,GY268+1,GY272-GY268-1),""))</f>
        <v/>
      </c>
      <c r="EU272" s="2173"/>
      <c r="EV272" s="2173"/>
      <c r="EW272" s="2173"/>
      <c r="EX272" s="2173"/>
      <c r="EY272" s="2173"/>
      <c r="EZ272" s="2173"/>
      <c r="FA272" s="2173"/>
      <c r="FB272" s="2173"/>
      <c r="FC272" s="2173"/>
      <c r="FD272" s="2173"/>
      <c r="FE272" s="2173"/>
      <c r="FF272" s="2173"/>
      <c r="FG272" s="2173"/>
      <c r="FH272" s="2173"/>
      <c r="FI272" s="2173"/>
      <c r="FJ272" s="2173"/>
      <c r="FK272" s="2173"/>
      <c r="FL272" s="2173"/>
      <c r="FM272" s="2173"/>
      <c r="FN272" s="2173"/>
      <c r="FO272" s="2173"/>
      <c r="FP272" s="2173"/>
      <c r="FQ272" s="2173"/>
      <c r="FR272" s="2173"/>
      <c r="FS272" s="2173"/>
      <c r="FT272" s="2173"/>
      <c r="FU272" s="2173"/>
      <c r="FV272" s="2173"/>
      <c r="FW272" s="2173"/>
      <c r="FX272" s="2173"/>
      <c r="FY272" s="2173"/>
      <c r="FZ272" s="87"/>
      <c r="GA272" s="87"/>
      <c r="GC272" s="861"/>
      <c r="GD272" s="861"/>
      <c r="GE272" s="861"/>
      <c r="GF272" s="859"/>
      <c r="GG272" s="861"/>
      <c r="GH272" s="861"/>
      <c r="GI272" s="861"/>
      <c r="GJ272" s="859"/>
      <c r="GK272" s="1853">
        <f>GK268+1</f>
        <v>11</v>
      </c>
      <c r="GL272" s="1853" t="e">
        <f>FIND(";",ForcePowersTaken,GL268+1)</f>
        <v>#VALUE!</v>
      </c>
      <c r="GM272" s="859"/>
      <c r="GN272" s="859"/>
      <c r="GO272" s="1853">
        <f>GO268+1</f>
        <v>22</v>
      </c>
      <c r="GP272" s="1853" t="e">
        <f>FIND(";",ForcePowersTaken,GP268+1)</f>
        <v>#VALUE!</v>
      </c>
      <c r="GQ272" s="859"/>
      <c r="GR272" s="1853">
        <f>GR268+1</f>
        <v>3</v>
      </c>
      <c r="GS272" s="1853" t="e">
        <f>FIND(";",ForceTechniquesTaken&amp;ForceSecretsTaken,GS268+1)</f>
        <v>#VALUE!</v>
      </c>
      <c r="GT272" s="859"/>
      <c r="GU272" s="1853">
        <f>GU268+1</f>
        <v>6</v>
      </c>
      <c r="GV272" s="1853" t="e">
        <f>FIND(";",ForceTechniquesTaken&amp;ForceSecretsTaken,GV268+1)</f>
        <v>#VALUE!</v>
      </c>
      <c r="GW272" s="859"/>
      <c r="GX272" s="1853">
        <f>GX268+1</f>
        <v>9</v>
      </c>
      <c r="GY272" s="1853" t="e">
        <f>FIND(";",ForceTechniquesTaken&amp;ForceSecretsTaken,GY268+1)</f>
        <v>#VALUE!</v>
      </c>
      <c r="GZ272" s="859"/>
      <c r="HA272" s="859"/>
      <c r="HB272" s="859"/>
      <c r="HC272" s="859"/>
      <c r="HD272" s="859"/>
      <c r="HE272" s="859"/>
      <c r="HF272" s="859"/>
      <c r="HG272" s="859"/>
      <c r="HH272" s="859"/>
      <c r="HI272" s="859"/>
      <c r="HJ272" s="859"/>
      <c r="HK272" s="859"/>
      <c r="HL272" s="859"/>
      <c r="HM272" s="859"/>
      <c r="HN272" s="859"/>
      <c r="HO272" s="859"/>
      <c r="HP272" s="859"/>
      <c r="HQ272" s="859"/>
      <c r="HR272" s="859"/>
      <c r="HS272" s="859"/>
      <c r="HT272" s="859"/>
      <c r="HU272" s="859"/>
      <c r="HV272" s="859"/>
      <c r="HW272" s="859"/>
      <c r="HX272" s="859"/>
      <c r="HY272" s="859"/>
      <c r="HZ272" s="859"/>
      <c r="IA272" s="859"/>
      <c r="IB272" s="859"/>
      <c r="IC272" s="859"/>
      <c r="ID272" s="859"/>
      <c r="IE272" s="859"/>
      <c r="IF272" s="859"/>
      <c r="IG272" s="859"/>
      <c r="IH272" s="859"/>
      <c r="II272" s="859"/>
      <c r="IJ272" s="859"/>
      <c r="IK272" s="859"/>
      <c r="IL272" s="859"/>
      <c r="IM272" s="859"/>
      <c r="IN272" s="859"/>
      <c r="IO272" s="859"/>
      <c r="IP272" s="859"/>
      <c r="IQ272" s="859"/>
      <c r="IR272" s="859"/>
      <c r="IS272" s="859"/>
      <c r="IT272" s="859"/>
      <c r="IU272" s="859"/>
      <c r="IV272" s="859"/>
      <c r="IW272" s="859"/>
      <c r="IX272" s="859"/>
      <c r="IY272" s="859"/>
      <c r="IZ272" s="859"/>
      <c r="JA272" s="859"/>
      <c r="JB272" s="859"/>
      <c r="JC272" s="859"/>
      <c r="JD272" s="859"/>
      <c r="JE272" s="859"/>
      <c r="JF272" s="859"/>
      <c r="JG272" s="859"/>
      <c r="JH272" s="859"/>
      <c r="JI272" s="859"/>
      <c r="JJ272" s="859"/>
      <c r="JK272" s="859"/>
      <c r="JL272" s="859"/>
      <c r="JM272" s="859"/>
      <c r="JN272" s="859"/>
      <c r="JO272" s="859"/>
      <c r="JP272" s="859"/>
      <c r="JQ272" s="859"/>
      <c r="JR272" s="859"/>
      <c r="JS272" s="859"/>
      <c r="JT272" s="859"/>
      <c r="JU272" s="859"/>
      <c r="JV272" s="859"/>
      <c r="JW272" s="859"/>
      <c r="JX272" s="859"/>
    </row>
    <row r="273" spans="1:284" s="860" customFormat="1" ht="9" customHeight="1">
      <c r="A273" s="87"/>
      <c r="B273" s="2145"/>
      <c r="C273" s="2145"/>
      <c r="D273" s="2145"/>
      <c r="E273" s="2145"/>
      <c r="F273" s="2145"/>
      <c r="G273" s="2145"/>
      <c r="H273" s="2145"/>
      <c r="I273" s="2145"/>
      <c r="J273" s="2145"/>
      <c r="K273" s="2145"/>
      <c r="L273" s="2145"/>
      <c r="M273" s="2145"/>
      <c r="N273" s="2145"/>
      <c r="O273" s="2145"/>
      <c r="P273" s="2145"/>
      <c r="Q273" s="2145"/>
      <c r="R273" s="2145"/>
      <c r="S273" s="2145"/>
      <c r="T273" s="2145"/>
      <c r="U273" s="2145"/>
      <c r="V273" s="2145"/>
      <c r="W273" s="2145"/>
      <c r="X273" s="2145"/>
      <c r="Y273" s="2145"/>
      <c r="Z273" s="2145"/>
      <c r="AA273" s="2145"/>
      <c r="AB273" s="2145"/>
      <c r="AC273" s="2145"/>
      <c r="AD273" s="2145"/>
      <c r="AE273" s="2145"/>
      <c r="AF273" s="2145"/>
      <c r="AG273" s="2145"/>
      <c r="AH273" s="2145"/>
      <c r="AI273" s="2145"/>
      <c r="AJ273" s="2145"/>
      <c r="AK273" s="2145"/>
      <c r="AL273" s="384"/>
      <c r="AM273" s="2145"/>
      <c r="AN273" s="2145"/>
      <c r="AO273" s="2145"/>
      <c r="AP273" s="2145"/>
      <c r="AQ273" s="2145"/>
      <c r="AR273" s="2145"/>
      <c r="AS273" s="2145"/>
      <c r="AT273" s="2145"/>
      <c r="AU273" s="2145"/>
      <c r="AV273" s="2145"/>
      <c r="AW273" s="2145"/>
      <c r="AX273" s="2145"/>
      <c r="AY273" s="2145"/>
      <c r="AZ273" s="2145"/>
      <c r="BA273" s="2145"/>
      <c r="BB273" s="2145"/>
      <c r="BC273" s="2145"/>
      <c r="BD273" s="2145"/>
      <c r="BE273" s="2145"/>
      <c r="BF273" s="2145"/>
      <c r="BG273" s="2145"/>
      <c r="BH273" s="2145"/>
      <c r="BI273" s="2145"/>
      <c r="BJ273" s="2145"/>
      <c r="BK273" s="2145"/>
      <c r="BL273" s="2145"/>
      <c r="BM273" s="2145"/>
      <c r="BN273" s="2145"/>
      <c r="BO273" s="2145"/>
      <c r="BP273" s="2145"/>
      <c r="BQ273" s="2145"/>
      <c r="BR273" s="2145"/>
      <c r="BS273" s="2145"/>
      <c r="BT273" s="2145"/>
      <c r="BU273" s="2145"/>
      <c r="BV273" s="2145"/>
      <c r="BW273" s="384"/>
      <c r="BX273" s="384"/>
      <c r="BY273" s="384"/>
      <c r="BZ273" s="384"/>
      <c r="CA273" s="87"/>
      <c r="CB273" s="2173"/>
      <c r="CC273" s="2173"/>
      <c r="CD273" s="2173"/>
      <c r="CE273" s="2173"/>
      <c r="CF273" s="2173"/>
      <c r="CG273" s="2173"/>
      <c r="CH273" s="2173"/>
      <c r="CI273" s="2173"/>
      <c r="CJ273" s="2173"/>
      <c r="CK273" s="2173"/>
      <c r="CL273" s="2173"/>
      <c r="CM273" s="2173"/>
      <c r="CN273" s="2173"/>
      <c r="CO273" s="2173"/>
      <c r="CP273" s="2173"/>
      <c r="CQ273" s="2173"/>
      <c r="CR273" s="2173"/>
      <c r="CS273" s="2173"/>
      <c r="CT273" s="2173"/>
      <c r="CU273" s="2173"/>
      <c r="CV273" s="2173"/>
      <c r="CW273" s="2173"/>
      <c r="CX273" s="2173"/>
      <c r="CY273" s="2173"/>
      <c r="CZ273" s="2173"/>
      <c r="DA273" s="2173"/>
      <c r="DB273" s="2173"/>
      <c r="DC273" s="2173"/>
      <c r="DD273" s="2173"/>
      <c r="DE273" s="2173"/>
      <c r="DF273" s="2173"/>
      <c r="DG273" s="2173"/>
      <c r="DH273" s="874"/>
      <c r="DI273" s="874"/>
      <c r="DJ273" s="874"/>
      <c r="DK273" s="2173"/>
      <c r="DL273" s="2173"/>
      <c r="DM273" s="2173"/>
      <c r="DN273" s="2173"/>
      <c r="DO273" s="2173"/>
      <c r="DP273" s="2173"/>
      <c r="DQ273" s="2173"/>
      <c r="DR273" s="2173"/>
      <c r="DS273" s="2173"/>
      <c r="DT273" s="2173"/>
      <c r="DU273" s="2173"/>
      <c r="DV273" s="2173"/>
      <c r="DW273" s="2173"/>
      <c r="DX273" s="2173"/>
      <c r="DY273" s="2173"/>
      <c r="DZ273" s="2173"/>
      <c r="EA273" s="2173"/>
      <c r="EB273" s="2173"/>
      <c r="EC273" s="2173"/>
      <c r="ED273" s="2173"/>
      <c r="EE273" s="2173"/>
      <c r="EF273" s="2173"/>
      <c r="EG273" s="2173"/>
      <c r="EH273" s="2173"/>
      <c r="EI273" s="2173"/>
      <c r="EJ273" s="2173"/>
      <c r="EK273" s="2173"/>
      <c r="EL273" s="2173"/>
      <c r="EM273" s="2173"/>
      <c r="EN273" s="2173"/>
      <c r="EO273" s="2173"/>
      <c r="EP273" s="2173"/>
      <c r="EQ273" s="874"/>
      <c r="ER273" s="874"/>
      <c r="ES273" s="874"/>
      <c r="ET273" s="2173"/>
      <c r="EU273" s="2173"/>
      <c r="EV273" s="2173"/>
      <c r="EW273" s="2173"/>
      <c r="EX273" s="2173"/>
      <c r="EY273" s="2173"/>
      <c r="EZ273" s="2173"/>
      <c r="FA273" s="2173"/>
      <c r="FB273" s="2173"/>
      <c r="FC273" s="2173"/>
      <c r="FD273" s="2173"/>
      <c r="FE273" s="2173"/>
      <c r="FF273" s="2173"/>
      <c r="FG273" s="2173"/>
      <c r="FH273" s="2173"/>
      <c r="FI273" s="2173"/>
      <c r="FJ273" s="2173"/>
      <c r="FK273" s="2173"/>
      <c r="FL273" s="2173"/>
      <c r="FM273" s="2173"/>
      <c r="FN273" s="2173"/>
      <c r="FO273" s="2173"/>
      <c r="FP273" s="2173"/>
      <c r="FQ273" s="2173"/>
      <c r="FR273" s="2173"/>
      <c r="FS273" s="2173"/>
      <c r="FT273" s="2173"/>
      <c r="FU273" s="2173"/>
      <c r="FV273" s="2173"/>
      <c r="FW273" s="2173"/>
      <c r="FX273" s="2173"/>
      <c r="FY273" s="2173"/>
      <c r="FZ273" s="87"/>
      <c r="GA273" s="87"/>
      <c r="GC273" s="861"/>
      <c r="GD273" s="861"/>
      <c r="GE273" s="861"/>
      <c r="GF273" s="859"/>
      <c r="GG273" s="861"/>
      <c r="GH273" s="861"/>
      <c r="GI273" s="861"/>
      <c r="GJ273" s="859"/>
      <c r="GK273" s="1853"/>
      <c r="GL273" s="1853"/>
      <c r="GM273" s="859"/>
      <c r="GN273" s="859"/>
      <c r="GO273" s="1853"/>
      <c r="GP273" s="1853"/>
      <c r="GQ273" s="859"/>
      <c r="GR273" s="1853"/>
      <c r="GS273" s="1853"/>
      <c r="GT273" s="859"/>
      <c r="GU273" s="1853"/>
      <c r="GV273" s="1853"/>
      <c r="GW273" s="859"/>
      <c r="GX273" s="1853"/>
      <c r="GY273" s="1853"/>
      <c r="GZ273" s="859"/>
      <c r="HA273" s="859"/>
      <c r="HB273" s="859"/>
      <c r="HC273" s="859"/>
      <c r="HD273" s="859"/>
      <c r="HE273" s="859"/>
      <c r="HF273" s="859"/>
      <c r="HG273" s="859"/>
      <c r="HH273" s="859"/>
      <c r="HI273" s="859"/>
      <c r="HJ273" s="859"/>
      <c r="HK273" s="859"/>
      <c r="HL273" s="859"/>
      <c r="HM273" s="859"/>
      <c r="HN273" s="859"/>
      <c r="HO273" s="859"/>
      <c r="HP273" s="859"/>
      <c r="HQ273" s="859"/>
      <c r="HR273" s="859"/>
      <c r="HS273" s="859"/>
      <c r="HT273" s="859"/>
      <c r="HU273" s="859"/>
      <c r="HV273" s="859"/>
      <c r="HW273" s="859"/>
      <c r="HX273" s="859"/>
      <c r="HY273" s="859"/>
      <c r="HZ273" s="859"/>
      <c r="IA273" s="859"/>
      <c r="IB273" s="859"/>
      <c r="IC273" s="859"/>
      <c r="ID273" s="859"/>
      <c r="IE273" s="859"/>
      <c r="IF273" s="859"/>
      <c r="IG273" s="859"/>
      <c r="IH273" s="859"/>
      <c r="II273" s="859"/>
      <c r="IJ273" s="859"/>
      <c r="IK273" s="859"/>
      <c r="IL273" s="859"/>
      <c r="IM273" s="859"/>
      <c r="IN273" s="859"/>
      <c r="IO273" s="859"/>
      <c r="IP273" s="859"/>
      <c r="IQ273" s="859"/>
      <c r="IR273" s="859"/>
      <c r="IS273" s="859"/>
      <c r="IT273" s="859"/>
      <c r="IU273" s="859"/>
      <c r="IV273" s="859"/>
      <c r="IW273" s="859"/>
      <c r="IX273" s="859"/>
      <c r="IY273" s="859"/>
      <c r="IZ273" s="859"/>
      <c r="JA273" s="859"/>
      <c r="JB273" s="859"/>
      <c r="JC273" s="859"/>
      <c r="JD273" s="859"/>
      <c r="JE273" s="859"/>
      <c r="JF273" s="859"/>
      <c r="JG273" s="859"/>
      <c r="JH273" s="859"/>
      <c r="JI273" s="859"/>
      <c r="JJ273" s="859"/>
      <c r="JK273" s="859"/>
      <c r="JL273" s="859"/>
      <c r="JM273" s="859"/>
      <c r="JN273" s="859"/>
      <c r="JO273" s="859"/>
      <c r="JP273" s="859"/>
      <c r="JQ273" s="859"/>
      <c r="JR273" s="859"/>
      <c r="JS273" s="859"/>
      <c r="JT273" s="859"/>
      <c r="JU273" s="859"/>
      <c r="JV273" s="859"/>
      <c r="JW273" s="859"/>
      <c r="JX273" s="859"/>
    </row>
    <row r="274" spans="1:284" s="860" customFormat="1" ht="9" customHeight="1" thickBot="1">
      <c r="A274" s="87"/>
      <c r="B274" s="2146"/>
      <c r="C274" s="2146"/>
      <c r="D274" s="2146"/>
      <c r="E274" s="2146"/>
      <c r="F274" s="2146"/>
      <c r="G274" s="2146"/>
      <c r="H274" s="2146"/>
      <c r="I274" s="2146"/>
      <c r="J274" s="2146"/>
      <c r="K274" s="2146"/>
      <c r="L274" s="2146"/>
      <c r="M274" s="2146"/>
      <c r="N274" s="2146"/>
      <c r="O274" s="2146"/>
      <c r="P274" s="2146"/>
      <c r="Q274" s="2146"/>
      <c r="R274" s="2146"/>
      <c r="S274" s="2146"/>
      <c r="T274" s="2146"/>
      <c r="U274" s="2146"/>
      <c r="V274" s="2146"/>
      <c r="W274" s="2146"/>
      <c r="X274" s="2146"/>
      <c r="Y274" s="2146"/>
      <c r="Z274" s="2146"/>
      <c r="AA274" s="2146"/>
      <c r="AB274" s="2146"/>
      <c r="AC274" s="2146"/>
      <c r="AD274" s="2146"/>
      <c r="AE274" s="2146"/>
      <c r="AF274" s="2146"/>
      <c r="AG274" s="2146"/>
      <c r="AH274" s="2146"/>
      <c r="AI274" s="2146"/>
      <c r="AJ274" s="2146"/>
      <c r="AK274" s="2146"/>
      <c r="AL274" s="384"/>
      <c r="AM274" s="2146"/>
      <c r="AN274" s="2146"/>
      <c r="AO274" s="2146"/>
      <c r="AP274" s="2146"/>
      <c r="AQ274" s="2146"/>
      <c r="AR274" s="2146"/>
      <c r="AS274" s="2146"/>
      <c r="AT274" s="2146"/>
      <c r="AU274" s="2146"/>
      <c r="AV274" s="2146"/>
      <c r="AW274" s="2146"/>
      <c r="AX274" s="2146"/>
      <c r="AY274" s="2146"/>
      <c r="AZ274" s="2146"/>
      <c r="BA274" s="2146"/>
      <c r="BB274" s="2146"/>
      <c r="BC274" s="2146"/>
      <c r="BD274" s="2146"/>
      <c r="BE274" s="2146"/>
      <c r="BF274" s="2146"/>
      <c r="BG274" s="2146"/>
      <c r="BH274" s="2146"/>
      <c r="BI274" s="2146"/>
      <c r="BJ274" s="2146"/>
      <c r="BK274" s="2146"/>
      <c r="BL274" s="2146"/>
      <c r="BM274" s="2146"/>
      <c r="BN274" s="2146"/>
      <c r="BO274" s="2146"/>
      <c r="BP274" s="2146"/>
      <c r="BQ274" s="2146"/>
      <c r="BR274" s="2146"/>
      <c r="BS274" s="2146"/>
      <c r="BT274" s="2146"/>
      <c r="BU274" s="2146"/>
      <c r="BV274" s="2146"/>
      <c r="BW274" s="384"/>
      <c r="BX274" s="384"/>
      <c r="BY274" s="384"/>
      <c r="BZ274" s="384"/>
      <c r="CA274" s="87"/>
      <c r="CB274" s="2174"/>
      <c r="CC274" s="2174"/>
      <c r="CD274" s="2174"/>
      <c r="CE274" s="2174"/>
      <c r="CF274" s="2174"/>
      <c r="CG274" s="2174"/>
      <c r="CH274" s="2174"/>
      <c r="CI274" s="2174"/>
      <c r="CJ274" s="2174"/>
      <c r="CK274" s="2174"/>
      <c r="CL274" s="2174"/>
      <c r="CM274" s="2174"/>
      <c r="CN274" s="2174"/>
      <c r="CO274" s="2174"/>
      <c r="CP274" s="2174"/>
      <c r="CQ274" s="2174"/>
      <c r="CR274" s="2174"/>
      <c r="CS274" s="2174"/>
      <c r="CT274" s="2174"/>
      <c r="CU274" s="2174"/>
      <c r="CV274" s="2174"/>
      <c r="CW274" s="2174"/>
      <c r="CX274" s="2174"/>
      <c r="CY274" s="2174"/>
      <c r="CZ274" s="2174"/>
      <c r="DA274" s="2174"/>
      <c r="DB274" s="2174"/>
      <c r="DC274" s="2174"/>
      <c r="DD274" s="2174"/>
      <c r="DE274" s="2174"/>
      <c r="DF274" s="2174"/>
      <c r="DG274" s="2174"/>
      <c r="DH274" s="874"/>
      <c r="DI274" s="874"/>
      <c r="DJ274" s="874"/>
      <c r="DK274" s="2174"/>
      <c r="DL274" s="2174"/>
      <c r="DM274" s="2174"/>
      <c r="DN274" s="2174"/>
      <c r="DO274" s="2174"/>
      <c r="DP274" s="2174"/>
      <c r="DQ274" s="2174"/>
      <c r="DR274" s="2174"/>
      <c r="DS274" s="2174"/>
      <c r="DT274" s="2174"/>
      <c r="DU274" s="2174"/>
      <c r="DV274" s="2174"/>
      <c r="DW274" s="2174"/>
      <c r="DX274" s="2174"/>
      <c r="DY274" s="2174"/>
      <c r="DZ274" s="2174"/>
      <c r="EA274" s="2174"/>
      <c r="EB274" s="2174"/>
      <c r="EC274" s="2174"/>
      <c r="ED274" s="2174"/>
      <c r="EE274" s="2174"/>
      <c r="EF274" s="2174"/>
      <c r="EG274" s="2174"/>
      <c r="EH274" s="2174"/>
      <c r="EI274" s="2174"/>
      <c r="EJ274" s="2174"/>
      <c r="EK274" s="2174"/>
      <c r="EL274" s="2174"/>
      <c r="EM274" s="2174"/>
      <c r="EN274" s="2174"/>
      <c r="EO274" s="2174"/>
      <c r="EP274" s="2174"/>
      <c r="EQ274" s="874"/>
      <c r="ER274" s="874"/>
      <c r="ES274" s="874"/>
      <c r="ET274" s="2174"/>
      <c r="EU274" s="2174"/>
      <c r="EV274" s="2174"/>
      <c r="EW274" s="2174"/>
      <c r="EX274" s="2174"/>
      <c r="EY274" s="2174"/>
      <c r="EZ274" s="2174"/>
      <c r="FA274" s="2174"/>
      <c r="FB274" s="2174"/>
      <c r="FC274" s="2174"/>
      <c r="FD274" s="2174"/>
      <c r="FE274" s="2174"/>
      <c r="FF274" s="2174"/>
      <c r="FG274" s="2174"/>
      <c r="FH274" s="2174"/>
      <c r="FI274" s="2174"/>
      <c r="FJ274" s="2174"/>
      <c r="FK274" s="2174"/>
      <c r="FL274" s="2174"/>
      <c r="FM274" s="2174"/>
      <c r="FN274" s="2174"/>
      <c r="FO274" s="2174"/>
      <c r="FP274" s="2174"/>
      <c r="FQ274" s="2174"/>
      <c r="FR274" s="2174"/>
      <c r="FS274" s="2174"/>
      <c r="FT274" s="2174"/>
      <c r="FU274" s="2174"/>
      <c r="FV274" s="2174"/>
      <c r="FW274" s="2174"/>
      <c r="FX274" s="2174"/>
      <c r="FY274" s="2174"/>
      <c r="FZ274" s="87"/>
      <c r="GA274" s="87"/>
      <c r="GC274" s="861"/>
      <c r="GD274" s="861"/>
      <c r="GE274" s="861"/>
      <c r="GF274" s="859"/>
      <c r="GG274" s="861"/>
      <c r="GH274" s="861"/>
      <c r="GI274" s="861"/>
      <c r="GJ274" s="859"/>
      <c r="GK274" s="1853"/>
      <c r="GL274" s="1853"/>
      <c r="GM274" s="859"/>
      <c r="GN274" s="859"/>
      <c r="GO274" s="1853"/>
      <c r="GP274" s="1853"/>
      <c r="GQ274" s="859"/>
      <c r="GR274" s="1853"/>
      <c r="GS274" s="1853"/>
      <c r="GT274" s="859"/>
      <c r="GU274" s="1853"/>
      <c r="GV274" s="1853"/>
      <c r="GW274" s="859"/>
      <c r="GX274" s="1853"/>
      <c r="GY274" s="1853"/>
      <c r="GZ274" s="859"/>
      <c r="HA274" s="859"/>
      <c r="HB274" s="859"/>
      <c r="HC274" s="859"/>
      <c r="HD274" s="859"/>
      <c r="HE274" s="859"/>
      <c r="HF274" s="859"/>
      <c r="HG274" s="859"/>
      <c r="HH274" s="859"/>
      <c r="HI274" s="859"/>
      <c r="HJ274" s="859"/>
      <c r="HK274" s="859"/>
      <c r="HL274" s="859"/>
      <c r="HM274" s="859"/>
      <c r="HN274" s="859"/>
      <c r="HO274" s="859"/>
      <c r="HP274" s="859"/>
      <c r="HQ274" s="859"/>
      <c r="HR274" s="859"/>
      <c r="HS274" s="859"/>
      <c r="HT274" s="859"/>
      <c r="HU274" s="859"/>
      <c r="HV274" s="859"/>
      <c r="HW274" s="859"/>
      <c r="HX274" s="859"/>
      <c r="HY274" s="859"/>
      <c r="HZ274" s="859"/>
      <c r="IA274" s="859"/>
      <c r="IB274" s="859"/>
      <c r="IC274" s="859"/>
      <c r="ID274" s="859"/>
      <c r="IE274" s="859"/>
      <c r="IF274" s="859"/>
      <c r="IG274" s="859"/>
      <c r="IH274" s="859"/>
      <c r="II274" s="859"/>
      <c r="IJ274" s="859"/>
      <c r="IK274" s="859"/>
      <c r="IL274" s="859"/>
      <c r="IM274" s="859"/>
      <c r="IN274" s="859"/>
      <c r="IO274" s="859"/>
      <c r="IP274" s="859"/>
      <c r="IQ274" s="859"/>
      <c r="IR274" s="859"/>
      <c r="IS274" s="859"/>
      <c r="IT274" s="859"/>
      <c r="IU274" s="859"/>
      <c r="IV274" s="859"/>
      <c r="IW274" s="859"/>
      <c r="IX274" s="859"/>
      <c r="IY274" s="859"/>
      <c r="IZ274" s="859"/>
      <c r="JA274" s="859"/>
      <c r="JB274" s="859"/>
      <c r="JC274" s="859"/>
      <c r="JD274" s="859"/>
      <c r="JE274" s="859"/>
      <c r="JF274" s="859"/>
      <c r="JG274" s="859"/>
      <c r="JH274" s="859"/>
      <c r="JI274" s="859"/>
      <c r="JJ274" s="859"/>
      <c r="JK274" s="859"/>
      <c r="JL274" s="859"/>
      <c r="JM274" s="859"/>
      <c r="JN274" s="859"/>
      <c r="JO274" s="859"/>
      <c r="JP274" s="859"/>
      <c r="JQ274" s="859"/>
      <c r="JR274" s="859"/>
      <c r="JS274" s="859"/>
      <c r="JT274" s="859"/>
      <c r="JU274" s="859"/>
      <c r="JV274" s="859"/>
      <c r="JW274" s="859"/>
      <c r="JX274" s="859"/>
    </row>
    <row r="275" spans="1:284" ht="9" customHeight="1">
      <c r="A275" s="87"/>
      <c r="B275" s="87"/>
      <c r="C275" s="87"/>
      <c r="D275" s="384"/>
      <c r="E275" s="384"/>
      <c r="F275" s="384"/>
      <c r="G275" s="384"/>
      <c r="H275" s="384"/>
      <c r="I275" s="384"/>
      <c r="J275" s="384"/>
      <c r="K275" s="384"/>
      <c r="L275" s="384"/>
      <c r="M275" s="384"/>
      <c r="N275" s="384"/>
      <c r="O275" s="384"/>
      <c r="P275" s="384"/>
      <c r="Q275" s="384"/>
      <c r="R275" s="384"/>
      <c r="S275" s="384"/>
      <c r="T275" s="384"/>
      <c r="U275" s="384"/>
      <c r="V275" s="384"/>
      <c r="W275" s="384"/>
      <c r="X275" s="384"/>
      <c r="Y275" s="384"/>
      <c r="Z275" s="384"/>
      <c r="AA275" s="384"/>
      <c r="AB275" s="384"/>
      <c r="AC275" s="384"/>
      <c r="AD275" s="384"/>
      <c r="AE275" s="384"/>
      <c r="AF275" s="384"/>
      <c r="AG275" s="384"/>
      <c r="AH275" s="384"/>
      <c r="AI275" s="384"/>
      <c r="AJ275" s="384"/>
      <c r="AK275" s="384"/>
      <c r="AL275" s="384"/>
      <c r="AM275" s="384"/>
      <c r="AN275" s="384"/>
      <c r="AO275" s="384"/>
      <c r="AP275" s="384"/>
      <c r="AQ275" s="384"/>
      <c r="AR275" s="384"/>
      <c r="AS275" s="384"/>
      <c r="AT275" s="384"/>
      <c r="AU275" s="384"/>
      <c r="AV275" s="384"/>
      <c r="AW275" s="384"/>
      <c r="AX275" s="384"/>
      <c r="AY275" s="384"/>
      <c r="AZ275" s="384"/>
      <c r="BA275" s="384"/>
      <c r="BB275" s="384"/>
      <c r="BC275" s="384"/>
      <c r="BD275" s="384"/>
      <c r="BE275" s="384"/>
      <c r="BF275" s="384"/>
      <c r="BG275" s="384"/>
      <c r="BH275" s="384"/>
      <c r="BI275" s="384"/>
      <c r="BJ275" s="384"/>
      <c r="BK275" s="384"/>
      <c r="BL275" s="384"/>
      <c r="BM275" s="384"/>
      <c r="BN275" s="384"/>
      <c r="BO275" s="384"/>
      <c r="BP275" s="384"/>
      <c r="BQ275" s="384"/>
      <c r="BR275" s="384"/>
      <c r="BS275" s="384"/>
      <c r="BT275" s="384"/>
      <c r="BU275" s="384"/>
      <c r="BV275" s="384"/>
      <c r="BW275" s="384"/>
      <c r="BX275" s="384"/>
      <c r="BY275" s="384"/>
      <c r="BZ275" s="384"/>
      <c r="CA275" s="105"/>
      <c r="CB275" s="105"/>
      <c r="CC275" s="105"/>
      <c r="CD275" s="105"/>
      <c r="CE275" s="105"/>
      <c r="CF275" s="105"/>
      <c r="CG275" s="105"/>
      <c r="CH275" s="105"/>
      <c r="CI275" s="105"/>
      <c r="CJ275" s="105"/>
      <c r="CK275" s="105"/>
      <c r="CL275" s="87"/>
      <c r="CM275" s="87"/>
      <c r="CN275" s="87"/>
      <c r="CO275" s="87"/>
      <c r="CP275" s="87"/>
      <c r="CQ275" s="87"/>
      <c r="CR275" s="87"/>
      <c r="CS275" s="87"/>
      <c r="CT275" s="87"/>
      <c r="CU275" s="87"/>
      <c r="CV275" s="87"/>
      <c r="CW275" s="87"/>
      <c r="CX275" s="87"/>
      <c r="CY275" s="87"/>
      <c r="CZ275" s="87"/>
      <c r="DA275" s="87"/>
      <c r="DB275" s="87"/>
      <c r="DC275" s="87"/>
      <c r="DD275" s="87"/>
      <c r="DE275" s="87"/>
      <c r="DF275" s="87"/>
      <c r="DG275" s="87"/>
      <c r="DH275" s="87"/>
      <c r="DI275" s="87"/>
      <c r="DJ275" s="87"/>
      <c r="DK275" s="87"/>
      <c r="DL275" s="87"/>
      <c r="DM275" s="87"/>
      <c r="DN275" s="87"/>
      <c r="DO275" s="87"/>
      <c r="DP275" s="87"/>
      <c r="DQ275" s="87"/>
      <c r="DR275" s="87"/>
      <c r="DS275" s="87"/>
      <c r="DT275" s="87"/>
      <c r="DU275" s="87"/>
      <c r="DV275" s="87"/>
      <c r="DW275" s="87"/>
      <c r="DX275" s="87"/>
      <c r="DY275" s="87"/>
      <c r="DZ275" s="87"/>
      <c r="EA275" s="87"/>
      <c r="EB275" s="87"/>
      <c r="EC275" s="87"/>
      <c r="ED275" s="87"/>
      <c r="EE275" s="87"/>
      <c r="EF275" s="87"/>
      <c r="EG275" s="87"/>
      <c r="EH275" s="87"/>
      <c r="EI275" s="87"/>
      <c r="EJ275" s="87"/>
      <c r="EK275" s="87"/>
      <c r="EL275" s="87"/>
      <c r="EM275" s="87"/>
      <c r="EN275" s="87"/>
      <c r="EO275" s="87"/>
      <c r="EP275" s="87"/>
      <c r="EQ275" s="87"/>
      <c r="ER275" s="87"/>
      <c r="ES275" s="87"/>
      <c r="ET275" s="87"/>
      <c r="EU275" s="87"/>
      <c r="EV275" s="87"/>
      <c r="EW275" s="87"/>
      <c r="EX275" s="87"/>
      <c r="EY275" s="87"/>
      <c r="EZ275" s="87"/>
      <c r="FA275" s="87"/>
      <c r="FB275" s="87"/>
      <c r="FC275" s="87"/>
      <c r="FD275" s="87"/>
      <c r="FE275" s="87"/>
      <c r="FF275" s="87"/>
      <c r="FG275" s="87"/>
      <c r="FH275" s="87"/>
      <c r="FI275" s="87"/>
      <c r="FJ275" s="87"/>
      <c r="FK275" s="87"/>
      <c r="FL275" s="87"/>
      <c r="FM275" s="87"/>
      <c r="FN275" s="87"/>
      <c r="FO275" s="87"/>
      <c r="FP275" s="87"/>
      <c r="FQ275" s="87"/>
      <c r="FR275" s="87"/>
      <c r="FS275" s="87"/>
      <c r="FT275" s="87"/>
      <c r="FU275" s="87"/>
      <c r="FV275" s="87"/>
      <c r="FW275" s="87"/>
      <c r="FX275" s="87"/>
      <c r="FY275" s="87"/>
      <c r="FZ275" s="87"/>
      <c r="GA275" s="87"/>
    </row>
    <row r="276" spans="1:284" ht="9" customHeight="1">
      <c r="A276" s="87"/>
      <c r="B276" s="87"/>
      <c r="C276" s="87"/>
      <c r="D276" s="87"/>
      <c r="E276" s="88"/>
      <c r="F276" s="88"/>
      <c r="G276" s="88"/>
      <c r="H276" s="88"/>
      <c r="I276" s="88"/>
      <c r="J276" s="88"/>
      <c r="K276" s="87"/>
      <c r="L276" s="87"/>
      <c r="M276" s="87"/>
      <c r="N276" s="87"/>
      <c r="O276" s="87"/>
      <c r="P276" s="87"/>
      <c r="Q276" s="87"/>
      <c r="R276" s="87"/>
      <c r="S276" s="87"/>
      <c r="T276" s="87"/>
      <c r="U276" s="87"/>
      <c r="V276" s="87"/>
      <c r="W276" s="87"/>
      <c r="X276" s="87"/>
      <c r="Y276" s="87"/>
      <c r="Z276" s="87"/>
      <c r="AA276" s="87"/>
      <c r="AB276" s="87"/>
      <c r="AC276" s="87"/>
      <c r="AD276" s="87"/>
      <c r="AE276" s="87"/>
      <c r="AF276" s="87"/>
      <c r="AG276" s="87"/>
      <c r="AH276" s="87"/>
      <c r="AI276" s="87"/>
      <c r="AJ276" s="87"/>
      <c r="AK276" s="87"/>
      <c r="AL276" s="87"/>
      <c r="AM276" s="87"/>
      <c r="AN276" s="87"/>
      <c r="AO276" s="87"/>
      <c r="AP276" s="87"/>
      <c r="AQ276" s="87"/>
      <c r="AR276" s="87"/>
      <c r="AS276" s="87"/>
      <c r="AT276" s="87"/>
      <c r="AU276" s="87"/>
      <c r="AV276" s="87"/>
      <c r="AW276" s="87"/>
      <c r="AX276" s="87"/>
      <c r="AY276" s="87"/>
      <c r="AZ276" s="87"/>
      <c r="BA276" s="87"/>
      <c r="BB276" s="87"/>
      <c r="BC276" s="87"/>
      <c r="BD276" s="87"/>
      <c r="BE276" s="87"/>
      <c r="BF276" s="87"/>
      <c r="BG276" s="87"/>
      <c r="BH276" s="87"/>
      <c r="BI276" s="87"/>
      <c r="BJ276" s="87"/>
      <c r="BK276" s="87"/>
      <c r="BL276" s="87"/>
      <c r="BM276" s="87"/>
      <c r="BN276" s="87"/>
      <c r="BO276" s="87"/>
      <c r="BP276" s="87"/>
      <c r="BQ276" s="87"/>
      <c r="BR276" s="87"/>
      <c r="BS276" s="87"/>
      <c r="BT276" s="87"/>
      <c r="BU276" s="87"/>
      <c r="BV276" s="87"/>
      <c r="BW276" s="87"/>
      <c r="BX276" s="87"/>
      <c r="BY276" s="87"/>
      <c r="BZ276" s="87"/>
      <c r="CA276" s="87"/>
      <c r="CB276" s="87"/>
      <c r="CC276" s="87"/>
      <c r="CD276" s="87"/>
      <c r="CE276" s="87"/>
      <c r="CF276" s="87"/>
      <c r="CG276" s="87"/>
      <c r="CH276" s="87"/>
      <c r="CI276" s="87"/>
      <c r="CJ276" s="87"/>
      <c r="CK276" s="87"/>
      <c r="CL276" s="87"/>
      <c r="CM276" s="87"/>
      <c r="CN276" s="87"/>
      <c r="CO276" s="87"/>
      <c r="CP276" s="87"/>
      <c r="CQ276" s="87"/>
      <c r="CR276" s="87"/>
      <c r="CS276" s="87"/>
      <c r="CT276" s="87"/>
      <c r="CU276" s="87"/>
      <c r="CV276" s="87"/>
      <c r="CW276" s="87"/>
      <c r="CX276" s="87"/>
      <c r="CY276" s="87"/>
      <c r="CZ276" s="87"/>
      <c r="DA276" s="87"/>
      <c r="DB276" s="87"/>
      <c r="DC276" s="87"/>
      <c r="DD276" s="87"/>
      <c r="DE276" s="87"/>
      <c r="DF276" s="87"/>
      <c r="DG276" s="87"/>
      <c r="DH276" s="87"/>
      <c r="DI276" s="87"/>
      <c r="DJ276" s="87"/>
      <c r="DK276" s="87"/>
      <c r="DL276" s="87"/>
      <c r="DM276" s="87"/>
      <c r="DN276" s="87"/>
      <c r="DO276" s="87"/>
      <c r="DP276" s="87"/>
      <c r="DQ276" s="87"/>
      <c r="DR276" s="87"/>
      <c r="DS276" s="87"/>
      <c r="DT276" s="87"/>
      <c r="DU276" s="87"/>
      <c r="DV276" s="87"/>
      <c r="DW276" s="87"/>
      <c r="DX276" s="87"/>
      <c r="DY276" s="87"/>
      <c r="DZ276" s="87"/>
      <c r="EA276" s="87"/>
      <c r="EB276" s="87"/>
      <c r="EC276" s="87"/>
      <c r="ED276" s="87"/>
      <c r="EE276" s="87"/>
      <c r="EF276" s="87"/>
      <c r="EG276" s="87"/>
      <c r="EH276" s="87"/>
      <c r="EI276" s="87"/>
      <c r="EJ276" s="87"/>
      <c r="EK276" s="87"/>
      <c r="EL276" s="87"/>
      <c r="EM276" s="87"/>
      <c r="EN276" s="87"/>
      <c r="EO276" s="87"/>
      <c r="EP276" s="87"/>
      <c r="EQ276" s="87"/>
      <c r="ER276" s="87"/>
      <c r="ES276" s="87"/>
      <c r="ET276" s="87"/>
      <c r="EU276" s="87"/>
      <c r="EV276" s="87"/>
      <c r="EW276" s="87"/>
      <c r="EX276" s="87"/>
      <c r="EY276" s="87"/>
      <c r="EZ276" s="87"/>
      <c r="FA276" s="87"/>
      <c r="FB276" s="87"/>
      <c r="FC276" s="87"/>
      <c r="FD276" s="87"/>
      <c r="FE276" s="87"/>
      <c r="FF276" s="87"/>
      <c r="FG276" s="87"/>
      <c r="FH276" s="87"/>
      <c r="FI276" s="87"/>
      <c r="FJ276" s="87"/>
      <c r="FK276" s="87"/>
      <c r="FL276" s="87"/>
      <c r="FM276" s="87"/>
      <c r="FN276" s="87"/>
      <c r="FO276" s="87"/>
      <c r="FP276" s="87"/>
      <c r="FQ276" s="87"/>
      <c r="FR276" s="87"/>
      <c r="FS276" s="87"/>
      <c r="FT276" s="87"/>
      <c r="FU276" s="87"/>
      <c r="FV276" s="87"/>
      <c r="FW276" s="87"/>
      <c r="FX276" s="87"/>
      <c r="FY276" s="87"/>
      <c r="FZ276" s="87"/>
      <c r="GA276" s="87"/>
    </row>
    <row r="277" spans="1:284" ht="9" customHeight="1" thickBot="1">
      <c r="A277" s="87"/>
      <c r="B277" s="87"/>
      <c r="C277" s="87"/>
      <c r="D277" s="87"/>
      <c r="E277" s="88"/>
      <c r="F277" s="88"/>
      <c r="G277" s="88"/>
      <c r="H277" s="88"/>
      <c r="I277" s="88"/>
      <c r="J277" s="88"/>
      <c r="K277" s="87"/>
      <c r="L277" s="87"/>
      <c r="M277" s="87"/>
      <c r="N277" s="87"/>
      <c r="O277" s="87"/>
      <c r="P277" s="87"/>
      <c r="Q277" s="87"/>
      <c r="R277" s="87"/>
      <c r="S277" s="87"/>
      <c r="T277" s="87"/>
      <c r="U277" s="87"/>
      <c r="V277" s="87"/>
      <c r="W277" s="87"/>
      <c r="X277" s="87"/>
      <c r="Y277" s="87"/>
      <c r="Z277" s="87"/>
      <c r="AA277" s="87"/>
      <c r="AB277" s="87"/>
      <c r="AC277" s="87"/>
      <c r="AD277" s="87"/>
      <c r="AE277" s="87"/>
      <c r="AF277" s="87"/>
      <c r="AG277" s="87"/>
      <c r="AH277" s="87"/>
      <c r="AI277" s="87"/>
      <c r="AJ277" s="87"/>
      <c r="AK277" s="87"/>
      <c r="AL277" s="87"/>
      <c r="AM277" s="87"/>
      <c r="AN277" s="87"/>
      <c r="AO277" s="87"/>
      <c r="AP277" s="87"/>
      <c r="AQ277" s="87"/>
      <c r="AR277" s="87"/>
      <c r="AS277" s="87"/>
      <c r="AT277" s="87"/>
      <c r="AU277" s="87"/>
      <c r="AV277" s="109"/>
      <c r="AW277" s="109"/>
      <c r="AX277" s="109"/>
      <c r="AY277" s="109"/>
      <c r="AZ277" s="109"/>
      <c r="BA277" s="109"/>
      <c r="BB277" s="109"/>
      <c r="BC277" s="109"/>
      <c r="BD277" s="109"/>
      <c r="BE277" s="109"/>
      <c r="BF277" s="109"/>
      <c r="BG277" s="372"/>
      <c r="BH277" s="372"/>
      <c r="BI277" s="372"/>
      <c r="BJ277" s="372"/>
      <c r="BK277" s="372"/>
      <c r="BL277" s="372"/>
      <c r="BM277" s="372"/>
      <c r="BN277" s="372"/>
      <c r="BO277" s="372"/>
      <c r="BP277" s="372"/>
      <c r="BQ277" s="372"/>
      <c r="BR277" s="372"/>
      <c r="BS277" s="372"/>
      <c r="BT277" s="372"/>
      <c r="BU277" s="372"/>
      <c r="BV277" s="372"/>
      <c r="BW277" s="372"/>
      <c r="BX277" s="372"/>
      <c r="BY277" s="372"/>
      <c r="BZ277" s="372"/>
      <c r="CA277" s="372"/>
      <c r="CB277" s="372"/>
      <c r="CC277" s="372"/>
      <c r="CD277" s="372"/>
      <c r="CE277" s="372"/>
      <c r="CF277" s="372"/>
      <c r="CG277" s="372"/>
      <c r="CH277" s="372"/>
      <c r="CI277" s="372"/>
      <c r="CJ277" s="372"/>
      <c r="CK277" s="372"/>
      <c r="CL277" s="372"/>
      <c r="CM277" s="372"/>
      <c r="CN277" s="372"/>
      <c r="CO277" s="87"/>
      <c r="CP277" s="87"/>
      <c r="CQ277" s="87"/>
      <c r="CR277" s="87"/>
      <c r="CS277" s="87"/>
      <c r="CT277" s="87"/>
      <c r="CU277" s="87"/>
      <c r="CV277" s="371"/>
      <c r="CW277" s="371"/>
      <c r="CX277" s="371"/>
      <c r="CY277" s="371"/>
      <c r="CZ277" s="371"/>
      <c r="DA277" s="371"/>
      <c r="DB277" s="371"/>
      <c r="DC277" s="371"/>
      <c r="DD277" s="371"/>
      <c r="DE277" s="371"/>
      <c r="DF277" s="371"/>
      <c r="DG277" s="371"/>
      <c r="DH277" s="371"/>
      <c r="DI277" s="371"/>
      <c r="DJ277" s="371"/>
      <c r="DK277" s="371"/>
      <c r="DL277" s="371"/>
      <c r="DM277" s="371"/>
      <c r="DN277" s="371"/>
      <c r="DO277" s="371"/>
      <c r="DP277" s="371"/>
      <c r="DQ277" s="371"/>
      <c r="DR277" s="371"/>
      <c r="DS277" s="371"/>
      <c r="DT277" s="371"/>
      <c r="DU277" s="371"/>
      <c r="DV277" s="371"/>
      <c r="DW277" s="371"/>
      <c r="DX277" s="371"/>
      <c r="DY277" s="371"/>
      <c r="DZ277" s="371"/>
      <c r="EA277" s="371"/>
      <c r="EB277" s="371"/>
      <c r="EC277" s="371"/>
      <c r="ED277" s="87"/>
      <c r="EE277" s="87"/>
      <c r="EF277" s="87"/>
      <c r="EG277" s="87"/>
      <c r="EH277" s="87"/>
      <c r="EI277" s="87"/>
      <c r="EJ277" s="87"/>
      <c r="EK277" s="87"/>
      <c r="EL277" s="87"/>
      <c r="EM277" s="87"/>
      <c r="EN277" s="87"/>
      <c r="EO277" s="87"/>
      <c r="EP277" s="87"/>
      <c r="EQ277" s="87"/>
      <c r="ER277" s="87"/>
      <c r="ES277" s="87"/>
      <c r="ET277" s="87"/>
      <c r="EU277" s="87"/>
      <c r="EV277" s="87"/>
      <c r="EW277" s="87"/>
      <c r="EX277" s="87"/>
      <c r="EY277" s="87"/>
      <c r="EZ277" s="87"/>
      <c r="FA277" s="87"/>
      <c r="FB277" s="87"/>
      <c r="FC277" s="87"/>
      <c r="FD277" s="87"/>
      <c r="FE277" s="87"/>
      <c r="FF277" s="87"/>
      <c r="FG277" s="87"/>
      <c r="FH277" s="87"/>
      <c r="FI277" s="87"/>
      <c r="FJ277" s="87"/>
      <c r="FK277" s="87"/>
      <c r="FL277" s="87"/>
      <c r="FM277" s="87"/>
      <c r="FN277" s="87"/>
      <c r="FO277" s="87"/>
      <c r="FP277" s="87"/>
      <c r="FQ277" s="87"/>
      <c r="FR277" s="87"/>
      <c r="FS277" s="87"/>
      <c r="FT277" s="87"/>
      <c r="FU277" s="87"/>
      <c r="FV277" s="87"/>
      <c r="FW277" s="87"/>
      <c r="FX277" s="87"/>
      <c r="FY277" s="87"/>
      <c r="FZ277" s="87"/>
      <c r="GA277" s="87"/>
    </row>
    <row r="278" spans="1:284" ht="9" customHeight="1" thickBot="1">
      <c r="A278" s="87"/>
      <c r="B278" s="87"/>
      <c r="C278" s="87"/>
      <c r="D278" s="87"/>
      <c r="E278" s="88"/>
      <c r="F278" s="88"/>
      <c r="G278" s="88"/>
      <c r="H278" s="88"/>
      <c r="I278" s="88"/>
      <c r="J278" s="88"/>
      <c r="K278" s="87"/>
      <c r="L278" s="87"/>
      <c r="M278" s="87"/>
      <c r="N278" s="87"/>
      <c r="O278" s="87"/>
      <c r="P278" s="87"/>
      <c r="Q278" s="87"/>
      <c r="R278" s="87"/>
      <c r="S278" s="87"/>
      <c r="T278" s="87"/>
      <c r="U278" s="87"/>
      <c r="V278" s="87"/>
      <c r="W278" s="87"/>
      <c r="X278" s="87"/>
      <c r="Y278" s="87"/>
      <c r="Z278" s="87"/>
      <c r="AA278" s="87"/>
      <c r="AB278" s="87"/>
      <c r="AC278" s="87"/>
      <c r="AD278" s="87"/>
      <c r="AE278" s="87"/>
      <c r="AF278" s="87"/>
      <c r="AG278" s="87"/>
      <c r="AH278" s="87"/>
      <c r="AI278" s="87"/>
      <c r="AJ278" s="87"/>
      <c r="AK278" s="87"/>
      <c r="AL278" s="109"/>
      <c r="AM278" s="109"/>
      <c r="AN278" s="109"/>
      <c r="AO278" s="109"/>
      <c r="AP278" s="109"/>
      <c r="AQ278" s="109"/>
      <c r="AR278" s="109"/>
      <c r="AS278" s="109"/>
      <c r="AT278" s="87"/>
      <c r="AU278" s="372"/>
      <c r="AV278" s="372"/>
      <c r="AW278" s="372"/>
      <c r="AX278" s="372"/>
      <c r="AY278" s="372"/>
      <c r="AZ278" s="372"/>
      <c r="BA278" s="372"/>
      <c r="BB278" s="372"/>
      <c r="BC278" s="372"/>
      <c r="BD278" s="372"/>
      <c r="BE278" s="372"/>
      <c r="BF278" s="374"/>
      <c r="BG278" s="87"/>
      <c r="BH278" s="87"/>
      <c r="BI278" s="87"/>
      <c r="BJ278" s="375"/>
      <c r="BK278" s="375"/>
      <c r="BL278" s="375"/>
      <c r="BM278" s="375"/>
      <c r="BN278" s="375"/>
      <c r="BO278" s="375"/>
      <c r="BP278" s="375"/>
      <c r="BQ278" s="375"/>
      <c r="BR278" s="375"/>
      <c r="BS278" s="375"/>
      <c r="BT278" s="375"/>
      <c r="BU278" s="375"/>
      <c r="BV278" s="375"/>
      <c r="BW278" s="375"/>
      <c r="BX278" s="375"/>
      <c r="BY278" s="375"/>
      <c r="BZ278" s="375"/>
      <c r="CA278" s="375"/>
      <c r="CB278" s="375"/>
      <c r="CC278" s="375"/>
      <c r="CD278" s="375"/>
      <c r="CE278" s="375"/>
      <c r="CF278" s="87"/>
      <c r="CG278" s="87"/>
      <c r="CH278" s="87"/>
      <c r="CI278" s="87"/>
      <c r="CJ278" s="87"/>
      <c r="CK278" s="87"/>
      <c r="CL278" s="87"/>
      <c r="CM278" s="87"/>
      <c r="CN278" s="87"/>
      <c r="CO278" s="376"/>
      <c r="CP278" s="87"/>
      <c r="CQ278" s="87"/>
      <c r="CR278" s="87"/>
      <c r="CS278" s="87"/>
      <c r="CT278" s="87"/>
      <c r="CU278" s="87"/>
      <c r="CV278" s="361"/>
      <c r="CW278" s="87"/>
      <c r="CX278" s="2167"/>
      <c r="CY278" s="2167"/>
      <c r="CZ278" s="2167"/>
      <c r="DA278" s="2167"/>
      <c r="DB278" s="2167"/>
      <c r="DC278" s="2167"/>
      <c r="DD278" s="2167"/>
      <c r="DE278" s="2167"/>
      <c r="DF278" s="2167"/>
      <c r="DG278" s="2167"/>
      <c r="DH278" s="2167"/>
      <c r="DI278" s="2167"/>
      <c r="DJ278" s="2167"/>
      <c r="DK278" s="2167"/>
      <c r="DL278" s="2167"/>
      <c r="DM278" s="2167"/>
      <c r="DN278" s="2167"/>
      <c r="DO278" s="2167"/>
      <c r="DP278" s="2167"/>
      <c r="DQ278" s="2167"/>
      <c r="DR278" s="2167"/>
      <c r="DS278" s="2167"/>
      <c r="DT278" s="2167"/>
      <c r="DU278" s="2167"/>
      <c r="DV278" s="2167"/>
      <c r="DW278" s="2167"/>
      <c r="DX278" s="2167"/>
      <c r="DY278" s="2167"/>
      <c r="DZ278" s="2167"/>
      <c r="EA278" s="2167"/>
      <c r="EB278" s="2167"/>
      <c r="EC278" s="1946"/>
      <c r="ED278" s="87"/>
      <c r="EE278" s="87"/>
      <c r="EF278" s="87"/>
      <c r="EG278" s="87"/>
      <c r="EH278" s="87"/>
      <c r="EI278" s="87"/>
      <c r="EJ278" s="87"/>
      <c r="EK278" s="87"/>
      <c r="EL278" s="87"/>
      <c r="EM278" s="87"/>
      <c r="EN278" s="87"/>
      <c r="EO278" s="87"/>
      <c r="EP278" s="87"/>
      <c r="EQ278" s="87"/>
      <c r="ER278" s="87"/>
      <c r="ES278" s="87"/>
      <c r="ET278" s="87"/>
      <c r="EU278" s="87"/>
      <c r="EV278" s="87"/>
      <c r="EW278" s="87"/>
      <c r="EX278" s="87"/>
      <c r="EY278" s="87"/>
      <c r="EZ278" s="87"/>
      <c r="FA278" s="87"/>
      <c r="FB278" s="87"/>
      <c r="FC278" s="87"/>
      <c r="FD278" s="87"/>
      <c r="FE278" s="87"/>
      <c r="FF278" s="87"/>
      <c r="FG278" s="87"/>
      <c r="FH278" s="87"/>
      <c r="FI278" s="87"/>
      <c r="FJ278" s="87"/>
      <c r="FK278" s="87"/>
      <c r="FL278" s="87"/>
      <c r="FM278" s="87"/>
      <c r="FN278" s="87"/>
      <c r="FO278" s="87"/>
      <c r="FP278" s="87"/>
      <c r="FQ278" s="87"/>
      <c r="FR278" s="87"/>
      <c r="FS278" s="87"/>
      <c r="FT278" s="87"/>
      <c r="FU278" s="87"/>
      <c r="FV278" s="87"/>
      <c r="FW278" s="87"/>
      <c r="FX278" s="87"/>
      <c r="FY278" s="87"/>
      <c r="FZ278" s="87"/>
      <c r="GA278" s="87"/>
    </row>
    <row r="279" spans="1:284" ht="9" customHeight="1" thickBot="1">
      <c r="A279" s="87"/>
      <c r="B279" s="87"/>
      <c r="C279" s="87"/>
      <c r="D279" s="87"/>
      <c r="E279" s="88"/>
      <c r="F279" s="88"/>
      <c r="G279" s="88"/>
      <c r="H279" s="88"/>
      <c r="I279" s="88"/>
      <c r="J279" s="88"/>
      <c r="K279" s="87"/>
      <c r="L279" s="87"/>
      <c r="M279" s="87"/>
      <c r="N279" s="87"/>
      <c r="O279" s="87"/>
      <c r="P279" s="87"/>
      <c r="Q279" s="87"/>
      <c r="R279" s="87"/>
      <c r="S279" s="87"/>
      <c r="T279" s="87"/>
      <c r="U279" s="87"/>
      <c r="V279" s="87"/>
      <c r="W279" s="87"/>
      <c r="X279" s="87"/>
      <c r="Y279" s="87"/>
      <c r="Z279" s="87"/>
      <c r="AA279" s="87"/>
      <c r="AB279" s="87"/>
      <c r="AC279" s="87"/>
      <c r="AD279" s="87"/>
      <c r="AE279" s="87"/>
      <c r="AF279" s="87"/>
      <c r="AG279" s="87"/>
      <c r="AH279" s="87"/>
      <c r="AI279" s="87"/>
      <c r="AJ279" s="87"/>
      <c r="AK279" s="87"/>
      <c r="AL279" s="109"/>
      <c r="AM279" s="109"/>
      <c r="AN279" s="109"/>
      <c r="AO279" s="109"/>
      <c r="AP279" s="109"/>
      <c r="AQ279" s="109"/>
      <c r="AR279" s="109"/>
      <c r="AS279" s="109"/>
      <c r="AT279" s="379"/>
      <c r="AU279" s="372"/>
      <c r="AV279" s="372"/>
      <c r="AW279" s="372"/>
      <c r="AX279" s="372"/>
      <c r="AY279" s="372"/>
      <c r="AZ279" s="372"/>
      <c r="BA279" s="372"/>
      <c r="BB279" s="372"/>
      <c r="BC279" s="372"/>
      <c r="BD279" s="372"/>
      <c r="BE279" s="372"/>
      <c r="BF279" s="372"/>
      <c r="BG279" s="372"/>
      <c r="BH279" s="372"/>
      <c r="BI279" s="374"/>
      <c r="BJ279" s="87"/>
      <c r="BK279" s="87"/>
      <c r="BL279" s="87"/>
      <c r="BM279" s="87"/>
      <c r="BN279" s="87"/>
      <c r="BO279" s="87"/>
      <c r="BP279" s="87"/>
      <c r="BQ279" s="87"/>
      <c r="BR279" s="87"/>
      <c r="BS279" s="87"/>
      <c r="BT279" s="87"/>
      <c r="BU279" s="87"/>
      <c r="BV279" s="87"/>
      <c r="BW279" s="87"/>
      <c r="BX279" s="87"/>
      <c r="BY279" s="87"/>
      <c r="BZ279" s="87"/>
      <c r="CA279" s="87"/>
      <c r="CB279" s="87"/>
      <c r="CC279" s="87"/>
      <c r="CD279" s="87"/>
      <c r="CE279" s="87"/>
      <c r="CF279" s="376"/>
      <c r="CG279" s="372"/>
      <c r="CH279" s="372"/>
      <c r="CI279" s="372"/>
      <c r="CJ279" s="372"/>
      <c r="CK279" s="372"/>
      <c r="CL279" s="372"/>
      <c r="CM279" s="372"/>
      <c r="CN279" s="372"/>
      <c r="CO279" s="372"/>
      <c r="CP279" s="380"/>
      <c r="CQ279" s="87"/>
      <c r="CR279" s="87"/>
      <c r="CS279" s="87"/>
      <c r="CT279" s="87"/>
      <c r="CU279" s="87"/>
      <c r="CV279" s="87"/>
      <c r="CW279" s="361"/>
      <c r="CX279" s="2172"/>
      <c r="CY279" s="2172"/>
      <c r="CZ279" s="2172"/>
      <c r="DA279" s="2172"/>
      <c r="DB279" s="2172"/>
      <c r="DC279" s="2172"/>
      <c r="DD279" s="2172"/>
      <c r="DE279" s="2172"/>
      <c r="DF279" s="2172"/>
      <c r="DG279" s="2172"/>
      <c r="DH279" s="2172"/>
      <c r="DI279" s="2172"/>
      <c r="DJ279" s="2172"/>
      <c r="DK279" s="2172"/>
      <c r="DL279" s="2172"/>
      <c r="DM279" s="2172"/>
      <c r="DN279" s="2172"/>
      <c r="DO279" s="2172"/>
      <c r="DP279" s="2172"/>
      <c r="DQ279" s="2172"/>
      <c r="DR279" s="2172"/>
      <c r="DS279" s="2172"/>
      <c r="DT279" s="2172"/>
      <c r="DU279" s="2172"/>
      <c r="DV279" s="2172"/>
      <c r="DW279" s="2172"/>
      <c r="DX279" s="2172"/>
      <c r="DY279" s="2172"/>
      <c r="DZ279" s="2172"/>
      <c r="EA279" s="2172"/>
      <c r="EB279" s="2172"/>
      <c r="EC279" s="1948"/>
      <c r="ED279" s="87"/>
      <c r="EE279" s="87"/>
      <c r="EF279" s="87"/>
      <c r="EG279" s="87"/>
      <c r="EH279" s="87"/>
      <c r="EI279" s="87"/>
      <c r="EJ279" s="87"/>
      <c r="EK279" s="87"/>
      <c r="EL279" s="87"/>
      <c r="EM279" s="87"/>
      <c r="EN279" s="87"/>
      <c r="EO279" s="87"/>
      <c r="EP279" s="87"/>
      <c r="EQ279" s="87"/>
      <c r="ER279" s="87"/>
      <c r="ES279" s="87"/>
      <c r="ET279" s="87"/>
      <c r="EU279" s="87"/>
      <c r="EV279" s="87"/>
      <c r="EW279" s="87"/>
      <c r="EX279" s="87"/>
      <c r="EY279" s="87"/>
      <c r="EZ279" s="87"/>
      <c r="FA279" s="87"/>
      <c r="FB279" s="87"/>
      <c r="FC279" s="87"/>
      <c r="FD279" s="87"/>
      <c r="FE279" s="87"/>
      <c r="FF279" s="87"/>
      <c r="FG279" s="87"/>
      <c r="FH279" s="87"/>
      <c r="FI279" s="87"/>
      <c r="FJ279" s="87"/>
      <c r="FK279" s="87"/>
      <c r="FL279" s="87"/>
      <c r="FM279" s="87"/>
      <c r="FN279" s="87"/>
      <c r="FO279" s="87"/>
      <c r="FP279" s="87"/>
      <c r="FQ279" s="87"/>
      <c r="FR279" s="87"/>
      <c r="FS279" s="87"/>
      <c r="FT279" s="87"/>
      <c r="FU279" s="87"/>
      <c r="FV279" s="87"/>
      <c r="FW279" s="87"/>
      <c r="FX279" s="87"/>
      <c r="FY279" s="87"/>
      <c r="FZ279" s="87"/>
      <c r="GA279" s="87"/>
    </row>
    <row r="280" spans="1:284" ht="9" customHeight="1">
      <c r="A280" s="87"/>
      <c r="B280" s="87"/>
      <c r="C280" s="87"/>
      <c r="D280" s="87"/>
      <c r="E280" s="88"/>
      <c r="F280" s="88"/>
      <c r="G280" s="88"/>
      <c r="H280" s="88"/>
      <c r="I280" s="88"/>
      <c r="J280" s="88"/>
      <c r="K280" s="87"/>
      <c r="L280" s="87"/>
      <c r="M280" s="87"/>
      <c r="N280" s="87"/>
      <c r="O280" s="87"/>
      <c r="P280" s="87"/>
      <c r="Q280" s="87"/>
      <c r="R280" s="87"/>
      <c r="S280" s="87"/>
      <c r="T280" s="87"/>
      <c r="U280" s="87"/>
      <c r="V280" s="87"/>
      <c r="W280" s="87"/>
      <c r="X280" s="87"/>
      <c r="Y280" s="87"/>
      <c r="Z280" s="87"/>
      <c r="AA280" s="87"/>
      <c r="AB280" s="87"/>
      <c r="AC280" s="87"/>
      <c r="AD280" s="87"/>
      <c r="AE280" s="87"/>
      <c r="AF280" s="87"/>
      <c r="AG280" s="87"/>
      <c r="AH280" s="87"/>
      <c r="AI280" s="87"/>
      <c r="AJ280" s="87"/>
      <c r="AK280" s="87"/>
      <c r="AL280" s="109"/>
      <c r="AM280" s="109"/>
      <c r="AN280" s="109"/>
      <c r="AO280" s="109"/>
      <c r="AP280" s="109"/>
      <c r="AQ280" s="109"/>
      <c r="AR280" s="109"/>
      <c r="AS280" s="109"/>
      <c r="AT280" s="87"/>
      <c r="AU280" s="87"/>
      <c r="AV280" s="87"/>
      <c r="AW280" s="87"/>
      <c r="AX280" s="87"/>
      <c r="AY280" s="87"/>
      <c r="AZ280" s="87"/>
      <c r="BA280" s="87"/>
      <c r="BB280" s="87"/>
      <c r="BC280" s="87"/>
      <c r="BD280" s="87"/>
      <c r="BE280" s="87"/>
      <c r="BF280" s="87"/>
      <c r="BG280" s="87"/>
      <c r="BH280" s="87"/>
      <c r="BI280" s="87"/>
      <c r="BJ280" s="87"/>
      <c r="BK280" s="87"/>
      <c r="BL280" s="87"/>
      <c r="BM280" s="87"/>
      <c r="BN280" s="87"/>
      <c r="BO280" s="87"/>
      <c r="BP280" s="87"/>
      <c r="BQ280" s="87"/>
      <c r="BR280" s="87"/>
      <c r="BS280" s="87"/>
      <c r="BT280" s="87"/>
      <c r="BU280" s="87"/>
      <c r="BV280" s="87"/>
      <c r="BW280" s="87"/>
      <c r="BX280" s="87"/>
      <c r="BY280" s="87"/>
      <c r="BZ280" s="87"/>
      <c r="CA280" s="87"/>
      <c r="CB280" s="87"/>
      <c r="CC280" s="87"/>
      <c r="CD280" s="87"/>
      <c r="CE280" s="87"/>
      <c r="CF280" s="87"/>
      <c r="CG280" s="87"/>
      <c r="CH280" s="87"/>
      <c r="CI280" s="87"/>
      <c r="CJ280" s="87"/>
      <c r="CK280" s="87"/>
      <c r="CL280" s="87"/>
      <c r="CM280" s="87"/>
      <c r="CN280" s="87"/>
      <c r="CO280" s="87"/>
      <c r="CP280" s="87"/>
      <c r="CQ280" s="87"/>
      <c r="CR280" s="87"/>
      <c r="CS280" s="87"/>
      <c r="CT280" s="87"/>
      <c r="CU280" s="87"/>
      <c r="CV280" s="87"/>
      <c r="CW280" s="87"/>
      <c r="CX280" s="87"/>
      <c r="CY280" s="87"/>
      <c r="CZ280" s="87"/>
      <c r="DA280" s="87"/>
      <c r="DB280" s="87"/>
      <c r="DC280" s="87"/>
      <c r="DD280" s="87"/>
      <c r="DE280" s="87"/>
      <c r="DF280" s="87"/>
      <c r="DG280" s="87"/>
      <c r="DH280" s="87"/>
      <c r="DI280" s="87"/>
      <c r="DJ280" s="87"/>
      <c r="DK280" s="87"/>
      <c r="DL280" s="87"/>
      <c r="DM280" s="87"/>
      <c r="DN280" s="87"/>
      <c r="DO280" s="87"/>
      <c r="DP280" s="87"/>
      <c r="DQ280" s="87"/>
      <c r="DR280" s="87"/>
      <c r="DS280" s="87"/>
      <c r="DT280" s="87"/>
      <c r="DU280" s="87"/>
      <c r="DV280" s="87"/>
      <c r="DW280" s="87"/>
      <c r="DX280" s="87"/>
      <c r="DY280" s="87"/>
      <c r="DZ280" s="87"/>
      <c r="EA280" s="87"/>
      <c r="EB280" s="87"/>
      <c r="EC280" s="87"/>
      <c r="ED280" s="87"/>
      <c r="EE280" s="87"/>
      <c r="EF280" s="87"/>
      <c r="EG280" s="87"/>
      <c r="EH280" s="87"/>
      <c r="EI280" s="87"/>
      <c r="EJ280" s="87"/>
      <c r="EK280" s="87"/>
      <c r="EL280" s="87"/>
      <c r="EM280" s="87"/>
      <c r="EN280" s="87"/>
      <c r="EO280" s="87"/>
      <c r="EP280" s="87"/>
      <c r="EQ280" s="87"/>
      <c r="ER280" s="87"/>
      <c r="ES280" s="87"/>
      <c r="ET280" s="87"/>
      <c r="EU280" s="87"/>
      <c r="EV280" s="87"/>
      <c r="EW280" s="87"/>
      <c r="EX280" s="87"/>
      <c r="EY280" s="87"/>
      <c r="EZ280" s="87"/>
      <c r="FA280" s="87"/>
      <c r="FB280" s="87"/>
      <c r="FC280" s="87"/>
      <c r="FD280" s="87"/>
      <c r="FE280" s="87"/>
      <c r="FF280" s="87"/>
      <c r="FG280" s="87"/>
      <c r="FH280" s="87"/>
      <c r="FI280" s="87"/>
      <c r="FJ280" s="87"/>
      <c r="FK280" s="87"/>
      <c r="FL280" s="87"/>
      <c r="FM280" s="87"/>
      <c r="FN280" s="87"/>
      <c r="FO280" s="87"/>
      <c r="FP280" s="87"/>
      <c r="FQ280" s="87"/>
      <c r="FR280" s="87"/>
      <c r="FS280" s="87"/>
      <c r="FT280" s="87"/>
      <c r="FU280" s="87"/>
      <c r="FV280" s="87"/>
      <c r="FW280" s="87"/>
      <c r="FX280" s="87"/>
      <c r="FY280" s="87"/>
      <c r="FZ280" s="87"/>
      <c r="GA280" s="87"/>
    </row>
  </sheetData>
  <mergeCells count="854">
    <mergeCell ref="BJ3:BY6"/>
    <mergeCell ref="BF3:BI4"/>
    <mergeCell ref="U3:BA6"/>
    <mergeCell ref="GY264:GY266"/>
    <mergeCell ref="GU268:GU270"/>
    <mergeCell ref="GV268:GV270"/>
    <mergeCell ref="GU272:GU274"/>
    <mergeCell ref="GV272:GV274"/>
    <mergeCell ref="GX268:GX270"/>
    <mergeCell ref="GY268:GY270"/>
    <mergeCell ref="GX272:GX274"/>
    <mergeCell ref="GY272:GY274"/>
    <mergeCell ref="GR264:GR266"/>
    <mergeCell ref="GS264:GS266"/>
    <mergeCell ref="GR268:GR270"/>
    <mergeCell ref="GS268:GS270"/>
    <mergeCell ref="GR272:GR274"/>
    <mergeCell ref="GS272:GS274"/>
    <mergeCell ref="GU264:GU266"/>
    <mergeCell ref="GV264:GV266"/>
    <mergeCell ref="GX264:GX266"/>
    <mergeCell ref="GK264:GK266"/>
    <mergeCell ref="GL264:GL266"/>
    <mergeCell ref="GK268:GK270"/>
    <mergeCell ref="GL268:GL270"/>
    <mergeCell ref="GK272:GK274"/>
    <mergeCell ref="GL272:GL274"/>
    <mergeCell ref="GO264:GO266"/>
    <mergeCell ref="GP264:GP266"/>
    <mergeCell ref="GO268:GO270"/>
    <mergeCell ref="GP268:GP270"/>
    <mergeCell ref="GO272:GO274"/>
    <mergeCell ref="GP272:GP274"/>
    <mergeCell ref="B264:AK266"/>
    <mergeCell ref="AM264:BV266"/>
    <mergeCell ref="B268:AK270"/>
    <mergeCell ref="AM268:BV270"/>
    <mergeCell ref="B272:AK274"/>
    <mergeCell ref="AM272:BV274"/>
    <mergeCell ref="CV228:FY229"/>
    <mergeCell ref="CE227:CS230"/>
    <mergeCell ref="CE260:EH263"/>
    <mergeCell ref="EK261:FY262"/>
    <mergeCell ref="CB268:DG270"/>
    <mergeCell ref="CB264:DG266"/>
    <mergeCell ref="CB272:DG274"/>
    <mergeCell ref="DK264:EP266"/>
    <mergeCell ref="ET264:FY266"/>
    <mergeCell ref="DK268:EP270"/>
    <mergeCell ref="ET268:FY270"/>
    <mergeCell ref="EB256:FP258"/>
    <mergeCell ref="B256:AK258"/>
    <mergeCell ref="AM256:BV258"/>
    <mergeCell ref="B260:AK262"/>
    <mergeCell ref="AM260:BV262"/>
    <mergeCell ref="B248:AK250"/>
    <mergeCell ref="AM248:BV250"/>
    <mergeCell ref="GO207:GO209"/>
    <mergeCell ref="GP207:GP209"/>
    <mergeCell ref="GO211:GO213"/>
    <mergeCell ref="GP211:GP213"/>
    <mergeCell ref="GO215:GO217"/>
    <mergeCell ref="GP215:GP217"/>
    <mergeCell ref="GO219:GO221"/>
    <mergeCell ref="GP219:GP221"/>
    <mergeCell ref="GO223:GO225"/>
    <mergeCell ref="GP223:GP225"/>
    <mergeCell ref="GK207:GK209"/>
    <mergeCell ref="GL207:GL209"/>
    <mergeCell ref="GK211:GK213"/>
    <mergeCell ref="GL211:GL213"/>
    <mergeCell ref="GK215:GK217"/>
    <mergeCell ref="GL215:GL217"/>
    <mergeCell ref="GK219:GK221"/>
    <mergeCell ref="GL219:GL221"/>
    <mergeCell ref="GK223:GK225"/>
    <mergeCell ref="GL223:GL225"/>
    <mergeCell ref="FP94:FS96"/>
    <mergeCell ref="FU94:FX96"/>
    <mergeCell ref="C93:AV95"/>
    <mergeCell ref="AW93:BE95"/>
    <mergeCell ref="BJ93:CS97"/>
    <mergeCell ref="CV94:DC96"/>
    <mergeCell ref="DK94:DQ96"/>
    <mergeCell ref="DW94:EC96"/>
    <mergeCell ref="EI94:EO96"/>
    <mergeCell ref="EU94:FA96"/>
    <mergeCell ref="FG94:FM96"/>
    <mergeCell ref="C97:AV99"/>
    <mergeCell ref="AW97:BE99"/>
    <mergeCell ref="BN99:CS103"/>
    <mergeCell ref="CV100:DC102"/>
    <mergeCell ref="FU100:FX102"/>
    <mergeCell ref="C101:AV103"/>
    <mergeCell ref="AW101:BE103"/>
    <mergeCell ref="FP100:FS102"/>
    <mergeCell ref="C81:AV83"/>
    <mergeCell ref="AW81:BE83"/>
    <mergeCell ref="BJ81:CS85"/>
    <mergeCell ref="CV82:DC84"/>
    <mergeCell ref="DK82:DQ84"/>
    <mergeCell ref="DW82:EC84"/>
    <mergeCell ref="EI82:EO84"/>
    <mergeCell ref="EU82:FA84"/>
    <mergeCell ref="FG82:FM84"/>
    <mergeCell ref="CV88:DC90"/>
    <mergeCell ref="DK88:DQ90"/>
    <mergeCell ref="DW88:EC90"/>
    <mergeCell ref="EI88:EO90"/>
    <mergeCell ref="EU88:FA90"/>
    <mergeCell ref="FG88:FM90"/>
    <mergeCell ref="FP88:FS90"/>
    <mergeCell ref="FU88:FX90"/>
    <mergeCell ref="C89:AV91"/>
    <mergeCell ref="AW89:BE91"/>
    <mergeCell ref="GK252:GK254"/>
    <mergeCell ref="GL252:GL254"/>
    <mergeCell ref="GK256:GK258"/>
    <mergeCell ref="GL256:GL258"/>
    <mergeCell ref="GK260:GK262"/>
    <mergeCell ref="GL260:GL262"/>
    <mergeCell ref="GO232:GO234"/>
    <mergeCell ref="GP232:GP234"/>
    <mergeCell ref="GO236:GO238"/>
    <mergeCell ref="GP236:GP238"/>
    <mergeCell ref="GO240:GO242"/>
    <mergeCell ref="GP240:GP242"/>
    <mergeCell ref="GO244:GO246"/>
    <mergeCell ref="GP244:GP246"/>
    <mergeCell ref="GO248:GO250"/>
    <mergeCell ref="GP248:GP250"/>
    <mergeCell ref="GO252:GO254"/>
    <mergeCell ref="GP252:GP254"/>
    <mergeCell ref="GO256:GO258"/>
    <mergeCell ref="GP256:GP258"/>
    <mergeCell ref="GO260:GO262"/>
    <mergeCell ref="GP260:GP262"/>
    <mergeCell ref="GK232:GK234"/>
    <mergeCell ref="GL232:GL234"/>
    <mergeCell ref="GK236:GK238"/>
    <mergeCell ref="GL236:GL238"/>
    <mergeCell ref="GK240:GK242"/>
    <mergeCell ref="GL240:GL242"/>
    <mergeCell ref="GK244:GK246"/>
    <mergeCell ref="GL244:GL246"/>
    <mergeCell ref="GK248:GK250"/>
    <mergeCell ref="GL248:GL250"/>
    <mergeCell ref="GG219:GG221"/>
    <mergeCell ref="GH219:GH221"/>
    <mergeCell ref="GI219:GI221"/>
    <mergeCell ref="GG223:GG225"/>
    <mergeCell ref="GH223:GH225"/>
    <mergeCell ref="GI223:GI225"/>
    <mergeCell ref="GG211:GG213"/>
    <mergeCell ref="GH211:GH213"/>
    <mergeCell ref="GI211:GI213"/>
    <mergeCell ref="GG215:GG217"/>
    <mergeCell ref="GH215:GH217"/>
    <mergeCell ref="GI215:GI217"/>
    <mergeCell ref="GG203:GG205"/>
    <mergeCell ref="GH203:GH205"/>
    <mergeCell ref="GI203:GI205"/>
    <mergeCell ref="GG207:GG209"/>
    <mergeCell ref="GH207:GH209"/>
    <mergeCell ref="GI207:GI209"/>
    <mergeCell ref="GG195:GG197"/>
    <mergeCell ref="GH195:GH197"/>
    <mergeCell ref="GI195:GI197"/>
    <mergeCell ref="GG199:GG201"/>
    <mergeCell ref="GH199:GH201"/>
    <mergeCell ref="GI199:GI201"/>
    <mergeCell ref="GG187:GG189"/>
    <mergeCell ref="GH187:GH189"/>
    <mergeCell ref="GI187:GI189"/>
    <mergeCell ref="GG191:GG193"/>
    <mergeCell ref="GH191:GH193"/>
    <mergeCell ref="GI191:GI193"/>
    <mergeCell ref="GG179:GG181"/>
    <mergeCell ref="GH179:GH181"/>
    <mergeCell ref="GI179:GI181"/>
    <mergeCell ref="GG183:GG185"/>
    <mergeCell ref="GH183:GH185"/>
    <mergeCell ref="GI183:GI185"/>
    <mergeCell ref="GG171:GG173"/>
    <mergeCell ref="GH171:GH173"/>
    <mergeCell ref="GI171:GI173"/>
    <mergeCell ref="GG175:GG177"/>
    <mergeCell ref="GH175:GH177"/>
    <mergeCell ref="GI175:GI177"/>
    <mergeCell ref="GC187:GC189"/>
    <mergeCell ref="GD187:GD189"/>
    <mergeCell ref="GE187:GE189"/>
    <mergeCell ref="GC191:GC193"/>
    <mergeCell ref="GD191:GD193"/>
    <mergeCell ref="GE191:GE193"/>
    <mergeCell ref="GC219:GC221"/>
    <mergeCell ref="GD219:GD221"/>
    <mergeCell ref="GE219:GE221"/>
    <mergeCell ref="GC203:GC205"/>
    <mergeCell ref="GD203:GD205"/>
    <mergeCell ref="GE203:GE205"/>
    <mergeCell ref="GC207:GC209"/>
    <mergeCell ref="GD207:GD209"/>
    <mergeCell ref="GE207:GE209"/>
    <mergeCell ref="GD223:GD225"/>
    <mergeCell ref="GE223:GE225"/>
    <mergeCell ref="GC211:GC213"/>
    <mergeCell ref="GD211:GD213"/>
    <mergeCell ref="GE211:GE213"/>
    <mergeCell ref="GC215:GC217"/>
    <mergeCell ref="GD215:GD217"/>
    <mergeCell ref="GE215:GE217"/>
    <mergeCell ref="GC195:GC197"/>
    <mergeCell ref="GD195:GD197"/>
    <mergeCell ref="GE195:GE197"/>
    <mergeCell ref="GC199:GC201"/>
    <mergeCell ref="GD199:GD201"/>
    <mergeCell ref="GE199:GE201"/>
    <mergeCell ref="GD179:GD181"/>
    <mergeCell ref="GE179:GE181"/>
    <mergeCell ref="GC183:GC185"/>
    <mergeCell ref="GD183:GD185"/>
    <mergeCell ref="GE183:GE185"/>
    <mergeCell ref="GG260:GG262"/>
    <mergeCell ref="GH260:GH262"/>
    <mergeCell ref="GI260:GI262"/>
    <mergeCell ref="GI252:GI254"/>
    <mergeCell ref="GG256:GG258"/>
    <mergeCell ref="GH256:GH258"/>
    <mergeCell ref="GI256:GI258"/>
    <mergeCell ref="GI244:GI246"/>
    <mergeCell ref="GI248:GI250"/>
    <mergeCell ref="GI236:GI238"/>
    <mergeCell ref="GI240:GI242"/>
    <mergeCell ref="GI232:GI234"/>
    <mergeCell ref="GC256:GC258"/>
    <mergeCell ref="GD256:GD258"/>
    <mergeCell ref="GE256:GE258"/>
    <mergeCell ref="GE244:GE246"/>
    <mergeCell ref="GC260:GC262"/>
    <mergeCell ref="GD260:GD262"/>
    <mergeCell ref="GC223:GC225"/>
    <mergeCell ref="GC171:GC173"/>
    <mergeCell ref="GD171:GD173"/>
    <mergeCell ref="GE171:GE173"/>
    <mergeCell ref="GC175:GC177"/>
    <mergeCell ref="GD175:GD177"/>
    <mergeCell ref="GE175:GE177"/>
    <mergeCell ref="GG252:GG254"/>
    <mergeCell ref="GH252:GH254"/>
    <mergeCell ref="GG244:GG246"/>
    <mergeCell ref="GH244:GH246"/>
    <mergeCell ref="GG248:GG250"/>
    <mergeCell ref="GH248:GH250"/>
    <mergeCell ref="GG236:GG238"/>
    <mergeCell ref="GH236:GH238"/>
    <mergeCell ref="GG240:GG242"/>
    <mergeCell ref="GH240:GH242"/>
    <mergeCell ref="GG232:GG234"/>
    <mergeCell ref="GH232:GH234"/>
    <mergeCell ref="GC240:GC242"/>
    <mergeCell ref="GD240:GD242"/>
    <mergeCell ref="GE240:GE242"/>
    <mergeCell ref="GC244:GC246"/>
    <mergeCell ref="GD244:GD246"/>
    <mergeCell ref="GC179:GC181"/>
    <mergeCell ref="GE260:GE262"/>
    <mergeCell ref="GC248:GC250"/>
    <mergeCell ref="GD248:GD250"/>
    <mergeCell ref="GE248:GE250"/>
    <mergeCell ref="GC252:GC254"/>
    <mergeCell ref="GD252:GD254"/>
    <mergeCell ref="GE252:GE254"/>
    <mergeCell ref="FS232:FY234"/>
    <mergeCell ref="GC232:GC234"/>
    <mergeCell ref="GD232:GD234"/>
    <mergeCell ref="GE232:GE234"/>
    <mergeCell ref="GC236:GC238"/>
    <mergeCell ref="GD236:GD238"/>
    <mergeCell ref="GE236:GE238"/>
    <mergeCell ref="FS252:FY254"/>
    <mergeCell ref="FS256:FY258"/>
    <mergeCell ref="CX278:EC279"/>
    <mergeCell ref="CB236:DP238"/>
    <mergeCell ref="DS236:DY238"/>
    <mergeCell ref="EB236:FP238"/>
    <mergeCell ref="FS236:FY238"/>
    <mergeCell ref="CB240:DP242"/>
    <mergeCell ref="DS240:DY242"/>
    <mergeCell ref="EB240:FP242"/>
    <mergeCell ref="FS240:FY242"/>
    <mergeCell ref="CB244:DP246"/>
    <mergeCell ref="FS244:FY246"/>
    <mergeCell ref="CB248:DP250"/>
    <mergeCell ref="DS248:DY250"/>
    <mergeCell ref="EB248:FP250"/>
    <mergeCell ref="FS248:FY250"/>
    <mergeCell ref="CB252:DP254"/>
    <mergeCell ref="DS252:DY254"/>
    <mergeCell ref="EB252:FP254"/>
    <mergeCell ref="CB256:DP258"/>
    <mergeCell ref="DS256:DY258"/>
    <mergeCell ref="DK272:EP274"/>
    <mergeCell ref="ET272:FY274"/>
    <mergeCell ref="B252:AK254"/>
    <mergeCell ref="AM252:BV254"/>
    <mergeCell ref="B240:AK242"/>
    <mergeCell ref="AM240:BV242"/>
    <mergeCell ref="B244:AK246"/>
    <mergeCell ref="AM244:BV246"/>
    <mergeCell ref="DS244:DY246"/>
    <mergeCell ref="EB244:FP246"/>
    <mergeCell ref="B232:AK234"/>
    <mergeCell ref="AM232:BV234"/>
    <mergeCell ref="B236:AK238"/>
    <mergeCell ref="AM236:BV238"/>
    <mergeCell ref="CB232:DP234"/>
    <mergeCell ref="DS232:DY234"/>
    <mergeCell ref="EB232:FP234"/>
    <mergeCell ref="AE227:BS230"/>
    <mergeCell ref="B228:AC229"/>
    <mergeCell ref="FS230:FY231"/>
    <mergeCell ref="B223:AC225"/>
    <mergeCell ref="AE223:BF225"/>
    <mergeCell ref="CB223:DP225"/>
    <mergeCell ref="DS223:DY225"/>
    <mergeCell ref="EB223:FP225"/>
    <mergeCell ref="FS223:FY225"/>
    <mergeCell ref="DS230:DY231"/>
    <mergeCell ref="B219:AC221"/>
    <mergeCell ref="AE219:BF221"/>
    <mergeCell ref="CB219:DP221"/>
    <mergeCell ref="DS219:DY221"/>
    <mergeCell ref="EB219:FP221"/>
    <mergeCell ref="FS219:FY221"/>
    <mergeCell ref="B215:AC217"/>
    <mergeCell ref="AE215:BF217"/>
    <mergeCell ref="CB215:DP217"/>
    <mergeCell ref="DS215:DY217"/>
    <mergeCell ref="EB215:FP217"/>
    <mergeCell ref="FS215:FY217"/>
    <mergeCell ref="B211:AC213"/>
    <mergeCell ref="AE211:BF213"/>
    <mergeCell ref="CB211:DP213"/>
    <mergeCell ref="DS211:DY213"/>
    <mergeCell ref="EB211:FP213"/>
    <mergeCell ref="FS211:FY213"/>
    <mergeCell ref="B207:AC209"/>
    <mergeCell ref="AE207:BF209"/>
    <mergeCell ref="CB207:DP209"/>
    <mergeCell ref="DS207:DY209"/>
    <mergeCell ref="EB207:FP209"/>
    <mergeCell ref="FS207:FY209"/>
    <mergeCell ref="E202:AC205"/>
    <mergeCell ref="AF203:BG204"/>
    <mergeCell ref="CB203:DP205"/>
    <mergeCell ref="DS203:DY205"/>
    <mergeCell ref="EB203:FP205"/>
    <mergeCell ref="FS203:FY205"/>
    <mergeCell ref="EB195:FP197"/>
    <mergeCell ref="FS195:FY197"/>
    <mergeCell ref="AI196:AX198"/>
    <mergeCell ref="CB199:DP201"/>
    <mergeCell ref="DS199:DY201"/>
    <mergeCell ref="EB199:FP201"/>
    <mergeCell ref="FS199:FY201"/>
    <mergeCell ref="CB191:DP193"/>
    <mergeCell ref="DS191:DY193"/>
    <mergeCell ref="EB191:FP193"/>
    <mergeCell ref="FS191:FY193"/>
    <mergeCell ref="B192:I199"/>
    <mergeCell ref="AY192:BF199"/>
    <mergeCell ref="J193:X198"/>
    <mergeCell ref="AI193:AX195"/>
    <mergeCell ref="CB195:DP197"/>
    <mergeCell ref="DS195:DY197"/>
    <mergeCell ref="AF196:AH198"/>
    <mergeCell ref="FS175:FY177"/>
    <mergeCell ref="C185:AV187"/>
    <mergeCell ref="AW185:BE187"/>
    <mergeCell ref="CB187:DP189"/>
    <mergeCell ref="DS187:DY189"/>
    <mergeCell ref="EB187:FP189"/>
    <mergeCell ref="FS187:FY189"/>
    <mergeCell ref="C181:AV183"/>
    <mergeCell ref="AW181:BE183"/>
    <mergeCell ref="CB183:DP185"/>
    <mergeCell ref="DS183:DY185"/>
    <mergeCell ref="EB183:FP185"/>
    <mergeCell ref="FS183:FY185"/>
    <mergeCell ref="CE166:CR169"/>
    <mergeCell ref="C165:AV167"/>
    <mergeCell ref="AW165:BE167"/>
    <mergeCell ref="BO167:BW222"/>
    <mergeCell ref="CU167:FY168"/>
    <mergeCell ref="DS169:DY170"/>
    <mergeCell ref="FS169:FY170"/>
    <mergeCell ref="C169:AV171"/>
    <mergeCell ref="AW169:BE171"/>
    <mergeCell ref="CB171:DP173"/>
    <mergeCell ref="C177:AV179"/>
    <mergeCell ref="AW177:BE179"/>
    <mergeCell ref="CB179:DP181"/>
    <mergeCell ref="DS179:DY181"/>
    <mergeCell ref="EB179:FP181"/>
    <mergeCell ref="FS179:FY181"/>
    <mergeCell ref="DS171:DY173"/>
    <mergeCell ref="EB171:FP173"/>
    <mergeCell ref="FS171:FY173"/>
    <mergeCell ref="C173:AV175"/>
    <mergeCell ref="AW173:BE175"/>
    <mergeCell ref="CB175:DP177"/>
    <mergeCell ref="DS175:DY177"/>
    <mergeCell ref="EB175:FP177"/>
    <mergeCell ref="EI160:EO162"/>
    <mergeCell ref="EU160:FA162"/>
    <mergeCell ref="FG160:FM162"/>
    <mergeCell ref="FP160:FS162"/>
    <mergeCell ref="FU160:FX162"/>
    <mergeCell ref="C161:AV163"/>
    <mergeCell ref="AW161:BE163"/>
    <mergeCell ref="FP154:FS156"/>
    <mergeCell ref="FU154:FX156"/>
    <mergeCell ref="C153:AV155"/>
    <mergeCell ref="AW153:BE155"/>
    <mergeCell ref="C157:AV159"/>
    <mergeCell ref="AW157:BE159"/>
    <mergeCell ref="BN159:CS163"/>
    <mergeCell ref="CV160:DC162"/>
    <mergeCell ref="DK160:DQ162"/>
    <mergeCell ref="DW160:EC162"/>
    <mergeCell ref="BN153:CS157"/>
    <mergeCell ref="CV154:DC156"/>
    <mergeCell ref="DK154:DQ156"/>
    <mergeCell ref="DW154:EC156"/>
    <mergeCell ref="EI154:EO156"/>
    <mergeCell ref="EU154:FA156"/>
    <mergeCell ref="FG154:FM156"/>
    <mergeCell ref="DW142:EC144"/>
    <mergeCell ref="EI142:EO144"/>
    <mergeCell ref="EU142:FA144"/>
    <mergeCell ref="FU148:FX150"/>
    <mergeCell ref="C149:AV151"/>
    <mergeCell ref="AW149:BE151"/>
    <mergeCell ref="DK148:DQ150"/>
    <mergeCell ref="DW148:EC150"/>
    <mergeCell ref="EI148:EO150"/>
    <mergeCell ref="EU148:FA150"/>
    <mergeCell ref="FG148:FM150"/>
    <mergeCell ref="FP148:FS150"/>
    <mergeCell ref="FG142:FM144"/>
    <mergeCell ref="FP142:FS144"/>
    <mergeCell ref="FU142:FX144"/>
    <mergeCell ref="BN141:CS145"/>
    <mergeCell ref="CV142:DC144"/>
    <mergeCell ref="DK142:DQ144"/>
    <mergeCell ref="C141:AV143"/>
    <mergeCell ref="AW141:BE143"/>
    <mergeCell ref="C145:AV147"/>
    <mergeCell ref="AW145:BE147"/>
    <mergeCell ref="BN147:CS151"/>
    <mergeCell ref="CV148:DC150"/>
    <mergeCell ref="FU130:FX132"/>
    <mergeCell ref="C129:AV131"/>
    <mergeCell ref="AW129:BE131"/>
    <mergeCell ref="C133:AV135"/>
    <mergeCell ref="AW133:BE135"/>
    <mergeCell ref="BN135:CS139"/>
    <mergeCell ref="CV136:DC138"/>
    <mergeCell ref="DK136:DQ138"/>
    <mergeCell ref="DW136:EC138"/>
    <mergeCell ref="BN129:CS133"/>
    <mergeCell ref="CV130:DC132"/>
    <mergeCell ref="DK130:DQ132"/>
    <mergeCell ref="DW130:EC132"/>
    <mergeCell ref="EI130:EO132"/>
    <mergeCell ref="EU130:FA132"/>
    <mergeCell ref="FG130:FM132"/>
    <mergeCell ref="FP130:FS132"/>
    <mergeCell ref="EI136:EO138"/>
    <mergeCell ref="EU136:FA138"/>
    <mergeCell ref="FG136:FM138"/>
    <mergeCell ref="FP136:FS138"/>
    <mergeCell ref="FU136:FX138"/>
    <mergeCell ref="C137:AV139"/>
    <mergeCell ref="AW137:BE139"/>
    <mergeCell ref="DW118:EC120"/>
    <mergeCell ref="EI118:EO120"/>
    <mergeCell ref="EU118:FA120"/>
    <mergeCell ref="FU124:FX126"/>
    <mergeCell ref="C125:AV127"/>
    <mergeCell ref="AW125:BE127"/>
    <mergeCell ref="DK124:DQ126"/>
    <mergeCell ref="DW124:EC126"/>
    <mergeCell ref="EI124:EO126"/>
    <mergeCell ref="EU124:FA126"/>
    <mergeCell ref="FG124:FM126"/>
    <mergeCell ref="FP124:FS126"/>
    <mergeCell ref="FG118:FM120"/>
    <mergeCell ref="FP118:FS120"/>
    <mergeCell ref="FU118:FX120"/>
    <mergeCell ref="BN117:CS121"/>
    <mergeCell ref="CV118:DC120"/>
    <mergeCell ref="DK118:DQ120"/>
    <mergeCell ref="C117:AV119"/>
    <mergeCell ref="AW117:BE119"/>
    <mergeCell ref="C121:AV123"/>
    <mergeCell ref="AW121:BE123"/>
    <mergeCell ref="BN123:CS127"/>
    <mergeCell ref="CV124:DC126"/>
    <mergeCell ref="FG76:FM78"/>
    <mergeCell ref="FP76:FS78"/>
    <mergeCell ref="FU76:FX78"/>
    <mergeCell ref="FU106:FX108"/>
    <mergeCell ref="C105:AV107"/>
    <mergeCell ref="AW105:BE107"/>
    <mergeCell ref="C109:AV111"/>
    <mergeCell ref="AW109:BE111"/>
    <mergeCell ref="BN111:CS115"/>
    <mergeCell ref="CV112:DC114"/>
    <mergeCell ref="DK112:DQ114"/>
    <mergeCell ref="DW112:EC114"/>
    <mergeCell ref="EI112:EO114"/>
    <mergeCell ref="EU112:FA114"/>
    <mergeCell ref="FG112:FM114"/>
    <mergeCell ref="FP112:FS114"/>
    <mergeCell ref="FU112:FX114"/>
    <mergeCell ref="C113:AV115"/>
    <mergeCell ref="AW113:BE115"/>
    <mergeCell ref="FP82:FS84"/>
    <mergeCell ref="FU82:FX84"/>
    <mergeCell ref="C85:AV87"/>
    <mergeCell ref="AW85:BE87"/>
    <mergeCell ref="BJ87:CS91"/>
    <mergeCell ref="BN105:CS109"/>
    <mergeCell ref="CV106:DC108"/>
    <mergeCell ref="DK106:DQ108"/>
    <mergeCell ref="DW106:EC108"/>
    <mergeCell ref="EI106:EO108"/>
    <mergeCell ref="EU106:FA108"/>
    <mergeCell ref="FG106:FM108"/>
    <mergeCell ref="DK100:DQ102"/>
    <mergeCell ref="DW100:EC102"/>
    <mergeCell ref="EI100:EO102"/>
    <mergeCell ref="EU100:FA102"/>
    <mergeCell ref="FG100:FM102"/>
    <mergeCell ref="FP106:FS108"/>
    <mergeCell ref="FU64:FX66"/>
    <mergeCell ref="C65:AV67"/>
    <mergeCell ref="AW65:BE67"/>
    <mergeCell ref="C69:AV71"/>
    <mergeCell ref="AW69:BE71"/>
    <mergeCell ref="BJ69:CS73"/>
    <mergeCell ref="CV70:DC72"/>
    <mergeCell ref="DK70:DQ72"/>
    <mergeCell ref="DW70:EC72"/>
    <mergeCell ref="EI70:EO72"/>
    <mergeCell ref="EU70:FA72"/>
    <mergeCell ref="FG70:FM72"/>
    <mergeCell ref="FP70:FS72"/>
    <mergeCell ref="FU70:FX72"/>
    <mergeCell ref="C73:AV75"/>
    <mergeCell ref="AW73:BE75"/>
    <mergeCell ref="BJ75:CS79"/>
    <mergeCell ref="CV76:DC78"/>
    <mergeCell ref="DK76:DQ78"/>
    <mergeCell ref="C77:AV79"/>
    <mergeCell ref="AW77:BE79"/>
    <mergeCell ref="DW76:EC78"/>
    <mergeCell ref="EI76:EO78"/>
    <mergeCell ref="EU76:FA78"/>
    <mergeCell ref="C57:AV59"/>
    <mergeCell ref="AW57:BE59"/>
    <mergeCell ref="BJ57:CS61"/>
    <mergeCell ref="CV58:DC60"/>
    <mergeCell ref="DW52:EC54"/>
    <mergeCell ref="EI52:EO54"/>
    <mergeCell ref="EU52:FA54"/>
    <mergeCell ref="FU58:FX60"/>
    <mergeCell ref="C61:AV63"/>
    <mergeCell ref="AW61:BE63"/>
    <mergeCell ref="BJ63:CS67"/>
    <mergeCell ref="CV64:DC66"/>
    <mergeCell ref="DK64:DQ66"/>
    <mergeCell ref="DW64:EC66"/>
    <mergeCell ref="EI64:EO66"/>
    <mergeCell ref="EU64:FA66"/>
    <mergeCell ref="FG64:FM66"/>
    <mergeCell ref="DK58:DQ60"/>
    <mergeCell ref="DW58:EC60"/>
    <mergeCell ref="EI58:EO60"/>
    <mergeCell ref="EU58:FA60"/>
    <mergeCell ref="FG58:FM60"/>
    <mergeCell ref="FP58:FS60"/>
    <mergeCell ref="FP64:FS66"/>
    <mergeCell ref="FG52:FM54"/>
    <mergeCell ref="FP52:FS54"/>
    <mergeCell ref="FU52:FX54"/>
    <mergeCell ref="EI46:EO48"/>
    <mergeCell ref="EU46:FA48"/>
    <mergeCell ref="FG46:FM48"/>
    <mergeCell ref="FP46:FS48"/>
    <mergeCell ref="FU46:FX48"/>
    <mergeCell ref="C49:AV51"/>
    <mergeCell ref="AW49:BE51"/>
    <mergeCell ref="BN51:CS55"/>
    <mergeCell ref="CV52:DC54"/>
    <mergeCell ref="DK52:DQ54"/>
    <mergeCell ref="C53:AV55"/>
    <mergeCell ref="AW53:BE55"/>
    <mergeCell ref="FU40:FX42"/>
    <mergeCell ref="C41:AV43"/>
    <mergeCell ref="AW41:BE43"/>
    <mergeCell ref="C45:AV47"/>
    <mergeCell ref="AW45:BE47"/>
    <mergeCell ref="BN45:CS49"/>
    <mergeCell ref="CV46:DC48"/>
    <mergeCell ref="DK46:DQ48"/>
    <mergeCell ref="DW46:EC48"/>
    <mergeCell ref="C33:AV35"/>
    <mergeCell ref="AW33:BE35"/>
    <mergeCell ref="BN33:CS37"/>
    <mergeCell ref="CV34:DC36"/>
    <mergeCell ref="DW28:EC30"/>
    <mergeCell ref="EI28:EO30"/>
    <mergeCell ref="EU28:FA30"/>
    <mergeCell ref="FU34:FX36"/>
    <mergeCell ref="C37:AV39"/>
    <mergeCell ref="AW37:BE39"/>
    <mergeCell ref="BN39:CS43"/>
    <mergeCell ref="CV40:DC42"/>
    <mergeCell ref="DK40:DQ42"/>
    <mergeCell ref="DW40:EC42"/>
    <mergeCell ref="EI40:EO42"/>
    <mergeCell ref="EU40:FA42"/>
    <mergeCell ref="FG40:FM42"/>
    <mergeCell ref="DK34:DQ36"/>
    <mergeCell ref="DW34:EC36"/>
    <mergeCell ref="EI34:EO36"/>
    <mergeCell ref="EU34:FA36"/>
    <mergeCell ref="FG34:FM36"/>
    <mergeCell ref="FP34:FS36"/>
    <mergeCell ref="FP40:FS42"/>
    <mergeCell ref="FU28:FX30"/>
    <mergeCell ref="EI22:EO24"/>
    <mergeCell ref="EU22:FA24"/>
    <mergeCell ref="FG22:FM24"/>
    <mergeCell ref="FU22:FX24"/>
    <mergeCell ref="C25:AV27"/>
    <mergeCell ref="AW25:BE27"/>
    <mergeCell ref="BN27:CS31"/>
    <mergeCell ref="CV28:DC30"/>
    <mergeCell ref="DK28:DQ30"/>
    <mergeCell ref="C29:AV31"/>
    <mergeCell ref="AW29:BE31"/>
    <mergeCell ref="C21:AV23"/>
    <mergeCell ref="AW21:BE23"/>
    <mergeCell ref="BN21:CS25"/>
    <mergeCell ref="CV22:DC24"/>
    <mergeCell ref="DK22:DQ24"/>
    <mergeCell ref="DW22:EC24"/>
    <mergeCell ref="CD10:CQ13"/>
    <mergeCell ref="CU11:DD12"/>
    <mergeCell ref="DJ11:DR12"/>
    <mergeCell ref="DV11:ED12"/>
    <mergeCell ref="EH11:EP12"/>
    <mergeCell ref="ET13:FB14"/>
    <mergeCell ref="FP16:FS18"/>
    <mergeCell ref="FP22:FS24"/>
    <mergeCell ref="FG28:FM30"/>
    <mergeCell ref="FP28:FS30"/>
    <mergeCell ref="DK16:DQ18"/>
    <mergeCell ref="DW16:EC18"/>
    <mergeCell ref="EI16:EO18"/>
    <mergeCell ref="EU16:FA18"/>
    <mergeCell ref="FG16:FM18"/>
    <mergeCell ref="ES4:FT8"/>
    <mergeCell ref="D8:AD11"/>
    <mergeCell ref="AX8:BD11"/>
    <mergeCell ref="FP9:FS15"/>
    <mergeCell ref="FF13:FN14"/>
    <mergeCell ref="CA15:CS19"/>
    <mergeCell ref="CV16:DC18"/>
    <mergeCell ref="GD13:GD15"/>
    <mergeCell ref="GE13:GE15"/>
    <mergeCell ref="D3:T4"/>
    <mergeCell ref="DP4:EB8"/>
    <mergeCell ref="EC4:ER8"/>
    <mergeCell ref="C13:AV15"/>
    <mergeCell ref="AW13:BE15"/>
    <mergeCell ref="BO13:BW15"/>
    <mergeCell ref="CU13:DD14"/>
    <mergeCell ref="DJ13:DR14"/>
    <mergeCell ref="DV13:ED14"/>
    <mergeCell ref="EH13:EP14"/>
    <mergeCell ref="ET11:FB12"/>
    <mergeCell ref="FU16:FX18"/>
    <mergeCell ref="C17:AV19"/>
    <mergeCell ref="AW17:BE19"/>
    <mergeCell ref="FU9:FX15"/>
    <mergeCell ref="GF13:GF15"/>
    <mergeCell ref="GD17:GD19"/>
    <mergeCell ref="GE17:GE19"/>
    <mergeCell ref="GF17:GF19"/>
    <mergeCell ref="GD21:GD23"/>
    <mergeCell ref="GE21:GE23"/>
    <mergeCell ref="GF21:GF23"/>
    <mergeCell ref="GD25:GD27"/>
    <mergeCell ref="GE25:GE27"/>
    <mergeCell ref="GF25:GF27"/>
    <mergeCell ref="GD29:GD31"/>
    <mergeCell ref="GE29:GE31"/>
    <mergeCell ref="GF29:GF31"/>
    <mergeCell ref="GD33:GD35"/>
    <mergeCell ref="GE33:GE35"/>
    <mergeCell ref="GF33:GF35"/>
    <mergeCell ref="GE53:GE55"/>
    <mergeCell ref="GF53:GF55"/>
    <mergeCell ref="GD57:GD59"/>
    <mergeCell ref="GE57:GE59"/>
    <mergeCell ref="GF57:GF59"/>
    <mergeCell ref="GD37:GD39"/>
    <mergeCell ref="GE37:GE39"/>
    <mergeCell ref="GF37:GF39"/>
    <mergeCell ref="GD41:GD43"/>
    <mergeCell ref="GE41:GE43"/>
    <mergeCell ref="GF41:GF43"/>
    <mergeCell ref="GD45:GD47"/>
    <mergeCell ref="GE45:GE47"/>
    <mergeCell ref="GF45:GF47"/>
    <mergeCell ref="GD61:GD63"/>
    <mergeCell ref="GE61:GE63"/>
    <mergeCell ref="GF61:GF63"/>
    <mergeCell ref="GD65:GD67"/>
    <mergeCell ref="GE65:GE67"/>
    <mergeCell ref="GF65:GF67"/>
    <mergeCell ref="GC13:GC15"/>
    <mergeCell ref="GC17:GC19"/>
    <mergeCell ref="GC21:GC23"/>
    <mergeCell ref="GC25:GC27"/>
    <mergeCell ref="GC29:GC31"/>
    <mergeCell ref="GC33:GC35"/>
    <mergeCell ref="GC37:GC39"/>
    <mergeCell ref="GC41:GC43"/>
    <mergeCell ref="GC45:GC47"/>
    <mergeCell ref="GC49:GC51"/>
    <mergeCell ref="GC53:GC55"/>
    <mergeCell ref="GC57:GC59"/>
    <mergeCell ref="GC61:GC63"/>
    <mergeCell ref="GC65:GC67"/>
    <mergeCell ref="GD49:GD51"/>
    <mergeCell ref="GE49:GE51"/>
    <mergeCell ref="GF49:GF51"/>
    <mergeCell ref="GD53:GD55"/>
    <mergeCell ref="GC69:GC71"/>
    <mergeCell ref="GD69:GD71"/>
    <mergeCell ref="GE69:GE71"/>
    <mergeCell ref="GC73:GC75"/>
    <mergeCell ref="GD73:GD75"/>
    <mergeCell ref="GE73:GE75"/>
    <mergeCell ref="GC77:GC79"/>
    <mergeCell ref="GD77:GD79"/>
    <mergeCell ref="GE77:GE79"/>
    <mergeCell ref="GC81:GC83"/>
    <mergeCell ref="GD81:GD83"/>
    <mergeCell ref="GE81:GE83"/>
    <mergeCell ref="GC85:GC87"/>
    <mergeCell ref="GD85:GD87"/>
    <mergeCell ref="GE85:GE87"/>
    <mergeCell ref="GC89:GC91"/>
    <mergeCell ref="GD89:GD91"/>
    <mergeCell ref="GE89:GE91"/>
    <mergeCell ref="GC93:GC95"/>
    <mergeCell ref="GD93:GD95"/>
    <mergeCell ref="GE93:GE95"/>
    <mergeCell ref="GC97:GC99"/>
    <mergeCell ref="GD97:GD99"/>
    <mergeCell ref="GE97:GE99"/>
    <mergeCell ref="GC101:GC103"/>
    <mergeCell ref="GD101:GD103"/>
    <mergeCell ref="GE101:GE103"/>
    <mergeCell ref="GC105:GC107"/>
    <mergeCell ref="GD105:GD107"/>
    <mergeCell ref="GE105:GE107"/>
    <mergeCell ref="GC109:GC111"/>
    <mergeCell ref="GD109:GD111"/>
    <mergeCell ref="GE109:GE111"/>
    <mergeCell ref="GC113:GC115"/>
    <mergeCell ref="GD113:GD115"/>
    <mergeCell ref="GE113:GE115"/>
    <mergeCell ref="GC117:GC119"/>
    <mergeCell ref="GD117:GD119"/>
    <mergeCell ref="GE117:GE119"/>
    <mergeCell ref="GC121:GC123"/>
    <mergeCell ref="GD121:GD123"/>
    <mergeCell ref="GE121:GE123"/>
    <mergeCell ref="GC125:GC127"/>
    <mergeCell ref="GD125:GD127"/>
    <mergeCell ref="GE125:GE127"/>
    <mergeCell ref="GC129:GC131"/>
    <mergeCell ref="GD129:GD131"/>
    <mergeCell ref="GE129:GE131"/>
    <mergeCell ref="GC133:GC135"/>
    <mergeCell ref="GD133:GD135"/>
    <mergeCell ref="GE133:GE135"/>
    <mergeCell ref="GC137:GC139"/>
    <mergeCell ref="GD137:GD139"/>
    <mergeCell ref="GE137:GE139"/>
    <mergeCell ref="GC161:GC163"/>
    <mergeCell ref="GD161:GD163"/>
    <mergeCell ref="GE161:GE163"/>
    <mergeCell ref="GC141:GC143"/>
    <mergeCell ref="GD141:GD143"/>
    <mergeCell ref="GE141:GE143"/>
    <mergeCell ref="GC145:GC147"/>
    <mergeCell ref="GD145:GD147"/>
    <mergeCell ref="GE145:GE147"/>
    <mergeCell ref="GC149:GC151"/>
    <mergeCell ref="GD149:GD151"/>
    <mergeCell ref="GE149:GE151"/>
    <mergeCell ref="GF145:GF147"/>
    <mergeCell ref="GF149:GF151"/>
    <mergeCell ref="GC153:GC155"/>
    <mergeCell ref="GD153:GD155"/>
    <mergeCell ref="GE153:GE155"/>
    <mergeCell ref="GC157:GC159"/>
    <mergeCell ref="GD157:GD159"/>
    <mergeCell ref="GE157:GE159"/>
    <mergeCell ref="GF153:GF155"/>
    <mergeCell ref="GF157:GF159"/>
    <mergeCell ref="GF161:GF163"/>
    <mergeCell ref="GF165:GF167"/>
    <mergeCell ref="GC165:GC167"/>
    <mergeCell ref="GD165:GD167"/>
    <mergeCell ref="GE165:GE167"/>
    <mergeCell ref="GF69:GF71"/>
    <mergeCell ref="GF73:GF75"/>
    <mergeCell ref="GF77:GF79"/>
    <mergeCell ref="GF81:GF83"/>
    <mergeCell ref="GF85:GF87"/>
    <mergeCell ref="GF89:GF91"/>
    <mergeCell ref="GF93:GF95"/>
    <mergeCell ref="GF97:GF99"/>
    <mergeCell ref="GF101:GF103"/>
    <mergeCell ref="GF105:GF107"/>
    <mergeCell ref="GF109:GF111"/>
    <mergeCell ref="GF113:GF115"/>
    <mergeCell ref="GF117:GF119"/>
    <mergeCell ref="GF121:GF123"/>
    <mergeCell ref="GF125:GF127"/>
    <mergeCell ref="GF129:GF131"/>
    <mergeCell ref="GF133:GF135"/>
    <mergeCell ref="GF137:GF139"/>
    <mergeCell ref="GF141:GF143"/>
  </mergeCells>
  <conditionalFormatting sqref="EI16:EO18 EI22:EO24 EI28:EO30 EI34:EO36 EI40:EO42 EI46:EO48 EI52:EO54 EI100:EO102 EI106:EO108 EI112:EO114 EI118:EO120 EI124:EO126 EI130:EO132 EI136:EO138 EI142:EO144 EI148:EO150 EI154:EO156 EI160:EO162 EI58:EO60 EI64:EO66 EI70:EO72 EI76:EO78 EI82:EO84 EI88:EO90 EI94:EO96">
    <cfRule type="cellIs" dxfId="47" priority="9" operator="greaterThan">
      <formula>0</formula>
    </cfRule>
  </conditionalFormatting>
  <conditionalFormatting sqref="CA15:CS19 BN21:CS25 BN27:CS31 BN33:CS37 BN39:CS43 BN45:CS49 BN51:CS55 BJ57:CS61 BJ63:CS67 BJ69:CS73 BJ75:CS79 BJ81:CS85 BJ87:CS91 BJ93:CS97 BN99:CS103 BN105:CS109 BN111:CS115 BN117:CS121 BN123:CS127 BN129:CS133 BN135:CS139 BN141:CS145 BN147:CS151 BN153:CS157 BN159:CS163">
    <cfRule type="expression" dxfId="46" priority="8">
      <formula>AND($EI16=0,$GH16=0)</formula>
    </cfRule>
  </conditionalFormatting>
  <conditionalFormatting sqref="BN117:CS121">
    <cfRule type="expression" dxfId="45" priority="7">
      <formula>#REF!</formula>
    </cfRule>
  </conditionalFormatting>
  <conditionalFormatting sqref="BN111:CS115">
    <cfRule type="expression" dxfId="44" priority="6">
      <formula>#REF!</formula>
    </cfRule>
  </conditionalFormatting>
  <conditionalFormatting sqref="BN105:CS109">
    <cfRule type="expression" dxfId="43" priority="5">
      <formula>#REF!</formula>
    </cfRule>
  </conditionalFormatting>
  <conditionalFormatting sqref="BN45:CS49">
    <cfRule type="expression" dxfId="42" priority="4">
      <formula>#REF!</formula>
    </cfRule>
  </conditionalFormatting>
  <conditionalFormatting sqref="FP16:FX162">
    <cfRule type="expression" dxfId="41" priority="3">
      <formula>FP16&lt;&gt;""</formula>
    </cfRule>
  </conditionalFormatting>
  <conditionalFormatting sqref="AI193:AX195">
    <cfRule type="expression" dxfId="40" priority="1">
      <formula>$AI$193&gt;=$AF$196</formula>
    </cfRule>
  </conditionalFormatting>
  <printOptions horizontalCentered="1" verticalCentered="1"/>
  <pageMargins left="0" right="0" top="0" bottom="0" header="0" footer="0"/>
  <pageSetup paperSize="9" scale="32" fitToWidth="0"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FS255"/>
  <sheetViews>
    <sheetView showGridLines="0" showRowColHeaders="0" zoomScale="80" zoomScaleNormal="80" workbookViewId="0">
      <selection activeCell="AQ18" sqref="AQ18:BK20"/>
    </sheetView>
  </sheetViews>
  <sheetFormatPr defaultColWidth="1.7265625" defaultRowHeight="9" customHeight="1"/>
  <cols>
    <col min="11" max="11" width="1.7265625" customWidth="1"/>
    <col min="16" max="16" width="1.7265625" customWidth="1"/>
    <col min="25" max="25" width="1.7265625" customWidth="1"/>
    <col min="32" max="32" width="1.7265625" customWidth="1"/>
    <col min="39" max="39" width="1.7265625" customWidth="1"/>
    <col min="41" max="41" width="1.81640625" customWidth="1"/>
    <col min="44" max="51" width="1.54296875" customWidth="1"/>
    <col min="52" max="52" width="1.7265625" style="686" customWidth="1"/>
    <col min="53" max="53" width="1.7265625" style="686"/>
    <col min="54" max="54" width="1.7265625" style="686" customWidth="1"/>
    <col min="55" max="59" width="1.7265625" style="686"/>
    <col min="77" max="78" width="1.7265625" style="686"/>
    <col min="112" max="112" width="2.1796875" style="941" bestFit="1" customWidth="1"/>
    <col min="118" max="165" width="0" hidden="1" customWidth="1"/>
    <col min="168" max="168" width="14.7265625" style="1017" hidden="1" customWidth="1"/>
    <col min="169" max="169" width="12.7265625" style="1017" hidden="1" customWidth="1"/>
    <col min="170" max="173" width="7.453125" style="1017" hidden="1" customWidth="1"/>
    <col min="174" max="174" width="7.453125" style="1018" hidden="1" customWidth="1"/>
    <col min="175" max="175" width="7.453125" hidden="1" customWidth="1"/>
    <col min="176" max="196" width="31.7265625" customWidth="1"/>
  </cols>
  <sheetData>
    <row r="1" spans="3:175" ht="9" customHeight="1">
      <c r="CB1" s="2247" t="str">
        <f>IF(CharacterName&lt;&gt;"",CharacterName&amp;" - "&amp;LevelsTaken,"")</f>
        <v/>
      </c>
      <c r="CC1" s="2247"/>
      <c r="CD1" s="2247"/>
      <c r="CE1" s="2247"/>
      <c r="CF1" s="2247"/>
      <c r="CG1" s="2247"/>
      <c r="CH1" s="2247"/>
      <c r="CI1" s="2247"/>
      <c r="CJ1" s="2247"/>
      <c r="CK1" s="2247"/>
      <c r="CL1" s="2247"/>
      <c r="CM1" s="2247"/>
      <c r="CN1" s="2247"/>
      <c r="CO1" s="2247"/>
      <c r="CP1" s="2247"/>
      <c r="CQ1" s="2247"/>
      <c r="CR1" s="2247"/>
      <c r="CS1" s="2247"/>
      <c r="CT1" s="2247"/>
      <c r="CU1" s="2247"/>
      <c r="CV1" s="2247"/>
      <c r="CW1" s="2247"/>
      <c r="CX1" s="2247"/>
      <c r="CY1" s="2247"/>
      <c r="CZ1" s="2247"/>
      <c r="DA1" s="2247"/>
      <c r="DB1" s="2247"/>
      <c r="DC1" s="2247"/>
      <c r="DD1" s="2247"/>
      <c r="DE1" s="2247"/>
      <c r="DF1" s="2247"/>
      <c r="DG1" s="2247"/>
      <c r="DH1" s="2247"/>
      <c r="DI1" s="2247"/>
      <c r="DJ1" s="2247"/>
      <c r="DK1" s="2247"/>
      <c r="FL1" s="1017" t="s">
        <v>3736</v>
      </c>
      <c r="FM1" s="1017" t="str">
        <f>FN1&amp;FO1&amp;FP1&amp;FQ1&amp;FR1&amp;FS1</f>
        <v/>
      </c>
      <c r="FN1" s="1017" t="str">
        <f>IF(AQ7&lt;&gt;"",IF(AQ7=FL1,WeaponAttacksStatBlock&amp;IF(COUNTIF(FO1:FS1,"")&lt;5,"
",""),""),"")</f>
        <v/>
      </c>
      <c r="FO1" s="1017" t="str">
        <f>IF($AQ$49&lt;&gt;"",IF($AQ$49=FL1,$FM$50&amp;IF(COUNTIF(FP1:FS1,"")&lt;4,"
",""),""),"")</f>
        <v/>
      </c>
      <c r="FP1" s="1017" t="str">
        <f>IF($AQ$91&lt;&gt;"",IF($AQ$91=FL1,$FM$92&amp;IF(COUNTIF(FQ1:FS1,"")&lt;3,"
",""),""),"")</f>
        <v/>
      </c>
      <c r="FQ1" s="1017" t="str">
        <f>IF($AQ$133&lt;&gt;"",IF($AQ$133=FL1,$FM$134&amp;IF(COUNTIF(FR1:FS1,"")&lt;2,"
",""),""),"")</f>
        <v/>
      </c>
      <c r="FR1" s="1017" t="str">
        <f>IF($AQ$175&lt;&gt;"",IF($AQ$175=FL1,$FM$176&amp;IF(COUNTIF(FS1,"")&lt;1,"
",""),""),"")</f>
        <v/>
      </c>
      <c r="FS1" s="905" t="str">
        <f>IF($AQ$217&lt;&gt;"",IF($AQ$217=FL1,$FM$218,""),"")</f>
        <v/>
      </c>
    </row>
    <row r="2" spans="3:175" ht="9" customHeight="1">
      <c r="CB2" s="2247"/>
      <c r="CC2" s="2247"/>
      <c r="CD2" s="2247"/>
      <c r="CE2" s="2247"/>
      <c r="CF2" s="2247"/>
      <c r="CG2" s="2247"/>
      <c r="CH2" s="2247"/>
      <c r="CI2" s="2247"/>
      <c r="CJ2" s="2247"/>
      <c r="CK2" s="2247"/>
      <c r="CL2" s="2247"/>
      <c r="CM2" s="2247"/>
      <c r="CN2" s="2247"/>
      <c r="CO2" s="2247"/>
      <c r="CP2" s="2247"/>
      <c r="CQ2" s="2247"/>
      <c r="CR2" s="2247"/>
      <c r="CS2" s="2247"/>
      <c r="CT2" s="2247"/>
      <c r="CU2" s="2247"/>
      <c r="CV2" s="2247"/>
      <c r="CW2" s="2247"/>
      <c r="CX2" s="2247"/>
      <c r="CY2" s="2247"/>
      <c r="CZ2" s="2247"/>
      <c r="DA2" s="2247"/>
      <c r="DB2" s="2247"/>
      <c r="DC2" s="2247"/>
      <c r="DD2" s="2247"/>
      <c r="DE2" s="2247"/>
      <c r="DF2" s="2247"/>
      <c r="DG2" s="2247"/>
      <c r="DH2" s="2247"/>
      <c r="DI2" s="2247"/>
      <c r="DJ2" s="2247"/>
      <c r="DK2" s="2247"/>
      <c r="FL2" s="1017" t="s">
        <v>3735</v>
      </c>
      <c r="FM2" s="1017" t="str">
        <f>FN2&amp;FO2&amp;FP2&amp;FQ2&amp;FR2&amp;FS2</f>
        <v/>
      </c>
      <c r="FN2" s="1017" t="str">
        <f>IF($AQ$7&lt;&gt;"",IF($AQ$7=FL2,WeaponAttacksStatBlock&amp;IF(COUNTIF(FO2:FS2,"")&lt;5,"
",""),""),"")</f>
        <v/>
      </c>
      <c r="FO2" s="1017" t="str">
        <f>IF($AQ$49&lt;&gt;"",IF($AQ$49=FL2,$FM$50&amp;IF(COUNTIF(FP2:FS2,"")&lt;4,"
",""),""),"")</f>
        <v/>
      </c>
      <c r="FP2" s="1017" t="str">
        <f>IF($AQ$91&lt;&gt;"",IF($AQ$91=FL2,$FM$92&amp;IF(COUNTIF(FQ2:FS2,"")&lt;3,"
",""),""),"")</f>
        <v/>
      </c>
      <c r="FQ2" s="1017" t="str">
        <f>IF($AQ$133&lt;&gt;"",IF($AQ$133=FL2,$FM$134&amp;IF(COUNTIF(FR2:FS2,"")&lt;2,"
",""),""),"")</f>
        <v/>
      </c>
      <c r="FR2" s="1017" t="str">
        <f>IF($AQ$175&lt;&gt;"",IF($AQ$175=FL2,$FM$176&amp;IF(COUNTIF(FS2,"")&lt;1,"
",""),""),"")</f>
        <v/>
      </c>
      <c r="FS2" s="905" t="str">
        <f>IF($AQ$217&lt;&gt;"",IF($AQ$217=FL2,$FM$218,""),"")</f>
        <v/>
      </c>
    </row>
    <row r="3" spans="3:175" ht="9" customHeight="1">
      <c r="CB3" s="2247"/>
      <c r="CC3" s="2247"/>
      <c r="CD3" s="2247"/>
      <c r="CE3" s="2247"/>
      <c r="CF3" s="2247"/>
      <c r="CG3" s="2247"/>
      <c r="CH3" s="2247"/>
      <c r="CI3" s="2247"/>
      <c r="CJ3" s="2247"/>
      <c r="CK3" s="2247"/>
      <c r="CL3" s="2247"/>
      <c r="CM3" s="2247"/>
      <c r="CN3" s="2247"/>
      <c r="CO3" s="2247"/>
      <c r="CP3" s="2247"/>
      <c r="CQ3" s="2247"/>
      <c r="CR3" s="2247"/>
      <c r="CS3" s="2247"/>
      <c r="CT3" s="2247"/>
      <c r="CU3" s="2247"/>
      <c r="CV3" s="2247"/>
      <c r="CW3" s="2247"/>
      <c r="CX3" s="2247"/>
      <c r="CY3" s="2247"/>
      <c r="CZ3" s="2247"/>
      <c r="DA3" s="2247"/>
      <c r="DB3" s="2247"/>
      <c r="DC3" s="2247"/>
      <c r="DD3" s="2247"/>
      <c r="DE3" s="2247"/>
      <c r="DF3" s="2247"/>
      <c r="DG3" s="2247"/>
      <c r="DH3" s="2247"/>
      <c r="DI3" s="2247"/>
      <c r="DJ3" s="2247"/>
      <c r="DK3" s="2247"/>
    </row>
    <row r="4" spans="3:175" ht="9" customHeight="1">
      <c r="CB4" s="2247"/>
      <c r="CC4" s="2247"/>
      <c r="CD4" s="2247"/>
      <c r="CE4" s="2247"/>
      <c r="CF4" s="2247"/>
      <c r="CG4" s="2247"/>
      <c r="CH4" s="2247"/>
      <c r="CI4" s="2247"/>
      <c r="CJ4" s="2247"/>
      <c r="CK4" s="2247"/>
      <c r="CL4" s="2247"/>
      <c r="CM4" s="2247"/>
      <c r="CN4" s="2247"/>
      <c r="CO4" s="2247"/>
      <c r="CP4" s="2247"/>
      <c r="CQ4" s="2247"/>
      <c r="CR4" s="2247"/>
      <c r="CS4" s="2247"/>
      <c r="CT4" s="2247"/>
      <c r="CU4" s="2247"/>
      <c r="CV4" s="2247"/>
      <c r="CW4" s="2247"/>
      <c r="CX4" s="2247"/>
      <c r="CY4" s="2247"/>
      <c r="CZ4" s="2247"/>
      <c r="DA4" s="2247"/>
      <c r="DB4" s="2247"/>
      <c r="DC4" s="2247"/>
      <c r="DD4" s="2247"/>
      <c r="DE4" s="2247"/>
      <c r="DF4" s="2247"/>
      <c r="DG4" s="2247"/>
      <c r="DH4" s="2247"/>
      <c r="DI4" s="2247"/>
      <c r="DJ4" s="2247"/>
      <c r="DK4" s="2247"/>
    </row>
    <row r="5" spans="3:175" ht="9" customHeight="1">
      <c r="BT5" s="2245">
        <f ca="1">IF(NOT(ISERROR(FIND(INDEX(MultiattackProficiencyTable,MATCH(INDEX(WeaponTable,MATCH(Weapons!E$11,WeaponList,0),5),MultiattackProficiencyType,0),1),TalentsTakenList,1))),INDEX(MultiattackProficiencyTable,MATCH(INDEX(WeaponTable,MATCH(Weapons!E$11,WeaponList,0),5),MultiattackProficiencyType,0),2),0)</f>
        <v>0</v>
      </c>
      <c r="BU5" s="2245"/>
      <c r="BV5" s="2245"/>
      <c r="BW5" s="2245"/>
      <c r="BX5" s="2245"/>
      <c r="BY5" s="2245"/>
      <c r="BZ5" s="2245"/>
      <c r="CA5" s="2245"/>
    </row>
    <row r="6" spans="3:175" ht="9" customHeight="1" thickBot="1">
      <c r="BT6" s="2181" t="e">
        <f ca="1">MIN(IF(INDEX(WeaponTable,MATCH(Weapons!E$11,WeaponList,0),4)&lt;&gt;"EWP",BT5,IF(NOT(ISERROR(FIND(Lists!$CC$8,TalentsTakenList,1))),Lists!$CD$8,0))-5,0)</f>
        <v>#N/A</v>
      </c>
      <c r="BU6" s="2181"/>
      <c r="BV6" s="2181"/>
      <c r="BW6" s="2181"/>
      <c r="BX6" s="2181" t="e">
        <f ca="1">MIN(IF(INDEX(WeaponTable,MATCH(Weapons!E$11,WeaponList,0),4)&lt;&gt;"EWP",BT5,IF(NOT(ISERROR(FIND(Lists!$CC$8,TalentsTakenList,1))),Lists!$CD$8,0))-10,0)</f>
        <v>#N/A</v>
      </c>
      <c r="BY6" s="2181"/>
      <c r="BZ6" s="2181"/>
      <c r="CA6" s="2181"/>
    </row>
    <row r="7" spans="3:175" ht="9" customHeight="1" thickTop="1" thickBot="1">
      <c r="C7" s="87"/>
      <c r="D7" s="109"/>
      <c r="E7" s="685"/>
      <c r="F7" s="685"/>
      <c r="G7" s="685"/>
      <c r="H7" s="685"/>
      <c r="I7" s="93"/>
      <c r="J7" s="2182" t="s">
        <v>3611</v>
      </c>
      <c r="K7" s="2182"/>
      <c r="L7" s="2182"/>
      <c r="M7" s="2182"/>
      <c r="N7" s="2182"/>
      <c r="O7" s="2182"/>
      <c r="P7" s="2182"/>
      <c r="Q7" s="2182"/>
      <c r="R7" s="113"/>
      <c r="S7" s="87"/>
      <c r="T7" s="686"/>
      <c r="U7" s="686"/>
      <c r="V7" s="87"/>
      <c r="W7" s="87"/>
      <c r="X7" s="87"/>
      <c r="Y7" s="87"/>
      <c r="Z7" s="87"/>
      <c r="AA7" s="87"/>
      <c r="AB7" s="87"/>
      <c r="AC7" s="87"/>
      <c r="AD7" s="87"/>
      <c r="AE7" s="87"/>
      <c r="AF7" s="87"/>
      <c r="AG7" s="87"/>
      <c r="AH7" s="87"/>
      <c r="AI7" s="87"/>
      <c r="AJ7" s="87"/>
      <c r="AK7" s="87"/>
      <c r="AL7" s="87"/>
      <c r="AM7" s="87"/>
      <c r="AN7" s="685"/>
      <c r="AO7" s="685"/>
      <c r="AP7" s="93"/>
      <c r="AQ7" s="2179" t="str">
        <f>Weapons!E$12</f>
        <v/>
      </c>
      <c r="AR7" s="2179"/>
      <c r="AS7" s="2179"/>
      <c r="AT7" s="2179"/>
      <c r="AU7" s="2179"/>
      <c r="AV7" s="2179"/>
      <c r="AW7" s="2179"/>
      <c r="AX7" s="113"/>
      <c r="AY7" s="145"/>
      <c r="AZ7" s="145"/>
      <c r="BA7" s="145"/>
      <c r="BB7" s="145"/>
      <c r="BC7" s="145"/>
      <c r="BD7" s="145"/>
      <c r="BE7" s="145"/>
      <c r="BF7" s="145"/>
      <c r="BG7" s="145"/>
      <c r="BH7" s="145"/>
      <c r="BI7" s="145"/>
      <c r="BJ7" s="145"/>
      <c r="BK7" s="145"/>
      <c r="BL7" s="685"/>
      <c r="BM7" s="685"/>
      <c r="BN7" s="685"/>
      <c r="BO7" s="93"/>
      <c r="BP7" s="2179" t="s">
        <v>3783</v>
      </c>
      <c r="BQ7" s="2179"/>
      <c r="BR7" s="2179"/>
      <c r="BS7" s="2179"/>
      <c r="BT7" s="2179"/>
      <c r="BU7" s="2179"/>
      <c r="BV7" s="2179"/>
      <c r="BW7" s="113"/>
      <c r="BX7" s="145"/>
      <c r="BY7" s="109"/>
      <c r="BZ7" s="109"/>
      <c r="CA7" s="87"/>
      <c r="CB7" s="685"/>
      <c r="CC7" s="685"/>
      <c r="CD7" s="685"/>
      <c r="CE7" s="93"/>
      <c r="CF7" s="2182" t="s">
        <v>3612</v>
      </c>
      <c r="CG7" s="2208"/>
      <c r="CH7" s="2208"/>
      <c r="CI7" s="2208"/>
      <c r="CJ7" s="2208"/>
      <c r="CK7" s="2208"/>
      <c r="CL7" s="2208"/>
      <c r="CM7" s="2208"/>
      <c r="CN7" s="113"/>
      <c r="CO7" s="87"/>
      <c r="CP7" s="87"/>
      <c r="CQ7" s="87"/>
      <c r="CR7" s="87"/>
      <c r="CS7" s="87"/>
      <c r="CT7" s="87"/>
      <c r="CU7" s="87"/>
      <c r="CV7" s="87"/>
      <c r="CW7" s="87"/>
      <c r="CX7" s="87"/>
      <c r="CY7" s="87"/>
      <c r="CZ7" s="87"/>
      <c r="DA7" s="87"/>
      <c r="DB7" s="87"/>
      <c r="DC7" s="87"/>
      <c r="DD7" s="87"/>
      <c r="DE7" s="87"/>
      <c r="DF7" s="87"/>
      <c r="DG7" s="87"/>
      <c r="DH7" s="969"/>
      <c r="DI7" s="87"/>
      <c r="DJ7" s="87"/>
      <c r="DK7" s="87"/>
      <c r="DL7" s="87"/>
    </row>
    <row r="8" spans="3:175" ht="9" customHeight="1" thickTop="1">
      <c r="C8" s="87"/>
      <c r="D8" s="109"/>
      <c r="E8" s="685"/>
      <c r="F8" s="685"/>
      <c r="G8" s="685"/>
      <c r="H8" s="685"/>
      <c r="I8" s="102"/>
      <c r="J8" s="2180"/>
      <c r="K8" s="2180"/>
      <c r="L8" s="2180"/>
      <c r="M8" s="2180"/>
      <c r="N8" s="2180"/>
      <c r="O8" s="2180"/>
      <c r="P8" s="2180"/>
      <c r="Q8" s="2180"/>
      <c r="R8" s="589"/>
      <c r="S8" s="588"/>
      <c r="T8" s="592"/>
      <c r="U8" s="592"/>
      <c r="V8" s="593"/>
      <c r="W8" s="593"/>
      <c r="X8" s="593"/>
      <c r="Y8" s="588"/>
      <c r="Z8" s="588"/>
      <c r="AA8" s="588"/>
      <c r="AB8" s="588"/>
      <c r="AC8" s="588"/>
      <c r="AD8" s="588"/>
      <c r="AE8" s="588"/>
      <c r="AF8" s="588"/>
      <c r="AG8" s="588"/>
      <c r="AH8" s="588"/>
      <c r="AI8" s="588"/>
      <c r="AJ8" s="588"/>
      <c r="AK8" s="588"/>
      <c r="AL8" s="588"/>
      <c r="AM8" s="113"/>
      <c r="AN8" s="685"/>
      <c r="AO8" s="685"/>
      <c r="AP8" s="102"/>
      <c r="AQ8" s="2180"/>
      <c r="AR8" s="2180"/>
      <c r="AS8" s="2180"/>
      <c r="AT8" s="2180"/>
      <c r="AU8" s="2180"/>
      <c r="AV8" s="2180"/>
      <c r="AW8" s="2180"/>
      <c r="AX8" s="589"/>
      <c r="AY8" s="598"/>
      <c r="AZ8" s="598"/>
      <c r="BA8" s="598"/>
      <c r="BB8" s="598"/>
      <c r="BC8" s="598"/>
      <c r="BD8" s="598"/>
      <c r="BE8" s="598"/>
      <c r="BF8" s="598"/>
      <c r="BG8" s="598"/>
      <c r="BH8" s="598"/>
      <c r="BI8" s="598"/>
      <c r="BJ8" s="598"/>
      <c r="BK8" s="598"/>
      <c r="BL8" s="113"/>
      <c r="BM8" s="685"/>
      <c r="BN8" s="685"/>
      <c r="BO8" s="102"/>
      <c r="BP8" s="2180"/>
      <c r="BQ8" s="2180"/>
      <c r="BR8" s="2180"/>
      <c r="BS8" s="2180"/>
      <c r="BT8" s="2180"/>
      <c r="BU8" s="2180"/>
      <c r="BV8" s="2180"/>
      <c r="BW8" s="589"/>
      <c r="BX8" s="598"/>
      <c r="BY8" s="598"/>
      <c r="BZ8" s="598"/>
      <c r="CA8" s="598"/>
      <c r="CB8" s="113"/>
      <c r="CC8" s="685"/>
      <c r="CD8" s="685"/>
      <c r="CE8" s="102"/>
      <c r="CF8" s="2138"/>
      <c r="CG8" s="2138"/>
      <c r="CH8" s="2138"/>
      <c r="CI8" s="2138"/>
      <c r="CJ8" s="2138"/>
      <c r="CK8" s="2138"/>
      <c r="CL8" s="2138"/>
      <c r="CM8" s="2138"/>
      <c r="CN8" s="589"/>
      <c r="CO8" s="599"/>
      <c r="CP8" s="599"/>
      <c r="CQ8" s="599"/>
      <c r="CR8" s="599"/>
      <c r="CS8" s="599"/>
      <c r="CT8" s="599"/>
      <c r="CU8" s="599"/>
      <c r="CV8" s="599"/>
      <c r="CW8" s="599"/>
      <c r="CX8" s="599"/>
      <c r="CY8" s="599"/>
      <c r="CZ8" s="599"/>
      <c r="DA8" s="599"/>
      <c r="DB8" s="599"/>
      <c r="DC8" s="599"/>
      <c r="DD8" s="599"/>
      <c r="DE8" s="599"/>
      <c r="DF8" s="599"/>
      <c r="DG8" s="113"/>
      <c r="DH8" s="970"/>
      <c r="DI8" s="111"/>
      <c r="DJ8" s="111"/>
      <c r="DK8" s="87"/>
      <c r="DL8" s="87"/>
      <c r="FM8" s="1019" t="e">
        <f ca="1">FM9</f>
        <v>#N/A</v>
      </c>
    </row>
    <row r="9" spans="3:175" ht="9" customHeight="1" thickBot="1">
      <c r="C9" s="87"/>
      <c r="D9" s="87"/>
      <c r="E9" s="111"/>
      <c r="F9" s="111"/>
      <c r="G9" s="122"/>
      <c r="H9" s="290"/>
      <c r="I9" s="102"/>
      <c r="J9" s="2216" t="str">
        <f>Weapons!E$7</f>
        <v/>
      </c>
      <c r="K9" s="2216"/>
      <c r="L9" s="2216"/>
      <c r="M9" s="2216"/>
      <c r="N9" s="2216"/>
      <c r="O9" s="2216"/>
      <c r="P9" s="2216"/>
      <c r="Q9" s="2216"/>
      <c r="R9" s="2216"/>
      <c r="S9" s="2216"/>
      <c r="T9" s="2216"/>
      <c r="U9" s="2216"/>
      <c r="V9" s="2216"/>
      <c r="W9" s="2216"/>
      <c r="X9" s="2216"/>
      <c r="Y9" s="2216"/>
      <c r="Z9" s="2216"/>
      <c r="AA9" s="2216"/>
      <c r="AB9" s="2216"/>
      <c r="AC9" s="2216"/>
      <c r="AD9" s="2216"/>
      <c r="AE9" s="2216"/>
      <c r="AF9" s="2216"/>
      <c r="AG9" s="2216"/>
      <c r="AH9" s="2216"/>
      <c r="AI9" s="2216"/>
      <c r="AJ9" s="2216"/>
      <c r="AK9" s="2216"/>
      <c r="AL9" s="2216"/>
      <c r="AM9" s="646"/>
      <c r="AN9" s="122"/>
      <c r="AO9" s="290"/>
      <c r="AP9" s="102"/>
      <c r="AQ9" s="2189" t="str">
        <f>IF(Weapons!E$16&lt;&gt;"",Weapons!E$16,"")</f>
        <v/>
      </c>
      <c r="AR9" s="2189"/>
      <c r="AS9" s="2189"/>
      <c r="AT9" s="2189"/>
      <c r="AU9" s="2189"/>
      <c r="AV9" s="2189"/>
      <c r="AW9" s="2189"/>
      <c r="AX9" s="2189"/>
      <c r="AY9" s="2189"/>
      <c r="AZ9" s="2189"/>
      <c r="BA9" s="2189"/>
      <c r="BB9" s="2189"/>
      <c r="BC9" s="2189"/>
      <c r="BD9" s="2189"/>
      <c r="BE9" s="2189"/>
      <c r="BF9" s="2189"/>
      <c r="BG9" s="2189"/>
      <c r="BH9" s="2189"/>
      <c r="BI9" s="2189"/>
      <c r="BJ9" s="2189"/>
      <c r="BK9" s="2189"/>
      <c r="BL9" s="100"/>
      <c r="BM9" s="122"/>
      <c r="BN9" s="290"/>
      <c r="BO9" s="102"/>
      <c r="BP9" s="2195" t="str">
        <f>Weapons!E$8</f>
        <v/>
      </c>
      <c r="BQ9" s="2195"/>
      <c r="BR9" s="2195"/>
      <c r="BS9" s="2195"/>
      <c r="BT9" s="2197" t="str">
        <f>IF(BP9&lt;&gt;"",IF(COUNTIF(FeatsCharacterSheet,BT12)&gt;0,BP9+BT6,""),"")</f>
        <v/>
      </c>
      <c r="BU9" s="2198"/>
      <c r="BV9" s="2198"/>
      <c r="BW9" s="2199"/>
      <c r="BX9" s="2198" t="str">
        <f>IF(BP9&lt;&gt;"",IF(COUNTIF(FeatsCharacterSheet,BX12)&gt;0,BP9+BX6,""),"")</f>
        <v/>
      </c>
      <c r="BY9" s="2198"/>
      <c r="BZ9" s="2198"/>
      <c r="CA9" s="2198"/>
      <c r="CB9" s="100"/>
      <c r="CC9" s="122"/>
      <c r="CD9" s="290"/>
      <c r="CE9" s="102"/>
      <c r="CF9" s="1883"/>
      <c r="CG9" s="1883"/>
      <c r="CH9" s="1883"/>
      <c r="CI9" s="1883"/>
      <c r="CJ9" s="1883"/>
      <c r="CK9" s="1883"/>
      <c r="CL9" s="1883"/>
      <c r="CM9" s="1883"/>
      <c r="CN9" s="1883"/>
      <c r="CO9" s="1924" t="str">
        <f>Weapons!E$9</f>
        <v/>
      </c>
      <c r="CP9" s="1924"/>
      <c r="CQ9" s="1924"/>
      <c r="CR9" s="1924"/>
      <c r="CS9" s="1924"/>
      <c r="CT9" s="1924"/>
      <c r="CU9" s="1924"/>
      <c r="CV9" s="1924"/>
      <c r="CW9" s="1924"/>
      <c r="CX9" s="1924"/>
      <c r="CY9" s="1924"/>
      <c r="CZ9" s="1924"/>
      <c r="DA9" s="1924"/>
      <c r="DB9" s="1924"/>
      <c r="DC9" s="1924"/>
      <c r="DD9" s="1924"/>
      <c r="DE9" s="1924"/>
      <c r="DF9" s="1924"/>
      <c r="DG9" s="656"/>
      <c r="DH9" s="971"/>
      <c r="DI9" s="122"/>
      <c r="DJ9" s="118"/>
      <c r="DK9" s="109"/>
      <c r="DL9" s="109"/>
      <c r="FL9" s="1020" t="e">
        <f ca="1">AQ7&amp;" "&amp;LOWER(J9)&amp;" "&amp;IF(BP9&lt;0,"","+")&amp;BP9&amp;" ("&amp;CO9&amp;IF(Weapons!E$82&lt;&gt;"20","/"&amp;Weapons!E$82,"")&amp;IF(Weapons!E$83&lt;&gt;2,"/×"&amp;Weapons!E$83,"")&amp;")"</f>
        <v>#N/A</v>
      </c>
      <c r="FM9" s="1019" t="e">
        <f ca="1">IF(FL9&lt;&gt;"",FL9&amp;IF(FM10&lt;&gt;"","
"&amp;FM10,""),FM10)</f>
        <v>#N/A</v>
      </c>
    </row>
    <row r="10" spans="3:175" ht="9" customHeight="1" thickTop="1">
      <c r="C10" s="87"/>
      <c r="D10" s="87"/>
      <c r="E10" s="292"/>
      <c r="F10" s="293"/>
      <c r="G10" s="111"/>
      <c r="H10" s="111"/>
      <c r="I10" s="102"/>
      <c r="J10" s="2216"/>
      <c r="K10" s="2216"/>
      <c r="L10" s="2216"/>
      <c r="M10" s="2216"/>
      <c r="N10" s="2216"/>
      <c r="O10" s="2216"/>
      <c r="P10" s="2216"/>
      <c r="Q10" s="2216"/>
      <c r="R10" s="2216"/>
      <c r="S10" s="2216"/>
      <c r="T10" s="2216"/>
      <c r="U10" s="2216"/>
      <c r="V10" s="2216"/>
      <c r="W10" s="2216"/>
      <c r="X10" s="2216"/>
      <c r="Y10" s="2216"/>
      <c r="Z10" s="2216"/>
      <c r="AA10" s="2216"/>
      <c r="AB10" s="2216"/>
      <c r="AC10" s="2216"/>
      <c r="AD10" s="2216"/>
      <c r="AE10" s="2216"/>
      <c r="AF10" s="2216"/>
      <c r="AG10" s="2216"/>
      <c r="AH10" s="2216"/>
      <c r="AI10" s="2216"/>
      <c r="AJ10" s="2216"/>
      <c r="AK10" s="2216"/>
      <c r="AL10" s="2216"/>
      <c r="AM10" s="646"/>
      <c r="AN10" s="111"/>
      <c r="AO10" s="111"/>
      <c r="AP10" s="647"/>
      <c r="AQ10" s="2189"/>
      <c r="AR10" s="2189"/>
      <c r="AS10" s="2189"/>
      <c r="AT10" s="2189"/>
      <c r="AU10" s="2189"/>
      <c r="AV10" s="2189"/>
      <c r="AW10" s="2189"/>
      <c r="AX10" s="2189"/>
      <c r="AY10" s="2189"/>
      <c r="AZ10" s="2189"/>
      <c r="BA10" s="2189"/>
      <c r="BB10" s="2189"/>
      <c r="BC10" s="2189"/>
      <c r="BD10" s="2189"/>
      <c r="BE10" s="2189"/>
      <c r="BF10" s="2189"/>
      <c r="BG10" s="2189"/>
      <c r="BH10" s="2189"/>
      <c r="BI10" s="2189"/>
      <c r="BJ10" s="2189"/>
      <c r="BK10" s="2189"/>
      <c r="BL10" s="100"/>
      <c r="BM10" s="111"/>
      <c r="BN10" s="111"/>
      <c r="BO10" s="647"/>
      <c r="BP10" s="2195"/>
      <c r="BQ10" s="2195"/>
      <c r="BR10" s="2195"/>
      <c r="BS10" s="2195"/>
      <c r="BT10" s="2200"/>
      <c r="BU10" s="2185"/>
      <c r="BV10" s="2185"/>
      <c r="BW10" s="2201"/>
      <c r="BX10" s="2185"/>
      <c r="BY10" s="2185"/>
      <c r="BZ10" s="2185"/>
      <c r="CA10" s="2185"/>
      <c r="CB10" s="100"/>
      <c r="CC10" s="111"/>
      <c r="CD10" s="111"/>
      <c r="CE10" s="102"/>
      <c r="CF10" s="1883"/>
      <c r="CG10" s="1883"/>
      <c r="CH10" s="1883"/>
      <c r="CI10" s="1883"/>
      <c r="CJ10" s="1883"/>
      <c r="CK10" s="1883"/>
      <c r="CL10" s="1883"/>
      <c r="CM10" s="1883"/>
      <c r="CN10" s="1883"/>
      <c r="CO10" s="1924"/>
      <c r="CP10" s="1924"/>
      <c r="CQ10" s="1924"/>
      <c r="CR10" s="1924"/>
      <c r="CS10" s="1924"/>
      <c r="CT10" s="1924"/>
      <c r="CU10" s="1924"/>
      <c r="CV10" s="1924"/>
      <c r="CW10" s="1924"/>
      <c r="CX10" s="1924"/>
      <c r="CY10" s="1924"/>
      <c r="CZ10" s="1924"/>
      <c r="DA10" s="1924"/>
      <c r="DB10" s="1924"/>
      <c r="DC10" s="1924"/>
      <c r="DD10" s="1924"/>
      <c r="DE10" s="1924"/>
      <c r="DF10" s="1924"/>
      <c r="DG10" s="656"/>
      <c r="DH10" s="970"/>
      <c r="DI10" s="111"/>
      <c r="DJ10" s="256"/>
      <c r="DK10" s="109"/>
      <c r="DL10" s="109"/>
      <c r="FL10" s="1020" t="e">
        <f ca="1">IF(AND(BT12&lt;&gt;"",BT9&lt;&gt;""),AQ7&amp;" "&amp;LOWER(J9)&amp;" "&amp;IF(BT9&lt;0,BT9&amp;"/"&amp;BT9,"+"&amp;BT9&amp;"/+"&amp;BT9)&amp;" ("&amp;CO9&amp;IF(Weapons!E$82&lt;&gt;"20","/"&amp;Weapons!E$82,"")&amp;IF(Weapons!E$83&lt;&gt;2,"/×"&amp;Weapons!E$83,"")&amp;") with Double Attack","")</f>
        <v>#N/A</v>
      </c>
      <c r="FM10" s="1019" t="e">
        <f t="shared" ref="FM10:FM41" ca="1" si="0">IF(FL10&lt;&gt;"",FL10&amp;IF(FM11&lt;&gt;"","
"&amp;FM11,""),FM11)</f>
        <v>#N/A</v>
      </c>
    </row>
    <row r="11" spans="3:175" ht="9" customHeight="1" thickBot="1">
      <c r="C11" s="87"/>
      <c r="D11" s="144"/>
      <c r="E11" s="111"/>
      <c r="F11" s="111"/>
      <c r="G11" s="111"/>
      <c r="H11" s="111"/>
      <c r="I11" s="91"/>
      <c r="J11" s="2217"/>
      <c r="K11" s="2217"/>
      <c r="L11" s="2217"/>
      <c r="M11" s="2217"/>
      <c r="N11" s="2217"/>
      <c r="O11" s="2217"/>
      <c r="P11" s="2217"/>
      <c r="Q11" s="2217"/>
      <c r="R11" s="2217"/>
      <c r="S11" s="2217"/>
      <c r="T11" s="2217"/>
      <c r="U11" s="2217"/>
      <c r="V11" s="2217"/>
      <c r="W11" s="2217"/>
      <c r="X11" s="2217"/>
      <c r="Y11" s="2217"/>
      <c r="Z11" s="2217"/>
      <c r="AA11" s="2217"/>
      <c r="AB11" s="2217"/>
      <c r="AC11" s="2217"/>
      <c r="AD11" s="2217"/>
      <c r="AE11" s="2217"/>
      <c r="AF11" s="2217"/>
      <c r="AG11" s="2217"/>
      <c r="AH11" s="2217"/>
      <c r="AI11" s="2217"/>
      <c r="AJ11" s="2217"/>
      <c r="AK11" s="2217"/>
      <c r="AL11" s="2217"/>
      <c r="AM11" s="648"/>
      <c r="AN11" s="685"/>
      <c r="AO11" s="685"/>
      <c r="AP11" s="649"/>
      <c r="AQ11" s="2190"/>
      <c r="AR11" s="2190"/>
      <c r="AS11" s="2190"/>
      <c r="AT11" s="2190"/>
      <c r="AU11" s="2190"/>
      <c r="AV11" s="2190"/>
      <c r="AW11" s="2190"/>
      <c r="AX11" s="2190"/>
      <c r="AY11" s="2190"/>
      <c r="AZ11" s="2190"/>
      <c r="BA11" s="2190"/>
      <c r="BB11" s="2190"/>
      <c r="BC11" s="2190"/>
      <c r="BD11" s="2190"/>
      <c r="BE11" s="2190"/>
      <c r="BF11" s="2190"/>
      <c r="BG11" s="2190"/>
      <c r="BH11" s="2190"/>
      <c r="BI11" s="2190"/>
      <c r="BJ11" s="2190"/>
      <c r="BK11" s="2190"/>
      <c r="BL11" s="93"/>
      <c r="BM11" s="685"/>
      <c r="BN11" s="685"/>
      <c r="BO11" s="649"/>
      <c r="BP11" s="2196"/>
      <c r="BQ11" s="2196"/>
      <c r="BR11" s="2196"/>
      <c r="BS11" s="2196"/>
      <c r="BT11" s="2202"/>
      <c r="BU11" s="2186"/>
      <c r="BV11" s="2186"/>
      <c r="BW11" s="2203"/>
      <c r="BX11" s="2186"/>
      <c r="BY11" s="2186"/>
      <c r="BZ11" s="2186"/>
      <c r="CA11" s="2186"/>
      <c r="CB11" s="93"/>
      <c r="CC11" s="685"/>
      <c r="CD11" s="685"/>
      <c r="CE11" s="91"/>
      <c r="CF11" s="655"/>
      <c r="CG11" s="655"/>
      <c r="CH11" s="655"/>
      <c r="CI11" s="655"/>
      <c r="CJ11" s="655"/>
      <c r="CK11" s="655"/>
      <c r="CL11" s="655"/>
      <c r="CM11" s="655"/>
      <c r="CN11" s="655"/>
      <c r="CO11" s="1925"/>
      <c r="CP11" s="1925"/>
      <c r="CQ11" s="1925"/>
      <c r="CR11" s="1925"/>
      <c r="CS11" s="1925"/>
      <c r="CT11" s="1925"/>
      <c r="CU11" s="1925"/>
      <c r="CV11" s="1925"/>
      <c r="CW11" s="1925"/>
      <c r="CX11" s="1925"/>
      <c r="CY11" s="1925"/>
      <c r="CZ11" s="1925"/>
      <c r="DA11" s="1925"/>
      <c r="DB11" s="1925"/>
      <c r="DC11" s="1925"/>
      <c r="DD11" s="1925"/>
      <c r="DE11" s="1925"/>
      <c r="DF11" s="1925"/>
      <c r="DG11" s="93"/>
      <c r="DH11" s="972"/>
      <c r="DI11" s="118"/>
      <c r="DJ11" s="118"/>
      <c r="DK11" s="256"/>
      <c r="DL11" s="109"/>
      <c r="FL11" s="1020" t="e">
        <f ca="1">IF(AND($BX$12&lt;&gt;"",BX9&lt;&gt;""),AQ7&amp;" "&amp;LOWER(J9)&amp;" "&amp;IF(BX9&lt;0,BX9&amp;"/"&amp;BX9&amp;"/"&amp;BX9,"+"&amp;BX9&amp;"/+"&amp;BX9&amp;"/+"&amp;BX9)&amp;" ("&amp;CO9&amp;IF(Weapons!E$82&lt;&gt;"20","/"&amp;Weapons!E$82,"")&amp;IF(Weapons!E$83&lt;&gt;2,"/×"&amp;Weapons!E$83,"")&amp;") with Triple Attack","")</f>
        <v>#N/A</v>
      </c>
      <c r="FM11" s="1019" t="e">
        <f t="shared" ca="1" si="0"/>
        <v>#N/A</v>
      </c>
    </row>
    <row r="12" spans="3:175" ht="9" customHeight="1" thickTop="1" thickBot="1">
      <c r="C12" s="112"/>
      <c r="D12" s="2183" t="str">
        <f>IF(Weapons!E$61&lt;&gt;"","MOUNTED","")</f>
        <v/>
      </c>
      <c r="E12" s="2184"/>
      <c r="F12" s="2184"/>
      <c r="G12" s="685"/>
      <c r="H12" s="685"/>
      <c r="I12" s="685"/>
      <c r="J12" s="685"/>
      <c r="K12" s="685"/>
      <c r="L12" s="685"/>
      <c r="M12" s="685"/>
      <c r="N12" s="685"/>
      <c r="O12" s="685"/>
      <c r="P12" s="685"/>
      <c r="Q12" s="685"/>
      <c r="R12" s="685"/>
      <c r="S12" s="685"/>
      <c r="T12" s="685"/>
      <c r="U12" s="685"/>
      <c r="V12" s="685"/>
      <c r="W12" s="685"/>
      <c r="X12" s="685"/>
      <c r="Y12" s="685"/>
      <c r="Z12" s="685"/>
      <c r="AA12" s="685"/>
      <c r="AB12" s="685"/>
      <c r="AC12" s="685"/>
      <c r="AD12" s="685"/>
      <c r="AE12" s="685"/>
      <c r="AF12" s="685"/>
      <c r="AG12" s="685"/>
      <c r="AH12" s="685"/>
      <c r="AI12" s="685"/>
      <c r="AJ12" s="685"/>
      <c r="AK12" s="685"/>
      <c r="AL12" s="685"/>
      <c r="AM12" s="685"/>
      <c r="AN12" s="685"/>
      <c r="BI12" s="596"/>
      <c r="BJ12" s="596"/>
      <c r="BK12" s="596"/>
      <c r="BN12" s="685"/>
      <c r="BO12" s="685"/>
      <c r="BP12" s="685"/>
      <c r="BQ12" s="685"/>
      <c r="BR12" s="685"/>
      <c r="BS12" s="685"/>
      <c r="BT12" s="2205" t="e">
        <f ca="1">"Double Attack ("&amp;INDEX(WeaponTable,MATCH(Weapons!E$11,WeaponList,0),5)&amp;")"</f>
        <v>#N/A</v>
      </c>
      <c r="BU12" s="2205"/>
      <c r="BV12" s="2205"/>
      <c r="BW12" s="2205"/>
      <c r="BX12" s="2205" t="e">
        <f ca="1">"Triple Attack ("&amp;INDEX(WeaponTable,MATCH(Weapons!E$11,WeaponList,0),5)&amp;")"</f>
        <v>#N/A</v>
      </c>
      <c r="BY12" s="2205"/>
      <c r="BZ12" s="2205"/>
      <c r="CA12" s="2205"/>
      <c r="CB12" s="685"/>
      <c r="CC12" s="685"/>
      <c r="CD12" s="685"/>
      <c r="CE12" s="685"/>
      <c r="CF12" s="685"/>
      <c r="CG12" s="685"/>
      <c r="CH12" s="685"/>
      <c r="CI12" s="685"/>
      <c r="CJ12" s="685"/>
      <c r="CK12" s="685"/>
      <c r="CL12" s="685"/>
      <c r="CM12" s="685"/>
      <c r="CN12" s="685"/>
      <c r="CO12" s="685"/>
      <c r="CP12" s="685"/>
      <c r="CQ12" s="685"/>
      <c r="CR12" s="685"/>
      <c r="CS12" s="685"/>
      <c r="CT12" s="685"/>
      <c r="CU12" s="685"/>
      <c r="CV12" s="685"/>
      <c r="CW12" s="685"/>
      <c r="CX12" s="685"/>
      <c r="CY12" s="685"/>
      <c r="CZ12" s="685"/>
      <c r="DA12" s="685"/>
      <c r="DB12" s="685"/>
      <c r="DC12" s="685"/>
      <c r="DD12" s="685"/>
      <c r="DE12" s="685"/>
      <c r="DF12" s="685"/>
      <c r="DG12" s="685"/>
      <c r="DH12" s="973"/>
      <c r="DI12" s="596"/>
      <c r="DJ12" s="596"/>
      <c r="DK12" s="112"/>
      <c r="DL12" s="87"/>
      <c r="FL12" s="1020"/>
      <c r="FM12" s="1019" t="str">
        <f t="shared" si="0"/>
        <v/>
      </c>
    </row>
    <row r="13" spans="3:175" ht="9" customHeight="1" thickTop="1" thickBot="1">
      <c r="C13" s="112"/>
      <c r="D13" s="2183"/>
      <c r="E13" s="2184"/>
      <c r="F13" s="2184"/>
      <c r="G13" s="93"/>
      <c r="H13" s="2182" t="s">
        <v>3613</v>
      </c>
      <c r="I13" s="2182"/>
      <c r="J13" s="2182"/>
      <c r="K13" s="2182"/>
      <c r="L13" s="295"/>
      <c r="M13" s="295"/>
      <c r="N13" s="600"/>
      <c r="O13" s="600"/>
      <c r="P13" s="594"/>
      <c r="Q13" s="594"/>
      <c r="R13" s="594"/>
      <c r="S13" s="594"/>
      <c r="T13" s="594"/>
      <c r="U13" s="594"/>
      <c r="V13" s="594"/>
      <c r="W13" s="594"/>
      <c r="X13" s="594"/>
      <c r="Y13" s="594"/>
      <c r="Z13" s="594"/>
      <c r="AA13" s="594"/>
      <c r="AB13" s="594"/>
      <c r="AC13" s="594"/>
      <c r="AD13" s="594"/>
      <c r="AE13" s="594"/>
      <c r="AF13" s="297"/>
      <c r="AG13" s="685"/>
      <c r="AH13" s="685"/>
      <c r="AP13" s="93"/>
      <c r="AQ13" s="2179" t="s">
        <v>4093</v>
      </c>
      <c r="AR13" s="2179"/>
      <c r="AS13" s="2179"/>
      <c r="AT13" s="2179"/>
      <c r="AU13" s="2179"/>
      <c r="AV13" s="2179"/>
      <c r="AW13" s="2179"/>
      <c r="AX13" s="2179"/>
      <c r="AY13" s="2179"/>
      <c r="AZ13" s="2179"/>
      <c r="BA13" s="2179"/>
      <c r="BB13" s="2179"/>
      <c r="BC13" s="2179"/>
      <c r="BD13" s="113"/>
      <c r="BE13" s="145"/>
      <c r="BF13" s="145"/>
      <c r="BG13" s="145"/>
      <c r="BH13" s="145"/>
      <c r="BI13" s="145"/>
      <c r="BJ13" s="145"/>
      <c r="BK13" s="145"/>
      <c r="BL13" s="685"/>
      <c r="BM13" s="685"/>
      <c r="BN13" s="685"/>
      <c r="BO13" s="93"/>
      <c r="BP13" s="2193" t="s">
        <v>4092</v>
      </c>
      <c r="BQ13" s="2193"/>
      <c r="BR13" s="2193"/>
      <c r="BS13" s="2193"/>
      <c r="BT13" s="2193" t="s">
        <v>4090</v>
      </c>
      <c r="BU13" s="2193"/>
      <c r="BV13" s="2193"/>
      <c r="BW13" s="2193"/>
      <c r="BX13" s="2193" t="s">
        <v>4091</v>
      </c>
      <c r="BY13" s="2193"/>
      <c r="BZ13" s="2193"/>
      <c r="CA13" s="2193"/>
      <c r="CB13" s="113"/>
      <c r="CC13" s="685"/>
      <c r="CD13" s="685"/>
      <c r="CE13" s="93"/>
      <c r="CF13" s="2182" t="s">
        <v>3612</v>
      </c>
      <c r="CG13" s="2208"/>
      <c r="CH13" s="2208"/>
      <c r="CI13" s="2208"/>
      <c r="CJ13" s="2208"/>
      <c r="CK13" s="2208"/>
      <c r="CL13" s="2208"/>
      <c r="CM13" s="2208"/>
      <c r="CN13" s="113"/>
      <c r="CO13" s="87"/>
      <c r="CP13" s="87"/>
      <c r="CQ13" s="87"/>
      <c r="CR13" s="87"/>
      <c r="CS13" s="87"/>
      <c r="CT13" s="87"/>
      <c r="CU13" s="87"/>
      <c r="CV13" s="87"/>
      <c r="CW13" s="87"/>
      <c r="CX13" s="87"/>
      <c r="CY13" s="87"/>
      <c r="CZ13" s="87"/>
      <c r="DA13" s="87"/>
      <c r="DB13" s="87"/>
      <c r="DC13" s="87"/>
      <c r="DD13" s="87"/>
      <c r="DE13" s="87"/>
      <c r="DF13" s="87"/>
      <c r="DG13" s="87"/>
      <c r="DK13" s="112"/>
      <c r="DL13" s="87"/>
      <c r="FL13" s="1020"/>
      <c r="FM13" s="1019" t="str">
        <f t="shared" si="0"/>
        <v/>
      </c>
    </row>
    <row r="14" spans="3:175" ht="9" customHeight="1" thickTop="1">
      <c r="C14" s="112"/>
      <c r="D14" s="2183"/>
      <c r="E14" s="2184"/>
      <c r="F14" s="2184"/>
      <c r="G14" s="102"/>
      <c r="H14" s="2180"/>
      <c r="I14" s="2180"/>
      <c r="J14" s="2180"/>
      <c r="K14" s="2180"/>
      <c r="L14" s="1867" t="str">
        <f>Weapons!E$34</f>
        <v/>
      </c>
      <c r="M14" s="1867"/>
      <c r="N14" s="1867"/>
      <c r="O14" s="1867"/>
      <c r="P14" s="1867"/>
      <c r="Q14" s="1867"/>
      <c r="R14" s="1867"/>
      <c r="S14" s="1867"/>
      <c r="T14" s="1867"/>
      <c r="U14" s="1867"/>
      <c r="V14" s="1867"/>
      <c r="W14" s="1867"/>
      <c r="X14" s="1867"/>
      <c r="Y14" s="1867"/>
      <c r="Z14" s="1867"/>
      <c r="AA14" s="1867"/>
      <c r="AB14" s="1867"/>
      <c r="AC14" s="1867"/>
      <c r="AD14" s="1867"/>
      <c r="AE14" s="1867"/>
      <c r="AF14" s="300"/>
      <c r="AG14" s="685"/>
      <c r="AH14" s="685"/>
      <c r="AP14" s="102"/>
      <c r="AQ14" s="2180"/>
      <c r="AR14" s="2180"/>
      <c r="AS14" s="2180"/>
      <c r="AT14" s="2180"/>
      <c r="AU14" s="2180"/>
      <c r="AV14" s="2180"/>
      <c r="AW14" s="2180"/>
      <c r="AX14" s="2180"/>
      <c r="AY14" s="2180"/>
      <c r="AZ14" s="2180"/>
      <c r="BA14" s="2180"/>
      <c r="BB14" s="2180"/>
      <c r="BC14" s="2180"/>
      <c r="BD14" s="589"/>
      <c r="BE14" s="598"/>
      <c r="BF14" s="598"/>
      <c r="BG14" s="598"/>
      <c r="BH14" s="598"/>
      <c r="BI14" s="598"/>
      <c r="BJ14" s="598"/>
      <c r="BK14" s="598"/>
      <c r="BL14" s="113"/>
      <c r="BM14" s="685"/>
      <c r="BN14" s="685"/>
      <c r="BO14" s="102"/>
      <c r="BP14" s="2194"/>
      <c r="BQ14" s="2194"/>
      <c r="BR14" s="2194"/>
      <c r="BS14" s="2194"/>
      <c r="BT14" s="2194"/>
      <c r="BU14" s="2194"/>
      <c r="BV14" s="2194"/>
      <c r="BW14" s="2194"/>
      <c r="BX14" s="2194"/>
      <c r="BY14" s="2194"/>
      <c r="BZ14" s="2194"/>
      <c r="CA14" s="2194"/>
      <c r="CB14" s="685"/>
      <c r="CC14" s="102"/>
      <c r="CD14" s="685"/>
      <c r="CE14" s="102"/>
      <c r="CF14" s="2138"/>
      <c r="CG14" s="2138"/>
      <c r="CH14" s="2138"/>
      <c r="CI14" s="2138"/>
      <c r="CJ14" s="2138"/>
      <c r="CK14" s="2138"/>
      <c r="CL14" s="2138"/>
      <c r="CM14" s="2138"/>
      <c r="CN14" s="589"/>
      <c r="CO14" s="599"/>
      <c r="CP14" s="599"/>
      <c r="CQ14" s="599"/>
      <c r="CR14" s="599"/>
      <c r="CS14" s="599"/>
      <c r="CT14" s="599"/>
      <c r="CU14" s="599"/>
      <c r="CV14" s="599"/>
      <c r="CW14" s="599"/>
      <c r="CX14" s="599"/>
      <c r="CY14" s="599"/>
      <c r="CZ14" s="599"/>
      <c r="DA14" s="599"/>
      <c r="DB14" s="599"/>
      <c r="DC14" s="599"/>
      <c r="DD14" s="599"/>
      <c r="DE14" s="599"/>
      <c r="DF14" s="599"/>
      <c r="DG14" s="113"/>
      <c r="DK14" s="112"/>
      <c r="DL14" s="87"/>
      <c r="FL14" s="1020"/>
      <c r="FM14" s="1019" t="str">
        <f t="shared" si="0"/>
        <v/>
      </c>
    </row>
    <row r="15" spans="3:175" ht="9" customHeight="1" thickBot="1">
      <c r="C15" s="112"/>
      <c r="D15" s="2183"/>
      <c r="E15" s="2184"/>
      <c r="F15" s="2184"/>
      <c r="G15" s="102"/>
      <c r="H15" s="105"/>
      <c r="I15" s="105"/>
      <c r="J15" s="105"/>
      <c r="K15" s="105"/>
      <c r="L15" s="1867"/>
      <c r="M15" s="1867"/>
      <c r="N15" s="1867"/>
      <c r="O15" s="1867"/>
      <c r="P15" s="1867"/>
      <c r="Q15" s="1867"/>
      <c r="R15" s="1867"/>
      <c r="S15" s="1867"/>
      <c r="T15" s="1867"/>
      <c r="U15" s="1867"/>
      <c r="V15" s="1867"/>
      <c r="W15" s="1867"/>
      <c r="X15" s="1867"/>
      <c r="Y15" s="1867"/>
      <c r="Z15" s="1867"/>
      <c r="AA15" s="1867"/>
      <c r="AB15" s="1867"/>
      <c r="AC15" s="1867"/>
      <c r="AD15" s="1867"/>
      <c r="AE15" s="1867"/>
      <c r="AF15" s="103"/>
      <c r="AG15" s="685"/>
      <c r="AH15" s="685"/>
      <c r="AP15" s="102"/>
      <c r="AQ15" s="2191"/>
      <c r="AR15" s="2191"/>
      <c r="AS15" s="2191"/>
      <c r="AT15" s="2191"/>
      <c r="AU15" s="2191"/>
      <c r="AV15" s="2191"/>
      <c r="AW15" s="2191"/>
      <c r="AX15" s="2191"/>
      <c r="AY15" s="2191"/>
      <c r="AZ15" s="2191"/>
      <c r="BA15" s="2191"/>
      <c r="BB15" s="2191"/>
      <c r="BC15" s="2191"/>
      <c r="BD15" s="2191"/>
      <c r="BE15" s="2191"/>
      <c r="BF15" s="2191"/>
      <c r="BG15" s="2191"/>
      <c r="BH15" s="2191"/>
      <c r="BI15" s="2191"/>
      <c r="BJ15" s="2191"/>
      <c r="BK15" s="2191"/>
      <c r="BL15" s="100"/>
      <c r="BM15" s="122"/>
      <c r="BN15" s="290"/>
      <c r="BO15" s="102"/>
      <c r="BP15" s="2185" t="str">
        <f>IF(AQ15&lt;&gt;"",IF(OR(INDEX(WeaponFeatsModsTable,MATCH(AQ15,WeaponFeatsModsList,0),7)=AQ7,INDEX(WeaponFeatsModsTable,MATCH(AQ15,WeaponFeatsModsList,0),7)=""),INDEX(WeaponFeatsModsTable,MATCH(AQ15,WeaponFeatsModsList,0),2)+BP9,""),"")</f>
        <v/>
      </c>
      <c r="BQ15" s="2185"/>
      <c r="BR15" s="2185"/>
      <c r="BS15" s="2185"/>
      <c r="BT15" s="2200" t="str">
        <f>IF(BP15&lt;&gt;"",IF(AND(OR(INDEX(WeaponFeatsModsTable,MATCH(AQ15,WeaponFeatsModsList,0),7)=AQ7,INDEX(WeaponFeatsModsTable,MATCH(AQ15,WeaponFeatsModsList,0),7)=""),INDEX(WeaponFeatsModsTable,MATCH(AQ15,WeaponFeatsModsList,0),8)&lt;&gt;"Yes"),IF(COUNTIF(FeatsCharacterSheet,BT12)&gt;0,BP15+BT6,""),""),"")</f>
        <v/>
      </c>
      <c r="BU15" s="2185"/>
      <c r="BV15" s="2185"/>
      <c r="BW15" s="2201"/>
      <c r="BX15" s="2185" t="str">
        <f>IF(BP15&lt;&gt;"",IF(AND(OR(INDEX(WeaponFeatsModsTable,MATCH(AQ15,WeaponFeatsModsList,0),7)=AQ7,INDEX(WeaponFeatsModsTable,MATCH(AQ15,WeaponFeatsModsList,0),7)=""),INDEX(WeaponFeatsModsTable,MATCH(AQ15,WeaponFeatsModsList,0),8)&lt;&gt;"Yes"),IF(COUNTIF(FeatsCharacterSheet,BX12)&gt;0,BP15+BX6,""),""),"")</f>
        <v/>
      </c>
      <c r="BY15" s="2185"/>
      <c r="BZ15" s="2185"/>
      <c r="CA15" s="2185"/>
      <c r="CB15" s="100"/>
      <c r="CC15" s="122"/>
      <c r="CD15" s="290"/>
      <c r="CE15" s="102"/>
      <c r="CF15" s="1883"/>
      <c r="CG15" s="1883"/>
      <c r="CH15" s="1883"/>
      <c r="CI15" s="1883"/>
      <c r="CJ15" s="1883"/>
      <c r="CK15" s="1883"/>
      <c r="CL15" s="1883"/>
      <c r="CM15" s="1883"/>
      <c r="CN15" s="1883"/>
      <c r="CO15" s="2207" t="str">
        <f>IF(AQ15&lt;&gt;"",IF(OR(INDEX(WeaponFeatsModsTable,MATCH(AQ15,WeaponFeatsModsList,0),7)=AQ7,INDEX(WeaponFeatsModsTable,MATCH(AQ15,WeaponFeatsModsList,0),7)=""),Weapons!E$78+INDEX(WeaponFeatsModsTable,MATCH(AQ15,WeaponFeatsModsList,0),5)&amp;"d"&amp;Weapons!E$79&amp;Weapons!E$123&amp;"+"&amp;Weapons!E$116+DH15+IF(AND(LEFT(AQ15,12)="Power Attack",AQ9="Two-Handed",AQ7="Melee"),INDEX(WeaponFeatsModsTable,MATCH(AQ15,WeaponFeatsModsList,0),4),INDEX(WeaponFeatsModsTable,MATCH(AQ15,WeaponFeatsModsList,0),3)),""),"")</f>
        <v/>
      </c>
      <c r="CP15" s="2207"/>
      <c r="CQ15" s="2207"/>
      <c r="CR15" s="2207"/>
      <c r="CS15" s="2207"/>
      <c r="CT15" s="2207"/>
      <c r="CU15" s="2207"/>
      <c r="CV15" s="2207"/>
      <c r="CW15" s="2207"/>
      <c r="CX15" s="2207"/>
      <c r="CY15" s="2207"/>
      <c r="CZ15" s="2207"/>
      <c r="DA15" s="2207"/>
      <c r="DB15" s="2207"/>
      <c r="DC15" s="2207"/>
      <c r="DD15" s="2207"/>
      <c r="DE15" s="2207"/>
      <c r="DF15" s="2207"/>
      <c r="DG15" s="656"/>
      <c r="DH15" s="974">
        <f>IF(AND(COUNTIF(Weapons!E$56:E$60,"Pulse Charger"),AQ7="Ranged"),INDEX(WeaponFeatsModsTable,MATCH(AQ15,WeaponFeatsModsList,0),5),0)</f>
        <v>0</v>
      </c>
      <c r="DI15" s="966"/>
      <c r="DJ15" s="966"/>
      <c r="DK15" s="967"/>
      <c r="DL15" s="109"/>
      <c r="FL15" s="1020" t="str">
        <f>IF(AND(AQ15&lt;&gt;"",BP15&lt;&gt;""),AQ7&amp;" "&amp;LOWER(J9)&amp;" "&amp;IF(BP15&lt;0,"","+")&amp;BP15&amp;" ("&amp;CO15&amp;IF(Weapons!E$82&lt;&gt;"20","/"&amp;Weapons!E$82,"")&amp;IF(Weapons!E$83&lt;&gt;2,"/×"&amp;Weapons!E$83,"")&amp;") with "&amp;AQ15,"")</f>
        <v/>
      </c>
      <c r="FM15" s="1019" t="str">
        <f t="shared" si="0"/>
        <v/>
      </c>
    </row>
    <row r="16" spans="3:175" ht="9" customHeight="1" thickTop="1" thickBot="1">
      <c r="C16" s="112"/>
      <c r="D16" s="2183"/>
      <c r="E16" s="2184"/>
      <c r="F16" s="2184"/>
      <c r="G16" s="91"/>
      <c r="H16" s="108"/>
      <c r="I16" s="108"/>
      <c r="J16" s="108"/>
      <c r="K16" s="108"/>
      <c r="L16" s="1868"/>
      <c r="M16" s="1868"/>
      <c r="N16" s="1868"/>
      <c r="O16" s="1868"/>
      <c r="P16" s="1868"/>
      <c r="Q16" s="1868"/>
      <c r="R16" s="1868"/>
      <c r="S16" s="1868"/>
      <c r="T16" s="1868"/>
      <c r="U16" s="1868"/>
      <c r="V16" s="1868"/>
      <c r="W16" s="1868"/>
      <c r="X16" s="1868"/>
      <c r="Y16" s="1868"/>
      <c r="Z16" s="1868"/>
      <c r="AA16" s="1868"/>
      <c r="AB16" s="1868"/>
      <c r="AC16" s="1868"/>
      <c r="AD16" s="1868"/>
      <c r="AE16" s="1868"/>
      <c r="AF16" s="90"/>
      <c r="AG16" s="685"/>
      <c r="AH16" s="685"/>
      <c r="AP16" s="647"/>
      <c r="AQ16" s="2191"/>
      <c r="AR16" s="2191"/>
      <c r="AS16" s="2191"/>
      <c r="AT16" s="2191"/>
      <c r="AU16" s="2191"/>
      <c r="AV16" s="2191"/>
      <c r="AW16" s="2191"/>
      <c r="AX16" s="2191"/>
      <c r="AY16" s="2191"/>
      <c r="AZ16" s="2191"/>
      <c r="BA16" s="2191"/>
      <c r="BB16" s="2191"/>
      <c r="BC16" s="2191"/>
      <c r="BD16" s="2191"/>
      <c r="BE16" s="2191"/>
      <c r="BF16" s="2191"/>
      <c r="BG16" s="2191"/>
      <c r="BH16" s="2191"/>
      <c r="BI16" s="2191"/>
      <c r="BJ16" s="2191"/>
      <c r="BK16" s="2191"/>
      <c r="BL16" s="100"/>
      <c r="BM16" s="111"/>
      <c r="BN16" s="111"/>
      <c r="BO16" s="647"/>
      <c r="BP16" s="2185"/>
      <c r="BQ16" s="2185"/>
      <c r="BR16" s="2185"/>
      <c r="BS16" s="2185"/>
      <c r="BT16" s="2200"/>
      <c r="BU16" s="2185"/>
      <c r="BV16" s="2185"/>
      <c r="BW16" s="2201"/>
      <c r="BX16" s="2185"/>
      <c r="BY16" s="2185"/>
      <c r="BZ16" s="2185"/>
      <c r="CA16" s="2185"/>
      <c r="CB16" s="100"/>
      <c r="CC16" s="111"/>
      <c r="CD16" s="111"/>
      <c r="CE16" s="102"/>
      <c r="CF16" s="1883"/>
      <c r="CG16" s="1883"/>
      <c r="CH16" s="1883"/>
      <c r="CI16" s="1883"/>
      <c r="CJ16" s="1883"/>
      <c r="CK16" s="1883"/>
      <c r="CL16" s="1883"/>
      <c r="CM16" s="1883"/>
      <c r="CN16" s="1883"/>
      <c r="CO16" s="2207"/>
      <c r="CP16" s="2207"/>
      <c r="CQ16" s="2207"/>
      <c r="CR16" s="2207"/>
      <c r="CS16" s="2207"/>
      <c r="CT16" s="2207"/>
      <c r="CU16" s="2207"/>
      <c r="CV16" s="2207"/>
      <c r="CW16" s="2207"/>
      <c r="CX16" s="2207"/>
      <c r="CY16" s="2207"/>
      <c r="CZ16" s="2207"/>
      <c r="DA16" s="2207"/>
      <c r="DB16" s="2207"/>
      <c r="DC16" s="2207"/>
      <c r="DD16" s="2207"/>
      <c r="DE16" s="2207"/>
      <c r="DF16" s="2207"/>
      <c r="DG16" s="656"/>
      <c r="DH16" s="974"/>
      <c r="DI16" s="966"/>
      <c r="DJ16" s="966"/>
      <c r="DK16" s="967"/>
      <c r="DL16" s="109"/>
      <c r="FL16" s="1020" t="str">
        <f>IF(AND(AQ15&lt;&gt;"",BT15&lt;&gt;""),IF(BT12&lt;&gt;"",AQ7&amp;" "&amp;LOWER(J9)&amp;" "&amp;IF(BT15&lt;0,BT15&amp;"/"&amp;BT15,"+"&amp;BT15&amp;"/+"&amp;BT15)&amp;" ("&amp;$CO15&amp;IF(Weapons!E$82&lt;&gt;"20","/"&amp;Weapons!E$82,"")&amp;IF(Weapons!E$83&lt;&gt;2,"/×"&amp;Weapons!E$83,"")&amp;") with Double Attack and "&amp;AQ15,""),"")</f>
        <v/>
      </c>
      <c r="FM16" s="1019" t="str">
        <f t="shared" si="0"/>
        <v/>
      </c>
    </row>
    <row r="17" spans="2:170" ht="9" customHeight="1" thickTop="1" thickBot="1">
      <c r="C17" s="112"/>
      <c r="D17" s="2183"/>
      <c r="E17" s="2184"/>
      <c r="F17" s="2184"/>
      <c r="G17" s="685"/>
      <c r="H17" s="685"/>
      <c r="I17" s="685"/>
      <c r="J17" s="685"/>
      <c r="K17" s="685"/>
      <c r="L17" s="685"/>
      <c r="M17" s="685"/>
      <c r="N17" s="685"/>
      <c r="O17" s="589"/>
      <c r="P17" s="589"/>
      <c r="Q17" s="589"/>
      <c r="R17" s="589"/>
      <c r="S17" s="589"/>
      <c r="T17" s="589"/>
      <c r="U17" s="589"/>
      <c r="V17" s="589"/>
      <c r="W17" s="589"/>
      <c r="X17" s="589"/>
      <c r="Y17" s="589"/>
      <c r="Z17" s="589"/>
      <c r="AA17" s="589"/>
      <c r="AB17" s="589"/>
      <c r="AC17" s="589"/>
      <c r="AD17" s="589"/>
      <c r="AE17" s="589"/>
      <c r="AF17" s="589"/>
      <c r="AG17" s="589"/>
      <c r="AH17" s="131"/>
      <c r="AO17" s="686"/>
      <c r="AP17" s="647"/>
      <c r="AQ17" s="2192"/>
      <c r="AR17" s="2192"/>
      <c r="AS17" s="2192"/>
      <c r="AT17" s="2192"/>
      <c r="AU17" s="2192"/>
      <c r="AV17" s="2192"/>
      <c r="AW17" s="2192"/>
      <c r="AX17" s="2192"/>
      <c r="AY17" s="2192"/>
      <c r="AZ17" s="2192"/>
      <c r="BA17" s="2192"/>
      <c r="BB17" s="2192"/>
      <c r="BC17" s="2192"/>
      <c r="BD17" s="2192"/>
      <c r="BE17" s="2192"/>
      <c r="BF17" s="2192"/>
      <c r="BG17" s="2192"/>
      <c r="BH17" s="2192"/>
      <c r="BI17" s="2192"/>
      <c r="BJ17" s="2192"/>
      <c r="BK17" s="2192"/>
      <c r="BL17" s="686"/>
      <c r="BM17" s="647"/>
      <c r="BN17" s="685"/>
      <c r="BO17" s="102"/>
      <c r="BP17" s="2185"/>
      <c r="BQ17" s="2185"/>
      <c r="BR17" s="2185"/>
      <c r="BS17" s="2185"/>
      <c r="BT17" s="2200"/>
      <c r="BU17" s="2185"/>
      <c r="BV17" s="2185"/>
      <c r="BW17" s="2201"/>
      <c r="BX17" s="2185"/>
      <c r="BY17" s="2185"/>
      <c r="BZ17" s="2185"/>
      <c r="CA17" s="2185"/>
      <c r="CB17" s="685"/>
      <c r="CC17" s="102"/>
      <c r="CD17" s="685"/>
      <c r="CE17" s="102"/>
      <c r="CO17" s="2207"/>
      <c r="CP17" s="2207"/>
      <c r="CQ17" s="2207"/>
      <c r="CR17" s="2207"/>
      <c r="CS17" s="2207"/>
      <c r="CT17" s="2207"/>
      <c r="CU17" s="2207"/>
      <c r="CV17" s="2207"/>
      <c r="CW17" s="2207"/>
      <c r="CX17" s="2207"/>
      <c r="CY17" s="2207"/>
      <c r="CZ17" s="2207"/>
      <c r="DA17" s="2207"/>
      <c r="DB17" s="2207"/>
      <c r="DC17" s="2207"/>
      <c r="DD17" s="2207"/>
      <c r="DE17" s="2207"/>
      <c r="DF17" s="2207"/>
      <c r="DG17" s="656"/>
      <c r="DH17" s="974"/>
      <c r="DI17" s="966"/>
      <c r="DJ17" s="966"/>
      <c r="DK17" s="967"/>
      <c r="DL17" s="118"/>
      <c r="FL17" s="1020" t="str">
        <f>IF(AND(AQ15&lt;&gt;"",BX15&lt;&gt;""),IF(BX12&lt;&gt;"",AQ7&amp;" "&amp;LOWER(J9)&amp;" "&amp;IF($BX15&lt;0,$BX15&amp;"/"&amp;$BX15&amp;"/"&amp;$BX15,"+"&amp;$BX15&amp;"/+"&amp;$BX15&amp;"/+"&amp;$BX15)&amp;" ("&amp;$CO15&amp;IF(Weapons!E$82&lt;&gt;"20","/"&amp;Weapons!E$82,"")&amp;IF(Weapons!E$83&lt;&gt;2,"/×"&amp;Weapons!E$83,"")&amp;") with Triple Attack and "&amp;AQ15,""),"")</f>
        <v/>
      </c>
      <c r="FM17" s="1019" t="str">
        <f t="shared" si="0"/>
        <v/>
      </c>
    </row>
    <row r="18" spans="2:170" ht="9" customHeight="1" thickTop="1" thickBot="1">
      <c r="C18" s="112"/>
      <c r="D18" s="2183"/>
      <c r="E18" s="2184"/>
      <c r="F18" s="2184"/>
      <c r="G18" s="93"/>
      <c r="H18" s="2182" t="s">
        <v>4051</v>
      </c>
      <c r="I18" s="2208"/>
      <c r="J18" s="2208"/>
      <c r="K18" s="2208"/>
      <c r="L18" s="295"/>
      <c r="M18" s="295"/>
      <c r="N18" s="295"/>
      <c r="O18" s="295"/>
      <c r="P18" s="295"/>
      <c r="Q18" s="295"/>
      <c r="R18" s="295"/>
      <c r="S18" s="295"/>
      <c r="T18" s="295"/>
      <c r="U18" s="295"/>
      <c r="V18" s="113"/>
      <c r="W18" s="698"/>
      <c r="Y18" s="93"/>
      <c r="Z18" s="2182" t="s">
        <v>4089</v>
      </c>
      <c r="AA18" s="2208"/>
      <c r="AB18" s="2208"/>
      <c r="AC18" s="2208"/>
      <c r="AD18" s="295"/>
      <c r="AE18" s="295"/>
      <c r="AF18" s="295"/>
      <c r="AG18" s="295"/>
      <c r="AH18" s="295"/>
      <c r="AI18" s="295"/>
      <c r="AJ18" s="295"/>
      <c r="AK18" s="295"/>
      <c r="AL18" s="295"/>
      <c r="AM18" s="113"/>
      <c r="AO18" s="686"/>
      <c r="AP18" s="647"/>
      <c r="AQ18" s="2191"/>
      <c r="AR18" s="2191"/>
      <c r="AS18" s="2191"/>
      <c r="AT18" s="2191"/>
      <c r="AU18" s="2191"/>
      <c r="AV18" s="2191"/>
      <c r="AW18" s="2191"/>
      <c r="AX18" s="2191"/>
      <c r="AY18" s="2191"/>
      <c r="AZ18" s="2191"/>
      <c r="BA18" s="2191"/>
      <c r="BB18" s="2191"/>
      <c r="BC18" s="2191"/>
      <c r="BD18" s="2191"/>
      <c r="BE18" s="2191"/>
      <c r="BF18" s="2191"/>
      <c r="BG18" s="2191"/>
      <c r="BH18" s="2191"/>
      <c r="BI18" s="2191"/>
      <c r="BJ18" s="2191"/>
      <c r="BK18" s="2191"/>
      <c r="BL18" s="100"/>
      <c r="BM18" s="122"/>
      <c r="BN18" s="290"/>
      <c r="BO18" s="102"/>
      <c r="BP18" s="2185" t="str">
        <f>IF(AQ18&lt;&gt;"",IF(OR(INDEX(WeaponFeatsModsTable,MATCH(AQ18,WeaponFeatsModsList,0),7)=AQ7,INDEX(WeaponFeatsModsTable,MATCH(AQ18,WeaponFeatsModsList,0),7)=""),INDEX(WeaponFeatsModsTable,MATCH(AQ18,WeaponFeatsModsList,0),2)+BP9,""),"")</f>
        <v/>
      </c>
      <c r="BQ18" s="2185"/>
      <c r="BR18" s="2185"/>
      <c r="BS18" s="2185"/>
      <c r="BT18" s="2200" t="str">
        <f>IF(BP18&lt;&gt;"",IF(AND(OR(INDEX(WeaponFeatsModsTable,MATCH(AQ18,WeaponFeatsModsList,0),7)=AQ7,INDEX(WeaponFeatsModsTable,MATCH(AQ18,WeaponFeatsModsList,0),7)=""),INDEX(WeaponFeatsModsTable,MATCH(AQ18,WeaponFeatsModsList,0),8)&lt;&gt;"Yes"),IF(COUNTIF(FeatsCharacterSheet,BT12)&gt;0,BP18+BT6,""),""),"")</f>
        <v/>
      </c>
      <c r="BU18" s="2185"/>
      <c r="BV18" s="2185"/>
      <c r="BW18" s="2201"/>
      <c r="BX18" s="2185" t="str">
        <f>IF(BP18&lt;&gt;"",IF(AND(OR(INDEX(WeaponFeatsModsTable,MATCH(AQ18,WeaponFeatsModsList,0),7)=AQ7,INDEX(WeaponFeatsModsTable,MATCH(AQ18,WeaponFeatsModsList,0),7)=""),INDEX(WeaponFeatsModsTable,MATCH(AQ18,WeaponFeatsModsList,0),8)&lt;&gt;"Yes"),IF(COUNTIF(FeatsCharacterSheet,BX12)&gt;0,BP18+BX6,""),""),"")</f>
        <v/>
      </c>
      <c r="BY18" s="2185"/>
      <c r="BZ18" s="2185"/>
      <c r="CA18" s="2185"/>
      <c r="CB18" s="100"/>
      <c r="CC18" s="122"/>
      <c r="CD18" s="290"/>
      <c r="CE18" s="102"/>
      <c r="CF18" s="1883"/>
      <c r="CG18" s="1883"/>
      <c r="CH18" s="1883"/>
      <c r="CI18" s="1883"/>
      <c r="CJ18" s="1883"/>
      <c r="CK18" s="1883"/>
      <c r="CL18" s="1883"/>
      <c r="CM18" s="1883"/>
      <c r="CN18" s="1883"/>
      <c r="CO18" s="2207" t="str">
        <f>IF(AQ18&lt;&gt;"",IF(OR(INDEX(WeaponFeatsModsTable,MATCH(AQ18,WeaponFeatsModsList,0),7)=AQ7,INDEX(WeaponFeatsModsTable,MATCH(AQ18,WeaponFeatsModsList,0),7)=""),Weapons!E$78+INDEX(WeaponFeatsModsTable,MATCH(AQ18,WeaponFeatsModsList,0),5)&amp;"d"&amp;Weapons!E$79&amp;Weapons!E$123&amp;"+"&amp;Weapons!E$116+DH18+IF(AND(LEFT(AQ18,12)="Power Attack",AQ9="Two-Handed",AQ7="Melee"),INDEX(WeaponFeatsModsTable,MATCH(AQ18,WeaponFeatsModsList,0),4),INDEX(WeaponFeatsModsTable,MATCH(AQ18,WeaponFeatsModsList,0),3)),""),"")</f>
        <v/>
      </c>
      <c r="CP18" s="2207"/>
      <c r="CQ18" s="2207"/>
      <c r="CR18" s="2207"/>
      <c r="CS18" s="2207"/>
      <c r="CT18" s="2207"/>
      <c r="CU18" s="2207"/>
      <c r="CV18" s="2207"/>
      <c r="CW18" s="2207"/>
      <c r="CX18" s="2207"/>
      <c r="CY18" s="2207"/>
      <c r="CZ18" s="2207"/>
      <c r="DA18" s="2207"/>
      <c r="DB18" s="2207"/>
      <c r="DC18" s="2207"/>
      <c r="DD18" s="2207"/>
      <c r="DE18" s="2207"/>
      <c r="DF18" s="2207"/>
      <c r="DG18" s="656"/>
      <c r="DH18" s="974">
        <f>IF(AND(COUNTIF(Weapons!E$56:E$60,"Pulse Charger"),AQ7="Ranged"),INDEX(WeaponFeatsModsTable,MATCH(AQ18,WeaponFeatsModsList,0),5),0)</f>
        <v>0</v>
      </c>
      <c r="DI18" s="597"/>
      <c r="DJ18" s="597"/>
      <c r="DK18" s="968"/>
      <c r="DL18" s="118"/>
      <c r="FL18" s="1020" t="str">
        <f>IF(AND(AQ18&lt;&gt;"",BP18&lt;&gt;""),AQ7&amp;" "&amp;LOWER(J9)&amp;" "&amp;IF(BP18&lt;0,"","+")&amp;BP18&amp;" ("&amp;CO18&amp;IF(Weapons!E$82&lt;&gt;"20","/"&amp;Weapons!E$82,"")&amp;IF(Weapons!E$83&lt;&gt;2,"/×"&amp;Weapons!E$83,"")&amp;") with "&amp;AQ18,"")</f>
        <v/>
      </c>
      <c r="FM18" s="1019" t="str">
        <f t="shared" si="0"/>
        <v/>
      </c>
    </row>
    <row r="19" spans="2:170" ht="9" customHeight="1" thickTop="1">
      <c r="C19" s="112"/>
      <c r="D19" s="2183"/>
      <c r="E19" s="2184"/>
      <c r="F19" s="2184"/>
      <c r="G19" s="102"/>
      <c r="H19" s="2138"/>
      <c r="I19" s="2138"/>
      <c r="J19" s="2138"/>
      <c r="K19" s="2138"/>
      <c r="L19" s="2187" t="str">
        <f>Weapons!E$23</f>
        <v/>
      </c>
      <c r="M19" s="2187"/>
      <c r="N19" s="2187"/>
      <c r="O19" s="2187"/>
      <c r="P19" s="2187"/>
      <c r="Q19" s="2187"/>
      <c r="R19" s="2187"/>
      <c r="S19" s="2187"/>
      <c r="T19" s="2187"/>
      <c r="U19" s="2187"/>
      <c r="V19" s="100"/>
      <c r="W19" s="698"/>
      <c r="Y19" s="102"/>
      <c r="Z19" s="2138"/>
      <c r="AA19" s="2138"/>
      <c r="AB19" s="2138"/>
      <c r="AC19" s="2138"/>
      <c r="AD19" s="2187" t="str">
        <f>IF(J9="","",IF(Weapons!H$22&lt;&gt;"",Weapons!E22,Weapons!E$82&amp;"/×"&amp;Weapons!E$83))</f>
        <v/>
      </c>
      <c r="AE19" s="2187"/>
      <c r="AF19" s="2187"/>
      <c r="AG19" s="2187"/>
      <c r="AH19" s="2187"/>
      <c r="AI19" s="2187"/>
      <c r="AJ19" s="2187"/>
      <c r="AK19" s="2187"/>
      <c r="AL19" s="2187"/>
      <c r="AM19" s="100"/>
      <c r="AO19" s="686"/>
      <c r="AP19" s="647"/>
      <c r="AQ19" s="2191"/>
      <c r="AR19" s="2191"/>
      <c r="AS19" s="2191"/>
      <c r="AT19" s="2191"/>
      <c r="AU19" s="2191"/>
      <c r="AV19" s="2191"/>
      <c r="AW19" s="2191"/>
      <c r="AX19" s="2191"/>
      <c r="AY19" s="2191"/>
      <c r="AZ19" s="2191"/>
      <c r="BA19" s="2191"/>
      <c r="BB19" s="2191"/>
      <c r="BC19" s="2191"/>
      <c r="BD19" s="2191"/>
      <c r="BE19" s="2191"/>
      <c r="BF19" s="2191"/>
      <c r="BG19" s="2191"/>
      <c r="BH19" s="2191"/>
      <c r="BI19" s="2191"/>
      <c r="BJ19" s="2191"/>
      <c r="BK19" s="2191"/>
      <c r="BL19" s="100"/>
      <c r="BM19" s="111"/>
      <c r="BN19" s="111"/>
      <c r="BO19" s="647"/>
      <c r="BP19" s="2185"/>
      <c r="BQ19" s="2185"/>
      <c r="BR19" s="2185"/>
      <c r="BS19" s="2185"/>
      <c r="BT19" s="2200"/>
      <c r="BU19" s="2185"/>
      <c r="BV19" s="2185"/>
      <c r="BW19" s="2201"/>
      <c r="BX19" s="2185"/>
      <c r="BY19" s="2185"/>
      <c r="BZ19" s="2185"/>
      <c r="CA19" s="2185"/>
      <c r="CB19" s="100"/>
      <c r="CC19" s="111"/>
      <c r="CD19" s="111"/>
      <c r="CE19" s="102"/>
      <c r="CF19" s="1883"/>
      <c r="CG19" s="1883"/>
      <c r="CH19" s="1883"/>
      <c r="CI19" s="1883"/>
      <c r="CJ19" s="1883"/>
      <c r="CK19" s="1883"/>
      <c r="CL19" s="1883"/>
      <c r="CM19" s="1883"/>
      <c r="CN19" s="1883"/>
      <c r="CO19" s="2207"/>
      <c r="CP19" s="2207"/>
      <c r="CQ19" s="2207"/>
      <c r="CR19" s="2207"/>
      <c r="CS19" s="2207"/>
      <c r="CT19" s="2207"/>
      <c r="CU19" s="2207"/>
      <c r="CV19" s="2207"/>
      <c r="CW19" s="2207"/>
      <c r="CX19" s="2207"/>
      <c r="CY19" s="2207"/>
      <c r="CZ19" s="2207"/>
      <c r="DA19" s="2207"/>
      <c r="DB19" s="2207"/>
      <c r="DC19" s="2207"/>
      <c r="DD19" s="2207"/>
      <c r="DE19" s="2207"/>
      <c r="DF19" s="2207"/>
      <c r="DG19" s="656"/>
      <c r="DH19" s="975"/>
      <c r="DI19" s="597"/>
      <c r="DJ19" s="597"/>
      <c r="DK19" s="968"/>
      <c r="DL19" s="118"/>
      <c r="FL19" s="1020" t="str">
        <f>IF(AND(AQ18&lt;&gt;"",BT18&lt;&gt;""),IF(BT12&lt;&gt;"",AQ7&amp;" "&amp;LOWER(J9)&amp;" "&amp;IF($BT18&lt;0,BT18&amp;"/"&amp;BT18,"+"&amp;BT18&amp;"/+"&amp;BT18)&amp;" ("&amp;$CO18&amp;IF(Weapons!E$82&lt;&gt;"20","/"&amp;Weapons!E$82,"")&amp;IF(Weapons!E$83&lt;&gt;2,"/×"&amp;Weapons!E$83,"")&amp;") with Double Attack and "&amp;AQ18,""),"")</f>
        <v/>
      </c>
      <c r="FM19" s="1019" t="str">
        <f t="shared" si="0"/>
        <v/>
      </c>
    </row>
    <row r="20" spans="2:170" ht="9" customHeight="1">
      <c r="C20" s="112"/>
      <c r="D20" s="2183"/>
      <c r="E20" s="2184"/>
      <c r="F20" s="2184"/>
      <c r="G20" s="102"/>
      <c r="H20" s="687"/>
      <c r="I20" s="687"/>
      <c r="J20" s="687"/>
      <c r="K20" s="687"/>
      <c r="L20" s="2187"/>
      <c r="M20" s="2187"/>
      <c r="N20" s="2187"/>
      <c r="O20" s="2187"/>
      <c r="P20" s="2187"/>
      <c r="Q20" s="2187"/>
      <c r="R20" s="2187"/>
      <c r="S20" s="2187"/>
      <c r="T20" s="2187"/>
      <c r="U20" s="2187"/>
      <c r="V20" s="100"/>
      <c r="W20" s="698"/>
      <c r="Y20" s="102"/>
      <c r="Z20" s="699"/>
      <c r="AA20" s="699"/>
      <c r="AB20" s="699"/>
      <c r="AC20" s="699"/>
      <c r="AD20" s="2187"/>
      <c r="AE20" s="2187"/>
      <c r="AF20" s="2187"/>
      <c r="AG20" s="2187"/>
      <c r="AH20" s="2187"/>
      <c r="AI20" s="2187"/>
      <c r="AJ20" s="2187"/>
      <c r="AK20" s="2187"/>
      <c r="AL20" s="2187"/>
      <c r="AM20" s="100"/>
      <c r="AO20" s="686"/>
      <c r="AP20" s="647"/>
      <c r="AQ20" s="2192"/>
      <c r="AR20" s="2192"/>
      <c r="AS20" s="2192"/>
      <c r="AT20" s="2192"/>
      <c r="AU20" s="2192"/>
      <c r="AV20" s="2192"/>
      <c r="AW20" s="2192"/>
      <c r="AX20" s="2192"/>
      <c r="AY20" s="2192"/>
      <c r="AZ20" s="2192"/>
      <c r="BA20" s="2192"/>
      <c r="BB20" s="2192"/>
      <c r="BC20" s="2192"/>
      <c r="BD20" s="2192"/>
      <c r="BE20" s="2192"/>
      <c r="BF20" s="2192"/>
      <c r="BG20" s="2192"/>
      <c r="BH20" s="2192"/>
      <c r="BI20" s="2192"/>
      <c r="BJ20" s="2192"/>
      <c r="BK20" s="2192"/>
      <c r="BL20" s="698"/>
      <c r="BM20" s="647"/>
      <c r="BN20" s="701"/>
      <c r="BO20" s="102"/>
      <c r="BP20" s="2185"/>
      <c r="BQ20" s="2185"/>
      <c r="BR20" s="2185"/>
      <c r="BS20" s="2185"/>
      <c r="BT20" s="2200"/>
      <c r="BU20" s="2185"/>
      <c r="BV20" s="2185"/>
      <c r="BW20" s="2201"/>
      <c r="BX20" s="2185"/>
      <c r="BY20" s="2185"/>
      <c r="BZ20" s="2185"/>
      <c r="CA20" s="2185"/>
      <c r="CB20" s="701"/>
      <c r="CC20" s="102"/>
      <c r="CD20" s="701"/>
      <c r="CE20" s="102"/>
      <c r="CF20" s="698"/>
      <c r="CG20" s="698"/>
      <c r="CH20" s="698"/>
      <c r="CI20" s="698"/>
      <c r="CJ20" s="698"/>
      <c r="CK20" s="698"/>
      <c r="CL20" s="698"/>
      <c r="CM20" s="698"/>
      <c r="CN20" s="698"/>
      <c r="CO20" s="2207"/>
      <c r="CP20" s="2207"/>
      <c r="CQ20" s="2207"/>
      <c r="CR20" s="2207"/>
      <c r="CS20" s="2207"/>
      <c r="CT20" s="2207"/>
      <c r="CU20" s="2207"/>
      <c r="CV20" s="2207"/>
      <c r="CW20" s="2207"/>
      <c r="CX20" s="2207"/>
      <c r="CY20" s="2207"/>
      <c r="CZ20" s="2207"/>
      <c r="DA20" s="2207"/>
      <c r="DB20" s="2207"/>
      <c r="DC20" s="2207"/>
      <c r="DD20" s="2207"/>
      <c r="DE20" s="2207"/>
      <c r="DF20" s="2207"/>
      <c r="DG20" s="656"/>
      <c r="DH20" s="975"/>
      <c r="DI20" s="597"/>
      <c r="DJ20" s="597"/>
      <c r="DK20" s="968"/>
      <c r="DL20" s="118"/>
      <c r="FL20" s="1020" t="str">
        <f>IF(AND(AQ18&lt;&gt;"",BX18&lt;&gt;""),IF(BX12&lt;&gt;"",AQ7&amp;" "&amp;LOWER(J9)&amp;" "&amp;IF($BX18&lt;0,$BX18&amp;"/"&amp;$BX18&amp;"/"&amp;$BX18,"+"&amp;$BX18&amp;"/+"&amp;$BX18&amp;"/+"&amp;$BX18)&amp;" ("&amp;$CO18&amp;IF(Weapons!E$82&lt;&gt;"20","/"&amp;Weapons!E$82,"")&amp;IF(Weapons!E$83&lt;&gt;2,"/×"&amp;Weapons!E$83,"")&amp;") with Triple Attack and "&amp;AQ18,""),"")</f>
        <v/>
      </c>
      <c r="FM20" s="1019" t="str">
        <f t="shared" si="0"/>
        <v/>
      </c>
      <c r="FN20" s="1019"/>
    </row>
    <row r="21" spans="2:170" ht="9" customHeight="1" thickBot="1">
      <c r="B21" s="698"/>
      <c r="C21" s="112"/>
      <c r="D21" s="2183"/>
      <c r="E21" s="2184"/>
      <c r="F21" s="2184"/>
      <c r="G21" s="91"/>
      <c r="H21" s="688"/>
      <c r="I21" s="688"/>
      <c r="J21" s="688"/>
      <c r="K21" s="688"/>
      <c r="L21" s="2188"/>
      <c r="M21" s="2188"/>
      <c r="N21" s="2188"/>
      <c r="O21" s="2188"/>
      <c r="P21" s="2188"/>
      <c r="Q21" s="2188"/>
      <c r="R21" s="2188"/>
      <c r="S21" s="2188"/>
      <c r="T21" s="2188"/>
      <c r="U21" s="2188"/>
      <c r="V21" s="93"/>
      <c r="W21" s="698"/>
      <c r="Y21" s="91"/>
      <c r="Z21" s="700"/>
      <c r="AA21" s="700"/>
      <c r="AB21" s="700"/>
      <c r="AC21" s="700"/>
      <c r="AD21" s="2188"/>
      <c r="AE21" s="2188"/>
      <c r="AF21" s="2188"/>
      <c r="AG21" s="2188"/>
      <c r="AH21" s="2188"/>
      <c r="AI21" s="2188"/>
      <c r="AJ21" s="2188"/>
      <c r="AK21" s="2188"/>
      <c r="AL21" s="2188"/>
      <c r="AM21" s="93"/>
      <c r="AO21" s="686"/>
      <c r="AP21" s="647"/>
      <c r="AQ21" s="2191"/>
      <c r="AR21" s="2191"/>
      <c r="AS21" s="2191"/>
      <c r="AT21" s="2191"/>
      <c r="AU21" s="2191"/>
      <c r="AV21" s="2191"/>
      <c r="AW21" s="2191"/>
      <c r="AX21" s="2191"/>
      <c r="AY21" s="2191"/>
      <c r="AZ21" s="2191"/>
      <c r="BA21" s="2191"/>
      <c r="BB21" s="2191"/>
      <c r="BC21" s="2191"/>
      <c r="BD21" s="2191"/>
      <c r="BE21" s="2191"/>
      <c r="BF21" s="2191"/>
      <c r="BG21" s="2191"/>
      <c r="BH21" s="2191"/>
      <c r="BI21" s="2191"/>
      <c r="BJ21" s="2191"/>
      <c r="BK21" s="2191"/>
      <c r="BL21" s="100"/>
      <c r="BM21" s="122"/>
      <c r="BN21" s="290"/>
      <c r="BO21" s="102"/>
      <c r="BP21" s="2185" t="str">
        <f>IF(AQ21&lt;&gt;"",IF(OR(INDEX(WeaponFeatsModsTable,MATCH(AQ21,WeaponFeatsModsList,0),7)=AQ7,INDEX(WeaponFeatsModsTable,MATCH(AQ21,WeaponFeatsModsList,0),7)=""),INDEX(WeaponFeatsModsTable,MATCH(AQ21,WeaponFeatsModsList,0),2)+BP9,""),"")</f>
        <v/>
      </c>
      <c r="BQ21" s="2185"/>
      <c r="BR21" s="2185"/>
      <c r="BS21" s="2185"/>
      <c r="BT21" s="2200" t="str">
        <f>IF(BP21&lt;&gt;"",IF(AND(OR(INDEX(WeaponFeatsModsTable,MATCH(AQ21,WeaponFeatsModsList,0),7)=AQ7,INDEX(WeaponFeatsModsTable,MATCH(AQ21,WeaponFeatsModsList,0),7)=""),INDEX(WeaponFeatsModsTable,MATCH(AQ21,WeaponFeatsModsList,0),8)&lt;&gt;"Yes"),IF(COUNTIF(FeatsCharacterSheet,BT12)&gt;0,BP21+BT6,""),""),"")</f>
        <v/>
      </c>
      <c r="BU21" s="2185"/>
      <c r="BV21" s="2185"/>
      <c r="BW21" s="2201"/>
      <c r="BX21" s="2185" t="str">
        <f>IF(BP21&lt;&gt;"",IF(AND(OR(INDEX(WeaponFeatsModsTable,MATCH(AQ21,WeaponFeatsModsList,0),7)=AQ7,INDEX(WeaponFeatsModsTable,MATCH(AQ21,WeaponFeatsModsList,0),7)=""),INDEX(WeaponFeatsModsTable,MATCH(AQ21,WeaponFeatsModsList,0),8)&lt;&gt;"Yes"),IF(COUNTIF(FeatsCharacterSheet,BX12)&gt;0,BP21+BX6,""),""),"")</f>
        <v/>
      </c>
      <c r="BY21" s="2185"/>
      <c r="BZ21" s="2185"/>
      <c r="CA21" s="2185"/>
      <c r="CB21" s="100"/>
      <c r="CC21" s="122"/>
      <c r="CD21" s="290"/>
      <c r="CE21" s="102"/>
      <c r="CF21" s="1883"/>
      <c r="CG21" s="1883"/>
      <c r="CH21" s="1883"/>
      <c r="CI21" s="1883"/>
      <c r="CJ21" s="1883"/>
      <c r="CK21" s="1883"/>
      <c r="CL21" s="1883"/>
      <c r="CM21" s="1883"/>
      <c r="CN21" s="1883"/>
      <c r="CO21" s="2207" t="str">
        <f>IF(AQ21&lt;&gt;"",IF(OR(INDEX(WeaponFeatsModsTable,MATCH(AQ21,WeaponFeatsModsList,0),7)=AQ7,INDEX(WeaponFeatsModsTable,MATCH(AQ21,WeaponFeatsModsList,0),7)=""),Weapons!E$78+INDEX(WeaponFeatsModsTable,MATCH(AQ21,WeaponFeatsModsList,0),5)&amp;"d"&amp;Weapons!E$79&amp;Weapons!E$123&amp;"+"&amp;Weapons!E$116+DH21+IF(AND(LEFT(AQ21,12)="Power Attack",AQ9="Two-Handed",AQ7="Melee"),INDEX(WeaponFeatsModsTable,MATCH(AQ21,WeaponFeatsModsList,0),4),INDEX(WeaponFeatsModsTable,MATCH(AQ21,WeaponFeatsModsList,0),3)),""),"")</f>
        <v/>
      </c>
      <c r="CP21" s="2207"/>
      <c r="CQ21" s="2207"/>
      <c r="CR21" s="2207"/>
      <c r="CS21" s="2207"/>
      <c r="CT21" s="2207"/>
      <c r="CU21" s="2207"/>
      <c r="CV21" s="2207"/>
      <c r="CW21" s="2207"/>
      <c r="CX21" s="2207"/>
      <c r="CY21" s="2207"/>
      <c r="CZ21" s="2207"/>
      <c r="DA21" s="2207"/>
      <c r="DB21" s="2207"/>
      <c r="DC21" s="2207"/>
      <c r="DD21" s="2207"/>
      <c r="DE21" s="2207"/>
      <c r="DF21" s="2207"/>
      <c r="DG21" s="656"/>
      <c r="DH21" s="974">
        <f>IF(AND(COUNTIF(Weapons!E$56:E$60,"Pulse Charger"),AQ7="Ranged"),INDEX(WeaponFeatsModsTable,MATCH(AQ21,WeaponFeatsModsList,0),5),0)</f>
        <v>0</v>
      </c>
      <c r="DK21" s="112"/>
      <c r="DL21" s="118"/>
      <c r="FL21" s="1020" t="str">
        <f>IF(AND(AQ21&lt;&gt;"",BP21&lt;&gt;""),AQ7&amp;" "&amp;LOWER(J9)&amp;" "&amp;IF(BP21&lt;0,"","+")&amp;BP21&amp;" ("&amp;CO21&amp;IF(Weapons!E$82&lt;&gt;"20","/"&amp;Weapons!E$82,"")&amp;IF(Weapons!E$83&lt;&gt;2,"/×"&amp;Weapons!E$83,"")&amp;") with "&amp;AQ21,"")</f>
        <v/>
      </c>
      <c r="FM21" s="1019" t="str">
        <f t="shared" si="0"/>
        <v/>
      </c>
      <c r="FN21" s="1019"/>
    </row>
    <row r="22" spans="2:170" ht="9" customHeight="1" thickTop="1" thickBot="1">
      <c r="B22" s="698"/>
      <c r="C22" s="112"/>
      <c r="D22" s="2183"/>
      <c r="E22" s="2184"/>
      <c r="F22" s="2184"/>
      <c r="G22" s="118"/>
      <c r="H22" s="118"/>
      <c r="I22" s="105"/>
      <c r="J22" s="685"/>
      <c r="K22" s="685"/>
      <c r="L22" s="685"/>
      <c r="M22" s="685"/>
      <c r="N22" s="653"/>
      <c r="O22" s="653"/>
      <c r="P22" s="653"/>
      <c r="Q22" s="653"/>
      <c r="R22" s="653"/>
      <c r="S22" s="131"/>
      <c r="T22" s="118"/>
      <c r="U22" s="118"/>
      <c r="V22" s="105"/>
      <c r="W22" s="685"/>
      <c r="X22" s="118"/>
      <c r="Y22" s="118"/>
      <c r="Z22" s="118"/>
      <c r="AA22" s="118"/>
      <c r="AB22" s="118"/>
      <c r="AC22" s="118"/>
      <c r="AD22" s="118"/>
      <c r="AE22" s="118"/>
      <c r="AF22" s="118"/>
      <c r="AG22" s="118"/>
      <c r="AH22" s="118"/>
      <c r="AI22" s="118"/>
      <c r="AJ22" s="118"/>
      <c r="AK22" s="118"/>
      <c r="AL22" s="118"/>
      <c r="AM22" s="118"/>
      <c r="AN22" s="118"/>
      <c r="AO22" s="686"/>
      <c r="AP22" s="647"/>
      <c r="AQ22" s="2191"/>
      <c r="AR22" s="2191"/>
      <c r="AS22" s="2191"/>
      <c r="AT22" s="2191"/>
      <c r="AU22" s="2191"/>
      <c r="AV22" s="2191"/>
      <c r="AW22" s="2191"/>
      <c r="AX22" s="2191"/>
      <c r="AY22" s="2191"/>
      <c r="AZ22" s="2191"/>
      <c r="BA22" s="2191"/>
      <c r="BB22" s="2191"/>
      <c r="BC22" s="2191"/>
      <c r="BD22" s="2191"/>
      <c r="BE22" s="2191"/>
      <c r="BF22" s="2191"/>
      <c r="BG22" s="2191"/>
      <c r="BH22" s="2191"/>
      <c r="BI22" s="2191"/>
      <c r="BJ22" s="2191"/>
      <c r="BK22" s="2191"/>
      <c r="BL22" s="100"/>
      <c r="BM22" s="111"/>
      <c r="BN22" s="111"/>
      <c r="BO22" s="647"/>
      <c r="BP22" s="2185"/>
      <c r="BQ22" s="2185"/>
      <c r="BR22" s="2185"/>
      <c r="BS22" s="2185"/>
      <c r="BT22" s="2200"/>
      <c r="BU22" s="2185"/>
      <c r="BV22" s="2185"/>
      <c r="BW22" s="2201"/>
      <c r="BX22" s="2185"/>
      <c r="BY22" s="2185"/>
      <c r="BZ22" s="2185"/>
      <c r="CA22" s="2185"/>
      <c r="CB22" s="100"/>
      <c r="CC22" s="111"/>
      <c r="CD22" s="111"/>
      <c r="CE22" s="102"/>
      <c r="CF22" s="1883"/>
      <c r="CG22" s="1883"/>
      <c r="CH22" s="1883"/>
      <c r="CI22" s="1883"/>
      <c r="CJ22" s="1883"/>
      <c r="CK22" s="1883"/>
      <c r="CL22" s="1883"/>
      <c r="CM22" s="1883"/>
      <c r="CN22" s="1883"/>
      <c r="CO22" s="2207"/>
      <c r="CP22" s="2207"/>
      <c r="CQ22" s="2207"/>
      <c r="CR22" s="2207"/>
      <c r="CS22" s="2207"/>
      <c r="CT22" s="2207"/>
      <c r="CU22" s="2207"/>
      <c r="CV22" s="2207"/>
      <c r="CW22" s="2207"/>
      <c r="CX22" s="2207"/>
      <c r="CY22" s="2207"/>
      <c r="CZ22" s="2207"/>
      <c r="DA22" s="2207"/>
      <c r="DB22" s="2207"/>
      <c r="DC22" s="2207"/>
      <c r="DD22" s="2207"/>
      <c r="DE22" s="2207"/>
      <c r="DF22" s="2207"/>
      <c r="DG22" s="656"/>
      <c r="DK22" s="112"/>
      <c r="DL22" s="118"/>
      <c r="FL22" s="1020" t="str">
        <f>IF(AND(AQ21&lt;&gt;"",BT21&lt;&gt;""),IF(BT12&lt;&gt;"",AQ7&amp;" "&amp;LOWER(J9)&amp;" "&amp;IF($BT21&lt;0,BT21&amp;"/"&amp;BT21,"+"&amp;BT21&amp;"/+"&amp;BT21)&amp;" ("&amp;$CO21&amp;IF(Weapons!E$82&lt;&gt;"20","/"&amp;Weapons!E$82,"")&amp;IF(Weapons!E$83&lt;&gt;2,"/×"&amp;Weapons!E$83,"")&amp;") with Double Attack and "&amp;AQ21,""),"")</f>
        <v/>
      </c>
      <c r="FM22" s="1019" t="str">
        <f t="shared" si="0"/>
        <v/>
      </c>
      <c r="FN22" s="1019"/>
    </row>
    <row r="23" spans="2:170" ht="9" customHeight="1" thickTop="1">
      <c r="B23" s="698"/>
      <c r="C23" s="112"/>
      <c r="D23" s="2183"/>
      <c r="E23" s="2184"/>
      <c r="F23" s="2184"/>
      <c r="G23" s="93"/>
      <c r="H23" s="2182" t="str">
        <f>IF(AG24&lt;&gt;"","AMMO","POWER")</f>
        <v>POWER</v>
      </c>
      <c r="I23" s="2182"/>
      <c r="J23" s="2182"/>
      <c r="K23" s="2182"/>
      <c r="L23" s="2182"/>
      <c r="M23" s="2182"/>
      <c r="N23" s="295"/>
      <c r="O23" s="295"/>
      <c r="P23" s="295"/>
      <c r="Q23" s="295"/>
      <c r="R23" s="295"/>
      <c r="S23" s="295"/>
      <c r="T23" s="295"/>
      <c r="U23" s="295"/>
      <c r="V23" s="295"/>
      <c r="W23" s="295"/>
      <c r="X23" s="295"/>
      <c r="Y23" s="295"/>
      <c r="Z23" s="295"/>
      <c r="AA23" s="295"/>
      <c r="AB23" s="295"/>
      <c r="AC23" s="295"/>
      <c r="AD23" s="295"/>
      <c r="AE23" s="295"/>
      <c r="AF23" s="295"/>
      <c r="AG23" s="295"/>
      <c r="AH23" s="295"/>
      <c r="AI23" s="295"/>
      <c r="AJ23" s="295"/>
      <c r="AK23" s="295"/>
      <c r="AL23" s="295"/>
      <c r="AM23" s="113"/>
      <c r="AN23" s="698"/>
      <c r="AO23" s="686"/>
      <c r="AP23" s="647"/>
      <c r="AQ23" s="2192"/>
      <c r="AR23" s="2192"/>
      <c r="AS23" s="2192"/>
      <c r="AT23" s="2192"/>
      <c r="AU23" s="2192"/>
      <c r="AV23" s="2192"/>
      <c r="AW23" s="2192"/>
      <c r="AX23" s="2192"/>
      <c r="AY23" s="2192"/>
      <c r="AZ23" s="2192"/>
      <c r="BA23" s="2192"/>
      <c r="BB23" s="2192"/>
      <c r="BC23" s="2192"/>
      <c r="BD23" s="2192"/>
      <c r="BE23" s="2192"/>
      <c r="BF23" s="2192"/>
      <c r="BG23" s="2192"/>
      <c r="BH23" s="2192"/>
      <c r="BI23" s="2192"/>
      <c r="BJ23" s="2192"/>
      <c r="BK23" s="2192"/>
      <c r="BL23" s="698"/>
      <c r="BM23" s="647"/>
      <c r="BN23" s="701"/>
      <c r="BO23" s="102"/>
      <c r="BP23" s="2185"/>
      <c r="BQ23" s="2185"/>
      <c r="BR23" s="2185"/>
      <c r="BS23" s="2185"/>
      <c r="BT23" s="2200"/>
      <c r="BU23" s="2185"/>
      <c r="BV23" s="2185"/>
      <c r="BW23" s="2201"/>
      <c r="BX23" s="2185"/>
      <c r="BY23" s="2185"/>
      <c r="BZ23" s="2185"/>
      <c r="CA23" s="2185"/>
      <c r="CB23" s="701"/>
      <c r="CC23" s="102"/>
      <c r="CD23" s="701"/>
      <c r="CE23" s="102"/>
      <c r="CF23" s="698"/>
      <c r="CG23" s="698"/>
      <c r="CH23" s="698"/>
      <c r="CI23" s="698"/>
      <c r="CJ23" s="698"/>
      <c r="CK23" s="698"/>
      <c r="CL23" s="698"/>
      <c r="CM23" s="698"/>
      <c r="CN23" s="698"/>
      <c r="CO23" s="2207"/>
      <c r="CP23" s="2207"/>
      <c r="CQ23" s="2207"/>
      <c r="CR23" s="2207"/>
      <c r="CS23" s="2207"/>
      <c r="CT23" s="2207"/>
      <c r="CU23" s="2207"/>
      <c r="CV23" s="2207"/>
      <c r="CW23" s="2207"/>
      <c r="CX23" s="2207"/>
      <c r="CY23" s="2207"/>
      <c r="CZ23" s="2207"/>
      <c r="DA23" s="2207"/>
      <c r="DB23" s="2207"/>
      <c r="DC23" s="2207"/>
      <c r="DD23" s="2207"/>
      <c r="DE23" s="2207"/>
      <c r="DF23" s="2207"/>
      <c r="DG23" s="656"/>
      <c r="DK23" s="112"/>
      <c r="DL23" s="87"/>
      <c r="FL23" s="1020" t="str">
        <f>IF(AND(AQ21&lt;&gt;"",BX21&lt;&gt;""),IF(BX12&lt;&gt;"",AQ7&amp;" "&amp;LOWER(J9)&amp;" "&amp;IF($BX21&lt;0,$BX21&amp;"/"&amp;$BX21&amp;"/"&amp;$BX21,"+"&amp;$BX21&amp;"/+"&amp;$BX21&amp;"/+"&amp;$BX21)&amp;" ("&amp;$CO21&amp;IF(Weapons!E$82&lt;&gt;"20","/"&amp;Weapons!E$82,"")&amp;IF(Weapons!E$83&lt;&gt;2,"/×"&amp;Weapons!E$83,"")&amp;") with Triple Attack and "&amp;AQ21,""),"")</f>
        <v/>
      </c>
      <c r="FM23" s="1019" t="str">
        <f t="shared" si="0"/>
        <v/>
      </c>
      <c r="FN23" s="1019"/>
    </row>
    <row r="24" spans="2:170" ht="9" customHeight="1">
      <c r="B24" s="698"/>
      <c r="C24" s="112"/>
      <c r="D24" s="2183"/>
      <c r="E24" s="2184"/>
      <c r="F24" s="2184"/>
      <c r="G24" s="102"/>
      <c r="H24" s="2180"/>
      <c r="I24" s="2180"/>
      <c r="J24" s="2180"/>
      <c r="K24" s="2180"/>
      <c r="L24" s="2180"/>
      <c r="M24" s="2180"/>
      <c r="N24" s="1875" t="str">
        <f>Weapons!E$25</f>
        <v/>
      </c>
      <c r="O24" s="1875"/>
      <c r="P24" s="1875"/>
      <c r="Q24" s="1875"/>
      <c r="R24" s="1875"/>
      <c r="S24" s="1875"/>
      <c r="T24" s="1875"/>
      <c r="U24" s="1875"/>
      <c r="V24" s="1875"/>
      <c r="W24" s="1875"/>
      <c r="X24" s="1875"/>
      <c r="Y24" s="1875"/>
      <c r="Z24" s="1875"/>
      <c r="AA24" s="1875"/>
      <c r="AB24" s="1875"/>
      <c r="AC24" s="1875"/>
      <c r="AD24" s="1875"/>
      <c r="AE24" s="1875"/>
      <c r="AF24" s="1875"/>
      <c r="AG24" s="1863" t="str">
        <f>Weapons!E$26</f>
        <v/>
      </c>
      <c r="AH24" s="1863"/>
      <c r="AI24" s="1863"/>
      <c r="AJ24" s="1863"/>
      <c r="AK24" s="1863"/>
      <c r="AL24" s="1863"/>
      <c r="AM24" s="100"/>
      <c r="AN24" s="698"/>
      <c r="AP24" s="102"/>
      <c r="AQ24" s="2191"/>
      <c r="AR24" s="2191"/>
      <c r="AS24" s="2191"/>
      <c r="AT24" s="2191"/>
      <c r="AU24" s="2191"/>
      <c r="AV24" s="2191"/>
      <c r="AW24" s="2191"/>
      <c r="AX24" s="2191"/>
      <c r="AY24" s="2191"/>
      <c r="AZ24" s="2191"/>
      <c r="BA24" s="2191"/>
      <c r="BB24" s="2191"/>
      <c r="BC24" s="2191"/>
      <c r="BD24" s="2191"/>
      <c r="BE24" s="2191"/>
      <c r="BF24" s="2191"/>
      <c r="BG24" s="2191"/>
      <c r="BH24" s="2191"/>
      <c r="BI24" s="2191"/>
      <c r="BJ24" s="2191"/>
      <c r="BK24" s="2191"/>
      <c r="BL24" s="698"/>
      <c r="BM24" s="647"/>
      <c r="BN24" s="698"/>
      <c r="BO24" s="102"/>
      <c r="BP24" s="2185" t="str">
        <f>IF(AQ24&lt;&gt;"",IF(OR(INDEX(WeaponFeatsModsTable,MATCH(AQ24,WeaponFeatsModsList,0),7)=AQ7,INDEX(WeaponFeatsModsTable,MATCH(AQ24,WeaponFeatsModsList,0),7)=""),INDEX(WeaponFeatsModsTable,MATCH(AQ24,WeaponFeatsModsList,0),2)+BP9,""),"")</f>
        <v/>
      </c>
      <c r="BQ24" s="2185"/>
      <c r="BR24" s="2185"/>
      <c r="BS24" s="2185"/>
      <c r="BT24" s="2200" t="str">
        <f>IF(BP24&lt;&gt;"",IF(AND(OR(INDEX(WeaponFeatsModsTable,MATCH(AQ24,WeaponFeatsModsList,0),7)=AQ7,INDEX(WeaponFeatsModsTable,MATCH(AQ24,WeaponFeatsModsList,0),7)=""),INDEX(WeaponFeatsModsTable,MATCH(AQ24,WeaponFeatsModsList,0),8)&lt;&gt;"Yes"),IF(COUNTIF(FeatsCharacterSheet,BT12)&gt;0,BP24+BT6,""),""),"")</f>
        <v/>
      </c>
      <c r="BU24" s="2185"/>
      <c r="BV24" s="2185"/>
      <c r="BW24" s="2201"/>
      <c r="BX24" s="2185" t="str">
        <f>IF(BP24&lt;&gt;"",IF(AND(OR(INDEX(WeaponFeatsModsTable,MATCH(AQ24,WeaponFeatsModsList,0),7)=AQ7,INDEX(WeaponFeatsModsTable,MATCH(AQ24,WeaponFeatsModsList,0),7)=""),INDEX(WeaponFeatsModsTable,MATCH(AQ24,WeaponFeatsModsList,0),8)&lt;&gt;"Yes"),IF(COUNTIF(FeatsCharacterSheet,BX12)&gt;0,BP24+BX6,""),""),"")</f>
        <v/>
      </c>
      <c r="BY24" s="2185"/>
      <c r="BZ24" s="2185"/>
      <c r="CA24" s="2185"/>
      <c r="CB24" s="100"/>
      <c r="CC24" s="698"/>
      <c r="CD24" s="701"/>
      <c r="CE24" s="102"/>
      <c r="CF24" s="2209"/>
      <c r="CG24" s="2209"/>
      <c r="CH24" s="2209"/>
      <c r="CI24" s="2209"/>
      <c r="CJ24" s="2209"/>
      <c r="CK24" s="2209"/>
      <c r="CL24" s="2209"/>
      <c r="CM24" s="2209"/>
      <c r="CN24" s="2209"/>
      <c r="CO24" s="2207" t="str">
        <f>IF(AQ24&lt;&gt;"",IF(OR(INDEX(WeaponFeatsModsTable,MATCH(AQ24,WeaponFeatsModsList,0),7)=AQ7,INDEX(WeaponFeatsModsTable,MATCH(AQ24,WeaponFeatsModsList,0),7)=""),Weapons!E$78+INDEX(WeaponFeatsModsTable,MATCH(AQ24,WeaponFeatsModsList,0),5)&amp;"d"&amp;Weapons!E$79&amp;Weapons!E$123&amp;"+"&amp;Weapons!E$116+DH24+IF(AND(LEFT(AQ24,12)="Power Attack",AQ9="Two-Handed",AQ7="Melee"),INDEX(WeaponFeatsModsTable,MATCH(AQ24,WeaponFeatsModsList,0),4),INDEX(WeaponFeatsModsTable,MATCH(AQ24,WeaponFeatsModsList,0),3)),""),"")</f>
        <v/>
      </c>
      <c r="CP24" s="2207"/>
      <c r="CQ24" s="2207"/>
      <c r="CR24" s="2207"/>
      <c r="CS24" s="2207"/>
      <c r="CT24" s="2207"/>
      <c r="CU24" s="2207"/>
      <c r="CV24" s="2207"/>
      <c r="CW24" s="2207"/>
      <c r="CX24" s="2207"/>
      <c r="CY24" s="2207"/>
      <c r="CZ24" s="2207"/>
      <c r="DA24" s="2207"/>
      <c r="DB24" s="2207"/>
      <c r="DC24" s="2207"/>
      <c r="DD24" s="2207"/>
      <c r="DE24" s="2207"/>
      <c r="DF24" s="2207"/>
      <c r="DG24" s="656"/>
      <c r="DH24" s="974">
        <f>IF(AND(COUNTIF(Weapons!E$56:E$60,"Pulse Charger"),AQ7="Ranged"),INDEX(WeaponFeatsModsTable,MATCH(AQ24,WeaponFeatsModsList,0),5),0)</f>
        <v>0</v>
      </c>
      <c r="DK24" s="112"/>
      <c r="DL24" s="109"/>
      <c r="FL24" s="1020" t="str">
        <f>IF(AND(AQ24&lt;&gt;"",BP24&lt;&gt;""),AQ7&amp;" "&amp;LOWER(J9)&amp;" "&amp;IF(BP24&lt;0,"","+")&amp;BP24&amp;" ("&amp;CO24&amp;IF(Weapons!E$82&lt;&gt;"20","/"&amp;Weapons!E$82,"")&amp;IF(Weapons!E$83&lt;&gt;2,"/×"&amp;Weapons!E$83,"")&amp;") with "&amp;AQ24,"")</f>
        <v/>
      </c>
      <c r="FM24" s="1019" t="str">
        <f t="shared" si="0"/>
        <v/>
      </c>
      <c r="FN24" s="1019"/>
    </row>
    <row r="25" spans="2:170" ht="9" customHeight="1">
      <c r="B25" s="698"/>
      <c r="C25" s="112"/>
      <c r="D25" s="2183"/>
      <c r="E25" s="2184"/>
      <c r="F25" s="2184"/>
      <c r="G25" s="102"/>
      <c r="H25" s="687"/>
      <c r="I25" s="687"/>
      <c r="J25" s="687"/>
      <c r="K25" s="687"/>
      <c r="L25" s="687"/>
      <c r="M25" s="687"/>
      <c r="N25" s="1875"/>
      <c r="O25" s="1875"/>
      <c r="P25" s="1875"/>
      <c r="Q25" s="1875"/>
      <c r="R25" s="1875"/>
      <c r="S25" s="1875"/>
      <c r="T25" s="1875"/>
      <c r="U25" s="1875"/>
      <c r="V25" s="1875"/>
      <c r="W25" s="1875"/>
      <c r="X25" s="1875"/>
      <c r="Y25" s="1875"/>
      <c r="Z25" s="1875"/>
      <c r="AA25" s="1875"/>
      <c r="AB25" s="1875"/>
      <c r="AC25" s="1875"/>
      <c r="AD25" s="1875"/>
      <c r="AE25" s="1875"/>
      <c r="AF25" s="1875"/>
      <c r="AG25" s="1863"/>
      <c r="AH25" s="1863"/>
      <c r="AI25" s="1863"/>
      <c r="AJ25" s="1863"/>
      <c r="AK25" s="1863"/>
      <c r="AL25" s="1863"/>
      <c r="AM25" s="100"/>
      <c r="AN25" s="698"/>
      <c r="AP25" s="647"/>
      <c r="AQ25" s="2191"/>
      <c r="AR25" s="2191"/>
      <c r="AS25" s="2191"/>
      <c r="AT25" s="2191"/>
      <c r="AU25" s="2191"/>
      <c r="AV25" s="2191"/>
      <c r="AW25" s="2191"/>
      <c r="AX25" s="2191"/>
      <c r="AY25" s="2191"/>
      <c r="AZ25" s="2191"/>
      <c r="BA25" s="2191"/>
      <c r="BB25" s="2191"/>
      <c r="BC25" s="2191"/>
      <c r="BD25" s="2191"/>
      <c r="BE25" s="2191"/>
      <c r="BF25" s="2191"/>
      <c r="BG25" s="2191"/>
      <c r="BH25" s="2191"/>
      <c r="BI25" s="2191"/>
      <c r="BJ25" s="2191"/>
      <c r="BK25" s="2191"/>
      <c r="BL25" s="100"/>
      <c r="BM25" s="698"/>
      <c r="BN25" s="698"/>
      <c r="BO25" s="647"/>
      <c r="BP25" s="2185"/>
      <c r="BQ25" s="2185"/>
      <c r="BR25" s="2185"/>
      <c r="BS25" s="2185"/>
      <c r="BT25" s="2200"/>
      <c r="BU25" s="2185"/>
      <c r="BV25" s="2185"/>
      <c r="BW25" s="2201"/>
      <c r="BX25" s="2185"/>
      <c r="BY25" s="2185"/>
      <c r="BZ25" s="2185"/>
      <c r="CA25" s="2185"/>
      <c r="CB25" s="100"/>
      <c r="CC25" s="698"/>
      <c r="CD25" s="701"/>
      <c r="CE25" s="102"/>
      <c r="CF25" s="2209"/>
      <c r="CG25" s="2209"/>
      <c r="CH25" s="2209"/>
      <c r="CI25" s="2209"/>
      <c r="CJ25" s="2209"/>
      <c r="CK25" s="2209"/>
      <c r="CL25" s="2209"/>
      <c r="CM25" s="2209"/>
      <c r="CN25" s="2209"/>
      <c r="CO25" s="2207"/>
      <c r="CP25" s="2207"/>
      <c r="CQ25" s="2207"/>
      <c r="CR25" s="2207"/>
      <c r="CS25" s="2207"/>
      <c r="CT25" s="2207"/>
      <c r="CU25" s="2207"/>
      <c r="CV25" s="2207"/>
      <c r="CW25" s="2207"/>
      <c r="CX25" s="2207"/>
      <c r="CY25" s="2207"/>
      <c r="CZ25" s="2207"/>
      <c r="DA25" s="2207"/>
      <c r="DB25" s="2207"/>
      <c r="DC25" s="2207"/>
      <c r="DD25" s="2207"/>
      <c r="DE25" s="2207"/>
      <c r="DF25" s="2207"/>
      <c r="DG25" s="656"/>
      <c r="DK25" s="112"/>
      <c r="DL25" s="109"/>
      <c r="FL25" s="1020" t="str">
        <f>IF(AND(AQ24&lt;&gt;"",BT24&lt;&gt;""),IF(BT12&lt;&gt;"",AQ7&amp;" "&amp;LOWER(J9)&amp;" "&amp;IF($BT24&lt;0,BT24&amp;"/"&amp;BT24,"+"&amp;BT24&amp;"/+"&amp;BT24)&amp;" ("&amp;$CO24&amp;IF(Weapons!E$82&lt;&gt;"20","/"&amp;Weapons!E$82,"")&amp;IF(Weapons!E$83&lt;&gt;2,"/×"&amp;Weapons!E$83,"")&amp;") with Double Attack and "&amp;AQ24,""),"")</f>
        <v/>
      </c>
      <c r="FM25" s="1019" t="str">
        <f t="shared" si="0"/>
        <v/>
      </c>
      <c r="FN25" s="1019"/>
    </row>
    <row r="26" spans="2:170" ht="9" customHeight="1" thickBot="1">
      <c r="B26" s="698"/>
      <c r="C26" s="112"/>
      <c r="D26" s="2183"/>
      <c r="E26" s="2184"/>
      <c r="F26" s="2184"/>
      <c r="G26" s="91"/>
      <c r="H26" s="688"/>
      <c r="I26" s="688"/>
      <c r="J26" s="688"/>
      <c r="K26" s="688"/>
      <c r="L26" s="688"/>
      <c r="M26" s="688"/>
      <c r="N26" s="1876"/>
      <c r="O26" s="1876"/>
      <c r="P26" s="1876"/>
      <c r="Q26" s="1876"/>
      <c r="R26" s="1876"/>
      <c r="S26" s="1876"/>
      <c r="T26" s="1876"/>
      <c r="U26" s="1876"/>
      <c r="V26" s="1876"/>
      <c r="W26" s="1876"/>
      <c r="X26" s="1876"/>
      <c r="Y26" s="1876"/>
      <c r="Z26" s="1876"/>
      <c r="AA26" s="1876"/>
      <c r="AB26" s="1876"/>
      <c r="AC26" s="1876"/>
      <c r="AD26" s="1876"/>
      <c r="AE26" s="1876"/>
      <c r="AF26" s="1876"/>
      <c r="AG26" s="1864"/>
      <c r="AH26" s="1864"/>
      <c r="AI26" s="1864"/>
      <c r="AJ26" s="1864"/>
      <c r="AK26" s="1864"/>
      <c r="AL26" s="1864"/>
      <c r="AM26" s="93"/>
      <c r="AN26" s="698"/>
      <c r="AP26" s="649"/>
      <c r="AQ26" s="2204"/>
      <c r="AR26" s="2204"/>
      <c r="AS26" s="2204"/>
      <c r="AT26" s="2204"/>
      <c r="AU26" s="2204"/>
      <c r="AV26" s="2204"/>
      <c r="AW26" s="2204"/>
      <c r="AX26" s="2204"/>
      <c r="AY26" s="2204"/>
      <c r="AZ26" s="2204"/>
      <c r="BA26" s="2204"/>
      <c r="BB26" s="2204"/>
      <c r="BC26" s="2204"/>
      <c r="BD26" s="2204"/>
      <c r="BE26" s="2204"/>
      <c r="BF26" s="2204"/>
      <c r="BG26" s="2204"/>
      <c r="BH26" s="2204"/>
      <c r="BI26" s="2204"/>
      <c r="BJ26" s="2204"/>
      <c r="BK26" s="2204"/>
      <c r="BL26" s="93"/>
      <c r="BM26" s="698"/>
      <c r="BN26" s="698"/>
      <c r="BO26" s="649"/>
      <c r="BP26" s="2186"/>
      <c r="BQ26" s="2186"/>
      <c r="BR26" s="2186"/>
      <c r="BS26" s="2186"/>
      <c r="BT26" s="2202"/>
      <c r="BU26" s="2186"/>
      <c r="BV26" s="2186"/>
      <c r="BW26" s="2203"/>
      <c r="BX26" s="2186"/>
      <c r="BY26" s="2186"/>
      <c r="BZ26" s="2186"/>
      <c r="CA26" s="2186"/>
      <c r="CB26" s="93"/>
      <c r="CC26" s="698"/>
      <c r="CD26" s="698"/>
      <c r="CE26" s="91"/>
      <c r="CF26" s="713"/>
      <c r="CG26" s="713"/>
      <c r="CH26" s="713"/>
      <c r="CI26" s="713"/>
      <c r="CJ26" s="713"/>
      <c r="CK26" s="713"/>
      <c r="CL26" s="713"/>
      <c r="CM26" s="713"/>
      <c r="CN26" s="713"/>
      <c r="CO26" s="2218"/>
      <c r="CP26" s="2218"/>
      <c r="CQ26" s="2218"/>
      <c r="CR26" s="2218"/>
      <c r="CS26" s="2218"/>
      <c r="CT26" s="2218"/>
      <c r="CU26" s="2218"/>
      <c r="CV26" s="2218"/>
      <c r="CW26" s="2218"/>
      <c r="CX26" s="2218"/>
      <c r="CY26" s="2218"/>
      <c r="CZ26" s="2218"/>
      <c r="DA26" s="2218"/>
      <c r="DB26" s="2218"/>
      <c r="DC26" s="2218"/>
      <c r="DD26" s="2218"/>
      <c r="DE26" s="2218"/>
      <c r="DF26" s="2218"/>
      <c r="DG26" s="93"/>
      <c r="DK26" s="112"/>
      <c r="DL26" s="118"/>
      <c r="FL26" s="1020" t="str">
        <f>IF(AND(AQ24&lt;&gt;"",BX24&lt;&gt;""),IF(BX12&lt;&gt;"",AQ7&amp;" "&amp;LOWER(J9)&amp;" "&amp;IF($BX24&lt;0,$BX24&amp;"/"&amp;$BX24&amp;"/"&amp;$BX24,"+"&amp;$BX24&amp;"/+"&amp;$BX24&amp;"/+"&amp;$BX24)&amp;" ("&amp;$CO24&amp;IF(Weapons!E$82&lt;&gt;"20","/"&amp;Weapons!E$82,"")&amp;IF(Weapons!E$83&lt;&gt;2,"/×"&amp;Weapons!E$83,"")&amp;") with Triple Attack and "&amp;AQ24,""),"")</f>
        <v/>
      </c>
      <c r="FM26" s="1019" t="str">
        <f t="shared" si="0"/>
        <v/>
      </c>
      <c r="FN26" s="1019"/>
    </row>
    <row r="27" spans="2:170" ht="9" customHeight="1" thickTop="1" thickBot="1">
      <c r="B27" s="698"/>
      <c r="C27" s="112"/>
      <c r="D27" s="2183"/>
      <c r="E27" s="2184"/>
      <c r="F27" s="2184"/>
      <c r="U27" s="698"/>
      <c r="V27" s="698"/>
      <c r="W27" s="698"/>
      <c r="X27" s="698"/>
      <c r="AJ27" s="442"/>
      <c r="AK27" s="442"/>
      <c r="AL27" s="442"/>
      <c r="AM27" s="442"/>
      <c r="AN27" s="698"/>
      <c r="DK27" s="112"/>
      <c r="DL27" s="118"/>
      <c r="FL27" s="1019" t="str">
        <f>IF(Weapons!E$16="Dual Wield",IF(Weapons!O$16="Dual Wield",IF(AND(FL9&lt;&gt;"",FL51&lt;&gt;""),FL9&amp;" and "&amp;RIGHT(FL51,IF(Weapons!E$12="Melee",LEN(FL51)-6,LEN(FL51)-7)),""),""),"")</f>
        <v/>
      </c>
      <c r="FM27" s="1019" t="str">
        <f t="shared" si="0"/>
        <v/>
      </c>
      <c r="FN27" s="1019"/>
    </row>
    <row r="28" spans="2:170" ht="9" customHeight="1" thickTop="1">
      <c r="B28" s="698"/>
      <c r="C28" s="87"/>
      <c r="D28" s="256"/>
      <c r="E28" s="118"/>
      <c r="I28" s="93"/>
      <c r="J28" s="2182" t="s">
        <v>3614</v>
      </c>
      <c r="K28" s="2182"/>
      <c r="L28" s="2182"/>
      <c r="M28" s="2182"/>
      <c r="N28" s="2182"/>
      <c r="O28" s="2182"/>
      <c r="P28" s="295"/>
      <c r="Q28" s="296"/>
      <c r="R28" s="296"/>
      <c r="S28" s="296"/>
      <c r="T28" s="296"/>
      <c r="U28" s="296"/>
      <c r="V28" s="296"/>
      <c r="W28" s="296"/>
      <c r="X28" s="296"/>
      <c r="Y28" s="296"/>
      <c r="Z28" s="296"/>
      <c r="AA28" s="296"/>
      <c r="AB28" s="296"/>
      <c r="AC28" s="296"/>
      <c r="AD28" s="296"/>
      <c r="AE28" s="296"/>
      <c r="AF28" s="296"/>
      <c r="AG28" s="296"/>
      <c r="AH28" s="296"/>
      <c r="AI28" s="296"/>
      <c r="AJ28" s="296"/>
      <c r="AK28" s="296"/>
      <c r="AL28" s="296"/>
      <c r="AM28" s="296"/>
      <c r="AN28" s="296"/>
      <c r="AO28" s="296"/>
      <c r="AP28" s="296"/>
      <c r="AQ28" s="296"/>
      <c r="AR28" s="296"/>
      <c r="AS28" s="296"/>
      <c r="AT28" s="296"/>
      <c r="AU28" s="296"/>
      <c r="AV28" s="296"/>
      <c r="AW28" s="296"/>
      <c r="AX28" s="296"/>
      <c r="AY28" s="296"/>
      <c r="AZ28" s="296"/>
      <c r="BA28" s="296"/>
      <c r="BB28" s="296"/>
      <c r="BC28" s="296"/>
      <c r="BD28" s="296"/>
      <c r="BE28" s="296"/>
      <c r="BF28" s="296"/>
      <c r="BG28" s="296"/>
      <c r="BH28" s="296"/>
      <c r="BI28" s="296"/>
      <c r="BJ28" s="296"/>
      <c r="BK28" s="296"/>
      <c r="BL28" s="296"/>
      <c r="BM28" s="296"/>
      <c r="BN28" s="296"/>
      <c r="BO28" s="296"/>
      <c r="BP28" s="296"/>
      <c r="BQ28" s="296"/>
      <c r="BR28" s="296"/>
      <c r="BS28" s="296"/>
      <c r="BT28" s="296"/>
      <c r="BU28" s="296"/>
      <c r="BV28" s="296"/>
      <c r="BW28" s="296"/>
      <c r="BX28" s="296"/>
      <c r="BY28" s="296"/>
      <c r="BZ28" s="296"/>
      <c r="CA28" s="296"/>
      <c r="CB28" s="296"/>
      <c r="CC28" s="296"/>
      <c r="CD28" s="296"/>
      <c r="CE28" s="296"/>
      <c r="CF28" s="296"/>
      <c r="CG28" s="296"/>
      <c r="CH28" s="296"/>
      <c r="CI28" s="296"/>
      <c r="CJ28" s="296"/>
      <c r="CK28" s="296"/>
      <c r="CL28" s="296"/>
      <c r="CM28" s="296"/>
      <c r="CN28" s="296"/>
      <c r="CO28" s="296"/>
      <c r="CP28" s="296"/>
      <c r="CQ28" s="296"/>
      <c r="CR28" s="296"/>
      <c r="CS28" s="296"/>
      <c r="CT28" s="296"/>
      <c r="CU28" s="296"/>
      <c r="CV28" s="296"/>
      <c r="CW28" s="296"/>
      <c r="CX28" s="296"/>
      <c r="CY28" s="296"/>
      <c r="CZ28" s="296"/>
      <c r="DA28" s="296"/>
      <c r="DB28" s="296"/>
      <c r="DC28" s="296"/>
      <c r="DD28" s="296"/>
      <c r="DE28" s="296"/>
      <c r="DF28" s="296"/>
      <c r="DG28" s="297"/>
      <c r="DJ28" s="87"/>
      <c r="DK28" s="292"/>
      <c r="DL28" s="118"/>
      <c r="FL28" s="1019" t="str">
        <f>IF(Weapons!E$16="Dual Wield",IF(Weapons!O$16="Dual Wield",IF(AND(FL10&lt;&gt;"",FL52&lt;&gt;""),FL10&amp;" and "&amp;RIGHT(FL52,IF(Weapons!E$12="Melee",LEN(FL52)-6,LEN(FL52)-7)),""),""),"")</f>
        <v/>
      </c>
      <c r="FM28" s="1019" t="str">
        <f t="shared" si="0"/>
        <v/>
      </c>
      <c r="FN28" s="1019"/>
    </row>
    <row r="29" spans="2:170" ht="9" customHeight="1" thickBot="1">
      <c r="B29" s="698"/>
      <c r="C29" s="87"/>
      <c r="D29" s="118"/>
      <c r="E29" s="256"/>
      <c r="F29" s="111"/>
      <c r="G29" s="122"/>
      <c r="H29" s="290"/>
      <c r="I29" s="102"/>
      <c r="J29" s="2180"/>
      <c r="K29" s="2180"/>
      <c r="L29" s="2180"/>
      <c r="M29" s="2180"/>
      <c r="N29" s="2180"/>
      <c r="O29" s="2180"/>
      <c r="P29" s="685"/>
      <c r="Q29" s="1922" t="str">
        <f>Weapons!E$28</f>
        <v/>
      </c>
      <c r="R29" s="1922"/>
      <c r="S29" s="1922"/>
      <c r="T29" s="1922"/>
      <c r="U29" s="1922"/>
      <c r="V29" s="1922"/>
      <c r="W29" s="1922"/>
      <c r="X29" s="1922"/>
      <c r="Y29" s="1922"/>
      <c r="Z29" s="1922"/>
      <c r="AA29" s="1922"/>
      <c r="AB29" s="1922"/>
      <c r="AC29" s="1922"/>
      <c r="AD29" s="1922"/>
      <c r="AE29" s="1922"/>
      <c r="AF29" s="1922"/>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922"/>
      <c r="BG29" s="1922"/>
      <c r="BH29" s="1922"/>
      <c r="BI29" s="1922"/>
      <c r="BJ29" s="1922"/>
      <c r="BK29" s="1922"/>
      <c r="BL29" s="1922"/>
      <c r="BM29" s="1922"/>
      <c r="BN29" s="1922"/>
      <c r="BO29" s="1922"/>
      <c r="BP29" s="1922"/>
      <c r="BQ29" s="1922"/>
      <c r="BR29" s="1922"/>
      <c r="BS29" s="1922"/>
      <c r="BT29" s="1922"/>
      <c r="BU29" s="1922"/>
      <c r="BV29" s="1922"/>
      <c r="BW29" s="1922"/>
      <c r="BX29" s="1922"/>
      <c r="BY29" s="1922"/>
      <c r="BZ29" s="1922"/>
      <c r="CA29" s="1922"/>
      <c r="CB29" s="1922"/>
      <c r="CC29" s="1922"/>
      <c r="CD29" s="1922"/>
      <c r="CE29" s="1922"/>
      <c r="CF29" s="1922"/>
      <c r="CG29" s="1922"/>
      <c r="CH29" s="1922"/>
      <c r="CI29" s="1922"/>
      <c r="CJ29" s="1922"/>
      <c r="CK29" s="1922"/>
      <c r="CL29" s="1922"/>
      <c r="CM29" s="1922"/>
      <c r="CN29" s="1922"/>
      <c r="CO29" s="1922"/>
      <c r="CP29" s="1922"/>
      <c r="CQ29" s="1922"/>
      <c r="CR29" s="1922"/>
      <c r="CS29" s="1922"/>
      <c r="CT29" s="1922"/>
      <c r="CU29" s="1922"/>
      <c r="CV29" s="1922"/>
      <c r="CW29" s="1922"/>
      <c r="CX29" s="1922"/>
      <c r="CY29" s="1922"/>
      <c r="CZ29" s="1922"/>
      <c r="DA29" s="1922"/>
      <c r="DB29" s="1922"/>
      <c r="DC29" s="1922"/>
      <c r="DD29" s="1922"/>
      <c r="DE29" s="1922"/>
      <c r="DF29" s="1922"/>
      <c r="DG29" s="300"/>
      <c r="DH29" s="971"/>
      <c r="DI29" s="122"/>
      <c r="DJ29" s="144"/>
      <c r="DK29" s="111"/>
      <c r="FL29" s="1019" t="str">
        <f>IF(Weapons!E$16="Dual Wield",IF(Weapons!O$16="Dual Wield",IF(AND(FL11&lt;&gt;"",FL53&lt;&gt;""),FL11&amp;" and "&amp;RIGHT(FL53,IF(Weapons!E$12="Melee",LEN(FL53)-6,LEN(FL53)-7)),""),""),"")</f>
        <v/>
      </c>
      <c r="FM29" s="1019" t="str">
        <f t="shared" si="0"/>
        <v/>
      </c>
      <c r="FN29" s="1019"/>
    </row>
    <row r="30" spans="2:170" ht="9" customHeight="1" thickTop="1">
      <c r="B30" s="698"/>
      <c r="C30" s="87"/>
      <c r="D30" s="118"/>
      <c r="E30" s="118"/>
      <c r="F30" s="293"/>
      <c r="G30" s="111"/>
      <c r="H30" s="111"/>
      <c r="I30" s="102"/>
      <c r="J30" s="105"/>
      <c r="K30" s="105"/>
      <c r="L30" s="105"/>
      <c r="M30" s="105"/>
      <c r="N30" s="596"/>
      <c r="O30" s="596"/>
      <c r="P30" s="596"/>
      <c r="Q30" s="1922"/>
      <c r="R30" s="1922"/>
      <c r="S30" s="1922"/>
      <c r="T30" s="1922"/>
      <c r="U30" s="1922"/>
      <c r="V30" s="1922"/>
      <c r="W30" s="1922"/>
      <c r="X30" s="1922"/>
      <c r="Y30" s="1922"/>
      <c r="Z30" s="1922"/>
      <c r="AA30" s="1922"/>
      <c r="AB30" s="1922"/>
      <c r="AC30" s="1922"/>
      <c r="AD30" s="1922"/>
      <c r="AE30" s="1922"/>
      <c r="AF30" s="1922"/>
      <c r="AG30" s="1922"/>
      <c r="AH30" s="1922"/>
      <c r="AI30" s="1922"/>
      <c r="AJ30" s="1922"/>
      <c r="AK30" s="1922"/>
      <c r="AL30" s="1922"/>
      <c r="AM30" s="1922"/>
      <c r="AN30" s="1922"/>
      <c r="AO30" s="1922"/>
      <c r="AP30" s="1922"/>
      <c r="AQ30" s="1922"/>
      <c r="AR30" s="1922"/>
      <c r="AS30" s="1922"/>
      <c r="AT30" s="1922"/>
      <c r="AU30" s="1922"/>
      <c r="AV30" s="1922"/>
      <c r="AW30" s="1922"/>
      <c r="AX30" s="1922"/>
      <c r="AY30" s="1922"/>
      <c r="AZ30" s="1922"/>
      <c r="BA30" s="1922"/>
      <c r="BB30" s="1922"/>
      <c r="BC30" s="1922"/>
      <c r="BD30" s="1922"/>
      <c r="BE30" s="1922"/>
      <c r="BF30" s="1922"/>
      <c r="BG30" s="1922"/>
      <c r="BH30" s="1922"/>
      <c r="BI30" s="1922"/>
      <c r="BJ30" s="1922"/>
      <c r="BK30" s="1922"/>
      <c r="BL30" s="1922"/>
      <c r="BM30" s="1922"/>
      <c r="BN30" s="1922"/>
      <c r="BO30" s="1922"/>
      <c r="BP30" s="1922"/>
      <c r="BQ30" s="1922"/>
      <c r="BR30" s="1922"/>
      <c r="BS30" s="1922"/>
      <c r="BT30" s="1922"/>
      <c r="BU30" s="1922"/>
      <c r="BV30" s="1922"/>
      <c r="BW30" s="1922"/>
      <c r="BX30" s="1922"/>
      <c r="BY30" s="1922"/>
      <c r="BZ30" s="1922"/>
      <c r="CA30" s="1922"/>
      <c r="CB30" s="1922"/>
      <c r="CC30" s="1922"/>
      <c r="CD30" s="1922"/>
      <c r="CE30" s="1922"/>
      <c r="CF30" s="1922"/>
      <c r="CG30" s="1922"/>
      <c r="CH30" s="1922"/>
      <c r="CI30" s="1922"/>
      <c r="CJ30" s="1922"/>
      <c r="CK30" s="1922"/>
      <c r="CL30" s="1922"/>
      <c r="CM30" s="1922"/>
      <c r="CN30" s="1922"/>
      <c r="CO30" s="1922"/>
      <c r="CP30" s="1922"/>
      <c r="CQ30" s="1922"/>
      <c r="CR30" s="1922"/>
      <c r="CS30" s="1922"/>
      <c r="CT30" s="1922"/>
      <c r="CU30" s="1922"/>
      <c r="CV30" s="1922"/>
      <c r="CW30" s="1922"/>
      <c r="CX30" s="1922"/>
      <c r="CY30" s="1922"/>
      <c r="CZ30" s="1922"/>
      <c r="DA30" s="1922"/>
      <c r="DB30" s="1922"/>
      <c r="DC30" s="1922"/>
      <c r="DD30" s="1922"/>
      <c r="DE30" s="1922"/>
      <c r="DF30" s="1922"/>
      <c r="DG30" s="103"/>
      <c r="DH30" s="970"/>
      <c r="DI30" s="111"/>
      <c r="FL30" s="1019" t="str">
        <f>IF(Weapons!E$16="Dual Wield",IF(Weapons!O$16="Dual Wield",IF(AND(FL12&lt;&gt;"",FL54&lt;&gt;""),FL12&amp;" and "&amp;RIGHT(FL54,IF(Weapons!E$12="Melee",LEN(FL54)-6,LEN(FL54)-7)),""),""),"")</f>
        <v/>
      </c>
      <c r="FM30" s="1019" t="str">
        <f t="shared" si="0"/>
        <v/>
      </c>
      <c r="FN30" s="1019"/>
    </row>
    <row r="31" spans="2:170" ht="9" customHeight="1" thickBot="1">
      <c r="I31" s="91"/>
      <c r="J31" s="108"/>
      <c r="K31" s="108"/>
      <c r="L31" s="108"/>
      <c r="M31" s="108"/>
      <c r="N31" s="654"/>
      <c r="O31" s="654"/>
      <c r="P31" s="654"/>
      <c r="Q31" s="1923"/>
      <c r="R31" s="1923"/>
      <c r="S31" s="1923"/>
      <c r="T31" s="1923"/>
      <c r="U31" s="1923"/>
      <c r="V31" s="1923"/>
      <c r="W31" s="1923"/>
      <c r="X31" s="1923"/>
      <c r="Y31" s="1923"/>
      <c r="Z31" s="1923"/>
      <c r="AA31" s="1923"/>
      <c r="AB31" s="1923"/>
      <c r="AC31" s="1923"/>
      <c r="AD31" s="1923"/>
      <c r="AE31" s="1923"/>
      <c r="AF31" s="1923"/>
      <c r="AG31" s="1923"/>
      <c r="AH31" s="1923"/>
      <c r="AI31" s="1923"/>
      <c r="AJ31" s="1923"/>
      <c r="AK31" s="1923"/>
      <c r="AL31" s="1923"/>
      <c r="AM31" s="1923"/>
      <c r="AN31" s="1923"/>
      <c r="AO31" s="1923"/>
      <c r="AP31" s="1923"/>
      <c r="AQ31" s="1923"/>
      <c r="AR31" s="1923"/>
      <c r="AS31" s="1923"/>
      <c r="AT31" s="1923"/>
      <c r="AU31" s="1923"/>
      <c r="AV31" s="1923"/>
      <c r="AW31" s="1923"/>
      <c r="AX31" s="1923"/>
      <c r="AY31" s="1923"/>
      <c r="AZ31" s="1923"/>
      <c r="BA31" s="1923"/>
      <c r="BB31" s="1923"/>
      <c r="BC31" s="1923"/>
      <c r="BD31" s="1923"/>
      <c r="BE31" s="1923"/>
      <c r="BF31" s="1923"/>
      <c r="BG31" s="1923"/>
      <c r="BH31" s="1923"/>
      <c r="BI31" s="1923"/>
      <c r="BJ31" s="1923"/>
      <c r="BK31" s="1923"/>
      <c r="BL31" s="1923"/>
      <c r="BM31" s="1923"/>
      <c r="BN31" s="1923"/>
      <c r="BO31" s="1923"/>
      <c r="BP31" s="1923"/>
      <c r="BQ31" s="1923"/>
      <c r="BR31" s="1923"/>
      <c r="BS31" s="1923"/>
      <c r="BT31" s="1923"/>
      <c r="BU31" s="1923"/>
      <c r="BV31" s="1923"/>
      <c r="BW31" s="1923"/>
      <c r="BX31" s="1923"/>
      <c r="BY31" s="1923"/>
      <c r="BZ31" s="1923"/>
      <c r="CA31" s="1923"/>
      <c r="CB31" s="1923"/>
      <c r="CC31" s="1923"/>
      <c r="CD31" s="1923"/>
      <c r="CE31" s="1923"/>
      <c r="CF31" s="1923"/>
      <c r="CG31" s="1923"/>
      <c r="CH31" s="1923"/>
      <c r="CI31" s="1923"/>
      <c r="CJ31" s="1923"/>
      <c r="CK31" s="1923"/>
      <c r="CL31" s="1923"/>
      <c r="CM31" s="1923"/>
      <c r="CN31" s="1923"/>
      <c r="CO31" s="1923"/>
      <c r="CP31" s="1923"/>
      <c r="CQ31" s="1923"/>
      <c r="CR31" s="1923"/>
      <c r="CS31" s="1923"/>
      <c r="CT31" s="1923"/>
      <c r="CU31" s="1923"/>
      <c r="CV31" s="1923"/>
      <c r="CW31" s="1923"/>
      <c r="CX31" s="1923"/>
      <c r="CY31" s="1923"/>
      <c r="CZ31" s="1923"/>
      <c r="DA31" s="1923"/>
      <c r="DB31" s="1923"/>
      <c r="DC31" s="1923"/>
      <c r="DD31" s="1923"/>
      <c r="DE31" s="1923"/>
      <c r="DF31" s="1923"/>
      <c r="DG31" s="90"/>
      <c r="FL31" s="1019" t="str">
        <f>IF(Weapons!E$16="Dual Wield",IF(Weapons!O$16="Dual Wield",IF(AND(FL13&lt;&gt;"",FL55&lt;&gt;""),FL13&amp;" and "&amp;RIGHT(FL55,IF(Weapons!E$12="Melee",LEN(FL55)-6,LEN(FL55)-7)),""),""),"")</f>
        <v/>
      </c>
      <c r="FM31" s="1019" t="str">
        <f t="shared" si="0"/>
        <v/>
      </c>
      <c r="FN31" s="1019"/>
    </row>
    <row r="32" spans="2:170" ht="9" customHeight="1" thickTop="1">
      <c r="AO32" s="685"/>
      <c r="AP32" s="685"/>
      <c r="AQ32" s="685"/>
      <c r="AR32" s="685"/>
      <c r="AS32" s="685"/>
      <c r="AT32" s="442"/>
      <c r="AU32" s="442"/>
      <c r="AV32" s="442"/>
      <c r="AW32" s="442"/>
      <c r="AX32" s="442"/>
      <c r="AY32" s="442"/>
      <c r="AZ32" s="442"/>
      <c r="BA32" s="442"/>
      <c r="BB32" s="442"/>
      <c r="BC32" s="442"/>
      <c r="BD32" s="442"/>
      <c r="BE32" s="442"/>
      <c r="BF32" s="442"/>
      <c r="BG32" s="442"/>
      <c r="BH32" s="442"/>
      <c r="BI32" s="442"/>
      <c r="BJ32" s="442"/>
      <c r="BK32" s="442"/>
      <c r="BL32" s="442"/>
      <c r="BM32" s="442"/>
      <c r="BN32" s="442"/>
      <c r="BO32" s="442"/>
      <c r="BP32" s="442"/>
      <c r="BQ32" s="442"/>
      <c r="BR32" s="442"/>
      <c r="BS32" s="442"/>
      <c r="BT32" s="442"/>
      <c r="BU32" s="442"/>
      <c r="BV32" s="442"/>
      <c r="BW32" s="442"/>
      <c r="BX32" s="442"/>
      <c r="BY32" s="442"/>
      <c r="BZ32" s="442"/>
      <c r="CA32" s="442"/>
      <c r="CB32" s="442"/>
      <c r="CC32" s="442"/>
      <c r="CD32" s="3"/>
      <c r="CE32" s="3"/>
      <c r="CF32" s="3"/>
      <c r="CG32" s="3"/>
      <c r="CJ32" s="3"/>
      <c r="CK32" s="698"/>
      <c r="CL32" s="698"/>
      <c r="CN32" s="3"/>
      <c r="CO32" s="698"/>
      <c r="CP32" s="698"/>
      <c r="CQ32" s="3"/>
      <c r="CR32" s="698"/>
      <c r="CS32" s="698"/>
      <c r="CT32" s="3"/>
      <c r="CU32" s="698"/>
      <c r="CV32" s="698"/>
      <c r="CW32" s="3"/>
      <c r="CX32" s="698"/>
      <c r="CY32" s="698"/>
      <c r="CZ32" s="3"/>
      <c r="DA32" s="698"/>
      <c r="DB32" s="698"/>
      <c r="DC32" s="3"/>
      <c r="DD32" s="3"/>
      <c r="DE32" s="698"/>
      <c r="DF32" s="698"/>
      <c r="FL32" s="1019" t="str">
        <f>IF(Weapons!E$16="Dual Wield",IF(Weapons!O$16="Dual Wield",IF(AND(FL14&lt;&gt;"",FL56&lt;&gt;""),FL14&amp;" and "&amp;RIGHT(FL56,IF(Weapons!E$12="Melee",LEN(FL56)-6,LEN(FL56)-7)),""),""),"")</f>
        <v/>
      </c>
      <c r="FM32" s="1019" t="str">
        <f t="shared" si="0"/>
        <v/>
      </c>
      <c r="FN32" s="1019"/>
    </row>
    <row r="33" spans="1:170" ht="9" customHeight="1" thickBot="1">
      <c r="AG33" s="1092"/>
      <c r="AH33" s="1092"/>
      <c r="AI33" s="1092"/>
      <c r="AJ33" s="1092"/>
      <c r="AK33" s="1092"/>
      <c r="AL33" s="105"/>
      <c r="AM33" s="105"/>
      <c r="AN33" s="105"/>
      <c r="BQ33" s="3"/>
      <c r="BR33" s="3"/>
      <c r="BS33" s="3"/>
      <c r="BT33" s="3"/>
      <c r="BU33" s="3"/>
      <c r="BV33" s="3"/>
      <c r="BW33" s="3"/>
      <c r="BX33" s="3"/>
      <c r="BY33" s="3"/>
      <c r="BZ33" s="3"/>
      <c r="CA33" s="3"/>
      <c r="CB33" s="3"/>
      <c r="CC33" s="3"/>
      <c r="CD33" s="3"/>
      <c r="CE33" s="3"/>
      <c r="CF33" s="3"/>
      <c r="CG33" s="3"/>
      <c r="FL33" s="1019" t="str">
        <f>IF(Weapons!E$16="Dual Wield",IF(Weapons!O$16="Dual Wield",IF(AND(FL15&lt;&gt;"",FL57&lt;&gt;""),FL15&amp;" and "&amp;RIGHT(FL57,IF(Weapons!E$12="Melee",LEN(FL57)-6,LEN(FL57)-7)),""),""),"")</f>
        <v/>
      </c>
      <c r="FM33" s="1019" t="str">
        <f t="shared" si="0"/>
        <v/>
      </c>
      <c r="FN33" s="1019"/>
    </row>
    <row r="34" spans="1:170" ht="9" customHeight="1" thickTop="1" thickBot="1">
      <c r="D34" s="93"/>
      <c r="E34" s="2182" t="s">
        <v>5713</v>
      </c>
      <c r="F34" s="2182"/>
      <c r="G34" s="2182"/>
      <c r="H34" s="2182"/>
      <c r="I34" s="2182"/>
      <c r="J34" s="295"/>
      <c r="K34" s="295"/>
      <c r="L34" s="295"/>
      <c r="M34" s="295"/>
      <c r="N34" s="594"/>
      <c r="O34" s="594"/>
      <c r="P34" s="594"/>
      <c r="Q34" s="594"/>
      <c r="R34" s="594"/>
      <c r="S34" s="594"/>
      <c r="T34" s="594"/>
      <c r="U34" s="594"/>
      <c r="V34" s="594"/>
      <c r="W34" s="594"/>
      <c r="X34" s="594"/>
      <c r="Y34" s="594"/>
      <c r="Z34" s="594"/>
      <c r="AA34" s="594"/>
      <c r="AB34" s="594"/>
      <c r="AC34" s="297"/>
      <c r="AE34" s="1092"/>
      <c r="AF34" s="93"/>
      <c r="AG34" s="2193" t="s">
        <v>6133</v>
      </c>
      <c r="AH34" s="2193"/>
      <c r="AI34" s="2193"/>
      <c r="AJ34" s="2193"/>
      <c r="AK34" s="2193"/>
      <c r="AL34" s="2193"/>
      <c r="AM34" s="2193"/>
      <c r="AN34" s="2193"/>
      <c r="AO34" s="1108" t="e">
        <f ca="1">Weapons!$E$70-Weapons!$E$69</f>
        <v>#N/A</v>
      </c>
      <c r="AP34" s="592"/>
      <c r="AQ34" s="594"/>
      <c r="AR34" s="594"/>
      <c r="AS34" s="594"/>
      <c r="AT34" s="594"/>
      <c r="AU34" s="594"/>
      <c r="AV34" s="594"/>
      <c r="AW34" s="594"/>
      <c r="AX34" s="297"/>
      <c r="AY34" s="3"/>
      <c r="BA34" s="93"/>
      <c r="BB34" s="2193" t="s">
        <v>4094</v>
      </c>
      <c r="BC34" s="2193"/>
      <c r="BD34" s="2193"/>
      <c r="BE34" s="2193"/>
      <c r="BF34" s="2193"/>
      <c r="BG34" s="2193"/>
      <c r="BH34" s="2193"/>
      <c r="BI34" s="2193"/>
      <c r="BJ34" s="2193"/>
      <c r="BK34" s="2193"/>
      <c r="BL34" s="2193"/>
      <c r="BM34" s="2193"/>
      <c r="BN34" s="2193"/>
      <c r="BO34" s="2193"/>
      <c r="BP34" s="113"/>
      <c r="BQ34" s="145"/>
      <c r="BR34" s="93"/>
      <c r="BS34" s="2193" t="s">
        <v>4100</v>
      </c>
      <c r="BT34" s="2193"/>
      <c r="BU34" s="2193"/>
      <c r="BV34" s="2193"/>
      <c r="BW34" s="2193"/>
      <c r="BX34" s="2193"/>
      <c r="BY34" s="2193"/>
      <c r="BZ34" s="2193"/>
      <c r="CA34" s="2193" t="s">
        <v>4095</v>
      </c>
      <c r="CB34" s="2193"/>
      <c r="CC34" s="2193"/>
      <c r="CD34" s="2193"/>
      <c r="CE34" s="2193"/>
      <c r="CF34" s="2193"/>
      <c r="CG34" s="2193"/>
      <c r="CH34" s="2193"/>
      <c r="CI34" s="2193" t="s">
        <v>4099</v>
      </c>
      <c r="CJ34" s="2193"/>
      <c r="CK34" s="2193"/>
      <c r="CL34" s="2193"/>
      <c r="CM34" s="2193"/>
      <c r="CN34" s="2193"/>
      <c r="CO34" s="2193"/>
      <c r="CP34" s="2193"/>
      <c r="CQ34" s="2193" t="s">
        <v>4098</v>
      </c>
      <c r="CR34" s="2193"/>
      <c r="CS34" s="2193"/>
      <c r="CT34" s="2193"/>
      <c r="CU34" s="2193"/>
      <c r="CV34" s="2193"/>
      <c r="CW34" s="2193"/>
      <c r="CX34" s="2193"/>
      <c r="CY34" s="2193" t="s">
        <v>4097</v>
      </c>
      <c r="CZ34" s="2193"/>
      <c r="DA34" s="2193"/>
      <c r="DB34" s="2193"/>
      <c r="DC34" s="2193"/>
      <c r="DD34" s="2193"/>
      <c r="DE34" s="2193"/>
      <c r="DF34" s="2193"/>
      <c r="DG34" s="113"/>
      <c r="DH34" s="976"/>
      <c r="FL34" s="1019" t="str">
        <f>IF(Weapons!E$16="Dual Wield",IF(Weapons!O$16="Dual Wield",IF(AND(FL16&lt;&gt;"",FL58&lt;&gt;""),FL16&amp;" and "&amp;RIGHT(FL58,IF(Weapons!E$12="Melee",LEN(FL58)-6,LEN(FL58)-7)),""),""),"")</f>
        <v/>
      </c>
      <c r="FM34" s="1019" t="str">
        <f t="shared" si="0"/>
        <v/>
      </c>
      <c r="FN34" s="1019"/>
    </row>
    <row r="35" spans="1:170" ht="9" customHeight="1" thickTop="1">
      <c r="D35" s="102"/>
      <c r="E35" s="2180"/>
      <c r="F35" s="2180"/>
      <c r="G35" s="2180"/>
      <c r="H35" s="2180"/>
      <c r="I35" s="2180"/>
      <c r="J35" s="1867" t="str">
        <f>IF(J9&lt;&gt;"",IF(OR(AND(Weapons!$E$74="lightsabers",Talents!$M$1110&gt;0),AND(Feats!$M$242&gt;0,COUNTIF(Weapons!$E$56:$E$59,"Spring Loaded")&gt;0)),"Free",IF(Feats!$M$170&gt;0,"Free as part of a Standard",IF(Feats!$M$242,"Swift","Move")))&amp;" action","")</f>
        <v/>
      </c>
      <c r="K35" s="1867"/>
      <c r="L35" s="1867"/>
      <c r="M35" s="1867"/>
      <c r="N35" s="1867"/>
      <c r="O35" s="1867"/>
      <c r="P35" s="1867"/>
      <c r="Q35" s="1867"/>
      <c r="R35" s="1867"/>
      <c r="S35" s="1867"/>
      <c r="T35" s="1867"/>
      <c r="U35" s="1867"/>
      <c r="V35" s="1867"/>
      <c r="W35" s="1867"/>
      <c r="X35" s="1867"/>
      <c r="Y35" s="1867"/>
      <c r="Z35" s="1867"/>
      <c r="AA35" s="1867"/>
      <c r="AB35" s="1867"/>
      <c r="AC35" s="300"/>
      <c r="AD35" s="595"/>
      <c r="AE35" s="1092"/>
      <c r="AF35" s="102"/>
      <c r="AG35" s="2239"/>
      <c r="AH35" s="2239"/>
      <c r="AI35" s="2239"/>
      <c r="AJ35" s="2239"/>
      <c r="AK35" s="2239"/>
      <c r="AL35" s="2239"/>
      <c r="AM35" s="2239"/>
      <c r="AN35" s="2239"/>
      <c r="AO35" s="2241" t="str">
        <f>IF(J9&lt;&gt;"",IF(AND(NOT(ISERROR(FIND("-5 to Perception and Use Computer checks to detect",Q29,1))),ShowCloakedWeapons),INDEX(ConcealItemTable,MATCH(AO34,ConcealItemList,0),3),INDEX(ConcealItemTable,MATCH(AO34,ConcealItemList,0),2)),"")</f>
        <v/>
      </c>
      <c r="AP35" s="2241"/>
      <c r="AQ35" s="2241"/>
      <c r="AR35" s="2241"/>
      <c r="AS35" s="2241"/>
      <c r="AT35" s="2241"/>
      <c r="AU35" s="2241"/>
      <c r="AV35" s="2241"/>
      <c r="AW35" s="2241"/>
      <c r="AX35" s="300"/>
      <c r="AY35" s="595"/>
      <c r="BA35" s="102"/>
      <c r="BB35" s="2239"/>
      <c r="BC35" s="2239"/>
      <c r="BD35" s="2239"/>
      <c r="BE35" s="2239"/>
      <c r="BF35" s="2239"/>
      <c r="BG35" s="2239"/>
      <c r="BH35" s="2239"/>
      <c r="BI35" s="2239"/>
      <c r="BJ35" s="2239"/>
      <c r="BK35" s="2239"/>
      <c r="BL35" s="2239"/>
      <c r="BM35" s="2239"/>
      <c r="BN35" s="2239"/>
      <c r="BO35" s="2239"/>
      <c r="BP35" s="589"/>
      <c r="BQ35" s="598"/>
      <c r="BR35" s="102"/>
      <c r="BS35" s="2194"/>
      <c r="BT35" s="2194"/>
      <c r="BU35" s="2194"/>
      <c r="BV35" s="2194"/>
      <c r="BW35" s="2194"/>
      <c r="BX35" s="2194"/>
      <c r="BY35" s="2194"/>
      <c r="BZ35" s="2194"/>
      <c r="CA35" s="2194"/>
      <c r="CB35" s="2194"/>
      <c r="CC35" s="2194"/>
      <c r="CD35" s="2194"/>
      <c r="CE35" s="2194"/>
      <c r="CF35" s="2194"/>
      <c r="CG35" s="2194"/>
      <c r="CH35" s="2194"/>
      <c r="CI35" s="2194"/>
      <c r="CJ35" s="2194"/>
      <c r="CK35" s="2194"/>
      <c r="CL35" s="2194"/>
      <c r="CM35" s="2194"/>
      <c r="CN35" s="2194"/>
      <c r="CO35" s="2194"/>
      <c r="CP35" s="2194"/>
      <c r="CQ35" s="2194"/>
      <c r="CR35" s="2194"/>
      <c r="CS35" s="2194"/>
      <c r="CT35" s="2194"/>
      <c r="CU35" s="2194"/>
      <c r="CV35" s="2194"/>
      <c r="CW35" s="2194"/>
      <c r="CX35" s="2194"/>
      <c r="CY35" s="2194"/>
      <c r="CZ35" s="2194"/>
      <c r="DA35" s="2194"/>
      <c r="DB35" s="2194"/>
      <c r="DC35" s="2194"/>
      <c r="DD35" s="2194"/>
      <c r="DE35" s="2194"/>
      <c r="DF35" s="2194"/>
      <c r="DH35" s="977"/>
      <c r="FL35" s="1019" t="str">
        <f>IF(Weapons!E$16="Dual Wield",IF(Weapons!O$16="Dual Wield",IF(AND(FL17&lt;&gt;"",FL59&lt;&gt;""),FL17&amp;" and "&amp;RIGHT(FL59,IF(Weapons!E$12="Melee",LEN(FL59)-6,LEN(FL59)-7)),""),""),"")</f>
        <v/>
      </c>
      <c r="FM35" s="1019" t="str">
        <f t="shared" si="0"/>
        <v/>
      </c>
      <c r="FN35" s="1019"/>
    </row>
    <row r="36" spans="1:170" ht="9" customHeight="1">
      <c r="D36" s="102"/>
      <c r="E36" s="105"/>
      <c r="F36" s="105"/>
      <c r="G36" s="105"/>
      <c r="H36" s="105"/>
      <c r="I36" s="657"/>
      <c r="J36" s="1867"/>
      <c r="K36" s="1867"/>
      <c r="L36" s="1867"/>
      <c r="M36" s="1867"/>
      <c r="N36" s="1867"/>
      <c r="O36" s="1867"/>
      <c r="P36" s="1867"/>
      <c r="Q36" s="1867"/>
      <c r="R36" s="1867"/>
      <c r="S36" s="1867"/>
      <c r="T36" s="1867"/>
      <c r="U36" s="1867"/>
      <c r="V36" s="1867"/>
      <c r="W36" s="1867"/>
      <c r="X36" s="1867"/>
      <c r="Y36" s="1867"/>
      <c r="Z36" s="1867"/>
      <c r="AA36" s="1867"/>
      <c r="AB36" s="1867"/>
      <c r="AC36" s="103"/>
      <c r="AD36" s="657"/>
      <c r="AE36" s="1092"/>
      <c r="AF36" s="102"/>
      <c r="AG36" s="2243" t="s">
        <v>6134</v>
      </c>
      <c r="AH36" s="2243"/>
      <c r="AI36" s="2243"/>
      <c r="AJ36" s="2243"/>
      <c r="AK36" s="2243"/>
      <c r="AL36" s="2243"/>
      <c r="AM36" s="2243"/>
      <c r="AN36" s="2243"/>
      <c r="AO36" s="2241"/>
      <c r="AP36" s="2241"/>
      <c r="AQ36" s="2241"/>
      <c r="AR36" s="2241"/>
      <c r="AS36" s="2241"/>
      <c r="AT36" s="2241"/>
      <c r="AU36" s="2241"/>
      <c r="AV36" s="2241"/>
      <c r="AW36" s="2241"/>
      <c r="AX36" s="103"/>
      <c r="AY36" s="657"/>
      <c r="AZ36" s="698"/>
      <c r="BA36" s="102"/>
      <c r="BB36" s="2206" t="s">
        <v>110</v>
      </c>
      <c r="BC36" s="2206"/>
      <c r="BD36" s="2206"/>
      <c r="BE36" s="2206"/>
      <c r="BF36" s="2206"/>
      <c r="BG36" s="2206"/>
      <c r="BH36" s="2206"/>
      <c r="BI36" s="2206"/>
      <c r="BJ36" s="2206"/>
      <c r="BK36" s="2206"/>
      <c r="BL36" s="2206"/>
      <c r="BM36" s="2206"/>
      <c r="BN36" s="2206"/>
      <c r="BO36" s="2206"/>
      <c r="BR36" s="102"/>
      <c r="BS36" s="2210" t="str">
        <f>IF(CA36&lt;&gt;"","0-1","")</f>
        <v/>
      </c>
      <c r="BT36" s="2210"/>
      <c r="BU36" s="2210"/>
      <c r="BV36" s="2210"/>
      <c r="BW36" s="2210"/>
      <c r="BX36" s="2210"/>
      <c r="BY36" s="2210"/>
      <c r="BZ36" s="2211"/>
      <c r="CA36" s="2229" t="str">
        <f>IF(AND(J9&lt;&gt;"",Weapons!E$12="Ranged"),"0-"&amp;INDEX(RangeTable,MATCH(Weapons!E$92,RangeList,0),2),"")</f>
        <v/>
      </c>
      <c r="CB36" s="2210"/>
      <c r="CC36" s="2210"/>
      <c r="CD36" s="2210"/>
      <c r="CE36" s="2210"/>
      <c r="CF36" s="2210"/>
      <c r="CG36" s="2210"/>
      <c r="CH36" s="2211"/>
      <c r="CI36" s="2229" t="str">
        <f>IF(AND(J9&lt;&gt;"",Weapons!E$12="Ranged"),"0-"&amp;INDEX(RangeTable,MATCH(Weapons!E$92,RangeList,0),3),"")</f>
        <v/>
      </c>
      <c r="CJ36" s="2210"/>
      <c r="CK36" s="2210"/>
      <c r="CL36" s="2210"/>
      <c r="CM36" s="2210"/>
      <c r="CN36" s="2210"/>
      <c r="CO36" s="2210"/>
      <c r="CP36" s="2211"/>
      <c r="CQ36" s="2229" t="str">
        <f>IF(AND(J9&lt;&gt;"",Weapons!E$12="Ranged"),"0-"&amp;INDEX(RangeTable,MATCH(Weapons!E$92,RangeList,0),4),"")</f>
        <v/>
      </c>
      <c r="CR36" s="2210"/>
      <c r="CS36" s="2210"/>
      <c r="CT36" s="2210"/>
      <c r="CU36" s="2210"/>
      <c r="CV36" s="2210"/>
      <c r="CW36" s="2210"/>
      <c r="CX36" s="2211"/>
      <c r="CY36" s="2229" t="str">
        <f>IF(AND(J9&lt;&gt;"",Weapons!E$12="Ranged"),"0-"&amp;INDEX(RangeTable,MATCH(Weapons!E$92,RangeList,0),5),"")</f>
        <v/>
      </c>
      <c r="CZ36" s="2210"/>
      <c r="DA36" s="2210"/>
      <c r="DB36" s="2210"/>
      <c r="DC36" s="2210"/>
      <c r="DD36" s="2210"/>
      <c r="DE36" s="2210"/>
      <c r="DF36" s="2210"/>
      <c r="DG36" s="100"/>
      <c r="DH36" s="976"/>
      <c r="FL36" s="1019" t="str">
        <f>IF(Weapons!E$16="Dual Wield",IF(Weapons!O$16="Dual Wield",IF(AND(FL18&lt;&gt;"",FL60&lt;&gt;""),FL18&amp;" and "&amp;RIGHT(FL60,IF(Weapons!E$12="Melee",LEN(FL60)-6,LEN(FL60)-7)),""),""),"")</f>
        <v/>
      </c>
      <c r="FM36" s="1019" t="str">
        <f t="shared" si="0"/>
        <v/>
      </c>
      <c r="FN36" s="1019"/>
    </row>
    <row r="37" spans="1:170" ht="9" customHeight="1" thickBot="1">
      <c r="D37" s="91"/>
      <c r="E37" s="108"/>
      <c r="F37" s="108"/>
      <c r="G37" s="108"/>
      <c r="H37" s="108"/>
      <c r="I37" s="937"/>
      <c r="J37" s="1868"/>
      <c r="K37" s="1868"/>
      <c r="L37" s="1868"/>
      <c r="M37" s="1868"/>
      <c r="N37" s="1868"/>
      <c r="O37" s="1868"/>
      <c r="P37" s="1868"/>
      <c r="Q37" s="1868"/>
      <c r="R37" s="1868"/>
      <c r="S37" s="1868"/>
      <c r="T37" s="1868"/>
      <c r="U37" s="1868"/>
      <c r="V37" s="1868"/>
      <c r="W37" s="1868"/>
      <c r="X37" s="1868"/>
      <c r="Y37" s="1868"/>
      <c r="Z37" s="1868"/>
      <c r="AA37" s="1868"/>
      <c r="AB37" s="1868"/>
      <c r="AC37" s="90"/>
      <c r="AD37" s="657"/>
      <c r="AE37" s="1092"/>
      <c r="AF37" s="91"/>
      <c r="AG37" s="2244"/>
      <c r="AH37" s="2244"/>
      <c r="AI37" s="2244"/>
      <c r="AJ37" s="2244"/>
      <c r="AK37" s="2244"/>
      <c r="AL37" s="2244"/>
      <c r="AM37" s="2244"/>
      <c r="AN37" s="2244"/>
      <c r="AO37" s="2242"/>
      <c r="AP37" s="2242"/>
      <c r="AQ37" s="2242"/>
      <c r="AR37" s="2242"/>
      <c r="AS37" s="2242"/>
      <c r="AT37" s="2242"/>
      <c r="AU37" s="2242"/>
      <c r="AV37" s="2242"/>
      <c r="AW37" s="2242"/>
      <c r="AX37" s="90"/>
      <c r="AY37" s="657"/>
      <c r="AZ37" s="698"/>
      <c r="BA37" s="102"/>
      <c r="BB37" s="2206"/>
      <c r="BC37" s="2206"/>
      <c r="BD37" s="2206"/>
      <c r="BE37" s="2206"/>
      <c r="BF37" s="2206"/>
      <c r="BG37" s="2206"/>
      <c r="BH37" s="2206"/>
      <c r="BI37" s="2206"/>
      <c r="BJ37" s="2206"/>
      <c r="BK37" s="2206"/>
      <c r="BL37" s="2206"/>
      <c r="BM37" s="2206"/>
      <c r="BN37" s="2206"/>
      <c r="BO37" s="2206"/>
      <c r="BR37" s="647"/>
      <c r="BS37" s="2212"/>
      <c r="BT37" s="2212"/>
      <c r="BU37" s="2212"/>
      <c r="BV37" s="2212"/>
      <c r="BW37" s="2212"/>
      <c r="BX37" s="2212"/>
      <c r="BY37" s="2212"/>
      <c r="BZ37" s="2213"/>
      <c r="CA37" s="2226"/>
      <c r="CB37" s="2212"/>
      <c r="CC37" s="2212"/>
      <c r="CD37" s="2212"/>
      <c r="CE37" s="2212"/>
      <c r="CF37" s="2212"/>
      <c r="CG37" s="2212"/>
      <c r="CH37" s="2213"/>
      <c r="CI37" s="2226"/>
      <c r="CJ37" s="2212"/>
      <c r="CK37" s="2212"/>
      <c r="CL37" s="2212"/>
      <c r="CM37" s="2212"/>
      <c r="CN37" s="2212"/>
      <c r="CO37" s="2212"/>
      <c r="CP37" s="2213"/>
      <c r="CQ37" s="2226"/>
      <c r="CR37" s="2212"/>
      <c r="CS37" s="2212"/>
      <c r="CT37" s="2212"/>
      <c r="CU37" s="2212"/>
      <c r="CV37" s="2212"/>
      <c r="CW37" s="2212"/>
      <c r="CX37" s="2213"/>
      <c r="CY37" s="2226"/>
      <c r="CZ37" s="2212"/>
      <c r="DA37" s="2212"/>
      <c r="DB37" s="2212"/>
      <c r="DC37" s="2212"/>
      <c r="DD37" s="2212"/>
      <c r="DE37" s="2212"/>
      <c r="DF37" s="2212"/>
      <c r="DG37" s="100"/>
      <c r="DH37" s="976"/>
      <c r="FL37" s="1019" t="str">
        <f>IF(Weapons!E$16="Dual Wield",IF(Weapons!O$16="Dual Wield",IF(AND(FL19&lt;&gt;"",FL61&lt;&gt;""),FL19&amp;" and "&amp;RIGHT(FL61,IF(Weapons!E$12="Melee",LEN(FL61)-6,LEN(FL61)-7)),""),""),"")</f>
        <v/>
      </c>
      <c r="FM37" s="1019" t="str">
        <f t="shared" si="0"/>
        <v/>
      </c>
      <c r="FN37" s="1019"/>
    </row>
    <row r="38" spans="1:170" ht="9" customHeight="1" thickTop="1" thickBot="1">
      <c r="J38" s="105"/>
      <c r="K38" s="105"/>
      <c r="L38" s="105"/>
      <c r="M38" s="105"/>
      <c r="N38" s="105"/>
      <c r="O38" s="657"/>
      <c r="P38" s="657"/>
      <c r="Q38" s="657"/>
      <c r="R38" s="657"/>
      <c r="S38" s="657"/>
      <c r="T38" s="657"/>
      <c r="U38" s="657"/>
      <c r="V38" s="657"/>
      <c r="W38" s="657"/>
      <c r="X38" s="657"/>
      <c r="Y38" s="657"/>
      <c r="Z38" s="657"/>
      <c r="AA38" s="657"/>
      <c r="AB38" s="657"/>
      <c r="AC38" s="657"/>
      <c r="AD38" s="657"/>
      <c r="AE38" s="657"/>
      <c r="AF38" s="657"/>
      <c r="AG38" s="657"/>
      <c r="AH38" s="657"/>
      <c r="AI38" s="301"/>
      <c r="AJ38" s="3"/>
      <c r="AL38" s="301"/>
      <c r="AM38" s="3"/>
      <c r="AN38" s="1092"/>
      <c r="AQ38" s="657"/>
      <c r="AR38" s="657"/>
      <c r="AS38" s="657"/>
      <c r="AT38" s="657"/>
      <c r="AU38" s="657"/>
      <c r="AV38" s="657"/>
      <c r="AW38" s="657"/>
      <c r="AX38" s="657"/>
      <c r="AY38" s="657"/>
      <c r="AZ38" s="698"/>
      <c r="BA38" s="102"/>
      <c r="BB38" s="2206"/>
      <c r="BC38" s="2206"/>
      <c r="BD38" s="2206"/>
      <c r="BE38" s="2206"/>
      <c r="BF38" s="2206"/>
      <c r="BG38" s="2206"/>
      <c r="BH38" s="2206"/>
      <c r="BI38" s="2206"/>
      <c r="BJ38" s="2206"/>
      <c r="BK38" s="2206"/>
      <c r="BL38" s="2206"/>
      <c r="BM38" s="2206"/>
      <c r="BN38" s="2206"/>
      <c r="BO38" s="2206"/>
      <c r="BR38" s="102"/>
      <c r="BS38" s="2214"/>
      <c r="BT38" s="2214"/>
      <c r="BU38" s="2214"/>
      <c r="BV38" s="2214"/>
      <c r="BW38" s="2214"/>
      <c r="BX38" s="2214"/>
      <c r="BY38" s="2214"/>
      <c r="BZ38" s="2215"/>
      <c r="CA38" s="2230"/>
      <c r="CB38" s="2214"/>
      <c r="CC38" s="2214"/>
      <c r="CD38" s="2214"/>
      <c r="CE38" s="2214"/>
      <c r="CF38" s="2214"/>
      <c r="CG38" s="2214"/>
      <c r="CH38" s="2215"/>
      <c r="CI38" s="2230"/>
      <c r="CJ38" s="2214"/>
      <c r="CK38" s="2214"/>
      <c r="CL38" s="2214"/>
      <c r="CM38" s="2214"/>
      <c r="CN38" s="2214"/>
      <c r="CO38" s="2214"/>
      <c r="CP38" s="2215"/>
      <c r="CQ38" s="2230"/>
      <c r="CR38" s="2214"/>
      <c r="CS38" s="2214"/>
      <c r="CT38" s="2214"/>
      <c r="CU38" s="2214"/>
      <c r="CV38" s="2214"/>
      <c r="CW38" s="2214"/>
      <c r="CX38" s="2215"/>
      <c r="CY38" s="2230"/>
      <c r="CZ38" s="2214"/>
      <c r="DA38" s="2214"/>
      <c r="DB38" s="2214"/>
      <c r="DC38" s="2214"/>
      <c r="DD38" s="2214"/>
      <c r="DE38" s="2214"/>
      <c r="DF38" s="2214"/>
      <c r="DG38" s="100"/>
      <c r="DH38" s="976"/>
      <c r="FL38" s="1019" t="str">
        <f>IF(Weapons!E$16="Dual Wield",IF(Weapons!O$16="Dual Wield",IF(AND(FL20&lt;&gt;"",FL62&lt;&gt;""),FL20&amp;" and "&amp;RIGHT(FL62,IF(Weapons!E$12="Melee",LEN(FL62)-6,LEN(FL62)-7)),""),""),"")</f>
        <v/>
      </c>
      <c r="FM38" s="1019" t="str">
        <f t="shared" si="0"/>
        <v/>
      </c>
      <c r="FN38" s="1019"/>
    </row>
    <row r="39" spans="1:170" ht="9" customHeight="1" thickTop="1">
      <c r="D39" s="105"/>
      <c r="E39" s="1105"/>
      <c r="F39" s="1105"/>
      <c r="G39" s="1105"/>
      <c r="H39" s="1105"/>
      <c r="I39" s="1105"/>
      <c r="J39" s="1105"/>
      <c r="K39" s="1093"/>
      <c r="L39" s="93"/>
      <c r="M39" s="2179" t="s">
        <v>6142</v>
      </c>
      <c r="N39" s="2179"/>
      <c r="O39" s="2179"/>
      <c r="P39" s="2179"/>
      <c r="Q39" s="2179"/>
      <c r="R39" s="2179"/>
      <c r="S39" s="592"/>
      <c r="T39" s="1117">
        <v>1</v>
      </c>
      <c r="U39" s="1117">
        <f>T39+1</f>
        <v>2</v>
      </c>
      <c r="V39" s="1117">
        <f>U39+1</f>
        <v>3</v>
      </c>
      <c r="W39" s="1117">
        <f>V39+1</f>
        <v>4</v>
      </c>
      <c r="X39" s="1117">
        <f>W39+1</f>
        <v>5</v>
      </c>
      <c r="Y39" s="1117" t="s">
        <v>3816</v>
      </c>
      <c r="Z39" s="1117">
        <f>X39+1</f>
        <v>6</v>
      </c>
      <c r="AA39" s="1117">
        <f>Z39+1</f>
        <v>7</v>
      </c>
      <c r="AB39" s="1117">
        <f>AA39+1</f>
        <v>8</v>
      </c>
      <c r="AC39" s="1117">
        <f>AB39+1</f>
        <v>9</v>
      </c>
      <c r="AD39" s="1117">
        <f>AC39+1</f>
        <v>10</v>
      </c>
      <c r="AE39" s="1117" t="s">
        <v>3816</v>
      </c>
      <c r="AF39" s="1117">
        <f>AD39+1</f>
        <v>11</v>
      </c>
      <c r="AG39" s="1117">
        <f>AF39+1</f>
        <v>12</v>
      </c>
      <c r="AH39" s="1117">
        <f>AG39+1</f>
        <v>13</v>
      </c>
      <c r="AI39" s="1117">
        <f>AH39+1</f>
        <v>14</v>
      </c>
      <c r="AJ39" s="1117">
        <f>AI39+1</f>
        <v>15</v>
      </c>
      <c r="AK39" s="1117" t="s">
        <v>3816</v>
      </c>
      <c r="AL39" s="1117">
        <f>AJ39+1</f>
        <v>16</v>
      </c>
      <c r="AM39" s="1117">
        <f>AL39+1</f>
        <v>17</v>
      </c>
      <c r="AN39" s="1117">
        <f>AM39+1</f>
        <v>18</v>
      </c>
      <c r="AO39" s="1117">
        <f>AN39+1</f>
        <v>19</v>
      </c>
      <c r="AP39" s="1117">
        <f>AO39+1</f>
        <v>20</v>
      </c>
      <c r="AQ39" s="1117" t="s">
        <v>3816</v>
      </c>
      <c r="AR39" s="1117">
        <f>AP39+1</f>
        <v>21</v>
      </c>
      <c r="AS39" s="1117">
        <f>AR39+1</f>
        <v>22</v>
      </c>
      <c r="AT39" s="1117">
        <f>AS39+1</f>
        <v>23</v>
      </c>
      <c r="AU39" s="1117">
        <f>AT39+1</f>
        <v>24</v>
      </c>
      <c r="AV39" s="1117">
        <f>AU39+1</f>
        <v>25</v>
      </c>
      <c r="AW39" s="1117"/>
      <c r="AX39" s="297"/>
      <c r="AY39" s="1116"/>
      <c r="AZ39" s="698"/>
      <c r="BA39" s="102"/>
      <c r="BB39" s="2206" t="s">
        <v>4096</v>
      </c>
      <c r="BC39" s="2206"/>
      <c r="BD39" s="2206"/>
      <c r="BE39" s="2206"/>
      <c r="BF39" s="2206"/>
      <c r="BG39" s="2206"/>
      <c r="BH39" s="2206"/>
      <c r="BI39" s="2206"/>
      <c r="BJ39" s="2206"/>
      <c r="BK39" s="2206"/>
      <c r="BL39" s="2206"/>
      <c r="BM39" s="2206"/>
      <c r="BN39" s="2206"/>
      <c r="BO39" s="2206"/>
      <c r="BR39" s="102"/>
      <c r="BS39" s="2219" t="str">
        <f>IF(CA39&lt;&gt;"",IF(AND(INDEX(WeaponTable,MATCH(Weapons!E$11,WeaponList,0),5)&lt;&gt;"heavy",Feats!$M$361&gt;0),2,""),"")</f>
        <v/>
      </c>
      <c r="BT39" s="2219"/>
      <c r="BU39" s="2219"/>
      <c r="BV39" s="2219"/>
      <c r="BW39" s="2219"/>
      <c r="BX39" s="2219"/>
      <c r="BY39" s="2219"/>
      <c r="BZ39" s="2220"/>
      <c r="CA39" s="2225" t="str">
        <f>IF(AND(AQ7="Ranged",J7&lt;&gt;""),IF(Feats!$M$233&gt;0,1,0),"")</f>
        <v/>
      </c>
      <c r="CB39" s="2219"/>
      <c r="CC39" s="2219"/>
      <c r="CD39" s="2219"/>
      <c r="CE39" s="2219"/>
      <c r="CF39" s="2219"/>
      <c r="CG39" s="2219"/>
      <c r="CH39" s="2220"/>
      <c r="CI39" s="2219" t="str">
        <f>IF(AND(AQ7="Ranged",J9&lt;&gt;""),IF(OR(Weapons!E$27="Accurate",COUNTIF(Weapons!E$56:E$60,"Rangefinder")&gt;0),0,IF(Feats!$M$107&gt;0,0,-2)),"")</f>
        <v/>
      </c>
      <c r="CJ39" s="2219"/>
      <c r="CK39" s="2219"/>
      <c r="CL39" s="2219"/>
      <c r="CM39" s="2219"/>
      <c r="CN39" s="2219"/>
      <c r="CO39" s="2219"/>
      <c r="CP39" s="2220"/>
      <c r="CQ39" s="2225" t="str">
        <f>IF(AND(AQ7="Ranged",J9&lt;&gt;""),IF(Feats!$M$107&gt;0,-2,-5),"")</f>
        <v/>
      </c>
      <c r="CR39" s="2219"/>
      <c r="CS39" s="2219"/>
      <c r="CT39" s="2219"/>
      <c r="CU39" s="2219"/>
      <c r="CV39" s="2219"/>
      <c r="CW39" s="2219"/>
      <c r="CX39" s="2220"/>
      <c r="CY39" s="2231" t="str">
        <f>IF(AND(AQ7="Ranged",J9&lt;&gt;""),IF(Weapons!E$27="Inaccurate","N/A",IF(Feats!$M$107&gt;0,-5,-10)),"")</f>
        <v/>
      </c>
      <c r="CZ39" s="2232"/>
      <c r="DA39" s="2232"/>
      <c r="DB39" s="2232"/>
      <c r="DC39" s="2232"/>
      <c r="DD39" s="2232"/>
      <c r="DE39" s="2232"/>
      <c r="DF39" s="2232"/>
      <c r="DG39" s="100"/>
      <c r="DH39" s="976"/>
      <c r="FL39" s="1019" t="str">
        <f>IF(Weapons!E$16="Dual Wield",IF(Weapons!O$16="Dual Wield",IF(AND(FL21&lt;&gt;"",FL63&lt;&gt;""),FL21&amp;" and "&amp;RIGHT(FL63,IF(Weapons!E$12="Melee",LEN(FL63)-6,LEN(FL63)-7)),""),""),"")</f>
        <v/>
      </c>
      <c r="FM39" s="1019" t="str">
        <f t="shared" si="0"/>
        <v/>
      </c>
      <c r="FN39" s="1019"/>
    </row>
    <row r="40" spans="1:170" ht="9" customHeight="1">
      <c r="D40" s="331"/>
      <c r="E40" s="1105"/>
      <c r="F40" s="1105"/>
      <c r="G40" s="1105"/>
      <c r="H40" s="1105"/>
      <c r="I40" s="1105"/>
      <c r="J40" s="1105"/>
      <c r="K40" s="657"/>
      <c r="L40" s="102"/>
      <c r="M40" s="2180"/>
      <c r="N40" s="2180"/>
      <c r="O40" s="2180"/>
      <c r="P40" s="2180"/>
      <c r="Q40" s="2180"/>
      <c r="R40" s="2180"/>
      <c r="S40" s="3"/>
      <c r="T40" s="657"/>
      <c r="U40" s="657"/>
      <c r="V40" s="1105"/>
      <c r="W40" s="1105"/>
      <c r="X40" s="1105"/>
      <c r="Y40" s="1105"/>
      <c r="Z40" s="712"/>
      <c r="AA40" s="712"/>
      <c r="AB40" s="595"/>
      <c r="AC40" s="595"/>
      <c r="AD40" s="595"/>
      <c r="AE40" s="595"/>
      <c r="AF40" s="595"/>
      <c r="AG40" s="595"/>
      <c r="AH40" s="595"/>
      <c r="AI40" s="595"/>
      <c r="AJ40" s="595"/>
      <c r="AK40" s="595"/>
      <c r="AL40" s="595"/>
      <c r="AM40" s="595"/>
      <c r="AN40" s="595"/>
      <c r="AO40" s="595"/>
      <c r="AP40" s="595"/>
      <c r="AQ40" s="595"/>
      <c r="AR40" s="595"/>
      <c r="AS40" s="595"/>
      <c r="AT40" s="595"/>
      <c r="AU40" s="595"/>
      <c r="AV40" s="595"/>
      <c r="AW40" s="595"/>
      <c r="AX40" s="300"/>
      <c r="AY40" s="595"/>
      <c r="AZ40" s="698"/>
      <c r="BA40" s="102"/>
      <c r="BB40" s="2206"/>
      <c r="BC40" s="2206"/>
      <c r="BD40" s="2206"/>
      <c r="BE40" s="2206"/>
      <c r="BF40" s="2206"/>
      <c r="BG40" s="2206"/>
      <c r="BH40" s="2206"/>
      <c r="BI40" s="2206"/>
      <c r="BJ40" s="2206"/>
      <c r="BK40" s="2206"/>
      <c r="BL40" s="2206"/>
      <c r="BM40" s="2206"/>
      <c r="BN40" s="2206"/>
      <c r="BO40" s="2206"/>
      <c r="BR40" s="102"/>
      <c r="BS40" s="2221"/>
      <c r="BT40" s="2221"/>
      <c r="BU40" s="2221"/>
      <c r="BV40" s="2221"/>
      <c r="BW40" s="2221"/>
      <c r="BX40" s="2221"/>
      <c r="BY40" s="2221"/>
      <c r="BZ40" s="2222"/>
      <c r="CA40" s="2228"/>
      <c r="CB40" s="2221"/>
      <c r="CC40" s="2221"/>
      <c r="CD40" s="2221"/>
      <c r="CE40" s="2221"/>
      <c r="CF40" s="2221"/>
      <c r="CG40" s="2221"/>
      <c r="CH40" s="2222"/>
      <c r="CI40" s="2221"/>
      <c r="CJ40" s="2221"/>
      <c r="CK40" s="2221"/>
      <c r="CL40" s="2221"/>
      <c r="CM40" s="2221"/>
      <c r="CN40" s="2221"/>
      <c r="CO40" s="2221"/>
      <c r="CP40" s="2222"/>
      <c r="CQ40" s="2228"/>
      <c r="CR40" s="2221"/>
      <c r="CS40" s="2221"/>
      <c r="CT40" s="2221"/>
      <c r="CU40" s="2221"/>
      <c r="CV40" s="2221"/>
      <c r="CW40" s="2221"/>
      <c r="CX40" s="2222"/>
      <c r="CY40" s="2233"/>
      <c r="CZ40" s="2234"/>
      <c r="DA40" s="2234"/>
      <c r="DB40" s="2234"/>
      <c r="DC40" s="2234"/>
      <c r="DD40" s="2234"/>
      <c r="DE40" s="2234"/>
      <c r="DF40" s="2234"/>
      <c r="DG40" s="100"/>
      <c r="DH40" s="976"/>
      <c r="FL40" s="1019" t="str">
        <f>IF(Weapons!E$16="Dual Wield",IF(Weapons!O$16="Dual Wield",IF(AND(FL22&lt;&gt;"",FL64&lt;&gt;""),FL22&amp;" and "&amp;RIGHT(FL64,IF(Weapons!E$12="Melee",LEN(FL64)-6,LEN(FL64)-7)),""),""),"")</f>
        <v/>
      </c>
      <c r="FM40" s="1019" t="str">
        <f t="shared" si="0"/>
        <v/>
      </c>
      <c r="FN40" s="1019"/>
    </row>
    <row r="41" spans="1:170" ht="9" customHeight="1">
      <c r="D41" s="331"/>
      <c r="E41" s="105"/>
      <c r="F41" s="105"/>
      <c r="G41" s="105"/>
      <c r="H41" s="105"/>
      <c r="I41" s="657"/>
      <c r="J41" s="657"/>
      <c r="K41" s="657"/>
      <c r="L41" s="102"/>
      <c r="M41" s="105"/>
      <c r="N41" s="105"/>
      <c r="O41" s="105"/>
      <c r="P41" s="105"/>
      <c r="Q41" s="657"/>
      <c r="R41" s="657"/>
      <c r="S41" s="3"/>
      <c r="T41" s="1105"/>
      <c r="U41" s="657"/>
      <c r="V41" s="657"/>
      <c r="W41" s="657"/>
      <c r="X41" s="657"/>
      <c r="Y41" s="657"/>
      <c r="Z41" s="657"/>
      <c r="AA41" s="657"/>
      <c r="AB41" s="657"/>
      <c r="AC41" s="657"/>
      <c r="AD41" s="657"/>
      <c r="AE41" s="657"/>
      <c r="AF41" s="657"/>
      <c r="AG41" s="657"/>
      <c r="AH41" s="657"/>
      <c r="AI41" s="657"/>
      <c r="AJ41" s="657"/>
      <c r="AK41" s="657"/>
      <c r="AL41" s="657"/>
      <c r="AM41" s="657"/>
      <c r="AN41" s="657"/>
      <c r="AO41" s="596"/>
      <c r="AP41" s="3"/>
      <c r="AQ41" s="3"/>
      <c r="AR41" s="3"/>
      <c r="AS41" s="3"/>
      <c r="AT41" s="3"/>
      <c r="AU41" s="3"/>
      <c r="AV41" s="3"/>
      <c r="AW41" s="3"/>
      <c r="AX41" s="103"/>
      <c r="AY41" s="1104"/>
      <c r="AZ41" s="698"/>
      <c r="BA41" s="102"/>
      <c r="BB41" s="2206"/>
      <c r="BC41" s="2206"/>
      <c r="BD41" s="2206"/>
      <c r="BE41" s="2206"/>
      <c r="BF41" s="2206"/>
      <c r="BG41" s="2206"/>
      <c r="BH41" s="2206"/>
      <c r="BI41" s="2206"/>
      <c r="BJ41" s="2206"/>
      <c r="BK41" s="2206"/>
      <c r="BL41" s="2206"/>
      <c r="BM41" s="2206"/>
      <c r="BN41" s="2206"/>
      <c r="BO41" s="2206"/>
      <c r="BR41" s="102"/>
      <c r="BS41" s="2198"/>
      <c r="BT41" s="2198"/>
      <c r="BU41" s="2198"/>
      <c r="BV41" s="2198"/>
      <c r="BW41" s="2198"/>
      <c r="BX41" s="2198"/>
      <c r="BY41" s="2198"/>
      <c r="BZ41" s="2199"/>
      <c r="CA41" s="2197"/>
      <c r="CB41" s="2198"/>
      <c r="CC41" s="2198"/>
      <c r="CD41" s="2198"/>
      <c r="CE41" s="2198"/>
      <c r="CF41" s="2198"/>
      <c r="CG41" s="2198"/>
      <c r="CH41" s="2199"/>
      <c r="CI41" s="2198"/>
      <c r="CJ41" s="2198"/>
      <c r="CK41" s="2198"/>
      <c r="CL41" s="2198"/>
      <c r="CM41" s="2198"/>
      <c r="CN41" s="2198"/>
      <c r="CO41" s="2198"/>
      <c r="CP41" s="2199"/>
      <c r="CQ41" s="2197"/>
      <c r="CR41" s="2198"/>
      <c r="CS41" s="2198"/>
      <c r="CT41" s="2198"/>
      <c r="CU41" s="2198"/>
      <c r="CV41" s="2198"/>
      <c r="CW41" s="2198"/>
      <c r="CX41" s="2199"/>
      <c r="CY41" s="2235"/>
      <c r="CZ41" s="2236"/>
      <c r="DA41" s="2236"/>
      <c r="DB41" s="2236"/>
      <c r="DC41" s="2236"/>
      <c r="DD41" s="2236"/>
      <c r="DE41" s="2236"/>
      <c r="DF41" s="2236"/>
      <c r="DG41" s="100"/>
      <c r="DH41" s="976"/>
      <c r="FL41" s="1019" t="str">
        <f>IF(Weapons!E$16="Dual Wield",IF(Weapons!O$16="Dual Wield",IF(AND(FL23&lt;&gt;"",FL65&lt;&gt;""),FL23&amp;" and "&amp;RIGHT(FL65,IF(Weapons!E$12="Melee",LEN(FL65)-6,LEN(FL65)-7)),""),""),"")</f>
        <v/>
      </c>
      <c r="FM41" s="1019" t="str">
        <f t="shared" si="0"/>
        <v/>
      </c>
      <c r="FN41" s="1019"/>
    </row>
    <row r="42" spans="1:170" ht="9" customHeight="1">
      <c r="D42" s="331"/>
      <c r="E42" s="105"/>
      <c r="F42" s="105"/>
      <c r="G42" s="105"/>
      <c r="H42" s="105"/>
      <c r="I42" s="657"/>
      <c r="J42" s="657"/>
      <c r="K42" s="657"/>
      <c r="L42" s="102"/>
      <c r="M42" s="105"/>
      <c r="N42" s="105"/>
      <c r="O42" s="105"/>
      <c r="P42" s="105"/>
      <c r="Q42" s="657"/>
      <c r="R42" s="657"/>
      <c r="S42" s="3"/>
      <c r="T42" s="1105"/>
      <c r="U42" s="657"/>
      <c r="V42" s="657"/>
      <c r="W42" s="657"/>
      <c r="X42" s="657"/>
      <c r="Y42" s="657"/>
      <c r="Z42" s="657"/>
      <c r="AA42" s="657"/>
      <c r="AB42" s="657"/>
      <c r="AC42" s="657"/>
      <c r="AD42" s="657"/>
      <c r="AE42" s="657"/>
      <c r="AF42" s="657"/>
      <c r="AG42" s="657"/>
      <c r="AH42" s="657"/>
      <c r="AI42" s="657"/>
      <c r="AJ42" s="657"/>
      <c r="AK42" s="657"/>
      <c r="AL42" s="657"/>
      <c r="AM42" s="657"/>
      <c r="AN42" s="657"/>
      <c r="AO42" s="596"/>
      <c r="AP42" s="3"/>
      <c r="AQ42" s="3"/>
      <c r="AR42" s="3"/>
      <c r="AS42" s="3"/>
      <c r="AT42" s="3"/>
      <c r="AU42" s="3"/>
      <c r="AV42" s="3"/>
      <c r="AW42" s="3"/>
      <c r="AX42" s="300"/>
      <c r="AY42" s="1104"/>
      <c r="AZ42" s="698"/>
      <c r="BA42" s="102"/>
      <c r="BB42" s="2206" t="s">
        <v>3732</v>
      </c>
      <c r="BC42" s="2206"/>
      <c r="BD42" s="2206"/>
      <c r="BE42" s="2206"/>
      <c r="BF42" s="2206"/>
      <c r="BG42" s="2206"/>
      <c r="BH42" s="2206"/>
      <c r="BI42" s="2206"/>
      <c r="BJ42" s="2206"/>
      <c r="BK42" s="2206"/>
      <c r="BL42" s="2206"/>
      <c r="BM42" s="2206"/>
      <c r="BN42" s="2206"/>
      <c r="BO42" s="2206"/>
      <c r="BR42" s="102"/>
      <c r="BS42" s="2210" t="str">
        <f>IF(CA42&lt;&gt;"",IF(AND(INDEX(WeaponTable,MATCH(Weapons!E$11,WeaponList,0),5)&lt;&gt;"heavy",Feats!$M$361&gt;0),"+1d"&amp;Weapons!E$79&amp;"+1",""),"")</f>
        <v/>
      </c>
      <c r="BT42" s="2210"/>
      <c r="BU42" s="2210"/>
      <c r="BV42" s="2210"/>
      <c r="BW42" s="2210"/>
      <c r="BX42" s="2210"/>
      <c r="BY42" s="2210"/>
      <c r="BZ42" s="2211"/>
      <c r="CA42" s="2225" t="str">
        <f>IF(CA39&lt;&gt;"",IF(CA39&lt;&gt;0,CA39,""),"")</f>
        <v/>
      </c>
      <c r="CB42" s="2210"/>
      <c r="CC42" s="2210"/>
      <c r="CD42" s="2210"/>
      <c r="CE42" s="2210"/>
      <c r="CF42" s="2210"/>
      <c r="CG42" s="2210"/>
      <c r="CH42" s="2211"/>
      <c r="CI42" s="2210"/>
      <c r="CJ42" s="2210"/>
      <c r="CK42" s="2210"/>
      <c r="CL42" s="2210"/>
      <c r="CM42" s="2210"/>
      <c r="CN42" s="2210"/>
      <c r="CO42" s="2210"/>
      <c r="CP42" s="2211"/>
      <c r="CQ42" s="2229"/>
      <c r="CR42" s="2210"/>
      <c r="CS42" s="2210"/>
      <c r="CT42" s="2210"/>
      <c r="CU42" s="2210"/>
      <c r="CV42" s="2210"/>
      <c r="CW42" s="2210"/>
      <c r="CX42" s="2211"/>
      <c r="CY42" s="2229"/>
      <c r="CZ42" s="2210"/>
      <c r="DA42" s="2210"/>
      <c r="DB42" s="2210"/>
      <c r="DC42" s="2210"/>
      <c r="DD42" s="2210"/>
      <c r="DE42" s="2210"/>
      <c r="DF42" s="2210"/>
      <c r="DG42" s="100"/>
      <c r="DH42" s="976"/>
      <c r="FL42" s="1019"/>
      <c r="FM42" s="1022" t="s">
        <v>195</v>
      </c>
      <c r="FN42" s="1019"/>
    </row>
    <row r="43" spans="1:170" ht="9" customHeight="1" thickBot="1">
      <c r="D43" s="331"/>
      <c r="E43" s="3"/>
      <c r="J43" s="105"/>
      <c r="K43" s="105"/>
      <c r="L43" s="102"/>
      <c r="M43" s="3"/>
      <c r="N43" s="3"/>
      <c r="O43" s="3"/>
      <c r="P43" s="3"/>
      <c r="Q43" s="3"/>
      <c r="R43" s="105"/>
      <c r="S43" s="3"/>
      <c r="T43" s="1105"/>
      <c r="U43" s="657"/>
      <c r="V43" s="657"/>
      <c r="W43" s="657"/>
      <c r="X43" s="657"/>
      <c r="Y43" s="657"/>
      <c r="Z43" s="657"/>
      <c r="AA43" s="657"/>
      <c r="AB43" s="657"/>
      <c r="AC43" s="657"/>
      <c r="AD43" s="657"/>
      <c r="AE43" s="657"/>
      <c r="AF43" s="657"/>
      <c r="AG43" s="657"/>
      <c r="AH43" s="657"/>
      <c r="AI43" s="657"/>
      <c r="AJ43" s="657"/>
      <c r="AK43" s="657"/>
      <c r="AL43" s="657"/>
      <c r="AM43" s="657"/>
      <c r="AN43" s="657"/>
      <c r="AO43" s="596"/>
      <c r="AP43" s="3"/>
      <c r="AQ43" s="3"/>
      <c r="AR43" s="3"/>
      <c r="AS43" s="3"/>
      <c r="AT43" s="3"/>
      <c r="AU43" s="3"/>
      <c r="AV43" s="3"/>
      <c r="AW43" s="1118"/>
      <c r="AX43" s="103"/>
      <c r="AY43" s="710"/>
      <c r="AZ43" s="698"/>
      <c r="BA43" s="102"/>
      <c r="BB43" s="2206"/>
      <c r="BC43" s="2206"/>
      <c r="BD43" s="2206"/>
      <c r="BE43" s="2206"/>
      <c r="BF43" s="2206"/>
      <c r="BG43" s="2206"/>
      <c r="BH43" s="2206"/>
      <c r="BI43" s="2206"/>
      <c r="BJ43" s="2206"/>
      <c r="BK43" s="2206"/>
      <c r="BL43" s="2206"/>
      <c r="BM43" s="2206"/>
      <c r="BN43" s="2206"/>
      <c r="BO43" s="2206"/>
      <c r="BQ43" s="108"/>
      <c r="BR43" s="647"/>
      <c r="BS43" s="2212"/>
      <c r="BT43" s="2212"/>
      <c r="BU43" s="2212"/>
      <c r="BV43" s="2212"/>
      <c r="BW43" s="2212"/>
      <c r="BX43" s="2212"/>
      <c r="BY43" s="2212"/>
      <c r="BZ43" s="2213"/>
      <c r="CA43" s="2226"/>
      <c r="CB43" s="2212"/>
      <c r="CC43" s="2212"/>
      <c r="CD43" s="2212"/>
      <c r="CE43" s="2212"/>
      <c r="CF43" s="2212"/>
      <c r="CG43" s="2212"/>
      <c r="CH43" s="2213"/>
      <c r="CI43" s="2212"/>
      <c r="CJ43" s="2212"/>
      <c r="CK43" s="2212"/>
      <c r="CL43" s="2212"/>
      <c r="CM43" s="2212"/>
      <c r="CN43" s="2212"/>
      <c r="CO43" s="2212"/>
      <c r="CP43" s="2213"/>
      <c r="CQ43" s="2226"/>
      <c r="CR43" s="2212"/>
      <c r="CS43" s="2212"/>
      <c r="CT43" s="2212"/>
      <c r="CU43" s="2212"/>
      <c r="CV43" s="2212"/>
      <c r="CW43" s="2212"/>
      <c r="CX43" s="2213"/>
      <c r="CY43" s="2226"/>
      <c r="CZ43" s="2212"/>
      <c r="DA43" s="2212"/>
      <c r="DB43" s="2212"/>
      <c r="DC43" s="2212"/>
      <c r="DD43" s="2212"/>
      <c r="DE43" s="2212"/>
      <c r="DF43" s="2212"/>
      <c r="DG43" s="100"/>
      <c r="DH43" s="976"/>
      <c r="FL43" s="1019"/>
      <c r="FM43" s="1019"/>
      <c r="FN43" s="1019"/>
    </row>
    <row r="44" spans="1:170" ht="9" customHeight="1" thickTop="1" thickBot="1">
      <c r="D44" s="105"/>
      <c r="E44" s="3"/>
      <c r="L44" s="91"/>
      <c r="M44" s="713"/>
      <c r="N44" s="713"/>
      <c r="O44" s="713"/>
      <c r="P44" s="713"/>
      <c r="Q44" s="713"/>
      <c r="R44" s="713"/>
      <c r="S44" s="713"/>
      <c r="T44" s="713"/>
      <c r="U44" s="713"/>
      <c r="V44" s="713"/>
      <c r="W44" s="713"/>
      <c r="X44" s="713"/>
      <c r="Y44" s="713"/>
      <c r="Z44" s="713"/>
      <c r="AA44" s="713"/>
      <c r="AB44" s="713"/>
      <c r="AC44" s="713"/>
      <c r="AD44" s="713"/>
      <c r="AE44" s="713"/>
      <c r="AF44" s="713"/>
      <c r="AG44" s="713"/>
      <c r="AH44" s="713"/>
      <c r="AI44" s="713"/>
      <c r="AJ44" s="713"/>
      <c r="AK44" s="713"/>
      <c r="AL44" s="713"/>
      <c r="AM44" s="713"/>
      <c r="AN44" s="713"/>
      <c r="AO44" s="713"/>
      <c r="AP44" s="713"/>
      <c r="AQ44" s="713"/>
      <c r="AR44" s="713"/>
      <c r="AS44" s="713"/>
      <c r="AT44" s="713"/>
      <c r="AU44" s="713"/>
      <c r="AV44" s="713"/>
      <c r="AW44" s="1119"/>
      <c r="AX44" s="90"/>
      <c r="AY44" s="710"/>
      <c r="AZ44" s="710"/>
      <c r="BA44" s="649"/>
      <c r="BB44" s="2240"/>
      <c r="BC44" s="2240"/>
      <c r="BD44" s="2240"/>
      <c r="BE44" s="2240"/>
      <c r="BF44" s="2240"/>
      <c r="BG44" s="2240"/>
      <c r="BH44" s="2240"/>
      <c r="BI44" s="2240"/>
      <c r="BJ44" s="2240"/>
      <c r="BK44" s="2240"/>
      <c r="BL44" s="2240"/>
      <c r="BM44" s="2240"/>
      <c r="BN44" s="2240"/>
      <c r="BO44" s="2240"/>
      <c r="BP44" s="93"/>
      <c r="BQ44" s="698"/>
      <c r="BR44" s="649"/>
      <c r="BS44" s="2223"/>
      <c r="BT44" s="2223"/>
      <c r="BU44" s="2223"/>
      <c r="BV44" s="2223"/>
      <c r="BW44" s="2223"/>
      <c r="BX44" s="2223"/>
      <c r="BY44" s="2223"/>
      <c r="BZ44" s="2224"/>
      <c r="CA44" s="2227"/>
      <c r="CB44" s="2223"/>
      <c r="CC44" s="2223"/>
      <c r="CD44" s="2223"/>
      <c r="CE44" s="2223"/>
      <c r="CF44" s="2223"/>
      <c r="CG44" s="2223"/>
      <c r="CH44" s="2224"/>
      <c r="CI44" s="2223"/>
      <c r="CJ44" s="2223"/>
      <c r="CK44" s="2223"/>
      <c r="CL44" s="2223"/>
      <c r="CM44" s="2223"/>
      <c r="CN44" s="2223"/>
      <c r="CO44" s="2223"/>
      <c r="CP44" s="2224"/>
      <c r="CQ44" s="2227"/>
      <c r="CR44" s="2223"/>
      <c r="CS44" s="2223"/>
      <c r="CT44" s="2223"/>
      <c r="CU44" s="2223"/>
      <c r="CV44" s="2223"/>
      <c r="CW44" s="2223"/>
      <c r="CX44" s="2224"/>
      <c r="CY44" s="2227"/>
      <c r="CZ44" s="2223"/>
      <c r="DA44" s="2223"/>
      <c r="DB44" s="2223"/>
      <c r="DC44" s="2223"/>
      <c r="DD44" s="2223"/>
      <c r="DE44" s="2223"/>
      <c r="DF44" s="2223"/>
      <c r="DG44" s="93"/>
      <c r="DH44" s="976"/>
      <c r="FL44" s="1019"/>
      <c r="FM44" s="1019"/>
      <c r="FN44" s="1019"/>
    </row>
    <row r="45" spans="1:170" ht="9" customHeight="1" thickTop="1">
      <c r="D45" s="3"/>
      <c r="E45" s="3"/>
      <c r="F45" s="3"/>
      <c r="G45" s="3"/>
      <c r="H45" s="3"/>
      <c r="I45" s="3"/>
      <c r="J45" s="3"/>
      <c r="K45" s="3"/>
      <c r="L45" s="1104"/>
      <c r="M45" s="1104"/>
      <c r="N45" s="1104"/>
      <c r="O45" s="1104"/>
      <c r="P45" s="1104"/>
      <c r="Q45" s="1104"/>
      <c r="R45" s="1104"/>
      <c r="S45" s="1104"/>
      <c r="T45" s="1104"/>
      <c r="U45" s="1104"/>
      <c r="V45" s="1104"/>
      <c r="W45" s="1104"/>
      <c r="X45" s="1104"/>
      <c r="Y45" s="1104"/>
      <c r="Z45" s="1104"/>
      <c r="AA45" s="1104"/>
      <c r="AB45" s="1104"/>
      <c r="AC45" s="1104"/>
      <c r="AD45" s="1104"/>
      <c r="AE45" s="1104"/>
      <c r="AF45" s="1104"/>
      <c r="AG45" s="1104"/>
      <c r="AH45" s="1104"/>
      <c r="AI45" s="1104"/>
      <c r="AJ45" s="1104"/>
      <c r="AK45" s="1104"/>
      <c r="AL45" s="1104"/>
      <c r="AM45" s="1104"/>
      <c r="AN45" s="1104"/>
      <c r="AO45" s="1104"/>
      <c r="AP45" s="1104"/>
      <c r="AQ45" s="1104"/>
      <c r="AR45" s="1104"/>
      <c r="AS45" s="1104"/>
      <c r="AT45" s="1104"/>
      <c r="AU45" s="1104"/>
      <c r="AV45" s="1104"/>
      <c r="AW45" s="1104"/>
      <c r="AX45" s="1104"/>
      <c r="AY45" s="1104"/>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976"/>
      <c r="DI45" s="3"/>
      <c r="DJ45" s="3"/>
      <c r="FL45" s="1019"/>
      <c r="FM45" s="1019"/>
      <c r="FN45" s="1019"/>
    </row>
    <row r="46" spans="1:170" ht="9" customHeight="1" thickBot="1">
      <c r="A46" s="910"/>
      <c r="B46" s="910"/>
      <c r="C46" s="910"/>
      <c r="D46" s="942"/>
      <c r="E46" s="942"/>
      <c r="F46" s="942"/>
      <c r="G46" s="942"/>
      <c r="H46" s="942"/>
      <c r="I46" s="942"/>
      <c r="J46" s="942"/>
      <c r="K46" s="942"/>
      <c r="L46" s="942"/>
      <c r="M46" s="942"/>
      <c r="N46" s="942"/>
      <c r="O46" s="942"/>
      <c r="P46" s="942"/>
      <c r="Q46" s="942"/>
      <c r="R46" s="942"/>
      <c r="S46" s="942"/>
      <c r="T46" s="942"/>
      <c r="U46" s="942"/>
      <c r="V46" s="942"/>
      <c r="W46" s="942"/>
      <c r="X46" s="942"/>
      <c r="Y46" s="942"/>
      <c r="Z46" s="942"/>
      <c r="AA46" s="942"/>
      <c r="AB46" s="942"/>
      <c r="AC46" s="942"/>
      <c r="AD46" s="942"/>
      <c r="AE46" s="942"/>
      <c r="AF46" s="942"/>
      <c r="AG46" s="942"/>
      <c r="AH46" s="942"/>
      <c r="AI46" s="942"/>
      <c r="AJ46" s="942"/>
      <c r="AK46" s="942"/>
      <c r="AL46" s="942"/>
      <c r="AM46" s="942"/>
      <c r="AN46" s="942"/>
      <c r="AO46" s="942"/>
      <c r="AP46" s="942"/>
      <c r="AQ46" s="942"/>
      <c r="AR46" s="942"/>
      <c r="AS46" s="942"/>
      <c r="AT46" s="942"/>
      <c r="AU46" s="942"/>
      <c r="AV46" s="942"/>
      <c r="AW46" s="942"/>
      <c r="AX46" s="942"/>
      <c r="AY46" s="942"/>
      <c r="AZ46" s="942"/>
      <c r="BA46" s="942"/>
      <c r="BB46" s="942"/>
      <c r="BC46" s="942"/>
      <c r="BD46" s="942"/>
      <c r="BE46" s="942"/>
      <c r="BF46" s="942"/>
      <c r="BG46" s="942"/>
      <c r="BH46" s="942"/>
      <c r="BI46" s="942"/>
      <c r="BJ46" s="942"/>
      <c r="BK46" s="942"/>
      <c r="BL46" s="942"/>
      <c r="BM46" s="942"/>
      <c r="BN46" s="942"/>
      <c r="BO46" s="942"/>
      <c r="BP46" s="942"/>
      <c r="BQ46" s="942"/>
      <c r="BR46" s="942"/>
      <c r="BS46" s="942"/>
      <c r="BT46" s="942"/>
      <c r="BU46" s="942"/>
      <c r="BV46" s="942"/>
      <c r="BW46" s="942"/>
      <c r="BX46" s="942"/>
      <c r="BY46" s="942"/>
      <c r="BZ46" s="942"/>
      <c r="CA46" s="942"/>
      <c r="CB46" s="942"/>
      <c r="CC46" s="942"/>
      <c r="CD46" s="942"/>
      <c r="CE46" s="942"/>
      <c r="CF46" s="942"/>
      <c r="CG46" s="942"/>
      <c r="CH46" s="942"/>
      <c r="CI46" s="942"/>
      <c r="CJ46" s="942"/>
      <c r="CK46" s="942"/>
      <c r="CL46" s="942"/>
      <c r="CM46" s="942"/>
      <c r="CN46" s="942"/>
      <c r="CO46" s="942"/>
      <c r="CP46" s="942"/>
      <c r="CQ46" s="942"/>
      <c r="CR46" s="942"/>
      <c r="CS46" s="942"/>
      <c r="CT46" s="942"/>
      <c r="CU46" s="942"/>
      <c r="CV46" s="942"/>
      <c r="CW46" s="942"/>
      <c r="CX46" s="942"/>
      <c r="CY46" s="942"/>
      <c r="CZ46" s="942"/>
      <c r="DA46" s="942"/>
      <c r="DB46" s="942"/>
      <c r="DC46" s="942"/>
      <c r="DD46" s="942"/>
      <c r="DE46" s="942"/>
      <c r="DF46" s="942"/>
      <c r="DG46" s="942"/>
      <c r="DH46" s="978"/>
      <c r="DI46" s="942"/>
      <c r="DJ46" s="942"/>
      <c r="DK46" s="942"/>
      <c r="DL46" s="910"/>
      <c r="DM46" s="910"/>
      <c r="DN46" s="910"/>
      <c r="DO46" s="910"/>
      <c r="DP46" s="910"/>
      <c r="DQ46" s="910"/>
      <c r="DR46" s="910"/>
      <c r="DS46" s="910"/>
      <c r="DT46" s="910"/>
      <c r="DU46" s="910"/>
      <c r="DV46" s="910"/>
      <c r="DW46" s="910"/>
      <c r="DX46" s="910"/>
      <c r="DY46" s="910"/>
      <c r="DZ46" s="910"/>
      <c r="EA46" s="910"/>
      <c r="EB46" s="910"/>
      <c r="EC46" s="910"/>
      <c r="ED46" s="910"/>
      <c r="EE46" s="910"/>
      <c r="EF46" s="910"/>
      <c r="EG46" s="910"/>
      <c r="EH46" s="910"/>
      <c r="EI46" s="910"/>
      <c r="EJ46" s="910"/>
      <c r="EK46" s="910"/>
      <c r="EL46" s="910"/>
      <c r="EM46" s="910"/>
      <c r="EN46" s="910"/>
      <c r="EO46" s="910"/>
      <c r="EP46" s="910"/>
      <c r="EQ46" s="910"/>
      <c r="ER46" s="910"/>
      <c r="ES46" s="910"/>
      <c r="ET46" s="910"/>
      <c r="EU46" s="910"/>
      <c r="EV46" s="910"/>
      <c r="EW46" s="910"/>
      <c r="EX46" s="910"/>
      <c r="EY46" s="910"/>
      <c r="EZ46" s="910"/>
      <c r="FA46" s="910"/>
      <c r="FB46" s="910"/>
      <c r="FC46" s="910"/>
      <c r="FD46" s="910"/>
      <c r="FE46" s="910"/>
      <c r="FF46" s="910"/>
      <c r="FG46" s="910"/>
      <c r="FH46" s="910"/>
      <c r="FI46" s="910"/>
      <c r="FJ46" s="910"/>
      <c r="FK46" s="910"/>
      <c r="FL46" s="1019"/>
      <c r="FM46" s="1019"/>
      <c r="FN46" s="1019"/>
    </row>
    <row r="47" spans="1:170" ht="9" customHeight="1">
      <c r="BT47" s="2246">
        <f ca="1">IF(NOT(ISERROR(FIND(INDEX(MultiattackProficiencyTable,MATCH(INDEX(WeaponTable,MATCH(Weapons!O$11,WeaponList,0),5),MultiattackProficiencyType,0),1),TalentsTakenList,1))),INDEX(MultiattackProficiencyTable,MATCH(INDEX(WeaponTable,MATCH(Weapons!O$11,WeaponList,0),5),MultiattackProficiencyType,0),2),0)</f>
        <v>0</v>
      </c>
      <c r="BU47" s="2246"/>
      <c r="BV47" s="2246"/>
      <c r="BW47" s="2246"/>
      <c r="FL47" s="1019"/>
      <c r="FM47" s="1019"/>
      <c r="FN47" s="1019"/>
    </row>
    <row r="48" spans="1:170" ht="9" customHeight="1" thickBot="1">
      <c r="A48" s="910"/>
      <c r="B48" s="910"/>
      <c r="C48" s="910"/>
      <c r="D48" s="910"/>
      <c r="E48" s="910"/>
      <c r="F48" s="910"/>
      <c r="G48" s="910"/>
      <c r="H48" s="910"/>
      <c r="I48" s="910"/>
      <c r="J48" s="910"/>
      <c r="K48" s="910"/>
      <c r="L48" s="910"/>
      <c r="M48" s="910"/>
      <c r="N48" s="910"/>
      <c r="O48" s="910"/>
      <c r="P48" s="910"/>
      <c r="Q48" s="910"/>
      <c r="R48" s="910"/>
      <c r="S48" s="910"/>
      <c r="T48" s="910"/>
      <c r="U48" s="910"/>
      <c r="V48" s="910"/>
      <c r="W48" s="910"/>
      <c r="X48" s="910"/>
      <c r="Y48" s="910"/>
      <c r="Z48" s="910"/>
      <c r="AA48" s="910"/>
      <c r="AB48" s="910"/>
      <c r="AC48" s="910"/>
      <c r="AD48" s="910"/>
      <c r="AE48" s="910"/>
      <c r="AF48" s="910"/>
      <c r="AG48" s="910"/>
      <c r="AH48" s="910"/>
      <c r="AI48" s="910"/>
      <c r="AJ48" s="910"/>
      <c r="AK48" s="910"/>
      <c r="AL48" s="910"/>
      <c r="AM48" s="910"/>
      <c r="AN48" s="910"/>
      <c r="AO48" s="910"/>
      <c r="AP48" s="910"/>
      <c r="AQ48" s="910"/>
      <c r="AR48" s="910"/>
      <c r="AS48" s="910"/>
      <c r="AT48" s="910"/>
      <c r="AU48" s="910"/>
      <c r="AV48" s="910"/>
      <c r="AW48" s="910"/>
      <c r="AX48" s="910"/>
      <c r="AY48" s="910"/>
      <c r="AZ48" s="910"/>
      <c r="BA48" s="910"/>
      <c r="BB48" s="910"/>
      <c r="BC48" s="910"/>
      <c r="BD48" s="910"/>
      <c r="BE48" s="910"/>
      <c r="BF48" s="910"/>
      <c r="BG48" s="910"/>
      <c r="BH48" s="910"/>
      <c r="BI48" s="910"/>
      <c r="BJ48" s="910"/>
      <c r="BK48" s="910"/>
      <c r="BL48" s="910"/>
      <c r="BM48" s="910"/>
      <c r="BN48" s="910"/>
      <c r="BO48" s="910"/>
      <c r="BP48" s="910"/>
      <c r="BQ48" s="910"/>
      <c r="BR48" s="910"/>
      <c r="BS48" s="910"/>
      <c r="BT48" s="2181" t="e">
        <f ca="1">MIN(IF(INDEX(WeaponTable,MATCH(Weapons!O$11,WeaponList,0),4)&lt;&gt;"EWP",BT47,IF(NOT(ISERROR(FIND(Lists!$CC$8,TalentsTakenList,1))),Lists!$CD$8,0))-5,0)</f>
        <v>#N/A</v>
      </c>
      <c r="BU48" s="2181"/>
      <c r="BV48" s="2181"/>
      <c r="BW48" s="2181"/>
      <c r="BX48" s="2181" t="e">
        <f ca="1">MIN(IF(INDEX(WeaponTable,MATCH(Weapons!O$11,WeaponList,0),4)&lt;&gt;"EWP",BT47,IF(NOT(ISERROR(FIND(Lists!$CC$8,TalentsTakenList,1))),Lists!$CD$8,0))-10,0)</f>
        <v>#N/A</v>
      </c>
      <c r="BY48" s="2181"/>
      <c r="BZ48" s="2181"/>
      <c r="CA48" s="2181"/>
      <c r="CB48" s="910"/>
      <c r="CC48" s="910"/>
      <c r="CD48" s="910"/>
      <c r="CE48" s="910"/>
      <c r="CF48" s="910"/>
      <c r="CG48" s="910"/>
      <c r="CH48" s="910"/>
      <c r="CI48" s="910"/>
      <c r="CJ48" s="910"/>
      <c r="CK48" s="910"/>
      <c r="CL48" s="910"/>
      <c r="CM48" s="910"/>
      <c r="CN48" s="910"/>
      <c r="CO48" s="910"/>
      <c r="CP48" s="910"/>
      <c r="CQ48" s="910"/>
      <c r="CR48" s="910"/>
      <c r="CS48" s="910"/>
      <c r="CT48" s="910"/>
      <c r="CU48" s="910"/>
      <c r="CV48" s="910"/>
      <c r="CW48" s="910"/>
      <c r="CX48" s="910"/>
      <c r="CY48" s="910"/>
      <c r="CZ48" s="910"/>
      <c r="DA48" s="910"/>
      <c r="DB48" s="910"/>
      <c r="DC48" s="910"/>
      <c r="DD48" s="910"/>
      <c r="DE48" s="910"/>
      <c r="DF48" s="910"/>
      <c r="DG48" s="910"/>
      <c r="DI48" s="910"/>
      <c r="DJ48" s="910"/>
      <c r="DK48" s="910"/>
      <c r="DL48" s="910"/>
      <c r="DM48" s="910"/>
      <c r="DN48" s="910"/>
      <c r="DO48" s="910"/>
      <c r="DP48" s="910"/>
      <c r="DQ48" s="910"/>
      <c r="DR48" s="910"/>
      <c r="DS48" s="910"/>
      <c r="DT48" s="910"/>
      <c r="DU48" s="910"/>
      <c r="DV48" s="910"/>
      <c r="DW48" s="910"/>
      <c r="DX48" s="910"/>
      <c r="DY48" s="910"/>
      <c r="DZ48" s="910"/>
      <c r="EA48" s="910"/>
      <c r="EB48" s="910"/>
      <c r="EC48" s="910"/>
      <c r="ED48" s="910"/>
      <c r="EE48" s="910"/>
      <c r="EF48" s="910"/>
      <c r="EG48" s="910"/>
      <c r="EH48" s="910"/>
      <c r="EI48" s="910"/>
      <c r="EJ48" s="910"/>
      <c r="EK48" s="910"/>
      <c r="EL48" s="910"/>
      <c r="EM48" s="910"/>
      <c r="EN48" s="910"/>
      <c r="EO48" s="910"/>
      <c r="EP48" s="910"/>
      <c r="EQ48" s="910"/>
      <c r="ER48" s="910"/>
      <c r="ES48" s="910"/>
      <c r="ET48" s="910"/>
      <c r="EU48" s="910"/>
      <c r="EV48" s="910"/>
      <c r="EW48" s="910"/>
      <c r="EX48" s="910"/>
      <c r="EY48" s="910"/>
      <c r="EZ48" s="910"/>
      <c r="FA48" s="910"/>
      <c r="FB48" s="910"/>
      <c r="FC48" s="910"/>
      <c r="FD48" s="910"/>
      <c r="FE48" s="910"/>
      <c r="FF48" s="910"/>
      <c r="FG48" s="910"/>
      <c r="FH48" s="910"/>
      <c r="FI48" s="910"/>
      <c r="FJ48" s="910"/>
      <c r="FK48" s="910"/>
      <c r="FL48" s="1019"/>
      <c r="FM48" s="1019"/>
      <c r="FN48" s="1019"/>
    </row>
    <row r="49" spans="1:170" ht="9" customHeight="1" thickTop="1" thickBot="1">
      <c r="A49" s="910"/>
      <c r="B49" s="910"/>
      <c r="C49" s="87"/>
      <c r="D49" s="109"/>
      <c r="E49" s="913"/>
      <c r="F49" s="913"/>
      <c r="G49" s="913"/>
      <c r="H49" s="913"/>
      <c r="I49" s="93"/>
      <c r="J49" s="2182" t="s">
        <v>3611</v>
      </c>
      <c r="K49" s="2182"/>
      <c r="L49" s="2182"/>
      <c r="M49" s="2182"/>
      <c r="N49" s="2182"/>
      <c r="O49" s="2182"/>
      <c r="P49" s="2182"/>
      <c r="Q49" s="2182"/>
      <c r="R49" s="113"/>
      <c r="S49" s="87"/>
      <c r="T49" s="910"/>
      <c r="U49" s="910"/>
      <c r="V49" s="87"/>
      <c r="W49" s="87"/>
      <c r="X49" s="87"/>
      <c r="Y49" s="87"/>
      <c r="Z49" s="87"/>
      <c r="AA49" s="87"/>
      <c r="AB49" s="87"/>
      <c r="AC49" s="87"/>
      <c r="AD49" s="87"/>
      <c r="AE49" s="87"/>
      <c r="AF49" s="87"/>
      <c r="AG49" s="87"/>
      <c r="AH49" s="87"/>
      <c r="AI49" s="87"/>
      <c r="AJ49" s="87"/>
      <c r="AK49" s="87"/>
      <c r="AL49" s="87"/>
      <c r="AM49" s="87"/>
      <c r="AN49" s="913"/>
      <c r="AO49" s="913"/>
      <c r="AP49" s="93"/>
      <c r="AQ49" s="2179" t="str">
        <f>Weapons!O$12</f>
        <v/>
      </c>
      <c r="AR49" s="2179"/>
      <c r="AS49" s="2179"/>
      <c r="AT49" s="2179"/>
      <c r="AU49" s="2179"/>
      <c r="AV49" s="2179"/>
      <c r="AW49" s="2179"/>
      <c r="AX49" s="113"/>
      <c r="AY49" s="145"/>
      <c r="AZ49" s="145"/>
      <c r="BA49" s="145"/>
      <c r="BB49" s="145"/>
      <c r="BC49" s="145"/>
      <c r="BD49" s="145"/>
      <c r="BE49" s="145"/>
      <c r="BF49" s="145"/>
      <c r="BG49" s="145"/>
      <c r="BH49" s="145"/>
      <c r="BI49" s="145"/>
      <c r="BJ49" s="145"/>
      <c r="BK49" s="145"/>
      <c r="BL49" s="913"/>
      <c r="BM49" s="913"/>
      <c r="BN49" s="913"/>
      <c r="BO49" s="93"/>
      <c r="BP49" s="2179" t="s">
        <v>3783</v>
      </c>
      <c r="BQ49" s="2179"/>
      <c r="BR49" s="2179"/>
      <c r="BS49" s="2179"/>
      <c r="BT49" s="2179"/>
      <c r="BU49" s="2179"/>
      <c r="BV49" s="2179"/>
      <c r="BW49" s="113"/>
      <c r="BX49" s="145"/>
      <c r="BY49" s="109"/>
      <c r="BZ49" s="109"/>
      <c r="CA49" s="87"/>
      <c r="CB49" s="913"/>
      <c r="CC49" s="913"/>
      <c r="CD49" s="913"/>
      <c r="CE49" s="93"/>
      <c r="CF49" s="2182" t="s">
        <v>3612</v>
      </c>
      <c r="CG49" s="2208"/>
      <c r="CH49" s="2208"/>
      <c r="CI49" s="2208"/>
      <c r="CJ49" s="2208"/>
      <c r="CK49" s="2208"/>
      <c r="CL49" s="2208"/>
      <c r="CM49" s="2208"/>
      <c r="CN49" s="113"/>
      <c r="CO49" s="87"/>
      <c r="CP49" s="87"/>
      <c r="CQ49" s="87"/>
      <c r="CR49" s="87"/>
      <c r="CS49" s="87"/>
      <c r="CT49" s="87"/>
      <c r="CU49" s="87"/>
      <c r="CV49" s="87"/>
      <c r="CW49" s="87"/>
      <c r="CX49" s="87"/>
      <c r="CY49" s="87"/>
      <c r="CZ49" s="87"/>
      <c r="DA49" s="87"/>
      <c r="DB49" s="87"/>
      <c r="DC49" s="87"/>
      <c r="DD49" s="87"/>
      <c r="DE49" s="87"/>
      <c r="DF49" s="87"/>
      <c r="DG49" s="87"/>
      <c r="DH49" s="969"/>
      <c r="DI49" s="87"/>
      <c r="DJ49" s="87"/>
      <c r="DK49" s="87"/>
      <c r="DL49" s="87"/>
      <c r="DM49" s="910"/>
      <c r="DN49" s="910"/>
      <c r="DO49" s="910"/>
      <c r="DP49" s="910"/>
      <c r="DQ49" s="910"/>
      <c r="DR49" s="910"/>
      <c r="DS49" s="910"/>
      <c r="DT49" s="910"/>
      <c r="DU49" s="910"/>
      <c r="DV49" s="910"/>
      <c r="DW49" s="910"/>
      <c r="DX49" s="910"/>
      <c r="DY49" s="910"/>
      <c r="DZ49" s="910"/>
      <c r="EA49" s="910"/>
      <c r="EB49" s="910"/>
      <c r="EC49" s="910"/>
      <c r="ED49" s="910"/>
      <c r="EE49" s="910"/>
      <c r="EF49" s="910"/>
      <c r="EG49" s="910"/>
      <c r="EH49" s="910"/>
      <c r="EI49" s="910"/>
      <c r="EJ49" s="910"/>
      <c r="EK49" s="910"/>
      <c r="EL49" s="910"/>
      <c r="EM49" s="910"/>
      <c r="EN49" s="910"/>
      <c r="EO49" s="910"/>
      <c r="EP49" s="910"/>
      <c r="EQ49" s="910"/>
      <c r="ER49" s="910"/>
      <c r="ES49" s="910"/>
      <c r="ET49" s="910"/>
      <c r="EU49" s="910"/>
      <c r="EV49" s="910"/>
      <c r="EW49" s="910"/>
      <c r="EX49" s="910"/>
      <c r="EY49" s="910"/>
      <c r="EZ49" s="910"/>
      <c r="FA49" s="910"/>
      <c r="FB49" s="910"/>
      <c r="FC49" s="910"/>
      <c r="FD49" s="910"/>
      <c r="FE49" s="910"/>
      <c r="FF49" s="910"/>
      <c r="FG49" s="910"/>
      <c r="FH49" s="910"/>
      <c r="FI49" s="910"/>
      <c r="FJ49" s="910"/>
      <c r="FK49" s="910"/>
      <c r="FL49" s="1019"/>
      <c r="FM49" s="1019"/>
      <c r="FN49" s="1019"/>
    </row>
    <row r="50" spans="1:170" ht="9" customHeight="1" thickTop="1">
      <c r="A50" s="910"/>
      <c r="B50" s="910"/>
      <c r="C50" s="87"/>
      <c r="D50" s="109"/>
      <c r="E50" s="913"/>
      <c r="F50" s="913"/>
      <c r="G50" s="913"/>
      <c r="H50" s="913"/>
      <c r="I50" s="102"/>
      <c r="J50" s="2180"/>
      <c r="K50" s="2180"/>
      <c r="L50" s="2180"/>
      <c r="M50" s="2180"/>
      <c r="N50" s="2180"/>
      <c r="O50" s="2180"/>
      <c r="P50" s="2180"/>
      <c r="Q50" s="2180"/>
      <c r="R50" s="589"/>
      <c r="S50" s="588"/>
      <c r="T50" s="592"/>
      <c r="U50" s="592"/>
      <c r="V50" s="593"/>
      <c r="W50" s="593"/>
      <c r="X50" s="593"/>
      <c r="Y50" s="588"/>
      <c r="Z50" s="588"/>
      <c r="AA50" s="588"/>
      <c r="AB50" s="588"/>
      <c r="AC50" s="588"/>
      <c r="AD50" s="588"/>
      <c r="AE50" s="588"/>
      <c r="AF50" s="588"/>
      <c r="AG50" s="588"/>
      <c r="AH50" s="588"/>
      <c r="AI50" s="588"/>
      <c r="AJ50" s="588"/>
      <c r="AK50" s="588"/>
      <c r="AL50" s="588"/>
      <c r="AM50" s="113"/>
      <c r="AN50" s="913"/>
      <c r="AO50" s="913"/>
      <c r="AP50" s="102"/>
      <c r="AQ50" s="2180"/>
      <c r="AR50" s="2180"/>
      <c r="AS50" s="2180"/>
      <c r="AT50" s="2180"/>
      <c r="AU50" s="2180"/>
      <c r="AV50" s="2180"/>
      <c r="AW50" s="2180"/>
      <c r="AX50" s="589"/>
      <c r="AY50" s="598"/>
      <c r="AZ50" s="598"/>
      <c r="BA50" s="598"/>
      <c r="BB50" s="598"/>
      <c r="BC50" s="598"/>
      <c r="BD50" s="598"/>
      <c r="BE50" s="598"/>
      <c r="BF50" s="598"/>
      <c r="BG50" s="598"/>
      <c r="BH50" s="598"/>
      <c r="BI50" s="598"/>
      <c r="BJ50" s="598"/>
      <c r="BK50" s="598"/>
      <c r="BL50" s="113"/>
      <c r="BM50" s="913"/>
      <c r="BN50" s="913"/>
      <c r="BO50" s="102"/>
      <c r="BP50" s="2180"/>
      <c r="BQ50" s="2180"/>
      <c r="BR50" s="2180"/>
      <c r="BS50" s="2180"/>
      <c r="BT50" s="2180"/>
      <c r="BU50" s="2180"/>
      <c r="BV50" s="2180"/>
      <c r="BW50" s="589"/>
      <c r="BX50" s="598"/>
      <c r="BY50" s="598"/>
      <c r="BZ50" s="598"/>
      <c r="CA50" s="598"/>
      <c r="CB50" s="113"/>
      <c r="CC50" s="913"/>
      <c r="CD50" s="913"/>
      <c r="CE50" s="102"/>
      <c r="CF50" s="2138"/>
      <c r="CG50" s="2138"/>
      <c r="CH50" s="2138"/>
      <c r="CI50" s="2138"/>
      <c r="CJ50" s="2138"/>
      <c r="CK50" s="2138"/>
      <c r="CL50" s="2138"/>
      <c r="CM50" s="2138"/>
      <c r="CN50" s="589"/>
      <c r="CO50" s="599"/>
      <c r="CP50" s="599"/>
      <c r="CQ50" s="599"/>
      <c r="CR50" s="599"/>
      <c r="CS50" s="599"/>
      <c r="CT50" s="599"/>
      <c r="CU50" s="599"/>
      <c r="CV50" s="599"/>
      <c r="CW50" s="599"/>
      <c r="CX50" s="599"/>
      <c r="CY50" s="599"/>
      <c r="CZ50" s="599"/>
      <c r="DA50" s="599"/>
      <c r="DB50" s="599"/>
      <c r="DC50" s="599"/>
      <c r="DD50" s="599"/>
      <c r="DE50" s="599"/>
      <c r="DF50" s="599"/>
      <c r="DG50" s="113"/>
      <c r="DH50" s="970"/>
      <c r="DI50" s="111"/>
      <c r="DJ50" s="111"/>
      <c r="DK50" s="87"/>
      <c r="DL50" s="87"/>
      <c r="DM50" s="910"/>
      <c r="DN50" s="910"/>
      <c r="DO50" s="910"/>
      <c r="DP50" s="910"/>
      <c r="DQ50" s="910"/>
      <c r="DR50" s="910"/>
      <c r="DS50" s="910"/>
      <c r="DT50" s="910"/>
      <c r="DU50" s="910"/>
      <c r="DV50" s="910"/>
      <c r="DW50" s="910"/>
      <c r="DX50" s="910"/>
      <c r="DY50" s="910"/>
      <c r="DZ50" s="910"/>
      <c r="EA50" s="910"/>
      <c r="EB50" s="910"/>
      <c r="EC50" s="910"/>
      <c r="ED50" s="910"/>
      <c r="EE50" s="910"/>
      <c r="EF50" s="910"/>
      <c r="EG50" s="910"/>
      <c r="EH50" s="910"/>
      <c r="EI50" s="910"/>
      <c r="EJ50" s="910"/>
      <c r="EK50" s="910"/>
      <c r="EL50" s="910"/>
      <c r="EM50" s="910"/>
      <c r="EN50" s="910"/>
      <c r="EO50" s="910"/>
      <c r="EP50" s="910"/>
      <c r="EQ50" s="910"/>
      <c r="ER50" s="910"/>
      <c r="ES50" s="910"/>
      <c r="ET50" s="910"/>
      <c r="EU50" s="910"/>
      <c r="EV50" s="910"/>
      <c r="EW50" s="910"/>
      <c r="EX50" s="910"/>
      <c r="EY50" s="910"/>
      <c r="EZ50" s="910"/>
      <c r="FA50" s="910"/>
      <c r="FB50" s="910"/>
      <c r="FC50" s="910"/>
      <c r="FD50" s="910"/>
      <c r="FE50" s="910"/>
      <c r="FF50" s="910"/>
      <c r="FG50" s="910"/>
      <c r="FH50" s="910"/>
      <c r="FI50" s="910"/>
      <c r="FJ50" s="910"/>
      <c r="FK50" s="910"/>
      <c r="FM50" s="1019" t="e">
        <f ca="1">FM51</f>
        <v>#N/A</v>
      </c>
    </row>
    <row r="51" spans="1:170" ht="9" customHeight="1" thickBot="1">
      <c r="A51" s="910"/>
      <c r="B51" s="910"/>
      <c r="C51" s="87"/>
      <c r="D51" s="87"/>
      <c r="E51" s="111"/>
      <c r="F51" s="111"/>
      <c r="G51" s="122"/>
      <c r="H51" s="290"/>
      <c r="I51" s="102"/>
      <c r="J51" s="1879" t="str">
        <f>Weapons!O$7</f>
        <v/>
      </c>
      <c r="K51" s="1879"/>
      <c r="L51" s="1879"/>
      <c r="M51" s="1879"/>
      <c r="N51" s="1879"/>
      <c r="O51" s="1879"/>
      <c r="P51" s="1879"/>
      <c r="Q51" s="1879"/>
      <c r="R51" s="1879"/>
      <c r="S51" s="1879"/>
      <c r="T51" s="1879"/>
      <c r="U51" s="1879"/>
      <c r="V51" s="1879"/>
      <c r="W51" s="1879"/>
      <c r="X51" s="1879"/>
      <c r="Y51" s="1879"/>
      <c r="Z51" s="1879"/>
      <c r="AA51" s="1879"/>
      <c r="AB51" s="1879"/>
      <c r="AC51" s="1879"/>
      <c r="AD51" s="1879"/>
      <c r="AE51" s="1879"/>
      <c r="AF51" s="1879"/>
      <c r="AG51" s="1879"/>
      <c r="AH51" s="1879"/>
      <c r="AI51" s="1879"/>
      <c r="AJ51" s="1879"/>
      <c r="AK51" s="1879"/>
      <c r="AL51" s="1879"/>
      <c r="AM51" s="646"/>
      <c r="AN51" s="122"/>
      <c r="AO51" s="290"/>
      <c r="AP51" s="102"/>
      <c r="AQ51" s="2189" t="str">
        <f>IF(Weapons!O$16&lt;&gt;"",Weapons!O$16,"")</f>
        <v/>
      </c>
      <c r="AR51" s="2189"/>
      <c r="AS51" s="2189"/>
      <c r="AT51" s="2189"/>
      <c r="AU51" s="2189"/>
      <c r="AV51" s="2189"/>
      <c r="AW51" s="2189"/>
      <c r="AX51" s="2189"/>
      <c r="AY51" s="2189"/>
      <c r="AZ51" s="2189"/>
      <c r="BA51" s="2189"/>
      <c r="BB51" s="2189"/>
      <c r="BC51" s="2189"/>
      <c r="BD51" s="2189"/>
      <c r="BE51" s="2189"/>
      <c r="BF51" s="2189"/>
      <c r="BG51" s="2189"/>
      <c r="BH51" s="2189"/>
      <c r="BI51" s="2189"/>
      <c r="BJ51" s="2189"/>
      <c r="BK51" s="2189"/>
      <c r="BL51" s="100"/>
      <c r="BM51" s="122"/>
      <c r="BN51" s="290"/>
      <c r="BO51" s="102"/>
      <c r="BP51" s="2195" t="str">
        <f>Weapons!O$8</f>
        <v/>
      </c>
      <c r="BQ51" s="2195"/>
      <c r="BR51" s="2195"/>
      <c r="BS51" s="2195"/>
      <c r="BT51" s="2197" t="str">
        <f>IF(BP51&lt;&gt;"",IF(COUNTIF(FeatsCharacterSheet,BT54)&gt;0,BP51+BT48,""),"")</f>
        <v/>
      </c>
      <c r="BU51" s="2198"/>
      <c r="BV51" s="2198"/>
      <c r="BW51" s="2199"/>
      <c r="BX51" s="2198" t="str">
        <f>IF(BP51&lt;&gt;"",IF(COUNTIF(FeatsCharacterSheet,BX54)&gt;0,BP51+BX48,""),"")</f>
        <v/>
      </c>
      <c r="BY51" s="2198"/>
      <c r="BZ51" s="2198"/>
      <c r="CA51" s="2198"/>
      <c r="CB51" s="100"/>
      <c r="CC51" s="122"/>
      <c r="CD51" s="290"/>
      <c r="CE51" s="102"/>
      <c r="CF51" s="1883"/>
      <c r="CG51" s="1883"/>
      <c r="CH51" s="1883"/>
      <c r="CI51" s="1883"/>
      <c r="CJ51" s="1883"/>
      <c r="CK51" s="1883"/>
      <c r="CL51" s="1883"/>
      <c r="CM51" s="1883"/>
      <c r="CN51" s="1883"/>
      <c r="CO51" s="1924" t="str">
        <f>Weapons!O$9</f>
        <v/>
      </c>
      <c r="CP51" s="1924"/>
      <c r="CQ51" s="1924"/>
      <c r="CR51" s="1924"/>
      <c r="CS51" s="1924"/>
      <c r="CT51" s="1924"/>
      <c r="CU51" s="1924"/>
      <c r="CV51" s="1924"/>
      <c r="CW51" s="1924"/>
      <c r="CX51" s="1924"/>
      <c r="CY51" s="1924"/>
      <c r="CZ51" s="1924"/>
      <c r="DA51" s="1924"/>
      <c r="DB51" s="1924"/>
      <c r="DC51" s="1924"/>
      <c r="DD51" s="1924"/>
      <c r="DE51" s="1924"/>
      <c r="DF51" s="1924"/>
      <c r="DG51" s="656"/>
      <c r="DH51" s="971"/>
      <c r="DI51" s="122"/>
      <c r="DJ51" s="118"/>
      <c r="DK51" s="109"/>
      <c r="DL51" s="109"/>
      <c r="DM51" s="910"/>
      <c r="DN51" s="910"/>
      <c r="DO51" s="910"/>
      <c r="DP51" s="910"/>
      <c r="DQ51" s="910"/>
      <c r="DR51" s="910"/>
      <c r="DS51" s="910"/>
      <c r="DT51" s="910"/>
      <c r="DU51" s="910"/>
      <c r="DV51" s="910"/>
      <c r="DW51" s="910"/>
      <c r="DX51" s="910"/>
      <c r="DY51" s="910"/>
      <c r="DZ51" s="910"/>
      <c r="EA51" s="910"/>
      <c r="EB51" s="910"/>
      <c r="EC51" s="910"/>
      <c r="ED51" s="910"/>
      <c r="EE51" s="910"/>
      <c r="EF51" s="910"/>
      <c r="EG51" s="910"/>
      <c r="EH51" s="910"/>
      <c r="EI51" s="910"/>
      <c r="EJ51" s="910"/>
      <c r="EK51" s="910"/>
      <c r="EL51" s="910"/>
      <c r="EM51" s="910"/>
      <c r="EN51" s="910"/>
      <c r="EO51" s="910"/>
      <c r="EP51" s="910"/>
      <c r="EQ51" s="910"/>
      <c r="ER51" s="910"/>
      <c r="ES51" s="910"/>
      <c r="ET51" s="910"/>
      <c r="EU51" s="910"/>
      <c r="EV51" s="910"/>
      <c r="EW51" s="910"/>
      <c r="EX51" s="910"/>
      <c r="EY51" s="910"/>
      <c r="EZ51" s="910"/>
      <c r="FA51" s="910"/>
      <c r="FB51" s="910"/>
      <c r="FC51" s="910"/>
      <c r="FD51" s="910"/>
      <c r="FE51" s="910"/>
      <c r="FF51" s="910"/>
      <c r="FG51" s="910"/>
      <c r="FH51" s="910"/>
      <c r="FI51" s="910"/>
      <c r="FJ51" s="910"/>
      <c r="FK51" s="910"/>
      <c r="FL51" s="1020" t="e">
        <f ca="1">AQ49&amp;" "&amp;LOWER(J51)&amp;" "&amp;IF(BP51&lt;0,"","+")&amp;BP51&amp;" ("&amp;CO51&amp;IF(Weapons!O$82&lt;&gt;"20","/"&amp;Weapons!O$82,"")&amp;IF(Weapons!O$83&lt;&gt;2,"/×"&amp;Weapons!O$83,"")&amp;")"</f>
        <v>#N/A</v>
      </c>
      <c r="FM51" s="1019" t="e">
        <f ca="1">IF(FL51&lt;&gt;"",FL51&amp;IF(FM52&lt;&gt;"","
"&amp;FM52,""),FM52)</f>
        <v>#N/A</v>
      </c>
    </row>
    <row r="52" spans="1:170" ht="9" customHeight="1" thickTop="1">
      <c r="A52" s="910"/>
      <c r="B52" s="910"/>
      <c r="C52" s="87"/>
      <c r="D52" s="87"/>
      <c r="E52" s="292"/>
      <c r="F52" s="293"/>
      <c r="G52" s="111"/>
      <c r="H52" s="111"/>
      <c r="I52" s="102"/>
      <c r="J52" s="1879"/>
      <c r="K52" s="1879"/>
      <c r="L52" s="1879"/>
      <c r="M52" s="1879"/>
      <c r="N52" s="1879"/>
      <c r="O52" s="1879"/>
      <c r="P52" s="1879"/>
      <c r="Q52" s="1879"/>
      <c r="R52" s="1879"/>
      <c r="S52" s="1879"/>
      <c r="T52" s="1879"/>
      <c r="U52" s="1879"/>
      <c r="V52" s="1879"/>
      <c r="W52" s="1879"/>
      <c r="X52" s="1879"/>
      <c r="Y52" s="1879"/>
      <c r="Z52" s="1879"/>
      <c r="AA52" s="1879"/>
      <c r="AB52" s="1879"/>
      <c r="AC52" s="1879"/>
      <c r="AD52" s="1879"/>
      <c r="AE52" s="1879"/>
      <c r="AF52" s="1879"/>
      <c r="AG52" s="1879"/>
      <c r="AH52" s="1879"/>
      <c r="AI52" s="1879"/>
      <c r="AJ52" s="1879"/>
      <c r="AK52" s="1879"/>
      <c r="AL52" s="1879"/>
      <c r="AM52" s="646"/>
      <c r="AN52" s="111"/>
      <c r="AO52" s="111"/>
      <c r="AP52" s="647"/>
      <c r="AQ52" s="2189"/>
      <c r="AR52" s="2189"/>
      <c r="AS52" s="2189"/>
      <c r="AT52" s="2189"/>
      <c r="AU52" s="2189"/>
      <c r="AV52" s="2189"/>
      <c r="AW52" s="2189"/>
      <c r="AX52" s="2189"/>
      <c r="AY52" s="2189"/>
      <c r="AZ52" s="2189"/>
      <c r="BA52" s="2189"/>
      <c r="BB52" s="2189"/>
      <c r="BC52" s="2189"/>
      <c r="BD52" s="2189"/>
      <c r="BE52" s="2189"/>
      <c r="BF52" s="2189"/>
      <c r="BG52" s="2189"/>
      <c r="BH52" s="2189"/>
      <c r="BI52" s="2189"/>
      <c r="BJ52" s="2189"/>
      <c r="BK52" s="2189"/>
      <c r="BL52" s="100"/>
      <c r="BM52" s="111"/>
      <c r="BN52" s="111"/>
      <c r="BO52" s="647"/>
      <c r="BP52" s="2195"/>
      <c r="BQ52" s="2195"/>
      <c r="BR52" s="2195"/>
      <c r="BS52" s="2195"/>
      <c r="BT52" s="2200"/>
      <c r="BU52" s="2185"/>
      <c r="BV52" s="2185"/>
      <c r="BW52" s="2201"/>
      <c r="BX52" s="2185"/>
      <c r="BY52" s="2185"/>
      <c r="BZ52" s="2185"/>
      <c r="CA52" s="2185"/>
      <c r="CB52" s="100"/>
      <c r="CC52" s="111"/>
      <c r="CD52" s="111"/>
      <c r="CE52" s="102"/>
      <c r="CF52" s="1883"/>
      <c r="CG52" s="1883"/>
      <c r="CH52" s="1883"/>
      <c r="CI52" s="1883"/>
      <c r="CJ52" s="1883"/>
      <c r="CK52" s="1883"/>
      <c r="CL52" s="1883"/>
      <c r="CM52" s="1883"/>
      <c r="CN52" s="1883"/>
      <c r="CO52" s="1924"/>
      <c r="CP52" s="1924"/>
      <c r="CQ52" s="1924"/>
      <c r="CR52" s="1924"/>
      <c r="CS52" s="1924"/>
      <c r="CT52" s="1924"/>
      <c r="CU52" s="1924"/>
      <c r="CV52" s="1924"/>
      <c r="CW52" s="1924"/>
      <c r="CX52" s="1924"/>
      <c r="CY52" s="1924"/>
      <c r="CZ52" s="1924"/>
      <c r="DA52" s="1924"/>
      <c r="DB52" s="1924"/>
      <c r="DC52" s="1924"/>
      <c r="DD52" s="1924"/>
      <c r="DE52" s="1924"/>
      <c r="DF52" s="1924"/>
      <c r="DG52" s="656"/>
      <c r="DH52" s="970"/>
      <c r="DI52" s="111"/>
      <c r="DJ52" s="256"/>
      <c r="DK52" s="109"/>
      <c r="DL52" s="109"/>
      <c r="DM52" s="910"/>
      <c r="DN52" s="910"/>
      <c r="DO52" s="910"/>
      <c r="DP52" s="910"/>
      <c r="DQ52" s="910"/>
      <c r="DR52" s="910"/>
      <c r="DS52" s="910"/>
      <c r="DT52" s="910"/>
      <c r="DU52" s="910"/>
      <c r="DV52" s="910"/>
      <c r="DW52" s="910"/>
      <c r="DX52" s="910"/>
      <c r="DY52" s="910"/>
      <c r="DZ52" s="910"/>
      <c r="EA52" s="910"/>
      <c r="EB52" s="910"/>
      <c r="EC52" s="910"/>
      <c r="ED52" s="910"/>
      <c r="EE52" s="910"/>
      <c r="EF52" s="910"/>
      <c r="EG52" s="910"/>
      <c r="EH52" s="910"/>
      <c r="EI52" s="910"/>
      <c r="EJ52" s="910"/>
      <c r="EK52" s="910"/>
      <c r="EL52" s="910"/>
      <c r="EM52" s="910"/>
      <c r="EN52" s="910"/>
      <c r="EO52" s="910"/>
      <c r="EP52" s="910"/>
      <c r="EQ52" s="910"/>
      <c r="ER52" s="910"/>
      <c r="ES52" s="910"/>
      <c r="ET52" s="910"/>
      <c r="EU52" s="910"/>
      <c r="EV52" s="910"/>
      <c r="EW52" s="910"/>
      <c r="EX52" s="910"/>
      <c r="EY52" s="910"/>
      <c r="EZ52" s="910"/>
      <c r="FA52" s="910"/>
      <c r="FB52" s="910"/>
      <c r="FC52" s="910"/>
      <c r="FD52" s="910"/>
      <c r="FE52" s="910"/>
      <c r="FF52" s="910"/>
      <c r="FG52" s="910"/>
      <c r="FH52" s="910"/>
      <c r="FI52" s="910"/>
      <c r="FJ52" s="910"/>
      <c r="FK52" s="910"/>
      <c r="FL52" s="1020" t="e">
        <f ca="1">IF(AND(BT54&lt;&gt;"",BT51&lt;&gt;""),AQ49&amp;" "&amp;LOWER(J51)&amp;" "&amp;IF(BT51&lt;0,BT51&amp;"/"&amp;BT51,"+"&amp;BT51&amp;"/+"&amp;BT51)&amp;" ("&amp;CO51&amp;IF(Weapons!O$82&lt;&gt;"20","/"&amp;Weapons!O$82,"")&amp;IF(Weapons!O$83&lt;&gt;2,"/×"&amp;Weapons!O$83,"")&amp;") with Double Attack","")</f>
        <v>#N/A</v>
      </c>
      <c r="FM52" s="1019" t="e">
        <f t="shared" ref="FM52:FM68" ca="1" si="1">IF(FL52&lt;&gt;"",FL52&amp;IF(FM53&lt;&gt;"","
"&amp;FM53,""),FM53)</f>
        <v>#N/A</v>
      </c>
    </row>
    <row r="53" spans="1:170" ht="9" customHeight="1" thickBot="1">
      <c r="A53" s="910"/>
      <c r="B53" s="910"/>
      <c r="C53" s="87"/>
      <c r="D53" s="144"/>
      <c r="E53" s="111"/>
      <c r="F53" s="111"/>
      <c r="G53" s="111"/>
      <c r="H53" s="111"/>
      <c r="I53" s="91"/>
      <c r="J53" s="1880"/>
      <c r="K53" s="1880"/>
      <c r="L53" s="1880"/>
      <c r="M53" s="1880"/>
      <c r="N53" s="1880"/>
      <c r="O53" s="1880"/>
      <c r="P53" s="1880"/>
      <c r="Q53" s="1880"/>
      <c r="R53" s="1880"/>
      <c r="S53" s="1880"/>
      <c r="T53" s="1880"/>
      <c r="U53" s="1880"/>
      <c r="V53" s="1880"/>
      <c r="W53" s="1880"/>
      <c r="X53" s="1880"/>
      <c r="Y53" s="1880"/>
      <c r="Z53" s="1880"/>
      <c r="AA53" s="1880"/>
      <c r="AB53" s="1880"/>
      <c r="AC53" s="1880"/>
      <c r="AD53" s="1880"/>
      <c r="AE53" s="1880"/>
      <c r="AF53" s="1880"/>
      <c r="AG53" s="1880"/>
      <c r="AH53" s="1880"/>
      <c r="AI53" s="1880"/>
      <c r="AJ53" s="1880"/>
      <c r="AK53" s="1880"/>
      <c r="AL53" s="1880"/>
      <c r="AM53" s="648"/>
      <c r="AN53" s="913"/>
      <c r="AO53" s="913"/>
      <c r="AP53" s="649"/>
      <c r="AQ53" s="2190"/>
      <c r="AR53" s="2190"/>
      <c r="AS53" s="2190"/>
      <c r="AT53" s="2190"/>
      <c r="AU53" s="2190"/>
      <c r="AV53" s="2190"/>
      <c r="AW53" s="2190"/>
      <c r="AX53" s="2190"/>
      <c r="AY53" s="2190"/>
      <c r="AZ53" s="2190"/>
      <c r="BA53" s="2190"/>
      <c r="BB53" s="2190"/>
      <c r="BC53" s="2190"/>
      <c r="BD53" s="2190"/>
      <c r="BE53" s="2190"/>
      <c r="BF53" s="2190"/>
      <c r="BG53" s="2190"/>
      <c r="BH53" s="2190"/>
      <c r="BI53" s="2190"/>
      <c r="BJ53" s="2190"/>
      <c r="BK53" s="2190"/>
      <c r="BL53" s="93"/>
      <c r="BM53" s="913"/>
      <c r="BN53" s="913"/>
      <c r="BO53" s="649"/>
      <c r="BP53" s="2196"/>
      <c r="BQ53" s="2196"/>
      <c r="BR53" s="2196"/>
      <c r="BS53" s="2196"/>
      <c r="BT53" s="2202"/>
      <c r="BU53" s="2186"/>
      <c r="BV53" s="2186"/>
      <c r="BW53" s="2203"/>
      <c r="BX53" s="2186"/>
      <c r="BY53" s="2186"/>
      <c r="BZ53" s="2186"/>
      <c r="CA53" s="2186"/>
      <c r="CB53" s="93"/>
      <c r="CC53" s="913"/>
      <c r="CD53" s="913"/>
      <c r="CE53" s="91"/>
      <c r="CF53" s="655"/>
      <c r="CG53" s="655"/>
      <c r="CH53" s="655"/>
      <c r="CI53" s="655"/>
      <c r="CJ53" s="655"/>
      <c r="CK53" s="655"/>
      <c r="CL53" s="655"/>
      <c r="CM53" s="655"/>
      <c r="CN53" s="655"/>
      <c r="CO53" s="1925"/>
      <c r="CP53" s="1925"/>
      <c r="CQ53" s="1925"/>
      <c r="CR53" s="1925"/>
      <c r="CS53" s="1925"/>
      <c r="CT53" s="1925"/>
      <c r="CU53" s="1925"/>
      <c r="CV53" s="1925"/>
      <c r="CW53" s="1925"/>
      <c r="CX53" s="1925"/>
      <c r="CY53" s="1925"/>
      <c r="CZ53" s="1925"/>
      <c r="DA53" s="1925"/>
      <c r="DB53" s="1925"/>
      <c r="DC53" s="1925"/>
      <c r="DD53" s="1925"/>
      <c r="DE53" s="1925"/>
      <c r="DF53" s="1925"/>
      <c r="DG53" s="93"/>
      <c r="DH53" s="972"/>
      <c r="DI53" s="118"/>
      <c r="DJ53" s="118"/>
      <c r="DK53" s="256"/>
      <c r="DL53" s="109"/>
      <c r="DM53" s="910"/>
      <c r="DN53" s="910"/>
      <c r="DO53" s="910"/>
      <c r="DP53" s="910"/>
      <c r="DQ53" s="910"/>
      <c r="DR53" s="910"/>
      <c r="DS53" s="910"/>
      <c r="DT53" s="910"/>
      <c r="DU53" s="910"/>
      <c r="DV53" s="910"/>
      <c r="DW53" s="910"/>
      <c r="DX53" s="910"/>
      <c r="DY53" s="910"/>
      <c r="DZ53" s="910"/>
      <c r="EA53" s="910"/>
      <c r="EB53" s="910"/>
      <c r="EC53" s="910"/>
      <c r="ED53" s="910"/>
      <c r="EE53" s="910"/>
      <c r="EF53" s="910"/>
      <c r="EG53" s="910"/>
      <c r="EH53" s="910"/>
      <c r="EI53" s="910"/>
      <c r="EJ53" s="910"/>
      <c r="EK53" s="910"/>
      <c r="EL53" s="910"/>
      <c r="EM53" s="910"/>
      <c r="EN53" s="910"/>
      <c r="EO53" s="910"/>
      <c r="EP53" s="910"/>
      <c r="EQ53" s="910"/>
      <c r="ER53" s="910"/>
      <c r="ES53" s="910"/>
      <c r="ET53" s="910"/>
      <c r="EU53" s="910"/>
      <c r="EV53" s="910"/>
      <c r="EW53" s="910"/>
      <c r="EX53" s="910"/>
      <c r="EY53" s="910"/>
      <c r="EZ53" s="910"/>
      <c r="FA53" s="910"/>
      <c r="FB53" s="910"/>
      <c r="FC53" s="910"/>
      <c r="FD53" s="910"/>
      <c r="FE53" s="910"/>
      <c r="FF53" s="910"/>
      <c r="FG53" s="910"/>
      <c r="FH53" s="910"/>
      <c r="FI53" s="910"/>
      <c r="FJ53" s="910"/>
      <c r="FK53" s="910"/>
      <c r="FL53" s="1020" t="e">
        <f ca="1">IF(AND($BX$12&lt;&gt;"",BX51&lt;&gt;""),AQ49&amp;" "&amp;LOWER(J51)&amp;" "&amp;IF(BX51&lt;0,BX51&amp;"/"&amp;BX51&amp;"/"&amp;BX51,"+"&amp;BX51&amp;"/+"&amp;BX51&amp;"/+"&amp;BX51)&amp;" ("&amp;CO51&amp;IF(Weapons!O$82&lt;&gt;"20","/"&amp;Weapons!O$82,"")&amp;IF(Weapons!O$83&lt;&gt;2,"/×"&amp;Weapons!O$83,"")&amp;") with Triple Attack","")</f>
        <v>#N/A</v>
      </c>
      <c r="FM53" s="1019" t="e">
        <f t="shared" ca="1" si="1"/>
        <v>#N/A</v>
      </c>
    </row>
    <row r="54" spans="1:170" ht="9" customHeight="1" thickTop="1" thickBot="1">
      <c r="A54" s="910"/>
      <c r="B54" s="910"/>
      <c r="C54" s="112"/>
      <c r="D54" s="2183" t="str">
        <f>IF(Weapons!O$109&lt;&gt;"","MOUNTED","")</f>
        <v/>
      </c>
      <c r="E54" s="2184"/>
      <c r="F54" s="2184"/>
      <c r="G54" s="913"/>
      <c r="H54" s="913"/>
      <c r="I54" s="913"/>
      <c r="J54" s="913"/>
      <c r="K54" s="913"/>
      <c r="L54" s="913"/>
      <c r="M54" s="913"/>
      <c r="N54" s="913"/>
      <c r="O54" s="913"/>
      <c r="P54" s="913"/>
      <c r="Q54" s="913"/>
      <c r="R54" s="913"/>
      <c r="S54" s="913"/>
      <c r="T54" s="913"/>
      <c r="U54" s="913"/>
      <c r="V54" s="913"/>
      <c r="W54" s="913"/>
      <c r="X54" s="913"/>
      <c r="Y54" s="913"/>
      <c r="Z54" s="913"/>
      <c r="AA54" s="913"/>
      <c r="AB54" s="913"/>
      <c r="AC54" s="913"/>
      <c r="AD54" s="913"/>
      <c r="AE54" s="913"/>
      <c r="AF54" s="913"/>
      <c r="AG54" s="913"/>
      <c r="AH54" s="913"/>
      <c r="AI54" s="913"/>
      <c r="AJ54" s="913"/>
      <c r="AK54" s="913"/>
      <c r="AL54" s="913"/>
      <c r="AM54" s="913"/>
      <c r="AN54" s="913"/>
      <c r="AO54" s="910"/>
      <c r="AP54" s="910"/>
      <c r="AQ54" s="910"/>
      <c r="AR54" s="910"/>
      <c r="AS54" s="910"/>
      <c r="AT54" s="910"/>
      <c r="AU54" s="910"/>
      <c r="AV54" s="910"/>
      <c r="AW54" s="910"/>
      <c r="AX54" s="910"/>
      <c r="AY54" s="910"/>
      <c r="AZ54" s="910"/>
      <c r="BA54" s="910"/>
      <c r="BB54" s="910"/>
      <c r="BC54" s="910"/>
      <c r="BD54" s="910"/>
      <c r="BE54" s="910"/>
      <c r="BF54" s="910"/>
      <c r="BG54" s="910"/>
      <c r="BH54" s="910"/>
      <c r="BI54" s="596"/>
      <c r="BJ54" s="596"/>
      <c r="BK54" s="596"/>
      <c r="BL54" s="910"/>
      <c r="BM54" s="910"/>
      <c r="BN54" s="913"/>
      <c r="BO54" s="913"/>
      <c r="BP54" s="913"/>
      <c r="BQ54" s="913"/>
      <c r="BR54" s="913"/>
      <c r="BS54" s="913"/>
      <c r="BT54" s="2205" t="e">
        <f ca="1">"Double Attack ("&amp;INDEX(WeaponTable,MATCH(Weapons!O$11,WeaponList,0),5)&amp;")"</f>
        <v>#N/A</v>
      </c>
      <c r="BU54" s="2205"/>
      <c r="BV54" s="2205"/>
      <c r="BW54" s="2205"/>
      <c r="BX54" s="2205" t="e">
        <f ca="1">"Triple Attack ("&amp;INDEX(WeaponTable,MATCH(Weapons!O$11,WeaponList,0),5)&amp;")"</f>
        <v>#N/A</v>
      </c>
      <c r="BY54" s="2205"/>
      <c r="BZ54" s="2205"/>
      <c r="CA54" s="2205"/>
      <c r="CB54" s="913"/>
      <c r="CC54" s="913"/>
      <c r="CD54" s="913"/>
      <c r="CE54" s="913"/>
      <c r="CF54" s="913"/>
      <c r="CG54" s="913"/>
      <c r="CH54" s="913"/>
      <c r="CI54" s="913"/>
      <c r="CJ54" s="913"/>
      <c r="CK54" s="913"/>
      <c r="CL54" s="913"/>
      <c r="CM54" s="913"/>
      <c r="CN54" s="913"/>
      <c r="CO54" s="913"/>
      <c r="CP54" s="913"/>
      <c r="CQ54" s="913"/>
      <c r="CR54" s="913"/>
      <c r="CS54" s="913"/>
      <c r="CT54" s="913"/>
      <c r="CU54" s="913"/>
      <c r="CV54" s="913"/>
      <c r="CW54" s="913"/>
      <c r="CX54" s="913"/>
      <c r="CY54" s="913"/>
      <c r="CZ54" s="913"/>
      <c r="DA54" s="913"/>
      <c r="DB54" s="913"/>
      <c r="DC54" s="913"/>
      <c r="DD54" s="913"/>
      <c r="DE54" s="913"/>
      <c r="DF54" s="913"/>
      <c r="DG54" s="913"/>
      <c r="DH54" s="973"/>
      <c r="DI54" s="596"/>
      <c r="DJ54" s="596"/>
      <c r="DK54" s="112"/>
      <c r="DL54" s="87"/>
      <c r="DM54" s="910"/>
      <c r="DN54" s="910"/>
      <c r="DO54" s="910"/>
      <c r="DP54" s="910"/>
      <c r="DQ54" s="910"/>
      <c r="DR54" s="910"/>
      <c r="DS54" s="910"/>
      <c r="DT54" s="910"/>
      <c r="DU54" s="910"/>
      <c r="DV54" s="910"/>
      <c r="DW54" s="910"/>
      <c r="DX54" s="910"/>
      <c r="DY54" s="910"/>
      <c r="DZ54" s="910"/>
      <c r="EA54" s="910"/>
      <c r="EB54" s="910"/>
      <c r="EC54" s="910"/>
      <c r="ED54" s="910"/>
      <c r="EE54" s="910"/>
      <c r="EF54" s="910"/>
      <c r="EG54" s="910"/>
      <c r="EH54" s="910"/>
      <c r="EI54" s="910"/>
      <c r="EJ54" s="910"/>
      <c r="EK54" s="910"/>
      <c r="EL54" s="910"/>
      <c r="EM54" s="910"/>
      <c r="EN54" s="910"/>
      <c r="EO54" s="910"/>
      <c r="EP54" s="910"/>
      <c r="EQ54" s="910"/>
      <c r="ER54" s="910"/>
      <c r="ES54" s="910"/>
      <c r="ET54" s="910"/>
      <c r="EU54" s="910"/>
      <c r="EV54" s="910"/>
      <c r="EW54" s="910"/>
      <c r="EX54" s="910"/>
      <c r="EY54" s="910"/>
      <c r="EZ54" s="910"/>
      <c r="FA54" s="910"/>
      <c r="FB54" s="910"/>
      <c r="FC54" s="910"/>
      <c r="FD54" s="910"/>
      <c r="FE54" s="910"/>
      <c r="FF54" s="910"/>
      <c r="FG54" s="910"/>
      <c r="FH54" s="910"/>
      <c r="FI54" s="910"/>
      <c r="FJ54" s="910"/>
      <c r="FK54" s="910"/>
      <c r="FL54" s="1020"/>
      <c r="FM54" s="1019" t="str">
        <f t="shared" si="1"/>
        <v/>
      </c>
    </row>
    <row r="55" spans="1:170" ht="9" customHeight="1" thickTop="1" thickBot="1">
      <c r="A55" s="910"/>
      <c r="B55" s="910"/>
      <c r="C55" s="112"/>
      <c r="D55" s="2183"/>
      <c r="E55" s="2184"/>
      <c r="F55" s="2184"/>
      <c r="G55" s="93"/>
      <c r="H55" s="2182" t="s">
        <v>3613</v>
      </c>
      <c r="I55" s="2182"/>
      <c r="J55" s="2182"/>
      <c r="K55" s="2182"/>
      <c r="L55" s="295"/>
      <c r="M55" s="295"/>
      <c r="N55" s="600"/>
      <c r="O55" s="600"/>
      <c r="P55" s="594"/>
      <c r="Q55" s="594"/>
      <c r="R55" s="594"/>
      <c r="S55" s="594"/>
      <c r="T55" s="594"/>
      <c r="U55" s="594"/>
      <c r="V55" s="594"/>
      <c r="W55" s="594"/>
      <c r="X55" s="594"/>
      <c r="Y55" s="594"/>
      <c r="Z55" s="594"/>
      <c r="AA55" s="594"/>
      <c r="AB55" s="594"/>
      <c r="AC55" s="594"/>
      <c r="AD55" s="594"/>
      <c r="AE55" s="594"/>
      <c r="AF55" s="297"/>
      <c r="AG55" s="913"/>
      <c r="AH55" s="913"/>
      <c r="AI55" s="910"/>
      <c r="AJ55" s="910"/>
      <c r="AK55" s="910"/>
      <c r="AL55" s="910"/>
      <c r="AM55" s="910"/>
      <c r="AN55" s="910"/>
      <c r="AO55" s="910"/>
      <c r="AP55" s="93"/>
      <c r="AQ55" s="2179" t="s">
        <v>4093</v>
      </c>
      <c r="AR55" s="2179"/>
      <c r="AS55" s="2179"/>
      <c r="AT55" s="2179"/>
      <c r="AU55" s="2179"/>
      <c r="AV55" s="2179"/>
      <c r="AW55" s="2179"/>
      <c r="AX55" s="2179"/>
      <c r="AY55" s="2179"/>
      <c r="AZ55" s="2179"/>
      <c r="BA55" s="2179"/>
      <c r="BB55" s="2179"/>
      <c r="BC55" s="2179"/>
      <c r="BD55" s="113"/>
      <c r="BE55" s="145"/>
      <c r="BF55" s="145"/>
      <c r="BG55" s="145"/>
      <c r="BH55" s="145"/>
      <c r="BI55" s="145"/>
      <c r="BJ55" s="145"/>
      <c r="BK55" s="145"/>
      <c r="BL55" s="913"/>
      <c r="BM55" s="913"/>
      <c r="BN55" s="913"/>
      <c r="BO55" s="93"/>
      <c r="BP55" s="2193" t="s">
        <v>4092</v>
      </c>
      <c r="BQ55" s="2193"/>
      <c r="BR55" s="2193"/>
      <c r="BS55" s="2193"/>
      <c r="BT55" s="2193" t="s">
        <v>4090</v>
      </c>
      <c r="BU55" s="2193"/>
      <c r="BV55" s="2193"/>
      <c r="BW55" s="2193"/>
      <c r="BX55" s="2193" t="s">
        <v>4091</v>
      </c>
      <c r="BY55" s="2193"/>
      <c r="BZ55" s="2193"/>
      <c r="CA55" s="2193"/>
      <c r="CB55" s="113"/>
      <c r="CC55" s="913"/>
      <c r="CD55" s="913"/>
      <c r="CE55" s="93"/>
      <c r="CF55" s="2182" t="s">
        <v>3612</v>
      </c>
      <c r="CG55" s="2208"/>
      <c r="CH55" s="2208"/>
      <c r="CI55" s="2208"/>
      <c r="CJ55" s="2208"/>
      <c r="CK55" s="2208"/>
      <c r="CL55" s="2208"/>
      <c r="CM55" s="2208"/>
      <c r="CN55" s="113"/>
      <c r="CO55" s="87"/>
      <c r="CP55" s="87"/>
      <c r="CQ55" s="87"/>
      <c r="CR55" s="87"/>
      <c r="CS55" s="87"/>
      <c r="CT55" s="87"/>
      <c r="CU55" s="87"/>
      <c r="CV55" s="87"/>
      <c r="CW55" s="87"/>
      <c r="CX55" s="87"/>
      <c r="CY55" s="87"/>
      <c r="CZ55" s="87"/>
      <c r="DA55" s="87"/>
      <c r="DB55" s="87"/>
      <c r="DC55" s="87"/>
      <c r="DD55" s="87"/>
      <c r="DE55" s="87"/>
      <c r="DF55" s="87"/>
      <c r="DG55" s="87"/>
      <c r="DI55" s="910"/>
      <c r="DJ55" s="910"/>
      <c r="DK55" s="112"/>
      <c r="DL55" s="87"/>
      <c r="DM55" s="910"/>
      <c r="DN55" s="910"/>
      <c r="DO55" s="910"/>
      <c r="DP55" s="910"/>
      <c r="DQ55" s="910"/>
      <c r="DR55" s="910"/>
      <c r="DS55" s="910"/>
      <c r="DT55" s="910"/>
      <c r="DU55" s="910"/>
      <c r="DV55" s="910"/>
      <c r="DW55" s="910"/>
      <c r="DX55" s="910"/>
      <c r="DY55" s="910"/>
      <c r="DZ55" s="910"/>
      <c r="EA55" s="910"/>
      <c r="EB55" s="910"/>
      <c r="EC55" s="910"/>
      <c r="ED55" s="910"/>
      <c r="EE55" s="910"/>
      <c r="EF55" s="910"/>
      <c r="EG55" s="910"/>
      <c r="EH55" s="910"/>
      <c r="EI55" s="910"/>
      <c r="EJ55" s="910"/>
      <c r="EK55" s="910"/>
      <c r="EL55" s="910"/>
      <c r="EM55" s="910"/>
      <c r="EN55" s="910"/>
      <c r="EO55" s="910"/>
      <c r="EP55" s="910"/>
      <c r="EQ55" s="910"/>
      <c r="ER55" s="910"/>
      <c r="ES55" s="910"/>
      <c r="ET55" s="910"/>
      <c r="EU55" s="910"/>
      <c r="EV55" s="910"/>
      <c r="EW55" s="910"/>
      <c r="EX55" s="910"/>
      <c r="EY55" s="910"/>
      <c r="EZ55" s="910"/>
      <c r="FA55" s="910"/>
      <c r="FB55" s="910"/>
      <c r="FC55" s="910"/>
      <c r="FD55" s="910"/>
      <c r="FE55" s="910"/>
      <c r="FF55" s="910"/>
      <c r="FG55" s="910"/>
      <c r="FH55" s="910"/>
      <c r="FI55" s="910"/>
      <c r="FJ55" s="910"/>
      <c r="FK55" s="910"/>
      <c r="FL55" s="1020"/>
      <c r="FM55" s="1019" t="str">
        <f t="shared" si="1"/>
        <v/>
      </c>
    </row>
    <row r="56" spans="1:170" ht="9" customHeight="1" thickTop="1">
      <c r="A56" s="910"/>
      <c r="B56" s="910"/>
      <c r="C56" s="112"/>
      <c r="D56" s="2183"/>
      <c r="E56" s="2184"/>
      <c r="F56" s="2184"/>
      <c r="G56" s="102"/>
      <c r="H56" s="2180"/>
      <c r="I56" s="2180"/>
      <c r="J56" s="2180"/>
      <c r="K56" s="2180"/>
      <c r="L56" s="1867" t="str">
        <f>Weapons!O$34</f>
        <v/>
      </c>
      <c r="M56" s="1867"/>
      <c r="N56" s="1867"/>
      <c r="O56" s="1867"/>
      <c r="P56" s="1867"/>
      <c r="Q56" s="1867"/>
      <c r="R56" s="1867"/>
      <c r="S56" s="1867"/>
      <c r="T56" s="1867"/>
      <c r="U56" s="1867"/>
      <c r="V56" s="1867"/>
      <c r="W56" s="1867"/>
      <c r="X56" s="1867"/>
      <c r="Y56" s="1867"/>
      <c r="Z56" s="1867"/>
      <c r="AA56" s="1867"/>
      <c r="AB56" s="1867"/>
      <c r="AC56" s="1867"/>
      <c r="AD56" s="1867"/>
      <c r="AE56" s="1867"/>
      <c r="AF56" s="300"/>
      <c r="AG56" s="913"/>
      <c r="AH56" s="913"/>
      <c r="AI56" s="910"/>
      <c r="AJ56" s="910"/>
      <c r="AK56" s="910"/>
      <c r="AL56" s="910"/>
      <c r="AM56" s="910"/>
      <c r="AN56" s="910"/>
      <c r="AO56" s="910"/>
      <c r="AP56" s="102"/>
      <c r="AQ56" s="2180"/>
      <c r="AR56" s="2180"/>
      <c r="AS56" s="2180"/>
      <c r="AT56" s="2180"/>
      <c r="AU56" s="2180"/>
      <c r="AV56" s="2180"/>
      <c r="AW56" s="2180"/>
      <c r="AX56" s="2180"/>
      <c r="AY56" s="2180"/>
      <c r="AZ56" s="2180"/>
      <c r="BA56" s="2180"/>
      <c r="BB56" s="2180"/>
      <c r="BC56" s="2180"/>
      <c r="BD56" s="589"/>
      <c r="BE56" s="598"/>
      <c r="BF56" s="598"/>
      <c r="BG56" s="598"/>
      <c r="BH56" s="598"/>
      <c r="BI56" s="598"/>
      <c r="BJ56" s="598"/>
      <c r="BK56" s="598"/>
      <c r="BL56" s="113"/>
      <c r="BM56" s="913"/>
      <c r="BN56" s="913"/>
      <c r="BO56" s="102"/>
      <c r="BP56" s="2194"/>
      <c r="BQ56" s="2194"/>
      <c r="BR56" s="2194"/>
      <c r="BS56" s="2194"/>
      <c r="BT56" s="2194"/>
      <c r="BU56" s="2194"/>
      <c r="BV56" s="2194"/>
      <c r="BW56" s="2194"/>
      <c r="BX56" s="2194"/>
      <c r="BY56" s="2194"/>
      <c r="BZ56" s="2194"/>
      <c r="CA56" s="2194"/>
      <c r="CB56" s="913"/>
      <c r="CC56" s="102"/>
      <c r="CD56" s="913"/>
      <c r="CE56" s="102"/>
      <c r="CF56" s="2138"/>
      <c r="CG56" s="2138"/>
      <c r="CH56" s="2138"/>
      <c r="CI56" s="2138"/>
      <c r="CJ56" s="2138"/>
      <c r="CK56" s="2138"/>
      <c r="CL56" s="2138"/>
      <c r="CM56" s="2138"/>
      <c r="CN56" s="589"/>
      <c r="CO56" s="599"/>
      <c r="CP56" s="599"/>
      <c r="CQ56" s="599"/>
      <c r="CR56" s="599"/>
      <c r="CS56" s="599"/>
      <c r="CT56" s="599"/>
      <c r="CU56" s="599"/>
      <c r="CV56" s="599"/>
      <c r="CW56" s="599"/>
      <c r="CX56" s="599"/>
      <c r="CY56" s="599"/>
      <c r="CZ56" s="599"/>
      <c r="DA56" s="599"/>
      <c r="DB56" s="599"/>
      <c r="DC56" s="599"/>
      <c r="DD56" s="599"/>
      <c r="DE56" s="599"/>
      <c r="DF56" s="599"/>
      <c r="DG56" s="113"/>
      <c r="DI56" s="910"/>
      <c r="DJ56" s="910"/>
      <c r="DK56" s="112"/>
      <c r="DL56" s="87"/>
      <c r="DM56" s="910"/>
      <c r="DN56" s="910"/>
      <c r="DO56" s="910"/>
      <c r="DP56" s="910"/>
      <c r="DQ56" s="910"/>
      <c r="DR56" s="910"/>
      <c r="DS56" s="910"/>
      <c r="DT56" s="910"/>
      <c r="DU56" s="910"/>
      <c r="DV56" s="910"/>
      <c r="DW56" s="910"/>
      <c r="DX56" s="910"/>
      <c r="DY56" s="910"/>
      <c r="DZ56" s="910"/>
      <c r="EA56" s="910"/>
      <c r="EB56" s="910"/>
      <c r="EC56" s="910"/>
      <c r="ED56" s="910"/>
      <c r="EE56" s="910"/>
      <c r="EF56" s="910"/>
      <c r="EG56" s="910"/>
      <c r="EH56" s="910"/>
      <c r="EI56" s="910"/>
      <c r="EJ56" s="910"/>
      <c r="EK56" s="910"/>
      <c r="EL56" s="910"/>
      <c r="EM56" s="910"/>
      <c r="EN56" s="910"/>
      <c r="EO56" s="910"/>
      <c r="EP56" s="910"/>
      <c r="EQ56" s="910"/>
      <c r="ER56" s="910"/>
      <c r="ES56" s="910"/>
      <c r="ET56" s="910"/>
      <c r="EU56" s="910"/>
      <c r="EV56" s="910"/>
      <c r="EW56" s="910"/>
      <c r="EX56" s="910"/>
      <c r="EY56" s="910"/>
      <c r="EZ56" s="910"/>
      <c r="FA56" s="910"/>
      <c r="FB56" s="910"/>
      <c r="FC56" s="910"/>
      <c r="FD56" s="910"/>
      <c r="FE56" s="910"/>
      <c r="FF56" s="910"/>
      <c r="FG56" s="910"/>
      <c r="FH56" s="910"/>
      <c r="FI56" s="910"/>
      <c r="FJ56" s="910"/>
      <c r="FK56" s="910"/>
      <c r="FL56" s="1020"/>
      <c r="FM56" s="1019" t="str">
        <f t="shared" si="1"/>
        <v/>
      </c>
    </row>
    <row r="57" spans="1:170" ht="9" customHeight="1" thickBot="1">
      <c r="A57" s="910"/>
      <c r="B57" s="910"/>
      <c r="C57" s="112"/>
      <c r="D57" s="2183"/>
      <c r="E57" s="2184"/>
      <c r="F57" s="2184"/>
      <c r="G57" s="102"/>
      <c r="H57" s="105"/>
      <c r="I57" s="105"/>
      <c r="J57" s="105"/>
      <c r="K57" s="105"/>
      <c r="L57" s="1867"/>
      <c r="M57" s="1867"/>
      <c r="N57" s="1867"/>
      <c r="O57" s="1867"/>
      <c r="P57" s="1867"/>
      <c r="Q57" s="1867"/>
      <c r="R57" s="1867"/>
      <c r="S57" s="1867"/>
      <c r="T57" s="1867"/>
      <c r="U57" s="1867"/>
      <c r="V57" s="1867"/>
      <c r="W57" s="1867"/>
      <c r="X57" s="1867"/>
      <c r="Y57" s="1867"/>
      <c r="Z57" s="1867"/>
      <c r="AA57" s="1867"/>
      <c r="AB57" s="1867"/>
      <c r="AC57" s="1867"/>
      <c r="AD57" s="1867"/>
      <c r="AE57" s="1867"/>
      <c r="AF57" s="103"/>
      <c r="AG57" s="913"/>
      <c r="AH57" s="913"/>
      <c r="AI57" s="910"/>
      <c r="AJ57" s="910"/>
      <c r="AK57" s="910"/>
      <c r="AL57" s="910"/>
      <c r="AM57" s="910"/>
      <c r="AN57" s="910"/>
      <c r="AO57" s="910"/>
      <c r="AP57" s="102"/>
      <c r="AQ57" s="2237"/>
      <c r="AR57" s="2237"/>
      <c r="AS57" s="2237"/>
      <c r="AT57" s="2237"/>
      <c r="AU57" s="2237"/>
      <c r="AV57" s="2237"/>
      <c r="AW57" s="2237"/>
      <c r="AX57" s="2237"/>
      <c r="AY57" s="2237"/>
      <c r="AZ57" s="2237"/>
      <c r="BA57" s="2237"/>
      <c r="BB57" s="2237"/>
      <c r="BC57" s="2237"/>
      <c r="BD57" s="2237"/>
      <c r="BE57" s="2237"/>
      <c r="BF57" s="2237"/>
      <c r="BG57" s="2237"/>
      <c r="BH57" s="2237"/>
      <c r="BI57" s="2237"/>
      <c r="BJ57" s="2237"/>
      <c r="BK57" s="2237"/>
      <c r="BL57" s="100"/>
      <c r="BM57" s="122"/>
      <c r="BN57" s="290"/>
      <c r="BO57" s="102"/>
      <c r="BP57" s="2185" t="str">
        <f>IF(AQ57&lt;&gt;"",IF(OR(INDEX(WeaponFeatsModsTable,MATCH(AQ57,WeaponFeatsModsList,0),7)=AQ49,INDEX(WeaponFeatsModsTable,MATCH(AQ57,WeaponFeatsModsList,0),7)=""),INDEX(WeaponFeatsModsTable,MATCH(AQ57,WeaponFeatsModsList,0),2)+BP51,""),"")</f>
        <v/>
      </c>
      <c r="BQ57" s="2185"/>
      <c r="BR57" s="2185"/>
      <c r="BS57" s="2185"/>
      <c r="BT57" s="2200" t="str">
        <f>IF(BP57&lt;&gt;"",IF(AND(OR(INDEX(WeaponFeatsModsTable,MATCH(AQ57,WeaponFeatsModsList,0),7)=AQ49,INDEX(WeaponFeatsModsTable,MATCH(AQ57,WeaponFeatsModsList,0),7)=""),INDEX(WeaponFeatsModsTable,MATCH(AQ57,WeaponFeatsModsList,0),8)&lt;&gt;"Yes"),IF(COUNTIF(FeatsCharacterSheet,BT54)&gt;0,BP57+BT48,""),""),"")</f>
        <v/>
      </c>
      <c r="BU57" s="2185"/>
      <c r="BV57" s="2185"/>
      <c r="BW57" s="2201"/>
      <c r="BX57" s="2185" t="str">
        <f>IF(BP57&lt;&gt;"",IF(AND(OR(INDEX(WeaponFeatsModsTable,MATCH(AQ57,WeaponFeatsModsList,0),7)=AQ49,INDEX(WeaponFeatsModsTable,MATCH(AQ57,WeaponFeatsModsList,0),7)=""),INDEX(WeaponFeatsModsTable,MATCH(AQ57,WeaponFeatsModsList,0),8)&lt;&gt;"Yes"),IF(COUNTIF(FeatsCharacterSheet,BX54)&gt;0,BP57+BX48,""),""),"")</f>
        <v/>
      </c>
      <c r="BY57" s="2185"/>
      <c r="BZ57" s="2185"/>
      <c r="CA57" s="2185"/>
      <c r="CB57" s="100"/>
      <c r="CC57" s="122"/>
      <c r="CD57" s="290"/>
      <c r="CE57" s="102"/>
      <c r="CF57" s="1883"/>
      <c r="CG57" s="1883"/>
      <c r="CH57" s="1883"/>
      <c r="CI57" s="1883"/>
      <c r="CJ57" s="1883"/>
      <c r="CK57" s="1883"/>
      <c r="CL57" s="1883"/>
      <c r="CM57" s="1883"/>
      <c r="CN57" s="1883"/>
      <c r="CO57" s="2207" t="str">
        <f>IF(AQ57&lt;&gt;"",IF(OR(INDEX(WeaponFeatsModsTable,MATCH(AQ57,WeaponFeatsModsList,0),7)=AQ49,INDEX(WeaponFeatsModsTable,MATCH(AQ57,WeaponFeatsModsList,0),7)=""),Weapons!O$78+INDEX(WeaponFeatsModsTable,MATCH(AQ57,WeaponFeatsModsList,0),5)&amp;"d"&amp;Weapons!O$79&amp;Weapons!E$123&amp;"+"&amp;Weapons!O$116+DH57+IF(AND(LEFT(AQ57,12)="Power Attack",AQ51="Two-Handed",AQ49="Melee"),INDEX(WeaponFeatsModsTable,MATCH(AQ57,WeaponFeatsModsList,0),4),INDEX(WeaponFeatsModsTable,MATCH(AQ57,WeaponFeatsModsList,0),3)),""),"")</f>
        <v/>
      </c>
      <c r="CP57" s="2207"/>
      <c r="CQ57" s="2207"/>
      <c r="CR57" s="2207"/>
      <c r="CS57" s="2207"/>
      <c r="CT57" s="2207"/>
      <c r="CU57" s="2207"/>
      <c r="CV57" s="2207"/>
      <c r="CW57" s="2207"/>
      <c r="CX57" s="2207"/>
      <c r="CY57" s="2207"/>
      <c r="CZ57" s="2207"/>
      <c r="DA57" s="2207"/>
      <c r="DB57" s="2207"/>
      <c r="DC57" s="2207"/>
      <c r="DD57" s="2207"/>
      <c r="DE57" s="2207"/>
      <c r="DF57" s="2207"/>
      <c r="DG57" s="656"/>
      <c r="DH57" s="974">
        <f>IF(AND(COUNTIF(Weapons!O$56:O$60,"Pulse Charger"),AQ49="Ranged"),INDEX(WeaponFeatsModsTable,MATCH(AQ57,WeaponFeatsModsList,0),5),0)</f>
        <v>0</v>
      </c>
      <c r="DI57" s="966"/>
      <c r="DJ57" s="966"/>
      <c r="DK57" s="967"/>
      <c r="DL57" s="109"/>
      <c r="DM57" s="910"/>
      <c r="DN57" s="910"/>
      <c r="DO57" s="910"/>
      <c r="DP57" s="910"/>
      <c r="DQ57" s="910"/>
      <c r="DR57" s="910"/>
      <c r="DS57" s="910"/>
      <c r="DT57" s="910"/>
      <c r="DU57" s="910"/>
      <c r="DV57" s="910"/>
      <c r="DW57" s="910"/>
      <c r="DX57" s="910"/>
      <c r="DY57" s="910"/>
      <c r="DZ57" s="910"/>
      <c r="EA57" s="910"/>
      <c r="EB57" s="910"/>
      <c r="EC57" s="910"/>
      <c r="ED57" s="910"/>
      <c r="EE57" s="910"/>
      <c r="EF57" s="910"/>
      <c r="EG57" s="910"/>
      <c r="EH57" s="910"/>
      <c r="EI57" s="910"/>
      <c r="EJ57" s="910"/>
      <c r="EK57" s="910"/>
      <c r="EL57" s="910"/>
      <c r="EM57" s="910"/>
      <c r="EN57" s="910"/>
      <c r="EO57" s="910"/>
      <c r="EP57" s="910"/>
      <c r="EQ57" s="910"/>
      <c r="ER57" s="910"/>
      <c r="ES57" s="910"/>
      <c r="ET57" s="910"/>
      <c r="EU57" s="910"/>
      <c r="EV57" s="910"/>
      <c r="EW57" s="910"/>
      <c r="EX57" s="910"/>
      <c r="EY57" s="910"/>
      <c r="EZ57" s="910"/>
      <c r="FA57" s="910"/>
      <c r="FB57" s="910"/>
      <c r="FC57" s="910"/>
      <c r="FD57" s="910"/>
      <c r="FE57" s="910"/>
      <c r="FF57" s="910"/>
      <c r="FG57" s="910"/>
      <c r="FH57" s="910"/>
      <c r="FI57" s="910"/>
      <c r="FJ57" s="910"/>
      <c r="FK57" s="910"/>
      <c r="FL57" s="1020" t="str">
        <f>IF(AND(AQ57&lt;&gt;"",BP57&lt;&gt;""),AQ49&amp;" "&amp;LOWER(J51)&amp;" "&amp;IF(BP57&lt;0,"","+")&amp;BP57&amp;" ("&amp;CO57&amp;IF(Weapons!O$82&lt;&gt;"20","/"&amp;Weapons!O$82,"")&amp;IF(Weapons!O$83&lt;&gt;2,"/×"&amp;Weapons!O$83,"")&amp;") with "&amp;AQ57,"")</f>
        <v/>
      </c>
      <c r="FM57" s="1019" t="str">
        <f t="shared" si="1"/>
        <v/>
      </c>
    </row>
    <row r="58" spans="1:170" ht="9" customHeight="1" thickTop="1" thickBot="1">
      <c r="A58" s="910"/>
      <c r="B58" s="910"/>
      <c r="C58" s="112"/>
      <c r="D58" s="2183"/>
      <c r="E58" s="2184"/>
      <c r="F58" s="2184"/>
      <c r="G58" s="91"/>
      <c r="H58" s="108"/>
      <c r="I58" s="108"/>
      <c r="J58" s="108"/>
      <c r="K58" s="108"/>
      <c r="L58" s="1868"/>
      <c r="M58" s="1868"/>
      <c r="N58" s="1868"/>
      <c r="O58" s="1868"/>
      <c r="P58" s="1868"/>
      <c r="Q58" s="1868"/>
      <c r="R58" s="1868"/>
      <c r="S58" s="1868"/>
      <c r="T58" s="1868"/>
      <c r="U58" s="1868"/>
      <c r="V58" s="1868"/>
      <c r="W58" s="1868"/>
      <c r="X58" s="1868"/>
      <c r="Y58" s="1868"/>
      <c r="Z58" s="1868"/>
      <c r="AA58" s="1868"/>
      <c r="AB58" s="1868"/>
      <c r="AC58" s="1868"/>
      <c r="AD58" s="1868"/>
      <c r="AE58" s="1868"/>
      <c r="AF58" s="90"/>
      <c r="AG58" s="913"/>
      <c r="AH58" s="913"/>
      <c r="AI58" s="910"/>
      <c r="AJ58" s="910"/>
      <c r="AK58" s="910"/>
      <c r="AL58" s="910"/>
      <c r="AM58" s="910"/>
      <c r="AN58" s="910"/>
      <c r="AO58" s="910"/>
      <c r="AP58" s="647"/>
      <c r="AQ58" s="2237"/>
      <c r="AR58" s="2237"/>
      <c r="AS58" s="2237"/>
      <c r="AT58" s="2237"/>
      <c r="AU58" s="2237"/>
      <c r="AV58" s="2237"/>
      <c r="AW58" s="2237"/>
      <c r="AX58" s="2237"/>
      <c r="AY58" s="2237"/>
      <c r="AZ58" s="2237"/>
      <c r="BA58" s="2237"/>
      <c r="BB58" s="2237"/>
      <c r="BC58" s="2237"/>
      <c r="BD58" s="2237"/>
      <c r="BE58" s="2237"/>
      <c r="BF58" s="2237"/>
      <c r="BG58" s="2237"/>
      <c r="BH58" s="2237"/>
      <c r="BI58" s="2237"/>
      <c r="BJ58" s="2237"/>
      <c r="BK58" s="2237"/>
      <c r="BL58" s="100"/>
      <c r="BM58" s="111"/>
      <c r="BN58" s="111"/>
      <c r="BO58" s="647"/>
      <c r="BP58" s="2185"/>
      <c r="BQ58" s="2185"/>
      <c r="BR58" s="2185"/>
      <c r="BS58" s="2185"/>
      <c r="BT58" s="2200"/>
      <c r="BU58" s="2185"/>
      <c r="BV58" s="2185"/>
      <c r="BW58" s="2201"/>
      <c r="BX58" s="2185"/>
      <c r="BY58" s="2185"/>
      <c r="BZ58" s="2185"/>
      <c r="CA58" s="2185"/>
      <c r="CB58" s="100"/>
      <c r="CC58" s="111"/>
      <c r="CD58" s="111"/>
      <c r="CE58" s="102"/>
      <c r="CF58" s="1883"/>
      <c r="CG58" s="1883"/>
      <c r="CH58" s="1883"/>
      <c r="CI58" s="1883"/>
      <c r="CJ58" s="1883"/>
      <c r="CK58" s="1883"/>
      <c r="CL58" s="1883"/>
      <c r="CM58" s="1883"/>
      <c r="CN58" s="1883"/>
      <c r="CO58" s="2207"/>
      <c r="CP58" s="2207"/>
      <c r="CQ58" s="2207"/>
      <c r="CR58" s="2207"/>
      <c r="CS58" s="2207"/>
      <c r="CT58" s="2207"/>
      <c r="CU58" s="2207"/>
      <c r="CV58" s="2207"/>
      <c r="CW58" s="2207"/>
      <c r="CX58" s="2207"/>
      <c r="CY58" s="2207"/>
      <c r="CZ58" s="2207"/>
      <c r="DA58" s="2207"/>
      <c r="DB58" s="2207"/>
      <c r="DC58" s="2207"/>
      <c r="DD58" s="2207"/>
      <c r="DE58" s="2207"/>
      <c r="DF58" s="2207"/>
      <c r="DG58" s="656"/>
      <c r="DH58" s="974"/>
      <c r="DI58" s="966"/>
      <c r="DJ58" s="966"/>
      <c r="DK58" s="967"/>
      <c r="DL58" s="109"/>
      <c r="DM58" s="910"/>
      <c r="DN58" s="910"/>
      <c r="DO58" s="910"/>
      <c r="DP58" s="910"/>
      <c r="DQ58" s="910"/>
      <c r="DR58" s="910"/>
      <c r="DS58" s="910"/>
      <c r="DT58" s="910"/>
      <c r="DU58" s="910"/>
      <c r="DV58" s="910"/>
      <c r="DW58" s="910"/>
      <c r="DX58" s="910"/>
      <c r="DY58" s="910"/>
      <c r="DZ58" s="910"/>
      <c r="EA58" s="910"/>
      <c r="EB58" s="910"/>
      <c r="EC58" s="910"/>
      <c r="ED58" s="910"/>
      <c r="EE58" s="910"/>
      <c r="EF58" s="910"/>
      <c r="EG58" s="910"/>
      <c r="EH58" s="910"/>
      <c r="EI58" s="910"/>
      <c r="EJ58" s="910"/>
      <c r="EK58" s="910"/>
      <c r="EL58" s="910"/>
      <c r="EM58" s="910"/>
      <c r="EN58" s="910"/>
      <c r="EO58" s="910"/>
      <c r="EP58" s="910"/>
      <c r="EQ58" s="910"/>
      <c r="ER58" s="910"/>
      <c r="ES58" s="910"/>
      <c r="ET58" s="910"/>
      <c r="EU58" s="910"/>
      <c r="EV58" s="910"/>
      <c r="EW58" s="910"/>
      <c r="EX58" s="910"/>
      <c r="EY58" s="910"/>
      <c r="EZ58" s="910"/>
      <c r="FA58" s="910"/>
      <c r="FB58" s="910"/>
      <c r="FC58" s="910"/>
      <c r="FD58" s="910"/>
      <c r="FE58" s="910"/>
      <c r="FF58" s="910"/>
      <c r="FG58" s="910"/>
      <c r="FH58" s="910"/>
      <c r="FI58" s="910"/>
      <c r="FJ58" s="910"/>
      <c r="FK58" s="910"/>
      <c r="FL58" s="1020" t="str">
        <f>IF(AND(AQ57&lt;&gt;"",BT57&lt;&gt;""),IF(BT54&lt;&gt;"",AQ49&amp;" "&amp;LOWER(J51)&amp;" "&amp;IF(BT57&lt;0,BT57&amp;"/"&amp;BT57,"+"&amp;BT57&amp;"/+"&amp;BT57)&amp;" ("&amp;$CE57&amp;IF(Weapons!O$82&lt;&gt;"20","/"&amp;Weapons!O$82,"")&amp;IF(Weapons!O$83&lt;&gt;2,"/×"&amp;Weapons!O$83,"")&amp;") with Double Attack and "&amp;AQ57,""),"")</f>
        <v/>
      </c>
      <c r="FM58" s="1019" t="str">
        <f t="shared" si="1"/>
        <v/>
      </c>
    </row>
    <row r="59" spans="1:170" ht="9" customHeight="1" thickTop="1" thickBot="1">
      <c r="A59" s="910"/>
      <c r="B59" s="910"/>
      <c r="C59" s="112"/>
      <c r="D59" s="2183"/>
      <c r="E59" s="2184"/>
      <c r="F59" s="2184"/>
      <c r="G59" s="913"/>
      <c r="H59" s="913"/>
      <c r="I59" s="913"/>
      <c r="J59" s="913"/>
      <c r="K59" s="913"/>
      <c r="L59" s="913"/>
      <c r="M59" s="913"/>
      <c r="N59" s="913"/>
      <c r="O59" s="589"/>
      <c r="P59" s="589"/>
      <c r="Q59" s="589"/>
      <c r="R59" s="589"/>
      <c r="S59" s="589"/>
      <c r="T59" s="589"/>
      <c r="U59" s="589"/>
      <c r="V59" s="589"/>
      <c r="W59" s="589"/>
      <c r="X59" s="589"/>
      <c r="Y59" s="589"/>
      <c r="Z59" s="589"/>
      <c r="AA59" s="589"/>
      <c r="AB59" s="589"/>
      <c r="AC59" s="589"/>
      <c r="AD59" s="589"/>
      <c r="AE59" s="589"/>
      <c r="AF59" s="589"/>
      <c r="AG59" s="589"/>
      <c r="AH59" s="131"/>
      <c r="AI59" s="910"/>
      <c r="AJ59" s="910"/>
      <c r="AK59" s="910"/>
      <c r="AL59" s="910"/>
      <c r="AM59" s="910"/>
      <c r="AN59" s="910"/>
      <c r="AO59" s="910"/>
      <c r="AP59" s="647"/>
      <c r="AQ59" s="2238"/>
      <c r="AR59" s="2238"/>
      <c r="AS59" s="2238"/>
      <c r="AT59" s="2238"/>
      <c r="AU59" s="2238"/>
      <c r="AV59" s="2238"/>
      <c r="AW59" s="2238"/>
      <c r="AX59" s="2238"/>
      <c r="AY59" s="2238"/>
      <c r="AZ59" s="2238"/>
      <c r="BA59" s="2238"/>
      <c r="BB59" s="2238"/>
      <c r="BC59" s="2238"/>
      <c r="BD59" s="2238"/>
      <c r="BE59" s="2238"/>
      <c r="BF59" s="2238"/>
      <c r="BG59" s="2238"/>
      <c r="BH59" s="2238"/>
      <c r="BI59" s="2238"/>
      <c r="BJ59" s="2238"/>
      <c r="BK59" s="2238"/>
      <c r="BL59" s="910"/>
      <c r="BM59" s="647"/>
      <c r="BN59" s="913"/>
      <c r="BO59" s="102"/>
      <c r="BP59" s="2185"/>
      <c r="BQ59" s="2185"/>
      <c r="BR59" s="2185"/>
      <c r="BS59" s="2185"/>
      <c r="BT59" s="2200"/>
      <c r="BU59" s="2185"/>
      <c r="BV59" s="2185"/>
      <c r="BW59" s="2201"/>
      <c r="BX59" s="2185"/>
      <c r="BY59" s="2185"/>
      <c r="BZ59" s="2185"/>
      <c r="CA59" s="2185"/>
      <c r="CB59" s="913"/>
      <c r="CC59" s="102"/>
      <c r="CD59" s="913"/>
      <c r="CE59" s="102"/>
      <c r="CF59" s="910"/>
      <c r="CG59" s="910"/>
      <c r="CH59" s="910"/>
      <c r="CI59" s="910"/>
      <c r="CJ59" s="910"/>
      <c r="CK59" s="910"/>
      <c r="CL59" s="910"/>
      <c r="CM59" s="910"/>
      <c r="CN59" s="910"/>
      <c r="CO59" s="2207"/>
      <c r="CP59" s="2207"/>
      <c r="CQ59" s="2207"/>
      <c r="CR59" s="2207"/>
      <c r="CS59" s="2207"/>
      <c r="CT59" s="2207"/>
      <c r="CU59" s="2207"/>
      <c r="CV59" s="2207"/>
      <c r="CW59" s="2207"/>
      <c r="CX59" s="2207"/>
      <c r="CY59" s="2207"/>
      <c r="CZ59" s="2207"/>
      <c r="DA59" s="2207"/>
      <c r="DB59" s="2207"/>
      <c r="DC59" s="2207"/>
      <c r="DD59" s="2207"/>
      <c r="DE59" s="2207"/>
      <c r="DF59" s="2207"/>
      <c r="DG59" s="656"/>
      <c r="DH59" s="974"/>
      <c r="DI59" s="966"/>
      <c r="DJ59" s="966"/>
      <c r="DK59" s="967"/>
      <c r="DL59" s="118"/>
      <c r="DM59" s="910"/>
      <c r="DN59" s="910"/>
      <c r="DO59" s="910"/>
      <c r="DP59" s="910"/>
      <c r="DQ59" s="910"/>
      <c r="DR59" s="910"/>
      <c r="DS59" s="910"/>
      <c r="DT59" s="910"/>
      <c r="DU59" s="910"/>
      <c r="DV59" s="910"/>
      <c r="DW59" s="910"/>
      <c r="DX59" s="910"/>
      <c r="DY59" s="910"/>
      <c r="DZ59" s="910"/>
      <c r="EA59" s="910"/>
      <c r="EB59" s="910"/>
      <c r="EC59" s="910"/>
      <c r="ED59" s="910"/>
      <c r="EE59" s="910"/>
      <c r="EF59" s="910"/>
      <c r="EG59" s="910"/>
      <c r="EH59" s="910"/>
      <c r="EI59" s="910"/>
      <c r="EJ59" s="910"/>
      <c r="EK59" s="910"/>
      <c r="EL59" s="910"/>
      <c r="EM59" s="910"/>
      <c r="EN59" s="910"/>
      <c r="EO59" s="910"/>
      <c r="EP59" s="910"/>
      <c r="EQ59" s="910"/>
      <c r="ER59" s="910"/>
      <c r="ES59" s="910"/>
      <c r="ET59" s="910"/>
      <c r="EU59" s="910"/>
      <c r="EV59" s="910"/>
      <c r="EW59" s="910"/>
      <c r="EX59" s="910"/>
      <c r="EY59" s="910"/>
      <c r="EZ59" s="910"/>
      <c r="FA59" s="910"/>
      <c r="FB59" s="910"/>
      <c r="FC59" s="910"/>
      <c r="FD59" s="910"/>
      <c r="FE59" s="910"/>
      <c r="FF59" s="910"/>
      <c r="FG59" s="910"/>
      <c r="FH59" s="910"/>
      <c r="FI59" s="910"/>
      <c r="FJ59" s="910"/>
      <c r="FK59" s="910"/>
      <c r="FL59" s="1020" t="str">
        <f>IF(AND(AQ57&lt;&gt;"",BX57&lt;&gt;""),IF(BX54&lt;&gt;"",AQ49&amp;" "&amp;LOWER(J51)&amp;" "&amp;IF($BN57&lt;0,$BN57&amp;"/"&amp;$BN57&amp;"/"&amp;$BN57,"+"&amp;$BN57&amp;"/+"&amp;$BN57&amp;"/+"&amp;$BN57)&amp;" ("&amp;$CE57&amp;IF(Weapons!O$82&lt;&gt;"20","/"&amp;Weapons!O$82,"")&amp;IF(Weapons!O$83&lt;&gt;2,"/×"&amp;Weapons!O$83,"")&amp;") with Triple Attack and "&amp;AQ57,""),"")</f>
        <v/>
      </c>
      <c r="FM59" s="1019" t="str">
        <f t="shared" si="1"/>
        <v/>
      </c>
    </row>
    <row r="60" spans="1:170" ht="9" customHeight="1" thickTop="1" thickBot="1">
      <c r="A60" s="910"/>
      <c r="B60" s="910"/>
      <c r="C60" s="112"/>
      <c r="D60" s="2183"/>
      <c r="E60" s="2184"/>
      <c r="F60" s="2184"/>
      <c r="G60" s="93"/>
      <c r="H60" s="2182" t="s">
        <v>4051</v>
      </c>
      <c r="I60" s="2208"/>
      <c r="J60" s="2208"/>
      <c r="K60" s="2208"/>
      <c r="L60" s="295"/>
      <c r="M60" s="295"/>
      <c r="N60" s="295"/>
      <c r="O60" s="295"/>
      <c r="P60" s="295"/>
      <c r="Q60" s="295"/>
      <c r="R60" s="295"/>
      <c r="S60" s="295"/>
      <c r="T60" s="295"/>
      <c r="U60" s="295"/>
      <c r="V60" s="113"/>
      <c r="W60" s="910"/>
      <c r="X60" s="910"/>
      <c r="Y60" s="93"/>
      <c r="Z60" s="2182" t="s">
        <v>4089</v>
      </c>
      <c r="AA60" s="2208"/>
      <c r="AB60" s="2208"/>
      <c r="AC60" s="2208"/>
      <c r="AD60" s="295"/>
      <c r="AE60" s="295"/>
      <c r="AF60" s="295"/>
      <c r="AG60" s="295"/>
      <c r="AH60" s="295"/>
      <c r="AI60" s="295"/>
      <c r="AJ60" s="295"/>
      <c r="AK60" s="295"/>
      <c r="AL60" s="295"/>
      <c r="AM60" s="113"/>
      <c r="AN60" s="910"/>
      <c r="AO60" s="910"/>
      <c r="AP60" s="647"/>
      <c r="AQ60" s="2237"/>
      <c r="AR60" s="2237"/>
      <c r="AS60" s="2237"/>
      <c r="AT60" s="2237"/>
      <c r="AU60" s="2237"/>
      <c r="AV60" s="2237"/>
      <c r="AW60" s="2237"/>
      <c r="AX60" s="2237"/>
      <c r="AY60" s="2237"/>
      <c r="AZ60" s="2237"/>
      <c r="BA60" s="2237"/>
      <c r="BB60" s="2237"/>
      <c r="BC60" s="2237"/>
      <c r="BD60" s="2237"/>
      <c r="BE60" s="2237"/>
      <c r="BF60" s="2237"/>
      <c r="BG60" s="2237"/>
      <c r="BH60" s="2237"/>
      <c r="BI60" s="2237"/>
      <c r="BJ60" s="2237"/>
      <c r="BK60" s="2237"/>
      <c r="BL60" s="100"/>
      <c r="BM60" s="122"/>
      <c r="BN60" s="290"/>
      <c r="BO60" s="102"/>
      <c r="BP60" s="2185" t="str">
        <f>IF(AQ60&lt;&gt;"",IF(OR(INDEX(WeaponFeatsModsTable,MATCH(AQ60,WeaponFeatsModsList,0),7)=AQ49,INDEX(WeaponFeatsModsTable,MATCH(AQ60,WeaponFeatsModsList,0),7)=""),INDEX(WeaponFeatsModsTable,MATCH(AQ60,WeaponFeatsModsList,0),2)+BP51,""),"")</f>
        <v/>
      </c>
      <c r="BQ60" s="2185"/>
      <c r="BR60" s="2185"/>
      <c r="BS60" s="2185"/>
      <c r="BT60" s="2200" t="str">
        <f>IF(BP60&lt;&gt;"",IF(AND(OR(INDEX(WeaponFeatsModsTable,MATCH(AQ60,WeaponFeatsModsList,0),7)=AQ49,INDEX(WeaponFeatsModsTable,MATCH(AQ60,WeaponFeatsModsList,0),7)=""),INDEX(WeaponFeatsModsTable,MATCH(AQ60,WeaponFeatsModsList,0),8)&lt;&gt;"Yes"),IF(COUNTIF(FeatsCharacterSheet,BT54)&gt;0,BP60+BT48,""),""),"")</f>
        <v/>
      </c>
      <c r="BU60" s="2185"/>
      <c r="BV60" s="2185"/>
      <c r="BW60" s="2201"/>
      <c r="BX60" s="2185" t="str">
        <f>IF(BP60&lt;&gt;"",IF(AND(OR(INDEX(WeaponFeatsModsTable,MATCH(AQ60,WeaponFeatsModsList,0),7)=AQ49,INDEX(WeaponFeatsModsTable,MATCH(AQ60,WeaponFeatsModsList,0),7)=""),INDEX(WeaponFeatsModsTable,MATCH(AQ60,WeaponFeatsModsList,0),8)&lt;&gt;"Yes"),IF(COUNTIF(FeatsCharacterSheet,BX54)&gt;0,BP60+BX48,""),""),"")</f>
        <v/>
      </c>
      <c r="BY60" s="2185"/>
      <c r="BZ60" s="2185"/>
      <c r="CA60" s="2185"/>
      <c r="CB60" s="100"/>
      <c r="CC60" s="122"/>
      <c r="CD60" s="290"/>
      <c r="CE60" s="102"/>
      <c r="CF60" s="1883"/>
      <c r="CG60" s="1883"/>
      <c r="CH60" s="1883"/>
      <c r="CI60" s="1883"/>
      <c r="CJ60" s="1883"/>
      <c r="CK60" s="1883"/>
      <c r="CL60" s="1883"/>
      <c r="CM60" s="1883"/>
      <c r="CN60" s="1883"/>
      <c r="CO60" s="2207" t="str">
        <f>IF(AQ60&lt;&gt;"",IF(OR(INDEX(WeaponFeatsModsTable,MATCH(AQ60,WeaponFeatsModsList,0),7)=AQ$49,INDEX(WeaponFeatsModsTable,MATCH(AQ60,WeaponFeatsModsList,0),7)=""),Weapons!O$78+INDEX(WeaponFeatsModsTable,MATCH(AQ60,WeaponFeatsModsList,0),5)&amp;"d"&amp;Weapons!O$79&amp;Weapons!E$123&amp;"+"&amp;Weapons!O$116+DH60+IF(AND(LEFT(AQ60,12)="Power Attack",AQ$51="Two-Handed",AQ$49="Melee"),INDEX(WeaponFeatsModsTable,MATCH(AQ60,WeaponFeatsModsList,0),4),INDEX(WeaponFeatsModsTable,MATCH(AQ60,WeaponFeatsModsList,0),3)),""),"")</f>
        <v/>
      </c>
      <c r="CP60" s="2207"/>
      <c r="CQ60" s="2207"/>
      <c r="CR60" s="2207"/>
      <c r="CS60" s="2207"/>
      <c r="CT60" s="2207"/>
      <c r="CU60" s="2207"/>
      <c r="CV60" s="2207"/>
      <c r="CW60" s="2207"/>
      <c r="CX60" s="2207"/>
      <c r="CY60" s="2207"/>
      <c r="CZ60" s="2207"/>
      <c r="DA60" s="2207"/>
      <c r="DB60" s="2207"/>
      <c r="DC60" s="2207"/>
      <c r="DD60" s="2207"/>
      <c r="DE60" s="2207"/>
      <c r="DF60" s="2207"/>
      <c r="DG60" s="656"/>
      <c r="DH60" s="974">
        <f>IF(AND(COUNTIF(Weapons!O$56:O$60,"Pulse Charger"),AQ49="Ranged"),INDEX(WeaponFeatsModsTable,MATCH(AQ60,WeaponFeatsModsList,0),5),0)</f>
        <v>0</v>
      </c>
      <c r="DI60" s="958"/>
      <c r="DJ60" s="958"/>
      <c r="DK60" s="112"/>
      <c r="DL60" s="118"/>
      <c r="DM60" s="910"/>
      <c r="DN60" s="910"/>
      <c r="DO60" s="910"/>
      <c r="DP60" s="910"/>
      <c r="DQ60" s="910"/>
      <c r="DR60" s="910"/>
      <c r="DS60" s="910"/>
      <c r="DT60" s="910"/>
      <c r="DU60" s="910"/>
      <c r="DV60" s="910"/>
      <c r="DW60" s="910"/>
      <c r="DX60" s="910"/>
      <c r="DY60" s="910"/>
      <c r="DZ60" s="910"/>
      <c r="EA60" s="910"/>
      <c r="EB60" s="910"/>
      <c r="EC60" s="910"/>
      <c r="ED60" s="910"/>
      <c r="EE60" s="910"/>
      <c r="EF60" s="910"/>
      <c r="EG60" s="910"/>
      <c r="EH60" s="910"/>
      <c r="EI60" s="910"/>
      <c r="EJ60" s="910"/>
      <c r="EK60" s="910"/>
      <c r="EL60" s="910"/>
      <c r="EM60" s="910"/>
      <c r="EN60" s="910"/>
      <c r="EO60" s="910"/>
      <c r="EP60" s="910"/>
      <c r="EQ60" s="910"/>
      <c r="ER60" s="910"/>
      <c r="ES60" s="910"/>
      <c r="ET60" s="910"/>
      <c r="EU60" s="910"/>
      <c r="EV60" s="910"/>
      <c r="EW60" s="910"/>
      <c r="EX60" s="910"/>
      <c r="EY60" s="910"/>
      <c r="EZ60" s="910"/>
      <c r="FA60" s="910"/>
      <c r="FB60" s="910"/>
      <c r="FC60" s="910"/>
      <c r="FD60" s="910"/>
      <c r="FE60" s="910"/>
      <c r="FF60" s="910"/>
      <c r="FG60" s="910"/>
      <c r="FH60" s="910"/>
      <c r="FI60" s="910"/>
      <c r="FJ60" s="910"/>
      <c r="FK60" s="910"/>
      <c r="FL60" s="1020" t="str">
        <f>IF(AND(AQ60&lt;&gt;"",BP60&lt;&gt;""),AQ49&amp;" "&amp;LOWER(J51)&amp;" "&amp;IF(BP60&lt;0,"","+")&amp;BP60&amp;" ("&amp;CO60&amp;IF(Weapons!O$82&lt;&gt;"20","/"&amp;Weapons!O$82,"")&amp;IF(Weapons!O$83&lt;&gt;2,"/×"&amp;Weapons!O$83,"")&amp;") with "&amp;AQ60,"")</f>
        <v/>
      </c>
      <c r="FM60" s="1019" t="str">
        <f t="shared" si="1"/>
        <v/>
      </c>
    </row>
    <row r="61" spans="1:170" ht="9" customHeight="1" thickTop="1">
      <c r="A61" s="910"/>
      <c r="B61" s="910"/>
      <c r="C61" s="112"/>
      <c r="D61" s="2183"/>
      <c r="E61" s="2184"/>
      <c r="F61" s="2184"/>
      <c r="G61" s="102"/>
      <c r="H61" s="2138"/>
      <c r="I61" s="2138"/>
      <c r="J61" s="2138"/>
      <c r="K61" s="2138"/>
      <c r="L61" s="2187" t="str">
        <f>Weapons!O$23</f>
        <v/>
      </c>
      <c r="M61" s="2187"/>
      <c r="N61" s="2187"/>
      <c r="O61" s="2187"/>
      <c r="P61" s="2187"/>
      <c r="Q61" s="2187"/>
      <c r="R61" s="2187"/>
      <c r="S61" s="2187"/>
      <c r="T61" s="2187"/>
      <c r="U61" s="2187"/>
      <c r="V61" s="100"/>
      <c r="W61" s="910"/>
      <c r="X61" s="910"/>
      <c r="Y61" s="102"/>
      <c r="Z61" s="2138"/>
      <c r="AA61" s="2138"/>
      <c r="AB61" s="2138"/>
      <c r="AC61" s="2138"/>
      <c r="AD61" s="2187" t="str">
        <f>IF(J51="","",IF(Weapons!R$22&lt;&gt;"",Weapons!O64,Weapons!O$82&amp;"/×"&amp;Weapons!O$83))</f>
        <v/>
      </c>
      <c r="AE61" s="2187"/>
      <c r="AF61" s="2187"/>
      <c r="AG61" s="2187"/>
      <c r="AH61" s="2187"/>
      <c r="AI61" s="2187"/>
      <c r="AJ61" s="2187"/>
      <c r="AK61" s="2187"/>
      <c r="AL61" s="2187"/>
      <c r="AM61" s="100"/>
      <c r="AN61" s="910"/>
      <c r="AO61" s="910"/>
      <c r="AP61" s="647"/>
      <c r="AQ61" s="2237"/>
      <c r="AR61" s="2237"/>
      <c r="AS61" s="2237"/>
      <c r="AT61" s="2237"/>
      <c r="AU61" s="2237"/>
      <c r="AV61" s="2237"/>
      <c r="AW61" s="2237"/>
      <c r="AX61" s="2237"/>
      <c r="AY61" s="2237"/>
      <c r="AZ61" s="2237"/>
      <c r="BA61" s="2237"/>
      <c r="BB61" s="2237"/>
      <c r="BC61" s="2237"/>
      <c r="BD61" s="2237"/>
      <c r="BE61" s="2237"/>
      <c r="BF61" s="2237"/>
      <c r="BG61" s="2237"/>
      <c r="BH61" s="2237"/>
      <c r="BI61" s="2237"/>
      <c r="BJ61" s="2237"/>
      <c r="BK61" s="2237"/>
      <c r="BL61" s="100"/>
      <c r="BM61" s="111"/>
      <c r="BN61" s="111"/>
      <c r="BO61" s="647"/>
      <c r="BP61" s="2185"/>
      <c r="BQ61" s="2185"/>
      <c r="BR61" s="2185"/>
      <c r="BS61" s="2185"/>
      <c r="BT61" s="2200"/>
      <c r="BU61" s="2185"/>
      <c r="BV61" s="2185"/>
      <c r="BW61" s="2201"/>
      <c r="BX61" s="2185"/>
      <c r="BY61" s="2185"/>
      <c r="BZ61" s="2185"/>
      <c r="CA61" s="2185"/>
      <c r="CB61" s="100"/>
      <c r="CC61" s="111"/>
      <c r="CD61" s="111"/>
      <c r="CE61" s="102"/>
      <c r="CF61" s="1883"/>
      <c r="CG61" s="1883"/>
      <c r="CH61" s="1883"/>
      <c r="CI61" s="1883"/>
      <c r="CJ61" s="1883"/>
      <c r="CK61" s="1883"/>
      <c r="CL61" s="1883"/>
      <c r="CM61" s="1883"/>
      <c r="CN61" s="1883"/>
      <c r="CO61" s="2207"/>
      <c r="CP61" s="2207"/>
      <c r="CQ61" s="2207"/>
      <c r="CR61" s="2207"/>
      <c r="CS61" s="2207"/>
      <c r="CT61" s="2207"/>
      <c r="CU61" s="2207"/>
      <c r="CV61" s="2207"/>
      <c r="CW61" s="2207"/>
      <c r="CX61" s="2207"/>
      <c r="CY61" s="2207"/>
      <c r="CZ61" s="2207"/>
      <c r="DA61" s="2207"/>
      <c r="DB61" s="2207"/>
      <c r="DC61" s="2207"/>
      <c r="DD61" s="2207"/>
      <c r="DE61" s="2207"/>
      <c r="DF61" s="2207"/>
      <c r="DG61" s="656"/>
      <c r="DI61" s="958"/>
      <c r="DJ61" s="958"/>
      <c r="DK61" s="112"/>
      <c r="DL61" s="118"/>
      <c r="DM61" s="910"/>
      <c r="DN61" s="910"/>
      <c r="DO61" s="910"/>
      <c r="DP61" s="910"/>
      <c r="DQ61" s="910"/>
      <c r="DR61" s="910"/>
      <c r="DS61" s="910"/>
      <c r="DT61" s="910"/>
      <c r="DU61" s="910"/>
      <c r="DV61" s="910"/>
      <c r="DW61" s="910"/>
      <c r="DX61" s="910"/>
      <c r="DY61" s="910"/>
      <c r="DZ61" s="910"/>
      <c r="EA61" s="910"/>
      <c r="EB61" s="910"/>
      <c r="EC61" s="910"/>
      <c r="ED61" s="910"/>
      <c r="EE61" s="910"/>
      <c r="EF61" s="910"/>
      <c r="EG61" s="910"/>
      <c r="EH61" s="910"/>
      <c r="EI61" s="910"/>
      <c r="EJ61" s="910"/>
      <c r="EK61" s="910"/>
      <c r="EL61" s="910"/>
      <c r="EM61" s="910"/>
      <c r="EN61" s="910"/>
      <c r="EO61" s="910"/>
      <c r="EP61" s="910"/>
      <c r="EQ61" s="910"/>
      <c r="ER61" s="910"/>
      <c r="ES61" s="910"/>
      <c r="ET61" s="910"/>
      <c r="EU61" s="910"/>
      <c r="EV61" s="910"/>
      <c r="EW61" s="910"/>
      <c r="EX61" s="910"/>
      <c r="EY61" s="910"/>
      <c r="EZ61" s="910"/>
      <c r="FA61" s="910"/>
      <c r="FB61" s="910"/>
      <c r="FC61" s="910"/>
      <c r="FD61" s="910"/>
      <c r="FE61" s="910"/>
      <c r="FF61" s="910"/>
      <c r="FG61" s="910"/>
      <c r="FH61" s="910"/>
      <c r="FI61" s="910"/>
      <c r="FJ61" s="910"/>
      <c r="FK61" s="910"/>
      <c r="FL61" s="1020" t="str">
        <f>IF(AND(AQ60&lt;&gt;"",BT60&lt;&gt;""),IF(BT54&lt;&gt;"",AQ49&amp;" "&amp;LOWER(J51)&amp;" "&amp;IF($BJ60&lt;0,BT60&amp;"/"&amp;BT60,"+"&amp;BT60&amp;"/+"&amp;BT60)&amp;" ("&amp;$CE60&amp;IF(Weapons!O$82&lt;&gt;"20","/"&amp;Weapons!O$82,"")&amp;IF(Weapons!O$83&lt;&gt;2,"/×"&amp;Weapons!O$83,"")&amp;") with Double Attack and "&amp;AQ60,""),"")</f>
        <v/>
      </c>
      <c r="FM61" s="1019" t="str">
        <f t="shared" si="1"/>
        <v/>
      </c>
    </row>
    <row r="62" spans="1:170" ht="9" customHeight="1">
      <c r="A62" s="910"/>
      <c r="B62" s="910"/>
      <c r="C62" s="112"/>
      <c r="D62" s="2183"/>
      <c r="E62" s="2184"/>
      <c r="F62" s="2184"/>
      <c r="G62" s="102"/>
      <c r="H62" s="911"/>
      <c r="I62" s="911"/>
      <c r="J62" s="911"/>
      <c r="K62" s="911"/>
      <c r="L62" s="2187"/>
      <c r="M62" s="2187"/>
      <c r="N62" s="2187"/>
      <c r="O62" s="2187"/>
      <c r="P62" s="2187"/>
      <c r="Q62" s="2187"/>
      <c r="R62" s="2187"/>
      <c r="S62" s="2187"/>
      <c r="T62" s="2187"/>
      <c r="U62" s="2187"/>
      <c r="V62" s="100"/>
      <c r="W62" s="910"/>
      <c r="X62" s="910"/>
      <c r="Y62" s="102"/>
      <c r="Z62" s="911"/>
      <c r="AA62" s="911"/>
      <c r="AB62" s="911"/>
      <c r="AC62" s="911"/>
      <c r="AD62" s="2187"/>
      <c r="AE62" s="2187"/>
      <c r="AF62" s="2187"/>
      <c r="AG62" s="2187"/>
      <c r="AH62" s="2187"/>
      <c r="AI62" s="2187"/>
      <c r="AJ62" s="2187"/>
      <c r="AK62" s="2187"/>
      <c r="AL62" s="2187"/>
      <c r="AM62" s="100"/>
      <c r="AN62" s="910"/>
      <c r="AO62" s="910"/>
      <c r="AP62" s="647"/>
      <c r="AQ62" s="2238"/>
      <c r="AR62" s="2238"/>
      <c r="AS62" s="2238"/>
      <c r="AT62" s="2238"/>
      <c r="AU62" s="2238"/>
      <c r="AV62" s="2238"/>
      <c r="AW62" s="2238"/>
      <c r="AX62" s="2238"/>
      <c r="AY62" s="2238"/>
      <c r="AZ62" s="2238"/>
      <c r="BA62" s="2238"/>
      <c r="BB62" s="2238"/>
      <c r="BC62" s="2238"/>
      <c r="BD62" s="2238"/>
      <c r="BE62" s="2238"/>
      <c r="BF62" s="2238"/>
      <c r="BG62" s="2238"/>
      <c r="BH62" s="2238"/>
      <c r="BI62" s="2238"/>
      <c r="BJ62" s="2238"/>
      <c r="BK62" s="2238"/>
      <c r="BL62" s="910"/>
      <c r="BM62" s="647"/>
      <c r="BN62" s="913"/>
      <c r="BO62" s="102"/>
      <c r="BP62" s="2185"/>
      <c r="BQ62" s="2185"/>
      <c r="BR62" s="2185"/>
      <c r="BS62" s="2185"/>
      <c r="BT62" s="2200"/>
      <c r="BU62" s="2185"/>
      <c r="BV62" s="2185"/>
      <c r="BW62" s="2201"/>
      <c r="BX62" s="2185"/>
      <c r="BY62" s="2185"/>
      <c r="BZ62" s="2185"/>
      <c r="CA62" s="2185"/>
      <c r="CB62" s="913"/>
      <c r="CC62" s="102"/>
      <c r="CD62" s="913"/>
      <c r="CE62" s="102"/>
      <c r="CF62" s="910"/>
      <c r="CG62" s="910"/>
      <c r="CH62" s="910"/>
      <c r="CI62" s="910"/>
      <c r="CJ62" s="910"/>
      <c r="CK62" s="910"/>
      <c r="CL62" s="910"/>
      <c r="CM62" s="910"/>
      <c r="CN62" s="910"/>
      <c r="CO62" s="2207"/>
      <c r="CP62" s="2207"/>
      <c r="CQ62" s="2207"/>
      <c r="CR62" s="2207"/>
      <c r="CS62" s="2207"/>
      <c r="CT62" s="2207"/>
      <c r="CU62" s="2207"/>
      <c r="CV62" s="2207"/>
      <c r="CW62" s="2207"/>
      <c r="CX62" s="2207"/>
      <c r="CY62" s="2207"/>
      <c r="CZ62" s="2207"/>
      <c r="DA62" s="2207"/>
      <c r="DB62" s="2207"/>
      <c r="DC62" s="2207"/>
      <c r="DD62" s="2207"/>
      <c r="DE62" s="2207"/>
      <c r="DF62" s="2207"/>
      <c r="DG62" s="656"/>
      <c r="DI62" s="958"/>
      <c r="DJ62" s="958"/>
      <c r="DK62" s="112"/>
      <c r="DL62" s="118"/>
      <c r="DM62" s="910"/>
      <c r="DN62" s="910"/>
      <c r="DO62" s="910"/>
      <c r="DP62" s="910"/>
      <c r="DQ62" s="910"/>
      <c r="DR62" s="910"/>
      <c r="DS62" s="910"/>
      <c r="DT62" s="910"/>
      <c r="DU62" s="910"/>
      <c r="DV62" s="910"/>
      <c r="DW62" s="910"/>
      <c r="DX62" s="910"/>
      <c r="DY62" s="910"/>
      <c r="DZ62" s="910"/>
      <c r="EA62" s="910"/>
      <c r="EB62" s="910"/>
      <c r="EC62" s="910"/>
      <c r="ED62" s="910"/>
      <c r="EE62" s="910"/>
      <c r="EF62" s="910"/>
      <c r="EG62" s="910"/>
      <c r="EH62" s="910"/>
      <c r="EI62" s="910"/>
      <c r="EJ62" s="910"/>
      <c r="EK62" s="910"/>
      <c r="EL62" s="910"/>
      <c r="EM62" s="910"/>
      <c r="EN62" s="910"/>
      <c r="EO62" s="910"/>
      <c r="EP62" s="910"/>
      <c r="EQ62" s="910"/>
      <c r="ER62" s="910"/>
      <c r="ES62" s="910"/>
      <c r="ET62" s="910"/>
      <c r="EU62" s="910"/>
      <c r="EV62" s="910"/>
      <c r="EW62" s="910"/>
      <c r="EX62" s="910"/>
      <c r="EY62" s="910"/>
      <c r="EZ62" s="910"/>
      <c r="FA62" s="910"/>
      <c r="FB62" s="910"/>
      <c r="FC62" s="910"/>
      <c r="FD62" s="910"/>
      <c r="FE62" s="910"/>
      <c r="FF62" s="910"/>
      <c r="FG62" s="910"/>
      <c r="FH62" s="910"/>
      <c r="FI62" s="910"/>
      <c r="FJ62" s="910"/>
      <c r="FK62" s="910"/>
      <c r="FL62" s="1020" t="str">
        <f>IF(AND(AQ60&lt;&gt;"",BX60&lt;&gt;""),IF(BX54&lt;&gt;"",AQ49&amp;" "&amp;LOWER(J51)&amp;" "&amp;IF($BN60&lt;0,$BN60&amp;"/"&amp;$BN60&amp;"/"&amp;$BN60,"+"&amp;$BN60&amp;"/+"&amp;$BN60&amp;"/+"&amp;$BN60)&amp;" ("&amp;$CE60&amp;IF(Weapons!O$82&lt;&gt;"20","/"&amp;Weapons!O$82,"")&amp;IF(Weapons!O$83&lt;&gt;2,"/×"&amp;Weapons!O$83,"")&amp;") with Triple Attack and "&amp;AQ60,""),"")</f>
        <v/>
      </c>
      <c r="FM62" s="1019" t="str">
        <f t="shared" si="1"/>
        <v/>
      </c>
    </row>
    <row r="63" spans="1:170" ht="9" customHeight="1" thickBot="1">
      <c r="A63" s="910"/>
      <c r="B63" s="910"/>
      <c r="C63" s="112"/>
      <c r="D63" s="2183"/>
      <c r="E63" s="2184"/>
      <c r="F63" s="2184"/>
      <c r="G63" s="91"/>
      <c r="H63" s="912"/>
      <c r="I63" s="912"/>
      <c r="J63" s="912"/>
      <c r="K63" s="912"/>
      <c r="L63" s="2188"/>
      <c r="M63" s="2188"/>
      <c r="N63" s="2188"/>
      <c r="O63" s="2188"/>
      <c r="P63" s="2188"/>
      <c r="Q63" s="2188"/>
      <c r="R63" s="2188"/>
      <c r="S63" s="2188"/>
      <c r="T63" s="2188"/>
      <c r="U63" s="2188"/>
      <c r="V63" s="93"/>
      <c r="W63" s="910"/>
      <c r="X63" s="910"/>
      <c r="Y63" s="91"/>
      <c r="Z63" s="912"/>
      <c r="AA63" s="912"/>
      <c r="AB63" s="912"/>
      <c r="AC63" s="912"/>
      <c r="AD63" s="2188"/>
      <c r="AE63" s="2188"/>
      <c r="AF63" s="2188"/>
      <c r="AG63" s="2188"/>
      <c r="AH63" s="2188"/>
      <c r="AI63" s="2188"/>
      <c r="AJ63" s="2188"/>
      <c r="AK63" s="2188"/>
      <c r="AL63" s="2188"/>
      <c r="AM63" s="93"/>
      <c r="AN63" s="910"/>
      <c r="AO63" s="910"/>
      <c r="AP63" s="647"/>
      <c r="AQ63" s="2237"/>
      <c r="AR63" s="2237"/>
      <c r="AS63" s="2237"/>
      <c r="AT63" s="2237"/>
      <c r="AU63" s="2237"/>
      <c r="AV63" s="2237"/>
      <c r="AW63" s="2237"/>
      <c r="AX63" s="2237"/>
      <c r="AY63" s="2237"/>
      <c r="AZ63" s="2237"/>
      <c r="BA63" s="2237"/>
      <c r="BB63" s="2237"/>
      <c r="BC63" s="2237"/>
      <c r="BD63" s="2237"/>
      <c r="BE63" s="2237"/>
      <c r="BF63" s="2237"/>
      <c r="BG63" s="2237"/>
      <c r="BH63" s="2237"/>
      <c r="BI63" s="2237"/>
      <c r="BJ63" s="2237"/>
      <c r="BK63" s="2237"/>
      <c r="BL63" s="100"/>
      <c r="BM63" s="122"/>
      <c r="BN63" s="290"/>
      <c r="BO63" s="102"/>
      <c r="BP63" s="2185" t="str">
        <f>IF(AQ63&lt;&gt;"",IF(OR(INDEX(WeaponFeatsModsTable,MATCH(AQ63,WeaponFeatsModsList,0),7)=AQ49,INDEX(WeaponFeatsModsTable,MATCH(AQ63,WeaponFeatsModsList,0),7)=""),INDEX(WeaponFeatsModsTable,MATCH(AQ63,WeaponFeatsModsList,0),2)+BP51,""),"")</f>
        <v/>
      </c>
      <c r="BQ63" s="2185"/>
      <c r="BR63" s="2185"/>
      <c r="BS63" s="2185"/>
      <c r="BT63" s="2200" t="str">
        <f>IF(BP63&lt;&gt;"",IF(AND(OR(INDEX(WeaponFeatsModsTable,MATCH(AQ63,WeaponFeatsModsList,0),7)=AQ49,INDEX(WeaponFeatsModsTable,MATCH(AQ63,WeaponFeatsModsList,0),7)=""),INDEX(WeaponFeatsModsTable,MATCH(AQ63,WeaponFeatsModsList,0),8)&lt;&gt;"Yes"),IF(COUNTIF(FeatsCharacterSheet,BT54)&gt;0,BP63+BT48,""),""),"")</f>
        <v/>
      </c>
      <c r="BU63" s="2185"/>
      <c r="BV63" s="2185"/>
      <c r="BW63" s="2201"/>
      <c r="BX63" s="2185" t="str">
        <f>IF(BP63&lt;&gt;"",IF(AND(OR(INDEX(WeaponFeatsModsTable,MATCH(AQ63,WeaponFeatsModsList,0),7)=AQ49,INDEX(WeaponFeatsModsTable,MATCH(AQ63,WeaponFeatsModsList,0),7)=""),INDEX(WeaponFeatsModsTable,MATCH(AQ63,WeaponFeatsModsList,0),8)&lt;&gt;"Yes"),IF(COUNTIF(FeatsCharacterSheet,BX54)&gt;0,BP63+BX48,""),""),"")</f>
        <v/>
      </c>
      <c r="BY63" s="2185"/>
      <c r="BZ63" s="2185"/>
      <c r="CA63" s="2185"/>
      <c r="CB63" s="100"/>
      <c r="CC63" s="122"/>
      <c r="CD63" s="290"/>
      <c r="CE63" s="102"/>
      <c r="CF63" s="1883"/>
      <c r="CG63" s="1883"/>
      <c r="CH63" s="1883"/>
      <c r="CI63" s="1883"/>
      <c r="CJ63" s="1883"/>
      <c r="CK63" s="1883"/>
      <c r="CL63" s="1883"/>
      <c r="CM63" s="1883"/>
      <c r="CN63" s="1883"/>
      <c r="CO63" s="2207" t="str">
        <f>IF(AQ63&lt;&gt;"",IF(OR(INDEX(WeaponFeatsModsTable,MATCH(AQ63,WeaponFeatsModsList,0),7)=AQ$49,INDEX(WeaponFeatsModsTable,MATCH(AQ63,WeaponFeatsModsList,0),7)=""),Weapons!O$78+INDEX(WeaponFeatsModsTable,MATCH(AQ63,WeaponFeatsModsList,0),5)&amp;"d"&amp;Weapons!O$79&amp;Weapons!E$123&amp;"+"&amp;Weapons!O$116+DH63+IF(AND(LEFT(AQ63,12)="Power Attack",AQ$51="Two-Handed",AQ$49="Melee"),INDEX(WeaponFeatsModsTable,MATCH(AQ63,WeaponFeatsModsList,0),4),INDEX(WeaponFeatsModsTable,MATCH(AQ63,WeaponFeatsModsList,0),3)),""),"")</f>
        <v/>
      </c>
      <c r="CP63" s="2207"/>
      <c r="CQ63" s="2207"/>
      <c r="CR63" s="2207"/>
      <c r="CS63" s="2207"/>
      <c r="CT63" s="2207"/>
      <c r="CU63" s="2207"/>
      <c r="CV63" s="2207"/>
      <c r="CW63" s="2207"/>
      <c r="CX63" s="2207"/>
      <c r="CY63" s="2207"/>
      <c r="CZ63" s="2207"/>
      <c r="DA63" s="2207"/>
      <c r="DB63" s="2207"/>
      <c r="DC63" s="2207"/>
      <c r="DD63" s="2207"/>
      <c r="DE63" s="2207"/>
      <c r="DF63" s="2207"/>
      <c r="DG63" s="656"/>
      <c r="DH63" s="974">
        <f>IF(AND(COUNTIF(Weapons!O$56:O$60,"Pulse Charger"),AQ49="Ranged"),INDEX(WeaponFeatsModsTable,MATCH(AQ63,WeaponFeatsModsList,0),5),0)</f>
        <v>0</v>
      </c>
      <c r="DI63" s="958"/>
      <c r="DJ63" s="958"/>
      <c r="DK63" s="112"/>
      <c r="DL63" s="118"/>
      <c r="DM63" s="910"/>
      <c r="DN63" s="910"/>
      <c r="DO63" s="910"/>
      <c r="DP63" s="910"/>
      <c r="DQ63" s="910"/>
      <c r="DR63" s="910"/>
      <c r="DS63" s="910"/>
      <c r="DT63" s="910"/>
      <c r="DU63" s="910"/>
      <c r="DV63" s="910"/>
      <c r="DW63" s="910"/>
      <c r="DX63" s="910"/>
      <c r="DY63" s="910"/>
      <c r="DZ63" s="910"/>
      <c r="EA63" s="910"/>
      <c r="EB63" s="910"/>
      <c r="EC63" s="910"/>
      <c r="ED63" s="910"/>
      <c r="EE63" s="910"/>
      <c r="EF63" s="910"/>
      <c r="EG63" s="910"/>
      <c r="EH63" s="910"/>
      <c r="EI63" s="910"/>
      <c r="EJ63" s="910"/>
      <c r="EK63" s="910"/>
      <c r="EL63" s="910"/>
      <c r="EM63" s="910"/>
      <c r="EN63" s="910"/>
      <c r="EO63" s="910"/>
      <c r="EP63" s="910"/>
      <c r="EQ63" s="910"/>
      <c r="ER63" s="910"/>
      <c r="ES63" s="910"/>
      <c r="ET63" s="910"/>
      <c r="EU63" s="910"/>
      <c r="EV63" s="910"/>
      <c r="EW63" s="910"/>
      <c r="EX63" s="910"/>
      <c r="EY63" s="910"/>
      <c r="EZ63" s="910"/>
      <c r="FA63" s="910"/>
      <c r="FB63" s="910"/>
      <c r="FC63" s="910"/>
      <c r="FD63" s="910"/>
      <c r="FE63" s="910"/>
      <c r="FF63" s="910"/>
      <c r="FG63" s="910"/>
      <c r="FH63" s="910"/>
      <c r="FI63" s="910"/>
      <c r="FJ63" s="910"/>
      <c r="FK63" s="910"/>
      <c r="FL63" s="1020" t="str">
        <f>IF(AND(AQ63&lt;&gt;"",BP63&lt;&gt;""),AQ49&amp;" "&amp;LOWER(J51)&amp;" "&amp;IF(BP63&lt;0,"","+")&amp;BP63&amp;" ("&amp;CO63&amp;IF(Weapons!O$82&lt;&gt;"20","/"&amp;Weapons!O$82,"")&amp;IF(Weapons!O$83&lt;&gt;2,"/×"&amp;Weapons!O$83,"")&amp;") with "&amp;AQ63,"")</f>
        <v/>
      </c>
      <c r="FM63" s="1019" t="str">
        <f t="shared" si="1"/>
        <v/>
      </c>
    </row>
    <row r="64" spans="1:170" ht="9" customHeight="1" thickTop="1" thickBot="1">
      <c r="A64" s="910"/>
      <c r="B64" s="910"/>
      <c r="C64" s="112"/>
      <c r="D64" s="2183"/>
      <c r="E64" s="2184"/>
      <c r="F64" s="2184"/>
      <c r="G64" s="118"/>
      <c r="H64" s="118"/>
      <c r="I64" s="105"/>
      <c r="J64" s="913"/>
      <c r="K64" s="913"/>
      <c r="L64" s="913"/>
      <c r="M64" s="913"/>
      <c r="N64" s="653"/>
      <c r="O64" s="653"/>
      <c r="P64" s="653"/>
      <c r="Q64" s="653"/>
      <c r="R64" s="653"/>
      <c r="S64" s="131"/>
      <c r="T64" s="118"/>
      <c r="U64" s="118"/>
      <c r="V64" s="105"/>
      <c r="W64" s="913"/>
      <c r="X64" s="118"/>
      <c r="Y64" s="118"/>
      <c r="Z64" s="118"/>
      <c r="AA64" s="118"/>
      <c r="AB64" s="118"/>
      <c r="AC64" s="118"/>
      <c r="AD64" s="118"/>
      <c r="AE64" s="118"/>
      <c r="AF64" s="118"/>
      <c r="AG64" s="118"/>
      <c r="AH64" s="118"/>
      <c r="AI64" s="118"/>
      <c r="AJ64" s="118"/>
      <c r="AK64" s="118"/>
      <c r="AL64" s="118"/>
      <c r="AM64" s="118"/>
      <c r="AN64" s="118"/>
      <c r="AO64" s="910"/>
      <c r="AP64" s="647"/>
      <c r="AQ64" s="2237"/>
      <c r="AR64" s="2237"/>
      <c r="AS64" s="2237"/>
      <c r="AT64" s="2237"/>
      <c r="AU64" s="2237"/>
      <c r="AV64" s="2237"/>
      <c r="AW64" s="2237"/>
      <c r="AX64" s="2237"/>
      <c r="AY64" s="2237"/>
      <c r="AZ64" s="2237"/>
      <c r="BA64" s="2237"/>
      <c r="BB64" s="2237"/>
      <c r="BC64" s="2237"/>
      <c r="BD64" s="2237"/>
      <c r="BE64" s="2237"/>
      <c r="BF64" s="2237"/>
      <c r="BG64" s="2237"/>
      <c r="BH64" s="2237"/>
      <c r="BI64" s="2237"/>
      <c r="BJ64" s="2237"/>
      <c r="BK64" s="2237"/>
      <c r="BL64" s="100"/>
      <c r="BM64" s="111"/>
      <c r="BN64" s="111"/>
      <c r="BO64" s="647"/>
      <c r="BP64" s="2185"/>
      <c r="BQ64" s="2185"/>
      <c r="BR64" s="2185"/>
      <c r="BS64" s="2185"/>
      <c r="BT64" s="2200"/>
      <c r="BU64" s="2185"/>
      <c r="BV64" s="2185"/>
      <c r="BW64" s="2201"/>
      <c r="BX64" s="2185"/>
      <c r="BY64" s="2185"/>
      <c r="BZ64" s="2185"/>
      <c r="CA64" s="2185"/>
      <c r="CB64" s="100"/>
      <c r="CC64" s="111"/>
      <c r="CD64" s="111"/>
      <c r="CE64" s="102"/>
      <c r="CF64" s="1883"/>
      <c r="CG64" s="1883"/>
      <c r="CH64" s="1883"/>
      <c r="CI64" s="1883"/>
      <c r="CJ64" s="1883"/>
      <c r="CK64" s="1883"/>
      <c r="CL64" s="1883"/>
      <c r="CM64" s="1883"/>
      <c r="CN64" s="1883"/>
      <c r="CO64" s="2207"/>
      <c r="CP64" s="2207"/>
      <c r="CQ64" s="2207"/>
      <c r="CR64" s="2207"/>
      <c r="CS64" s="2207"/>
      <c r="CT64" s="2207"/>
      <c r="CU64" s="2207"/>
      <c r="CV64" s="2207"/>
      <c r="CW64" s="2207"/>
      <c r="CX64" s="2207"/>
      <c r="CY64" s="2207"/>
      <c r="CZ64" s="2207"/>
      <c r="DA64" s="2207"/>
      <c r="DB64" s="2207"/>
      <c r="DC64" s="2207"/>
      <c r="DD64" s="2207"/>
      <c r="DE64" s="2207"/>
      <c r="DF64" s="2207"/>
      <c r="DG64" s="656"/>
      <c r="DI64" s="958"/>
      <c r="DJ64" s="958"/>
      <c r="DK64" s="112"/>
      <c r="DL64" s="118"/>
      <c r="DM64" s="910"/>
      <c r="DN64" s="910"/>
      <c r="DO64" s="910"/>
      <c r="DP64" s="910"/>
      <c r="DQ64" s="910"/>
      <c r="DR64" s="910"/>
      <c r="DS64" s="910"/>
      <c r="DT64" s="910"/>
      <c r="DU64" s="910"/>
      <c r="DV64" s="910"/>
      <c r="DW64" s="910"/>
      <c r="DX64" s="910"/>
      <c r="DY64" s="910"/>
      <c r="DZ64" s="910"/>
      <c r="EA64" s="910"/>
      <c r="EB64" s="910"/>
      <c r="EC64" s="910"/>
      <c r="ED64" s="910"/>
      <c r="EE64" s="910"/>
      <c r="EF64" s="910"/>
      <c r="EG64" s="910"/>
      <c r="EH64" s="910"/>
      <c r="EI64" s="910"/>
      <c r="EJ64" s="910"/>
      <c r="EK64" s="910"/>
      <c r="EL64" s="910"/>
      <c r="EM64" s="910"/>
      <c r="EN64" s="910"/>
      <c r="EO64" s="910"/>
      <c r="EP64" s="910"/>
      <c r="EQ64" s="910"/>
      <c r="ER64" s="910"/>
      <c r="ES64" s="910"/>
      <c r="ET64" s="910"/>
      <c r="EU64" s="910"/>
      <c r="EV64" s="910"/>
      <c r="EW64" s="910"/>
      <c r="EX64" s="910"/>
      <c r="EY64" s="910"/>
      <c r="EZ64" s="910"/>
      <c r="FA64" s="910"/>
      <c r="FB64" s="910"/>
      <c r="FC64" s="910"/>
      <c r="FD64" s="910"/>
      <c r="FE64" s="910"/>
      <c r="FF64" s="910"/>
      <c r="FG64" s="910"/>
      <c r="FH64" s="910"/>
      <c r="FI64" s="910"/>
      <c r="FJ64" s="910"/>
      <c r="FK64" s="910"/>
      <c r="FL64" s="1020" t="str">
        <f>IF(AND(AQ63&lt;&gt;"",BT63&lt;&gt;""),IF(BT54&lt;&gt;"",AQ49&amp;" "&amp;LOWER(J51)&amp;" "&amp;IF($BJ63&lt;0,BT63&amp;"/"&amp;BT63,"+"&amp;BT63&amp;"/+"&amp;BT63)&amp;" ("&amp;$CE63&amp;IF(Weapons!O$82&lt;&gt;"20","/"&amp;Weapons!O$82,"")&amp;IF(Weapons!O$83&lt;&gt;2,"/×"&amp;Weapons!O$83,"")&amp;") with Double Attack and "&amp;AQ63,""),"")</f>
        <v/>
      </c>
      <c r="FM64" s="1019" t="str">
        <f t="shared" si="1"/>
        <v/>
      </c>
    </row>
    <row r="65" spans="1:169" ht="9" customHeight="1" thickTop="1">
      <c r="A65" s="910"/>
      <c r="B65" s="910"/>
      <c r="C65" s="112"/>
      <c r="D65" s="2183"/>
      <c r="E65" s="2184"/>
      <c r="F65" s="2184"/>
      <c r="G65" s="93"/>
      <c r="H65" s="2182" t="str">
        <f>IF(AG66&lt;&gt;"","AMMO","POWER")</f>
        <v>POWER</v>
      </c>
      <c r="I65" s="2182"/>
      <c r="J65" s="2182"/>
      <c r="K65" s="2182"/>
      <c r="L65" s="2182"/>
      <c r="M65" s="2182"/>
      <c r="N65" s="295"/>
      <c r="O65" s="295"/>
      <c r="P65" s="295"/>
      <c r="Q65" s="295"/>
      <c r="R65" s="295"/>
      <c r="S65" s="295"/>
      <c r="T65" s="295"/>
      <c r="U65" s="295"/>
      <c r="V65" s="295"/>
      <c r="W65" s="295"/>
      <c r="X65" s="295"/>
      <c r="Y65" s="295"/>
      <c r="Z65" s="295"/>
      <c r="AA65" s="295"/>
      <c r="AB65" s="295"/>
      <c r="AC65" s="295"/>
      <c r="AD65" s="295"/>
      <c r="AE65" s="295"/>
      <c r="AF65" s="295"/>
      <c r="AG65" s="295"/>
      <c r="AH65" s="295"/>
      <c r="AI65" s="295"/>
      <c r="AJ65" s="295"/>
      <c r="AK65" s="295"/>
      <c r="AL65" s="295"/>
      <c r="AM65" s="113"/>
      <c r="AN65" s="910"/>
      <c r="AO65" s="910"/>
      <c r="AP65" s="647"/>
      <c r="AQ65" s="2238"/>
      <c r="AR65" s="2238"/>
      <c r="AS65" s="2238"/>
      <c r="AT65" s="2238"/>
      <c r="AU65" s="2238"/>
      <c r="AV65" s="2238"/>
      <c r="AW65" s="2238"/>
      <c r="AX65" s="2238"/>
      <c r="AY65" s="2238"/>
      <c r="AZ65" s="2238"/>
      <c r="BA65" s="2238"/>
      <c r="BB65" s="2238"/>
      <c r="BC65" s="2238"/>
      <c r="BD65" s="2238"/>
      <c r="BE65" s="2238"/>
      <c r="BF65" s="2238"/>
      <c r="BG65" s="2238"/>
      <c r="BH65" s="2238"/>
      <c r="BI65" s="2238"/>
      <c r="BJ65" s="2238"/>
      <c r="BK65" s="2238"/>
      <c r="BL65" s="910"/>
      <c r="BM65" s="647"/>
      <c r="BN65" s="913"/>
      <c r="BO65" s="102"/>
      <c r="BP65" s="2185"/>
      <c r="BQ65" s="2185"/>
      <c r="BR65" s="2185"/>
      <c r="BS65" s="2185"/>
      <c r="BT65" s="2200"/>
      <c r="BU65" s="2185"/>
      <c r="BV65" s="2185"/>
      <c r="BW65" s="2201"/>
      <c r="BX65" s="2185"/>
      <c r="BY65" s="2185"/>
      <c r="BZ65" s="2185"/>
      <c r="CA65" s="2185"/>
      <c r="CB65" s="913"/>
      <c r="CC65" s="102"/>
      <c r="CD65" s="913"/>
      <c r="CE65" s="102"/>
      <c r="CF65" s="910"/>
      <c r="CG65" s="910"/>
      <c r="CH65" s="910"/>
      <c r="CI65" s="910"/>
      <c r="CJ65" s="910"/>
      <c r="CK65" s="910"/>
      <c r="CL65" s="910"/>
      <c r="CM65" s="910"/>
      <c r="CN65" s="910"/>
      <c r="CO65" s="2207"/>
      <c r="CP65" s="2207"/>
      <c r="CQ65" s="2207"/>
      <c r="CR65" s="2207"/>
      <c r="CS65" s="2207"/>
      <c r="CT65" s="2207"/>
      <c r="CU65" s="2207"/>
      <c r="CV65" s="2207"/>
      <c r="CW65" s="2207"/>
      <c r="CX65" s="2207"/>
      <c r="CY65" s="2207"/>
      <c r="CZ65" s="2207"/>
      <c r="DA65" s="2207"/>
      <c r="DB65" s="2207"/>
      <c r="DC65" s="2207"/>
      <c r="DD65" s="2207"/>
      <c r="DE65" s="2207"/>
      <c r="DF65" s="2207"/>
      <c r="DG65" s="656"/>
      <c r="DI65" s="958"/>
      <c r="DJ65" s="958"/>
      <c r="DK65" s="112"/>
      <c r="DL65" s="87"/>
      <c r="DM65" s="910"/>
      <c r="DN65" s="910"/>
      <c r="DO65" s="910"/>
      <c r="DP65" s="910"/>
      <c r="DQ65" s="910"/>
      <c r="DR65" s="910"/>
      <c r="DS65" s="910"/>
      <c r="DT65" s="910"/>
      <c r="DU65" s="910"/>
      <c r="DV65" s="910"/>
      <c r="DW65" s="910"/>
      <c r="DX65" s="910"/>
      <c r="DY65" s="910"/>
      <c r="DZ65" s="910"/>
      <c r="EA65" s="910"/>
      <c r="EB65" s="910"/>
      <c r="EC65" s="910"/>
      <c r="ED65" s="910"/>
      <c r="EE65" s="910"/>
      <c r="EF65" s="910"/>
      <c r="EG65" s="910"/>
      <c r="EH65" s="910"/>
      <c r="EI65" s="910"/>
      <c r="EJ65" s="910"/>
      <c r="EK65" s="910"/>
      <c r="EL65" s="910"/>
      <c r="EM65" s="910"/>
      <c r="EN65" s="910"/>
      <c r="EO65" s="910"/>
      <c r="EP65" s="910"/>
      <c r="EQ65" s="910"/>
      <c r="ER65" s="910"/>
      <c r="ES65" s="910"/>
      <c r="ET65" s="910"/>
      <c r="EU65" s="910"/>
      <c r="EV65" s="910"/>
      <c r="EW65" s="910"/>
      <c r="EX65" s="910"/>
      <c r="EY65" s="910"/>
      <c r="EZ65" s="910"/>
      <c r="FA65" s="910"/>
      <c r="FB65" s="910"/>
      <c r="FC65" s="910"/>
      <c r="FD65" s="910"/>
      <c r="FE65" s="910"/>
      <c r="FF65" s="910"/>
      <c r="FG65" s="910"/>
      <c r="FH65" s="910"/>
      <c r="FI65" s="910"/>
      <c r="FJ65" s="910"/>
      <c r="FK65" s="910"/>
      <c r="FL65" s="1020" t="str">
        <f>IF(AND(AQ63&lt;&gt;"",BX63&lt;&gt;""),IF(BX54&lt;&gt;"",AQ49&amp;" "&amp;LOWER(J51)&amp;" "&amp;IF($BN63&lt;0,$BN63&amp;"/"&amp;$BN63&amp;"/"&amp;$BN63,"+"&amp;$BN63&amp;"/+"&amp;$BN63&amp;"/+"&amp;$BN63)&amp;" ("&amp;$CE63&amp;IF(Weapons!O$82&lt;&gt;"20","/"&amp;Weapons!O$82,"")&amp;IF(Weapons!O$83&lt;&gt;2,"/×"&amp;Weapons!O$83,"")&amp;") with Triple Attack and "&amp;AQ63,""),"")</f>
        <v/>
      </c>
      <c r="FM65" s="1019" t="str">
        <f t="shared" si="1"/>
        <v/>
      </c>
    </row>
    <row r="66" spans="1:169" ht="9" customHeight="1">
      <c r="A66" s="910"/>
      <c r="B66" s="910"/>
      <c r="C66" s="112"/>
      <c r="D66" s="2183"/>
      <c r="E66" s="2184"/>
      <c r="F66" s="2184"/>
      <c r="G66" s="102"/>
      <c r="H66" s="2180"/>
      <c r="I66" s="2180"/>
      <c r="J66" s="2180"/>
      <c r="K66" s="2180"/>
      <c r="L66" s="2180"/>
      <c r="M66" s="2180"/>
      <c r="N66" s="1875" t="str">
        <f>Weapons!O$25</f>
        <v/>
      </c>
      <c r="O66" s="1875"/>
      <c r="P66" s="1875"/>
      <c r="Q66" s="1875"/>
      <c r="R66" s="1875"/>
      <c r="S66" s="1875"/>
      <c r="T66" s="1875"/>
      <c r="U66" s="1875"/>
      <c r="V66" s="1875"/>
      <c r="W66" s="1875"/>
      <c r="X66" s="1875"/>
      <c r="Y66" s="1875"/>
      <c r="Z66" s="1875"/>
      <c r="AA66" s="1875"/>
      <c r="AB66" s="1875"/>
      <c r="AC66" s="1875"/>
      <c r="AD66" s="1875"/>
      <c r="AE66" s="1875"/>
      <c r="AF66" s="1875"/>
      <c r="AG66" s="1863" t="str">
        <f>Weapons!O$26</f>
        <v/>
      </c>
      <c r="AH66" s="1863"/>
      <c r="AI66" s="1863"/>
      <c r="AJ66" s="1863"/>
      <c r="AK66" s="1863"/>
      <c r="AL66" s="1863"/>
      <c r="AM66" s="100"/>
      <c r="AN66" s="910"/>
      <c r="AO66" s="910"/>
      <c r="AP66" s="102"/>
      <c r="AQ66" s="2191"/>
      <c r="AR66" s="2191"/>
      <c r="AS66" s="2191"/>
      <c r="AT66" s="2191"/>
      <c r="AU66" s="2191"/>
      <c r="AV66" s="2191"/>
      <c r="AW66" s="2191"/>
      <c r="AX66" s="2191"/>
      <c r="AY66" s="2191"/>
      <c r="AZ66" s="2191"/>
      <c r="BA66" s="2191"/>
      <c r="BB66" s="2191"/>
      <c r="BC66" s="2191"/>
      <c r="BD66" s="2191"/>
      <c r="BE66" s="2191"/>
      <c r="BF66" s="2191"/>
      <c r="BG66" s="2191"/>
      <c r="BH66" s="2191"/>
      <c r="BI66" s="2191"/>
      <c r="BJ66" s="2191"/>
      <c r="BK66" s="2191"/>
      <c r="BL66" s="910"/>
      <c r="BM66" s="647"/>
      <c r="BN66" s="910"/>
      <c r="BO66" s="102"/>
      <c r="BP66" s="2185" t="str">
        <f>IF(AQ66&lt;&gt;"",IF(OR(INDEX(WeaponFeatsModsTable,MATCH(AQ66,WeaponFeatsModsList,0),7)=AQ49,INDEX(WeaponFeatsModsTable,MATCH(AQ66,WeaponFeatsModsList,0),7)=""),INDEX(WeaponFeatsModsTable,MATCH(AQ66,WeaponFeatsModsList,0),2)+BP51,""),"")</f>
        <v/>
      </c>
      <c r="BQ66" s="2185"/>
      <c r="BR66" s="2185"/>
      <c r="BS66" s="2185"/>
      <c r="BT66" s="2200" t="str">
        <f>IF(BP66&lt;&gt;"",IF(AND(OR(INDEX(WeaponFeatsModsTable,MATCH(AQ66,WeaponFeatsModsList,0),7)=AQ49,INDEX(WeaponFeatsModsTable,MATCH(AQ66,WeaponFeatsModsList,0),7)=""),INDEX(WeaponFeatsModsTable,MATCH(AQ66,WeaponFeatsModsList,0),8)&lt;&gt;"Yes"),IF(COUNTIF(FeatsCharacterSheet,BT54)&gt;0,BP66+BT48,""),""),"")</f>
        <v/>
      </c>
      <c r="BU66" s="2185"/>
      <c r="BV66" s="2185"/>
      <c r="BW66" s="2201"/>
      <c r="BX66" s="2185" t="str">
        <f>IF(BP66&lt;&gt;"",IF(AND(OR(INDEX(WeaponFeatsModsTable,MATCH(AQ66,WeaponFeatsModsList,0),7)=AQ49,INDEX(WeaponFeatsModsTable,MATCH(AQ66,WeaponFeatsModsList,0),7)=""),INDEX(WeaponFeatsModsTable,MATCH(AQ66,WeaponFeatsModsList,0),8)&lt;&gt;"Yes"),IF(COUNTIF(FeatsCharacterSheet,BX54)&gt;0,BP66+BX48,""),""),"")</f>
        <v/>
      </c>
      <c r="BY66" s="2185"/>
      <c r="BZ66" s="2185"/>
      <c r="CA66" s="2185"/>
      <c r="CB66" s="100"/>
      <c r="CC66" s="910"/>
      <c r="CD66" s="913"/>
      <c r="CE66" s="102"/>
      <c r="CF66" s="2209"/>
      <c r="CG66" s="2209"/>
      <c r="CH66" s="2209"/>
      <c r="CI66" s="2209"/>
      <c r="CJ66" s="2209"/>
      <c r="CK66" s="2209"/>
      <c r="CL66" s="2209"/>
      <c r="CM66" s="2209"/>
      <c r="CN66" s="2209"/>
      <c r="CO66" s="2207" t="str">
        <f>IF(AQ66&lt;&gt;"",IF(OR(INDEX(WeaponFeatsModsTable,MATCH(AQ66,WeaponFeatsModsList,0),7)=AQ$49,INDEX(WeaponFeatsModsTable,MATCH(AQ66,WeaponFeatsModsList,0),7)=""),Weapons!O$78+INDEX(WeaponFeatsModsTable,MATCH(AQ66,WeaponFeatsModsList,0),5)&amp;"d"&amp;Weapons!O$79&amp;Weapons!E$123&amp;"+"&amp;Weapons!O$116+DH66+IF(AND(LEFT(AQ66,12)="Power Attack",AQ$51="Two-Handed",AQ$49="Melee"),INDEX(WeaponFeatsModsTable,MATCH(AQ66,WeaponFeatsModsList,0),4),INDEX(WeaponFeatsModsTable,MATCH(AQ66,WeaponFeatsModsList,0),3)),""),"")</f>
        <v/>
      </c>
      <c r="CP66" s="2207"/>
      <c r="CQ66" s="2207"/>
      <c r="CR66" s="2207"/>
      <c r="CS66" s="2207"/>
      <c r="CT66" s="2207"/>
      <c r="CU66" s="2207"/>
      <c r="CV66" s="2207"/>
      <c r="CW66" s="2207"/>
      <c r="CX66" s="2207"/>
      <c r="CY66" s="2207"/>
      <c r="CZ66" s="2207"/>
      <c r="DA66" s="2207"/>
      <c r="DB66" s="2207"/>
      <c r="DC66" s="2207"/>
      <c r="DD66" s="2207"/>
      <c r="DE66" s="2207"/>
      <c r="DF66" s="2207"/>
      <c r="DG66" s="656"/>
      <c r="DH66" s="974">
        <f>IF(AND(COUNTIF(Weapons!O$56:O$60,"Pulse Charger"),AQ49="Ranged"),INDEX(WeaponFeatsModsTable,MATCH(AQ66,WeaponFeatsModsList,0),5),0)</f>
        <v>0</v>
      </c>
      <c r="DI66" s="958"/>
      <c r="DJ66" s="958"/>
      <c r="DK66" s="112"/>
      <c r="DL66" s="109"/>
      <c r="DM66" s="910"/>
      <c r="DN66" s="910"/>
      <c r="DO66" s="910"/>
      <c r="DP66" s="910"/>
      <c r="DQ66" s="910"/>
      <c r="DR66" s="910"/>
      <c r="DS66" s="910"/>
      <c r="DT66" s="910"/>
      <c r="DU66" s="910"/>
      <c r="DV66" s="910"/>
      <c r="DW66" s="910"/>
      <c r="DX66" s="910"/>
      <c r="DY66" s="910"/>
      <c r="DZ66" s="910"/>
      <c r="EA66" s="910"/>
      <c r="EB66" s="910"/>
      <c r="EC66" s="910"/>
      <c r="ED66" s="910"/>
      <c r="EE66" s="910"/>
      <c r="EF66" s="910"/>
      <c r="EG66" s="910"/>
      <c r="EH66" s="910"/>
      <c r="EI66" s="910"/>
      <c r="EJ66" s="910"/>
      <c r="EK66" s="910"/>
      <c r="EL66" s="910"/>
      <c r="EM66" s="910"/>
      <c r="EN66" s="910"/>
      <c r="EO66" s="910"/>
      <c r="EP66" s="910"/>
      <c r="EQ66" s="910"/>
      <c r="ER66" s="910"/>
      <c r="ES66" s="910"/>
      <c r="ET66" s="910"/>
      <c r="EU66" s="910"/>
      <c r="EV66" s="910"/>
      <c r="EW66" s="910"/>
      <c r="EX66" s="910"/>
      <c r="EY66" s="910"/>
      <c r="EZ66" s="910"/>
      <c r="FA66" s="910"/>
      <c r="FB66" s="910"/>
      <c r="FC66" s="910"/>
      <c r="FD66" s="910"/>
      <c r="FE66" s="910"/>
      <c r="FF66" s="910"/>
      <c r="FG66" s="910"/>
      <c r="FH66" s="910"/>
      <c r="FI66" s="910"/>
      <c r="FJ66" s="910"/>
      <c r="FK66" s="910"/>
      <c r="FL66" s="1020" t="str">
        <f>IF(AND(AQ66&lt;&gt;"",BP66&lt;&gt;""),AQ49&amp;" "&amp;LOWER(J51)&amp;" "&amp;IF(BP66&lt;0,"","+")&amp;BP66&amp;" ("&amp;CO66&amp;IF(Weapons!O$82&lt;&gt;"20","/"&amp;Weapons!O$82,"")&amp;IF(Weapons!O$83&lt;&gt;2,"/×"&amp;Weapons!O$83,"")&amp;") with "&amp;AQ66,"")</f>
        <v/>
      </c>
      <c r="FM66" s="1019" t="str">
        <f t="shared" si="1"/>
        <v/>
      </c>
    </row>
    <row r="67" spans="1:169" ht="9" customHeight="1">
      <c r="A67" s="910"/>
      <c r="B67" s="910"/>
      <c r="C67" s="112"/>
      <c r="D67" s="2183"/>
      <c r="E67" s="2184"/>
      <c r="F67" s="2184"/>
      <c r="G67" s="102"/>
      <c r="H67" s="911"/>
      <c r="I67" s="911"/>
      <c r="J67" s="911"/>
      <c r="K67" s="911"/>
      <c r="L67" s="911"/>
      <c r="M67" s="911"/>
      <c r="N67" s="1875"/>
      <c r="O67" s="1875"/>
      <c r="P67" s="1875"/>
      <c r="Q67" s="1875"/>
      <c r="R67" s="1875"/>
      <c r="S67" s="1875"/>
      <c r="T67" s="1875"/>
      <c r="U67" s="1875"/>
      <c r="V67" s="1875"/>
      <c r="W67" s="1875"/>
      <c r="X67" s="1875"/>
      <c r="Y67" s="1875"/>
      <c r="Z67" s="1875"/>
      <c r="AA67" s="1875"/>
      <c r="AB67" s="1875"/>
      <c r="AC67" s="1875"/>
      <c r="AD67" s="1875"/>
      <c r="AE67" s="1875"/>
      <c r="AF67" s="1875"/>
      <c r="AG67" s="1863"/>
      <c r="AH67" s="1863"/>
      <c r="AI67" s="1863"/>
      <c r="AJ67" s="1863"/>
      <c r="AK67" s="1863"/>
      <c r="AL67" s="1863"/>
      <c r="AM67" s="100"/>
      <c r="AN67" s="910"/>
      <c r="AO67" s="910"/>
      <c r="AP67" s="647"/>
      <c r="AQ67" s="2191"/>
      <c r="AR67" s="2191"/>
      <c r="AS67" s="2191"/>
      <c r="AT67" s="2191"/>
      <c r="AU67" s="2191"/>
      <c r="AV67" s="2191"/>
      <c r="AW67" s="2191"/>
      <c r="AX67" s="2191"/>
      <c r="AY67" s="2191"/>
      <c r="AZ67" s="2191"/>
      <c r="BA67" s="2191"/>
      <c r="BB67" s="2191"/>
      <c r="BC67" s="2191"/>
      <c r="BD67" s="2191"/>
      <c r="BE67" s="2191"/>
      <c r="BF67" s="2191"/>
      <c r="BG67" s="2191"/>
      <c r="BH67" s="2191"/>
      <c r="BI67" s="2191"/>
      <c r="BJ67" s="2191"/>
      <c r="BK67" s="2191"/>
      <c r="BL67" s="100"/>
      <c r="BM67" s="910"/>
      <c r="BN67" s="910"/>
      <c r="BO67" s="647"/>
      <c r="BP67" s="2185"/>
      <c r="BQ67" s="2185"/>
      <c r="BR67" s="2185"/>
      <c r="BS67" s="2185"/>
      <c r="BT67" s="2200"/>
      <c r="BU67" s="2185"/>
      <c r="BV67" s="2185"/>
      <c r="BW67" s="2201"/>
      <c r="BX67" s="2185"/>
      <c r="BY67" s="2185"/>
      <c r="BZ67" s="2185"/>
      <c r="CA67" s="2185"/>
      <c r="CB67" s="100"/>
      <c r="CC67" s="910"/>
      <c r="CD67" s="913"/>
      <c r="CE67" s="102"/>
      <c r="CF67" s="2209"/>
      <c r="CG67" s="2209"/>
      <c r="CH67" s="2209"/>
      <c r="CI67" s="2209"/>
      <c r="CJ67" s="2209"/>
      <c r="CK67" s="2209"/>
      <c r="CL67" s="2209"/>
      <c r="CM67" s="2209"/>
      <c r="CN67" s="2209"/>
      <c r="CO67" s="2207"/>
      <c r="CP67" s="2207"/>
      <c r="CQ67" s="2207"/>
      <c r="CR67" s="2207"/>
      <c r="CS67" s="2207"/>
      <c r="CT67" s="2207"/>
      <c r="CU67" s="2207"/>
      <c r="CV67" s="2207"/>
      <c r="CW67" s="2207"/>
      <c r="CX67" s="2207"/>
      <c r="CY67" s="2207"/>
      <c r="CZ67" s="2207"/>
      <c r="DA67" s="2207"/>
      <c r="DB67" s="2207"/>
      <c r="DC67" s="2207"/>
      <c r="DD67" s="2207"/>
      <c r="DE67" s="2207"/>
      <c r="DF67" s="2207"/>
      <c r="DG67" s="656"/>
      <c r="DI67" s="958"/>
      <c r="DJ67" s="958"/>
      <c r="DK67" s="112"/>
      <c r="DL67" s="109"/>
      <c r="DM67" s="910"/>
      <c r="DN67" s="910"/>
      <c r="DO67" s="910"/>
      <c r="DP67" s="910"/>
      <c r="DQ67" s="910"/>
      <c r="DR67" s="910"/>
      <c r="DS67" s="910"/>
      <c r="DT67" s="910"/>
      <c r="DU67" s="910"/>
      <c r="DV67" s="910"/>
      <c r="DW67" s="910"/>
      <c r="DX67" s="910"/>
      <c r="DY67" s="910"/>
      <c r="DZ67" s="910"/>
      <c r="EA67" s="910"/>
      <c r="EB67" s="910"/>
      <c r="EC67" s="910"/>
      <c r="ED67" s="910"/>
      <c r="EE67" s="910"/>
      <c r="EF67" s="910"/>
      <c r="EG67" s="910"/>
      <c r="EH67" s="910"/>
      <c r="EI67" s="910"/>
      <c r="EJ67" s="910"/>
      <c r="EK67" s="910"/>
      <c r="EL67" s="910"/>
      <c r="EM67" s="910"/>
      <c r="EN67" s="910"/>
      <c r="EO67" s="910"/>
      <c r="EP67" s="910"/>
      <c r="EQ67" s="910"/>
      <c r="ER67" s="910"/>
      <c r="ES67" s="910"/>
      <c r="ET67" s="910"/>
      <c r="EU67" s="910"/>
      <c r="EV67" s="910"/>
      <c r="EW67" s="910"/>
      <c r="EX67" s="910"/>
      <c r="EY67" s="910"/>
      <c r="EZ67" s="910"/>
      <c r="FA67" s="910"/>
      <c r="FB67" s="910"/>
      <c r="FC67" s="910"/>
      <c r="FD67" s="910"/>
      <c r="FE67" s="910"/>
      <c r="FF67" s="910"/>
      <c r="FG67" s="910"/>
      <c r="FH67" s="910"/>
      <c r="FI67" s="910"/>
      <c r="FJ67" s="910"/>
      <c r="FK67" s="910"/>
      <c r="FL67" s="1020" t="str">
        <f>IF(AND(AQ66&lt;&gt;"",BT66&lt;&gt;""),IF(BT54&lt;&gt;"",AQ49&amp;" "&amp;LOWER(J51)&amp;" "&amp;IF($BJ66&lt;0,BT66&amp;"/"&amp;BT66,"+"&amp;BT66&amp;"/+"&amp;BT66)&amp;" ("&amp;$CE66&amp;IF(Weapons!O$82&lt;&gt;"20","/"&amp;Weapons!O$82,"")&amp;IF(Weapons!O$83&lt;&gt;2,"/×"&amp;Weapons!O$83,"")&amp;") with Double Attack and "&amp;AQ66,""),"")</f>
        <v/>
      </c>
      <c r="FM67" s="1019" t="str">
        <f t="shared" si="1"/>
        <v/>
      </c>
    </row>
    <row r="68" spans="1:169" ht="9" customHeight="1" thickBot="1">
      <c r="A68" s="910"/>
      <c r="B68" s="910"/>
      <c r="C68" s="112"/>
      <c r="D68" s="2183"/>
      <c r="E68" s="2184"/>
      <c r="F68" s="2184"/>
      <c r="G68" s="91"/>
      <c r="H68" s="912"/>
      <c r="I68" s="912"/>
      <c r="J68" s="912"/>
      <c r="K68" s="912"/>
      <c r="L68" s="912"/>
      <c r="M68" s="912"/>
      <c r="N68" s="1876"/>
      <c r="O68" s="1876"/>
      <c r="P68" s="1876"/>
      <c r="Q68" s="1876"/>
      <c r="R68" s="1876"/>
      <c r="S68" s="1876"/>
      <c r="T68" s="1876"/>
      <c r="U68" s="1876"/>
      <c r="V68" s="1876"/>
      <c r="W68" s="1876"/>
      <c r="X68" s="1876"/>
      <c r="Y68" s="1876"/>
      <c r="Z68" s="1876"/>
      <c r="AA68" s="1876"/>
      <c r="AB68" s="1876"/>
      <c r="AC68" s="1876"/>
      <c r="AD68" s="1876"/>
      <c r="AE68" s="1876"/>
      <c r="AF68" s="1876"/>
      <c r="AG68" s="1864"/>
      <c r="AH68" s="1864"/>
      <c r="AI68" s="1864"/>
      <c r="AJ68" s="1864"/>
      <c r="AK68" s="1864"/>
      <c r="AL68" s="1864"/>
      <c r="AM68" s="93"/>
      <c r="AN68" s="910"/>
      <c r="AO68" s="910"/>
      <c r="AP68" s="649"/>
      <c r="AQ68" s="2204"/>
      <c r="AR68" s="2204"/>
      <c r="AS68" s="2204"/>
      <c r="AT68" s="2204"/>
      <c r="AU68" s="2204"/>
      <c r="AV68" s="2204"/>
      <c r="AW68" s="2204"/>
      <c r="AX68" s="2204"/>
      <c r="AY68" s="2204"/>
      <c r="AZ68" s="2204"/>
      <c r="BA68" s="2204"/>
      <c r="BB68" s="2204"/>
      <c r="BC68" s="2204"/>
      <c r="BD68" s="2204"/>
      <c r="BE68" s="2204"/>
      <c r="BF68" s="2204"/>
      <c r="BG68" s="2204"/>
      <c r="BH68" s="2204"/>
      <c r="BI68" s="2204"/>
      <c r="BJ68" s="2204"/>
      <c r="BK68" s="2204"/>
      <c r="BL68" s="93"/>
      <c r="BM68" s="910"/>
      <c r="BN68" s="910"/>
      <c r="BO68" s="649"/>
      <c r="BP68" s="2186"/>
      <c r="BQ68" s="2186"/>
      <c r="BR68" s="2186"/>
      <c r="BS68" s="2186"/>
      <c r="BT68" s="2202"/>
      <c r="BU68" s="2186"/>
      <c r="BV68" s="2186"/>
      <c r="BW68" s="2203"/>
      <c r="BX68" s="2186"/>
      <c r="BY68" s="2186"/>
      <c r="BZ68" s="2186"/>
      <c r="CA68" s="2186"/>
      <c r="CB68" s="93"/>
      <c r="CC68" s="910"/>
      <c r="CD68" s="910"/>
      <c r="CE68" s="91"/>
      <c r="CF68" s="713"/>
      <c r="CG68" s="713"/>
      <c r="CH68" s="713"/>
      <c r="CI68" s="713"/>
      <c r="CJ68" s="713"/>
      <c r="CK68" s="713"/>
      <c r="CL68" s="713"/>
      <c r="CM68" s="713"/>
      <c r="CN68" s="713"/>
      <c r="CO68" s="2218"/>
      <c r="CP68" s="2218"/>
      <c r="CQ68" s="2218"/>
      <c r="CR68" s="2218"/>
      <c r="CS68" s="2218"/>
      <c r="CT68" s="2218"/>
      <c r="CU68" s="2218"/>
      <c r="CV68" s="2218"/>
      <c r="CW68" s="2218"/>
      <c r="CX68" s="2218"/>
      <c r="CY68" s="2218"/>
      <c r="CZ68" s="2218"/>
      <c r="DA68" s="2218"/>
      <c r="DB68" s="2218"/>
      <c r="DC68" s="2218"/>
      <c r="DD68" s="2218"/>
      <c r="DE68" s="2218"/>
      <c r="DF68" s="2218"/>
      <c r="DG68" s="93"/>
      <c r="DI68" s="958"/>
      <c r="DJ68" s="958"/>
      <c r="DK68" s="112"/>
      <c r="DL68" s="118"/>
      <c r="DM68" s="910"/>
      <c r="DN68" s="910"/>
      <c r="DO68" s="910"/>
      <c r="DP68" s="910"/>
      <c r="DQ68" s="910"/>
      <c r="DR68" s="910"/>
      <c r="DS68" s="910"/>
      <c r="DT68" s="910"/>
      <c r="DU68" s="910"/>
      <c r="DV68" s="910"/>
      <c r="DW68" s="910"/>
      <c r="DX68" s="910"/>
      <c r="DY68" s="910"/>
      <c r="DZ68" s="910"/>
      <c r="EA68" s="910"/>
      <c r="EB68" s="910"/>
      <c r="EC68" s="910"/>
      <c r="ED68" s="910"/>
      <c r="EE68" s="910"/>
      <c r="EF68" s="910"/>
      <c r="EG68" s="910"/>
      <c r="EH68" s="910"/>
      <c r="EI68" s="910"/>
      <c r="EJ68" s="910"/>
      <c r="EK68" s="910"/>
      <c r="EL68" s="910"/>
      <c r="EM68" s="910"/>
      <c r="EN68" s="910"/>
      <c r="EO68" s="910"/>
      <c r="EP68" s="910"/>
      <c r="EQ68" s="910"/>
      <c r="ER68" s="910"/>
      <c r="ES68" s="910"/>
      <c r="ET68" s="910"/>
      <c r="EU68" s="910"/>
      <c r="EV68" s="910"/>
      <c r="EW68" s="910"/>
      <c r="EX68" s="910"/>
      <c r="EY68" s="910"/>
      <c r="EZ68" s="910"/>
      <c r="FA68" s="910"/>
      <c r="FB68" s="910"/>
      <c r="FC68" s="910"/>
      <c r="FD68" s="910"/>
      <c r="FE68" s="910"/>
      <c r="FF68" s="910"/>
      <c r="FG68" s="910"/>
      <c r="FH68" s="910"/>
      <c r="FI68" s="910"/>
      <c r="FJ68" s="910"/>
      <c r="FK68" s="910"/>
      <c r="FL68" s="1020" t="str">
        <f>IF(AND(AQ66&lt;&gt;"",BX66&lt;&gt;""),IF(BX54&lt;&gt;"",AQ49&amp;" "&amp;LOWER(J51)&amp;" "&amp;IF($BN66&lt;0,$BN66&amp;"/"&amp;$BN66&amp;"/"&amp;$BN66,"+"&amp;$BN66&amp;"/+"&amp;$BN66&amp;"/+"&amp;$BN66)&amp;" ("&amp;$CE66&amp;IF(Weapons!O$82&lt;&gt;"20","/"&amp;Weapons!O$82,"")&amp;IF(Weapons!O$83&lt;&gt;2,"/×"&amp;Weapons!O$83,"")&amp;") with Triple Attack and "&amp;AQ66,""),"")</f>
        <v/>
      </c>
      <c r="FM68" s="1019" t="str">
        <f t="shared" si="1"/>
        <v/>
      </c>
    </row>
    <row r="69" spans="1:169" ht="9" customHeight="1" thickTop="1" thickBot="1">
      <c r="A69" s="910"/>
      <c r="B69" s="910"/>
      <c r="C69" s="112"/>
      <c r="D69" s="2183"/>
      <c r="E69" s="2184"/>
      <c r="F69" s="2184"/>
      <c r="G69" s="910"/>
      <c r="H69" s="910"/>
      <c r="I69" s="910"/>
      <c r="J69" s="910"/>
      <c r="K69" s="910"/>
      <c r="L69" s="910"/>
      <c r="M69" s="910"/>
      <c r="N69" s="910"/>
      <c r="O69" s="910"/>
      <c r="P69" s="910"/>
      <c r="Q69" s="910"/>
      <c r="R69" s="910"/>
      <c r="S69" s="910"/>
      <c r="T69" s="910"/>
      <c r="U69" s="910"/>
      <c r="V69" s="910"/>
      <c r="W69" s="910"/>
      <c r="X69" s="910"/>
      <c r="Y69" s="910"/>
      <c r="Z69" s="910"/>
      <c r="AA69" s="910"/>
      <c r="AB69" s="910"/>
      <c r="AC69" s="910"/>
      <c r="AD69" s="910"/>
      <c r="AE69" s="910"/>
      <c r="AF69" s="910"/>
      <c r="AG69" s="910"/>
      <c r="AH69" s="910"/>
      <c r="AI69" s="910"/>
      <c r="AJ69" s="442"/>
      <c r="AK69" s="442"/>
      <c r="AL69" s="442"/>
      <c r="AM69" s="442"/>
      <c r="AN69" s="910"/>
      <c r="AO69" s="910"/>
      <c r="AP69" s="910"/>
      <c r="AQ69" s="910"/>
      <c r="AR69" s="910"/>
      <c r="AS69" s="910"/>
      <c r="AT69" s="910"/>
      <c r="AU69" s="910"/>
      <c r="AV69" s="910"/>
      <c r="AW69" s="910"/>
      <c r="AX69" s="910"/>
      <c r="AY69" s="910"/>
      <c r="AZ69" s="910"/>
      <c r="BA69" s="910"/>
      <c r="BB69" s="910"/>
      <c r="BC69" s="910"/>
      <c r="BD69" s="910"/>
      <c r="BE69" s="910"/>
      <c r="BF69" s="910"/>
      <c r="BG69" s="910"/>
      <c r="BH69" s="910"/>
      <c r="BI69" s="910"/>
      <c r="BJ69" s="910"/>
      <c r="BK69" s="910"/>
      <c r="BL69" s="910"/>
      <c r="BM69" s="910"/>
      <c r="BN69" s="910"/>
      <c r="BO69" s="910"/>
      <c r="BP69" s="910"/>
      <c r="BQ69" s="910"/>
      <c r="BR69" s="910"/>
      <c r="BS69" s="910"/>
      <c r="BT69" s="910"/>
      <c r="BU69" s="910"/>
      <c r="BV69" s="910"/>
      <c r="BW69" s="910"/>
      <c r="BX69" s="910"/>
      <c r="BY69" s="910"/>
      <c r="BZ69" s="910"/>
      <c r="CA69" s="910"/>
      <c r="CB69" s="910"/>
      <c r="CC69" s="910"/>
      <c r="CD69" s="910"/>
      <c r="CE69" s="910"/>
      <c r="CF69" s="910"/>
      <c r="CG69" s="910"/>
      <c r="CH69" s="910"/>
      <c r="CI69" s="910"/>
      <c r="CJ69" s="910"/>
      <c r="CK69" s="910"/>
      <c r="CL69" s="910"/>
      <c r="CM69" s="910"/>
      <c r="CN69" s="910"/>
      <c r="CO69" s="910"/>
      <c r="CP69" s="910"/>
      <c r="CQ69" s="910"/>
      <c r="CR69" s="910"/>
      <c r="CS69" s="910"/>
      <c r="CT69" s="910"/>
      <c r="CU69" s="910"/>
      <c r="CV69" s="910"/>
      <c r="CW69" s="910"/>
      <c r="CX69" s="910"/>
      <c r="CY69" s="910"/>
      <c r="CZ69" s="910"/>
      <c r="DA69" s="910"/>
      <c r="DB69" s="910"/>
      <c r="DC69" s="910"/>
      <c r="DD69" s="910"/>
      <c r="DE69" s="910"/>
      <c r="DF69" s="910"/>
      <c r="DG69" s="910"/>
      <c r="DI69" s="958"/>
      <c r="DJ69" s="958"/>
      <c r="DK69" s="112"/>
      <c r="DL69" s="118"/>
      <c r="DM69" s="910"/>
      <c r="DN69" s="910"/>
      <c r="DO69" s="910"/>
      <c r="DP69" s="910"/>
      <c r="DQ69" s="910"/>
      <c r="DR69" s="910"/>
      <c r="DS69" s="910"/>
      <c r="DT69" s="910"/>
      <c r="DU69" s="910"/>
      <c r="DV69" s="910"/>
      <c r="DW69" s="910"/>
      <c r="DX69" s="910"/>
      <c r="DY69" s="910"/>
      <c r="DZ69" s="910"/>
      <c r="EA69" s="910"/>
      <c r="EB69" s="910"/>
      <c r="EC69" s="910"/>
      <c r="ED69" s="910"/>
      <c r="EE69" s="910"/>
      <c r="EF69" s="910"/>
      <c r="EG69" s="910"/>
      <c r="EH69" s="910"/>
      <c r="EI69" s="910"/>
      <c r="EJ69" s="910"/>
      <c r="EK69" s="910"/>
      <c r="EL69" s="910"/>
      <c r="EM69" s="910"/>
      <c r="EN69" s="910"/>
      <c r="EO69" s="910"/>
      <c r="EP69" s="910"/>
      <c r="EQ69" s="910"/>
      <c r="ER69" s="910"/>
      <c r="ES69" s="910"/>
      <c r="ET69" s="910"/>
      <c r="EU69" s="910"/>
      <c r="EV69" s="910"/>
      <c r="EW69" s="910"/>
      <c r="EX69" s="910"/>
      <c r="EY69" s="910"/>
      <c r="EZ69" s="910"/>
      <c r="FA69" s="910"/>
      <c r="FB69" s="910"/>
      <c r="FC69" s="910"/>
      <c r="FD69" s="910"/>
      <c r="FE69" s="910"/>
      <c r="FF69" s="910"/>
      <c r="FG69" s="910"/>
      <c r="FH69" s="910"/>
      <c r="FI69" s="910"/>
      <c r="FJ69" s="910"/>
      <c r="FK69" s="910"/>
      <c r="FM69" s="1021" t="s">
        <v>195</v>
      </c>
    </row>
    <row r="70" spans="1:169" ht="9" customHeight="1" thickTop="1">
      <c r="A70" s="910"/>
      <c r="B70" s="910"/>
      <c r="C70" s="87"/>
      <c r="D70" s="256"/>
      <c r="E70" s="118"/>
      <c r="F70" s="910"/>
      <c r="G70" s="910"/>
      <c r="H70" s="910"/>
      <c r="I70" s="93"/>
      <c r="J70" s="2182" t="s">
        <v>3614</v>
      </c>
      <c r="K70" s="2182"/>
      <c r="L70" s="2182"/>
      <c r="M70" s="2182"/>
      <c r="N70" s="2182"/>
      <c r="O70" s="2182"/>
      <c r="P70" s="295"/>
      <c r="Q70" s="296"/>
      <c r="R70" s="296"/>
      <c r="S70" s="296"/>
      <c r="T70" s="296"/>
      <c r="U70" s="296"/>
      <c r="V70" s="296"/>
      <c r="W70" s="296"/>
      <c r="X70" s="296"/>
      <c r="Y70" s="296"/>
      <c r="Z70" s="296"/>
      <c r="AA70" s="296"/>
      <c r="AB70" s="296"/>
      <c r="AC70" s="296"/>
      <c r="AD70" s="296"/>
      <c r="AE70" s="296"/>
      <c r="AF70" s="296"/>
      <c r="AG70" s="296"/>
      <c r="AH70" s="296"/>
      <c r="AI70" s="296"/>
      <c r="AJ70" s="296"/>
      <c r="AK70" s="296"/>
      <c r="AL70" s="296"/>
      <c r="AM70" s="296"/>
      <c r="AN70" s="296"/>
      <c r="AO70" s="296"/>
      <c r="AP70" s="296"/>
      <c r="AQ70" s="296"/>
      <c r="AR70" s="296"/>
      <c r="AS70" s="296"/>
      <c r="AT70" s="296"/>
      <c r="AU70" s="296"/>
      <c r="AV70" s="296"/>
      <c r="AW70" s="296"/>
      <c r="AX70" s="296"/>
      <c r="AY70" s="296"/>
      <c r="AZ70" s="296"/>
      <c r="BA70" s="296"/>
      <c r="BB70" s="296"/>
      <c r="BC70" s="296"/>
      <c r="BD70" s="296"/>
      <c r="BE70" s="296"/>
      <c r="BF70" s="296"/>
      <c r="BG70" s="296"/>
      <c r="BH70" s="296"/>
      <c r="BI70" s="296"/>
      <c r="BJ70" s="296"/>
      <c r="BK70" s="296"/>
      <c r="BL70" s="296"/>
      <c r="BM70" s="296"/>
      <c r="BN70" s="296"/>
      <c r="BO70" s="296"/>
      <c r="BP70" s="296"/>
      <c r="BQ70" s="296"/>
      <c r="BR70" s="296"/>
      <c r="BS70" s="296"/>
      <c r="BT70" s="296"/>
      <c r="BU70" s="296"/>
      <c r="BV70" s="296"/>
      <c r="BW70" s="296"/>
      <c r="BX70" s="296"/>
      <c r="BY70" s="296"/>
      <c r="BZ70" s="296"/>
      <c r="CA70" s="296"/>
      <c r="CB70" s="296"/>
      <c r="CC70" s="296"/>
      <c r="CD70" s="296"/>
      <c r="CE70" s="296"/>
      <c r="CF70" s="296"/>
      <c r="CG70" s="296"/>
      <c r="CH70" s="296"/>
      <c r="CI70" s="296"/>
      <c r="CJ70" s="296"/>
      <c r="CK70" s="296"/>
      <c r="CL70" s="296"/>
      <c r="CM70" s="296"/>
      <c r="CN70" s="296"/>
      <c r="CO70" s="296"/>
      <c r="CP70" s="296"/>
      <c r="CQ70" s="296"/>
      <c r="CR70" s="296"/>
      <c r="CS70" s="296"/>
      <c r="CT70" s="296"/>
      <c r="CU70" s="296"/>
      <c r="CV70" s="296"/>
      <c r="CW70" s="296"/>
      <c r="CX70" s="296"/>
      <c r="CY70" s="296"/>
      <c r="CZ70" s="296"/>
      <c r="DA70" s="296"/>
      <c r="DB70" s="296"/>
      <c r="DC70" s="296"/>
      <c r="DD70" s="296"/>
      <c r="DE70" s="296"/>
      <c r="DF70" s="296"/>
      <c r="DG70" s="297"/>
      <c r="DI70" s="958"/>
      <c r="DJ70" s="87"/>
      <c r="DK70" s="292"/>
      <c r="DL70" s="118"/>
      <c r="DM70" s="910"/>
      <c r="DN70" s="910"/>
      <c r="DO70" s="910"/>
      <c r="DP70" s="910"/>
      <c r="DQ70" s="910"/>
      <c r="DR70" s="910"/>
      <c r="DS70" s="910"/>
      <c r="DT70" s="910"/>
      <c r="DU70" s="910"/>
      <c r="DV70" s="910"/>
      <c r="DW70" s="910"/>
      <c r="DX70" s="910"/>
      <c r="DY70" s="910"/>
      <c r="DZ70" s="910"/>
      <c r="EA70" s="910"/>
      <c r="EB70" s="910"/>
      <c r="EC70" s="910"/>
      <c r="ED70" s="910"/>
      <c r="EE70" s="910"/>
      <c r="EF70" s="910"/>
      <c r="EG70" s="910"/>
      <c r="EH70" s="910"/>
      <c r="EI70" s="910"/>
      <c r="EJ70" s="910"/>
      <c r="EK70" s="910"/>
      <c r="EL70" s="910"/>
      <c r="EM70" s="910"/>
      <c r="EN70" s="910"/>
      <c r="EO70" s="910"/>
      <c r="EP70" s="910"/>
      <c r="EQ70" s="910"/>
      <c r="ER70" s="910"/>
      <c r="ES70" s="910"/>
      <c r="ET70" s="910"/>
      <c r="EU70" s="910"/>
      <c r="EV70" s="910"/>
      <c r="EW70" s="910"/>
      <c r="EX70" s="910"/>
      <c r="EY70" s="910"/>
      <c r="EZ70" s="910"/>
      <c r="FA70" s="910"/>
      <c r="FB70" s="910"/>
      <c r="FC70" s="910"/>
      <c r="FD70" s="910"/>
      <c r="FE70" s="910"/>
      <c r="FF70" s="910"/>
      <c r="FG70" s="910"/>
      <c r="FH70" s="910"/>
      <c r="FI70" s="910"/>
      <c r="FJ70" s="910"/>
      <c r="FK70" s="910"/>
    </row>
    <row r="71" spans="1:169" ht="9" customHeight="1" thickBot="1">
      <c r="A71" s="910"/>
      <c r="B71" s="910"/>
      <c r="C71" s="87"/>
      <c r="D71" s="118"/>
      <c r="E71" s="256"/>
      <c r="F71" s="111"/>
      <c r="G71" s="122"/>
      <c r="H71" s="290"/>
      <c r="I71" s="102"/>
      <c r="J71" s="2180"/>
      <c r="K71" s="2180"/>
      <c r="L71" s="2180"/>
      <c r="M71" s="2180"/>
      <c r="N71" s="2180"/>
      <c r="O71" s="2180"/>
      <c r="P71" s="913"/>
      <c r="Q71" s="1922" t="str">
        <f>Weapons!O$28</f>
        <v/>
      </c>
      <c r="R71" s="1922"/>
      <c r="S71" s="1922"/>
      <c r="T71" s="1922"/>
      <c r="U71" s="1922"/>
      <c r="V71" s="1922"/>
      <c r="W71" s="1922"/>
      <c r="X71" s="1922"/>
      <c r="Y71" s="1922"/>
      <c r="Z71" s="1922"/>
      <c r="AA71" s="1922"/>
      <c r="AB71" s="1922"/>
      <c r="AC71" s="1922"/>
      <c r="AD71" s="1922"/>
      <c r="AE71" s="1922"/>
      <c r="AF71" s="1922"/>
      <c r="AG71" s="1922"/>
      <c r="AH71" s="1922"/>
      <c r="AI71" s="1922"/>
      <c r="AJ71" s="1922"/>
      <c r="AK71" s="1922"/>
      <c r="AL71" s="1922"/>
      <c r="AM71" s="1922"/>
      <c r="AN71" s="1922"/>
      <c r="AO71" s="1922"/>
      <c r="AP71" s="1922"/>
      <c r="AQ71" s="1922"/>
      <c r="AR71" s="1922"/>
      <c r="AS71" s="1922"/>
      <c r="AT71" s="1922"/>
      <c r="AU71" s="1922"/>
      <c r="AV71" s="1922"/>
      <c r="AW71" s="1922"/>
      <c r="AX71" s="1922"/>
      <c r="AY71" s="1922"/>
      <c r="AZ71" s="1922"/>
      <c r="BA71" s="1922"/>
      <c r="BB71" s="1922"/>
      <c r="BC71" s="1922"/>
      <c r="BD71" s="1922"/>
      <c r="BE71" s="1922"/>
      <c r="BF71" s="1922"/>
      <c r="BG71" s="1922"/>
      <c r="BH71" s="1922"/>
      <c r="BI71" s="1922"/>
      <c r="BJ71" s="1922"/>
      <c r="BK71" s="1922"/>
      <c r="BL71" s="1922"/>
      <c r="BM71" s="1922"/>
      <c r="BN71" s="1922"/>
      <c r="BO71" s="1922"/>
      <c r="BP71" s="1922"/>
      <c r="BQ71" s="1922"/>
      <c r="BR71" s="1922"/>
      <c r="BS71" s="1922"/>
      <c r="BT71" s="1922"/>
      <c r="BU71" s="1922"/>
      <c r="BV71" s="1922"/>
      <c r="BW71" s="1922"/>
      <c r="BX71" s="1922"/>
      <c r="BY71" s="1922"/>
      <c r="BZ71" s="1922"/>
      <c r="CA71" s="1922"/>
      <c r="CB71" s="1922"/>
      <c r="CC71" s="1922"/>
      <c r="CD71" s="1922"/>
      <c r="CE71" s="1922"/>
      <c r="CF71" s="1922"/>
      <c r="CG71" s="1922"/>
      <c r="CH71" s="1922"/>
      <c r="CI71" s="1922"/>
      <c r="CJ71" s="1922"/>
      <c r="CK71" s="1922"/>
      <c r="CL71" s="1922"/>
      <c r="CM71" s="1922"/>
      <c r="CN71" s="1922"/>
      <c r="CO71" s="1922"/>
      <c r="CP71" s="1922"/>
      <c r="CQ71" s="1922"/>
      <c r="CR71" s="1922"/>
      <c r="CS71" s="1922"/>
      <c r="CT71" s="1922"/>
      <c r="CU71" s="1922"/>
      <c r="CV71" s="1922"/>
      <c r="CW71" s="1922"/>
      <c r="CX71" s="1922"/>
      <c r="CY71" s="1922"/>
      <c r="CZ71" s="1922"/>
      <c r="DA71" s="1922"/>
      <c r="DB71" s="1922"/>
      <c r="DC71" s="1922"/>
      <c r="DD71" s="1922"/>
      <c r="DE71" s="1922"/>
      <c r="DF71" s="1922"/>
      <c r="DG71" s="300"/>
      <c r="DH71" s="971"/>
      <c r="DI71" s="122"/>
      <c r="DJ71" s="144"/>
      <c r="DK71" s="111"/>
      <c r="DL71" s="910"/>
      <c r="DM71" s="910"/>
      <c r="DN71" s="910"/>
      <c r="DO71" s="910"/>
      <c r="DP71" s="910"/>
      <c r="DQ71" s="910"/>
      <c r="DR71" s="910"/>
      <c r="DS71" s="910"/>
      <c r="DT71" s="910"/>
      <c r="DU71" s="910"/>
      <c r="DV71" s="910"/>
      <c r="DW71" s="910"/>
      <c r="DX71" s="910"/>
      <c r="DY71" s="910"/>
      <c r="DZ71" s="910"/>
      <c r="EA71" s="910"/>
      <c r="EB71" s="910"/>
      <c r="EC71" s="910"/>
      <c r="ED71" s="910"/>
      <c r="EE71" s="910"/>
      <c r="EF71" s="910"/>
      <c r="EG71" s="910"/>
      <c r="EH71" s="910"/>
      <c r="EI71" s="910"/>
      <c r="EJ71" s="910"/>
      <c r="EK71" s="910"/>
      <c r="EL71" s="910"/>
      <c r="EM71" s="910"/>
      <c r="EN71" s="910"/>
      <c r="EO71" s="910"/>
      <c r="EP71" s="910"/>
      <c r="EQ71" s="910"/>
      <c r="ER71" s="910"/>
      <c r="ES71" s="910"/>
      <c r="ET71" s="910"/>
      <c r="EU71" s="910"/>
      <c r="EV71" s="910"/>
      <c r="EW71" s="910"/>
      <c r="EX71" s="910"/>
      <c r="EY71" s="910"/>
      <c r="EZ71" s="910"/>
      <c r="FA71" s="910"/>
      <c r="FB71" s="910"/>
      <c r="FC71" s="910"/>
      <c r="FD71" s="910"/>
      <c r="FE71" s="910"/>
      <c r="FF71" s="910"/>
      <c r="FG71" s="910"/>
      <c r="FH71" s="910"/>
      <c r="FI71" s="910"/>
      <c r="FJ71" s="910"/>
      <c r="FK71" s="910"/>
    </row>
    <row r="72" spans="1:169" ht="9" customHeight="1" thickTop="1">
      <c r="A72" s="910"/>
      <c r="B72" s="910"/>
      <c r="C72" s="87"/>
      <c r="D72" s="118"/>
      <c r="E72" s="118"/>
      <c r="F72" s="293"/>
      <c r="G72" s="111"/>
      <c r="H72" s="111"/>
      <c r="I72" s="102"/>
      <c r="J72" s="105"/>
      <c r="K72" s="105"/>
      <c r="L72" s="105"/>
      <c r="M72" s="105"/>
      <c r="N72" s="596"/>
      <c r="O72" s="596"/>
      <c r="P72" s="596"/>
      <c r="Q72" s="1922"/>
      <c r="R72" s="1922"/>
      <c r="S72" s="1922"/>
      <c r="T72" s="1922"/>
      <c r="U72" s="1922"/>
      <c r="V72" s="1922"/>
      <c r="W72" s="1922"/>
      <c r="X72" s="1922"/>
      <c r="Y72" s="1922"/>
      <c r="Z72" s="1922"/>
      <c r="AA72" s="1922"/>
      <c r="AB72" s="1922"/>
      <c r="AC72" s="1922"/>
      <c r="AD72" s="1922"/>
      <c r="AE72" s="1922"/>
      <c r="AF72" s="1922"/>
      <c r="AG72" s="1922"/>
      <c r="AH72" s="1922"/>
      <c r="AI72" s="1922"/>
      <c r="AJ72" s="1922"/>
      <c r="AK72" s="1922"/>
      <c r="AL72" s="1922"/>
      <c r="AM72" s="1922"/>
      <c r="AN72" s="1922"/>
      <c r="AO72" s="1922"/>
      <c r="AP72" s="1922"/>
      <c r="AQ72" s="1922"/>
      <c r="AR72" s="1922"/>
      <c r="AS72" s="1922"/>
      <c r="AT72" s="1922"/>
      <c r="AU72" s="1922"/>
      <c r="AV72" s="1922"/>
      <c r="AW72" s="1922"/>
      <c r="AX72" s="1922"/>
      <c r="AY72" s="1922"/>
      <c r="AZ72" s="1922"/>
      <c r="BA72" s="1922"/>
      <c r="BB72" s="1922"/>
      <c r="BC72" s="1922"/>
      <c r="BD72" s="1922"/>
      <c r="BE72" s="1922"/>
      <c r="BF72" s="1922"/>
      <c r="BG72" s="1922"/>
      <c r="BH72" s="1922"/>
      <c r="BI72" s="1922"/>
      <c r="BJ72" s="1922"/>
      <c r="BK72" s="1922"/>
      <c r="BL72" s="1922"/>
      <c r="BM72" s="1922"/>
      <c r="BN72" s="1922"/>
      <c r="BO72" s="1922"/>
      <c r="BP72" s="1922"/>
      <c r="BQ72" s="1922"/>
      <c r="BR72" s="1922"/>
      <c r="BS72" s="1922"/>
      <c r="BT72" s="1922"/>
      <c r="BU72" s="1922"/>
      <c r="BV72" s="1922"/>
      <c r="BW72" s="1922"/>
      <c r="BX72" s="1922"/>
      <c r="BY72" s="1922"/>
      <c r="BZ72" s="1922"/>
      <c r="CA72" s="1922"/>
      <c r="CB72" s="1922"/>
      <c r="CC72" s="1922"/>
      <c r="CD72" s="1922"/>
      <c r="CE72" s="1922"/>
      <c r="CF72" s="1922"/>
      <c r="CG72" s="1922"/>
      <c r="CH72" s="1922"/>
      <c r="CI72" s="1922"/>
      <c r="CJ72" s="1922"/>
      <c r="CK72" s="1922"/>
      <c r="CL72" s="1922"/>
      <c r="CM72" s="1922"/>
      <c r="CN72" s="1922"/>
      <c r="CO72" s="1922"/>
      <c r="CP72" s="1922"/>
      <c r="CQ72" s="1922"/>
      <c r="CR72" s="1922"/>
      <c r="CS72" s="1922"/>
      <c r="CT72" s="1922"/>
      <c r="CU72" s="1922"/>
      <c r="CV72" s="1922"/>
      <c r="CW72" s="1922"/>
      <c r="CX72" s="1922"/>
      <c r="CY72" s="1922"/>
      <c r="CZ72" s="1922"/>
      <c r="DA72" s="1922"/>
      <c r="DB72" s="1922"/>
      <c r="DC72" s="1922"/>
      <c r="DD72" s="1922"/>
      <c r="DE72" s="1922"/>
      <c r="DF72" s="1922"/>
      <c r="DG72" s="103"/>
      <c r="DH72" s="970"/>
      <c r="DI72" s="111"/>
      <c r="DJ72" s="958"/>
      <c r="DK72" s="958"/>
      <c r="DL72" s="910"/>
      <c r="DM72" s="910"/>
      <c r="DN72" s="910"/>
      <c r="DO72" s="910"/>
      <c r="DP72" s="910"/>
      <c r="DQ72" s="910"/>
      <c r="DR72" s="910"/>
      <c r="DS72" s="910"/>
      <c r="DT72" s="910"/>
      <c r="DU72" s="910"/>
      <c r="DV72" s="910"/>
      <c r="DW72" s="910"/>
      <c r="DX72" s="910"/>
      <c r="DY72" s="910"/>
      <c r="DZ72" s="910"/>
      <c r="EA72" s="910"/>
      <c r="EB72" s="910"/>
      <c r="EC72" s="910"/>
      <c r="ED72" s="910"/>
      <c r="EE72" s="910"/>
      <c r="EF72" s="910"/>
      <c r="EG72" s="910"/>
      <c r="EH72" s="910"/>
      <c r="EI72" s="910"/>
      <c r="EJ72" s="910"/>
      <c r="EK72" s="910"/>
      <c r="EL72" s="910"/>
      <c r="EM72" s="910"/>
      <c r="EN72" s="910"/>
      <c r="EO72" s="910"/>
      <c r="EP72" s="910"/>
      <c r="EQ72" s="910"/>
      <c r="ER72" s="910"/>
      <c r="ES72" s="910"/>
      <c r="ET72" s="910"/>
      <c r="EU72" s="910"/>
      <c r="EV72" s="910"/>
      <c r="EW72" s="910"/>
      <c r="EX72" s="910"/>
      <c r="EY72" s="910"/>
      <c r="EZ72" s="910"/>
      <c r="FA72" s="910"/>
      <c r="FB72" s="910"/>
      <c r="FC72" s="910"/>
      <c r="FD72" s="910"/>
      <c r="FE72" s="910"/>
      <c r="FF72" s="910"/>
      <c r="FG72" s="910"/>
      <c r="FH72" s="910"/>
      <c r="FI72" s="910"/>
      <c r="FJ72" s="910"/>
      <c r="FK72" s="910"/>
    </row>
    <row r="73" spans="1:169" ht="9" customHeight="1" thickBot="1">
      <c r="A73" s="910"/>
      <c r="B73" s="910"/>
      <c r="C73" s="910"/>
      <c r="D73" s="910"/>
      <c r="E73" s="910"/>
      <c r="F73" s="910"/>
      <c r="G73" s="910"/>
      <c r="H73" s="910"/>
      <c r="I73" s="91"/>
      <c r="J73" s="108"/>
      <c r="K73" s="108"/>
      <c r="L73" s="108"/>
      <c r="M73" s="108"/>
      <c r="N73" s="654"/>
      <c r="O73" s="654"/>
      <c r="P73" s="654"/>
      <c r="Q73" s="1923"/>
      <c r="R73" s="1923"/>
      <c r="S73" s="1923"/>
      <c r="T73" s="1923"/>
      <c r="U73" s="1923"/>
      <c r="V73" s="1923"/>
      <c r="W73" s="1923"/>
      <c r="X73" s="1923"/>
      <c r="Y73" s="1923"/>
      <c r="Z73" s="1923"/>
      <c r="AA73" s="1923"/>
      <c r="AB73" s="1923"/>
      <c r="AC73" s="1923"/>
      <c r="AD73" s="1923"/>
      <c r="AE73" s="1923"/>
      <c r="AF73" s="1923"/>
      <c r="AG73" s="1923"/>
      <c r="AH73" s="1923"/>
      <c r="AI73" s="1923"/>
      <c r="AJ73" s="1923"/>
      <c r="AK73" s="1923"/>
      <c r="AL73" s="1923"/>
      <c r="AM73" s="1923"/>
      <c r="AN73" s="1923"/>
      <c r="AO73" s="1923"/>
      <c r="AP73" s="1923"/>
      <c r="AQ73" s="1923"/>
      <c r="AR73" s="1923"/>
      <c r="AS73" s="1923"/>
      <c r="AT73" s="1923"/>
      <c r="AU73" s="1923"/>
      <c r="AV73" s="1923"/>
      <c r="AW73" s="1923"/>
      <c r="AX73" s="1923"/>
      <c r="AY73" s="1923"/>
      <c r="AZ73" s="1923"/>
      <c r="BA73" s="1923"/>
      <c r="BB73" s="1923"/>
      <c r="BC73" s="1923"/>
      <c r="BD73" s="1923"/>
      <c r="BE73" s="1923"/>
      <c r="BF73" s="1923"/>
      <c r="BG73" s="1923"/>
      <c r="BH73" s="1923"/>
      <c r="BI73" s="1923"/>
      <c r="BJ73" s="1923"/>
      <c r="BK73" s="1923"/>
      <c r="BL73" s="1923"/>
      <c r="BM73" s="1923"/>
      <c r="BN73" s="1923"/>
      <c r="BO73" s="1923"/>
      <c r="BP73" s="1923"/>
      <c r="BQ73" s="1923"/>
      <c r="BR73" s="1923"/>
      <c r="BS73" s="1923"/>
      <c r="BT73" s="1923"/>
      <c r="BU73" s="1923"/>
      <c r="BV73" s="1923"/>
      <c r="BW73" s="1923"/>
      <c r="BX73" s="1923"/>
      <c r="BY73" s="1923"/>
      <c r="BZ73" s="1923"/>
      <c r="CA73" s="1923"/>
      <c r="CB73" s="1923"/>
      <c r="CC73" s="1923"/>
      <c r="CD73" s="1923"/>
      <c r="CE73" s="1923"/>
      <c r="CF73" s="1923"/>
      <c r="CG73" s="1923"/>
      <c r="CH73" s="1923"/>
      <c r="CI73" s="1923"/>
      <c r="CJ73" s="1923"/>
      <c r="CK73" s="1923"/>
      <c r="CL73" s="1923"/>
      <c r="CM73" s="1923"/>
      <c r="CN73" s="1923"/>
      <c r="CO73" s="1923"/>
      <c r="CP73" s="1923"/>
      <c r="CQ73" s="1923"/>
      <c r="CR73" s="1923"/>
      <c r="CS73" s="1923"/>
      <c r="CT73" s="1923"/>
      <c r="CU73" s="1923"/>
      <c r="CV73" s="1923"/>
      <c r="CW73" s="1923"/>
      <c r="CX73" s="1923"/>
      <c r="CY73" s="1923"/>
      <c r="CZ73" s="1923"/>
      <c r="DA73" s="1923"/>
      <c r="DB73" s="1923"/>
      <c r="DC73" s="1923"/>
      <c r="DD73" s="1923"/>
      <c r="DE73" s="1923"/>
      <c r="DF73" s="1923"/>
      <c r="DG73" s="90"/>
      <c r="DI73" s="958"/>
      <c r="DJ73" s="958"/>
      <c r="DK73" s="958"/>
      <c r="DL73" s="910"/>
      <c r="DM73" s="910"/>
      <c r="DN73" s="910"/>
      <c r="DO73" s="910"/>
      <c r="DP73" s="910"/>
      <c r="DQ73" s="910"/>
      <c r="DR73" s="910"/>
      <c r="DS73" s="910"/>
      <c r="DT73" s="910"/>
      <c r="DU73" s="910"/>
      <c r="DV73" s="910"/>
      <c r="DW73" s="910"/>
      <c r="DX73" s="910"/>
      <c r="DY73" s="910"/>
      <c r="DZ73" s="910"/>
      <c r="EA73" s="910"/>
      <c r="EB73" s="910"/>
      <c r="EC73" s="910"/>
      <c r="ED73" s="910"/>
      <c r="EE73" s="910"/>
      <c r="EF73" s="910"/>
      <c r="EG73" s="910"/>
      <c r="EH73" s="910"/>
      <c r="EI73" s="910"/>
      <c r="EJ73" s="910"/>
      <c r="EK73" s="910"/>
      <c r="EL73" s="910"/>
      <c r="EM73" s="910"/>
      <c r="EN73" s="910"/>
      <c r="EO73" s="910"/>
      <c r="EP73" s="910"/>
      <c r="EQ73" s="910"/>
      <c r="ER73" s="910"/>
      <c r="ES73" s="910"/>
      <c r="ET73" s="910"/>
      <c r="EU73" s="910"/>
      <c r="EV73" s="910"/>
      <c r="EW73" s="910"/>
      <c r="EX73" s="910"/>
      <c r="EY73" s="910"/>
      <c r="EZ73" s="910"/>
      <c r="FA73" s="910"/>
      <c r="FB73" s="910"/>
      <c r="FC73" s="910"/>
      <c r="FD73" s="910"/>
      <c r="FE73" s="910"/>
      <c r="FF73" s="910"/>
      <c r="FG73" s="910"/>
      <c r="FH73" s="910"/>
      <c r="FI73" s="910"/>
      <c r="FJ73" s="910"/>
      <c r="FK73" s="910"/>
    </row>
    <row r="74" spans="1:169" ht="9" customHeight="1" thickTop="1">
      <c r="A74" s="910"/>
      <c r="B74" s="910"/>
      <c r="C74" s="910"/>
      <c r="D74" s="910"/>
      <c r="E74" s="910"/>
      <c r="F74" s="910"/>
      <c r="G74" s="910"/>
      <c r="H74" s="910"/>
      <c r="I74" s="910"/>
      <c r="J74" s="910"/>
      <c r="K74" s="910"/>
      <c r="L74" s="910"/>
      <c r="M74" s="910"/>
      <c r="N74" s="910"/>
      <c r="O74" s="910"/>
      <c r="P74" s="910"/>
      <c r="Q74" s="910"/>
      <c r="R74" s="910"/>
      <c r="S74" s="910"/>
      <c r="T74" s="910"/>
      <c r="U74" s="910"/>
      <c r="V74" s="910"/>
      <c r="W74" s="910"/>
      <c r="X74" s="910"/>
      <c r="Y74" s="910"/>
      <c r="Z74" s="910"/>
      <c r="AA74" s="910"/>
      <c r="AB74" s="910"/>
      <c r="AC74" s="910"/>
      <c r="AD74" s="910"/>
      <c r="AE74" s="910"/>
      <c r="AF74" s="910"/>
      <c r="AG74" s="910"/>
      <c r="AH74" s="910"/>
      <c r="AI74" s="910"/>
      <c r="AJ74" s="910"/>
      <c r="AK74" s="910"/>
      <c r="AL74" s="910"/>
      <c r="AM74" s="910"/>
      <c r="AN74" s="910"/>
      <c r="AO74" s="913"/>
      <c r="AP74" s="913"/>
      <c r="AQ74" s="913"/>
      <c r="AR74" s="913"/>
      <c r="AS74" s="913"/>
      <c r="AT74" s="442"/>
      <c r="AU74" s="442"/>
      <c r="AV74" s="442"/>
      <c r="AW74" s="442"/>
      <c r="AX74" s="442"/>
      <c r="AY74" s="442"/>
      <c r="AZ74" s="442"/>
      <c r="BA74" s="442"/>
      <c r="BB74" s="442"/>
      <c r="BC74" s="442"/>
      <c r="BD74" s="442"/>
      <c r="BE74" s="442"/>
      <c r="BF74" s="442"/>
      <c r="BG74" s="442"/>
      <c r="BH74" s="442"/>
      <c r="BI74" s="442"/>
      <c r="BJ74" s="442"/>
      <c r="BK74" s="442"/>
      <c r="BL74" s="442"/>
      <c r="BM74" s="442"/>
      <c r="BN74" s="442"/>
      <c r="BO74" s="442"/>
      <c r="BP74" s="442"/>
      <c r="BQ74" s="442"/>
      <c r="BR74" s="442"/>
      <c r="BS74" s="442"/>
      <c r="BT74" s="442"/>
      <c r="BU74" s="442"/>
      <c r="BV74" s="442"/>
      <c r="BW74" s="442"/>
      <c r="BX74" s="442"/>
      <c r="BY74" s="442"/>
      <c r="BZ74" s="442"/>
      <c r="CA74" s="442"/>
      <c r="CB74" s="442"/>
      <c r="CC74" s="442"/>
      <c r="CD74" s="3"/>
      <c r="CE74" s="3"/>
      <c r="CF74" s="3"/>
      <c r="CG74" s="3"/>
      <c r="CH74" s="910"/>
      <c r="CI74" s="910"/>
      <c r="CJ74" s="3"/>
      <c r="CK74" s="910"/>
      <c r="CL74" s="910"/>
      <c r="CM74" s="910"/>
      <c r="CN74" s="3"/>
      <c r="CO74" s="910"/>
      <c r="CP74" s="910"/>
      <c r="CQ74" s="3"/>
      <c r="CR74" s="910"/>
      <c r="CS74" s="910"/>
      <c r="CT74" s="3"/>
      <c r="CU74" s="910"/>
      <c r="CV74" s="910"/>
      <c r="CW74" s="3"/>
      <c r="CX74" s="910"/>
      <c r="CY74" s="910"/>
      <c r="CZ74" s="3"/>
      <c r="DA74" s="910"/>
      <c r="DB74" s="910"/>
      <c r="DC74" s="3"/>
      <c r="DD74" s="3"/>
      <c r="DE74" s="910"/>
      <c r="DF74" s="910"/>
      <c r="DG74" s="910"/>
      <c r="DI74" s="958"/>
      <c r="DJ74" s="958"/>
      <c r="DK74" s="958"/>
      <c r="DL74" s="910"/>
      <c r="DM74" s="910"/>
      <c r="DN74" s="910"/>
      <c r="DO74" s="910"/>
      <c r="DP74" s="910"/>
      <c r="DQ74" s="910"/>
      <c r="DR74" s="910"/>
      <c r="DS74" s="910"/>
      <c r="DT74" s="910"/>
      <c r="DU74" s="910"/>
      <c r="DV74" s="910"/>
      <c r="DW74" s="910"/>
      <c r="DX74" s="910"/>
      <c r="DY74" s="910"/>
      <c r="DZ74" s="910"/>
      <c r="EA74" s="910"/>
      <c r="EB74" s="910"/>
      <c r="EC74" s="910"/>
      <c r="ED74" s="910"/>
      <c r="EE74" s="910"/>
      <c r="EF74" s="910"/>
      <c r="EG74" s="910"/>
      <c r="EH74" s="910"/>
      <c r="EI74" s="910"/>
      <c r="EJ74" s="910"/>
      <c r="EK74" s="910"/>
      <c r="EL74" s="910"/>
      <c r="EM74" s="910"/>
      <c r="EN74" s="910"/>
      <c r="EO74" s="910"/>
      <c r="EP74" s="910"/>
      <c r="EQ74" s="910"/>
      <c r="ER74" s="910"/>
      <c r="ES74" s="910"/>
      <c r="ET74" s="910"/>
      <c r="EU74" s="910"/>
      <c r="EV74" s="910"/>
      <c r="EW74" s="910"/>
      <c r="EX74" s="910"/>
      <c r="EY74" s="910"/>
      <c r="EZ74" s="910"/>
      <c r="FA74" s="910"/>
      <c r="FB74" s="910"/>
      <c r="FC74" s="910"/>
      <c r="FD74" s="910"/>
      <c r="FE74" s="910"/>
      <c r="FF74" s="910"/>
      <c r="FG74" s="910"/>
      <c r="FH74" s="910"/>
      <c r="FI74" s="910"/>
      <c r="FJ74" s="910"/>
      <c r="FK74" s="910"/>
    </row>
    <row r="75" spans="1:169" ht="9" customHeight="1" thickBot="1">
      <c r="A75" s="910"/>
      <c r="B75" s="910"/>
      <c r="C75" s="910"/>
      <c r="D75" s="910"/>
      <c r="E75" s="910"/>
      <c r="F75" s="910"/>
      <c r="G75" s="910"/>
      <c r="H75" s="910"/>
      <c r="I75" s="910"/>
      <c r="J75" s="910"/>
      <c r="K75" s="910"/>
      <c r="L75" s="910"/>
      <c r="M75" s="910"/>
      <c r="N75" s="910"/>
      <c r="O75" s="910"/>
      <c r="P75" s="910"/>
      <c r="Q75" s="910"/>
      <c r="R75" s="910"/>
      <c r="S75" s="910"/>
      <c r="T75" s="910"/>
      <c r="U75" s="910"/>
      <c r="V75" s="910"/>
      <c r="W75" s="910"/>
      <c r="X75" s="910"/>
      <c r="Y75" s="910"/>
      <c r="Z75" s="910"/>
      <c r="AA75" s="910"/>
      <c r="AB75" s="910"/>
      <c r="AC75" s="910"/>
      <c r="AD75" s="910"/>
      <c r="AE75" s="910"/>
      <c r="AF75" s="910"/>
      <c r="AG75" s="910"/>
      <c r="AH75" s="910"/>
      <c r="AI75" s="910"/>
      <c r="AJ75" s="910"/>
      <c r="AK75" s="910"/>
      <c r="AL75" s="910"/>
      <c r="AM75" s="910"/>
      <c r="AN75" s="910"/>
      <c r="AO75" s="910"/>
      <c r="AP75" s="910"/>
      <c r="AQ75" s="910"/>
      <c r="AR75" s="910"/>
      <c r="AS75" s="910"/>
      <c r="AT75" s="910"/>
      <c r="AU75" s="910"/>
      <c r="AV75" s="910"/>
      <c r="AW75" s="910"/>
      <c r="AX75" s="910"/>
      <c r="AY75" s="910"/>
      <c r="AZ75" s="910"/>
      <c r="BA75" s="910"/>
      <c r="BB75" s="910"/>
      <c r="BC75" s="910"/>
      <c r="BD75" s="910"/>
      <c r="BE75" s="910"/>
      <c r="BF75" s="910"/>
      <c r="BG75" s="910"/>
      <c r="BH75" s="910"/>
      <c r="BI75" s="910"/>
      <c r="BJ75" s="910"/>
      <c r="BK75" s="910"/>
      <c r="BL75" s="910"/>
      <c r="BM75" s="910"/>
      <c r="BN75" s="910"/>
      <c r="BO75" s="910"/>
      <c r="BP75" s="910"/>
      <c r="BQ75" s="3"/>
      <c r="BR75" s="3"/>
      <c r="BS75" s="3"/>
      <c r="BT75" s="3"/>
      <c r="BU75" s="3"/>
      <c r="BV75" s="3"/>
      <c r="BW75" s="3"/>
      <c r="BX75" s="3"/>
      <c r="BY75" s="3"/>
      <c r="BZ75" s="3"/>
      <c r="CA75" s="3"/>
      <c r="CB75" s="3"/>
      <c r="CC75" s="3"/>
      <c r="CD75" s="3"/>
      <c r="CE75" s="3"/>
      <c r="CF75" s="3"/>
      <c r="CG75" s="3"/>
      <c r="CH75" s="910"/>
      <c r="CI75" s="910"/>
      <c r="CJ75" s="910"/>
      <c r="CK75" s="910"/>
      <c r="CL75" s="910"/>
      <c r="CM75" s="910"/>
      <c r="CN75" s="910"/>
      <c r="CO75" s="910"/>
      <c r="CP75" s="910"/>
      <c r="CQ75" s="910"/>
      <c r="CR75" s="910"/>
      <c r="CS75" s="910"/>
      <c r="CT75" s="910"/>
      <c r="CU75" s="910"/>
      <c r="CV75" s="910"/>
      <c r="CW75" s="910"/>
      <c r="CX75" s="910"/>
      <c r="CY75" s="910"/>
      <c r="CZ75" s="910"/>
      <c r="DA75" s="910"/>
      <c r="DB75" s="910"/>
      <c r="DC75" s="910"/>
      <c r="DD75" s="910"/>
      <c r="DE75" s="910"/>
      <c r="DF75" s="910"/>
      <c r="DG75" s="910"/>
      <c r="DI75" s="958"/>
      <c r="DJ75" s="958"/>
      <c r="DK75" s="958"/>
      <c r="DL75" s="910"/>
      <c r="DM75" s="910"/>
      <c r="DN75" s="910"/>
      <c r="DO75" s="910"/>
      <c r="DP75" s="910"/>
      <c r="DQ75" s="910"/>
      <c r="DR75" s="910"/>
      <c r="DS75" s="910"/>
      <c r="DT75" s="910"/>
      <c r="DU75" s="910"/>
      <c r="DV75" s="910"/>
      <c r="DW75" s="910"/>
      <c r="DX75" s="910"/>
      <c r="DY75" s="910"/>
      <c r="DZ75" s="910"/>
      <c r="EA75" s="910"/>
      <c r="EB75" s="910"/>
      <c r="EC75" s="910"/>
      <c r="ED75" s="910"/>
      <c r="EE75" s="910"/>
      <c r="EF75" s="910"/>
      <c r="EG75" s="910"/>
      <c r="EH75" s="910"/>
      <c r="EI75" s="910"/>
      <c r="EJ75" s="910"/>
      <c r="EK75" s="910"/>
      <c r="EL75" s="910"/>
      <c r="EM75" s="910"/>
      <c r="EN75" s="910"/>
      <c r="EO75" s="910"/>
      <c r="EP75" s="910"/>
      <c r="EQ75" s="910"/>
      <c r="ER75" s="910"/>
      <c r="ES75" s="910"/>
      <c r="ET75" s="910"/>
      <c r="EU75" s="910"/>
      <c r="EV75" s="910"/>
      <c r="EW75" s="910"/>
      <c r="EX75" s="910"/>
      <c r="EY75" s="910"/>
      <c r="EZ75" s="910"/>
      <c r="FA75" s="910"/>
      <c r="FB75" s="910"/>
      <c r="FC75" s="910"/>
      <c r="FD75" s="910"/>
      <c r="FE75" s="910"/>
      <c r="FF75" s="910"/>
      <c r="FG75" s="910"/>
      <c r="FH75" s="910"/>
      <c r="FI75" s="910"/>
      <c r="FJ75" s="910"/>
      <c r="FK75" s="910"/>
    </row>
    <row r="76" spans="1:169" ht="9" customHeight="1" thickTop="1" thickBot="1">
      <c r="A76" s="910"/>
      <c r="B76" s="910"/>
      <c r="C76" s="910"/>
      <c r="D76" s="93"/>
      <c r="E76" s="2182" t="s">
        <v>5713</v>
      </c>
      <c r="F76" s="2182"/>
      <c r="G76" s="2182"/>
      <c r="H76" s="2182"/>
      <c r="I76" s="2182"/>
      <c r="J76" s="295"/>
      <c r="K76" s="295"/>
      <c r="L76" s="295"/>
      <c r="M76" s="295"/>
      <c r="N76" s="594"/>
      <c r="O76" s="594"/>
      <c r="P76" s="594"/>
      <c r="Q76" s="594"/>
      <c r="R76" s="594"/>
      <c r="S76" s="594"/>
      <c r="T76" s="594"/>
      <c r="U76" s="594"/>
      <c r="V76" s="594"/>
      <c r="W76" s="594"/>
      <c r="X76" s="594"/>
      <c r="Y76" s="594"/>
      <c r="Z76" s="594"/>
      <c r="AA76" s="594"/>
      <c r="AB76" s="594"/>
      <c r="AC76" s="297"/>
      <c r="AD76" s="910"/>
      <c r="AE76" s="910"/>
      <c r="AF76" s="93"/>
      <c r="AG76" s="2193" t="s">
        <v>6133</v>
      </c>
      <c r="AH76" s="2193"/>
      <c r="AI76" s="2193"/>
      <c r="AJ76" s="2193"/>
      <c r="AK76" s="2193"/>
      <c r="AL76" s="2193"/>
      <c r="AM76" s="2193"/>
      <c r="AN76" s="2193"/>
      <c r="AO76" s="1110" t="e">
        <f ca="1">Weapons!$O$70-Weapons!$O$69</f>
        <v>#N/A</v>
      </c>
      <c r="AP76" s="592"/>
      <c r="AQ76" s="594"/>
      <c r="AR76" s="594"/>
      <c r="AS76" s="594"/>
      <c r="AT76" s="594"/>
      <c r="AU76" s="594"/>
      <c r="AV76" s="594"/>
      <c r="AW76" s="594"/>
      <c r="AX76" s="297"/>
      <c r="AY76" s="910"/>
      <c r="AZ76" s="910"/>
      <c r="BA76" s="93"/>
      <c r="BB76" s="2193" t="s">
        <v>4094</v>
      </c>
      <c r="BC76" s="2193"/>
      <c r="BD76" s="2193"/>
      <c r="BE76" s="2193"/>
      <c r="BF76" s="2193"/>
      <c r="BG76" s="2193"/>
      <c r="BH76" s="2193"/>
      <c r="BI76" s="2193"/>
      <c r="BJ76" s="2193"/>
      <c r="BK76" s="2193"/>
      <c r="BL76" s="2193"/>
      <c r="BM76" s="2193"/>
      <c r="BN76" s="2193"/>
      <c r="BO76" s="2193"/>
      <c r="BP76" s="113"/>
      <c r="BQ76" s="145"/>
      <c r="BR76" s="93"/>
      <c r="BS76" s="2193" t="s">
        <v>4100</v>
      </c>
      <c r="BT76" s="2193"/>
      <c r="BU76" s="2193"/>
      <c r="BV76" s="2193"/>
      <c r="BW76" s="2193"/>
      <c r="BX76" s="2193"/>
      <c r="BY76" s="2193"/>
      <c r="BZ76" s="2193"/>
      <c r="CA76" s="2193" t="s">
        <v>4095</v>
      </c>
      <c r="CB76" s="2193"/>
      <c r="CC76" s="2193"/>
      <c r="CD76" s="2193"/>
      <c r="CE76" s="2193"/>
      <c r="CF76" s="2193"/>
      <c r="CG76" s="2193"/>
      <c r="CH76" s="2193"/>
      <c r="CI76" s="2193" t="s">
        <v>4099</v>
      </c>
      <c r="CJ76" s="2193"/>
      <c r="CK76" s="2193"/>
      <c r="CL76" s="2193"/>
      <c r="CM76" s="2193"/>
      <c r="CN76" s="2193"/>
      <c r="CO76" s="2193"/>
      <c r="CP76" s="2193"/>
      <c r="CQ76" s="2193" t="s">
        <v>4098</v>
      </c>
      <c r="CR76" s="2193"/>
      <c r="CS76" s="2193"/>
      <c r="CT76" s="2193"/>
      <c r="CU76" s="2193"/>
      <c r="CV76" s="2193"/>
      <c r="CW76" s="2193"/>
      <c r="CX76" s="2193"/>
      <c r="CY76" s="2193" t="s">
        <v>4097</v>
      </c>
      <c r="CZ76" s="2193"/>
      <c r="DA76" s="2193"/>
      <c r="DB76" s="2193"/>
      <c r="DC76" s="2193"/>
      <c r="DD76" s="2193"/>
      <c r="DE76" s="2193"/>
      <c r="DF76" s="2193"/>
      <c r="DG76" s="113"/>
      <c r="DH76" s="976"/>
      <c r="DI76" s="958"/>
      <c r="DJ76" s="958"/>
      <c r="DK76" s="958"/>
      <c r="DL76" s="910"/>
      <c r="DM76" s="910"/>
      <c r="DN76" s="910"/>
      <c r="DO76" s="910"/>
      <c r="DP76" s="910"/>
      <c r="DQ76" s="910"/>
      <c r="DR76" s="910"/>
      <c r="DS76" s="910"/>
      <c r="DT76" s="910"/>
      <c r="DU76" s="910"/>
      <c r="DV76" s="910"/>
      <c r="DW76" s="910"/>
      <c r="DX76" s="910"/>
      <c r="DY76" s="910"/>
      <c r="DZ76" s="910"/>
      <c r="EA76" s="910"/>
      <c r="EB76" s="910"/>
      <c r="EC76" s="910"/>
      <c r="ED76" s="910"/>
      <c r="EE76" s="910"/>
      <c r="EF76" s="910"/>
      <c r="EG76" s="910"/>
      <c r="EH76" s="910"/>
      <c r="EI76" s="910"/>
      <c r="EJ76" s="910"/>
      <c r="EK76" s="910"/>
      <c r="EL76" s="910"/>
      <c r="EM76" s="910"/>
      <c r="EN76" s="910"/>
      <c r="EO76" s="910"/>
      <c r="EP76" s="910"/>
      <c r="EQ76" s="910"/>
      <c r="ER76" s="910"/>
      <c r="ES76" s="910"/>
      <c r="ET76" s="910"/>
      <c r="EU76" s="910"/>
      <c r="EV76" s="910"/>
      <c r="EW76" s="910"/>
      <c r="EX76" s="910"/>
      <c r="EY76" s="910"/>
      <c r="EZ76" s="910"/>
      <c r="FA76" s="910"/>
      <c r="FB76" s="910"/>
      <c r="FC76" s="910"/>
      <c r="FD76" s="910"/>
      <c r="FE76" s="910"/>
      <c r="FF76" s="910"/>
      <c r="FG76" s="910"/>
      <c r="FH76" s="910"/>
      <c r="FI76" s="910"/>
      <c r="FJ76" s="910"/>
      <c r="FK76" s="910"/>
    </row>
    <row r="77" spans="1:169" ht="9" customHeight="1" thickTop="1">
      <c r="A77" s="910"/>
      <c r="B77" s="910"/>
      <c r="C77" s="910"/>
      <c r="D77" s="102"/>
      <c r="E77" s="2180"/>
      <c r="F77" s="2180"/>
      <c r="G77" s="2180"/>
      <c r="H77" s="2180"/>
      <c r="I77" s="2180"/>
      <c r="J77" s="1867" t="str">
        <f>IF(J51&lt;&gt;"",IF(OR(AND(Weapons!$O$74="lightsabers",Talents!$M$1110&gt;0),AND(Feats!$M$242&gt;0,COUNTIF(Weapons!$O$56:$O$59,"Spring Loaded")&gt;0)),"Free",IF(Feats!$M$170&gt;0,"Free as part of a Standard",IF(Feats!$M$242,"Swift","Move")))&amp;" action","")</f>
        <v/>
      </c>
      <c r="K77" s="1867"/>
      <c r="L77" s="1867"/>
      <c r="M77" s="1867"/>
      <c r="N77" s="1867"/>
      <c r="O77" s="1867"/>
      <c r="P77" s="1867"/>
      <c r="Q77" s="1867"/>
      <c r="R77" s="1867"/>
      <c r="S77" s="1867"/>
      <c r="T77" s="1867"/>
      <c r="U77" s="1867"/>
      <c r="V77" s="1867"/>
      <c r="W77" s="1867"/>
      <c r="X77" s="1867"/>
      <c r="Y77" s="1867"/>
      <c r="Z77" s="1867"/>
      <c r="AA77" s="1867"/>
      <c r="AB77" s="1867"/>
      <c r="AC77" s="300"/>
      <c r="AD77" s="595"/>
      <c r="AE77" s="595"/>
      <c r="AF77" s="102"/>
      <c r="AG77" s="2239"/>
      <c r="AH77" s="2239"/>
      <c r="AI77" s="2239"/>
      <c r="AJ77" s="2239"/>
      <c r="AK77" s="2239"/>
      <c r="AL77" s="2239"/>
      <c r="AM77" s="2239"/>
      <c r="AN77" s="2239"/>
      <c r="AO77" s="2241" t="str">
        <f>IF(J51&lt;&gt;"",IF(AND(NOT(ISERROR(FIND("-5 to Perception and Use Computer checks to detect",Q71,1))),ShowCloakedWeapons),INDEX(ConcealItemTable,MATCH(AO76,ConcealItemList,0),3),INDEX(ConcealItemTable,MATCH(AO76,ConcealItemList,0),2)),"")</f>
        <v/>
      </c>
      <c r="AP77" s="2241"/>
      <c r="AQ77" s="2241"/>
      <c r="AR77" s="2241"/>
      <c r="AS77" s="2241"/>
      <c r="AT77" s="2241"/>
      <c r="AU77" s="2241"/>
      <c r="AV77" s="2241"/>
      <c r="AW77" s="2241"/>
      <c r="AX77" s="300"/>
      <c r="AY77" s="910"/>
      <c r="AZ77" s="910"/>
      <c r="BA77" s="102"/>
      <c r="BB77" s="2239"/>
      <c r="BC77" s="2239"/>
      <c r="BD77" s="2239"/>
      <c r="BE77" s="2239"/>
      <c r="BF77" s="2239"/>
      <c r="BG77" s="2239"/>
      <c r="BH77" s="2239"/>
      <c r="BI77" s="2239"/>
      <c r="BJ77" s="2239"/>
      <c r="BK77" s="2239"/>
      <c r="BL77" s="2239"/>
      <c r="BM77" s="2239"/>
      <c r="BN77" s="2239"/>
      <c r="BO77" s="2239"/>
      <c r="BP77" s="589"/>
      <c r="BQ77" s="598"/>
      <c r="BR77" s="102"/>
      <c r="BS77" s="2194"/>
      <c r="BT77" s="2194"/>
      <c r="BU77" s="2194"/>
      <c r="BV77" s="2194"/>
      <c r="BW77" s="2194"/>
      <c r="BX77" s="2194"/>
      <c r="BY77" s="2194"/>
      <c r="BZ77" s="2194"/>
      <c r="CA77" s="2194"/>
      <c r="CB77" s="2194"/>
      <c r="CC77" s="2194"/>
      <c r="CD77" s="2194"/>
      <c r="CE77" s="2194"/>
      <c r="CF77" s="2194"/>
      <c r="CG77" s="2194"/>
      <c r="CH77" s="2194"/>
      <c r="CI77" s="2194"/>
      <c r="CJ77" s="2194"/>
      <c r="CK77" s="2194"/>
      <c r="CL77" s="2194"/>
      <c r="CM77" s="2194"/>
      <c r="CN77" s="2194"/>
      <c r="CO77" s="2194"/>
      <c r="CP77" s="2194"/>
      <c r="CQ77" s="2194"/>
      <c r="CR77" s="2194"/>
      <c r="CS77" s="2194"/>
      <c r="CT77" s="2194"/>
      <c r="CU77" s="2194"/>
      <c r="CV77" s="2194"/>
      <c r="CW77" s="2194"/>
      <c r="CX77" s="2194"/>
      <c r="CY77" s="2194"/>
      <c r="CZ77" s="2194"/>
      <c r="DA77" s="2194"/>
      <c r="DB77" s="2194"/>
      <c r="DC77" s="2194"/>
      <c r="DD77" s="2194"/>
      <c r="DE77" s="2194"/>
      <c r="DF77" s="2194"/>
      <c r="DG77" s="910"/>
      <c r="DH77" s="977"/>
      <c r="DI77" s="958"/>
      <c r="DJ77" s="958"/>
      <c r="DK77" s="958"/>
      <c r="DL77" s="910"/>
      <c r="DM77" s="910"/>
      <c r="DN77" s="910"/>
      <c r="DO77" s="910"/>
      <c r="DP77" s="910"/>
      <c r="DQ77" s="910"/>
      <c r="DR77" s="910"/>
      <c r="DS77" s="910"/>
      <c r="DT77" s="910"/>
      <c r="DU77" s="910"/>
      <c r="DV77" s="910"/>
      <c r="DW77" s="910"/>
      <c r="DX77" s="910"/>
      <c r="DY77" s="910"/>
      <c r="DZ77" s="910"/>
      <c r="EA77" s="910"/>
      <c r="EB77" s="910"/>
      <c r="EC77" s="910"/>
      <c r="ED77" s="910"/>
      <c r="EE77" s="910"/>
      <c r="EF77" s="910"/>
      <c r="EG77" s="910"/>
      <c r="EH77" s="910"/>
      <c r="EI77" s="910"/>
      <c r="EJ77" s="910"/>
      <c r="EK77" s="910"/>
      <c r="EL77" s="910"/>
      <c r="EM77" s="910"/>
      <c r="EN77" s="910"/>
      <c r="EO77" s="910"/>
      <c r="EP77" s="910"/>
      <c r="EQ77" s="910"/>
      <c r="ER77" s="910"/>
      <c r="ES77" s="910"/>
      <c r="ET77" s="910"/>
      <c r="EU77" s="910"/>
      <c r="EV77" s="910"/>
      <c r="EW77" s="910"/>
      <c r="EX77" s="910"/>
      <c r="EY77" s="910"/>
      <c r="EZ77" s="910"/>
      <c r="FA77" s="910"/>
      <c r="FB77" s="910"/>
      <c r="FC77" s="910"/>
      <c r="FD77" s="910"/>
      <c r="FE77" s="910"/>
      <c r="FF77" s="910"/>
      <c r="FG77" s="910"/>
      <c r="FH77" s="910"/>
      <c r="FI77" s="910"/>
      <c r="FJ77" s="910"/>
      <c r="FK77" s="910"/>
    </row>
    <row r="78" spans="1:169" ht="9" customHeight="1">
      <c r="A78" s="910"/>
      <c r="B78" s="910"/>
      <c r="C78" s="910"/>
      <c r="D78" s="102"/>
      <c r="E78" s="105"/>
      <c r="F78" s="105"/>
      <c r="G78" s="105"/>
      <c r="H78" s="105"/>
      <c r="I78" s="657"/>
      <c r="J78" s="1867"/>
      <c r="K78" s="1867"/>
      <c r="L78" s="1867"/>
      <c r="M78" s="1867"/>
      <c r="N78" s="1867"/>
      <c r="O78" s="1867"/>
      <c r="P78" s="1867"/>
      <c r="Q78" s="1867"/>
      <c r="R78" s="1867"/>
      <c r="S78" s="1867"/>
      <c r="T78" s="1867"/>
      <c r="U78" s="1867"/>
      <c r="V78" s="1867"/>
      <c r="W78" s="1867"/>
      <c r="X78" s="1867"/>
      <c r="Y78" s="1867"/>
      <c r="Z78" s="1867"/>
      <c r="AA78" s="1867"/>
      <c r="AB78" s="1867"/>
      <c r="AC78" s="103"/>
      <c r="AD78" s="657"/>
      <c r="AE78" s="657"/>
      <c r="AF78" s="102"/>
      <c r="AG78" s="2243" t="s">
        <v>6134</v>
      </c>
      <c r="AH78" s="2243"/>
      <c r="AI78" s="2243"/>
      <c r="AJ78" s="2243"/>
      <c r="AK78" s="2243"/>
      <c r="AL78" s="2243"/>
      <c r="AM78" s="2243"/>
      <c r="AN78" s="2243"/>
      <c r="AO78" s="2241"/>
      <c r="AP78" s="2241"/>
      <c r="AQ78" s="2241"/>
      <c r="AR78" s="2241"/>
      <c r="AS78" s="2241"/>
      <c r="AT78" s="2241"/>
      <c r="AU78" s="2241"/>
      <c r="AV78" s="2241"/>
      <c r="AW78" s="2241"/>
      <c r="AX78" s="103"/>
      <c r="AY78" s="710"/>
      <c r="AZ78" s="910"/>
      <c r="BA78" s="102"/>
      <c r="BB78" s="2206" t="s">
        <v>110</v>
      </c>
      <c r="BC78" s="2206"/>
      <c r="BD78" s="2206"/>
      <c r="BE78" s="2206"/>
      <c r="BF78" s="2206"/>
      <c r="BG78" s="2206"/>
      <c r="BH78" s="2206"/>
      <c r="BI78" s="2206"/>
      <c r="BJ78" s="2206"/>
      <c r="BK78" s="2206"/>
      <c r="BL78" s="2206"/>
      <c r="BM78" s="2206"/>
      <c r="BN78" s="2206"/>
      <c r="BO78" s="2206"/>
      <c r="BP78" s="910"/>
      <c r="BQ78" s="910"/>
      <c r="BR78" s="102"/>
      <c r="BS78" s="2210" t="str">
        <f>IF(CA78&lt;&gt;"","0-1","")</f>
        <v/>
      </c>
      <c r="BT78" s="2210"/>
      <c r="BU78" s="2210"/>
      <c r="BV78" s="2210"/>
      <c r="BW78" s="2210"/>
      <c r="BX78" s="2210"/>
      <c r="BY78" s="2210"/>
      <c r="BZ78" s="2211"/>
      <c r="CA78" s="2229" t="str">
        <f>IF(AND(J51&lt;&gt;"",Weapons!O$12="Ranged"),"0-"&amp;INDEX(RangeTable,MATCH(Weapons!O$92,RangeList,0),2),"")</f>
        <v/>
      </c>
      <c r="CB78" s="2210"/>
      <c r="CC78" s="2210"/>
      <c r="CD78" s="2210"/>
      <c r="CE78" s="2210"/>
      <c r="CF78" s="2210"/>
      <c r="CG78" s="2210"/>
      <c r="CH78" s="2211"/>
      <c r="CI78" s="2229" t="str">
        <f>IF(AND(J51&lt;&gt;"",Weapons!O$12="Ranged"),"0-"&amp;INDEX(RangeTable,MATCH(Weapons!O$92,RangeList,0),3),"")</f>
        <v/>
      </c>
      <c r="CJ78" s="2210"/>
      <c r="CK78" s="2210"/>
      <c r="CL78" s="2210"/>
      <c r="CM78" s="2210"/>
      <c r="CN78" s="2210"/>
      <c r="CO78" s="2210"/>
      <c r="CP78" s="2211"/>
      <c r="CQ78" s="2229" t="str">
        <f>IF(AND(J51&lt;&gt;"",Weapons!O$12="Ranged"),"0-"&amp;INDEX(RangeTable,MATCH(Weapons!O$92,RangeList,0),4),"")</f>
        <v/>
      </c>
      <c r="CR78" s="2210"/>
      <c r="CS78" s="2210"/>
      <c r="CT78" s="2210"/>
      <c r="CU78" s="2210"/>
      <c r="CV78" s="2210"/>
      <c r="CW78" s="2210"/>
      <c r="CX78" s="2211"/>
      <c r="CY78" s="2229" t="str">
        <f>IF(AND(J51&lt;&gt;"",Weapons!O$12="Ranged"),"0-"&amp;INDEX(RangeTable,MATCH(Weapons!O$92,RangeList,0),5),"")</f>
        <v/>
      </c>
      <c r="CZ78" s="2210"/>
      <c r="DA78" s="2210"/>
      <c r="DB78" s="2210"/>
      <c r="DC78" s="2210"/>
      <c r="DD78" s="2210"/>
      <c r="DE78" s="2210"/>
      <c r="DF78" s="2210"/>
      <c r="DG78" s="100"/>
      <c r="DH78" s="976"/>
      <c r="DI78" s="958"/>
      <c r="DJ78" s="958"/>
      <c r="DK78" s="958"/>
      <c r="DL78" s="910"/>
      <c r="DM78" s="910"/>
      <c r="DN78" s="910"/>
      <c r="DO78" s="910"/>
      <c r="DP78" s="910"/>
      <c r="DQ78" s="910"/>
      <c r="DR78" s="910"/>
      <c r="DS78" s="910"/>
      <c r="DT78" s="910"/>
      <c r="DU78" s="910"/>
      <c r="DV78" s="910"/>
      <c r="DW78" s="910"/>
      <c r="DX78" s="910"/>
      <c r="DY78" s="910"/>
      <c r="DZ78" s="910"/>
      <c r="EA78" s="910"/>
      <c r="EB78" s="910"/>
      <c r="EC78" s="910"/>
      <c r="ED78" s="910"/>
      <c r="EE78" s="910"/>
      <c r="EF78" s="910"/>
      <c r="EG78" s="910"/>
      <c r="EH78" s="910"/>
      <c r="EI78" s="910"/>
      <c r="EJ78" s="910"/>
      <c r="EK78" s="910"/>
      <c r="EL78" s="910"/>
      <c r="EM78" s="910"/>
      <c r="EN78" s="910"/>
      <c r="EO78" s="910"/>
      <c r="EP78" s="910"/>
      <c r="EQ78" s="910"/>
      <c r="ER78" s="910"/>
      <c r="ES78" s="910"/>
      <c r="ET78" s="910"/>
      <c r="EU78" s="910"/>
      <c r="EV78" s="910"/>
      <c r="EW78" s="910"/>
      <c r="EX78" s="910"/>
      <c r="EY78" s="910"/>
      <c r="EZ78" s="910"/>
      <c r="FA78" s="910"/>
      <c r="FB78" s="910"/>
      <c r="FC78" s="910"/>
      <c r="FD78" s="910"/>
      <c r="FE78" s="910"/>
      <c r="FF78" s="910"/>
      <c r="FG78" s="910"/>
      <c r="FH78" s="910"/>
      <c r="FI78" s="910"/>
      <c r="FJ78" s="910"/>
      <c r="FK78" s="910"/>
    </row>
    <row r="79" spans="1:169" ht="9" customHeight="1" thickBot="1">
      <c r="A79" s="910"/>
      <c r="B79" s="910"/>
      <c r="C79" s="910"/>
      <c r="D79" s="91"/>
      <c r="E79" s="108"/>
      <c r="F79" s="108"/>
      <c r="G79" s="108"/>
      <c r="H79" s="108"/>
      <c r="I79" s="937"/>
      <c r="J79" s="1868"/>
      <c r="K79" s="1868"/>
      <c r="L79" s="1868"/>
      <c r="M79" s="1868"/>
      <c r="N79" s="1868"/>
      <c r="O79" s="1868"/>
      <c r="P79" s="1868"/>
      <c r="Q79" s="1868"/>
      <c r="R79" s="1868"/>
      <c r="S79" s="1868"/>
      <c r="T79" s="1868"/>
      <c r="U79" s="1868"/>
      <c r="V79" s="1868"/>
      <c r="W79" s="1868"/>
      <c r="X79" s="1868"/>
      <c r="Y79" s="1868"/>
      <c r="Z79" s="1868"/>
      <c r="AA79" s="1868"/>
      <c r="AB79" s="1868"/>
      <c r="AC79" s="90"/>
      <c r="AD79" s="657"/>
      <c r="AE79" s="657"/>
      <c r="AF79" s="91"/>
      <c r="AG79" s="2244"/>
      <c r="AH79" s="2244"/>
      <c r="AI79" s="2244"/>
      <c r="AJ79" s="2244"/>
      <c r="AK79" s="2244"/>
      <c r="AL79" s="2244"/>
      <c r="AM79" s="2244"/>
      <c r="AN79" s="2244"/>
      <c r="AO79" s="2242"/>
      <c r="AP79" s="2242"/>
      <c r="AQ79" s="2242"/>
      <c r="AR79" s="2242"/>
      <c r="AS79" s="2242"/>
      <c r="AT79" s="2242"/>
      <c r="AU79" s="2242"/>
      <c r="AV79" s="2242"/>
      <c r="AW79" s="2242"/>
      <c r="AX79" s="90"/>
      <c r="AY79" s="710"/>
      <c r="AZ79" s="910"/>
      <c r="BA79" s="102"/>
      <c r="BB79" s="2206"/>
      <c r="BC79" s="2206"/>
      <c r="BD79" s="2206"/>
      <c r="BE79" s="2206"/>
      <c r="BF79" s="2206"/>
      <c r="BG79" s="2206"/>
      <c r="BH79" s="2206"/>
      <c r="BI79" s="2206"/>
      <c r="BJ79" s="2206"/>
      <c r="BK79" s="2206"/>
      <c r="BL79" s="2206"/>
      <c r="BM79" s="2206"/>
      <c r="BN79" s="2206"/>
      <c r="BO79" s="2206"/>
      <c r="BP79" s="910"/>
      <c r="BQ79" s="910"/>
      <c r="BR79" s="647"/>
      <c r="BS79" s="2212"/>
      <c r="BT79" s="2212"/>
      <c r="BU79" s="2212"/>
      <c r="BV79" s="2212"/>
      <c r="BW79" s="2212"/>
      <c r="BX79" s="2212"/>
      <c r="BY79" s="2212"/>
      <c r="BZ79" s="2213"/>
      <c r="CA79" s="2226"/>
      <c r="CB79" s="2212"/>
      <c r="CC79" s="2212"/>
      <c r="CD79" s="2212"/>
      <c r="CE79" s="2212"/>
      <c r="CF79" s="2212"/>
      <c r="CG79" s="2212"/>
      <c r="CH79" s="2213"/>
      <c r="CI79" s="2226"/>
      <c r="CJ79" s="2212"/>
      <c r="CK79" s="2212"/>
      <c r="CL79" s="2212"/>
      <c r="CM79" s="2212"/>
      <c r="CN79" s="2212"/>
      <c r="CO79" s="2212"/>
      <c r="CP79" s="2213"/>
      <c r="CQ79" s="2226"/>
      <c r="CR79" s="2212"/>
      <c r="CS79" s="2212"/>
      <c r="CT79" s="2212"/>
      <c r="CU79" s="2212"/>
      <c r="CV79" s="2212"/>
      <c r="CW79" s="2212"/>
      <c r="CX79" s="2213"/>
      <c r="CY79" s="2226"/>
      <c r="CZ79" s="2212"/>
      <c r="DA79" s="2212"/>
      <c r="DB79" s="2212"/>
      <c r="DC79" s="2212"/>
      <c r="DD79" s="2212"/>
      <c r="DE79" s="2212"/>
      <c r="DF79" s="2212"/>
      <c r="DG79" s="100"/>
      <c r="DH79" s="976"/>
      <c r="DI79" s="958"/>
      <c r="DJ79" s="958"/>
      <c r="DK79" s="958"/>
      <c r="DL79" s="910"/>
      <c r="DM79" s="910"/>
      <c r="DN79" s="910"/>
      <c r="DO79" s="910"/>
      <c r="DP79" s="910"/>
      <c r="DQ79" s="910"/>
      <c r="DR79" s="910"/>
      <c r="DS79" s="910"/>
      <c r="DT79" s="910"/>
      <c r="DU79" s="910"/>
      <c r="DV79" s="910"/>
      <c r="DW79" s="910"/>
      <c r="DX79" s="910"/>
      <c r="DY79" s="910"/>
      <c r="DZ79" s="910"/>
      <c r="EA79" s="910"/>
      <c r="EB79" s="910"/>
      <c r="EC79" s="910"/>
      <c r="ED79" s="910"/>
      <c r="EE79" s="910"/>
      <c r="EF79" s="910"/>
      <c r="EG79" s="910"/>
      <c r="EH79" s="910"/>
      <c r="EI79" s="910"/>
      <c r="EJ79" s="910"/>
      <c r="EK79" s="910"/>
      <c r="EL79" s="910"/>
      <c r="EM79" s="910"/>
      <c r="EN79" s="910"/>
      <c r="EO79" s="910"/>
      <c r="EP79" s="910"/>
      <c r="EQ79" s="910"/>
      <c r="ER79" s="910"/>
      <c r="ES79" s="910"/>
      <c r="ET79" s="910"/>
      <c r="EU79" s="910"/>
      <c r="EV79" s="910"/>
      <c r="EW79" s="910"/>
      <c r="EX79" s="910"/>
      <c r="EY79" s="910"/>
      <c r="EZ79" s="910"/>
      <c r="FA79" s="910"/>
      <c r="FB79" s="910"/>
      <c r="FC79" s="910"/>
      <c r="FD79" s="910"/>
      <c r="FE79" s="910"/>
      <c r="FF79" s="910"/>
      <c r="FG79" s="910"/>
      <c r="FH79" s="910"/>
      <c r="FI79" s="910"/>
      <c r="FJ79" s="910"/>
      <c r="FK79" s="910"/>
    </row>
    <row r="80" spans="1:169" ht="9" customHeight="1" thickTop="1" thickBot="1">
      <c r="A80" s="910"/>
      <c r="B80" s="910"/>
      <c r="C80" s="910"/>
      <c r="D80" s="910"/>
      <c r="E80" s="910"/>
      <c r="F80" s="910"/>
      <c r="G80" s="910"/>
      <c r="H80" s="910"/>
      <c r="I80" s="910"/>
      <c r="J80" s="105"/>
      <c r="K80" s="105"/>
      <c r="L80" s="105"/>
      <c r="M80" s="105"/>
      <c r="N80" s="105"/>
      <c r="O80" s="657"/>
      <c r="P80" s="657"/>
      <c r="Q80" s="657"/>
      <c r="R80" s="657"/>
      <c r="S80" s="657"/>
      <c r="T80" s="657"/>
      <c r="U80" s="657"/>
      <c r="V80" s="657"/>
      <c r="W80" s="657"/>
      <c r="X80" s="657"/>
      <c r="Y80" s="657"/>
      <c r="Z80" s="657"/>
      <c r="AA80" s="657"/>
      <c r="AB80" s="657"/>
      <c r="AC80" s="657"/>
      <c r="AD80" s="657"/>
      <c r="AE80" s="657"/>
      <c r="AF80" s="657"/>
      <c r="AG80" s="657"/>
      <c r="AH80" s="657"/>
      <c r="AI80" s="301"/>
      <c r="AJ80" s="3"/>
      <c r="AK80" s="910"/>
      <c r="AL80" s="910"/>
      <c r="AM80" s="910"/>
      <c r="AN80" s="910"/>
      <c r="AO80" s="910"/>
      <c r="AP80" s="910"/>
      <c r="AQ80" s="710"/>
      <c r="AR80" s="710"/>
      <c r="AS80" s="710"/>
      <c r="AT80" s="710"/>
      <c r="AU80" s="710"/>
      <c r="AV80" s="710"/>
      <c r="AW80" s="710"/>
      <c r="AX80" s="710"/>
      <c r="AY80" s="710"/>
      <c r="AZ80" s="910"/>
      <c r="BA80" s="102"/>
      <c r="BB80" s="2206"/>
      <c r="BC80" s="2206"/>
      <c r="BD80" s="2206"/>
      <c r="BE80" s="2206"/>
      <c r="BF80" s="2206"/>
      <c r="BG80" s="2206"/>
      <c r="BH80" s="2206"/>
      <c r="BI80" s="2206"/>
      <c r="BJ80" s="2206"/>
      <c r="BK80" s="2206"/>
      <c r="BL80" s="2206"/>
      <c r="BM80" s="2206"/>
      <c r="BN80" s="2206"/>
      <c r="BO80" s="2206"/>
      <c r="BP80" s="910"/>
      <c r="BQ80" s="910"/>
      <c r="BR80" s="102"/>
      <c r="BS80" s="2214"/>
      <c r="BT80" s="2214"/>
      <c r="BU80" s="2214"/>
      <c r="BV80" s="2214"/>
      <c r="BW80" s="2214"/>
      <c r="BX80" s="2214"/>
      <c r="BY80" s="2214"/>
      <c r="BZ80" s="2215"/>
      <c r="CA80" s="2230"/>
      <c r="CB80" s="2214"/>
      <c r="CC80" s="2214"/>
      <c r="CD80" s="2214"/>
      <c r="CE80" s="2214"/>
      <c r="CF80" s="2214"/>
      <c r="CG80" s="2214"/>
      <c r="CH80" s="2215"/>
      <c r="CI80" s="2230"/>
      <c r="CJ80" s="2214"/>
      <c r="CK80" s="2214"/>
      <c r="CL80" s="2214"/>
      <c r="CM80" s="2214"/>
      <c r="CN80" s="2214"/>
      <c r="CO80" s="2214"/>
      <c r="CP80" s="2215"/>
      <c r="CQ80" s="2230"/>
      <c r="CR80" s="2214"/>
      <c r="CS80" s="2214"/>
      <c r="CT80" s="2214"/>
      <c r="CU80" s="2214"/>
      <c r="CV80" s="2214"/>
      <c r="CW80" s="2214"/>
      <c r="CX80" s="2215"/>
      <c r="CY80" s="2230"/>
      <c r="CZ80" s="2214"/>
      <c r="DA80" s="2214"/>
      <c r="DB80" s="2214"/>
      <c r="DC80" s="2214"/>
      <c r="DD80" s="2214"/>
      <c r="DE80" s="2214"/>
      <c r="DF80" s="2214"/>
      <c r="DG80" s="100"/>
      <c r="DH80" s="976"/>
      <c r="DI80" s="958"/>
      <c r="DJ80" s="958"/>
      <c r="DK80" s="958"/>
      <c r="DL80" s="910"/>
      <c r="DM80" s="910"/>
      <c r="DN80" s="910"/>
      <c r="DO80" s="910"/>
      <c r="DP80" s="910"/>
      <c r="DQ80" s="910"/>
      <c r="DR80" s="910"/>
      <c r="DS80" s="910"/>
      <c r="DT80" s="910"/>
      <c r="DU80" s="910"/>
      <c r="DV80" s="910"/>
      <c r="DW80" s="910"/>
      <c r="DX80" s="910"/>
      <c r="DY80" s="910"/>
      <c r="DZ80" s="910"/>
      <c r="EA80" s="910"/>
      <c r="EB80" s="910"/>
      <c r="EC80" s="910"/>
      <c r="ED80" s="910"/>
      <c r="EE80" s="910"/>
      <c r="EF80" s="910"/>
      <c r="EG80" s="910"/>
      <c r="EH80" s="910"/>
      <c r="EI80" s="910"/>
      <c r="EJ80" s="910"/>
      <c r="EK80" s="910"/>
      <c r="EL80" s="910"/>
      <c r="EM80" s="910"/>
      <c r="EN80" s="910"/>
      <c r="EO80" s="910"/>
      <c r="EP80" s="910"/>
      <c r="EQ80" s="910"/>
      <c r="ER80" s="910"/>
      <c r="ES80" s="910"/>
      <c r="ET80" s="910"/>
      <c r="EU80" s="910"/>
      <c r="EV80" s="910"/>
      <c r="EW80" s="910"/>
      <c r="EX80" s="910"/>
      <c r="EY80" s="910"/>
      <c r="EZ80" s="910"/>
      <c r="FA80" s="910"/>
      <c r="FB80" s="910"/>
      <c r="FC80" s="910"/>
      <c r="FD80" s="910"/>
      <c r="FE80" s="910"/>
      <c r="FF80" s="910"/>
      <c r="FG80" s="910"/>
      <c r="FH80" s="910"/>
      <c r="FI80" s="910"/>
      <c r="FJ80" s="910"/>
      <c r="FK80" s="910"/>
    </row>
    <row r="81" spans="1:169" ht="9" customHeight="1" thickTop="1">
      <c r="A81" s="910"/>
      <c r="B81" s="910"/>
      <c r="K81" s="910"/>
      <c r="L81" s="93"/>
      <c r="M81" s="2179" t="s">
        <v>6142</v>
      </c>
      <c r="N81" s="2179"/>
      <c r="O81" s="2179"/>
      <c r="P81" s="2179"/>
      <c r="Q81" s="2179"/>
      <c r="R81" s="2179"/>
      <c r="S81" s="592"/>
      <c r="T81" s="1117">
        <v>1</v>
      </c>
      <c r="U81" s="1117">
        <f>T81+1</f>
        <v>2</v>
      </c>
      <c r="V81" s="1117">
        <f>U81+1</f>
        <v>3</v>
      </c>
      <c r="W81" s="1117">
        <f>V81+1</f>
        <v>4</v>
      </c>
      <c r="X81" s="1117">
        <f>W81+1</f>
        <v>5</v>
      </c>
      <c r="Y81" s="1117" t="s">
        <v>3816</v>
      </c>
      <c r="Z81" s="1117">
        <f>X81+1</f>
        <v>6</v>
      </c>
      <c r="AA81" s="1117">
        <f>Z81+1</f>
        <v>7</v>
      </c>
      <c r="AB81" s="1117">
        <f>AA81+1</f>
        <v>8</v>
      </c>
      <c r="AC81" s="1117">
        <f>AB81+1</f>
        <v>9</v>
      </c>
      <c r="AD81" s="1117">
        <f>AC81+1</f>
        <v>10</v>
      </c>
      <c r="AE81" s="1117" t="s">
        <v>3816</v>
      </c>
      <c r="AF81" s="1117">
        <f>AD81+1</f>
        <v>11</v>
      </c>
      <c r="AG81" s="1117">
        <f>AF81+1</f>
        <v>12</v>
      </c>
      <c r="AH81" s="1117">
        <f>AG81+1</f>
        <v>13</v>
      </c>
      <c r="AI81" s="1117">
        <f>AH81+1</f>
        <v>14</v>
      </c>
      <c r="AJ81" s="1117">
        <f>AI81+1</f>
        <v>15</v>
      </c>
      <c r="AK81" s="1117" t="s">
        <v>3816</v>
      </c>
      <c r="AL81" s="1117">
        <f>AJ81+1</f>
        <v>16</v>
      </c>
      <c r="AM81" s="1117">
        <f>AL81+1</f>
        <v>17</v>
      </c>
      <c r="AN81" s="1117">
        <f>AM81+1</f>
        <v>18</v>
      </c>
      <c r="AO81" s="1117">
        <f>AN81+1</f>
        <v>19</v>
      </c>
      <c r="AP81" s="1117">
        <f>AO81+1</f>
        <v>20</v>
      </c>
      <c r="AQ81" s="1117" t="s">
        <v>3816</v>
      </c>
      <c r="AR81" s="1117">
        <f>AP81+1</f>
        <v>21</v>
      </c>
      <c r="AS81" s="1117">
        <f>AR81+1</f>
        <v>22</v>
      </c>
      <c r="AT81" s="1117">
        <f>AS81+1</f>
        <v>23</v>
      </c>
      <c r="AU81" s="1117">
        <f>AT81+1</f>
        <v>24</v>
      </c>
      <c r="AV81" s="1117">
        <f>AU81+1</f>
        <v>25</v>
      </c>
      <c r="AW81" s="1117"/>
      <c r="AX81" s="297"/>
      <c r="AY81" s="1116"/>
      <c r="AZ81" s="910"/>
      <c r="BA81" s="102"/>
      <c r="BB81" s="2206" t="s">
        <v>4096</v>
      </c>
      <c r="BC81" s="2206"/>
      <c r="BD81" s="2206"/>
      <c r="BE81" s="2206"/>
      <c r="BF81" s="2206"/>
      <c r="BG81" s="2206"/>
      <c r="BH81" s="2206"/>
      <c r="BI81" s="2206"/>
      <c r="BJ81" s="2206"/>
      <c r="BK81" s="2206"/>
      <c r="BL81" s="2206"/>
      <c r="BM81" s="2206"/>
      <c r="BN81" s="2206"/>
      <c r="BO81" s="2206"/>
      <c r="BP81" s="910"/>
      <c r="BQ81" s="910"/>
      <c r="BR81" s="102"/>
      <c r="BS81" s="2219" t="str">
        <f>IF(CA81&lt;&gt;"",IF(AND(INDEX(WeaponTable,MATCH(Weapons!O$11,WeaponList,0),5)&lt;&gt;"heavy",Feats!$M$361&gt;0),2,""),"")</f>
        <v/>
      </c>
      <c r="BT81" s="2219"/>
      <c r="BU81" s="2219"/>
      <c r="BV81" s="2219"/>
      <c r="BW81" s="2219"/>
      <c r="BX81" s="2219"/>
      <c r="BY81" s="2219"/>
      <c r="BZ81" s="2220"/>
      <c r="CA81" s="2225" t="str">
        <f>IF(AND(AQ49="Ranged",J49&lt;&gt;""),IF(Feats!$M$233&gt;0,1,0),"")</f>
        <v/>
      </c>
      <c r="CB81" s="2219"/>
      <c r="CC81" s="2219"/>
      <c r="CD81" s="2219"/>
      <c r="CE81" s="2219"/>
      <c r="CF81" s="2219"/>
      <c r="CG81" s="2219"/>
      <c r="CH81" s="2220"/>
      <c r="CI81" s="2219" t="str">
        <f>IF(AND(AQ49="Ranged",J51&lt;&gt;""),IF(OR(Weapons!O$27="Accurate",COUNTIF(Weapons!O$56:O$60,"Rangefinder")&gt;0),0,IF(Feats!$M$107&gt;0,0,-2)),"")</f>
        <v/>
      </c>
      <c r="CJ81" s="2219"/>
      <c r="CK81" s="2219"/>
      <c r="CL81" s="2219"/>
      <c r="CM81" s="2219"/>
      <c r="CN81" s="2219"/>
      <c r="CO81" s="2219"/>
      <c r="CP81" s="2220"/>
      <c r="CQ81" s="2225" t="str">
        <f>IF(AND(AQ49="Ranged",J51&lt;&gt;""),IF(Feats!$M$107&gt;0,-2,-5),"")</f>
        <v/>
      </c>
      <c r="CR81" s="2219"/>
      <c r="CS81" s="2219"/>
      <c r="CT81" s="2219"/>
      <c r="CU81" s="2219"/>
      <c r="CV81" s="2219"/>
      <c r="CW81" s="2219"/>
      <c r="CX81" s="2220"/>
      <c r="CY81" s="2231" t="str">
        <f>IF(AND(AQ49="Ranged",J51&lt;&gt;""),IF(Weapons!O$27="Inaccurate","N/A",IF(Feats!$M$107&gt;0,-5,-10)),"")</f>
        <v/>
      </c>
      <c r="CZ81" s="2232"/>
      <c r="DA81" s="2232"/>
      <c r="DB81" s="2232"/>
      <c r="DC81" s="2232"/>
      <c r="DD81" s="2232"/>
      <c r="DE81" s="2232"/>
      <c r="DF81" s="2232"/>
      <c r="DG81" s="100"/>
      <c r="DH81" s="976"/>
      <c r="DI81" s="958"/>
      <c r="DJ81" s="958"/>
      <c r="DK81" s="958"/>
      <c r="DL81" s="910"/>
      <c r="DM81" s="910"/>
      <c r="DN81" s="910"/>
      <c r="DO81" s="910"/>
      <c r="DP81" s="910"/>
      <c r="DQ81" s="910"/>
      <c r="DR81" s="910"/>
      <c r="DS81" s="910"/>
      <c r="DT81" s="910"/>
      <c r="DU81" s="910"/>
      <c r="DV81" s="910"/>
      <c r="DW81" s="910"/>
      <c r="DX81" s="910"/>
      <c r="DY81" s="910"/>
      <c r="DZ81" s="910"/>
      <c r="EA81" s="910"/>
      <c r="EB81" s="910"/>
      <c r="EC81" s="910"/>
      <c r="ED81" s="910"/>
      <c r="EE81" s="910"/>
      <c r="EF81" s="910"/>
      <c r="EG81" s="910"/>
      <c r="EH81" s="910"/>
      <c r="EI81" s="910"/>
      <c r="EJ81" s="910"/>
      <c r="EK81" s="910"/>
      <c r="EL81" s="910"/>
      <c r="EM81" s="910"/>
      <c r="EN81" s="910"/>
      <c r="EO81" s="910"/>
      <c r="EP81" s="910"/>
      <c r="EQ81" s="910"/>
      <c r="ER81" s="910"/>
      <c r="ES81" s="910"/>
      <c r="ET81" s="910"/>
      <c r="EU81" s="910"/>
      <c r="EV81" s="910"/>
      <c r="EW81" s="910"/>
      <c r="EX81" s="910"/>
      <c r="EY81" s="910"/>
      <c r="EZ81" s="910"/>
      <c r="FA81" s="910"/>
      <c r="FB81" s="910"/>
      <c r="FC81" s="910"/>
      <c r="FD81" s="910"/>
      <c r="FE81" s="910"/>
      <c r="FF81" s="910"/>
      <c r="FG81" s="910"/>
      <c r="FH81" s="910"/>
      <c r="FI81" s="910"/>
      <c r="FJ81" s="910"/>
      <c r="FK81" s="910"/>
    </row>
    <row r="82" spans="1:169" ht="9" customHeight="1">
      <c r="A82" s="910"/>
      <c r="B82" s="910"/>
      <c r="K82" s="910"/>
      <c r="L82" s="102"/>
      <c r="M82" s="2180"/>
      <c r="N82" s="2180"/>
      <c r="O82" s="2180"/>
      <c r="P82" s="2180"/>
      <c r="Q82" s="2180"/>
      <c r="R82" s="2180"/>
      <c r="S82" s="3"/>
      <c r="T82" s="657"/>
      <c r="U82" s="657"/>
      <c r="V82" s="1105"/>
      <c r="W82" s="1105"/>
      <c r="X82" s="1105"/>
      <c r="Y82" s="1105"/>
      <c r="Z82" s="712"/>
      <c r="AA82" s="712"/>
      <c r="AB82" s="595"/>
      <c r="AC82" s="595"/>
      <c r="AD82" s="595"/>
      <c r="AE82" s="595"/>
      <c r="AF82" s="595"/>
      <c r="AG82" s="595"/>
      <c r="AH82" s="595"/>
      <c r="AI82" s="595"/>
      <c r="AJ82" s="595"/>
      <c r="AK82" s="595"/>
      <c r="AL82" s="595"/>
      <c r="AM82" s="595"/>
      <c r="AN82" s="595"/>
      <c r="AO82" s="595"/>
      <c r="AP82" s="595"/>
      <c r="AQ82" s="595"/>
      <c r="AR82" s="595"/>
      <c r="AS82" s="595"/>
      <c r="AT82" s="595"/>
      <c r="AU82" s="595"/>
      <c r="AV82" s="595"/>
      <c r="AW82" s="595"/>
      <c r="AX82" s="300"/>
      <c r="AY82" s="595"/>
      <c r="AZ82" s="910"/>
      <c r="BA82" s="102"/>
      <c r="BB82" s="2206"/>
      <c r="BC82" s="2206"/>
      <c r="BD82" s="2206"/>
      <c r="BE82" s="2206"/>
      <c r="BF82" s="2206"/>
      <c r="BG82" s="2206"/>
      <c r="BH82" s="2206"/>
      <c r="BI82" s="2206"/>
      <c r="BJ82" s="2206"/>
      <c r="BK82" s="2206"/>
      <c r="BL82" s="2206"/>
      <c r="BM82" s="2206"/>
      <c r="BN82" s="2206"/>
      <c r="BO82" s="2206"/>
      <c r="BP82" s="910"/>
      <c r="BQ82" s="910"/>
      <c r="BR82" s="102"/>
      <c r="BS82" s="2221"/>
      <c r="BT82" s="2221"/>
      <c r="BU82" s="2221"/>
      <c r="BV82" s="2221"/>
      <c r="BW82" s="2221"/>
      <c r="BX82" s="2221"/>
      <c r="BY82" s="2221"/>
      <c r="BZ82" s="2222"/>
      <c r="CA82" s="2228"/>
      <c r="CB82" s="2221"/>
      <c r="CC82" s="2221"/>
      <c r="CD82" s="2221"/>
      <c r="CE82" s="2221"/>
      <c r="CF82" s="2221"/>
      <c r="CG82" s="2221"/>
      <c r="CH82" s="2222"/>
      <c r="CI82" s="2221"/>
      <c r="CJ82" s="2221"/>
      <c r="CK82" s="2221"/>
      <c r="CL82" s="2221"/>
      <c r="CM82" s="2221"/>
      <c r="CN82" s="2221"/>
      <c r="CO82" s="2221"/>
      <c r="CP82" s="2222"/>
      <c r="CQ82" s="2228"/>
      <c r="CR82" s="2221"/>
      <c r="CS82" s="2221"/>
      <c r="CT82" s="2221"/>
      <c r="CU82" s="2221"/>
      <c r="CV82" s="2221"/>
      <c r="CW82" s="2221"/>
      <c r="CX82" s="2222"/>
      <c r="CY82" s="2233"/>
      <c r="CZ82" s="2234"/>
      <c r="DA82" s="2234"/>
      <c r="DB82" s="2234"/>
      <c r="DC82" s="2234"/>
      <c r="DD82" s="2234"/>
      <c r="DE82" s="2234"/>
      <c r="DF82" s="2234"/>
      <c r="DG82" s="100"/>
      <c r="DH82" s="976"/>
      <c r="DI82" s="958"/>
      <c r="DJ82" s="958"/>
      <c r="DK82" s="958"/>
      <c r="DL82" s="910"/>
      <c r="DM82" s="910"/>
      <c r="DN82" s="910"/>
      <c r="DO82" s="910"/>
      <c r="DP82" s="910"/>
      <c r="DQ82" s="910"/>
      <c r="DR82" s="910"/>
      <c r="DS82" s="910"/>
      <c r="DT82" s="910"/>
      <c r="DU82" s="910"/>
      <c r="DV82" s="910"/>
      <c r="DW82" s="910"/>
      <c r="DX82" s="910"/>
      <c r="DY82" s="910"/>
      <c r="DZ82" s="910"/>
      <c r="EA82" s="910"/>
      <c r="EB82" s="910"/>
      <c r="EC82" s="910"/>
      <c r="ED82" s="910"/>
      <c r="EE82" s="910"/>
      <c r="EF82" s="910"/>
      <c r="EG82" s="910"/>
      <c r="EH82" s="910"/>
      <c r="EI82" s="910"/>
      <c r="EJ82" s="910"/>
      <c r="EK82" s="910"/>
      <c r="EL82" s="910"/>
      <c r="EM82" s="910"/>
      <c r="EN82" s="910"/>
      <c r="EO82" s="910"/>
      <c r="EP82" s="910"/>
      <c r="EQ82" s="910"/>
      <c r="ER82" s="910"/>
      <c r="ES82" s="910"/>
      <c r="ET82" s="910"/>
      <c r="EU82" s="910"/>
      <c r="EV82" s="910"/>
      <c r="EW82" s="910"/>
      <c r="EX82" s="910"/>
      <c r="EY82" s="910"/>
      <c r="EZ82" s="910"/>
      <c r="FA82" s="910"/>
      <c r="FB82" s="910"/>
      <c r="FC82" s="910"/>
      <c r="FD82" s="910"/>
      <c r="FE82" s="910"/>
      <c r="FF82" s="910"/>
      <c r="FG82" s="910"/>
      <c r="FH82" s="910"/>
      <c r="FI82" s="910"/>
      <c r="FJ82" s="910"/>
      <c r="FK82" s="910"/>
    </row>
    <row r="83" spans="1:169" ht="9" customHeight="1">
      <c r="A83" s="910"/>
      <c r="B83" s="910"/>
      <c r="K83" s="910"/>
      <c r="L83" s="102"/>
      <c r="M83" s="105"/>
      <c r="N83" s="105"/>
      <c r="O83" s="105"/>
      <c r="P83" s="105"/>
      <c r="Q83" s="657"/>
      <c r="R83" s="657"/>
      <c r="S83" s="3"/>
      <c r="T83" s="1105"/>
      <c r="U83" s="657"/>
      <c r="V83" s="657"/>
      <c r="W83" s="657"/>
      <c r="X83" s="657"/>
      <c r="Y83" s="657"/>
      <c r="Z83" s="657"/>
      <c r="AA83" s="657"/>
      <c r="AB83" s="657"/>
      <c r="AC83" s="657"/>
      <c r="AD83" s="657"/>
      <c r="AE83" s="657"/>
      <c r="AF83" s="657"/>
      <c r="AG83" s="657"/>
      <c r="AH83" s="657"/>
      <c r="AI83" s="657"/>
      <c r="AJ83" s="657"/>
      <c r="AK83" s="657"/>
      <c r="AL83" s="657"/>
      <c r="AM83" s="657"/>
      <c r="AN83" s="657"/>
      <c r="AO83" s="596"/>
      <c r="AP83" s="3"/>
      <c r="AQ83" s="3"/>
      <c r="AR83" s="3"/>
      <c r="AS83" s="3"/>
      <c r="AT83" s="3"/>
      <c r="AU83" s="3"/>
      <c r="AV83" s="3"/>
      <c r="AW83" s="3"/>
      <c r="AX83" s="103"/>
      <c r="AY83" s="910"/>
      <c r="AZ83" s="910"/>
      <c r="BA83" s="102"/>
      <c r="BB83" s="2206"/>
      <c r="BC83" s="2206"/>
      <c r="BD83" s="2206"/>
      <c r="BE83" s="2206"/>
      <c r="BF83" s="2206"/>
      <c r="BG83" s="2206"/>
      <c r="BH83" s="2206"/>
      <c r="BI83" s="2206"/>
      <c r="BJ83" s="2206"/>
      <c r="BK83" s="2206"/>
      <c r="BL83" s="2206"/>
      <c r="BM83" s="2206"/>
      <c r="BN83" s="2206"/>
      <c r="BO83" s="2206"/>
      <c r="BP83" s="910"/>
      <c r="BQ83" s="910"/>
      <c r="BR83" s="102"/>
      <c r="BS83" s="2198"/>
      <c r="BT83" s="2198"/>
      <c r="BU83" s="2198"/>
      <c r="BV83" s="2198"/>
      <c r="BW83" s="2198"/>
      <c r="BX83" s="2198"/>
      <c r="BY83" s="2198"/>
      <c r="BZ83" s="2199"/>
      <c r="CA83" s="2197"/>
      <c r="CB83" s="2198"/>
      <c r="CC83" s="2198"/>
      <c r="CD83" s="2198"/>
      <c r="CE83" s="2198"/>
      <c r="CF83" s="2198"/>
      <c r="CG83" s="2198"/>
      <c r="CH83" s="2199"/>
      <c r="CI83" s="2198"/>
      <c r="CJ83" s="2198"/>
      <c r="CK83" s="2198"/>
      <c r="CL83" s="2198"/>
      <c r="CM83" s="2198"/>
      <c r="CN83" s="2198"/>
      <c r="CO83" s="2198"/>
      <c r="CP83" s="2199"/>
      <c r="CQ83" s="2197"/>
      <c r="CR83" s="2198"/>
      <c r="CS83" s="2198"/>
      <c r="CT83" s="2198"/>
      <c r="CU83" s="2198"/>
      <c r="CV83" s="2198"/>
      <c r="CW83" s="2198"/>
      <c r="CX83" s="2199"/>
      <c r="CY83" s="2235"/>
      <c r="CZ83" s="2236"/>
      <c r="DA83" s="2236"/>
      <c r="DB83" s="2236"/>
      <c r="DC83" s="2236"/>
      <c r="DD83" s="2236"/>
      <c r="DE83" s="2236"/>
      <c r="DF83" s="2236"/>
      <c r="DG83" s="100"/>
      <c r="DH83" s="976"/>
      <c r="DI83" s="958"/>
      <c r="DJ83" s="958"/>
      <c r="DK83" s="958"/>
      <c r="DL83" s="910"/>
      <c r="DM83" s="910"/>
      <c r="DN83" s="910"/>
      <c r="DO83" s="910"/>
      <c r="DP83" s="910"/>
      <c r="DQ83" s="910"/>
      <c r="DR83" s="910"/>
      <c r="DS83" s="910"/>
      <c r="DT83" s="910"/>
      <c r="DU83" s="910"/>
      <c r="DV83" s="910"/>
      <c r="DW83" s="910"/>
      <c r="DX83" s="910"/>
      <c r="DY83" s="910"/>
      <c r="DZ83" s="910"/>
      <c r="EA83" s="910"/>
      <c r="EB83" s="910"/>
      <c r="EC83" s="910"/>
      <c r="ED83" s="910"/>
      <c r="EE83" s="910"/>
      <c r="EF83" s="910"/>
      <c r="EG83" s="910"/>
      <c r="EH83" s="910"/>
      <c r="EI83" s="910"/>
      <c r="EJ83" s="910"/>
      <c r="EK83" s="910"/>
      <c r="EL83" s="910"/>
      <c r="EM83" s="910"/>
      <c r="EN83" s="910"/>
      <c r="EO83" s="910"/>
      <c r="EP83" s="910"/>
      <c r="EQ83" s="910"/>
      <c r="ER83" s="910"/>
      <c r="ES83" s="910"/>
      <c r="ET83" s="910"/>
      <c r="EU83" s="910"/>
      <c r="EV83" s="910"/>
      <c r="EW83" s="910"/>
      <c r="EX83" s="910"/>
      <c r="EY83" s="910"/>
      <c r="EZ83" s="910"/>
      <c r="FA83" s="910"/>
      <c r="FB83" s="910"/>
      <c r="FC83" s="910"/>
      <c r="FD83" s="910"/>
      <c r="FE83" s="910"/>
      <c r="FF83" s="910"/>
      <c r="FG83" s="910"/>
      <c r="FH83" s="910"/>
      <c r="FI83" s="910"/>
      <c r="FJ83" s="910"/>
      <c r="FK83" s="910"/>
    </row>
    <row r="84" spans="1:169" ht="9" customHeight="1">
      <c r="A84" s="910"/>
      <c r="B84" s="910"/>
      <c r="K84" s="910"/>
      <c r="L84" s="102"/>
      <c r="M84" s="105"/>
      <c r="N84" s="105"/>
      <c r="O84" s="105"/>
      <c r="P84" s="105"/>
      <c r="Q84" s="657"/>
      <c r="R84" s="657"/>
      <c r="S84" s="3"/>
      <c r="T84" s="1105"/>
      <c r="U84" s="657"/>
      <c r="V84" s="657"/>
      <c r="W84" s="657"/>
      <c r="X84" s="657"/>
      <c r="Y84" s="657"/>
      <c r="Z84" s="657"/>
      <c r="AA84" s="657"/>
      <c r="AB84" s="657"/>
      <c r="AC84" s="657"/>
      <c r="AD84" s="657"/>
      <c r="AE84" s="657"/>
      <c r="AF84" s="657"/>
      <c r="AG84" s="657"/>
      <c r="AH84" s="657"/>
      <c r="AI84" s="657"/>
      <c r="AJ84" s="657"/>
      <c r="AK84" s="657"/>
      <c r="AL84" s="657"/>
      <c r="AM84" s="657"/>
      <c r="AN84" s="657"/>
      <c r="AO84" s="596"/>
      <c r="AP84" s="3"/>
      <c r="AQ84" s="3"/>
      <c r="AR84" s="3"/>
      <c r="AS84" s="3"/>
      <c r="AT84" s="3"/>
      <c r="AU84" s="3"/>
      <c r="AV84" s="3"/>
      <c r="AW84" s="3"/>
      <c r="AX84" s="300"/>
      <c r="AY84" s="910"/>
      <c r="AZ84" s="910"/>
      <c r="BA84" s="102"/>
      <c r="BB84" s="2206" t="s">
        <v>3732</v>
      </c>
      <c r="BC84" s="2206"/>
      <c r="BD84" s="2206"/>
      <c r="BE84" s="2206"/>
      <c r="BF84" s="2206"/>
      <c r="BG84" s="2206"/>
      <c r="BH84" s="2206"/>
      <c r="BI84" s="2206"/>
      <c r="BJ84" s="2206"/>
      <c r="BK84" s="2206"/>
      <c r="BL84" s="2206"/>
      <c r="BM84" s="2206"/>
      <c r="BN84" s="2206"/>
      <c r="BO84" s="2206"/>
      <c r="BP84" s="910"/>
      <c r="BQ84" s="910"/>
      <c r="BR84" s="102"/>
      <c r="BS84" s="2210" t="str">
        <f>IF(CA84&lt;&gt;"",IF(AND(INDEX(WeaponTable,MATCH(Weapons!O$11,WeaponList,0),5)&lt;&gt;"heavy",Feats!$M$361&gt;0),"+1d"&amp;Weapons!O$79&amp;"+1",""),"")</f>
        <v/>
      </c>
      <c r="BT84" s="2210"/>
      <c r="BU84" s="2210"/>
      <c r="BV84" s="2210"/>
      <c r="BW84" s="2210"/>
      <c r="BX84" s="2210"/>
      <c r="BY84" s="2210"/>
      <c r="BZ84" s="2211"/>
      <c r="CA84" s="2225" t="str">
        <f>IF(CA81&lt;&gt;"",IF(CA81&lt;&gt;0,CA81,""),"")</f>
        <v/>
      </c>
      <c r="CB84" s="2210"/>
      <c r="CC84" s="2210"/>
      <c r="CD84" s="2210"/>
      <c r="CE84" s="2210"/>
      <c r="CF84" s="2210"/>
      <c r="CG84" s="2210"/>
      <c r="CH84" s="2211"/>
      <c r="CI84" s="2210"/>
      <c r="CJ84" s="2210"/>
      <c r="CK84" s="2210"/>
      <c r="CL84" s="2210"/>
      <c r="CM84" s="2210"/>
      <c r="CN84" s="2210"/>
      <c r="CO84" s="2210"/>
      <c r="CP84" s="2211"/>
      <c r="CQ84" s="2229"/>
      <c r="CR84" s="2210"/>
      <c r="CS84" s="2210"/>
      <c r="CT84" s="2210"/>
      <c r="CU84" s="2210"/>
      <c r="CV84" s="2210"/>
      <c r="CW84" s="2210"/>
      <c r="CX84" s="2211"/>
      <c r="CY84" s="2229"/>
      <c r="CZ84" s="2210"/>
      <c r="DA84" s="2210"/>
      <c r="DB84" s="2210"/>
      <c r="DC84" s="2210"/>
      <c r="DD84" s="2210"/>
      <c r="DE84" s="2210"/>
      <c r="DF84" s="2210"/>
      <c r="DG84" s="100"/>
      <c r="DH84" s="976"/>
      <c r="DI84" s="958"/>
      <c r="DJ84" s="958"/>
      <c r="DK84" s="958"/>
      <c r="DL84" s="910"/>
      <c r="DM84" s="910"/>
      <c r="DN84" s="910"/>
      <c r="DO84" s="910"/>
      <c r="DP84" s="910"/>
      <c r="DQ84" s="910"/>
      <c r="DR84" s="910"/>
      <c r="DS84" s="910"/>
      <c r="DT84" s="910"/>
      <c r="DU84" s="910"/>
      <c r="DV84" s="910"/>
      <c r="DW84" s="910"/>
      <c r="DX84" s="910"/>
      <c r="DY84" s="910"/>
      <c r="DZ84" s="910"/>
      <c r="EA84" s="910"/>
      <c r="EB84" s="910"/>
      <c r="EC84" s="910"/>
      <c r="ED84" s="910"/>
      <c r="EE84" s="910"/>
      <c r="EF84" s="910"/>
      <c r="EG84" s="910"/>
      <c r="EH84" s="910"/>
      <c r="EI84" s="910"/>
      <c r="EJ84" s="910"/>
      <c r="EK84" s="910"/>
      <c r="EL84" s="910"/>
      <c r="EM84" s="910"/>
      <c r="EN84" s="910"/>
      <c r="EO84" s="910"/>
      <c r="EP84" s="910"/>
      <c r="EQ84" s="910"/>
      <c r="ER84" s="910"/>
      <c r="ES84" s="910"/>
      <c r="ET84" s="910"/>
      <c r="EU84" s="910"/>
      <c r="EV84" s="910"/>
      <c r="EW84" s="910"/>
      <c r="EX84" s="910"/>
      <c r="EY84" s="910"/>
      <c r="EZ84" s="910"/>
      <c r="FA84" s="910"/>
      <c r="FB84" s="910"/>
      <c r="FC84" s="910"/>
      <c r="FD84" s="910"/>
      <c r="FE84" s="910"/>
      <c r="FF84" s="910"/>
      <c r="FG84" s="910"/>
      <c r="FH84" s="910"/>
      <c r="FI84" s="910"/>
      <c r="FJ84" s="910"/>
      <c r="FK84" s="910"/>
    </row>
    <row r="85" spans="1:169" ht="9" customHeight="1" thickBot="1">
      <c r="A85" s="910"/>
      <c r="B85" s="910"/>
      <c r="K85" s="910"/>
      <c r="L85" s="102"/>
      <c r="M85" s="3"/>
      <c r="N85" s="3"/>
      <c r="O85" s="3"/>
      <c r="P85" s="3"/>
      <c r="Q85" s="3"/>
      <c r="R85" s="105"/>
      <c r="S85" s="3"/>
      <c r="T85" s="1105"/>
      <c r="U85" s="657"/>
      <c r="V85" s="657"/>
      <c r="W85" s="657"/>
      <c r="X85" s="657"/>
      <c r="Y85" s="657"/>
      <c r="Z85" s="657"/>
      <c r="AA85" s="657"/>
      <c r="AB85" s="657"/>
      <c r="AC85" s="657"/>
      <c r="AD85" s="657"/>
      <c r="AE85" s="657"/>
      <c r="AF85" s="657"/>
      <c r="AG85" s="657"/>
      <c r="AH85" s="657"/>
      <c r="AI85" s="657"/>
      <c r="AJ85" s="657"/>
      <c r="AK85" s="657"/>
      <c r="AL85" s="657"/>
      <c r="AM85" s="657"/>
      <c r="AN85" s="657"/>
      <c r="AO85" s="596"/>
      <c r="AP85" s="3"/>
      <c r="AQ85" s="3"/>
      <c r="AR85" s="3"/>
      <c r="AS85" s="3"/>
      <c r="AT85" s="3"/>
      <c r="AU85" s="3"/>
      <c r="AV85" s="3"/>
      <c r="AW85" s="1118"/>
      <c r="AX85" s="103"/>
      <c r="AY85" s="710"/>
      <c r="AZ85" s="910"/>
      <c r="BA85" s="102"/>
      <c r="BB85" s="2206"/>
      <c r="BC85" s="2206"/>
      <c r="BD85" s="2206"/>
      <c r="BE85" s="2206"/>
      <c r="BF85" s="2206"/>
      <c r="BG85" s="2206"/>
      <c r="BH85" s="2206"/>
      <c r="BI85" s="2206"/>
      <c r="BJ85" s="2206"/>
      <c r="BK85" s="2206"/>
      <c r="BL85" s="2206"/>
      <c r="BM85" s="2206"/>
      <c r="BN85" s="2206"/>
      <c r="BO85" s="2206"/>
      <c r="BP85" s="910"/>
      <c r="BQ85" s="108"/>
      <c r="BR85" s="647"/>
      <c r="BS85" s="2212"/>
      <c r="BT85" s="2212"/>
      <c r="BU85" s="2212"/>
      <c r="BV85" s="2212"/>
      <c r="BW85" s="2212"/>
      <c r="BX85" s="2212"/>
      <c r="BY85" s="2212"/>
      <c r="BZ85" s="2213"/>
      <c r="CA85" s="2226"/>
      <c r="CB85" s="2212"/>
      <c r="CC85" s="2212"/>
      <c r="CD85" s="2212"/>
      <c r="CE85" s="2212"/>
      <c r="CF85" s="2212"/>
      <c r="CG85" s="2212"/>
      <c r="CH85" s="2213"/>
      <c r="CI85" s="2212"/>
      <c r="CJ85" s="2212"/>
      <c r="CK85" s="2212"/>
      <c r="CL85" s="2212"/>
      <c r="CM85" s="2212"/>
      <c r="CN85" s="2212"/>
      <c r="CO85" s="2212"/>
      <c r="CP85" s="2213"/>
      <c r="CQ85" s="2226"/>
      <c r="CR85" s="2212"/>
      <c r="CS85" s="2212"/>
      <c r="CT85" s="2212"/>
      <c r="CU85" s="2212"/>
      <c r="CV85" s="2212"/>
      <c r="CW85" s="2212"/>
      <c r="CX85" s="2213"/>
      <c r="CY85" s="2226"/>
      <c r="CZ85" s="2212"/>
      <c r="DA85" s="2212"/>
      <c r="DB85" s="2212"/>
      <c r="DC85" s="2212"/>
      <c r="DD85" s="2212"/>
      <c r="DE85" s="2212"/>
      <c r="DF85" s="2212"/>
      <c r="DG85" s="100"/>
      <c r="DH85" s="976"/>
      <c r="DI85" s="958"/>
      <c r="DJ85" s="958"/>
      <c r="DK85" s="958"/>
      <c r="DL85" s="910"/>
      <c r="DM85" s="910"/>
      <c r="DN85" s="910"/>
      <c r="DO85" s="910"/>
      <c r="DP85" s="910"/>
      <c r="DQ85" s="910"/>
      <c r="DR85" s="910"/>
      <c r="DS85" s="910"/>
      <c r="DT85" s="910"/>
      <c r="DU85" s="910"/>
      <c r="DV85" s="910"/>
      <c r="DW85" s="910"/>
      <c r="DX85" s="910"/>
      <c r="DY85" s="910"/>
      <c r="DZ85" s="910"/>
      <c r="EA85" s="910"/>
      <c r="EB85" s="910"/>
      <c r="EC85" s="910"/>
      <c r="ED85" s="910"/>
      <c r="EE85" s="910"/>
      <c r="EF85" s="910"/>
      <c r="EG85" s="910"/>
      <c r="EH85" s="910"/>
      <c r="EI85" s="910"/>
      <c r="EJ85" s="910"/>
      <c r="EK85" s="910"/>
      <c r="EL85" s="910"/>
      <c r="EM85" s="910"/>
      <c r="EN85" s="910"/>
      <c r="EO85" s="910"/>
      <c r="EP85" s="910"/>
      <c r="EQ85" s="910"/>
      <c r="ER85" s="910"/>
      <c r="ES85" s="910"/>
      <c r="ET85" s="910"/>
      <c r="EU85" s="910"/>
      <c r="EV85" s="910"/>
      <c r="EW85" s="910"/>
      <c r="EX85" s="910"/>
      <c r="EY85" s="910"/>
      <c r="EZ85" s="910"/>
      <c r="FA85" s="910"/>
      <c r="FB85" s="910"/>
      <c r="FC85" s="910"/>
      <c r="FD85" s="910"/>
      <c r="FE85" s="910"/>
      <c r="FF85" s="910"/>
      <c r="FG85" s="910"/>
      <c r="FH85" s="910"/>
      <c r="FI85" s="910"/>
      <c r="FJ85" s="910"/>
      <c r="FK85" s="910"/>
    </row>
    <row r="86" spans="1:169" ht="9" customHeight="1" thickTop="1" thickBot="1">
      <c r="A86" s="910"/>
      <c r="B86" s="910"/>
      <c r="K86" s="910"/>
      <c r="L86" s="91"/>
      <c r="M86" s="713"/>
      <c r="N86" s="713"/>
      <c r="O86" s="713"/>
      <c r="P86" s="713"/>
      <c r="Q86" s="713"/>
      <c r="R86" s="713"/>
      <c r="S86" s="713"/>
      <c r="T86" s="713"/>
      <c r="U86" s="713"/>
      <c r="V86" s="713"/>
      <c r="W86" s="713"/>
      <c r="X86" s="713"/>
      <c r="Y86" s="713"/>
      <c r="Z86" s="713"/>
      <c r="AA86" s="713"/>
      <c r="AB86" s="713"/>
      <c r="AC86" s="713"/>
      <c r="AD86" s="713"/>
      <c r="AE86" s="713"/>
      <c r="AF86" s="713"/>
      <c r="AG86" s="713"/>
      <c r="AH86" s="713"/>
      <c r="AI86" s="713"/>
      <c r="AJ86" s="713"/>
      <c r="AK86" s="713"/>
      <c r="AL86" s="713"/>
      <c r="AM86" s="713"/>
      <c r="AN86" s="713"/>
      <c r="AO86" s="713"/>
      <c r="AP86" s="713"/>
      <c r="AQ86" s="713"/>
      <c r="AR86" s="713"/>
      <c r="AS86" s="713"/>
      <c r="AT86" s="713"/>
      <c r="AU86" s="713"/>
      <c r="AV86" s="713"/>
      <c r="AW86" s="1119"/>
      <c r="AX86" s="90"/>
      <c r="AY86" s="710"/>
      <c r="AZ86" s="710"/>
      <c r="BA86" s="649"/>
      <c r="BB86" s="2240"/>
      <c r="BC86" s="2240"/>
      <c r="BD86" s="2240"/>
      <c r="BE86" s="2240"/>
      <c r="BF86" s="2240"/>
      <c r="BG86" s="2240"/>
      <c r="BH86" s="2240"/>
      <c r="BI86" s="2240"/>
      <c r="BJ86" s="2240"/>
      <c r="BK86" s="2240"/>
      <c r="BL86" s="2240"/>
      <c r="BM86" s="2240"/>
      <c r="BN86" s="2240"/>
      <c r="BO86" s="2240"/>
      <c r="BP86" s="93"/>
      <c r="BQ86" s="910"/>
      <c r="BR86" s="649"/>
      <c r="BS86" s="2223"/>
      <c r="BT86" s="2223"/>
      <c r="BU86" s="2223"/>
      <c r="BV86" s="2223"/>
      <c r="BW86" s="2223"/>
      <c r="BX86" s="2223"/>
      <c r="BY86" s="2223"/>
      <c r="BZ86" s="2224"/>
      <c r="CA86" s="2227"/>
      <c r="CB86" s="2223"/>
      <c r="CC86" s="2223"/>
      <c r="CD86" s="2223"/>
      <c r="CE86" s="2223"/>
      <c r="CF86" s="2223"/>
      <c r="CG86" s="2223"/>
      <c r="CH86" s="2224"/>
      <c r="CI86" s="2223"/>
      <c r="CJ86" s="2223"/>
      <c r="CK86" s="2223"/>
      <c r="CL86" s="2223"/>
      <c r="CM86" s="2223"/>
      <c r="CN86" s="2223"/>
      <c r="CO86" s="2223"/>
      <c r="CP86" s="2224"/>
      <c r="CQ86" s="2227"/>
      <c r="CR86" s="2223"/>
      <c r="CS86" s="2223"/>
      <c r="CT86" s="2223"/>
      <c r="CU86" s="2223"/>
      <c r="CV86" s="2223"/>
      <c r="CW86" s="2223"/>
      <c r="CX86" s="2224"/>
      <c r="CY86" s="2227"/>
      <c r="CZ86" s="2223"/>
      <c r="DA86" s="2223"/>
      <c r="DB86" s="2223"/>
      <c r="DC86" s="2223"/>
      <c r="DD86" s="2223"/>
      <c r="DE86" s="2223"/>
      <c r="DF86" s="2223"/>
      <c r="DG86" s="93"/>
      <c r="DH86" s="976"/>
      <c r="DI86" s="958"/>
      <c r="DJ86" s="958"/>
      <c r="DK86" s="958"/>
      <c r="DL86" s="910"/>
      <c r="DM86" s="910"/>
      <c r="DN86" s="910"/>
      <c r="DO86" s="910"/>
      <c r="DP86" s="910"/>
      <c r="DQ86" s="910"/>
      <c r="DR86" s="910"/>
      <c r="DS86" s="910"/>
      <c r="DT86" s="910"/>
      <c r="DU86" s="910"/>
      <c r="DV86" s="910"/>
      <c r="DW86" s="910"/>
      <c r="DX86" s="910"/>
      <c r="DY86" s="910"/>
      <c r="DZ86" s="910"/>
      <c r="EA86" s="910"/>
      <c r="EB86" s="910"/>
      <c r="EC86" s="910"/>
      <c r="ED86" s="910"/>
      <c r="EE86" s="910"/>
      <c r="EF86" s="910"/>
      <c r="EG86" s="910"/>
      <c r="EH86" s="910"/>
      <c r="EI86" s="910"/>
      <c r="EJ86" s="910"/>
      <c r="EK86" s="910"/>
      <c r="EL86" s="910"/>
      <c r="EM86" s="910"/>
      <c r="EN86" s="910"/>
      <c r="EO86" s="910"/>
      <c r="EP86" s="910"/>
      <c r="EQ86" s="910"/>
      <c r="ER86" s="910"/>
      <c r="ES86" s="910"/>
      <c r="ET86" s="910"/>
      <c r="EU86" s="910"/>
      <c r="EV86" s="910"/>
      <c r="EW86" s="910"/>
      <c r="EX86" s="910"/>
      <c r="EY86" s="910"/>
      <c r="EZ86" s="910"/>
      <c r="FA86" s="910"/>
      <c r="FB86" s="910"/>
      <c r="FC86" s="910"/>
      <c r="FD86" s="910"/>
      <c r="FE86" s="910"/>
      <c r="FF86" s="910"/>
      <c r="FG86" s="910"/>
      <c r="FH86" s="910"/>
      <c r="FI86" s="910"/>
      <c r="FJ86" s="910"/>
      <c r="FK86" s="910"/>
    </row>
    <row r="87" spans="1:169" ht="9" customHeight="1" thickTop="1">
      <c r="A87" s="910"/>
      <c r="B87" s="910"/>
      <c r="K87" s="910"/>
      <c r="L87" s="910"/>
      <c r="M87" s="910"/>
      <c r="N87" s="910"/>
      <c r="O87" s="910"/>
      <c r="P87" s="910"/>
      <c r="Q87" s="910"/>
      <c r="R87" s="910"/>
      <c r="T87" s="910"/>
      <c r="U87" s="910"/>
      <c r="V87" s="910"/>
      <c r="W87" s="910"/>
      <c r="X87" s="910"/>
      <c r="Y87" s="910"/>
      <c r="Z87" s="910"/>
      <c r="AA87" s="910"/>
      <c r="AB87" s="910"/>
      <c r="AC87" s="910"/>
      <c r="AD87" s="910"/>
      <c r="AE87" s="910"/>
      <c r="AF87" s="910"/>
      <c r="AG87" s="910"/>
      <c r="AH87" s="910"/>
      <c r="AI87" s="910"/>
      <c r="AJ87" s="910"/>
      <c r="AK87" s="910"/>
      <c r="AL87" s="910"/>
      <c r="AM87" s="910"/>
      <c r="AN87" s="910"/>
      <c r="AO87" s="910"/>
      <c r="AP87" s="910"/>
      <c r="AQ87" s="910"/>
      <c r="AR87" s="910"/>
      <c r="AS87" s="910"/>
      <c r="AT87" s="910"/>
      <c r="AU87" s="910"/>
      <c r="AV87" s="910"/>
      <c r="AW87" s="910"/>
      <c r="AX87" s="910"/>
      <c r="AY87" s="910"/>
      <c r="AZ87" s="910"/>
      <c r="BA87" s="910"/>
      <c r="BB87" s="910"/>
      <c r="BC87" s="910"/>
      <c r="BD87" s="910"/>
      <c r="BE87" s="910"/>
      <c r="BF87" s="910"/>
      <c r="BG87" s="910"/>
      <c r="BH87" s="910"/>
      <c r="BI87" s="910"/>
      <c r="BJ87" s="910"/>
      <c r="BK87" s="910"/>
      <c r="BL87" s="910"/>
      <c r="BM87" s="910"/>
      <c r="BN87" s="910"/>
      <c r="BO87" s="910"/>
      <c r="BP87" s="910"/>
      <c r="BQ87" s="910"/>
      <c r="BR87" s="910"/>
      <c r="BS87" s="910"/>
      <c r="BT87" s="910"/>
      <c r="BU87" s="910"/>
      <c r="BV87" s="910"/>
      <c r="BW87" s="910"/>
      <c r="BX87" s="910"/>
      <c r="BY87" s="910"/>
      <c r="BZ87" s="910"/>
      <c r="CA87" s="910"/>
      <c r="CB87" s="910"/>
      <c r="CC87" s="910"/>
      <c r="CD87" s="910"/>
      <c r="CE87" s="910"/>
      <c r="CF87" s="910"/>
      <c r="CG87" s="910"/>
      <c r="CH87" s="910"/>
      <c r="CI87" s="910"/>
      <c r="CJ87" s="910"/>
      <c r="CK87" s="910"/>
      <c r="CL87" s="910"/>
      <c r="CM87" s="910"/>
      <c r="CN87" s="910"/>
      <c r="CO87" s="910"/>
      <c r="CP87" s="910"/>
      <c r="CQ87" s="910"/>
      <c r="CR87" s="910"/>
      <c r="CS87" s="910"/>
      <c r="CT87" s="910"/>
      <c r="CU87" s="910"/>
      <c r="CV87" s="910"/>
      <c r="CW87" s="910"/>
      <c r="CX87" s="910"/>
      <c r="CY87" s="910"/>
      <c r="CZ87" s="910"/>
      <c r="DA87" s="910"/>
      <c r="DB87" s="910"/>
      <c r="DC87" s="910"/>
      <c r="DD87" s="910"/>
      <c r="DE87" s="910"/>
      <c r="DF87" s="910"/>
      <c r="DG87" s="910"/>
      <c r="DI87" s="958"/>
      <c r="DJ87" s="958"/>
      <c r="DK87" s="958"/>
      <c r="DL87" s="910"/>
      <c r="DM87" s="910"/>
      <c r="DN87" s="910"/>
      <c r="DO87" s="910"/>
      <c r="DP87" s="910"/>
      <c r="DQ87" s="910"/>
      <c r="DR87" s="910"/>
      <c r="DS87" s="910"/>
      <c r="DT87" s="910"/>
      <c r="DU87" s="910"/>
      <c r="DV87" s="910"/>
      <c r="DW87" s="910"/>
      <c r="DX87" s="910"/>
      <c r="DY87" s="910"/>
      <c r="DZ87" s="910"/>
      <c r="EA87" s="910"/>
      <c r="EB87" s="910"/>
      <c r="EC87" s="910"/>
      <c r="ED87" s="910"/>
      <c r="EE87" s="910"/>
      <c r="EF87" s="910"/>
      <c r="EG87" s="910"/>
      <c r="EH87" s="910"/>
      <c r="EI87" s="910"/>
      <c r="EJ87" s="910"/>
      <c r="EK87" s="910"/>
      <c r="EL87" s="910"/>
      <c r="EM87" s="910"/>
      <c r="EN87" s="910"/>
      <c r="EO87" s="910"/>
      <c r="EP87" s="910"/>
      <c r="EQ87" s="910"/>
      <c r="ER87" s="910"/>
      <c r="ES87" s="910"/>
      <c r="ET87" s="910"/>
      <c r="EU87" s="910"/>
      <c r="EV87" s="910"/>
      <c r="EW87" s="910"/>
      <c r="EX87" s="910"/>
      <c r="EY87" s="910"/>
      <c r="EZ87" s="910"/>
      <c r="FA87" s="910"/>
      <c r="FB87" s="910"/>
      <c r="FC87" s="910"/>
      <c r="FD87" s="910"/>
      <c r="FE87" s="910"/>
      <c r="FF87" s="910"/>
      <c r="FG87" s="910"/>
      <c r="FH87" s="910"/>
      <c r="FI87" s="910"/>
      <c r="FJ87" s="910"/>
      <c r="FK87" s="910"/>
    </row>
    <row r="88" spans="1:169" ht="9" customHeight="1" thickBot="1">
      <c r="A88" s="910"/>
      <c r="B88" s="910"/>
      <c r="C88" s="910"/>
      <c r="D88" s="942"/>
      <c r="E88" s="942"/>
      <c r="F88" s="942"/>
      <c r="G88" s="942"/>
      <c r="H88" s="942"/>
      <c r="I88" s="942"/>
      <c r="J88" s="942"/>
      <c r="K88" s="942"/>
      <c r="L88" s="942"/>
      <c r="M88" s="942"/>
      <c r="N88" s="942"/>
      <c r="O88" s="942"/>
      <c r="P88" s="942"/>
      <c r="Q88" s="942"/>
      <c r="R88" s="942"/>
      <c r="S88" s="942"/>
      <c r="T88" s="942"/>
      <c r="U88" s="942"/>
      <c r="V88" s="942"/>
      <c r="W88" s="942"/>
      <c r="X88" s="942"/>
      <c r="Y88" s="942"/>
      <c r="Z88" s="942"/>
      <c r="AA88" s="942"/>
      <c r="AB88" s="942"/>
      <c r="AC88" s="942"/>
      <c r="AD88" s="942"/>
      <c r="AE88" s="942"/>
      <c r="AF88" s="942"/>
      <c r="AG88" s="942"/>
      <c r="AH88" s="942"/>
      <c r="AI88" s="942"/>
      <c r="AJ88" s="942"/>
      <c r="AK88" s="942"/>
      <c r="AL88" s="942"/>
      <c r="AM88" s="942"/>
      <c r="AN88" s="942"/>
      <c r="AO88" s="942"/>
      <c r="AP88" s="942"/>
      <c r="AQ88" s="942"/>
      <c r="AR88" s="942"/>
      <c r="AS88" s="942"/>
      <c r="AT88" s="942"/>
      <c r="AU88" s="942"/>
      <c r="AV88" s="942"/>
      <c r="AW88" s="942"/>
      <c r="AX88" s="942"/>
      <c r="AY88" s="942"/>
      <c r="AZ88" s="942"/>
      <c r="BA88" s="942"/>
      <c r="BB88" s="942"/>
      <c r="BC88" s="942"/>
      <c r="BD88" s="942"/>
      <c r="BE88" s="942"/>
      <c r="BF88" s="942"/>
      <c r="BG88" s="942"/>
      <c r="BH88" s="942"/>
      <c r="BI88" s="942"/>
      <c r="BJ88" s="942"/>
      <c r="BK88" s="942"/>
      <c r="BL88" s="942"/>
      <c r="BM88" s="942"/>
      <c r="BN88" s="942"/>
      <c r="BO88" s="942"/>
      <c r="BP88" s="942"/>
      <c r="BQ88" s="942"/>
      <c r="BR88" s="942"/>
      <c r="BS88" s="942"/>
      <c r="BT88" s="942"/>
      <c r="BU88" s="942"/>
      <c r="BV88" s="942"/>
      <c r="BW88" s="942"/>
      <c r="BX88" s="942"/>
      <c r="BY88" s="942"/>
      <c r="BZ88" s="942"/>
      <c r="CA88" s="942"/>
      <c r="CB88" s="942"/>
      <c r="CC88" s="942"/>
      <c r="CD88" s="942"/>
      <c r="CE88" s="942"/>
      <c r="CF88" s="942"/>
      <c r="CG88" s="942"/>
      <c r="CH88" s="942"/>
      <c r="CI88" s="942"/>
      <c r="CJ88" s="942"/>
      <c r="CK88" s="942"/>
      <c r="CL88" s="942"/>
      <c r="CM88" s="942"/>
      <c r="CN88" s="942"/>
      <c r="CO88" s="942"/>
      <c r="CP88" s="942"/>
      <c r="CQ88" s="942"/>
      <c r="CR88" s="942"/>
      <c r="CS88" s="942"/>
      <c r="CT88" s="942"/>
      <c r="CU88" s="942"/>
      <c r="CV88" s="942"/>
      <c r="CW88" s="942"/>
      <c r="CX88" s="942"/>
      <c r="CY88" s="942"/>
      <c r="CZ88" s="942"/>
      <c r="DA88" s="942"/>
      <c r="DB88" s="942"/>
      <c r="DC88" s="942"/>
      <c r="DD88" s="942"/>
      <c r="DE88" s="942"/>
      <c r="DF88" s="942"/>
      <c r="DG88" s="942"/>
      <c r="DH88" s="978"/>
      <c r="DI88" s="942"/>
      <c r="DJ88" s="942"/>
      <c r="DK88" s="942"/>
      <c r="DL88" s="910"/>
      <c r="DM88" s="910"/>
      <c r="DN88" s="910"/>
      <c r="DO88" s="910"/>
      <c r="DP88" s="910"/>
      <c r="DQ88" s="910"/>
      <c r="DR88" s="910"/>
      <c r="DS88" s="910"/>
      <c r="DT88" s="910"/>
      <c r="DU88" s="910"/>
      <c r="DV88" s="910"/>
      <c r="DW88" s="910"/>
      <c r="DX88" s="910"/>
      <c r="DY88" s="910"/>
      <c r="DZ88" s="910"/>
      <c r="EA88" s="910"/>
      <c r="EB88" s="910"/>
      <c r="EC88" s="910"/>
      <c r="ED88" s="910"/>
      <c r="EE88" s="910"/>
      <c r="EF88" s="910"/>
      <c r="EG88" s="910"/>
      <c r="EH88" s="910"/>
      <c r="EI88" s="910"/>
      <c r="EJ88" s="910"/>
      <c r="EK88" s="910"/>
      <c r="EL88" s="910"/>
      <c r="EM88" s="910"/>
      <c r="EN88" s="910"/>
      <c r="EO88" s="910"/>
      <c r="EP88" s="910"/>
      <c r="EQ88" s="910"/>
      <c r="ER88" s="910"/>
      <c r="ES88" s="910"/>
      <c r="ET88" s="910"/>
      <c r="EU88" s="910"/>
      <c r="EV88" s="910"/>
      <c r="EW88" s="910"/>
      <c r="EX88" s="910"/>
      <c r="EY88" s="910"/>
      <c r="EZ88" s="910"/>
      <c r="FA88" s="910"/>
      <c r="FB88" s="910"/>
      <c r="FC88" s="910"/>
      <c r="FD88" s="910"/>
      <c r="FE88" s="910"/>
      <c r="FF88" s="910"/>
      <c r="FG88" s="910"/>
      <c r="FH88" s="910"/>
      <c r="FI88" s="910"/>
      <c r="FJ88" s="910"/>
      <c r="FK88" s="910"/>
    </row>
    <row r="89" spans="1:169" ht="9" customHeight="1">
      <c r="A89" s="910"/>
      <c r="B89" s="910"/>
      <c r="C89" s="910"/>
      <c r="D89" s="910"/>
      <c r="E89" s="910"/>
      <c r="F89" s="910"/>
      <c r="G89" s="910"/>
      <c r="H89" s="910"/>
      <c r="I89" s="910"/>
      <c r="J89" s="910"/>
      <c r="K89" s="910"/>
      <c r="L89" s="910"/>
      <c r="M89" s="910"/>
      <c r="N89" s="910"/>
      <c r="O89" s="910"/>
      <c r="P89" s="910"/>
      <c r="Q89" s="910"/>
      <c r="R89" s="910"/>
      <c r="S89" s="910"/>
      <c r="T89" s="910"/>
      <c r="U89" s="910"/>
      <c r="V89" s="910"/>
      <c r="W89" s="910"/>
      <c r="X89" s="910"/>
      <c r="Y89" s="910"/>
      <c r="Z89" s="910"/>
      <c r="AA89" s="910"/>
      <c r="AB89" s="910"/>
      <c r="AC89" s="910"/>
      <c r="AD89" s="910"/>
      <c r="AE89" s="910"/>
      <c r="AF89" s="910"/>
      <c r="AG89" s="910"/>
      <c r="AH89" s="910"/>
      <c r="AI89" s="910"/>
      <c r="AJ89" s="910"/>
      <c r="AK89" s="910"/>
      <c r="AL89" s="910"/>
      <c r="AM89" s="910"/>
      <c r="AN89" s="910"/>
      <c r="AO89" s="910"/>
      <c r="AP89" s="910"/>
      <c r="AQ89" s="910"/>
      <c r="AR89" s="910"/>
      <c r="AS89" s="910"/>
      <c r="AT89" s="910"/>
      <c r="AU89" s="910"/>
      <c r="AV89" s="910"/>
      <c r="AW89" s="910"/>
      <c r="AX89" s="910"/>
      <c r="AY89" s="910"/>
      <c r="AZ89" s="910"/>
      <c r="BA89" s="910"/>
      <c r="BB89" s="910"/>
      <c r="BC89" s="910"/>
      <c r="BD89" s="910"/>
      <c r="BE89" s="910"/>
      <c r="BF89" s="910"/>
      <c r="BG89" s="910"/>
      <c r="BH89" s="910"/>
      <c r="BI89" s="910"/>
      <c r="BJ89" s="910"/>
      <c r="BK89" s="910"/>
      <c r="BL89" s="910"/>
      <c r="BM89" s="910"/>
      <c r="BN89" s="910"/>
      <c r="BO89" s="910"/>
      <c r="BP89" s="910"/>
      <c r="BQ89" s="910"/>
      <c r="BR89" s="910"/>
      <c r="BS89" s="910"/>
      <c r="BT89" s="2246">
        <f ca="1">IF(NOT(ISERROR(FIND(INDEX(MultiattackProficiencyTable,MATCH(INDEX(WeaponTable,MATCH(Weapons!Y$11,WeaponList,0),5),MultiattackProficiencyType,0),1),TalentsTakenList,1))),INDEX(MultiattackProficiencyTable,MATCH(INDEX(WeaponTable,MATCH(Weapons!Y$11,WeaponList,0),5),MultiattackProficiencyType,0),2),0)</f>
        <v>0</v>
      </c>
      <c r="BU89" s="2246"/>
      <c r="BV89" s="2246"/>
      <c r="BW89" s="2246"/>
      <c r="BX89" s="910"/>
      <c r="BY89" s="910"/>
      <c r="BZ89" s="910"/>
      <c r="CA89" s="910"/>
      <c r="CB89" s="910"/>
      <c r="CC89" s="910"/>
      <c r="CD89" s="910"/>
      <c r="CE89" s="910"/>
      <c r="CF89" s="910"/>
      <c r="CG89" s="910"/>
      <c r="CH89" s="910"/>
      <c r="CI89" s="910"/>
      <c r="CJ89" s="910"/>
      <c r="CK89" s="910"/>
      <c r="CL89" s="910"/>
      <c r="CM89" s="910"/>
      <c r="CN89" s="910"/>
      <c r="CO89" s="910"/>
      <c r="CP89" s="910"/>
      <c r="CQ89" s="910"/>
      <c r="CR89" s="910"/>
      <c r="CS89" s="910"/>
      <c r="CT89" s="910"/>
      <c r="CU89" s="910"/>
      <c r="CV89" s="910"/>
      <c r="CW89" s="910"/>
      <c r="CX89" s="910"/>
      <c r="CY89" s="910"/>
      <c r="CZ89" s="910"/>
      <c r="DA89" s="910"/>
      <c r="DB89" s="910"/>
      <c r="DC89" s="910"/>
      <c r="DD89" s="910"/>
      <c r="DE89" s="910"/>
      <c r="DF89" s="910"/>
      <c r="DG89" s="910"/>
      <c r="DI89" s="958"/>
      <c r="DJ89" s="958"/>
      <c r="DK89" s="958"/>
      <c r="DL89" s="910"/>
      <c r="DM89" s="910"/>
      <c r="DN89" s="910"/>
      <c r="DO89" s="910"/>
      <c r="DP89" s="910"/>
      <c r="DQ89" s="910"/>
      <c r="DR89" s="910"/>
      <c r="DS89" s="910"/>
      <c r="DT89" s="910"/>
      <c r="DU89" s="910"/>
      <c r="DV89" s="910"/>
      <c r="DW89" s="910"/>
      <c r="DX89" s="910"/>
      <c r="DY89" s="910"/>
      <c r="DZ89" s="910"/>
      <c r="EA89" s="910"/>
      <c r="EB89" s="910"/>
      <c r="EC89" s="910"/>
      <c r="ED89" s="910"/>
      <c r="EE89" s="910"/>
      <c r="EF89" s="910"/>
      <c r="EG89" s="910"/>
      <c r="EH89" s="910"/>
      <c r="EI89" s="910"/>
      <c r="EJ89" s="910"/>
      <c r="EK89" s="910"/>
      <c r="EL89" s="910"/>
      <c r="EM89" s="910"/>
      <c r="EN89" s="910"/>
      <c r="EO89" s="910"/>
      <c r="EP89" s="910"/>
      <c r="EQ89" s="910"/>
      <c r="ER89" s="910"/>
      <c r="ES89" s="910"/>
      <c r="ET89" s="910"/>
      <c r="EU89" s="910"/>
      <c r="EV89" s="910"/>
      <c r="EW89" s="910"/>
      <c r="EX89" s="910"/>
      <c r="EY89" s="910"/>
      <c r="EZ89" s="910"/>
      <c r="FA89" s="910"/>
      <c r="FB89" s="910"/>
      <c r="FC89" s="910"/>
      <c r="FD89" s="910"/>
      <c r="FE89" s="910"/>
      <c r="FF89" s="910"/>
      <c r="FG89" s="910"/>
      <c r="FH89" s="910"/>
      <c r="FI89" s="910"/>
      <c r="FJ89" s="910"/>
      <c r="FK89" s="910"/>
    </row>
    <row r="90" spans="1:169" ht="9" customHeight="1" thickBot="1">
      <c r="A90" s="910"/>
      <c r="B90" s="910"/>
      <c r="C90" s="910"/>
      <c r="D90" s="910"/>
      <c r="E90" s="910"/>
      <c r="F90" s="910"/>
      <c r="G90" s="910"/>
      <c r="H90" s="910"/>
      <c r="I90" s="910"/>
      <c r="J90" s="910"/>
      <c r="K90" s="910"/>
      <c r="L90" s="910"/>
      <c r="M90" s="910"/>
      <c r="N90" s="910"/>
      <c r="O90" s="910"/>
      <c r="P90" s="910"/>
      <c r="Q90" s="910"/>
      <c r="R90" s="910"/>
      <c r="S90" s="910"/>
      <c r="T90" s="910"/>
      <c r="U90" s="910"/>
      <c r="V90" s="910"/>
      <c r="W90" s="910"/>
      <c r="X90" s="910"/>
      <c r="Y90" s="910"/>
      <c r="Z90" s="910"/>
      <c r="AA90" s="910"/>
      <c r="AB90" s="910"/>
      <c r="AC90" s="910"/>
      <c r="AD90" s="910"/>
      <c r="AE90" s="910"/>
      <c r="AF90" s="910"/>
      <c r="AG90" s="910"/>
      <c r="AH90" s="910"/>
      <c r="AI90" s="910"/>
      <c r="AJ90" s="910"/>
      <c r="AK90" s="910"/>
      <c r="AL90" s="910"/>
      <c r="AM90" s="910"/>
      <c r="AN90" s="910"/>
      <c r="AO90" s="910"/>
      <c r="AP90" s="910"/>
      <c r="AQ90" s="910"/>
      <c r="AR90" s="910"/>
      <c r="AS90" s="910"/>
      <c r="AT90" s="910"/>
      <c r="AU90" s="910"/>
      <c r="AV90" s="910"/>
      <c r="AW90" s="910"/>
      <c r="AX90" s="910"/>
      <c r="AY90" s="910"/>
      <c r="AZ90" s="910"/>
      <c r="BA90" s="910"/>
      <c r="BB90" s="910"/>
      <c r="BC90" s="910"/>
      <c r="BD90" s="910"/>
      <c r="BE90" s="910"/>
      <c r="BF90" s="910"/>
      <c r="BG90" s="910"/>
      <c r="BH90" s="910"/>
      <c r="BI90" s="910"/>
      <c r="BJ90" s="910"/>
      <c r="BK90" s="910"/>
      <c r="BL90" s="910"/>
      <c r="BM90" s="910"/>
      <c r="BN90" s="910"/>
      <c r="BO90" s="910"/>
      <c r="BP90" s="910"/>
      <c r="BQ90" s="910"/>
      <c r="BR90" s="910"/>
      <c r="BS90" s="910"/>
      <c r="BT90" s="2181" t="e">
        <f ca="1">MIN(IF(INDEX(WeaponTable,MATCH(Weapons!Y$11,WeaponList,0),4)&lt;&gt;"EWP",BT89,IF(NOT(ISERROR(FIND(Lists!$CC$8,TalentsTakenList,1))),Lists!$CD$8,0))-5,0)</f>
        <v>#N/A</v>
      </c>
      <c r="BU90" s="2181"/>
      <c r="BV90" s="2181"/>
      <c r="BW90" s="2181"/>
      <c r="BX90" s="2181" t="e">
        <f ca="1">MIN(IF(INDEX(WeaponTable,MATCH(Weapons!Y$11,WeaponList,0),4)&lt;&gt;"EWP",BT89,IF(NOT(ISERROR(FIND(Lists!$CC$8,TalentsTakenList,1))),Lists!$CD$8,0))-10,0)</f>
        <v>#N/A</v>
      </c>
      <c r="BY90" s="2181"/>
      <c r="BZ90" s="2181"/>
      <c r="CA90" s="2181"/>
      <c r="CB90" s="910"/>
      <c r="CC90" s="910"/>
      <c r="CD90" s="910"/>
      <c r="CE90" s="910"/>
      <c r="CF90" s="910"/>
      <c r="CG90" s="910"/>
      <c r="CH90" s="910"/>
      <c r="CI90" s="910"/>
      <c r="CJ90" s="910"/>
      <c r="CK90" s="910"/>
      <c r="CL90" s="910"/>
      <c r="CM90" s="910"/>
      <c r="CN90" s="910"/>
      <c r="CO90" s="910"/>
      <c r="CP90" s="910"/>
      <c r="CQ90" s="910"/>
      <c r="CR90" s="910"/>
      <c r="CS90" s="910"/>
      <c r="CT90" s="910"/>
      <c r="CU90" s="910"/>
      <c r="CV90" s="910"/>
      <c r="CW90" s="910"/>
      <c r="CX90" s="910"/>
      <c r="CY90" s="910"/>
      <c r="CZ90" s="910"/>
      <c r="DA90" s="910"/>
      <c r="DB90" s="910"/>
      <c r="DC90" s="910"/>
      <c r="DD90" s="910"/>
      <c r="DE90" s="910"/>
      <c r="DF90" s="910"/>
      <c r="DG90" s="910"/>
      <c r="DI90" s="958"/>
      <c r="DJ90" s="958"/>
      <c r="DK90" s="958"/>
      <c r="DL90" s="910"/>
      <c r="DM90" s="910"/>
      <c r="DN90" s="910"/>
      <c r="DO90" s="910"/>
      <c r="DP90" s="910"/>
      <c r="DQ90" s="910"/>
      <c r="DR90" s="910"/>
      <c r="DS90" s="910"/>
      <c r="DT90" s="910"/>
      <c r="DU90" s="910"/>
      <c r="DV90" s="910"/>
      <c r="DW90" s="910"/>
      <c r="DX90" s="910"/>
      <c r="DY90" s="910"/>
      <c r="DZ90" s="910"/>
      <c r="EA90" s="910"/>
      <c r="EB90" s="910"/>
      <c r="EC90" s="910"/>
      <c r="ED90" s="910"/>
      <c r="EE90" s="910"/>
      <c r="EF90" s="910"/>
      <c r="EG90" s="910"/>
      <c r="EH90" s="910"/>
      <c r="EI90" s="910"/>
      <c r="EJ90" s="910"/>
      <c r="EK90" s="910"/>
      <c r="EL90" s="910"/>
      <c r="EM90" s="910"/>
      <c r="EN90" s="910"/>
      <c r="EO90" s="910"/>
      <c r="EP90" s="910"/>
      <c r="EQ90" s="910"/>
      <c r="ER90" s="910"/>
      <c r="ES90" s="910"/>
      <c r="ET90" s="910"/>
      <c r="EU90" s="910"/>
      <c r="EV90" s="910"/>
      <c r="EW90" s="910"/>
      <c r="EX90" s="910"/>
      <c r="EY90" s="910"/>
      <c r="EZ90" s="910"/>
      <c r="FA90" s="910"/>
      <c r="FB90" s="910"/>
      <c r="FC90" s="910"/>
      <c r="FD90" s="910"/>
      <c r="FE90" s="910"/>
      <c r="FF90" s="910"/>
      <c r="FG90" s="910"/>
      <c r="FH90" s="910"/>
      <c r="FI90" s="910"/>
      <c r="FJ90" s="910"/>
      <c r="FK90" s="910"/>
    </row>
    <row r="91" spans="1:169" ht="9" customHeight="1" thickTop="1" thickBot="1">
      <c r="A91" s="910"/>
      <c r="B91" s="910"/>
      <c r="C91" s="87"/>
      <c r="D91" s="109"/>
      <c r="E91" s="913"/>
      <c r="F91" s="913"/>
      <c r="G91" s="913"/>
      <c r="H91" s="913"/>
      <c r="I91" s="93"/>
      <c r="J91" s="2182" t="s">
        <v>3611</v>
      </c>
      <c r="K91" s="2182"/>
      <c r="L91" s="2182"/>
      <c r="M91" s="2182"/>
      <c r="N91" s="2182"/>
      <c r="O91" s="2182"/>
      <c r="P91" s="2182"/>
      <c r="Q91" s="2182"/>
      <c r="R91" s="113"/>
      <c r="S91" s="87"/>
      <c r="T91" s="910"/>
      <c r="U91" s="910"/>
      <c r="V91" s="87"/>
      <c r="W91" s="87"/>
      <c r="X91" s="87"/>
      <c r="Y91" s="87"/>
      <c r="Z91" s="87"/>
      <c r="AA91" s="87"/>
      <c r="AB91" s="87"/>
      <c r="AC91" s="87"/>
      <c r="AD91" s="87"/>
      <c r="AE91" s="87"/>
      <c r="AF91" s="87"/>
      <c r="AG91" s="87"/>
      <c r="AH91" s="87"/>
      <c r="AI91" s="87"/>
      <c r="AJ91" s="87"/>
      <c r="AK91" s="87"/>
      <c r="AL91" s="87"/>
      <c r="AM91" s="87"/>
      <c r="AN91" s="913"/>
      <c r="AO91" s="913"/>
      <c r="AP91" s="93"/>
      <c r="AQ91" s="2179" t="str">
        <f>Weapons!Y$12</f>
        <v/>
      </c>
      <c r="AR91" s="2179"/>
      <c r="AS91" s="2179"/>
      <c r="AT91" s="2179"/>
      <c r="AU91" s="2179"/>
      <c r="AV91" s="2179"/>
      <c r="AW91" s="2179"/>
      <c r="AX91" s="113"/>
      <c r="AY91" s="145"/>
      <c r="AZ91" s="145"/>
      <c r="BA91" s="145"/>
      <c r="BB91" s="145"/>
      <c r="BC91" s="145"/>
      <c r="BD91" s="145"/>
      <c r="BE91" s="145"/>
      <c r="BF91" s="145"/>
      <c r="BG91" s="145"/>
      <c r="BH91" s="145"/>
      <c r="BI91" s="145"/>
      <c r="BJ91" s="145"/>
      <c r="BK91" s="145"/>
      <c r="BL91" s="913"/>
      <c r="BM91" s="913"/>
      <c r="BN91" s="913"/>
      <c r="BO91" s="93"/>
      <c r="BP91" s="2179" t="s">
        <v>3783</v>
      </c>
      <c r="BQ91" s="2179"/>
      <c r="BR91" s="2179"/>
      <c r="BS91" s="2179"/>
      <c r="BT91" s="2179"/>
      <c r="BU91" s="2179"/>
      <c r="BV91" s="2179"/>
      <c r="BW91" s="113"/>
      <c r="BX91" s="145"/>
      <c r="BY91" s="109"/>
      <c r="BZ91" s="109"/>
      <c r="CA91" s="87"/>
      <c r="CB91" s="913"/>
      <c r="CC91" s="913"/>
      <c r="CD91" s="913"/>
      <c r="CE91" s="93"/>
      <c r="CF91" s="2182" t="s">
        <v>3612</v>
      </c>
      <c r="CG91" s="2208"/>
      <c r="CH91" s="2208"/>
      <c r="CI91" s="2208"/>
      <c r="CJ91" s="2208"/>
      <c r="CK91" s="2208"/>
      <c r="CL91" s="2208"/>
      <c r="CM91" s="2208"/>
      <c r="CN91" s="113"/>
      <c r="CO91" s="87"/>
      <c r="CP91" s="87"/>
      <c r="CQ91" s="87"/>
      <c r="CR91" s="87"/>
      <c r="CS91" s="87"/>
      <c r="CT91" s="87"/>
      <c r="CU91" s="87"/>
      <c r="CV91" s="87"/>
      <c r="CW91" s="87"/>
      <c r="CX91" s="87"/>
      <c r="CY91" s="87"/>
      <c r="CZ91" s="87"/>
      <c r="DA91" s="87"/>
      <c r="DB91" s="87"/>
      <c r="DC91" s="87"/>
      <c r="DD91" s="87"/>
      <c r="DE91" s="87"/>
      <c r="DF91" s="87"/>
      <c r="DG91" s="87"/>
      <c r="DH91" s="969"/>
      <c r="DI91" s="87"/>
      <c r="DJ91" s="87"/>
      <c r="DK91" s="87"/>
      <c r="DL91" s="87"/>
      <c r="DM91" s="910"/>
      <c r="DN91" s="910"/>
      <c r="DO91" s="910"/>
      <c r="DP91" s="910"/>
      <c r="DQ91" s="910"/>
      <c r="DR91" s="910"/>
      <c r="DS91" s="910"/>
      <c r="DT91" s="910"/>
      <c r="DU91" s="910"/>
      <c r="DV91" s="910"/>
      <c r="DW91" s="910"/>
      <c r="DX91" s="910"/>
      <c r="DY91" s="910"/>
      <c r="DZ91" s="910"/>
      <c r="EA91" s="910"/>
      <c r="EB91" s="910"/>
      <c r="EC91" s="910"/>
      <c r="ED91" s="910"/>
      <c r="EE91" s="910"/>
      <c r="EF91" s="910"/>
      <c r="EG91" s="910"/>
      <c r="EH91" s="910"/>
      <c r="EI91" s="910"/>
      <c r="EJ91" s="910"/>
      <c r="EK91" s="910"/>
      <c r="EL91" s="910"/>
      <c r="EM91" s="910"/>
      <c r="EN91" s="910"/>
      <c r="EO91" s="910"/>
      <c r="EP91" s="910"/>
      <c r="EQ91" s="910"/>
      <c r="ER91" s="910"/>
      <c r="ES91" s="910"/>
      <c r="ET91" s="910"/>
      <c r="EU91" s="910"/>
      <c r="EV91" s="910"/>
      <c r="EW91" s="910"/>
      <c r="EX91" s="910"/>
      <c r="EY91" s="910"/>
      <c r="EZ91" s="910"/>
      <c r="FA91" s="910"/>
      <c r="FB91" s="910"/>
      <c r="FC91" s="910"/>
      <c r="FD91" s="910"/>
      <c r="FE91" s="910"/>
      <c r="FF91" s="910"/>
      <c r="FG91" s="910"/>
      <c r="FH91" s="910"/>
      <c r="FI91" s="910"/>
      <c r="FJ91" s="910"/>
      <c r="FK91" s="910"/>
    </row>
    <row r="92" spans="1:169" ht="9" customHeight="1" thickTop="1">
      <c r="A92" s="910"/>
      <c r="B92" s="910"/>
      <c r="C92" s="87"/>
      <c r="D92" s="109"/>
      <c r="E92" s="913"/>
      <c r="F92" s="913"/>
      <c r="G92" s="913"/>
      <c r="H92" s="913"/>
      <c r="I92" s="102"/>
      <c r="J92" s="2180"/>
      <c r="K92" s="2180"/>
      <c r="L92" s="2180"/>
      <c r="M92" s="2180"/>
      <c r="N92" s="2180"/>
      <c r="O92" s="2180"/>
      <c r="P92" s="2180"/>
      <c r="Q92" s="2180"/>
      <c r="R92" s="589"/>
      <c r="S92" s="588"/>
      <c r="T92" s="592"/>
      <c r="U92" s="592"/>
      <c r="V92" s="593"/>
      <c r="W92" s="593"/>
      <c r="X92" s="593"/>
      <c r="Y92" s="588"/>
      <c r="Z92" s="588"/>
      <c r="AA92" s="588"/>
      <c r="AB92" s="588"/>
      <c r="AC92" s="588"/>
      <c r="AD92" s="588"/>
      <c r="AE92" s="588"/>
      <c r="AF92" s="588"/>
      <c r="AG92" s="588"/>
      <c r="AH92" s="588"/>
      <c r="AI92" s="588"/>
      <c r="AJ92" s="588"/>
      <c r="AK92" s="588"/>
      <c r="AL92" s="588"/>
      <c r="AM92" s="113"/>
      <c r="AN92" s="913"/>
      <c r="AO92" s="913"/>
      <c r="AP92" s="102"/>
      <c r="AQ92" s="2180"/>
      <c r="AR92" s="2180"/>
      <c r="AS92" s="2180"/>
      <c r="AT92" s="2180"/>
      <c r="AU92" s="2180"/>
      <c r="AV92" s="2180"/>
      <c r="AW92" s="2180"/>
      <c r="AX92" s="589"/>
      <c r="AY92" s="598"/>
      <c r="AZ92" s="598"/>
      <c r="BA92" s="598"/>
      <c r="BB92" s="598"/>
      <c r="BC92" s="598"/>
      <c r="BD92" s="598"/>
      <c r="BE92" s="598"/>
      <c r="BF92" s="598"/>
      <c r="BG92" s="598"/>
      <c r="BH92" s="598"/>
      <c r="BI92" s="598"/>
      <c r="BJ92" s="598"/>
      <c r="BK92" s="598"/>
      <c r="BL92" s="113"/>
      <c r="BM92" s="913"/>
      <c r="BN92" s="913"/>
      <c r="BO92" s="102"/>
      <c r="BP92" s="2180"/>
      <c r="BQ92" s="2180"/>
      <c r="BR92" s="2180"/>
      <c r="BS92" s="2180"/>
      <c r="BT92" s="2180"/>
      <c r="BU92" s="2180"/>
      <c r="BV92" s="2180"/>
      <c r="BW92" s="589"/>
      <c r="BX92" s="598"/>
      <c r="BY92" s="598"/>
      <c r="BZ92" s="598"/>
      <c r="CA92" s="598"/>
      <c r="CB92" s="113"/>
      <c r="CC92" s="913"/>
      <c r="CD92" s="913"/>
      <c r="CE92" s="102"/>
      <c r="CF92" s="2138"/>
      <c r="CG92" s="2138"/>
      <c r="CH92" s="2138"/>
      <c r="CI92" s="2138"/>
      <c r="CJ92" s="2138"/>
      <c r="CK92" s="2138"/>
      <c r="CL92" s="2138"/>
      <c r="CM92" s="2138"/>
      <c r="CN92" s="589"/>
      <c r="CO92" s="599"/>
      <c r="CP92" s="599"/>
      <c r="CQ92" s="599"/>
      <c r="CR92" s="599"/>
      <c r="CS92" s="599"/>
      <c r="CT92" s="599"/>
      <c r="CU92" s="599"/>
      <c r="CV92" s="599"/>
      <c r="CW92" s="599"/>
      <c r="CX92" s="599"/>
      <c r="CY92" s="599"/>
      <c r="CZ92" s="599"/>
      <c r="DA92" s="599"/>
      <c r="DB92" s="599"/>
      <c r="DC92" s="599"/>
      <c r="DD92" s="599"/>
      <c r="DE92" s="599"/>
      <c r="DF92" s="599"/>
      <c r="DG92" s="113"/>
      <c r="DH92" s="970"/>
      <c r="DI92" s="111"/>
      <c r="DJ92" s="111"/>
      <c r="DK92" s="87"/>
      <c r="DL92" s="87"/>
      <c r="DM92" s="910"/>
      <c r="DN92" s="910"/>
      <c r="DO92" s="910"/>
      <c r="DP92" s="910"/>
      <c r="DQ92" s="910"/>
      <c r="DR92" s="910"/>
      <c r="DS92" s="910"/>
      <c r="DT92" s="910"/>
      <c r="DU92" s="910"/>
      <c r="DV92" s="910"/>
      <c r="DW92" s="910"/>
      <c r="DX92" s="910"/>
      <c r="DY92" s="910"/>
      <c r="DZ92" s="910"/>
      <c r="EA92" s="910"/>
      <c r="EB92" s="910"/>
      <c r="EC92" s="910"/>
      <c r="ED92" s="910"/>
      <c r="EE92" s="910"/>
      <c r="EF92" s="910"/>
      <c r="EG92" s="910"/>
      <c r="EH92" s="910"/>
      <c r="EI92" s="910"/>
      <c r="EJ92" s="910"/>
      <c r="EK92" s="910"/>
      <c r="EL92" s="910"/>
      <c r="EM92" s="910"/>
      <c r="EN92" s="910"/>
      <c r="EO92" s="910"/>
      <c r="EP92" s="910"/>
      <c r="EQ92" s="910"/>
      <c r="ER92" s="910"/>
      <c r="ES92" s="910"/>
      <c r="ET92" s="910"/>
      <c r="EU92" s="910"/>
      <c r="EV92" s="910"/>
      <c r="EW92" s="910"/>
      <c r="EX92" s="910"/>
      <c r="EY92" s="910"/>
      <c r="EZ92" s="910"/>
      <c r="FA92" s="910"/>
      <c r="FB92" s="910"/>
      <c r="FC92" s="910"/>
      <c r="FD92" s="910"/>
      <c r="FE92" s="910"/>
      <c r="FF92" s="910"/>
      <c r="FG92" s="910"/>
      <c r="FH92" s="910"/>
      <c r="FI92" s="910"/>
      <c r="FJ92" s="910"/>
      <c r="FK92" s="910"/>
      <c r="FM92" s="1019" t="e">
        <f ca="1">FM93</f>
        <v>#N/A</v>
      </c>
    </row>
    <row r="93" spans="1:169" ht="9" customHeight="1" thickBot="1">
      <c r="A93" s="910"/>
      <c r="B93" s="910"/>
      <c r="C93" s="87"/>
      <c r="D93" s="87"/>
      <c r="E93" s="111"/>
      <c r="F93" s="111"/>
      <c r="G93" s="122"/>
      <c r="H93" s="290"/>
      <c r="I93" s="102"/>
      <c r="J93" s="1879" t="str">
        <f>Weapons!Y$7</f>
        <v/>
      </c>
      <c r="K93" s="1879"/>
      <c r="L93" s="1879"/>
      <c r="M93" s="1879"/>
      <c r="N93" s="1879"/>
      <c r="O93" s="1879"/>
      <c r="P93" s="1879"/>
      <c r="Q93" s="1879"/>
      <c r="R93" s="1879"/>
      <c r="S93" s="1879"/>
      <c r="T93" s="1879"/>
      <c r="U93" s="1879"/>
      <c r="V93" s="1879"/>
      <c r="W93" s="1879"/>
      <c r="X93" s="1879"/>
      <c r="Y93" s="1879"/>
      <c r="Z93" s="1879"/>
      <c r="AA93" s="1879"/>
      <c r="AB93" s="1879"/>
      <c r="AC93" s="1879"/>
      <c r="AD93" s="1879"/>
      <c r="AE93" s="1879"/>
      <c r="AF93" s="1879"/>
      <c r="AG93" s="1879"/>
      <c r="AH93" s="1879"/>
      <c r="AI93" s="1879"/>
      <c r="AJ93" s="1879"/>
      <c r="AK93" s="1879"/>
      <c r="AL93" s="1879"/>
      <c r="AM93" s="646"/>
      <c r="AN93" s="122"/>
      <c r="AO93" s="290"/>
      <c r="AP93" s="102"/>
      <c r="AQ93" s="2189" t="str">
        <f>IF(Weapons!Y$16&lt;&gt;"",Weapons!Y$16,"")</f>
        <v/>
      </c>
      <c r="AR93" s="2189"/>
      <c r="AS93" s="2189"/>
      <c r="AT93" s="2189"/>
      <c r="AU93" s="2189"/>
      <c r="AV93" s="2189"/>
      <c r="AW93" s="2189"/>
      <c r="AX93" s="2189"/>
      <c r="AY93" s="2189"/>
      <c r="AZ93" s="2189"/>
      <c r="BA93" s="2189"/>
      <c r="BB93" s="2189"/>
      <c r="BC93" s="2189"/>
      <c r="BD93" s="2189"/>
      <c r="BE93" s="2189"/>
      <c r="BF93" s="2189"/>
      <c r="BG93" s="2189"/>
      <c r="BH93" s="2189"/>
      <c r="BI93" s="2189"/>
      <c r="BJ93" s="2189"/>
      <c r="BK93" s="2189"/>
      <c r="BL93" s="100"/>
      <c r="BM93" s="122"/>
      <c r="BN93" s="290"/>
      <c r="BO93" s="102"/>
      <c r="BP93" s="2195" t="str">
        <f>Weapons!Y$8</f>
        <v/>
      </c>
      <c r="BQ93" s="2195"/>
      <c r="BR93" s="2195"/>
      <c r="BS93" s="2195"/>
      <c r="BT93" s="2197" t="str">
        <f>IF(BP93&lt;&gt;"",IF(COUNTIF(FeatsCharacterSheet,BT96)&gt;0,BP93+BT90,""),"")</f>
        <v/>
      </c>
      <c r="BU93" s="2198"/>
      <c r="BV93" s="2198"/>
      <c r="BW93" s="2199"/>
      <c r="BX93" s="2198" t="str">
        <f>IF(BP93&lt;&gt;"",IF(COUNTIF(FeatsCharacterSheet,BX96)&gt;0,BP93+BX90,""),"")</f>
        <v/>
      </c>
      <c r="BY93" s="2198"/>
      <c r="BZ93" s="2198"/>
      <c r="CA93" s="2198"/>
      <c r="CB93" s="100"/>
      <c r="CC93" s="122"/>
      <c r="CD93" s="290"/>
      <c r="CE93" s="102"/>
      <c r="CF93" s="1883"/>
      <c r="CG93" s="1883"/>
      <c r="CH93" s="1883"/>
      <c r="CI93" s="1883"/>
      <c r="CJ93" s="1883"/>
      <c r="CK93" s="1883"/>
      <c r="CL93" s="1883"/>
      <c r="CM93" s="1883"/>
      <c r="CN93" s="1883"/>
      <c r="CO93" s="1924" t="str">
        <f>Weapons!Y$9</f>
        <v/>
      </c>
      <c r="CP93" s="1924"/>
      <c r="CQ93" s="1924"/>
      <c r="CR93" s="1924"/>
      <c r="CS93" s="1924"/>
      <c r="CT93" s="1924"/>
      <c r="CU93" s="1924"/>
      <c r="CV93" s="1924"/>
      <c r="CW93" s="1924"/>
      <c r="CX93" s="1924"/>
      <c r="CY93" s="1924"/>
      <c r="CZ93" s="1924"/>
      <c r="DA93" s="1924"/>
      <c r="DB93" s="1924"/>
      <c r="DC93" s="1924"/>
      <c r="DD93" s="1924"/>
      <c r="DE93" s="1924"/>
      <c r="DF93" s="1924"/>
      <c r="DG93" s="656"/>
      <c r="DH93" s="971"/>
      <c r="DI93" s="122"/>
      <c r="DJ93" s="118"/>
      <c r="DK93" s="109"/>
      <c r="DL93" s="109"/>
      <c r="DM93" s="910"/>
      <c r="DN93" s="910"/>
      <c r="DO93" s="910"/>
      <c r="DP93" s="910"/>
      <c r="DQ93" s="910"/>
      <c r="DR93" s="910"/>
      <c r="DS93" s="910"/>
      <c r="DT93" s="910"/>
      <c r="DU93" s="910"/>
      <c r="DV93" s="910"/>
      <c r="DW93" s="910"/>
      <c r="DX93" s="910"/>
      <c r="DY93" s="910"/>
      <c r="DZ93" s="910"/>
      <c r="EA93" s="910"/>
      <c r="EB93" s="910"/>
      <c r="EC93" s="910"/>
      <c r="ED93" s="910"/>
      <c r="EE93" s="910"/>
      <c r="EF93" s="910"/>
      <c r="EG93" s="910"/>
      <c r="EH93" s="910"/>
      <c r="EI93" s="910"/>
      <c r="EJ93" s="910"/>
      <c r="EK93" s="910"/>
      <c r="EL93" s="910"/>
      <c r="EM93" s="910"/>
      <c r="EN93" s="910"/>
      <c r="EO93" s="910"/>
      <c r="EP93" s="910"/>
      <c r="EQ93" s="910"/>
      <c r="ER93" s="910"/>
      <c r="ES93" s="910"/>
      <c r="ET93" s="910"/>
      <c r="EU93" s="910"/>
      <c r="EV93" s="910"/>
      <c r="EW93" s="910"/>
      <c r="EX93" s="910"/>
      <c r="EY93" s="910"/>
      <c r="EZ93" s="910"/>
      <c r="FA93" s="910"/>
      <c r="FB93" s="910"/>
      <c r="FC93" s="910"/>
      <c r="FD93" s="910"/>
      <c r="FE93" s="910"/>
      <c r="FF93" s="910"/>
      <c r="FG93" s="910"/>
      <c r="FH93" s="910"/>
      <c r="FI93" s="910"/>
      <c r="FJ93" s="910"/>
      <c r="FK93" s="910"/>
      <c r="FL93" s="1020" t="e">
        <f ca="1">AQ91&amp;" "&amp;LOWER(J93)&amp;" "&amp;IF(BP93&lt;0,"","+")&amp;BP93&amp;" ("&amp;CO93&amp;IF(Weapons!Y$82&lt;&gt;"20","/"&amp;Weapons!Y$82,"")&amp;IF(Weapons!Y$83&lt;&gt;2,"/×"&amp;Weapons!Y$83,"")&amp;")"</f>
        <v>#N/A</v>
      </c>
      <c r="FM93" s="1019" t="e">
        <f ca="1">IF(FL93&lt;&gt;"",FL93&amp;IF(FM94&lt;&gt;"","
"&amp;FM94,""),FM94)</f>
        <v>#N/A</v>
      </c>
    </row>
    <row r="94" spans="1:169" ht="9" customHeight="1" thickTop="1">
      <c r="A94" s="910"/>
      <c r="B94" s="910"/>
      <c r="C94" s="87"/>
      <c r="D94" s="87"/>
      <c r="E94" s="292"/>
      <c r="F94" s="293"/>
      <c r="G94" s="111"/>
      <c r="H94" s="111"/>
      <c r="I94" s="102"/>
      <c r="J94" s="1879"/>
      <c r="K94" s="1879"/>
      <c r="L94" s="1879"/>
      <c r="M94" s="1879"/>
      <c r="N94" s="1879"/>
      <c r="O94" s="1879"/>
      <c r="P94" s="1879"/>
      <c r="Q94" s="1879"/>
      <c r="R94" s="1879"/>
      <c r="S94" s="1879"/>
      <c r="T94" s="1879"/>
      <c r="U94" s="1879"/>
      <c r="V94" s="1879"/>
      <c r="W94" s="1879"/>
      <c r="X94" s="1879"/>
      <c r="Y94" s="1879"/>
      <c r="Z94" s="1879"/>
      <c r="AA94" s="1879"/>
      <c r="AB94" s="1879"/>
      <c r="AC94" s="1879"/>
      <c r="AD94" s="1879"/>
      <c r="AE94" s="1879"/>
      <c r="AF94" s="1879"/>
      <c r="AG94" s="1879"/>
      <c r="AH94" s="1879"/>
      <c r="AI94" s="1879"/>
      <c r="AJ94" s="1879"/>
      <c r="AK94" s="1879"/>
      <c r="AL94" s="1879"/>
      <c r="AM94" s="646"/>
      <c r="AN94" s="111"/>
      <c r="AO94" s="111"/>
      <c r="AP94" s="647"/>
      <c r="AQ94" s="2189"/>
      <c r="AR94" s="2189"/>
      <c r="AS94" s="2189"/>
      <c r="AT94" s="2189"/>
      <c r="AU94" s="2189"/>
      <c r="AV94" s="2189"/>
      <c r="AW94" s="2189"/>
      <c r="AX94" s="2189"/>
      <c r="AY94" s="2189"/>
      <c r="AZ94" s="2189"/>
      <c r="BA94" s="2189"/>
      <c r="BB94" s="2189"/>
      <c r="BC94" s="2189"/>
      <c r="BD94" s="2189"/>
      <c r="BE94" s="2189"/>
      <c r="BF94" s="2189"/>
      <c r="BG94" s="2189"/>
      <c r="BH94" s="2189"/>
      <c r="BI94" s="2189"/>
      <c r="BJ94" s="2189"/>
      <c r="BK94" s="2189"/>
      <c r="BL94" s="100"/>
      <c r="BM94" s="111"/>
      <c r="BN94" s="111"/>
      <c r="BO94" s="647"/>
      <c r="BP94" s="2195"/>
      <c r="BQ94" s="2195"/>
      <c r="BR94" s="2195"/>
      <c r="BS94" s="2195"/>
      <c r="BT94" s="2200"/>
      <c r="BU94" s="2185"/>
      <c r="BV94" s="2185"/>
      <c r="BW94" s="2201"/>
      <c r="BX94" s="2185"/>
      <c r="BY94" s="2185"/>
      <c r="BZ94" s="2185"/>
      <c r="CA94" s="2185"/>
      <c r="CB94" s="100"/>
      <c r="CC94" s="111"/>
      <c r="CD94" s="111"/>
      <c r="CE94" s="102"/>
      <c r="CF94" s="1883"/>
      <c r="CG94" s="1883"/>
      <c r="CH94" s="1883"/>
      <c r="CI94" s="1883"/>
      <c r="CJ94" s="1883"/>
      <c r="CK94" s="1883"/>
      <c r="CL94" s="1883"/>
      <c r="CM94" s="1883"/>
      <c r="CN94" s="1883"/>
      <c r="CO94" s="1924"/>
      <c r="CP94" s="1924"/>
      <c r="CQ94" s="1924"/>
      <c r="CR94" s="1924"/>
      <c r="CS94" s="1924"/>
      <c r="CT94" s="1924"/>
      <c r="CU94" s="1924"/>
      <c r="CV94" s="1924"/>
      <c r="CW94" s="1924"/>
      <c r="CX94" s="1924"/>
      <c r="CY94" s="1924"/>
      <c r="CZ94" s="1924"/>
      <c r="DA94" s="1924"/>
      <c r="DB94" s="1924"/>
      <c r="DC94" s="1924"/>
      <c r="DD94" s="1924"/>
      <c r="DE94" s="1924"/>
      <c r="DF94" s="1924"/>
      <c r="DG94" s="656"/>
      <c r="DH94" s="970"/>
      <c r="DI94" s="111"/>
      <c r="DJ94" s="256"/>
      <c r="DK94" s="109"/>
      <c r="DL94" s="109"/>
      <c r="DM94" s="910"/>
      <c r="DN94" s="910"/>
      <c r="DO94" s="910"/>
      <c r="DP94" s="910"/>
      <c r="DQ94" s="910"/>
      <c r="DR94" s="910"/>
      <c r="DS94" s="910"/>
      <c r="DT94" s="910"/>
      <c r="DU94" s="910"/>
      <c r="DV94" s="910"/>
      <c r="DW94" s="910"/>
      <c r="DX94" s="910"/>
      <c r="DY94" s="910"/>
      <c r="DZ94" s="910"/>
      <c r="EA94" s="910"/>
      <c r="EB94" s="910"/>
      <c r="EC94" s="910"/>
      <c r="ED94" s="910"/>
      <c r="EE94" s="910"/>
      <c r="EF94" s="910"/>
      <c r="EG94" s="910"/>
      <c r="EH94" s="910"/>
      <c r="EI94" s="910"/>
      <c r="EJ94" s="910"/>
      <c r="EK94" s="910"/>
      <c r="EL94" s="910"/>
      <c r="EM94" s="910"/>
      <c r="EN94" s="910"/>
      <c r="EO94" s="910"/>
      <c r="EP94" s="910"/>
      <c r="EQ94" s="910"/>
      <c r="ER94" s="910"/>
      <c r="ES94" s="910"/>
      <c r="ET94" s="910"/>
      <c r="EU94" s="910"/>
      <c r="EV94" s="910"/>
      <c r="EW94" s="910"/>
      <c r="EX94" s="910"/>
      <c r="EY94" s="910"/>
      <c r="EZ94" s="910"/>
      <c r="FA94" s="910"/>
      <c r="FB94" s="910"/>
      <c r="FC94" s="910"/>
      <c r="FD94" s="910"/>
      <c r="FE94" s="910"/>
      <c r="FF94" s="910"/>
      <c r="FG94" s="910"/>
      <c r="FH94" s="910"/>
      <c r="FI94" s="910"/>
      <c r="FJ94" s="910"/>
      <c r="FK94" s="910"/>
      <c r="FL94" s="1020" t="e">
        <f ca="1">IF(AND(BT96&lt;&gt;"",BT93&lt;&gt;""),AQ91&amp;" "&amp;LOWER(J93)&amp;" "&amp;IF(BT93&lt;0,BT93&amp;"/"&amp;BT93,"+"&amp;BT93&amp;"/+"&amp;BT93)&amp;" ("&amp;CO93&amp;IF(Weapons!Y$82&lt;&gt;"20","/"&amp;Weapons!Y$82,"")&amp;IF(Weapons!Y$83&lt;&gt;2,"/×"&amp;Weapons!Y$83,"")&amp;") with Double Attack","")</f>
        <v>#N/A</v>
      </c>
      <c r="FM94" s="1019" t="e">
        <f t="shared" ref="FM94:FM125" ca="1" si="2">IF(FL94&lt;&gt;"",FL94&amp;IF(FM95&lt;&gt;"","
"&amp;FM95,""),FM95)</f>
        <v>#N/A</v>
      </c>
    </row>
    <row r="95" spans="1:169" ht="9" customHeight="1" thickBot="1">
      <c r="A95" s="910"/>
      <c r="B95" s="910"/>
      <c r="C95" s="87"/>
      <c r="D95" s="144"/>
      <c r="E95" s="111"/>
      <c r="F95" s="111"/>
      <c r="G95" s="111"/>
      <c r="H95" s="111"/>
      <c r="I95" s="91"/>
      <c r="J95" s="1880"/>
      <c r="K95" s="1880"/>
      <c r="L95" s="1880"/>
      <c r="M95" s="1880"/>
      <c r="N95" s="1880"/>
      <c r="O95" s="1880"/>
      <c r="P95" s="1880"/>
      <c r="Q95" s="1880"/>
      <c r="R95" s="1880"/>
      <c r="S95" s="1880"/>
      <c r="T95" s="1880"/>
      <c r="U95" s="1880"/>
      <c r="V95" s="1880"/>
      <c r="W95" s="1880"/>
      <c r="X95" s="1880"/>
      <c r="Y95" s="1880"/>
      <c r="Z95" s="1880"/>
      <c r="AA95" s="1880"/>
      <c r="AB95" s="1880"/>
      <c r="AC95" s="1880"/>
      <c r="AD95" s="1880"/>
      <c r="AE95" s="1880"/>
      <c r="AF95" s="1880"/>
      <c r="AG95" s="1880"/>
      <c r="AH95" s="1880"/>
      <c r="AI95" s="1880"/>
      <c r="AJ95" s="1880"/>
      <c r="AK95" s="1880"/>
      <c r="AL95" s="1880"/>
      <c r="AM95" s="648"/>
      <c r="AN95" s="913"/>
      <c r="AO95" s="913"/>
      <c r="AP95" s="649"/>
      <c r="AQ95" s="2190"/>
      <c r="AR95" s="2190"/>
      <c r="AS95" s="2190"/>
      <c r="AT95" s="2190"/>
      <c r="AU95" s="2190"/>
      <c r="AV95" s="2190"/>
      <c r="AW95" s="2190"/>
      <c r="AX95" s="2190"/>
      <c r="AY95" s="2190"/>
      <c r="AZ95" s="2190"/>
      <c r="BA95" s="2190"/>
      <c r="BB95" s="2190"/>
      <c r="BC95" s="2190"/>
      <c r="BD95" s="2190"/>
      <c r="BE95" s="2190"/>
      <c r="BF95" s="2190"/>
      <c r="BG95" s="2190"/>
      <c r="BH95" s="2190"/>
      <c r="BI95" s="2190"/>
      <c r="BJ95" s="2190"/>
      <c r="BK95" s="2190"/>
      <c r="BL95" s="93"/>
      <c r="BM95" s="913"/>
      <c r="BN95" s="913"/>
      <c r="BO95" s="649"/>
      <c r="BP95" s="2196"/>
      <c r="BQ95" s="2196"/>
      <c r="BR95" s="2196"/>
      <c r="BS95" s="2196"/>
      <c r="BT95" s="2202"/>
      <c r="BU95" s="2186"/>
      <c r="BV95" s="2186"/>
      <c r="BW95" s="2203"/>
      <c r="BX95" s="2186"/>
      <c r="BY95" s="2186"/>
      <c r="BZ95" s="2186"/>
      <c r="CA95" s="2186"/>
      <c r="CB95" s="93"/>
      <c r="CC95" s="913"/>
      <c r="CD95" s="913"/>
      <c r="CE95" s="91"/>
      <c r="CF95" s="655"/>
      <c r="CG95" s="655"/>
      <c r="CH95" s="655"/>
      <c r="CI95" s="655"/>
      <c r="CJ95" s="655"/>
      <c r="CK95" s="655"/>
      <c r="CL95" s="655"/>
      <c r="CM95" s="655"/>
      <c r="CN95" s="655"/>
      <c r="CO95" s="1925"/>
      <c r="CP95" s="1925"/>
      <c r="CQ95" s="1925"/>
      <c r="CR95" s="1925"/>
      <c r="CS95" s="1925"/>
      <c r="CT95" s="1925"/>
      <c r="CU95" s="1925"/>
      <c r="CV95" s="1925"/>
      <c r="CW95" s="1925"/>
      <c r="CX95" s="1925"/>
      <c r="CY95" s="1925"/>
      <c r="CZ95" s="1925"/>
      <c r="DA95" s="1925"/>
      <c r="DB95" s="1925"/>
      <c r="DC95" s="1925"/>
      <c r="DD95" s="1925"/>
      <c r="DE95" s="1925"/>
      <c r="DF95" s="1925"/>
      <c r="DG95" s="93"/>
      <c r="DH95" s="972"/>
      <c r="DI95" s="118"/>
      <c r="DJ95" s="118"/>
      <c r="DK95" s="256"/>
      <c r="DL95" s="109"/>
      <c r="DM95" s="910"/>
      <c r="DN95" s="910"/>
      <c r="DO95" s="910"/>
      <c r="DP95" s="910"/>
      <c r="DQ95" s="910"/>
      <c r="DR95" s="910"/>
      <c r="DS95" s="910"/>
      <c r="DT95" s="910"/>
      <c r="DU95" s="910"/>
      <c r="DV95" s="910"/>
      <c r="DW95" s="910"/>
      <c r="DX95" s="910"/>
      <c r="DY95" s="910"/>
      <c r="DZ95" s="910"/>
      <c r="EA95" s="910"/>
      <c r="EB95" s="910"/>
      <c r="EC95" s="910"/>
      <c r="ED95" s="910"/>
      <c r="EE95" s="910"/>
      <c r="EF95" s="910"/>
      <c r="EG95" s="910"/>
      <c r="EH95" s="910"/>
      <c r="EI95" s="910"/>
      <c r="EJ95" s="910"/>
      <c r="EK95" s="910"/>
      <c r="EL95" s="910"/>
      <c r="EM95" s="910"/>
      <c r="EN95" s="910"/>
      <c r="EO95" s="910"/>
      <c r="EP95" s="910"/>
      <c r="EQ95" s="910"/>
      <c r="ER95" s="910"/>
      <c r="ES95" s="910"/>
      <c r="ET95" s="910"/>
      <c r="EU95" s="910"/>
      <c r="EV95" s="910"/>
      <c r="EW95" s="910"/>
      <c r="EX95" s="910"/>
      <c r="EY95" s="910"/>
      <c r="EZ95" s="910"/>
      <c r="FA95" s="910"/>
      <c r="FB95" s="910"/>
      <c r="FC95" s="910"/>
      <c r="FD95" s="910"/>
      <c r="FE95" s="910"/>
      <c r="FF95" s="910"/>
      <c r="FG95" s="910"/>
      <c r="FH95" s="910"/>
      <c r="FI95" s="910"/>
      <c r="FJ95" s="910"/>
      <c r="FK95" s="910"/>
      <c r="FL95" s="1020" t="e">
        <f ca="1">IF(AND($BX$12&lt;&gt;"",BX93&lt;&gt;""),AQ91&amp;" "&amp;LOWER(J93)&amp;" "&amp;IF(BX93&lt;0,BX93&amp;"/"&amp;BX93&amp;"/"&amp;BX93,"+"&amp;BX93&amp;"/+"&amp;BX93&amp;"/+"&amp;BX93)&amp;" ("&amp;CO93&amp;IF(Weapons!Y$82&lt;&gt;"20","/"&amp;Weapons!Y$82,"")&amp;IF(Weapons!Y$83&lt;&gt;2,"/×"&amp;Weapons!Y$83,"")&amp;") with Triple Attack","")</f>
        <v>#N/A</v>
      </c>
      <c r="FM95" s="1019" t="e">
        <f t="shared" ca="1" si="2"/>
        <v>#N/A</v>
      </c>
    </row>
    <row r="96" spans="1:169" ht="9" customHeight="1" thickTop="1" thickBot="1">
      <c r="A96" s="910"/>
      <c r="B96" s="910"/>
      <c r="C96" s="112"/>
      <c r="D96" s="2183" t="str">
        <f>IF(Weapons!Y$109&lt;&gt;"","MOUNTED","")</f>
        <v/>
      </c>
      <c r="E96" s="2184"/>
      <c r="F96" s="2184"/>
      <c r="G96" s="913"/>
      <c r="H96" s="913"/>
      <c r="I96" s="913"/>
      <c r="J96" s="913"/>
      <c r="K96" s="913"/>
      <c r="L96" s="913"/>
      <c r="M96" s="913"/>
      <c r="N96" s="913"/>
      <c r="O96" s="913"/>
      <c r="P96" s="913"/>
      <c r="Q96" s="913"/>
      <c r="R96" s="913"/>
      <c r="S96" s="913"/>
      <c r="T96" s="913"/>
      <c r="U96" s="913"/>
      <c r="V96" s="913"/>
      <c r="W96" s="913"/>
      <c r="X96" s="913"/>
      <c r="Y96" s="913"/>
      <c r="Z96" s="913"/>
      <c r="AA96" s="913"/>
      <c r="AB96" s="913"/>
      <c r="AC96" s="913"/>
      <c r="AD96" s="913"/>
      <c r="AE96" s="913"/>
      <c r="AF96" s="913"/>
      <c r="AG96" s="913"/>
      <c r="AH96" s="913"/>
      <c r="AI96" s="913"/>
      <c r="AJ96" s="913"/>
      <c r="AK96" s="913"/>
      <c r="AL96" s="913"/>
      <c r="AM96" s="913"/>
      <c r="AN96" s="913"/>
      <c r="AO96" s="910"/>
      <c r="AP96" s="910"/>
      <c r="AQ96" s="910"/>
      <c r="AR96" s="910"/>
      <c r="AS96" s="910"/>
      <c r="AT96" s="910"/>
      <c r="AU96" s="910"/>
      <c r="AV96" s="910"/>
      <c r="AW96" s="910"/>
      <c r="AX96" s="910"/>
      <c r="AY96" s="910"/>
      <c r="AZ96" s="910"/>
      <c r="BA96" s="910"/>
      <c r="BB96" s="910"/>
      <c r="BC96" s="910"/>
      <c r="BD96" s="910"/>
      <c r="BE96" s="910"/>
      <c r="BF96" s="910"/>
      <c r="BG96" s="910"/>
      <c r="BH96" s="910"/>
      <c r="BI96" s="596"/>
      <c r="BJ96" s="596"/>
      <c r="BK96" s="596"/>
      <c r="BL96" s="910"/>
      <c r="BM96" s="910"/>
      <c r="BN96" s="913"/>
      <c r="BO96" s="913"/>
      <c r="BP96" s="913"/>
      <c r="BQ96" s="913"/>
      <c r="BR96" s="913"/>
      <c r="BS96" s="913"/>
      <c r="BT96" s="2205" t="e">
        <f ca="1">"Double Attack ("&amp;INDEX(WeaponTable,MATCH(Weapons!Y$11,WeaponList,0),5)&amp;")"</f>
        <v>#N/A</v>
      </c>
      <c r="BU96" s="2205"/>
      <c r="BV96" s="2205"/>
      <c r="BW96" s="2205"/>
      <c r="BX96" s="2205" t="e">
        <f ca="1">"Triple Attack ("&amp;INDEX(WeaponTable,MATCH(Weapons!Y$11,WeaponList,0),5)&amp;")"</f>
        <v>#N/A</v>
      </c>
      <c r="BY96" s="2205"/>
      <c r="BZ96" s="2205"/>
      <c r="CA96" s="2205"/>
      <c r="CB96" s="913"/>
      <c r="CC96" s="913"/>
      <c r="CD96" s="913"/>
      <c r="CE96" s="913"/>
      <c r="CF96" s="913"/>
      <c r="CG96" s="913"/>
      <c r="CH96" s="913"/>
      <c r="CI96" s="913"/>
      <c r="CJ96" s="913"/>
      <c r="CK96" s="913"/>
      <c r="CL96" s="913"/>
      <c r="CM96" s="913"/>
      <c r="CN96" s="913"/>
      <c r="CO96" s="913"/>
      <c r="CP96" s="913"/>
      <c r="CQ96" s="913"/>
      <c r="CR96" s="913"/>
      <c r="CS96" s="913"/>
      <c r="CT96" s="913"/>
      <c r="CU96" s="913"/>
      <c r="CV96" s="913"/>
      <c r="CW96" s="913"/>
      <c r="CX96" s="913"/>
      <c r="CY96" s="913"/>
      <c r="CZ96" s="913"/>
      <c r="DA96" s="913"/>
      <c r="DB96" s="913"/>
      <c r="DC96" s="913"/>
      <c r="DD96" s="913"/>
      <c r="DE96" s="913"/>
      <c r="DF96" s="913"/>
      <c r="DG96" s="913"/>
      <c r="DH96" s="973"/>
      <c r="DI96" s="596"/>
      <c r="DJ96" s="596"/>
      <c r="DK96" s="112"/>
      <c r="DL96" s="87"/>
      <c r="DM96" s="910"/>
      <c r="DN96" s="910"/>
      <c r="DO96" s="910"/>
      <c r="DP96" s="910"/>
      <c r="DQ96" s="910"/>
      <c r="DR96" s="910"/>
      <c r="DS96" s="910"/>
      <c r="DT96" s="910"/>
      <c r="DU96" s="910"/>
      <c r="DV96" s="910"/>
      <c r="DW96" s="910"/>
      <c r="DX96" s="910"/>
      <c r="DY96" s="910"/>
      <c r="DZ96" s="910"/>
      <c r="EA96" s="910"/>
      <c r="EB96" s="910"/>
      <c r="EC96" s="910"/>
      <c r="ED96" s="910"/>
      <c r="EE96" s="910"/>
      <c r="EF96" s="910"/>
      <c r="EG96" s="910"/>
      <c r="EH96" s="910"/>
      <c r="EI96" s="910"/>
      <c r="EJ96" s="910"/>
      <c r="EK96" s="910"/>
      <c r="EL96" s="910"/>
      <c r="EM96" s="910"/>
      <c r="EN96" s="910"/>
      <c r="EO96" s="910"/>
      <c r="EP96" s="910"/>
      <c r="EQ96" s="910"/>
      <c r="ER96" s="910"/>
      <c r="ES96" s="910"/>
      <c r="ET96" s="910"/>
      <c r="EU96" s="910"/>
      <c r="EV96" s="910"/>
      <c r="EW96" s="910"/>
      <c r="EX96" s="910"/>
      <c r="EY96" s="910"/>
      <c r="EZ96" s="910"/>
      <c r="FA96" s="910"/>
      <c r="FB96" s="910"/>
      <c r="FC96" s="910"/>
      <c r="FD96" s="910"/>
      <c r="FE96" s="910"/>
      <c r="FF96" s="910"/>
      <c r="FG96" s="910"/>
      <c r="FH96" s="910"/>
      <c r="FI96" s="910"/>
      <c r="FJ96" s="910"/>
      <c r="FK96" s="910"/>
      <c r="FL96" s="1020"/>
      <c r="FM96" s="1019" t="str">
        <f t="shared" si="2"/>
        <v/>
      </c>
    </row>
    <row r="97" spans="1:169" ht="9" customHeight="1" thickTop="1" thickBot="1">
      <c r="A97" s="910"/>
      <c r="B97" s="910"/>
      <c r="C97" s="112"/>
      <c r="D97" s="2183"/>
      <c r="E97" s="2184"/>
      <c r="F97" s="2184"/>
      <c r="G97" s="93"/>
      <c r="H97" s="2182" t="s">
        <v>3613</v>
      </c>
      <c r="I97" s="2182"/>
      <c r="J97" s="2182"/>
      <c r="K97" s="2182"/>
      <c r="L97" s="295"/>
      <c r="M97" s="295"/>
      <c r="N97" s="600"/>
      <c r="O97" s="600"/>
      <c r="P97" s="594"/>
      <c r="Q97" s="594"/>
      <c r="R97" s="594"/>
      <c r="S97" s="594"/>
      <c r="T97" s="594"/>
      <c r="U97" s="594"/>
      <c r="V97" s="594"/>
      <c r="W97" s="594"/>
      <c r="X97" s="594"/>
      <c r="Y97" s="594"/>
      <c r="Z97" s="594"/>
      <c r="AA97" s="594"/>
      <c r="AB97" s="594"/>
      <c r="AC97" s="594"/>
      <c r="AD97" s="594"/>
      <c r="AE97" s="594"/>
      <c r="AF97" s="297"/>
      <c r="AG97" s="913"/>
      <c r="AH97" s="913"/>
      <c r="AI97" s="910"/>
      <c r="AJ97" s="910"/>
      <c r="AK97" s="910"/>
      <c r="AL97" s="910"/>
      <c r="AM97" s="910"/>
      <c r="AN97" s="910"/>
      <c r="AO97" s="910"/>
      <c r="AP97" s="93"/>
      <c r="AQ97" s="2179" t="s">
        <v>4093</v>
      </c>
      <c r="AR97" s="2179"/>
      <c r="AS97" s="2179"/>
      <c r="AT97" s="2179"/>
      <c r="AU97" s="2179"/>
      <c r="AV97" s="2179"/>
      <c r="AW97" s="2179"/>
      <c r="AX97" s="2179"/>
      <c r="AY97" s="2179"/>
      <c r="AZ97" s="2179"/>
      <c r="BA97" s="2179"/>
      <c r="BB97" s="2179"/>
      <c r="BC97" s="2179"/>
      <c r="BD97" s="113"/>
      <c r="BE97" s="145"/>
      <c r="BF97" s="145"/>
      <c r="BG97" s="145"/>
      <c r="BH97" s="145"/>
      <c r="BI97" s="145"/>
      <c r="BJ97" s="145"/>
      <c r="BK97" s="145"/>
      <c r="BL97" s="913"/>
      <c r="BM97" s="913"/>
      <c r="BN97" s="913"/>
      <c r="BO97" s="93"/>
      <c r="BP97" s="2193" t="s">
        <v>4092</v>
      </c>
      <c r="BQ97" s="2193"/>
      <c r="BR97" s="2193"/>
      <c r="BS97" s="2193"/>
      <c r="BT97" s="2193" t="s">
        <v>4090</v>
      </c>
      <c r="BU97" s="2193"/>
      <c r="BV97" s="2193"/>
      <c r="BW97" s="2193"/>
      <c r="BX97" s="2193" t="s">
        <v>4091</v>
      </c>
      <c r="BY97" s="2193"/>
      <c r="BZ97" s="2193"/>
      <c r="CA97" s="2193"/>
      <c r="CB97" s="113"/>
      <c r="CC97" s="913"/>
      <c r="CD97" s="913"/>
      <c r="CE97" s="93"/>
      <c r="CF97" s="2182" t="s">
        <v>3612</v>
      </c>
      <c r="CG97" s="2208"/>
      <c r="CH97" s="2208"/>
      <c r="CI97" s="2208"/>
      <c r="CJ97" s="2208"/>
      <c r="CK97" s="2208"/>
      <c r="CL97" s="2208"/>
      <c r="CM97" s="2208"/>
      <c r="CN97" s="113"/>
      <c r="CO97" s="87"/>
      <c r="CP97" s="87"/>
      <c r="CQ97" s="87"/>
      <c r="CR97" s="87"/>
      <c r="CS97" s="87"/>
      <c r="CT97" s="87"/>
      <c r="CU97" s="87"/>
      <c r="CV97" s="87"/>
      <c r="CW97" s="87"/>
      <c r="CX97" s="87"/>
      <c r="CY97" s="87"/>
      <c r="CZ97" s="87"/>
      <c r="DA97" s="87"/>
      <c r="DB97" s="87"/>
      <c r="DC97" s="87"/>
      <c r="DD97" s="87"/>
      <c r="DE97" s="87"/>
      <c r="DF97" s="87"/>
      <c r="DG97" s="87"/>
      <c r="DI97" s="958"/>
      <c r="DJ97" s="958"/>
      <c r="DK97" s="112"/>
      <c r="DL97" s="87"/>
      <c r="DM97" s="910"/>
      <c r="DN97" s="910"/>
      <c r="DO97" s="910"/>
      <c r="DP97" s="910"/>
      <c r="DQ97" s="910"/>
      <c r="DR97" s="910"/>
      <c r="DS97" s="910"/>
      <c r="DT97" s="910"/>
      <c r="DU97" s="910"/>
      <c r="DV97" s="910"/>
      <c r="DW97" s="910"/>
      <c r="DX97" s="910"/>
      <c r="DY97" s="910"/>
      <c r="DZ97" s="910"/>
      <c r="EA97" s="910"/>
      <c r="EB97" s="910"/>
      <c r="EC97" s="910"/>
      <c r="ED97" s="910"/>
      <c r="EE97" s="910"/>
      <c r="EF97" s="910"/>
      <c r="EG97" s="910"/>
      <c r="EH97" s="910"/>
      <c r="EI97" s="910"/>
      <c r="EJ97" s="910"/>
      <c r="EK97" s="910"/>
      <c r="EL97" s="910"/>
      <c r="EM97" s="910"/>
      <c r="EN97" s="910"/>
      <c r="EO97" s="910"/>
      <c r="EP97" s="910"/>
      <c r="EQ97" s="910"/>
      <c r="ER97" s="910"/>
      <c r="ES97" s="910"/>
      <c r="ET97" s="910"/>
      <c r="EU97" s="910"/>
      <c r="EV97" s="910"/>
      <c r="EW97" s="910"/>
      <c r="EX97" s="910"/>
      <c r="EY97" s="910"/>
      <c r="EZ97" s="910"/>
      <c r="FA97" s="910"/>
      <c r="FB97" s="910"/>
      <c r="FC97" s="910"/>
      <c r="FD97" s="910"/>
      <c r="FE97" s="910"/>
      <c r="FF97" s="910"/>
      <c r="FG97" s="910"/>
      <c r="FH97" s="910"/>
      <c r="FI97" s="910"/>
      <c r="FJ97" s="910"/>
      <c r="FK97" s="910"/>
      <c r="FL97" s="1020"/>
      <c r="FM97" s="1019" t="str">
        <f t="shared" si="2"/>
        <v/>
      </c>
    </row>
    <row r="98" spans="1:169" ht="9" customHeight="1" thickTop="1">
      <c r="A98" s="910"/>
      <c r="B98" s="910"/>
      <c r="C98" s="112"/>
      <c r="D98" s="2183"/>
      <c r="E98" s="2184"/>
      <c r="F98" s="2184"/>
      <c r="G98" s="102"/>
      <c r="H98" s="2180"/>
      <c r="I98" s="2180"/>
      <c r="J98" s="2180"/>
      <c r="K98" s="2180"/>
      <c r="L98" s="1867" t="str">
        <f>Weapons!Y$34</f>
        <v/>
      </c>
      <c r="M98" s="1867"/>
      <c r="N98" s="1867"/>
      <c r="O98" s="1867"/>
      <c r="P98" s="1867"/>
      <c r="Q98" s="1867"/>
      <c r="R98" s="1867"/>
      <c r="S98" s="1867"/>
      <c r="T98" s="1867"/>
      <c r="U98" s="1867"/>
      <c r="V98" s="1867"/>
      <c r="W98" s="1867"/>
      <c r="X98" s="1867"/>
      <c r="Y98" s="1867"/>
      <c r="Z98" s="1867"/>
      <c r="AA98" s="1867"/>
      <c r="AB98" s="1867"/>
      <c r="AC98" s="1867"/>
      <c r="AD98" s="1867"/>
      <c r="AE98" s="1867"/>
      <c r="AF98" s="300"/>
      <c r="AG98" s="913"/>
      <c r="AH98" s="913"/>
      <c r="AI98" s="910"/>
      <c r="AJ98" s="910"/>
      <c r="AK98" s="910"/>
      <c r="AL98" s="910"/>
      <c r="AM98" s="910"/>
      <c r="AN98" s="910"/>
      <c r="AO98" s="910"/>
      <c r="AP98" s="102"/>
      <c r="AQ98" s="2180"/>
      <c r="AR98" s="2180"/>
      <c r="AS98" s="2180"/>
      <c r="AT98" s="2180"/>
      <c r="AU98" s="2180"/>
      <c r="AV98" s="2180"/>
      <c r="AW98" s="2180"/>
      <c r="AX98" s="2180"/>
      <c r="AY98" s="2180"/>
      <c r="AZ98" s="2180"/>
      <c r="BA98" s="2180"/>
      <c r="BB98" s="2180"/>
      <c r="BC98" s="2180"/>
      <c r="BD98" s="589"/>
      <c r="BE98" s="598"/>
      <c r="BF98" s="598"/>
      <c r="BG98" s="598"/>
      <c r="BH98" s="598"/>
      <c r="BI98" s="598"/>
      <c r="BJ98" s="598"/>
      <c r="BK98" s="598"/>
      <c r="BL98" s="113"/>
      <c r="BM98" s="913"/>
      <c r="BN98" s="913"/>
      <c r="BO98" s="102"/>
      <c r="BP98" s="2194"/>
      <c r="BQ98" s="2194"/>
      <c r="BR98" s="2194"/>
      <c r="BS98" s="2194"/>
      <c r="BT98" s="2194"/>
      <c r="BU98" s="2194"/>
      <c r="BV98" s="2194"/>
      <c r="BW98" s="2194"/>
      <c r="BX98" s="2194"/>
      <c r="BY98" s="2194"/>
      <c r="BZ98" s="2194"/>
      <c r="CA98" s="2194"/>
      <c r="CB98" s="913"/>
      <c r="CC98" s="102"/>
      <c r="CD98" s="913"/>
      <c r="CE98" s="102"/>
      <c r="CF98" s="2138"/>
      <c r="CG98" s="2138"/>
      <c r="CH98" s="2138"/>
      <c r="CI98" s="2138"/>
      <c r="CJ98" s="2138"/>
      <c r="CK98" s="2138"/>
      <c r="CL98" s="2138"/>
      <c r="CM98" s="2138"/>
      <c r="CN98" s="589"/>
      <c r="CO98" s="599"/>
      <c r="CP98" s="599"/>
      <c r="CQ98" s="599"/>
      <c r="CR98" s="599"/>
      <c r="CS98" s="599"/>
      <c r="CT98" s="599"/>
      <c r="CU98" s="599"/>
      <c r="CV98" s="599"/>
      <c r="CW98" s="599"/>
      <c r="CX98" s="599"/>
      <c r="CY98" s="599"/>
      <c r="CZ98" s="599"/>
      <c r="DA98" s="599"/>
      <c r="DB98" s="599"/>
      <c r="DC98" s="599"/>
      <c r="DD98" s="599"/>
      <c r="DE98" s="599"/>
      <c r="DF98" s="599"/>
      <c r="DG98" s="113"/>
      <c r="DI98" s="958"/>
      <c r="DJ98" s="958"/>
      <c r="DK98" s="112"/>
      <c r="DL98" s="87"/>
      <c r="DM98" s="910"/>
      <c r="DN98" s="910"/>
      <c r="DO98" s="910"/>
      <c r="DP98" s="910"/>
      <c r="DQ98" s="910"/>
      <c r="DR98" s="910"/>
      <c r="DS98" s="910"/>
      <c r="DT98" s="910"/>
      <c r="DU98" s="910"/>
      <c r="DV98" s="910"/>
      <c r="DW98" s="910"/>
      <c r="DX98" s="910"/>
      <c r="DY98" s="910"/>
      <c r="DZ98" s="910"/>
      <c r="EA98" s="910"/>
      <c r="EB98" s="910"/>
      <c r="EC98" s="910"/>
      <c r="ED98" s="910"/>
      <c r="EE98" s="910"/>
      <c r="EF98" s="910"/>
      <c r="EG98" s="910"/>
      <c r="EH98" s="910"/>
      <c r="EI98" s="910"/>
      <c r="EJ98" s="910"/>
      <c r="EK98" s="910"/>
      <c r="EL98" s="910"/>
      <c r="EM98" s="910"/>
      <c r="EN98" s="910"/>
      <c r="EO98" s="910"/>
      <c r="EP98" s="910"/>
      <c r="EQ98" s="910"/>
      <c r="ER98" s="910"/>
      <c r="ES98" s="910"/>
      <c r="ET98" s="910"/>
      <c r="EU98" s="910"/>
      <c r="EV98" s="910"/>
      <c r="EW98" s="910"/>
      <c r="EX98" s="910"/>
      <c r="EY98" s="910"/>
      <c r="EZ98" s="910"/>
      <c r="FA98" s="910"/>
      <c r="FB98" s="910"/>
      <c r="FC98" s="910"/>
      <c r="FD98" s="910"/>
      <c r="FE98" s="910"/>
      <c r="FF98" s="910"/>
      <c r="FG98" s="910"/>
      <c r="FH98" s="910"/>
      <c r="FI98" s="910"/>
      <c r="FJ98" s="910"/>
      <c r="FK98" s="910"/>
      <c r="FL98" s="1020"/>
      <c r="FM98" s="1019" t="str">
        <f t="shared" si="2"/>
        <v/>
      </c>
    </row>
    <row r="99" spans="1:169" ht="9" customHeight="1" thickBot="1">
      <c r="A99" s="910"/>
      <c r="B99" s="910"/>
      <c r="C99" s="112"/>
      <c r="D99" s="2183"/>
      <c r="E99" s="2184"/>
      <c r="F99" s="2184"/>
      <c r="G99" s="102"/>
      <c r="H99" s="105"/>
      <c r="I99" s="105"/>
      <c r="J99" s="105"/>
      <c r="K99" s="105"/>
      <c r="L99" s="1867"/>
      <c r="M99" s="1867"/>
      <c r="N99" s="1867"/>
      <c r="O99" s="1867"/>
      <c r="P99" s="1867"/>
      <c r="Q99" s="1867"/>
      <c r="R99" s="1867"/>
      <c r="S99" s="1867"/>
      <c r="T99" s="1867"/>
      <c r="U99" s="1867"/>
      <c r="V99" s="1867"/>
      <c r="W99" s="1867"/>
      <c r="X99" s="1867"/>
      <c r="Y99" s="1867"/>
      <c r="Z99" s="1867"/>
      <c r="AA99" s="1867"/>
      <c r="AB99" s="1867"/>
      <c r="AC99" s="1867"/>
      <c r="AD99" s="1867"/>
      <c r="AE99" s="1867"/>
      <c r="AF99" s="103"/>
      <c r="AG99" s="913"/>
      <c r="AH99" s="913"/>
      <c r="AI99" s="910"/>
      <c r="AJ99" s="910"/>
      <c r="AK99" s="910"/>
      <c r="AL99" s="910"/>
      <c r="AM99" s="910"/>
      <c r="AN99" s="910"/>
      <c r="AO99" s="910"/>
      <c r="AP99" s="102"/>
      <c r="AQ99" s="2191"/>
      <c r="AR99" s="2191"/>
      <c r="AS99" s="2191"/>
      <c r="AT99" s="2191"/>
      <c r="AU99" s="2191"/>
      <c r="AV99" s="2191"/>
      <c r="AW99" s="2191"/>
      <c r="AX99" s="2191"/>
      <c r="AY99" s="2191"/>
      <c r="AZ99" s="2191"/>
      <c r="BA99" s="2191"/>
      <c r="BB99" s="2191"/>
      <c r="BC99" s="2191"/>
      <c r="BD99" s="2191"/>
      <c r="BE99" s="2191"/>
      <c r="BF99" s="2191"/>
      <c r="BG99" s="2191"/>
      <c r="BH99" s="2191"/>
      <c r="BI99" s="2191"/>
      <c r="BJ99" s="2191"/>
      <c r="BK99" s="2191"/>
      <c r="BL99" s="100"/>
      <c r="BM99" s="122"/>
      <c r="BN99" s="290"/>
      <c r="BO99" s="102"/>
      <c r="BP99" s="2185" t="str">
        <f>IF(AQ99&lt;&gt;"",IF(OR(INDEX(WeaponFeatsModsTable,MATCH(AQ99,WeaponFeatsModsList,0),7)=AQ91,INDEX(WeaponFeatsModsTable,MATCH(AQ99,WeaponFeatsModsList,0),7)=""),INDEX(WeaponFeatsModsTable,MATCH(AQ99,WeaponFeatsModsList,0),2)+BP93,""),"")</f>
        <v/>
      </c>
      <c r="BQ99" s="2185"/>
      <c r="BR99" s="2185"/>
      <c r="BS99" s="2185"/>
      <c r="BT99" s="2200" t="str">
        <f>IF(BP99&lt;&gt;"",IF(AND(OR(INDEX(WeaponFeatsModsTable,MATCH(AQ99,WeaponFeatsModsList,0),7)=AQ91,INDEX(WeaponFeatsModsTable,MATCH(AQ99,WeaponFeatsModsList,0),7)=""),INDEX(WeaponFeatsModsTable,MATCH(AQ99,WeaponFeatsModsList,0),8)&lt;&gt;"Yes"),IF(COUNTIF(FeatsCharacterSheet,BT96)&gt;0,BP99+BT90,""),""),"")</f>
        <v/>
      </c>
      <c r="BU99" s="2185"/>
      <c r="BV99" s="2185"/>
      <c r="BW99" s="2201"/>
      <c r="BX99" s="2185" t="str">
        <f>IF(BP99&lt;&gt;"",IF(AND(OR(INDEX(WeaponFeatsModsTable,MATCH(AQ99,WeaponFeatsModsList,0),7)=AQ91,INDEX(WeaponFeatsModsTable,MATCH(AQ99,WeaponFeatsModsList,0),7)=""),INDEX(WeaponFeatsModsTable,MATCH(AQ99,WeaponFeatsModsList,0),8)&lt;&gt;"Yes"),IF(COUNTIF(FeatsCharacterSheet,BX96)&gt;0,BP99+BX90,""),""),"")</f>
        <v/>
      </c>
      <c r="BY99" s="2185"/>
      <c r="BZ99" s="2185"/>
      <c r="CA99" s="2185"/>
      <c r="CB99" s="100"/>
      <c r="CC99" s="122"/>
      <c r="CD99" s="290"/>
      <c r="CE99" s="102"/>
      <c r="CF99" s="1883"/>
      <c r="CG99" s="1883"/>
      <c r="CH99" s="1883"/>
      <c r="CI99" s="1883"/>
      <c r="CJ99" s="1883"/>
      <c r="CK99" s="1883"/>
      <c r="CL99" s="1883"/>
      <c r="CM99" s="1883"/>
      <c r="CN99" s="1883"/>
      <c r="CO99" s="2207" t="str">
        <f>IF(AQ99&lt;&gt;"",IF(OR(INDEX(WeaponFeatsModsTable,MATCH(AQ99,WeaponFeatsModsList,0),7)=$AQ$91,INDEX(WeaponFeatsModsTable,MATCH(AQ99,WeaponFeatsModsList,0),7)=""),Weapons!Y$78+INDEX(WeaponFeatsModsTable,MATCH(AQ99,WeaponFeatsModsList,0),5)&amp;"d"&amp;Weapons!Y$79&amp;Weapons!Y$123&amp;"+"&amp;Weapons!Y$116+DH99+IF(AND(LEFT(AQ99,12)="Power Attack",$AQ$93="Two-Handed",$AQ$91="Melee"),INDEX(WeaponFeatsModsTable,MATCH(AQ99,WeaponFeatsModsList,0),4),INDEX(WeaponFeatsModsTable,MATCH(AQ99,WeaponFeatsModsList,0),3)),""),"")</f>
        <v/>
      </c>
      <c r="CP99" s="2207"/>
      <c r="CQ99" s="2207"/>
      <c r="CR99" s="2207"/>
      <c r="CS99" s="2207"/>
      <c r="CT99" s="2207"/>
      <c r="CU99" s="2207"/>
      <c r="CV99" s="2207"/>
      <c r="CW99" s="2207"/>
      <c r="CX99" s="2207"/>
      <c r="CY99" s="2207"/>
      <c r="CZ99" s="2207"/>
      <c r="DA99" s="2207"/>
      <c r="DB99" s="2207"/>
      <c r="DC99" s="2207"/>
      <c r="DD99" s="2207"/>
      <c r="DE99" s="2207"/>
      <c r="DF99" s="2207"/>
      <c r="DG99" s="656"/>
      <c r="DH99" s="974">
        <f>IF(AND(COUNTIF(Weapons!Y$56:Y$60,"Pulse Charger"),AQ91="Ranged"),INDEX(WeaponFeatsModsTable,MATCH(AQ99,WeaponFeatsModsList,0),5),0)</f>
        <v>0</v>
      </c>
      <c r="DI99" s="966"/>
      <c r="DJ99" s="966"/>
      <c r="DK99" s="967"/>
      <c r="DL99" s="109"/>
      <c r="DM99" s="910"/>
      <c r="DN99" s="910"/>
      <c r="DO99" s="910"/>
      <c r="DP99" s="910"/>
      <c r="DQ99" s="910"/>
      <c r="DR99" s="910"/>
      <c r="DS99" s="910"/>
      <c r="DT99" s="910"/>
      <c r="DU99" s="910"/>
      <c r="DV99" s="910"/>
      <c r="DW99" s="910"/>
      <c r="DX99" s="910"/>
      <c r="DY99" s="910"/>
      <c r="DZ99" s="910"/>
      <c r="EA99" s="910"/>
      <c r="EB99" s="910"/>
      <c r="EC99" s="910"/>
      <c r="ED99" s="910"/>
      <c r="EE99" s="910"/>
      <c r="EF99" s="910"/>
      <c r="EG99" s="910"/>
      <c r="EH99" s="910"/>
      <c r="EI99" s="910"/>
      <c r="EJ99" s="910"/>
      <c r="EK99" s="910"/>
      <c r="EL99" s="910"/>
      <c r="EM99" s="910"/>
      <c r="EN99" s="910"/>
      <c r="EO99" s="910"/>
      <c r="EP99" s="910"/>
      <c r="EQ99" s="910"/>
      <c r="ER99" s="910"/>
      <c r="ES99" s="910"/>
      <c r="ET99" s="910"/>
      <c r="EU99" s="910"/>
      <c r="EV99" s="910"/>
      <c r="EW99" s="910"/>
      <c r="EX99" s="910"/>
      <c r="EY99" s="910"/>
      <c r="EZ99" s="910"/>
      <c r="FA99" s="910"/>
      <c r="FB99" s="910"/>
      <c r="FC99" s="910"/>
      <c r="FD99" s="910"/>
      <c r="FE99" s="910"/>
      <c r="FF99" s="910"/>
      <c r="FG99" s="910"/>
      <c r="FH99" s="910"/>
      <c r="FI99" s="910"/>
      <c r="FJ99" s="910"/>
      <c r="FK99" s="910"/>
      <c r="FL99" s="1020" t="str">
        <f>IF(AND(AQ99&lt;&gt;"",BP99&lt;&gt;""),AQ91&amp;" "&amp;LOWER(J93)&amp;" "&amp;IF(BP99&lt;0,"","+")&amp;BP99&amp;" ("&amp;CO99&amp;IF(Weapons!Y$82&lt;&gt;"20","/"&amp;Weapons!Y$82,"")&amp;IF(Weapons!Y$83&lt;&gt;2,"/×"&amp;Weapons!Y$83,"")&amp;") with "&amp;AQ99,"")</f>
        <v/>
      </c>
      <c r="FM99" s="1019" t="str">
        <f t="shared" si="2"/>
        <v/>
      </c>
    </row>
    <row r="100" spans="1:169" ht="9" customHeight="1" thickTop="1" thickBot="1">
      <c r="A100" s="910"/>
      <c r="B100" s="910"/>
      <c r="C100" s="112"/>
      <c r="D100" s="2183"/>
      <c r="E100" s="2184"/>
      <c r="F100" s="2184"/>
      <c r="G100" s="91"/>
      <c r="H100" s="108"/>
      <c r="I100" s="108"/>
      <c r="J100" s="108"/>
      <c r="K100" s="108"/>
      <c r="L100" s="1868"/>
      <c r="M100" s="1868"/>
      <c r="N100" s="1868"/>
      <c r="O100" s="1868"/>
      <c r="P100" s="1868"/>
      <c r="Q100" s="1868"/>
      <c r="R100" s="1868"/>
      <c r="S100" s="1868"/>
      <c r="T100" s="1868"/>
      <c r="U100" s="1868"/>
      <c r="V100" s="1868"/>
      <c r="W100" s="1868"/>
      <c r="X100" s="1868"/>
      <c r="Y100" s="1868"/>
      <c r="Z100" s="1868"/>
      <c r="AA100" s="1868"/>
      <c r="AB100" s="1868"/>
      <c r="AC100" s="1868"/>
      <c r="AD100" s="1868"/>
      <c r="AE100" s="1868"/>
      <c r="AF100" s="90"/>
      <c r="AG100" s="913"/>
      <c r="AH100" s="913"/>
      <c r="AI100" s="910"/>
      <c r="AJ100" s="910"/>
      <c r="AK100" s="910"/>
      <c r="AL100" s="910"/>
      <c r="AM100" s="910"/>
      <c r="AN100" s="910"/>
      <c r="AO100" s="910"/>
      <c r="AP100" s="647"/>
      <c r="AQ100" s="2191"/>
      <c r="AR100" s="2191"/>
      <c r="AS100" s="2191"/>
      <c r="AT100" s="2191"/>
      <c r="AU100" s="2191"/>
      <c r="AV100" s="2191"/>
      <c r="AW100" s="2191"/>
      <c r="AX100" s="2191"/>
      <c r="AY100" s="2191"/>
      <c r="AZ100" s="2191"/>
      <c r="BA100" s="2191"/>
      <c r="BB100" s="2191"/>
      <c r="BC100" s="2191"/>
      <c r="BD100" s="2191"/>
      <c r="BE100" s="2191"/>
      <c r="BF100" s="2191"/>
      <c r="BG100" s="2191"/>
      <c r="BH100" s="2191"/>
      <c r="BI100" s="2191"/>
      <c r="BJ100" s="2191"/>
      <c r="BK100" s="2191"/>
      <c r="BL100" s="100"/>
      <c r="BM100" s="111"/>
      <c r="BN100" s="111"/>
      <c r="BO100" s="647"/>
      <c r="BP100" s="2185"/>
      <c r="BQ100" s="2185"/>
      <c r="BR100" s="2185"/>
      <c r="BS100" s="2185"/>
      <c r="BT100" s="2200"/>
      <c r="BU100" s="2185"/>
      <c r="BV100" s="2185"/>
      <c r="BW100" s="2201"/>
      <c r="BX100" s="2185"/>
      <c r="BY100" s="2185"/>
      <c r="BZ100" s="2185"/>
      <c r="CA100" s="2185"/>
      <c r="CB100" s="100"/>
      <c r="CC100" s="111"/>
      <c r="CD100" s="111"/>
      <c r="CE100" s="102"/>
      <c r="CF100" s="1883"/>
      <c r="CG100" s="1883"/>
      <c r="CH100" s="1883"/>
      <c r="CI100" s="1883"/>
      <c r="CJ100" s="1883"/>
      <c r="CK100" s="1883"/>
      <c r="CL100" s="1883"/>
      <c r="CM100" s="1883"/>
      <c r="CN100" s="1883"/>
      <c r="CO100" s="2207"/>
      <c r="CP100" s="2207"/>
      <c r="CQ100" s="2207"/>
      <c r="CR100" s="2207"/>
      <c r="CS100" s="2207"/>
      <c r="CT100" s="2207"/>
      <c r="CU100" s="2207"/>
      <c r="CV100" s="2207"/>
      <c r="CW100" s="2207"/>
      <c r="CX100" s="2207"/>
      <c r="CY100" s="2207"/>
      <c r="CZ100" s="2207"/>
      <c r="DA100" s="2207"/>
      <c r="DB100" s="2207"/>
      <c r="DC100" s="2207"/>
      <c r="DD100" s="2207"/>
      <c r="DE100" s="2207"/>
      <c r="DF100" s="2207"/>
      <c r="DG100" s="656"/>
      <c r="DH100" s="974"/>
      <c r="DI100" s="966"/>
      <c r="DJ100" s="966"/>
      <c r="DK100" s="967"/>
      <c r="DL100" s="109"/>
      <c r="DM100" s="910"/>
      <c r="DN100" s="910"/>
      <c r="DO100" s="910"/>
      <c r="DP100" s="910"/>
      <c r="DQ100" s="910"/>
      <c r="DR100" s="910"/>
      <c r="DS100" s="910"/>
      <c r="DT100" s="910"/>
      <c r="DU100" s="910"/>
      <c r="DV100" s="910"/>
      <c r="DW100" s="910"/>
      <c r="DX100" s="910"/>
      <c r="DY100" s="910"/>
      <c r="DZ100" s="910"/>
      <c r="EA100" s="910"/>
      <c r="EB100" s="910"/>
      <c r="EC100" s="910"/>
      <c r="ED100" s="910"/>
      <c r="EE100" s="910"/>
      <c r="EF100" s="910"/>
      <c r="EG100" s="910"/>
      <c r="EH100" s="910"/>
      <c r="EI100" s="910"/>
      <c r="EJ100" s="910"/>
      <c r="EK100" s="910"/>
      <c r="EL100" s="910"/>
      <c r="EM100" s="910"/>
      <c r="EN100" s="910"/>
      <c r="EO100" s="910"/>
      <c r="EP100" s="910"/>
      <c r="EQ100" s="910"/>
      <c r="ER100" s="910"/>
      <c r="ES100" s="910"/>
      <c r="ET100" s="910"/>
      <c r="EU100" s="910"/>
      <c r="EV100" s="910"/>
      <c r="EW100" s="910"/>
      <c r="EX100" s="910"/>
      <c r="EY100" s="910"/>
      <c r="EZ100" s="910"/>
      <c r="FA100" s="910"/>
      <c r="FB100" s="910"/>
      <c r="FC100" s="910"/>
      <c r="FD100" s="910"/>
      <c r="FE100" s="910"/>
      <c r="FF100" s="910"/>
      <c r="FG100" s="910"/>
      <c r="FH100" s="910"/>
      <c r="FI100" s="910"/>
      <c r="FJ100" s="910"/>
      <c r="FK100" s="910"/>
      <c r="FL100" s="1020" t="str">
        <f>IF(AND(AQ99&lt;&gt;"",BT99&lt;&gt;""),IF(BT96&lt;&gt;"",AQ91&amp;" "&amp;LOWER(J93)&amp;" "&amp;IF(BT99&lt;0,BT99&amp;"/"&amp;BT99,"+"&amp;BT99&amp;"/+"&amp;BT99)&amp;" ("&amp;$BU99&amp;IF(Weapons!Y$82&lt;&gt;"20","/"&amp;Weapons!Y$82,"")&amp;IF(Weapons!Y$83&lt;&gt;2,"/×"&amp;Weapons!Y$83,"")&amp;") with Double Attack and "&amp;AQ99,""),"")</f>
        <v/>
      </c>
      <c r="FM100" s="1019" t="str">
        <f t="shared" si="2"/>
        <v/>
      </c>
    </row>
    <row r="101" spans="1:169" ht="9" customHeight="1" thickTop="1" thickBot="1">
      <c r="A101" s="910"/>
      <c r="B101" s="910"/>
      <c r="C101" s="112"/>
      <c r="D101" s="2183"/>
      <c r="E101" s="2184"/>
      <c r="F101" s="2184"/>
      <c r="G101" s="913"/>
      <c r="H101" s="913"/>
      <c r="I101" s="913"/>
      <c r="J101" s="913"/>
      <c r="K101" s="913"/>
      <c r="L101" s="913"/>
      <c r="M101" s="913"/>
      <c r="N101" s="913"/>
      <c r="O101" s="589"/>
      <c r="P101" s="589"/>
      <c r="Q101" s="589"/>
      <c r="R101" s="589"/>
      <c r="S101" s="589"/>
      <c r="T101" s="589"/>
      <c r="U101" s="589"/>
      <c r="V101" s="589"/>
      <c r="W101" s="589"/>
      <c r="X101" s="589"/>
      <c r="Y101" s="589"/>
      <c r="Z101" s="589"/>
      <c r="AA101" s="589"/>
      <c r="AB101" s="589"/>
      <c r="AC101" s="589"/>
      <c r="AD101" s="589"/>
      <c r="AE101" s="589"/>
      <c r="AF101" s="589"/>
      <c r="AG101" s="589"/>
      <c r="AH101" s="131"/>
      <c r="AI101" s="910"/>
      <c r="AJ101" s="910"/>
      <c r="AK101" s="910"/>
      <c r="AL101" s="910"/>
      <c r="AM101" s="910"/>
      <c r="AN101" s="910"/>
      <c r="AO101" s="910"/>
      <c r="AP101" s="647"/>
      <c r="AQ101" s="2192"/>
      <c r="AR101" s="2192"/>
      <c r="AS101" s="2192"/>
      <c r="AT101" s="2192"/>
      <c r="AU101" s="2192"/>
      <c r="AV101" s="2192"/>
      <c r="AW101" s="2192"/>
      <c r="AX101" s="2192"/>
      <c r="AY101" s="2192"/>
      <c r="AZ101" s="2192"/>
      <c r="BA101" s="2192"/>
      <c r="BB101" s="2192"/>
      <c r="BC101" s="2192"/>
      <c r="BD101" s="2192"/>
      <c r="BE101" s="2192"/>
      <c r="BF101" s="2192"/>
      <c r="BG101" s="2192"/>
      <c r="BH101" s="2192"/>
      <c r="BI101" s="2192"/>
      <c r="BJ101" s="2192"/>
      <c r="BK101" s="2192"/>
      <c r="BL101" s="910"/>
      <c r="BM101" s="647"/>
      <c r="BN101" s="913"/>
      <c r="BO101" s="102"/>
      <c r="BP101" s="2185"/>
      <c r="BQ101" s="2185"/>
      <c r="BR101" s="2185"/>
      <c r="BS101" s="2185"/>
      <c r="BT101" s="2200"/>
      <c r="BU101" s="2185"/>
      <c r="BV101" s="2185"/>
      <c r="BW101" s="2201"/>
      <c r="BX101" s="2185"/>
      <c r="BY101" s="2185"/>
      <c r="BZ101" s="2185"/>
      <c r="CA101" s="2185"/>
      <c r="CB101" s="913"/>
      <c r="CC101" s="102"/>
      <c r="CD101" s="913"/>
      <c r="CE101" s="102"/>
      <c r="CF101" s="910"/>
      <c r="CG101" s="910"/>
      <c r="CH101" s="910"/>
      <c r="CI101" s="910"/>
      <c r="CJ101" s="910"/>
      <c r="CK101" s="910"/>
      <c r="CL101" s="910"/>
      <c r="CM101" s="910"/>
      <c r="CN101" s="910"/>
      <c r="CO101" s="2207"/>
      <c r="CP101" s="2207"/>
      <c r="CQ101" s="2207"/>
      <c r="CR101" s="2207"/>
      <c r="CS101" s="2207"/>
      <c r="CT101" s="2207"/>
      <c r="CU101" s="2207"/>
      <c r="CV101" s="2207"/>
      <c r="CW101" s="2207"/>
      <c r="CX101" s="2207"/>
      <c r="CY101" s="2207"/>
      <c r="CZ101" s="2207"/>
      <c r="DA101" s="2207"/>
      <c r="DB101" s="2207"/>
      <c r="DC101" s="2207"/>
      <c r="DD101" s="2207"/>
      <c r="DE101" s="2207"/>
      <c r="DF101" s="2207"/>
      <c r="DG101" s="656"/>
      <c r="DH101" s="974"/>
      <c r="DI101" s="966"/>
      <c r="DJ101" s="966"/>
      <c r="DK101" s="967"/>
      <c r="DL101" s="118"/>
      <c r="DM101" s="910"/>
      <c r="DN101" s="910"/>
      <c r="DO101" s="910"/>
      <c r="DP101" s="910"/>
      <c r="DQ101" s="910"/>
      <c r="DR101" s="910"/>
      <c r="DS101" s="910"/>
      <c r="DT101" s="910"/>
      <c r="DU101" s="910"/>
      <c r="DV101" s="910"/>
      <c r="DW101" s="910"/>
      <c r="DX101" s="910"/>
      <c r="DY101" s="910"/>
      <c r="DZ101" s="910"/>
      <c r="EA101" s="910"/>
      <c r="EB101" s="910"/>
      <c r="EC101" s="910"/>
      <c r="ED101" s="910"/>
      <c r="EE101" s="910"/>
      <c r="EF101" s="910"/>
      <c r="EG101" s="910"/>
      <c r="EH101" s="910"/>
      <c r="EI101" s="910"/>
      <c r="EJ101" s="910"/>
      <c r="EK101" s="910"/>
      <c r="EL101" s="910"/>
      <c r="EM101" s="910"/>
      <c r="EN101" s="910"/>
      <c r="EO101" s="910"/>
      <c r="EP101" s="910"/>
      <c r="EQ101" s="910"/>
      <c r="ER101" s="910"/>
      <c r="ES101" s="910"/>
      <c r="ET101" s="910"/>
      <c r="EU101" s="910"/>
      <c r="EV101" s="910"/>
      <c r="EW101" s="910"/>
      <c r="EX101" s="910"/>
      <c r="EY101" s="910"/>
      <c r="EZ101" s="910"/>
      <c r="FA101" s="910"/>
      <c r="FB101" s="910"/>
      <c r="FC101" s="910"/>
      <c r="FD101" s="910"/>
      <c r="FE101" s="910"/>
      <c r="FF101" s="910"/>
      <c r="FG101" s="910"/>
      <c r="FH101" s="910"/>
      <c r="FI101" s="910"/>
      <c r="FJ101" s="910"/>
      <c r="FK101" s="910"/>
      <c r="FL101" s="1020" t="str">
        <f>IF(AND(AQ99&lt;&gt;"",BX99&lt;&gt;""),IF(BX96&lt;&gt;"",AQ91&amp;" "&amp;LOWER(J93)&amp;" "&amp;IF($BD99&lt;0,$BD99&amp;"/"&amp;$BD99&amp;"/"&amp;$BD99,"+"&amp;$BD99&amp;"/+"&amp;$BD99&amp;"/+"&amp;$BD99)&amp;" ("&amp;$BU99&amp;IF(Weapons!Y$82&lt;&gt;"20","/"&amp;Weapons!Y$82,"")&amp;IF(Weapons!Y$83&lt;&gt;2,"/×"&amp;Weapons!Y$83,"")&amp;") with Triple Attack and "&amp;AQ99,""),"")</f>
        <v/>
      </c>
      <c r="FM101" s="1019" t="str">
        <f t="shared" si="2"/>
        <v/>
      </c>
    </row>
    <row r="102" spans="1:169" ht="9" customHeight="1" thickTop="1" thickBot="1">
      <c r="A102" s="910"/>
      <c r="B102" s="910"/>
      <c r="C102" s="112"/>
      <c r="D102" s="2183"/>
      <c r="E102" s="2184"/>
      <c r="F102" s="2184"/>
      <c r="G102" s="93"/>
      <c r="H102" s="2182" t="s">
        <v>4051</v>
      </c>
      <c r="I102" s="2208"/>
      <c r="J102" s="2208"/>
      <c r="K102" s="2208"/>
      <c r="L102" s="295"/>
      <c r="M102" s="295"/>
      <c r="N102" s="295"/>
      <c r="O102" s="295"/>
      <c r="P102" s="295"/>
      <c r="Q102" s="295"/>
      <c r="R102" s="295"/>
      <c r="S102" s="295"/>
      <c r="T102" s="295"/>
      <c r="U102" s="295"/>
      <c r="V102" s="113"/>
      <c r="W102" s="910"/>
      <c r="X102" s="910"/>
      <c r="Y102" s="93"/>
      <c r="Z102" s="2182" t="s">
        <v>4089</v>
      </c>
      <c r="AA102" s="2208"/>
      <c r="AB102" s="2208"/>
      <c r="AC102" s="2208"/>
      <c r="AD102" s="295"/>
      <c r="AE102" s="295"/>
      <c r="AF102" s="295"/>
      <c r="AG102" s="295"/>
      <c r="AH102" s="295"/>
      <c r="AI102" s="295"/>
      <c r="AJ102" s="295"/>
      <c r="AK102" s="295"/>
      <c r="AL102" s="295"/>
      <c r="AM102" s="113"/>
      <c r="AN102" s="910"/>
      <c r="AO102" s="910"/>
      <c r="AP102" s="647"/>
      <c r="AQ102" s="2191"/>
      <c r="AR102" s="2191"/>
      <c r="AS102" s="2191"/>
      <c r="AT102" s="2191"/>
      <c r="AU102" s="2191"/>
      <c r="AV102" s="2191"/>
      <c r="AW102" s="2191"/>
      <c r="AX102" s="2191"/>
      <c r="AY102" s="2191"/>
      <c r="AZ102" s="2191"/>
      <c r="BA102" s="2191"/>
      <c r="BB102" s="2191"/>
      <c r="BC102" s="2191"/>
      <c r="BD102" s="2191"/>
      <c r="BE102" s="2191"/>
      <c r="BF102" s="2191"/>
      <c r="BG102" s="2191"/>
      <c r="BH102" s="2191"/>
      <c r="BI102" s="2191"/>
      <c r="BJ102" s="2191"/>
      <c r="BK102" s="2191"/>
      <c r="BL102" s="100"/>
      <c r="BM102" s="122"/>
      <c r="BN102" s="290"/>
      <c r="BO102" s="102"/>
      <c r="BP102" s="2185" t="str">
        <f>IF(AQ102&lt;&gt;"",IF(OR(INDEX(WeaponFeatsModsTable,MATCH(AQ102,WeaponFeatsModsList,0),7)=AQ91,INDEX(WeaponFeatsModsTable,MATCH(AQ102,WeaponFeatsModsList,0),7)=""),INDEX(WeaponFeatsModsTable,MATCH(AQ102,WeaponFeatsModsList,0),2)+BP93,""),"")</f>
        <v/>
      </c>
      <c r="BQ102" s="2185"/>
      <c r="BR102" s="2185"/>
      <c r="BS102" s="2185"/>
      <c r="BT102" s="2200" t="str">
        <f>IF(BP102&lt;&gt;"",IF(AND(OR(INDEX(WeaponFeatsModsTable,MATCH(AQ102,WeaponFeatsModsList,0),7)=AQ91,INDEX(WeaponFeatsModsTable,MATCH(AQ102,WeaponFeatsModsList,0),7)=""),INDEX(WeaponFeatsModsTable,MATCH(AQ102,WeaponFeatsModsList,0),8)&lt;&gt;"Yes"),IF(COUNTIF(FeatsCharacterSheet,BT96)&gt;0,BP102+BT90,""),""),"")</f>
        <v/>
      </c>
      <c r="BU102" s="2185"/>
      <c r="BV102" s="2185"/>
      <c r="BW102" s="2201"/>
      <c r="BX102" s="2185" t="str">
        <f>IF(BP102&lt;&gt;"",IF(AND(OR(INDEX(WeaponFeatsModsTable,MATCH(AQ102,WeaponFeatsModsList,0),7)=AQ91,INDEX(WeaponFeatsModsTable,MATCH(AQ102,WeaponFeatsModsList,0),7)=""),INDEX(WeaponFeatsModsTable,MATCH(AQ102,WeaponFeatsModsList,0),8)&lt;&gt;"Yes"),IF(COUNTIF(FeatsCharacterSheet,BX96)&gt;0,BP102+BX90,""),""),"")</f>
        <v/>
      </c>
      <c r="BY102" s="2185"/>
      <c r="BZ102" s="2185"/>
      <c r="CA102" s="2185"/>
      <c r="CB102" s="100"/>
      <c r="CC102" s="122"/>
      <c r="CD102" s="290"/>
      <c r="CE102" s="102"/>
      <c r="CF102" s="1883"/>
      <c r="CG102" s="1883"/>
      <c r="CH102" s="1883"/>
      <c r="CI102" s="1883"/>
      <c r="CJ102" s="1883"/>
      <c r="CK102" s="1883"/>
      <c r="CL102" s="1883"/>
      <c r="CM102" s="1883"/>
      <c r="CN102" s="1883"/>
      <c r="CO102" s="2207" t="str">
        <f>IF(AQ102&lt;&gt;"",IF(OR(INDEX(WeaponFeatsModsTable,MATCH(AQ102,WeaponFeatsModsList,0),7)=$AQ$91,INDEX(WeaponFeatsModsTable,MATCH(AQ102,WeaponFeatsModsList,0),7)=""),Weapons!Y$78+INDEX(WeaponFeatsModsTable,MATCH(AQ102,WeaponFeatsModsList,0),5)&amp;"d"&amp;Weapons!Y$79&amp;Weapons!Y$123&amp;"+"&amp;Weapons!Y$116+DH102+IF(AND(LEFT(AQ102,12)="Power Attack",$AQ$93="Two-Handed",$AQ$91="Melee"),INDEX(WeaponFeatsModsTable,MATCH(AQ102,WeaponFeatsModsList,0),4),INDEX(WeaponFeatsModsTable,MATCH(AQ102,WeaponFeatsModsList,0),3)),""),"")</f>
        <v/>
      </c>
      <c r="CP102" s="2207"/>
      <c r="CQ102" s="2207"/>
      <c r="CR102" s="2207"/>
      <c r="CS102" s="2207"/>
      <c r="CT102" s="2207"/>
      <c r="CU102" s="2207"/>
      <c r="CV102" s="2207"/>
      <c r="CW102" s="2207"/>
      <c r="CX102" s="2207"/>
      <c r="CY102" s="2207"/>
      <c r="CZ102" s="2207"/>
      <c r="DA102" s="2207"/>
      <c r="DB102" s="2207"/>
      <c r="DC102" s="2207"/>
      <c r="DD102" s="2207"/>
      <c r="DE102" s="2207"/>
      <c r="DF102" s="2207"/>
      <c r="DG102" s="656"/>
      <c r="DH102" s="974">
        <f>IF(AND(COUNTIF(Weapons!Y$56:Y$60,"Pulse Charger"),AQ91="Ranged"),INDEX(WeaponFeatsModsTable,MATCH(AQ102,WeaponFeatsModsList,0),5),0)</f>
        <v>0</v>
      </c>
      <c r="DI102" s="958"/>
      <c r="DJ102" s="958"/>
      <c r="DK102" s="112"/>
      <c r="DL102" s="118"/>
      <c r="DM102" s="910"/>
      <c r="DN102" s="910"/>
      <c r="DO102" s="910"/>
      <c r="DP102" s="910"/>
      <c r="DQ102" s="910"/>
      <c r="DR102" s="910"/>
      <c r="DS102" s="910"/>
      <c r="DT102" s="910"/>
      <c r="DU102" s="910"/>
      <c r="DV102" s="910"/>
      <c r="DW102" s="910"/>
      <c r="DX102" s="910"/>
      <c r="DY102" s="910"/>
      <c r="DZ102" s="910"/>
      <c r="EA102" s="910"/>
      <c r="EB102" s="910"/>
      <c r="EC102" s="910"/>
      <c r="ED102" s="910"/>
      <c r="EE102" s="910"/>
      <c r="EF102" s="910"/>
      <c r="EG102" s="910"/>
      <c r="EH102" s="910"/>
      <c r="EI102" s="910"/>
      <c r="EJ102" s="910"/>
      <c r="EK102" s="910"/>
      <c r="EL102" s="910"/>
      <c r="EM102" s="910"/>
      <c r="EN102" s="910"/>
      <c r="EO102" s="910"/>
      <c r="EP102" s="910"/>
      <c r="EQ102" s="910"/>
      <c r="ER102" s="910"/>
      <c r="ES102" s="910"/>
      <c r="ET102" s="910"/>
      <c r="EU102" s="910"/>
      <c r="EV102" s="910"/>
      <c r="EW102" s="910"/>
      <c r="EX102" s="910"/>
      <c r="EY102" s="910"/>
      <c r="EZ102" s="910"/>
      <c r="FA102" s="910"/>
      <c r="FB102" s="910"/>
      <c r="FC102" s="910"/>
      <c r="FD102" s="910"/>
      <c r="FE102" s="910"/>
      <c r="FF102" s="910"/>
      <c r="FG102" s="910"/>
      <c r="FH102" s="910"/>
      <c r="FI102" s="910"/>
      <c r="FJ102" s="910"/>
      <c r="FK102" s="910"/>
      <c r="FL102" s="1020" t="str">
        <f>IF(AND(AQ102&lt;&gt;"",BP102&lt;&gt;""),AQ91&amp;" "&amp;LOWER(J93)&amp;" "&amp;IF(BP102&lt;0,"","+")&amp;BP102&amp;" ("&amp;CO102&amp;IF(Weapons!Y$82&lt;&gt;"20","/"&amp;Weapons!Y$82,"")&amp;IF(Weapons!Y$83&lt;&gt;2,"/×"&amp;Weapons!Y$83,"")&amp;") with "&amp;AQ102,"")</f>
        <v/>
      </c>
      <c r="FM102" s="1019" t="str">
        <f t="shared" si="2"/>
        <v/>
      </c>
    </row>
    <row r="103" spans="1:169" ht="9" customHeight="1" thickTop="1">
      <c r="A103" s="910"/>
      <c r="B103" s="910"/>
      <c r="C103" s="112"/>
      <c r="D103" s="2183"/>
      <c r="E103" s="2184"/>
      <c r="F103" s="2184"/>
      <c r="G103" s="102"/>
      <c r="H103" s="2138"/>
      <c r="I103" s="2138"/>
      <c r="J103" s="2138"/>
      <c r="K103" s="2138"/>
      <c r="L103" s="2187" t="str">
        <f>Weapons!Y$23</f>
        <v/>
      </c>
      <c r="M103" s="2187"/>
      <c r="N103" s="2187"/>
      <c r="O103" s="2187"/>
      <c r="P103" s="2187"/>
      <c r="Q103" s="2187"/>
      <c r="R103" s="2187"/>
      <c r="S103" s="2187"/>
      <c r="T103" s="2187"/>
      <c r="U103" s="2187"/>
      <c r="V103" s="100"/>
      <c r="W103" s="910"/>
      <c r="X103" s="910"/>
      <c r="Y103" s="102"/>
      <c r="Z103" s="2138"/>
      <c r="AA103" s="2138"/>
      <c r="AB103" s="2138"/>
      <c r="AC103" s="2138"/>
      <c r="AD103" s="2187" t="str">
        <f>IF(J93="","",IF(Weapons!AB$22&lt;&gt;"",Weapons!Y113,Weapons!Y$82&amp;"/×"&amp;Weapons!Y$83))</f>
        <v/>
      </c>
      <c r="AE103" s="2187"/>
      <c r="AF103" s="2187"/>
      <c r="AG103" s="2187"/>
      <c r="AH103" s="2187"/>
      <c r="AI103" s="2187"/>
      <c r="AJ103" s="2187"/>
      <c r="AK103" s="2187"/>
      <c r="AL103" s="2187"/>
      <c r="AM103" s="100"/>
      <c r="AN103" s="910"/>
      <c r="AO103" s="910"/>
      <c r="AP103" s="647"/>
      <c r="AQ103" s="2191"/>
      <c r="AR103" s="2191"/>
      <c r="AS103" s="2191"/>
      <c r="AT103" s="2191"/>
      <c r="AU103" s="2191"/>
      <c r="AV103" s="2191"/>
      <c r="AW103" s="2191"/>
      <c r="AX103" s="2191"/>
      <c r="AY103" s="2191"/>
      <c r="AZ103" s="2191"/>
      <c r="BA103" s="2191"/>
      <c r="BB103" s="2191"/>
      <c r="BC103" s="2191"/>
      <c r="BD103" s="2191"/>
      <c r="BE103" s="2191"/>
      <c r="BF103" s="2191"/>
      <c r="BG103" s="2191"/>
      <c r="BH103" s="2191"/>
      <c r="BI103" s="2191"/>
      <c r="BJ103" s="2191"/>
      <c r="BK103" s="2191"/>
      <c r="BL103" s="100"/>
      <c r="BM103" s="111"/>
      <c r="BN103" s="111"/>
      <c r="BO103" s="647"/>
      <c r="BP103" s="2185"/>
      <c r="BQ103" s="2185"/>
      <c r="BR103" s="2185"/>
      <c r="BS103" s="2185"/>
      <c r="BT103" s="2200"/>
      <c r="BU103" s="2185"/>
      <c r="BV103" s="2185"/>
      <c r="BW103" s="2201"/>
      <c r="BX103" s="2185"/>
      <c r="BY103" s="2185"/>
      <c r="BZ103" s="2185"/>
      <c r="CA103" s="2185"/>
      <c r="CB103" s="100"/>
      <c r="CC103" s="111"/>
      <c r="CD103" s="111"/>
      <c r="CE103" s="102"/>
      <c r="CF103" s="1883"/>
      <c r="CG103" s="1883"/>
      <c r="CH103" s="1883"/>
      <c r="CI103" s="1883"/>
      <c r="CJ103" s="1883"/>
      <c r="CK103" s="1883"/>
      <c r="CL103" s="1883"/>
      <c r="CM103" s="1883"/>
      <c r="CN103" s="1883"/>
      <c r="CO103" s="2207"/>
      <c r="CP103" s="2207"/>
      <c r="CQ103" s="2207"/>
      <c r="CR103" s="2207"/>
      <c r="CS103" s="2207"/>
      <c r="CT103" s="2207"/>
      <c r="CU103" s="2207"/>
      <c r="CV103" s="2207"/>
      <c r="CW103" s="2207"/>
      <c r="CX103" s="2207"/>
      <c r="CY103" s="2207"/>
      <c r="CZ103" s="2207"/>
      <c r="DA103" s="2207"/>
      <c r="DB103" s="2207"/>
      <c r="DC103" s="2207"/>
      <c r="DD103" s="2207"/>
      <c r="DE103" s="2207"/>
      <c r="DF103" s="2207"/>
      <c r="DG103" s="656"/>
      <c r="DI103" s="958"/>
      <c r="DJ103" s="958"/>
      <c r="DK103" s="112"/>
      <c r="DL103" s="118"/>
      <c r="DM103" s="910"/>
      <c r="DN103" s="910"/>
      <c r="DO103" s="910"/>
      <c r="DP103" s="910"/>
      <c r="DQ103" s="910"/>
      <c r="DR103" s="910"/>
      <c r="DS103" s="910"/>
      <c r="DT103" s="910"/>
      <c r="DU103" s="910"/>
      <c r="DV103" s="910"/>
      <c r="DW103" s="910"/>
      <c r="DX103" s="910"/>
      <c r="DY103" s="910"/>
      <c r="DZ103" s="910"/>
      <c r="EA103" s="910"/>
      <c r="EB103" s="910"/>
      <c r="EC103" s="910"/>
      <c r="ED103" s="910"/>
      <c r="EE103" s="910"/>
      <c r="EF103" s="910"/>
      <c r="EG103" s="910"/>
      <c r="EH103" s="910"/>
      <c r="EI103" s="910"/>
      <c r="EJ103" s="910"/>
      <c r="EK103" s="910"/>
      <c r="EL103" s="910"/>
      <c r="EM103" s="910"/>
      <c r="EN103" s="910"/>
      <c r="EO103" s="910"/>
      <c r="EP103" s="910"/>
      <c r="EQ103" s="910"/>
      <c r="ER103" s="910"/>
      <c r="ES103" s="910"/>
      <c r="ET103" s="910"/>
      <c r="EU103" s="910"/>
      <c r="EV103" s="910"/>
      <c r="EW103" s="910"/>
      <c r="EX103" s="910"/>
      <c r="EY103" s="910"/>
      <c r="EZ103" s="910"/>
      <c r="FA103" s="910"/>
      <c r="FB103" s="910"/>
      <c r="FC103" s="910"/>
      <c r="FD103" s="910"/>
      <c r="FE103" s="910"/>
      <c r="FF103" s="910"/>
      <c r="FG103" s="910"/>
      <c r="FH103" s="910"/>
      <c r="FI103" s="910"/>
      <c r="FJ103" s="910"/>
      <c r="FK103" s="910"/>
      <c r="FL103" s="1020" t="str">
        <f>IF(AND(AQ102&lt;&gt;"",BT102&lt;&gt;""),IF(BT96&lt;&gt;"",AQ91&amp;" "&amp;LOWER(J93)&amp;" "&amp;IF($AZ102&lt;0,BT102&amp;"/"&amp;BT102,"+"&amp;BT102&amp;"/+"&amp;BT102)&amp;" ("&amp;$BU102&amp;IF(Weapons!Y$82&lt;&gt;"20","/"&amp;Weapons!Y$82,"")&amp;IF(Weapons!Y$83&lt;&gt;2,"/×"&amp;Weapons!Y$83,"")&amp;") with Double Attack and "&amp;AQ102,""),"")</f>
        <v/>
      </c>
      <c r="FM103" s="1019" t="str">
        <f t="shared" si="2"/>
        <v/>
      </c>
    </row>
    <row r="104" spans="1:169" ht="9" customHeight="1">
      <c r="A104" s="910"/>
      <c r="B104" s="910"/>
      <c r="C104" s="112"/>
      <c r="D104" s="2183"/>
      <c r="E104" s="2184"/>
      <c r="F104" s="2184"/>
      <c r="G104" s="102"/>
      <c r="H104" s="911"/>
      <c r="I104" s="911"/>
      <c r="J104" s="911"/>
      <c r="K104" s="911"/>
      <c r="L104" s="2187"/>
      <c r="M104" s="2187"/>
      <c r="N104" s="2187"/>
      <c r="O104" s="2187"/>
      <c r="P104" s="2187"/>
      <c r="Q104" s="2187"/>
      <c r="R104" s="2187"/>
      <c r="S104" s="2187"/>
      <c r="T104" s="2187"/>
      <c r="U104" s="2187"/>
      <c r="V104" s="100"/>
      <c r="W104" s="910"/>
      <c r="X104" s="910"/>
      <c r="Y104" s="102"/>
      <c r="Z104" s="911"/>
      <c r="AA104" s="911"/>
      <c r="AB104" s="911"/>
      <c r="AC104" s="911"/>
      <c r="AD104" s="2187"/>
      <c r="AE104" s="2187"/>
      <c r="AF104" s="2187"/>
      <c r="AG104" s="2187"/>
      <c r="AH104" s="2187"/>
      <c r="AI104" s="2187"/>
      <c r="AJ104" s="2187"/>
      <c r="AK104" s="2187"/>
      <c r="AL104" s="2187"/>
      <c r="AM104" s="100"/>
      <c r="AN104" s="910"/>
      <c r="AO104" s="910"/>
      <c r="AP104" s="647"/>
      <c r="AQ104" s="2192"/>
      <c r="AR104" s="2192"/>
      <c r="AS104" s="2192"/>
      <c r="AT104" s="2192"/>
      <c r="AU104" s="2192"/>
      <c r="AV104" s="2192"/>
      <c r="AW104" s="2192"/>
      <c r="AX104" s="2192"/>
      <c r="AY104" s="2192"/>
      <c r="AZ104" s="2192"/>
      <c r="BA104" s="2192"/>
      <c r="BB104" s="2192"/>
      <c r="BC104" s="2192"/>
      <c r="BD104" s="2192"/>
      <c r="BE104" s="2192"/>
      <c r="BF104" s="2192"/>
      <c r="BG104" s="2192"/>
      <c r="BH104" s="2192"/>
      <c r="BI104" s="2192"/>
      <c r="BJ104" s="2192"/>
      <c r="BK104" s="2192"/>
      <c r="BL104" s="910"/>
      <c r="BM104" s="647"/>
      <c r="BN104" s="913"/>
      <c r="BO104" s="102"/>
      <c r="BP104" s="2185"/>
      <c r="BQ104" s="2185"/>
      <c r="BR104" s="2185"/>
      <c r="BS104" s="2185"/>
      <c r="BT104" s="2200"/>
      <c r="BU104" s="2185"/>
      <c r="BV104" s="2185"/>
      <c r="BW104" s="2201"/>
      <c r="BX104" s="2185"/>
      <c r="BY104" s="2185"/>
      <c r="BZ104" s="2185"/>
      <c r="CA104" s="2185"/>
      <c r="CB104" s="913"/>
      <c r="CC104" s="102"/>
      <c r="CD104" s="913"/>
      <c r="CE104" s="102"/>
      <c r="CF104" s="910"/>
      <c r="CG104" s="910"/>
      <c r="CH104" s="910"/>
      <c r="CI104" s="910"/>
      <c r="CJ104" s="910"/>
      <c r="CK104" s="910"/>
      <c r="CL104" s="910"/>
      <c r="CM104" s="910"/>
      <c r="CN104" s="910"/>
      <c r="CO104" s="2207"/>
      <c r="CP104" s="2207"/>
      <c r="CQ104" s="2207"/>
      <c r="CR104" s="2207"/>
      <c r="CS104" s="2207"/>
      <c r="CT104" s="2207"/>
      <c r="CU104" s="2207"/>
      <c r="CV104" s="2207"/>
      <c r="CW104" s="2207"/>
      <c r="CX104" s="2207"/>
      <c r="CY104" s="2207"/>
      <c r="CZ104" s="2207"/>
      <c r="DA104" s="2207"/>
      <c r="DB104" s="2207"/>
      <c r="DC104" s="2207"/>
      <c r="DD104" s="2207"/>
      <c r="DE104" s="2207"/>
      <c r="DF104" s="2207"/>
      <c r="DG104" s="656"/>
      <c r="DI104" s="958"/>
      <c r="DJ104" s="958"/>
      <c r="DK104" s="112"/>
      <c r="DL104" s="118"/>
      <c r="DM104" s="910"/>
      <c r="DN104" s="910"/>
      <c r="DO104" s="910"/>
      <c r="DP104" s="910"/>
      <c r="DQ104" s="910"/>
      <c r="DR104" s="910"/>
      <c r="DS104" s="910"/>
      <c r="DT104" s="910"/>
      <c r="DU104" s="910"/>
      <c r="DV104" s="910"/>
      <c r="DW104" s="910"/>
      <c r="DX104" s="910"/>
      <c r="DY104" s="910"/>
      <c r="DZ104" s="910"/>
      <c r="EA104" s="910"/>
      <c r="EB104" s="910"/>
      <c r="EC104" s="910"/>
      <c r="ED104" s="910"/>
      <c r="EE104" s="910"/>
      <c r="EF104" s="910"/>
      <c r="EG104" s="910"/>
      <c r="EH104" s="910"/>
      <c r="EI104" s="910"/>
      <c r="EJ104" s="910"/>
      <c r="EK104" s="910"/>
      <c r="EL104" s="910"/>
      <c r="EM104" s="910"/>
      <c r="EN104" s="910"/>
      <c r="EO104" s="910"/>
      <c r="EP104" s="910"/>
      <c r="EQ104" s="910"/>
      <c r="ER104" s="910"/>
      <c r="ES104" s="910"/>
      <c r="ET104" s="910"/>
      <c r="EU104" s="910"/>
      <c r="EV104" s="910"/>
      <c r="EW104" s="910"/>
      <c r="EX104" s="910"/>
      <c r="EY104" s="910"/>
      <c r="EZ104" s="910"/>
      <c r="FA104" s="910"/>
      <c r="FB104" s="910"/>
      <c r="FC104" s="910"/>
      <c r="FD104" s="910"/>
      <c r="FE104" s="910"/>
      <c r="FF104" s="910"/>
      <c r="FG104" s="910"/>
      <c r="FH104" s="910"/>
      <c r="FI104" s="910"/>
      <c r="FJ104" s="910"/>
      <c r="FK104" s="910"/>
      <c r="FL104" s="1020" t="str">
        <f>IF(AND(AQ102&lt;&gt;"",BX102&lt;&gt;""),IF(BX96&lt;&gt;"",AQ91&amp;" "&amp;LOWER(J93)&amp;" "&amp;IF($BD102&lt;0,$BD102&amp;"/"&amp;$BD102&amp;"/"&amp;$BD102,"+"&amp;$BD102&amp;"/+"&amp;$BD102&amp;"/+"&amp;$BD102)&amp;" ("&amp;$BU102&amp;IF(Weapons!Y$82&lt;&gt;"20","/"&amp;Weapons!Y$82,"")&amp;IF(Weapons!Y$83&lt;&gt;2,"/×"&amp;Weapons!Y$83,"")&amp;") with Triple Attack and "&amp;AQ102,""),"")</f>
        <v/>
      </c>
      <c r="FM104" s="1019" t="str">
        <f t="shared" si="2"/>
        <v/>
      </c>
    </row>
    <row r="105" spans="1:169" ht="9" customHeight="1" thickBot="1">
      <c r="A105" s="910"/>
      <c r="B105" s="910"/>
      <c r="C105" s="112"/>
      <c r="D105" s="2183"/>
      <c r="E105" s="2184"/>
      <c r="F105" s="2184"/>
      <c r="G105" s="91"/>
      <c r="H105" s="912"/>
      <c r="I105" s="912"/>
      <c r="J105" s="912"/>
      <c r="K105" s="912"/>
      <c r="L105" s="2188"/>
      <c r="M105" s="2188"/>
      <c r="N105" s="2188"/>
      <c r="O105" s="2188"/>
      <c r="P105" s="2188"/>
      <c r="Q105" s="2188"/>
      <c r="R105" s="2188"/>
      <c r="S105" s="2188"/>
      <c r="T105" s="2188"/>
      <c r="U105" s="2188"/>
      <c r="V105" s="93"/>
      <c r="W105" s="910"/>
      <c r="X105" s="910"/>
      <c r="Y105" s="91"/>
      <c r="Z105" s="912"/>
      <c r="AA105" s="912"/>
      <c r="AB105" s="912"/>
      <c r="AC105" s="912"/>
      <c r="AD105" s="2188"/>
      <c r="AE105" s="2188"/>
      <c r="AF105" s="2188"/>
      <c r="AG105" s="2188"/>
      <c r="AH105" s="2188"/>
      <c r="AI105" s="2188"/>
      <c r="AJ105" s="2188"/>
      <c r="AK105" s="2188"/>
      <c r="AL105" s="2188"/>
      <c r="AM105" s="93"/>
      <c r="AN105" s="910"/>
      <c r="AO105" s="910"/>
      <c r="AP105" s="647"/>
      <c r="AQ105" s="2237"/>
      <c r="AR105" s="2237"/>
      <c r="AS105" s="2237"/>
      <c r="AT105" s="2237"/>
      <c r="AU105" s="2237"/>
      <c r="AV105" s="2237"/>
      <c r="AW105" s="2237"/>
      <c r="AX105" s="2237"/>
      <c r="AY105" s="2237"/>
      <c r="AZ105" s="2237"/>
      <c r="BA105" s="2237"/>
      <c r="BB105" s="2237"/>
      <c r="BC105" s="2237"/>
      <c r="BD105" s="2237"/>
      <c r="BE105" s="2237"/>
      <c r="BF105" s="2237"/>
      <c r="BG105" s="2237"/>
      <c r="BH105" s="2237"/>
      <c r="BI105" s="2237"/>
      <c r="BJ105" s="2237"/>
      <c r="BK105" s="2237"/>
      <c r="BL105" s="100"/>
      <c r="BM105" s="122"/>
      <c r="BN105" s="290"/>
      <c r="BO105" s="102"/>
      <c r="BP105" s="2185" t="str">
        <f>IF(AQ105&lt;&gt;"",IF(OR(INDEX(WeaponFeatsModsTable,MATCH(AQ105,WeaponFeatsModsList,0),7)=AQ91,INDEX(WeaponFeatsModsTable,MATCH(AQ105,WeaponFeatsModsList,0),7)=""),INDEX(WeaponFeatsModsTable,MATCH(AQ105,WeaponFeatsModsList,0),2)+BP93,""),"")</f>
        <v/>
      </c>
      <c r="BQ105" s="2185"/>
      <c r="BR105" s="2185"/>
      <c r="BS105" s="2185"/>
      <c r="BT105" s="2200" t="str">
        <f>IF(BP105&lt;&gt;"",IF(AND(OR(INDEX(WeaponFeatsModsTable,MATCH(AQ105,WeaponFeatsModsList,0),7)=AQ91,INDEX(WeaponFeatsModsTable,MATCH(AQ105,WeaponFeatsModsList,0),7)=""),INDEX(WeaponFeatsModsTable,MATCH(AQ105,WeaponFeatsModsList,0),8)&lt;&gt;"Yes"),IF(COUNTIF(FeatsCharacterSheet,BT96)&gt;0,BP105+BT90,""),""),"")</f>
        <v/>
      </c>
      <c r="BU105" s="2185"/>
      <c r="BV105" s="2185"/>
      <c r="BW105" s="2201"/>
      <c r="BX105" s="2185" t="str">
        <f>IF(BP105&lt;&gt;"",IF(AND(OR(INDEX(WeaponFeatsModsTable,MATCH(AQ105,WeaponFeatsModsList,0),7)=AQ91,INDEX(WeaponFeatsModsTable,MATCH(AQ105,WeaponFeatsModsList,0),7)=""),INDEX(WeaponFeatsModsTable,MATCH(AQ105,WeaponFeatsModsList,0),8)&lt;&gt;"Yes"),IF(COUNTIF(FeatsCharacterSheet,BX96)&gt;0,BP105+BX90,""),""),"")</f>
        <v/>
      </c>
      <c r="BY105" s="2185"/>
      <c r="BZ105" s="2185"/>
      <c r="CA105" s="2185"/>
      <c r="CB105" s="100"/>
      <c r="CC105" s="122"/>
      <c r="CD105" s="290"/>
      <c r="CE105" s="102"/>
      <c r="CF105" s="1883"/>
      <c r="CG105" s="1883"/>
      <c r="CH105" s="1883"/>
      <c r="CI105" s="1883"/>
      <c r="CJ105" s="1883"/>
      <c r="CK105" s="1883"/>
      <c r="CL105" s="1883"/>
      <c r="CM105" s="1883"/>
      <c r="CN105" s="1883"/>
      <c r="CO105" s="2207" t="str">
        <f>IF(AQ105&lt;&gt;"",IF(OR(INDEX(WeaponFeatsModsTable,MATCH(AQ105,WeaponFeatsModsList,0),7)=$AQ$91,INDEX(WeaponFeatsModsTable,MATCH(AQ105,WeaponFeatsModsList,0),7)=""),Weapons!Y$78+INDEX(WeaponFeatsModsTable,MATCH(AQ105,WeaponFeatsModsList,0),5)&amp;"d"&amp;Weapons!Y$79&amp;Weapons!Y$123&amp;"+"&amp;Weapons!Y$116+DH105+IF(AND(LEFT(AQ105,12)="Power Attack",$AQ$93="Two-Handed",$AQ$91="Melee"),INDEX(WeaponFeatsModsTable,MATCH(AQ105,WeaponFeatsModsList,0),4),INDEX(WeaponFeatsModsTable,MATCH(AQ105,WeaponFeatsModsList,0),3)),""),"")</f>
        <v/>
      </c>
      <c r="CP105" s="2207"/>
      <c r="CQ105" s="2207"/>
      <c r="CR105" s="2207"/>
      <c r="CS105" s="2207"/>
      <c r="CT105" s="2207"/>
      <c r="CU105" s="2207"/>
      <c r="CV105" s="2207"/>
      <c r="CW105" s="2207"/>
      <c r="CX105" s="2207"/>
      <c r="CY105" s="2207"/>
      <c r="CZ105" s="2207"/>
      <c r="DA105" s="2207"/>
      <c r="DB105" s="2207"/>
      <c r="DC105" s="2207"/>
      <c r="DD105" s="2207"/>
      <c r="DE105" s="2207"/>
      <c r="DF105" s="2207"/>
      <c r="DG105" s="656"/>
      <c r="DH105" s="974">
        <f>IF(AND(COUNTIF(Weapons!Y$56:Y$60,"Pulse Charger"),AQ91="Ranged"),INDEX(WeaponFeatsModsTable,MATCH(AQ105,WeaponFeatsModsList,0),5),0)</f>
        <v>0</v>
      </c>
      <c r="DI105" s="958"/>
      <c r="DJ105" s="958"/>
      <c r="DK105" s="112"/>
      <c r="DL105" s="118"/>
      <c r="DM105" s="910"/>
      <c r="DN105" s="910"/>
      <c r="DO105" s="910"/>
      <c r="DP105" s="910"/>
      <c r="DQ105" s="910"/>
      <c r="DR105" s="910"/>
      <c r="DS105" s="910"/>
      <c r="DT105" s="910"/>
      <c r="DU105" s="910"/>
      <c r="DV105" s="910"/>
      <c r="DW105" s="910"/>
      <c r="DX105" s="910"/>
      <c r="DY105" s="910"/>
      <c r="DZ105" s="910"/>
      <c r="EA105" s="910"/>
      <c r="EB105" s="910"/>
      <c r="EC105" s="910"/>
      <c r="ED105" s="910"/>
      <c r="EE105" s="910"/>
      <c r="EF105" s="910"/>
      <c r="EG105" s="910"/>
      <c r="EH105" s="910"/>
      <c r="EI105" s="910"/>
      <c r="EJ105" s="910"/>
      <c r="EK105" s="910"/>
      <c r="EL105" s="910"/>
      <c r="EM105" s="910"/>
      <c r="EN105" s="910"/>
      <c r="EO105" s="910"/>
      <c r="EP105" s="910"/>
      <c r="EQ105" s="910"/>
      <c r="ER105" s="910"/>
      <c r="ES105" s="910"/>
      <c r="ET105" s="910"/>
      <c r="EU105" s="910"/>
      <c r="EV105" s="910"/>
      <c r="EW105" s="910"/>
      <c r="EX105" s="910"/>
      <c r="EY105" s="910"/>
      <c r="EZ105" s="910"/>
      <c r="FA105" s="910"/>
      <c r="FB105" s="910"/>
      <c r="FC105" s="910"/>
      <c r="FD105" s="910"/>
      <c r="FE105" s="910"/>
      <c r="FF105" s="910"/>
      <c r="FG105" s="910"/>
      <c r="FH105" s="910"/>
      <c r="FI105" s="910"/>
      <c r="FJ105" s="910"/>
      <c r="FK105" s="910"/>
      <c r="FL105" s="1020" t="str">
        <f>IF(AND(AQ105&lt;&gt;"",BP105&lt;&gt;""),AQ91&amp;" "&amp;LOWER(J93)&amp;" "&amp;IF(BP105&lt;0,"","+")&amp;BP105&amp;" ("&amp;CO105&amp;IF(Weapons!Y$82&lt;&gt;"20","/"&amp;Weapons!Y$82,"")&amp;IF(Weapons!Y$83&lt;&gt;2,"/×"&amp;Weapons!Y$83,"")&amp;") with "&amp;AQ105,"")</f>
        <v/>
      </c>
      <c r="FM105" s="1019" t="str">
        <f t="shared" si="2"/>
        <v/>
      </c>
    </row>
    <row r="106" spans="1:169" ht="9" customHeight="1" thickTop="1" thickBot="1">
      <c r="A106" s="910"/>
      <c r="B106" s="910"/>
      <c r="C106" s="112"/>
      <c r="D106" s="2183"/>
      <c r="E106" s="2184"/>
      <c r="F106" s="2184"/>
      <c r="G106" s="118"/>
      <c r="H106" s="118"/>
      <c r="I106" s="105"/>
      <c r="J106" s="913"/>
      <c r="K106" s="913"/>
      <c r="L106" s="913"/>
      <c r="M106" s="913"/>
      <c r="N106" s="653"/>
      <c r="O106" s="653"/>
      <c r="P106" s="653"/>
      <c r="Q106" s="653"/>
      <c r="R106" s="653"/>
      <c r="S106" s="131"/>
      <c r="T106" s="118"/>
      <c r="U106" s="118"/>
      <c r="V106" s="105"/>
      <c r="W106" s="913"/>
      <c r="X106" s="118"/>
      <c r="Y106" s="118"/>
      <c r="Z106" s="118"/>
      <c r="AA106" s="118"/>
      <c r="AB106" s="118"/>
      <c r="AC106" s="118"/>
      <c r="AD106" s="118"/>
      <c r="AE106" s="118"/>
      <c r="AF106" s="118"/>
      <c r="AG106" s="118"/>
      <c r="AH106" s="118"/>
      <c r="AI106" s="118"/>
      <c r="AJ106" s="118"/>
      <c r="AK106" s="118"/>
      <c r="AL106" s="118"/>
      <c r="AM106" s="118"/>
      <c r="AN106" s="118"/>
      <c r="AO106" s="910"/>
      <c r="AP106" s="647"/>
      <c r="AQ106" s="2237"/>
      <c r="AR106" s="2237"/>
      <c r="AS106" s="2237"/>
      <c r="AT106" s="2237"/>
      <c r="AU106" s="2237"/>
      <c r="AV106" s="2237"/>
      <c r="AW106" s="2237"/>
      <c r="AX106" s="2237"/>
      <c r="AY106" s="2237"/>
      <c r="AZ106" s="2237"/>
      <c r="BA106" s="2237"/>
      <c r="BB106" s="2237"/>
      <c r="BC106" s="2237"/>
      <c r="BD106" s="2237"/>
      <c r="BE106" s="2237"/>
      <c r="BF106" s="2237"/>
      <c r="BG106" s="2237"/>
      <c r="BH106" s="2237"/>
      <c r="BI106" s="2237"/>
      <c r="BJ106" s="2237"/>
      <c r="BK106" s="2237"/>
      <c r="BL106" s="100"/>
      <c r="BM106" s="111"/>
      <c r="BN106" s="111"/>
      <c r="BO106" s="647"/>
      <c r="BP106" s="2185"/>
      <c r="BQ106" s="2185"/>
      <c r="BR106" s="2185"/>
      <c r="BS106" s="2185"/>
      <c r="BT106" s="2200"/>
      <c r="BU106" s="2185"/>
      <c r="BV106" s="2185"/>
      <c r="BW106" s="2201"/>
      <c r="BX106" s="2185"/>
      <c r="BY106" s="2185"/>
      <c r="BZ106" s="2185"/>
      <c r="CA106" s="2185"/>
      <c r="CB106" s="100"/>
      <c r="CC106" s="111"/>
      <c r="CD106" s="111"/>
      <c r="CE106" s="102"/>
      <c r="CF106" s="1883"/>
      <c r="CG106" s="1883"/>
      <c r="CH106" s="1883"/>
      <c r="CI106" s="1883"/>
      <c r="CJ106" s="1883"/>
      <c r="CK106" s="1883"/>
      <c r="CL106" s="1883"/>
      <c r="CM106" s="1883"/>
      <c r="CN106" s="1883"/>
      <c r="CO106" s="2207"/>
      <c r="CP106" s="2207"/>
      <c r="CQ106" s="2207"/>
      <c r="CR106" s="2207"/>
      <c r="CS106" s="2207"/>
      <c r="CT106" s="2207"/>
      <c r="CU106" s="2207"/>
      <c r="CV106" s="2207"/>
      <c r="CW106" s="2207"/>
      <c r="CX106" s="2207"/>
      <c r="CY106" s="2207"/>
      <c r="CZ106" s="2207"/>
      <c r="DA106" s="2207"/>
      <c r="DB106" s="2207"/>
      <c r="DC106" s="2207"/>
      <c r="DD106" s="2207"/>
      <c r="DE106" s="2207"/>
      <c r="DF106" s="2207"/>
      <c r="DG106" s="656"/>
      <c r="DI106" s="958"/>
      <c r="DJ106" s="958"/>
      <c r="DK106" s="112"/>
      <c r="DL106" s="118"/>
      <c r="DM106" s="910"/>
      <c r="DN106" s="910"/>
      <c r="DO106" s="910"/>
      <c r="DP106" s="910"/>
      <c r="DQ106" s="910"/>
      <c r="DR106" s="910"/>
      <c r="DS106" s="910"/>
      <c r="DT106" s="910"/>
      <c r="DU106" s="910"/>
      <c r="DV106" s="910"/>
      <c r="DW106" s="910"/>
      <c r="DX106" s="910"/>
      <c r="DY106" s="910"/>
      <c r="DZ106" s="910"/>
      <c r="EA106" s="910"/>
      <c r="EB106" s="910"/>
      <c r="EC106" s="910"/>
      <c r="ED106" s="910"/>
      <c r="EE106" s="910"/>
      <c r="EF106" s="910"/>
      <c r="EG106" s="910"/>
      <c r="EH106" s="910"/>
      <c r="EI106" s="910"/>
      <c r="EJ106" s="910"/>
      <c r="EK106" s="910"/>
      <c r="EL106" s="910"/>
      <c r="EM106" s="910"/>
      <c r="EN106" s="910"/>
      <c r="EO106" s="910"/>
      <c r="EP106" s="910"/>
      <c r="EQ106" s="910"/>
      <c r="ER106" s="910"/>
      <c r="ES106" s="910"/>
      <c r="ET106" s="910"/>
      <c r="EU106" s="910"/>
      <c r="EV106" s="910"/>
      <c r="EW106" s="910"/>
      <c r="EX106" s="910"/>
      <c r="EY106" s="910"/>
      <c r="EZ106" s="910"/>
      <c r="FA106" s="910"/>
      <c r="FB106" s="910"/>
      <c r="FC106" s="910"/>
      <c r="FD106" s="910"/>
      <c r="FE106" s="910"/>
      <c r="FF106" s="910"/>
      <c r="FG106" s="910"/>
      <c r="FH106" s="910"/>
      <c r="FI106" s="910"/>
      <c r="FJ106" s="910"/>
      <c r="FK106" s="910"/>
      <c r="FL106" s="1020" t="str">
        <f>IF(AND(AQ105&lt;&gt;"",BT105&lt;&gt;""),IF(BT96&lt;&gt;"",AQ91&amp;" "&amp;LOWER(J93)&amp;" "&amp;IF($AZ105&lt;0,BT105&amp;"/"&amp;BT105,"+"&amp;BT105&amp;"/+"&amp;BT105)&amp;" ("&amp;$BU105&amp;IF(Weapons!Y$82&lt;&gt;"20","/"&amp;Weapons!Y$82,"")&amp;IF(Weapons!Y$83&lt;&gt;2,"/×"&amp;Weapons!Y$83,"")&amp;") with Double Attack and "&amp;AQ105,""),"")</f>
        <v/>
      </c>
      <c r="FM106" s="1019" t="str">
        <f t="shared" si="2"/>
        <v/>
      </c>
    </row>
    <row r="107" spans="1:169" ht="9" customHeight="1" thickTop="1">
      <c r="A107" s="910"/>
      <c r="B107" s="910"/>
      <c r="C107" s="112"/>
      <c r="D107" s="2183"/>
      <c r="E107" s="2184"/>
      <c r="F107" s="2184"/>
      <c r="G107" s="93"/>
      <c r="H107" s="2182" t="str">
        <f>IF(AG108&lt;&gt;"","AMMO","POWER")</f>
        <v>POWER</v>
      </c>
      <c r="I107" s="2182"/>
      <c r="J107" s="2182"/>
      <c r="K107" s="2182"/>
      <c r="L107" s="2182"/>
      <c r="M107" s="2182"/>
      <c r="N107" s="295"/>
      <c r="O107" s="295"/>
      <c r="P107" s="295"/>
      <c r="Q107" s="295"/>
      <c r="R107" s="295"/>
      <c r="S107" s="295"/>
      <c r="T107" s="295"/>
      <c r="U107" s="295"/>
      <c r="V107" s="295"/>
      <c r="W107" s="295"/>
      <c r="X107" s="295"/>
      <c r="Y107" s="295"/>
      <c r="Z107" s="295"/>
      <c r="AA107" s="295"/>
      <c r="AB107" s="295"/>
      <c r="AC107" s="295"/>
      <c r="AD107" s="295"/>
      <c r="AE107" s="295"/>
      <c r="AF107" s="295"/>
      <c r="AG107" s="295"/>
      <c r="AH107" s="295"/>
      <c r="AI107" s="295"/>
      <c r="AJ107" s="295"/>
      <c r="AK107" s="295"/>
      <c r="AL107" s="295"/>
      <c r="AM107" s="113"/>
      <c r="AN107" s="910"/>
      <c r="AO107" s="910"/>
      <c r="AP107" s="647"/>
      <c r="AQ107" s="2238"/>
      <c r="AR107" s="2238"/>
      <c r="AS107" s="2238"/>
      <c r="AT107" s="2238"/>
      <c r="AU107" s="2238"/>
      <c r="AV107" s="2238"/>
      <c r="AW107" s="2238"/>
      <c r="AX107" s="2238"/>
      <c r="AY107" s="2238"/>
      <c r="AZ107" s="2238"/>
      <c r="BA107" s="2238"/>
      <c r="BB107" s="2238"/>
      <c r="BC107" s="2238"/>
      <c r="BD107" s="2238"/>
      <c r="BE107" s="2238"/>
      <c r="BF107" s="2238"/>
      <c r="BG107" s="2238"/>
      <c r="BH107" s="2238"/>
      <c r="BI107" s="2238"/>
      <c r="BJ107" s="2238"/>
      <c r="BK107" s="2238"/>
      <c r="BL107" s="910"/>
      <c r="BM107" s="647"/>
      <c r="BN107" s="913"/>
      <c r="BO107" s="102"/>
      <c r="BP107" s="2185"/>
      <c r="BQ107" s="2185"/>
      <c r="BR107" s="2185"/>
      <c r="BS107" s="2185"/>
      <c r="BT107" s="2200"/>
      <c r="BU107" s="2185"/>
      <c r="BV107" s="2185"/>
      <c r="BW107" s="2201"/>
      <c r="BX107" s="2185"/>
      <c r="BY107" s="2185"/>
      <c r="BZ107" s="2185"/>
      <c r="CA107" s="2185"/>
      <c r="CB107" s="913"/>
      <c r="CC107" s="102"/>
      <c r="CD107" s="913"/>
      <c r="CE107" s="102"/>
      <c r="CF107" s="910"/>
      <c r="CG107" s="910"/>
      <c r="CH107" s="910"/>
      <c r="CI107" s="910"/>
      <c r="CJ107" s="910"/>
      <c r="CK107" s="910"/>
      <c r="CL107" s="910"/>
      <c r="CM107" s="910"/>
      <c r="CN107" s="910"/>
      <c r="CO107" s="2207"/>
      <c r="CP107" s="2207"/>
      <c r="CQ107" s="2207"/>
      <c r="CR107" s="2207"/>
      <c r="CS107" s="2207"/>
      <c r="CT107" s="2207"/>
      <c r="CU107" s="2207"/>
      <c r="CV107" s="2207"/>
      <c r="CW107" s="2207"/>
      <c r="CX107" s="2207"/>
      <c r="CY107" s="2207"/>
      <c r="CZ107" s="2207"/>
      <c r="DA107" s="2207"/>
      <c r="DB107" s="2207"/>
      <c r="DC107" s="2207"/>
      <c r="DD107" s="2207"/>
      <c r="DE107" s="2207"/>
      <c r="DF107" s="2207"/>
      <c r="DG107" s="656"/>
      <c r="DI107" s="958"/>
      <c r="DJ107" s="958"/>
      <c r="DK107" s="112"/>
      <c r="DL107" s="87"/>
      <c r="DM107" s="910"/>
      <c r="DN107" s="910"/>
      <c r="DO107" s="910"/>
      <c r="DP107" s="910"/>
      <c r="DQ107" s="910"/>
      <c r="DR107" s="910"/>
      <c r="DS107" s="910"/>
      <c r="DT107" s="910"/>
      <c r="DU107" s="910"/>
      <c r="DV107" s="910"/>
      <c r="DW107" s="910"/>
      <c r="DX107" s="910"/>
      <c r="DY107" s="910"/>
      <c r="DZ107" s="910"/>
      <c r="EA107" s="910"/>
      <c r="EB107" s="910"/>
      <c r="EC107" s="910"/>
      <c r="ED107" s="910"/>
      <c r="EE107" s="910"/>
      <c r="EF107" s="910"/>
      <c r="EG107" s="910"/>
      <c r="EH107" s="910"/>
      <c r="EI107" s="910"/>
      <c r="EJ107" s="910"/>
      <c r="EK107" s="910"/>
      <c r="EL107" s="910"/>
      <c r="EM107" s="910"/>
      <c r="EN107" s="910"/>
      <c r="EO107" s="910"/>
      <c r="EP107" s="910"/>
      <c r="EQ107" s="910"/>
      <c r="ER107" s="910"/>
      <c r="ES107" s="910"/>
      <c r="ET107" s="910"/>
      <c r="EU107" s="910"/>
      <c r="EV107" s="910"/>
      <c r="EW107" s="910"/>
      <c r="EX107" s="910"/>
      <c r="EY107" s="910"/>
      <c r="EZ107" s="910"/>
      <c r="FA107" s="910"/>
      <c r="FB107" s="910"/>
      <c r="FC107" s="910"/>
      <c r="FD107" s="910"/>
      <c r="FE107" s="910"/>
      <c r="FF107" s="910"/>
      <c r="FG107" s="910"/>
      <c r="FH107" s="910"/>
      <c r="FI107" s="910"/>
      <c r="FJ107" s="910"/>
      <c r="FK107" s="910"/>
      <c r="FL107" s="1020" t="str">
        <f>IF(AND(AQ105&lt;&gt;"",BX105&lt;&gt;""),IF(BX96&lt;&gt;"",AQ91&amp;" "&amp;LOWER(J93)&amp;" "&amp;IF($BD105&lt;0,$BD105&amp;"/"&amp;$BD105&amp;"/"&amp;$BD105,"+"&amp;$BD105&amp;"/+"&amp;$BD105&amp;"/+"&amp;$BD105)&amp;" ("&amp;$BU105&amp;IF(Weapons!Y$82&lt;&gt;"20","/"&amp;Weapons!Y$82,"")&amp;IF(Weapons!Y$83&lt;&gt;2,"/×"&amp;Weapons!Y$83,"")&amp;") with Triple Attack and "&amp;AQ105,""),"")</f>
        <v/>
      </c>
      <c r="FM107" s="1019" t="str">
        <f t="shared" si="2"/>
        <v/>
      </c>
    </row>
    <row r="108" spans="1:169" ht="9" customHeight="1">
      <c r="A108" s="910"/>
      <c r="B108" s="910"/>
      <c r="C108" s="112"/>
      <c r="D108" s="2183"/>
      <c r="E108" s="2184"/>
      <c r="F108" s="2184"/>
      <c r="G108" s="102"/>
      <c r="H108" s="2180"/>
      <c r="I108" s="2180"/>
      <c r="J108" s="2180"/>
      <c r="K108" s="2180"/>
      <c r="L108" s="2180"/>
      <c r="M108" s="2180"/>
      <c r="N108" s="1875" t="str">
        <f>Weapons!Y$25</f>
        <v/>
      </c>
      <c r="O108" s="1875"/>
      <c r="P108" s="1875"/>
      <c r="Q108" s="1875"/>
      <c r="R108" s="1875"/>
      <c r="S108" s="1875"/>
      <c r="T108" s="1875"/>
      <c r="U108" s="1875"/>
      <c r="V108" s="1875"/>
      <c r="W108" s="1875"/>
      <c r="X108" s="1875"/>
      <c r="Y108" s="1875"/>
      <c r="Z108" s="1875"/>
      <c r="AA108" s="1875"/>
      <c r="AB108" s="1875"/>
      <c r="AC108" s="1875"/>
      <c r="AD108" s="1875"/>
      <c r="AE108" s="1875"/>
      <c r="AF108" s="1875"/>
      <c r="AG108" s="1863" t="str">
        <f>Weapons!Y$26</f>
        <v/>
      </c>
      <c r="AH108" s="1863"/>
      <c r="AI108" s="1863"/>
      <c r="AJ108" s="1863"/>
      <c r="AK108" s="1863"/>
      <c r="AL108" s="1863"/>
      <c r="AM108" s="100"/>
      <c r="AN108" s="910"/>
      <c r="AO108" s="910"/>
      <c r="AP108" s="102"/>
      <c r="AQ108" s="2191"/>
      <c r="AR108" s="2191"/>
      <c r="AS108" s="2191"/>
      <c r="AT108" s="2191"/>
      <c r="AU108" s="2191"/>
      <c r="AV108" s="2191"/>
      <c r="AW108" s="2191"/>
      <c r="AX108" s="2191"/>
      <c r="AY108" s="2191"/>
      <c r="AZ108" s="2191"/>
      <c r="BA108" s="2191"/>
      <c r="BB108" s="2191"/>
      <c r="BC108" s="2191"/>
      <c r="BD108" s="2191"/>
      <c r="BE108" s="2191"/>
      <c r="BF108" s="2191"/>
      <c r="BG108" s="2191"/>
      <c r="BH108" s="2191"/>
      <c r="BI108" s="2191"/>
      <c r="BJ108" s="2191"/>
      <c r="BK108" s="2191"/>
      <c r="BL108" s="910"/>
      <c r="BM108" s="647"/>
      <c r="BN108" s="910"/>
      <c r="BO108" s="102"/>
      <c r="BP108" s="2185" t="str">
        <f>IF(AQ108&lt;&gt;"",IF(OR(INDEX(WeaponFeatsModsTable,MATCH(AQ108,WeaponFeatsModsList,0),7)=AQ91,INDEX(WeaponFeatsModsTable,MATCH(AQ108,WeaponFeatsModsList,0),7)=""),INDEX(WeaponFeatsModsTable,MATCH(AQ108,WeaponFeatsModsList,0),2)+BP93,""),"")</f>
        <v/>
      </c>
      <c r="BQ108" s="2185"/>
      <c r="BR108" s="2185"/>
      <c r="BS108" s="2185"/>
      <c r="BT108" s="2200" t="str">
        <f>IF(BP108&lt;&gt;"",IF(AND(OR(INDEX(WeaponFeatsModsTable,MATCH(AQ108,WeaponFeatsModsList,0),7)=AQ91,INDEX(WeaponFeatsModsTable,MATCH(AQ108,WeaponFeatsModsList,0),7)=""),INDEX(WeaponFeatsModsTable,MATCH(AQ108,WeaponFeatsModsList,0),8)&lt;&gt;"Yes"),IF(COUNTIF(FeatsCharacterSheet,BT96)&gt;0,BP108+BT90,""),""),"")</f>
        <v/>
      </c>
      <c r="BU108" s="2185"/>
      <c r="BV108" s="2185"/>
      <c r="BW108" s="2201"/>
      <c r="BX108" s="2185" t="str">
        <f>IF(BP108&lt;&gt;"",IF(AND(OR(INDEX(WeaponFeatsModsTable,MATCH(AQ108,WeaponFeatsModsList,0),7)=AQ91,INDEX(WeaponFeatsModsTable,MATCH(AQ108,WeaponFeatsModsList,0),7)=""),INDEX(WeaponFeatsModsTable,MATCH(AQ108,WeaponFeatsModsList,0),8)&lt;&gt;"Yes"),IF(COUNTIF(FeatsCharacterSheet,BX96)&gt;0,BP108+BX90,""),""),"")</f>
        <v/>
      </c>
      <c r="BY108" s="2185"/>
      <c r="BZ108" s="2185"/>
      <c r="CA108" s="2185"/>
      <c r="CB108" s="100"/>
      <c r="CC108" s="910"/>
      <c r="CD108" s="913"/>
      <c r="CE108" s="102"/>
      <c r="CF108" s="2209"/>
      <c r="CG108" s="2209"/>
      <c r="CH108" s="2209"/>
      <c r="CI108" s="2209"/>
      <c r="CJ108" s="2209"/>
      <c r="CK108" s="2209"/>
      <c r="CL108" s="2209"/>
      <c r="CM108" s="2209"/>
      <c r="CN108" s="2209"/>
      <c r="CO108" s="2207" t="str">
        <f>IF(AQ108&lt;&gt;"",IF(OR(INDEX(WeaponFeatsModsTable,MATCH(AQ108,WeaponFeatsModsList,0),7)=$AQ$91,INDEX(WeaponFeatsModsTable,MATCH(AQ108,WeaponFeatsModsList,0),7)=""),Weapons!Y$78+INDEX(WeaponFeatsModsTable,MATCH(AQ108,WeaponFeatsModsList,0),5)&amp;"d"&amp;Weapons!Y$79&amp;Weapons!Y$123&amp;"+"&amp;Weapons!Y$116+DH108+IF(AND(LEFT(AQ108,12)="Power Attack",$AQ$93="Two-Handed",$AQ$91="Melee"),INDEX(WeaponFeatsModsTable,MATCH(AQ108,WeaponFeatsModsList,0),4),INDEX(WeaponFeatsModsTable,MATCH(AQ108,WeaponFeatsModsList,0),3)),""),"")</f>
        <v/>
      </c>
      <c r="CP108" s="2207"/>
      <c r="CQ108" s="2207"/>
      <c r="CR108" s="2207"/>
      <c r="CS108" s="2207"/>
      <c r="CT108" s="2207"/>
      <c r="CU108" s="2207"/>
      <c r="CV108" s="2207"/>
      <c r="CW108" s="2207"/>
      <c r="CX108" s="2207"/>
      <c r="CY108" s="2207"/>
      <c r="CZ108" s="2207"/>
      <c r="DA108" s="2207"/>
      <c r="DB108" s="2207"/>
      <c r="DC108" s="2207"/>
      <c r="DD108" s="2207"/>
      <c r="DE108" s="2207"/>
      <c r="DF108" s="2207"/>
      <c r="DG108" s="656"/>
      <c r="DH108" s="974">
        <f>IF(AND(COUNTIF(Weapons!Y$56:Y$60,"Pulse Charger"),AQ91="Ranged"),INDEX(WeaponFeatsModsTable,MATCH(AQ108,WeaponFeatsModsList,0),5),0)</f>
        <v>0</v>
      </c>
      <c r="DI108" s="958"/>
      <c r="DJ108" s="958"/>
      <c r="DK108" s="112"/>
      <c r="DL108" s="109"/>
      <c r="DM108" s="910"/>
      <c r="DN108" s="910"/>
      <c r="DO108" s="910"/>
      <c r="DP108" s="910"/>
      <c r="DQ108" s="910"/>
      <c r="DR108" s="910"/>
      <c r="DS108" s="910"/>
      <c r="DT108" s="910"/>
      <c r="DU108" s="910"/>
      <c r="DV108" s="910"/>
      <c r="DW108" s="910"/>
      <c r="DX108" s="910"/>
      <c r="DY108" s="910"/>
      <c r="DZ108" s="910"/>
      <c r="EA108" s="910"/>
      <c r="EB108" s="910"/>
      <c r="EC108" s="910"/>
      <c r="ED108" s="910"/>
      <c r="EE108" s="910"/>
      <c r="EF108" s="910"/>
      <c r="EG108" s="910"/>
      <c r="EH108" s="910"/>
      <c r="EI108" s="910"/>
      <c r="EJ108" s="910"/>
      <c r="EK108" s="910"/>
      <c r="EL108" s="910"/>
      <c r="EM108" s="910"/>
      <c r="EN108" s="910"/>
      <c r="EO108" s="910"/>
      <c r="EP108" s="910"/>
      <c r="EQ108" s="910"/>
      <c r="ER108" s="910"/>
      <c r="ES108" s="910"/>
      <c r="ET108" s="910"/>
      <c r="EU108" s="910"/>
      <c r="EV108" s="910"/>
      <c r="EW108" s="910"/>
      <c r="EX108" s="910"/>
      <c r="EY108" s="910"/>
      <c r="EZ108" s="910"/>
      <c r="FA108" s="910"/>
      <c r="FB108" s="910"/>
      <c r="FC108" s="910"/>
      <c r="FD108" s="910"/>
      <c r="FE108" s="910"/>
      <c r="FF108" s="910"/>
      <c r="FG108" s="910"/>
      <c r="FH108" s="910"/>
      <c r="FI108" s="910"/>
      <c r="FJ108" s="910"/>
      <c r="FK108" s="910"/>
      <c r="FL108" s="1020" t="str">
        <f>IF(AND(AQ108&lt;&gt;"",BP108&lt;&gt;""),AQ91&amp;" "&amp;LOWER(J93)&amp;" "&amp;IF(BP108&lt;0,"","+")&amp;BP108&amp;" ("&amp;CO108&amp;IF(Weapons!Y$82&lt;&gt;"20","/"&amp;Weapons!Y$82,"")&amp;IF(Weapons!Y$83&lt;&gt;2,"/×"&amp;Weapons!Y$83,"")&amp;") with "&amp;AQ108,"")</f>
        <v/>
      </c>
      <c r="FM108" s="1019" t="str">
        <f t="shared" si="2"/>
        <v/>
      </c>
    </row>
    <row r="109" spans="1:169" ht="9" customHeight="1">
      <c r="A109" s="910"/>
      <c r="B109" s="910"/>
      <c r="C109" s="112"/>
      <c r="D109" s="2183"/>
      <c r="E109" s="2184"/>
      <c r="F109" s="2184"/>
      <c r="G109" s="102"/>
      <c r="H109" s="911"/>
      <c r="I109" s="911"/>
      <c r="J109" s="911"/>
      <c r="K109" s="911"/>
      <c r="L109" s="911"/>
      <c r="M109" s="911"/>
      <c r="N109" s="1875"/>
      <c r="O109" s="1875"/>
      <c r="P109" s="1875"/>
      <c r="Q109" s="1875"/>
      <c r="R109" s="1875"/>
      <c r="S109" s="1875"/>
      <c r="T109" s="1875"/>
      <c r="U109" s="1875"/>
      <c r="V109" s="1875"/>
      <c r="W109" s="1875"/>
      <c r="X109" s="1875"/>
      <c r="Y109" s="1875"/>
      <c r="Z109" s="1875"/>
      <c r="AA109" s="1875"/>
      <c r="AB109" s="1875"/>
      <c r="AC109" s="1875"/>
      <c r="AD109" s="1875"/>
      <c r="AE109" s="1875"/>
      <c r="AF109" s="1875"/>
      <c r="AG109" s="1863"/>
      <c r="AH109" s="1863"/>
      <c r="AI109" s="1863"/>
      <c r="AJ109" s="1863"/>
      <c r="AK109" s="1863"/>
      <c r="AL109" s="1863"/>
      <c r="AM109" s="100"/>
      <c r="AN109" s="910"/>
      <c r="AO109" s="910"/>
      <c r="AP109" s="647"/>
      <c r="AQ109" s="2191"/>
      <c r="AR109" s="2191"/>
      <c r="AS109" s="2191"/>
      <c r="AT109" s="2191"/>
      <c r="AU109" s="2191"/>
      <c r="AV109" s="2191"/>
      <c r="AW109" s="2191"/>
      <c r="AX109" s="2191"/>
      <c r="AY109" s="2191"/>
      <c r="AZ109" s="2191"/>
      <c r="BA109" s="2191"/>
      <c r="BB109" s="2191"/>
      <c r="BC109" s="2191"/>
      <c r="BD109" s="2191"/>
      <c r="BE109" s="2191"/>
      <c r="BF109" s="2191"/>
      <c r="BG109" s="2191"/>
      <c r="BH109" s="2191"/>
      <c r="BI109" s="2191"/>
      <c r="BJ109" s="2191"/>
      <c r="BK109" s="2191"/>
      <c r="BL109" s="100"/>
      <c r="BM109" s="910"/>
      <c r="BN109" s="910"/>
      <c r="BO109" s="647"/>
      <c r="BP109" s="2185"/>
      <c r="BQ109" s="2185"/>
      <c r="BR109" s="2185"/>
      <c r="BS109" s="2185"/>
      <c r="BT109" s="2200"/>
      <c r="BU109" s="2185"/>
      <c r="BV109" s="2185"/>
      <c r="BW109" s="2201"/>
      <c r="BX109" s="2185"/>
      <c r="BY109" s="2185"/>
      <c r="BZ109" s="2185"/>
      <c r="CA109" s="2185"/>
      <c r="CB109" s="100"/>
      <c r="CC109" s="910"/>
      <c r="CD109" s="913"/>
      <c r="CE109" s="102"/>
      <c r="CF109" s="2209"/>
      <c r="CG109" s="2209"/>
      <c r="CH109" s="2209"/>
      <c r="CI109" s="2209"/>
      <c r="CJ109" s="2209"/>
      <c r="CK109" s="2209"/>
      <c r="CL109" s="2209"/>
      <c r="CM109" s="2209"/>
      <c r="CN109" s="2209"/>
      <c r="CO109" s="2207"/>
      <c r="CP109" s="2207"/>
      <c r="CQ109" s="2207"/>
      <c r="CR109" s="2207"/>
      <c r="CS109" s="2207"/>
      <c r="CT109" s="2207"/>
      <c r="CU109" s="2207"/>
      <c r="CV109" s="2207"/>
      <c r="CW109" s="2207"/>
      <c r="CX109" s="2207"/>
      <c r="CY109" s="2207"/>
      <c r="CZ109" s="2207"/>
      <c r="DA109" s="2207"/>
      <c r="DB109" s="2207"/>
      <c r="DC109" s="2207"/>
      <c r="DD109" s="2207"/>
      <c r="DE109" s="2207"/>
      <c r="DF109" s="2207"/>
      <c r="DG109" s="656"/>
      <c r="DI109" s="958"/>
      <c r="DJ109" s="958"/>
      <c r="DK109" s="112"/>
      <c r="DL109" s="109"/>
      <c r="DM109" s="910"/>
      <c r="DN109" s="910"/>
      <c r="DO109" s="910"/>
      <c r="DP109" s="910"/>
      <c r="DQ109" s="910"/>
      <c r="DR109" s="910"/>
      <c r="DS109" s="910"/>
      <c r="DT109" s="910"/>
      <c r="DU109" s="910"/>
      <c r="DV109" s="910"/>
      <c r="DW109" s="910"/>
      <c r="DX109" s="910"/>
      <c r="DY109" s="910"/>
      <c r="DZ109" s="910"/>
      <c r="EA109" s="910"/>
      <c r="EB109" s="910"/>
      <c r="EC109" s="910"/>
      <c r="ED109" s="910"/>
      <c r="EE109" s="910"/>
      <c r="EF109" s="910"/>
      <c r="EG109" s="910"/>
      <c r="EH109" s="910"/>
      <c r="EI109" s="910"/>
      <c r="EJ109" s="910"/>
      <c r="EK109" s="910"/>
      <c r="EL109" s="910"/>
      <c r="EM109" s="910"/>
      <c r="EN109" s="910"/>
      <c r="EO109" s="910"/>
      <c r="EP109" s="910"/>
      <c r="EQ109" s="910"/>
      <c r="ER109" s="910"/>
      <c r="ES109" s="910"/>
      <c r="ET109" s="910"/>
      <c r="EU109" s="910"/>
      <c r="EV109" s="910"/>
      <c r="EW109" s="910"/>
      <c r="EX109" s="910"/>
      <c r="EY109" s="910"/>
      <c r="EZ109" s="910"/>
      <c r="FA109" s="910"/>
      <c r="FB109" s="910"/>
      <c r="FC109" s="910"/>
      <c r="FD109" s="910"/>
      <c r="FE109" s="910"/>
      <c r="FF109" s="910"/>
      <c r="FG109" s="910"/>
      <c r="FH109" s="910"/>
      <c r="FI109" s="910"/>
      <c r="FJ109" s="910"/>
      <c r="FK109" s="910"/>
      <c r="FL109" s="1020" t="str">
        <f>IF(AND(AQ108&lt;&gt;"",BT108&lt;&gt;""),IF(BT96&lt;&gt;"",AQ91&amp;" "&amp;LOWER(J93)&amp;" "&amp;IF($AZ108&lt;0,BT108&amp;"/"&amp;BT108,"+"&amp;BT108&amp;"/+"&amp;BT108)&amp;" ("&amp;$BU108&amp;IF(Weapons!Y$82&lt;&gt;"20","/"&amp;Weapons!Y$82,"")&amp;IF(Weapons!Y$83&lt;&gt;2,"/×"&amp;Weapons!Y$83,"")&amp;") with Double Attack and "&amp;AQ108,""),"")</f>
        <v/>
      </c>
      <c r="FM109" s="1019" t="str">
        <f t="shared" si="2"/>
        <v/>
      </c>
    </row>
    <row r="110" spans="1:169" ht="9" customHeight="1" thickBot="1">
      <c r="A110" s="910"/>
      <c r="B110" s="910"/>
      <c r="C110" s="112"/>
      <c r="D110" s="2183"/>
      <c r="E110" s="2184"/>
      <c r="F110" s="2184"/>
      <c r="G110" s="91"/>
      <c r="H110" s="912"/>
      <c r="I110" s="912"/>
      <c r="J110" s="912"/>
      <c r="K110" s="912"/>
      <c r="L110" s="912"/>
      <c r="M110" s="912"/>
      <c r="N110" s="1876"/>
      <c r="O110" s="1876"/>
      <c r="P110" s="1876"/>
      <c r="Q110" s="1876"/>
      <c r="R110" s="1876"/>
      <c r="S110" s="1876"/>
      <c r="T110" s="1876"/>
      <c r="U110" s="1876"/>
      <c r="V110" s="1876"/>
      <c r="W110" s="1876"/>
      <c r="X110" s="1876"/>
      <c r="Y110" s="1876"/>
      <c r="Z110" s="1876"/>
      <c r="AA110" s="1876"/>
      <c r="AB110" s="1876"/>
      <c r="AC110" s="1876"/>
      <c r="AD110" s="1876"/>
      <c r="AE110" s="1876"/>
      <c r="AF110" s="1876"/>
      <c r="AG110" s="1864"/>
      <c r="AH110" s="1864"/>
      <c r="AI110" s="1864"/>
      <c r="AJ110" s="1864"/>
      <c r="AK110" s="1864"/>
      <c r="AL110" s="1864"/>
      <c r="AM110" s="93"/>
      <c r="AN110" s="910"/>
      <c r="AO110" s="910"/>
      <c r="AP110" s="649"/>
      <c r="AQ110" s="2204"/>
      <c r="AR110" s="2204"/>
      <c r="AS110" s="2204"/>
      <c r="AT110" s="2204"/>
      <c r="AU110" s="2204"/>
      <c r="AV110" s="2204"/>
      <c r="AW110" s="2204"/>
      <c r="AX110" s="2204"/>
      <c r="AY110" s="2204"/>
      <c r="AZ110" s="2204"/>
      <c r="BA110" s="2204"/>
      <c r="BB110" s="2204"/>
      <c r="BC110" s="2204"/>
      <c r="BD110" s="2204"/>
      <c r="BE110" s="2204"/>
      <c r="BF110" s="2204"/>
      <c r="BG110" s="2204"/>
      <c r="BH110" s="2204"/>
      <c r="BI110" s="2204"/>
      <c r="BJ110" s="2204"/>
      <c r="BK110" s="2204"/>
      <c r="BL110" s="93"/>
      <c r="BM110" s="910"/>
      <c r="BN110" s="910"/>
      <c r="BO110" s="649"/>
      <c r="BP110" s="2186"/>
      <c r="BQ110" s="2186"/>
      <c r="BR110" s="2186"/>
      <c r="BS110" s="2186"/>
      <c r="BT110" s="2202"/>
      <c r="BU110" s="2186"/>
      <c r="BV110" s="2186"/>
      <c r="BW110" s="2203"/>
      <c r="BX110" s="2186"/>
      <c r="BY110" s="2186"/>
      <c r="BZ110" s="2186"/>
      <c r="CA110" s="2186"/>
      <c r="CB110" s="93"/>
      <c r="CC110" s="910"/>
      <c r="CD110" s="910"/>
      <c r="CE110" s="91"/>
      <c r="CF110" s="713"/>
      <c r="CG110" s="713"/>
      <c r="CH110" s="713"/>
      <c r="CI110" s="713"/>
      <c r="CJ110" s="713"/>
      <c r="CK110" s="713"/>
      <c r="CL110" s="713"/>
      <c r="CM110" s="713"/>
      <c r="CN110" s="713"/>
      <c r="CO110" s="2218"/>
      <c r="CP110" s="2218"/>
      <c r="CQ110" s="2218"/>
      <c r="CR110" s="2218"/>
      <c r="CS110" s="2218"/>
      <c r="CT110" s="2218"/>
      <c r="CU110" s="2218"/>
      <c r="CV110" s="2218"/>
      <c r="CW110" s="2218"/>
      <c r="CX110" s="2218"/>
      <c r="CY110" s="2218"/>
      <c r="CZ110" s="2218"/>
      <c r="DA110" s="2218"/>
      <c r="DB110" s="2218"/>
      <c r="DC110" s="2218"/>
      <c r="DD110" s="2218"/>
      <c r="DE110" s="2218"/>
      <c r="DF110" s="2218"/>
      <c r="DG110" s="93"/>
      <c r="DI110" s="958"/>
      <c r="DJ110" s="958"/>
      <c r="DK110" s="112"/>
      <c r="DL110" s="118"/>
      <c r="DM110" s="910"/>
      <c r="DN110" s="910"/>
      <c r="DO110" s="910"/>
      <c r="DP110" s="910"/>
      <c r="DQ110" s="910"/>
      <c r="DR110" s="910"/>
      <c r="DS110" s="910"/>
      <c r="DT110" s="910"/>
      <c r="DU110" s="910"/>
      <c r="DV110" s="910"/>
      <c r="DW110" s="910"/>
      <c r="DX110" s="910"/>
      <c r="DY110" s="910"/>
      <c r="DZ110" s="910"/>
      <c r="EA110" s="910"/>
      <c r="EB110" s="910"/>
      <c r="EC110" s="910"/>
      <c r="ED110" s="910"/>
      <c r="EE110" s="910"/>
      <c r="EF110" s="910"/>
      <c r="EG110" s="910"/>
      <c r="EH110" s="910"/>
      <c r="EI110" s="910"/>
      <c r="EJ110" s="910"/>
      <c r="EK110" s="910"/>
      <c r="EL110" s="910"/>
      <c r="EM110" s="910"/>
      <c r="EN110" s="910"/>
      <c r="EO110" s="910"/>
      <c r="EP110" s="910"/>
      <c r="EQ110" s="910"/>
      <c r="ER110" s="910"/>
      <c r="ES110" s="910"/>
      <c r="ET110" s="910"/>
      <c r="EU110" s="910"/>
      <c r="EV110" s="910"/>
      <c r="EW110" s="910"/>
      <c r="EX110" s="910"/>
      <c r="EY110" s="910"/>
      <c r="EZ110" s="910"/>
      <c r="FA110" s="910"/>
      <c r="FB110" s="910"/>
      <c r="FC110" s="910"/>
      <c r="FD110" s="910"/>
      <c r="FE110" s="910"/>
      <c r="FF110" s="910"/>
      <c r="FG110" s="910"/>
      <c r="FH110" s="910"/>
      <c r="FI110" s="910"/>
      <c r="FJ110" s="910"/>
      <c r="FK110" s="910"/>
      <c r="FL110" s="1020" t="str">
        <f>IF(AND(AQ108&lt;&gt;"",BX108&lt;&gt;""),IF(BX96&lt;&gt;"",AQ91&amp;" "&amp;LOWER(J93)&amp;" "&amp;IF($BD108&lt;0,$BD108&amp;"/"&amp;$BD108&amp;"/"&amp;$BD108,"+"&amp;$BD108&amp;"/+"&amp;$BD108&amp;"/+"&amp;$BD108)&amp;" ("&amp;$BU108&amp;IF(Weapons!Y$82&lt;&gt;"20","/"&amp;Weapons!Y$82,"")&amp;IF(Weapons!Y$83&lt;&gt;2,"/×"&amp;Weapons!Y$83,"")&amp;") with Triple Attack and "&amp;AQ108,""),"")</f>
        <v/>
      </c>
      <c r="FM110" s="1019" t="str">
        <f t="shared" si="2"/>
        <v/>
      </c>
    </row>
    <row r="111" spans="1:169" ht="9" customHeight="1" thickTop="1" thickBot="1">
      <c r="A111" s="910"/>
      <c r="B111" s="910"/>
      <c r="C111" s="112"/>
      <c r="D111" s="2183"/>
      <c r="E111" s="2184"/>
      <c r="F111" s="2184"/>
      <c r="G111" s="910"/>
      <c r="H111" s="910"/>
      <c r="I111" s="910"/>
      <c r="J111" s="910"/>
      <c r="K111" s="910"/>
      <c r="L111" s="910"/>
      <c r="M111" s="910"/>
      <c r="N111" s="910"/>
      <c r="O111" s="910"/>
      <c r="P111" s="910"/>
      <c r="Q111" s="910"/>
      <c r="R111" s="910"/>
      <c r="S111" s="910"/>
      <c r="T111" s="910"/>
      <c r="U111" s="910"/>
      <c r="V111" s="910"/>
      <c r="W111" s="910"/>
      <c r="X111" s="910"/>
      <c r="Y111" s="910"/>
      <c r="Z111" s="910"/>
      <c r="AA111" s="910"/>
      <c r="AB111" s="910"/>
      <c r="AC111" s="910"/>
      <c r="AD111" s="910"/>
      <c r="AE111" s="910"/>
      <c r="AF111" s="910"/>
      <c r="AG111" s="910"/>
      <c r="AH111" s="910"/>
      <c r="AI111" s="910"/>
      <c r="AJ111" s="442"/>
      <c r="AK111" s="442"/>
      <c r="AL111" s="442"/>
      <c r="AM111" s="442"/>
      <c r="AN111" s="910"/>
      <c r="AO111" s="910"/>
      <c r="AP111" s="910"/>
      <c r="AQ111" s="910"/>
      <c r="AR111" s="910"/>
      <c r="AS111" s="910"/>
      <c r="AT111" s="910"/>
      <c r="AU111" s="910"/>
      <c r="AV111" s="910"/>
      <c r="AW111" s="910"/>
      <c r="AX111" s="910"/>
      <c r="AY111" s="910"/>
      <c r="AZ111" s="910"/>
      <c r="BA111" s="910"/>
      <c r="BB111" s="910"/>
      <c r="BC111" s="910"/>
      <c r="BD111" s="910"/>
      <c r="BE111" s="910"/>
      <c r="BF111" s="910"/>
      <c r="BG111" s="910"/>
      <c r="BH111" s="910"/>
      <c r="BI111" s="910"/>
      <c r="BJ111" s="910"/>
      <c r="BK111" s="910"/>
      <c r="BL111" s="910"/>
      <c r="BM111" s="910"/>
      <c r="BN111" s="910"/>
      <c r="BO111" s="910"/>
      <c r="BP111" s="910"/>
      <c r="BQ111" s="910"/>
      <c r="BR111" s="910"/>
      <c r="BS111" s="910"/>
      <c r="BT111" s="910"/>
      <c r="BU111" s="910"/>
      <c r="BV111" s="910"/>
      <c r="BW111" s="910"/>
      <c r="BX111" s="910"/>
      <c r="BY111" s="910"/>
      <c r="BZ111" s="910"/>
      <c r="CA111" s="910"/>
      <c r="CB111" s="910"/>
      <c r="CC111" s="910"/>
      <c r="CD111" s="910"/>
      <c r="CE111" s="910"/>
      <c r="CF111" s="910"/>
      <c r="CG111" s="910"/>
      <c r="CH111" s="910"/>
      <c r="CI111" s="910"/>
      <c r="CJ111" s="910"/>
      <c r="CK111" s="910"/>
      <c r="CL111" s="910"/>
      <c r="CM111" s="910"/>
      <c r="CN111" s="910"/>
      <c r="CO111" s="910"/>
      <c r="CP111" s="910"/>
      <c r="CQ111" s="910"/>
      <c r="CR111" s="910"/>
      <c r="CS111" s="910"/>
      <c r="CT111" s="910"/>
      <c r="CU111" s="910"/>
      <c r="CV111" s="910"/>
      <c r="CW111" s="910"/>
      <c r="CX111" s="910"/>
      <c r="CY111" s="910"/>
      <c r="CZ111" s="910"/>
      <c r="DA111" s="910"/>
      <c r="DB111" s="910"/>
      <c r="DC111" s="910"/>
      <c r="DD111" s="910"/>
      <c r="DE111" s="910"/>
      <c r="DF111" s="910"/>
      <c r="DG111" s="910"/>
      <c r="DI111" s="958"/>
      <c r="DJ111" s="958"/>
      <c r="DK111" s="112"/>
      <c r="DL111" s="118"/>
      <c r="DM111" s="910"/>
      <c r="DN111" s="910"/>
      <c r="DO111" s="910"/>
      <c r="DP111" s="910"/>
      <c r="DQ111" s="910"/>
      <c r="DR111" s="910"/>
      <c r="DS111" s="910"/>
      <c r="DT111" s="910"/>
      <c r="DU111" s="910"/>
      <c r="DV111" s="910"/>
      <c r="DW111" s="910"/>
      <c r="DX111" s="910"/>
      <c r="DY111" s="910"/>
      <c r="DZ111" s="910"/>
      <c r="EA111" s="910"/>
      <c r="EB111" s="910"/>
      <c r="EC111" s="910"/>
      <c r="ED111" s="910"/>
      <c r="EE111" s="910"/>
      <c r="EF111" s="910"/>
      <c r="EG111" s="910"/>
      <c r="EH111" s="910"/>
      <c r="EI111" s="910"/>
      <c r="EJ111" s="910"/>
      <c r="EK111" s="910"/>
      <c r="EL111" s="910"/>
      <c r="EM111" s="910"/>
      <c r="EN111" s="910"/>
      <c r="EO111" s="910"/>
      <c r="EP111" s="910"/>
      <c r="EQ111" s="910"/>
      <c r="ER111" s="910"/>
      <c r="ES111" s="910"/>
      <c r="ET111" s="910"/>
      <c r="EU111" s="910"/>
      <c r="EV111" s="910"/>
      <c r="EW111" s="910"/>
      <c r="EX111" s="910"/>
      <c r="EY111" s="910"/>
      <c r="EZ111" s="910"/>
      <c r="FA111" s="910"/>
      <c r="FB111" s="910"/>
      <c r="FC111" s="910"/>
      <c r="FD111" s="910"/>
      <c r="FE111" s="910"/>
      <c r="FF111" s="910"/>
      <c r="FG111" s="910"/>
      <c r="FH111" s="910"/>
      <c r="FI111" s="910"/>
      <c r="FJ111" s="910"/>
      <c r="FK111" s="910"/>
      <c r="FL111" s="1019" t="str">
        <f>IF(Weapons!AI$16="Dual Wield",IF(Weapons!O$16="Dual Wield",IF(AND(FL93&lt;&gt;"",FL135&lt;&gt;""),FL93&amp;" and "&amp;RIGHT(FL135,IF(Weapons!AI$12="Melee",LEN(FL135)-6,LEN(FL135)-7)),""),""),"")</f>
        <v/>
      </c>
      <c r="FM111" s="1019" t="str">
        <f t="shared" si="2"/>
        <v/>
      </c>
    </row>
    <row r="112" spans="1:169" ht="9" customHeight="1" thickTop="1">
      <c r="A112" s="910"/>
      <c r="B112" s="910"/>
      <c r="C112" s="87"/>
      <c r="D112" s="256"/>
      <c r="E112" s="118"/>
      <c r="F112" s="910"/>
      <c r="G112" s="910"/>
      <c r="H112" s="910"/>
      <c r="I112" s="93"/>
      <c r="J112" s="2182" t="s">
        <v>3614</v>
      </c>
      <c r="K112" s="2182"/>
      <c r="L112" s="2182"/>
      <c r="M112" s="2182"/>
      <c r="N112" s="2182"/>
      <c r="O112" s="2182"/>
      <c r="P112" s="295"/>
      <c r="Q112" s="296"/>
      <c r="R112" s="296"/>
      <c r="S112" s="296"/>
      <c r="T112" s="296"/>
      <c r="U112" s="296"/>
      <c r="V112" s="296"/>
      <c r="W112" s="296"/>
      <c r="X112" s="296"/>
      <c r="Y112" s="296"/>
      <c r="Z112" s="296"/>
      <c r="AA112" s="296"/>
      <c r="AB112" s="296"/>
      <c r="AC112" s="296"/>
      <c r="AD112" s="296"/>
      <c r="AE112" s="296"/>
      <c r="AF112" s="296"/>
      <c r="AG112" s="296"/>
      <c r="AH112" s="296"/>
      <c r="AI112" s="296"/>
      <c r="AJ112" s="296"/>
      <c r="AK112" s="296"/>
      <c r="AL112" s="296"/>
      <c r="AM112" s="296"/>
      <c r="AN112" s="296"/>
      <c r="AO112" s="296"/>
      <c r="AP112" s="296"/>
      <c r="AQ112" s="296"/>
      <c r="AR112" s="296"/>
      <c r="AS112" s="296"/>
      <c r="AT112" s="296"/>
      <c r="AU112" s="296"/>
      <c r="AV112" s="296"/>
      <c r="AW112" s="296"/>
      <c r="AX112" s="296"/>
      <c r="AY112" s="296"/>
      <c r="AZ112" s="296"/>
      <c r="BA112" s="296"/>
      <c r="BB112" s="296"/>
      <c r="BC112" s="296"/>
      <c r="BD112" s="296"/>
      <c r="BE112" s="296"/>
      <c r="BF112" s="296"/>
      <c r="BG112" s="296"/>
      <c r="BH112" s="296"/>
      <c r="BI112" s="296"/>
      <c r="BJ112" s="296"/>
      <c r="BK112" s="296"/>
      <c r="BL112" s="296"/>
      <c r="BM112" s="296"/>
      <c r="BN112" s="296"/>
      <c r="BO112" s="296"/>
      <c r="BP112" s="296"/>
      <c r="BQ112" s="296"/>
      <c r="BR112" s="296"/>
      <c r="BS112" s="296"/>
      <c r="BT112" s="296"/>
      <c r="BU112" s="296"/>
      <c r="BV112" s="296"/>
      <c r="BW112" s="296"/>
      <c r="BX112" s="296"/>
      <c r="BY112" s="296"/>
      <c r="BZ112" s="296"/>
      <c r="CA112" s="296"/>
      <c r="CB112" s="296"/>
      <c r="CC112" s="296"/>
      <c r="CD112" s="296"/>
      <c r="CE112" s="296"/>
      <c r="CF112" s="296"/>
      <c r="CG112" s="296"/>
      <c r="CH112" s="296"/>
      <c r="CI112" s="296"/>
      <c r="CJ112" s="296"/>
      <c r="CK112" s="296"/>
      <c r="CL112" s="296"/>
      <c r="CM112" s="296"/>
      <c r="CN112" s="296"/>
      <c r="CO112" s="296"/>
      <c r="CP112" s="296"/>
      <c r="CQ112" s="296"/>
      <c r="CR112" s="296"/>
      <c r="CS112" s="296"/>
      <c r="CT112" s="296"/>
      <c r="CU112" s="296"/>
      <c r="CV112" s="296"/>
      <c r="CW112" s="296"/>
      <c r="CX112" s="296"/>
      <c r="CY112" s="296"/>
      <c r="CZ112" s="296"/>
      <c r="DA112" s="296"/>
      <c r="DB112" s="296"/>
      <c r="DC112" s="296"/>
      <c r="DD112" s="296"/>
      <c r="DE112" s="296"/>
      <c r="DF112" s="296"/>
      <c r="DG112" s="297"/>
      <c r="DI112" s="958"/>
      <c r="DJ112" s="87"/>
      <c r="DK112" s="292"/>
      <c r="DL112" s="118"/>
      <c r="DM112" s="910"/>
      <c r="DN112" s="910"/>
      <c r="DO112" s="910"/>
      <c r="DP112" s="910"/>
      <c r="DQ112" s="910"/>
      <c r="DR112" s="910"/>
      <c r="DS112" s="910"/>
      <c r="DT112" s="910"/>
      <c r="DU112" s="910"/>
      <c r="DV112" s="910"/>
      <c r="DW112" s="910"/>
      <c r="DX112" s="910"/>
      <c r="DY112" s="910"/>
      <c r="DZ112" s="910"/>
      <c r="EA112" s="910"/>
      <c r="EB112" s="910"/>
      <c r="EC112" s="910"/>
      <c r="ED112" s="910"/>
      <c r="EE112" s="910"/>
      <c r="EF112" s="910"/>
      <c r="EG112" s="910"/>
      <c r="EH112" s="910"/>
      <c r="EI112" s="910"/>
      <c r="EJ112" s="910"/>
      <c r="EK112" s="910"/>
      <c r="EL112" s="910"/>
      <c r="EM112" s="910"/>
      <c r="EN112" s="910"/>
      <c r="EO112" s="910"/>
      <c r="EP112" s="910"/>
      <c r="EQ112" s="910"/>
      <c r="ER112" s="910"/>
      <c r="ES112" s="910"/>
      <c r="ET112" s="910"/>
      <c r="EU112" s="910"/>
      <c r="EV112" s="910"/>
      <c r="EW112" s="910"/>
      <c r="EX112" s="910"/>
      <c r="EY112" s="910"/>
      <c r="EZ112" s="910"/>
      <c r="FA112" s="910"/>
      <c r="FB112" s="910"/>
      <c r="FC112" s="910"/>
      <c r="FD112" s="910"/>
      <c r="FE112" s="910"/>
      <c r="FF112" s="910"/>
      <c r="FG112" s="910"/>
      <c r="FH112" s="910"/>
      <c r="FI112" s="910"/>
      <c r="FJ112" s="910"/>
      <c r="FK112" s="910"/>
      <c r="FL112" s="1019" t="str">
        <f>IF(Weapons!AI$16="Dual Wield",IF(Weapons!O$16="Dual Wield",IF(AND(FL94&lt;&gt;"",FL136&lt;&gt;""),FL94&amp;" and "&amp;RIGHT(FL136,IF(Weapons!AI$12="Melee",LEN(FL136)-6,LEN(FL136)-7)),""),""),"")</f>
        <v/>
      </c>
      <c r="FM112" s="1019" t="str">
        <f t="shared" si="2"/>
        <v/>
      </c>
    </row>
    <row r="113" spans="1:169" ht="9" customHeight="1" thickBot="1">
      <c r="A113" s="910"/>
      <c r="B113" s="910"/>
      <c r="C113" s="87"/>
      <c r="D113" s="118"/>
      <c r="E113" s="256"/>
      <c r="F113" s="111"/>
      <c r="G113" s="122"/>
      <c r="H113" s="290"/>
      <c r="I113" s="102"/>
      <c r="J113" s="2180"/>
      <c r="K113" s="2180"/>
      <c r="L113" s="2180"/>
      <c r="M113" s="2180"/>
      <c r="N113" s="2180"/>
      <c r="O113" s="2180"/>
      <c r="P113" s="913"/>
      <c r="Q113" s="1922" t="str">
        <f>Weapons!Y$28</f>
        <v/>
      </c>
      <c r="R113" s="1922"/>
      <c r="S113" s="1922"/>
      <c r="T113" s="1922"/>
      <c r="U113" s="1922"/>
      <c r="V113" s="1922"/>
      <c r="W113" s="1922"/>
      <c r="X113" s="1922"/>
      <c r="Y113" s="1922"/>
      <c r="Z113" s="1922"/>
      <c r="AA113" s="1922"/>
      <c r="AB113" s="1922"/>
      <c r="AC113" s="1922"/>
      <c r="AD113" s="1922"/>
      <c r="AE113" s="1922"/>
      <c r="AF113" s="1922"/>
      <c r="AG113" s="1922"/>
      <c r="AH113" s="1922"/>
      <c r="AI113" s="1922"/>
      <c r="AJ113" s="1922"/>
      <c r="AK113" s="1922"/>
      <c r="AL113" s="1922"/>
      <c r="AM113" s="1922"/>
      <c r="AN113" s="1922"/>
      <c r="AO113" s="1922"/>
      <c r="AP113" s="1922"/>
      <c r="AQ113" s="1922"/>
      <c r="AR113" s="1922"/>
      <c r="AS113" s="1922"/>
      <c r="AT113" s="1922"/>
      <c r="AU113" s="1922"/>
      <c r="AV113" s="1922"/>
      <c r="AW113" s="1922"/>
      <c r="AX113" s="1922"/>
      <c r="AY113" s="1922"/>
      <c r="AZ113" s="1922"/>
      <c r="BA113" s="1922"/>
      <c r="BB113" s="1922"/>
      <c r="BC113" s="1922"/>
      <c r="BD113" s="1922"/>
      <c r="BE113" s="1922"/>
      <c r="BF113" s="1922"/>
      <c r="BG113" s="1922"/>
      <c r="BH113" s="1922"/>
      <c r="BI113" s="1922"/>
      <c r="BJ113" s="1922"/>
      <c r="BK113" s="1922"/>
      <c r="BL113" s="1922"/>
      <c r="BM113" s="1922"/>
      <c r="BN113" s="1922"/>
      <c r="BO113" s="1922"/>
      <c r="BP113" s="1922"/>
      <c r="BQ113" s="1922"/>
      <c r="BR113" s="1922"/>
      <c r="BS113" s="1922"/>
      <c r="BT113" s="1922"/>
      <c r="BU113" s="1922"/>
      <c r="BV113" s="1922"/>
      <c r="BW113" s="1922"/>
      <c r="BX113" s="1922"/>
      <c r="BY113" s="1922"/>
      <c r="BZ113" s="1922"/>
      <c r="CA113" s="1922"/>
      <c r="CB113" s="1922"/>
      <c r="CC113" s="1922"/>
      <c r="CD113" s="1922"/>
      <c r="CE113" s="1922"/>
      <c r="CF113" s="1922"/>
      <c r="CG113" s="1922"/>
      <c r="CH113" s="1922"/>
      <c r="CI113" s="1922"/>
      <c r="CJ113" s="1922"/>
      <c r="CK113" s="1922"/>
      <c r="CL113" s="1922"/>
      <c r="CM113" s="1922"/>
      <c r="CN113" s="1922"/>
      <c r="CO113" s="1922"/>
      <c r="CP113" s="1922"/>
      <c r="CQ113" s="1922"/>
      <c r="CR113" s="1922"/>
      <c r="CS113" s="1922"/>
      <c r="CT113" s="1922"/>
      <c r="CU113" s="1922"/>
      <c r="CV113" s="1922"/>
      <c r="CW113" s="1922"/>
      <c r="CX113" s="1922"/>
      <c r="CY113" s="1922"/>
      <c r="CZ113" s="1922"/>
      <c r="DA113" s="1922"/>
      <c r="DB113" s="1922"/>
      <c r="DC113" s="1922"/>
      <c r="DD113" s="1922"/>
      <c r="DE113" s="1922"/>
      <c r="DF113" s="1922"/>
      <c r="DG113" s="300"/>
      <c r="DH113" s="971"/>
      <c r="DI113" s="122"/>
      <c r="DJ113" s="144"/>
      <c r="DK113" s="111"/>
      <c r="DL113" s="910"/>
      <c r="DM113" s="910"/>
      <c r="DN113" s="910"/>
      <c r="DO113" s="910"/>
      <c r="DP113" s="910"/>
      <c r="DQ113" s="910"/>
      <c r="DR113" s="910"/>
      <c r="DS113" s="910"/>
      <c r="DT113" s="910"/>
      <c r="DU113" s="910"/>
      <c r="DV113" s="910"/>
      <c r="DW113" s="910"/>
      <c r="DX113" s="910"/>
      <c r="DY113" s="910"/>
      <c r="DZ113" s="910"/>
      <c r="EA113" s="910"/>
      <c r="EB113" s="910"/>
      <c r="EC113" s="910"/>
      <c r="ED113" s="910"/>
      <c r="EE113" s="910"/>
      <c r="EF113" s="910"/>
      <c r="EG113" s="910"/>
      <c r="EH113" s="910"/>
      <c r="EI113" s="910"/>
      <c r="EJ113" s="910"/>
      <c r="EK113" s="910"/>
      <c r="EL113" s="910"/>
      <c r="EM113" s="910"/>
      <c r="EN113" s="910"/>
      <c r="EO113" s="910"/>
      <c r="EP113" s="910"/>
      <c r="EQ113" s="910"/>
      <c r="ER113" s="910"/>
      <c r="ES113" s="910"/>
      <c r="ET113" s="910"/>
      <c r="EU113" s="910"/>
      <c r="EV113" s="910"/>
      <c r="EW113" s="910"/>
      <c r="EX113" s="910"/>
      <c r="EY113" s="910"/>
      <c r="EZ113" s="910"/>
      <c r="FA113" s="910"/>
      <c r="FB113" s="910"/>
      <c r="FC113" s="910"/>
      <c r="FD113" s="910"/>
      <c r="FE113" s="910"/>
      <c r="FF113" s="910"/>
      <c r="FG113" s="910"/>
      <c r="FH113" s="910"/>
      <c r="FI113" s="910"/>
      <c r="FJ113" s="910"/>
      <c r="FK113" s="910"/>
      <c r="FL113" s="1019" t="str">
        <f>IF(Weapons!AI$16="Dual Wield",IF(Weapons!O$16="Dual Wield",IF(AND(FL95&lt;&gt;"",FL137&lt;&gt;""),FL95&amp;" and "&amp;RIGHT(FL137,IF(Weapons!AI$12="Melee",LEN(FL137)-6,LEN(FL137)-7)),""),""),"")</f>
        <v/>
      </c>
      <c r="FM113" s="1019" t="str">
        <f t="shared" si="2"/>
        <v/>
      </c>
    </row>
    <row r="114" spans="1:169" ht="9" customHeight="1" thickTop="1">
      <c r="A114" s="910"/>
      <c r="B114" s="910"/>
      <c r="C114" s="87"/>
      <c r="D114" s="118"/>
      <c r="E114" s="118"/>
      <c r="F114" s="293"/>
      <c r="G114" s="111"/>
      <c r="H114" s="111"/>
      <c r="I114" s="102"/>
      <c r="J114" s="105"/>
      <c r="K114" s="105"/>
      <c r="L114" s="105"/>
      <c r="M114" s="105"/>
      <c r="N114" s="596"/>
      <c r="O114" s="596"/>
      <c r="P114" s="596"/>
      <c r="Q114" s="1922"/>
      <c r="R114" s="1922"/>
      <c r="S114" s="1922"/>
      <c r="T114" s="1922"/>
      <c r="U114" s="1922"/>
      <c r="V114" s="1922"/>
      <c r="W114" s="1922"/>
      <c r="X114" s="1922"/>
      <c r="Y114" s="1922"/>
      <c r="Z114" s="1922"/>
      <c r="AA114" s="1922"/>
      <c r="AB114" s="1922"/>
      <c r="AC114" s="1922"/>
      <c r="AD114" s="1922"/>
      <c r="AE114" s="1922"/>
      <c r="AF114" s="1922"/>
      <c r="AG114" s="1922"/>
      <c r="AH114" s="1922"/>
      <c r="AI114" s="1922"/>
      <c r="AJ114" s="1922"/>
      <c r="AK114" s="1922"/>
      <c r="AL114" s="1922"/>
      <c r="AM114" s="1922"/>
      <c r="AN114" s="1922"/>
      <c r="AO114" s="1922"/>
      <c r="AP114" s="1922"/>
      <c r="AQ114" s="1922"/>
      <c r="AR114" s="1922"/>
      <c r="AS114" s="1922"/>
      <c r="AT114" s="1922"/>
      <c r="AU114" s="1922"/>
      <c r="AV114" s="1922"/>
      <c r="AW114" s="1922"/>
      <c r="AX114" s="1922"/>
      <c r="AY114" s="1922"/>
      <c r="AZ114" s="1922"/>
      <c r="BA114" s="1922"/>
      <c r="BB114" s="1922"/>
      <c r="BC114" s="1922"/>
      <c r="BD114" s="1922"/>
      <c r="BE114" s="1922"/>
      <c r="BF114" s="1922"/>
      <c r="BG114" s="1922"/>
      <c r="BH114" s="1922"/>
      <c r="BI114" s="1922"/>
      <c r="BJ114" s="1922"/>
      <c r="BK114" s="1922"/>
      <c r="BL114" s="1922"/>
      <c r="BM114" s="1922"/>
      <c r="BN114" s="1922"/>
      <c r="BO114" s="1922"/>
      <c r="BP114" s="1922"/>
      <c r="BQ114" s="1922"/>
      <c r="BR114" s="1922"/>
      <c r="BS114" s="1922"/>
      <c r="BT114" s="1922"/>
      <c r="BU114" s="1922"/>
      <c r="BV114" s="1922"/>
      <c r="BW114" s="1922"/>
      <c r="BX114" s="1922"/>
      <c r="BY114" s="1922"/>
      <c r="BZ114" s="1922"/>
      <c r="CA114" s="1922"/>
      <c r="CB114" s="1922"/>
      <c r="CC114" s="1922"/>
      <c r="CD114" s="1922"/>
      <c r="CE114" s="1922"/>
      <c r="CF114" s="1922"/>
      <c r="CG114" s="1922"/>
      <c r="CH114" s="1922"/>
      <c r="CI114" s="1922"/>
      <c r="CJ114" s="1922"/>
      <c r="CK114" s="1922"/>
      <c r="CL114" s="1922"/>
      <c r="CM114" s="1922"/>
      <c r="CN114" s="1922"/>
      <c r="CO114" s="1922"/>
      <c r="CP114" s="1922"/>
      <c r="CQ114" s="1922"/>
      <c r="CR114" s="1922"/>
      <c r="CS114" s="1922"/>
      <c r="CT114" s="1922"/>
      <c r="CU114" s="1922"/>
      <c r="CV114" s="1922"/>
      <c r="CW114" s="1922"/>
      <c r="CX114" s="1922"/>
      <c r="CY114" s="1922"/>
      <c r="CZ114" s="1922"/>
      <c r="DA114" s="1922"/>
      <c r="DB114" s="1922"/>
      <c r="DC114" s="1922"/>
      <c r="DD114" s="1922"/>
      <c r="DE114" s="1922"/>
      <c r="DF114" s="1922"/>
      <c r="DG114" s="103"/>
      <c r="DH114" s="970"/>
      <c r="DI114" s="111"/>
      <c r="DJ114" s="958"/>
      <c r="DK114" s="958"/>
      <c r="DL114" s="910"/>
      <c r="DM114" s="910"/>
      <c r="DN114" s="910"/>
      <c r="DO114" s="910"/>
      <c r="DP114" s="910"/>
      <c r="DQ114" s="910"/>
      <c r="DR114" s="910"/>
      <c r="DS114" s="910"/>
      <c r="DT114" s="910"/>
      <c r="DU114" s="910"/>
      <c r="DV114" s="910"/>
      <c r="DW114" s="910"/>
      <c r="DX114" s="910"/>
      <c r="DY114" s="910"/>
      <c r="DZ114" s="910"/>
      <c r="EA114" s="910"/>
      <c r="EB114" s="910"/>
      <c r="EC114" s="910"/>
      <c r="ED114" s="910"/>
      <c r="EE114" s="910"/>
      <c r="EF114" s="910"/>
      <c r="EG114" s="910"/>
      <c r="EH114" s="910"/>
      <c r="EI114" s="910"/>
      <c r="EJ114" s="910"/>
      <c r="EK114" s="910"/>
      <c r="EL114" s="910"/>
      <c r="EM114" s="910"/>
      <c r="EN114" s="910"/>
      <c r="EO114" s="910"/>
      <c r="EP114" s="910"/>
      <c r="EQ114" s="910"/>
      <c r="ER114" s="910"/>
      <c r="ES114" s="910"/>
      <c r="ET114" s="910"/>
      <c r="EU114" s="910"/>
      <c r="EV114" s="910"/>
      <c r="EW114" s="910"/>
      <c r="EX114" s="910"/>
      <c r="EY114" s="910"/>
      <c r="EZ114" s="910"/>
      <c r="FA114" s="910"/>
      <c r="FB114" s="910"/>
      <c r="FC114" s="910"/>
      <c r="FD114" s="910"/>
      <c r="FE114" s="910"/>
      <c r="FF114" s="910"/>
      <c r="FG114" s="910"/>
      <c r="FH114" s="910"/>
      <c r="FI114" s="910"/>
      <c r="FJ114" s="910"/>
      <c r="FK114" s="910"/>
      <c r="FL114" s="1019" t="str">
        <f>IF(Weapons!AI$16="Dual Wield",IF(Weapons!O$16="Dual Wield",IF(AND(FL96&lt;&gt;"",FL138&lt;&gt;""),FL96&amp;" and "&amp;RIGHT(FL138,IF(Weapons!AI$12="Melee",LEN(FL138)-6,LEN(FL138)-7)),""),""),"")</f>
        <v/>
      </c>
      <c r="FM114" s="1019" t="str">
        <f t="shared" si="2"/>
        <v/>
      </c>
    </row>
    <row r="115" spans="1:169" ht="9" customHeight="1" thickBot="1">
      <c r="A115" s="910"/>
      <c r="B115" s="910"/>
      <c r="C115" s="910"/>
      <c r="D115" s="910"/>
      <c r="E115" s="910"/>
      <c r="F115" s="910"/>
      <c r="G115" s="910"/>
      <c r="H115" s="910"/>
      <c r="I115" s="91"/>
      <c r="J115" s="108"/>
      <c r="K115" s="108"/>
      <c r="L115" s="108"/>
      <c r="M115" s="108"/>
      <c r="N115" s="654"/>
      <c r="O115" s="654"/>
      <c r="P115" s="654"/>
      <c r="Q115" s="1923"/>
      <c r="R115" s="1923"/>
      <c r="S115" s="1923"/>
      <c r="T115" s="1923"/>
      <c r="U115" s="1923"/>
      <c r="V115" s="1923"/>
      <c r="W115" s="1923"/>
      <c r="X115" s="1923"/>
      <c r="Y115" s="1923"/>
      <c r="Z115" s="1923"/>
      <c r="AA115" s="1923"/>
      <c r="AB115" s="1923"/>
      <c r="AC115" s="1923"/>
      <c r="AD115" s="1923"/>
      <c r="AE115" s="1923"/>
      <c r="AF115" s="1923"/>
      <c r="AG115" s="1923"/>
      <c r="AH115" s="1923"/>
      <c r="AI115" s="1923"/>
      <c r="AJ115" s="1923"/>
      <c r="AK115" s="1923"/>
      <c r="AL115" s="1923"/>
      <c r="AM115" s="1923"/>
      <c r="AN115" s="1923"/>
      <c r="AO115" s="1923"/>
      <c r="AP115" s="1923"/>
      <c r="AQ115" s="1923"/>
      <c r="AR115" s="1923"/>
      <c r="AS115" s="1923"/>
      <c r="AT115" s="1923"/>
      <c r="AU115" s="1923"/>
      <c r="AV115" s="1923"/>
      <c r="AW115" s="1923"/>
      <c r="AX115" s="1923"/>
      <c r="AY115" s="1923"/>
      <c r="AZ115" s="1923"/>
      <c r="BA115" s="1923"/>
      <c r="BB115" s="1923"/>
      <c r="BC115" s="1923"/>
      <c r="BD115" s="1923"/>
      <c r="BE115" s="1923"/>
      <c r="BF115" s="1923"/>
      <c r="BG115" s="1923"/>
      <c r="BH115" s="1923"/>
      <c r="BI115" s="1923"/>
      <c r="BJ115" s="1923"/>
      <c r="BK115" s="1923"/>
      <c r="BL115" s="1923"/>
      <c r="BM115" s="1923"/>
      <c r="BN115" s="1923"/>
      <c r="BO115" s="1923"/>
      <c r="BP115" s="1923"/>
      <c r="BQ115" s="1923"/>
      <c r="BR115" s="1923"/>
      <c r="BS115" s="1923"/>
      <c r="BT115" s="1923"/>
      <c r="BU115" s="1923"/>
      <c r="BV115" s="1923"/>
      <c r="BW115" s="1923"/>
      <c r="BX115" s="1923"/>
      <c r="BY115" s="1923"/>
      <c r="BZ115" s="1923"/>
      <c r="CA115" s="1923"/>
      <c r="CB115" s="1923"/>
      <c r="CC115" s="1923"/>
      <c r="CD115" s="1923"/>
      <c r="CE115" s="1923"/>
      <c r="CF115" s="1923"/>
      <c r="CG115" s="1923"/>
      <c r="CH115" s="1923"/>
      <c r="CI115" s="1923"/>
      <c r="CJ115" s="1923"/>
      <c r="CK115" s="1923"/>
      <c r="CL115" s="1923"/>
      <c r="CM115" s="1923"/>
      <c r="CN115" s="1923"/>
      <c r="CO115" s="1923"/>
      <c r="CP115" s="1923"/>
      <c r="CQ115" s="1923"/>
      <c r="CR115" s="1923"/>
      <c r="CS115" s="1923"/>
      <c r="CT115" s="1923"/>
      <c r="CU115" s="1923"/>
      <c r="CV115" s="1923"/>
      <c r="CW115" s="1923"/>
      <c r="CX115" s="1923"/>
      <c r="CY115" s="1923"/>
      <c r="CZ115" s="1923"/>
      <c r="DA115" s="1923"/>
      <c r="DB115" s="1923"/>
      <c r="DC115" s="1923"/>
      <c r="DD115" s="1923"/>
      <c r="DE115" s="1923"/>
      <c r="DF115" s="1923"/>
      <c r="DG115" s="90"/>
      <c r="DI115" s="958"/>
      <c r="DJ115" s="958"/>
      <c r="DK115" s="958"/>
      <c r="DL115" s="910"/>
      <c r="DM115" s="910"/>
      <c r="DN115" s="910"/>
      <c r="DO115" s="910"/>
      <c r="DP115" s="910"/>
      <c r="DQ115" s="910"/>
      <c r="DR115" s="910"/>
      <c r="DS115" s="910"/>
      <c r="DT115" s="910"/>
      <c r="DU115" s="910"/>
      <c r="DV115" s="910"/>
      <c r="DW115" s="910"/>
      <c r="DX115" s="910"/>
      <c r="DY115" s="910"/>
      <c r="DZ115" s="910"/>
      <c r="EA115" s="910"/>
      <c r="EB115" s="910"/>
      <c r="EC115" s="910"/>
      <c r="ED115" s="910"/>
      <c r="EE115" s="910"/>
      <c r="EF115" s="910"/>
      <c r="EG115" s="910"/>
      <c r="EH115" s="910"/>
      <c r="EI115" s="910"/>
      <c r="EJ115" s="910"/>
      <c r="EK115" s="910"/>
      <c r="EL115" s="910"/>
      <c r="EM115" s="910"/>
      <c r="EN115" s="910"/>
      <c r="EO115" s="910"/>
      <c r="EP115" s="910"/>
      <c r="EQ115" s="910"/>
      <c r="ER115" s="910"/>
      <c r="ES115" s="910"/>
      <c r="ET115" s="910"/>
      <c r="EU115" s="910"/>
      <c r="EV115" s="910"/>
      <c r="EW115" s="910"/>
      <c r="EX115" s="910"/>
      <c r="EY115" s="910"/>
      <c r="EZ115" s="910"/>
      <c r="FA115" s="910"/>
      <c r="FB115" s="910"/>
      <c r="FC115" s="910"/>
      <c r="FD115" s="910"/>
      <c r="FE115" s="910"/>
      <c r="FF115" s="910"/>
      <c r="FG115" s="910"/>
      <c r="FH115" s="910"/>
      <c r="FI115" s="910"/>
      <c r="FJ115" s="910"/>
      <c r="FK115" s="910"/>
      <c r="FL115" s="1019" t="str">
        <f>IF(Weapons!AI$16="Dual Wield",IF(Weapons!O$16="Dual Wield",IF(AND(FL97&lt;&gt;"",FL139&lt;&gt;""),FL97&amp;" and "&amp;RIGHT(FL139,IF(Weapons!AI$12="Melee",LEN(FL139)-6,LEN(FL139)-7)),""),""),"")</f>
        <v/>
      </c>
      <c r="FM115" s="1019" t="str">
        <f t="shared" si="2"/>
        <v/>
      </c>
    </row>
    <row r="116" spans="1:169" ht="9" customHeight="1" thickTop="1">
      <c r="A116" s="910"/>
      <c r="B116" s="910"/>
      <c r="C116" s="910"/>
      <c r="D116" s="910"/>
      <c r="E116" s="910"/>
      <c r="F116" s="910"/>
      <c r="G116" s="910"/>
      <c r="H116" s="910"/>
      <c r="I116" s="910"/>
      <c r="J116" s="910"/>
      <c r="K116" s="910"/>
      <c r="L116" s="910"/>
      <c r="M116" s="910"/>
      <c r="N116" s="910"/>
      <c r="O116" s="910"/>
      <c r="P116" s="910"/>
      <c r="Q116" s="910"/>
      <c r="R116" s="910"/>
      <c r="S116" s="910"/>
      <c r="T116" s="910"/>
      <c r="U116" s="910"/>
      <c r="V116" s="910"/>
      <c r="W116" s="910"/>
      <c r="X116" s="910"/>
      <c r="Y116" s="910"/>
      <c r="Z116" s="910"/>
      <c r="AA116" s="910"/>
      <c r="AB116" s="910"/>
      <c r="AC116" s="910"/>
      <c r="AD116" s="910"/>
      <c r="AE116" s="910"/>
      <c r="AF116" s="910"/>
      <c r="AG116" s="910"/>
      <c r="AH116" s="910"/>
      <c r="AI116" s="910"/>
      <c r="AJ116" s="910"/>
      <c r="AK116" s="910"/>
      <c r="AL116" s="910"/>
      <c r="AM116" s="910"/>
      <c r="AN116" s="910"/>
      <c r="AO116" s="913"/>
      <c r="AP116" s="913"/>
      <c r="AQ116" s="913"/>
      <c r="AR116" s="913"/>
      <c r="AS116" s="913"/>
      <c r="AT116" s="442"/>
      <c r="AU116" s="442"/>
      <c r="AV116" s="442"/>
      <c r="AW116" s="442"/>
      <c r="AX116" s="442"/>
      <c r="AY116" s="442"/>
      <c r="AZ116" s="442"/>
      <c r="BA116" s="442"/>
      <c r="BB116" s="442"/>
      <c r="BC116" s="442"/>
      <c r="BD116" s="442"/>
      <c r="BE116" s="442"/>
      <c r="BF116" s="442"/>
      <c r="BG116" s="442"/>
      <c r="BH116" s="442"/>
      <c r="BI116" s="442"/>
      <c r="BJ116" s="442"/>
      <c r="BK116" s="442"/>
      <c r="BL116" s="442"/>
      <c r="BM116" s="442"/>
      <c r="BN116" s="442"/>
      <c r="BO116" s="442"/>
      <c r="BP116" s="442"/>
      <c r="BQ116" s="442"/>
      <c r="BR116" s="442"/>
      <c r="BS116" s="442"/>
      <c r="BT116" s="442"/>
      <c r="BU116" s="442"/>
      <c r="BV116" s="442"/>
      <c r="BW116" s="442"/>
      <c r="BX116" s="442"/>
      <c r="BY116" s="442"/>
      <c r="BZ116" s="442"/>
      <c r="CA116" s="442"/>
      <c r="CB116" s="442"/>
      <c r="CC116" s="442"/>
      <c r="CD116" s="3"/>
      <c r="CE116" s="3"/>
      <c r="CF116" s="3"/>
      <c r="CG116" s="3"/>
      <c r="CH116" s="910"/>
      <c r="CI116" s="910"/>
      <c r="CJ116" s="3"/>
      <c r="CK116" s="910"/>
      <c r="CL116" s="910"/>
      <c r="CM116" s="910"/>
      <c r="CN116" s="3"/>
      <c r="CO116" s="910"/>
      <c r="CP116" s="910"/>
      <c r="CQ116" s="3"/>
      <c r="CR116" s="910"/>
      <c r="CS116" s="910"/>
      <c r="CT116" s="3"/>
      <c r="CU116" s="910"/>
      <c r="CV116" s="910"/>
      <c r="CW116" s="3"/>
      <c r="CX116" s="910"/>
      <c r="CY116" s="910"/>
      <c r="CZ116" s="3"/>
      <c r="DA116" s="910"/>
      <c r="DB116" s="910"/>
      <c r="DC116" s="3"/>
      <c r="DD116" s="3"/>
      <c r="DE116" s="910"/>
      <c r="DF116" s="910"/>
      <c r="DG116" s="910"/>
      <c r="DI116" s="958"/>
      <c r="DJ116" s="958"/>
      <c r="DK116" s="958"/>
      <c r="DL116" s="910"/>
      <c r="DM116" s="910"/>
      <c r="DN116" s="910"/>
      <c r="DO116" s="910"/>
      <c r="DP116" s="910"/>
      <c r="DQ116" s="910"/>
      <c r="DR116" s="910"/>
      <c r="DS116" s="910"/>
      <c r="DT116" s="910"/>
      <c r="DU116" s="910"/>
      <c r="DV116" s="910"/>
      <c r="DW116" s="910"/>
      <c r="DX116" s="910"/>
      <c r="DY116" s="910"/>
      <c r="DZ116" s="910"/>
      <c r="EA116" s="910"/>
      <c r="EB116" s="910"/>
      <c r="EC116" s="910"/>
      <c r="ED116" s="910"/>
      <c r="EE116" s="910"/>
      <c r="EF116" s="910"/>
      <c r="EG116" s="910"/>
      <c r="EH116" s="910"/>
      <c r="EI116" s="910"/>
      <c r="EJ116" s="910"/>
      <c r="EK116" s="910"/>
      <c r="EL116" s="910"/>
      <c r="EM116" s="910"/>
      <c r="EN116" s="910"/>
      <c r="EO116" s="910"/>
      <c r="EP116" s="910"/>
      <c r="EQ116" s="910"/>
      <c r="ER116" s="910"/>
      <c r="ES116" s="910"/>
      <c r="ET116" s="910"/>
      <c r="EU116" s="910"/>
      <c r="EV116" s="910"/>
      <c r="EW116" s="910"/>
      <c r="EX116" s="910"/>
      <c r="EY116" s="910"/>
      <c r="EZ116" s="910"/>
      <c r="FA116" s="910"/>
      <c r="FB116" s="910"/>
      <c r="FC116" s="910"/>
      <c r="FD116" s="910"/>
      <c r="FE116" s="910"/>
      <c r="FF116" s="910"/>
      <c r="FG116" s="910"/>
      <c r="FH116" s="910"/>
      <c r="FI116" s="910"/>
      <c r="FJ116" s="910"/>
      <c r="FK116" s="910"/>
      <c r="FL116" s="1019" t="str">
        <f>IF(Weapons!AI$16="Dual Wield",IF(Weapons!O$16="Dual Wield",IF(AND(FL98&lt;&gt;"",FL140&lt;&gt;""),FL98&amp;" and "&amp;RIGHT(FL140,IF(Weapons!AI$12="Melee",LEN(FL140)-6,LEN(FL140)-7)),""),""),"")</f>
        <v/>
      </c>
      <c r="FM116" s="1019" t="str">
        <f t="shared" si="2"/>
        <v/>
      </c>
    </row>
    <row r="117" spans="1:169" ht="9" customHeight="1" thickBot="1">
      <c r="A117" s="910"/>
      <c r="B117" s="910"/>
      <c r="C117" s="910"/>
      <c r="D117" s="910"/>
      <c r="E117" s="910"/>
      <c r="F117" s="910"/>
      <c r="G117" s="910"/>
      <c r="H117" s="910"/>
      <c r="I117" s="910"/>
      <c r="J117" s="910"/>
      <c r="K117" s="910"/>
      <c r="L117" s="910"/>
      <c r="M117" s="910"/>
      <c r="N117" s="910"/>
      <c r="O117" s="910"/>
      <c r="P117" s="910"/>
      <c r="Q117" s="910"/>
      <c r="R117" s="910"/>
      <c r="S117" s="910"/>
      <c r="T117" s="910"/>
      <c r="U117" s="910"/>
      <c r="V117" s="910"/>
      <c r="W117" s="910"/>
      <c r="X117" s="910"/>
      <c r="Y117" s="910"/>
      <c r="Z117" s="910"/>
      <c r="AA117" s="910"/>
      <c r="AB117" s="910"/>
      <c r="AC117" s="910"/>
      <c r="AD117" s="910"/>
      <c r="AE117" s="910"/>
      <c r="AF117" s="910"/>
      <c r="AG117" s="910"/>
      <c r="AH117" s="910"/>
      <c r="AI117" s="910"/>
      <c r="AJ117" s="910"/>
      <c r="AK117" s="910"/>
      <c r="AL117" s="910"/>
      <c r="AM117" s="910"/>
      <c r="AN117" s="910"/>
      <c r="AO117" s="910"/>
      <c r="AP117" s="910"/>
      <c r="AQ117" s="910"/>
      <c r="AR117" s="910"/>
      <c r="AS117" s="910"/>
      <c r="AT117" s="910"/>
      <c r="AU117" s="910"/>
      <c r="AV117" s="910"/>
      <c r="AW117" s="910"/>
      <c r="AX117" s="910"/>
      <c r="AY117" s="910"/>
      <c r="AZ117" s="910"/>
      <c r="BA117" s="910"/>
      <c r="BB117" s="910"/>
      <c r="BC117" s="910"/>
      <c r="BD117" s="910"/>
      <c r="BE117" s="910"/>
      <c r="BF117" s="910"/>
      <c r="BG117" s="910"/>
      <c r="BH117" s="910"/>
      <c r="BI117" s="910"/>
      <c r="BJ117" s="910"/>
      <c r="BK117" s="910"/>
      <c r="BL117" s="910"/>
      <c r="BM117" s="910"/>
      <c r="BN117" s="910"/>
      <c r="BO117" s="910"/>
      <c r="BP117" s="910"/>
      <c r="BQ117" s="3"/>
      <c r="BR117" s="3"/>
      <c r="BS117" s="3"/>
      <c r="BT117" s="3"/>
      <c r="BU117" s="3"/>
      <c r="BV117" s="3"/>
      <c r="BW117" s="3"/>
      <c r="BX117" s="3"/>
      <c r="BY117" s="3"/>
      <c r="BZ117" s="3"/>
      <c r="CA117" s="3"/>
      <c r="CB117" s="3"/>
      <c r="CC117" s="3"/>
      <c r="CD117" s="3"/>
      <c r="CE117" s="3"/>
      <c r="CF117" s="3"/>
      <c r="CG117" s="3"/>
      <c r="CH117" s="910"/>
      <c r="CI117" s="910"/>
      <c r="CJ117" s="910"/>
      <c r="CK117" s="910"/>
      <c r="CL117" s="910"/>
      <c r="CM117" s="910"/>
      <c r="CN117" s="910"/>
      <c r="CO117" s="910"/>
      <c r="CP117" s="910"/>
      <c r="CQ117" s="910"/>
      <c r="CR117" s="910"/>
      <c r="CS117" s="910"/>
      <c r="CT117" s="910"/>
      <c r="CU117" s="910"/>
      <c r="CV117" s="910"/>
      <c r="CW117" s="910"/>
      <c r="CX117" s="910"/>
      <c r="CY117" s="910"/>
      <c r="CZ117" s="910"/>
      <c r="DA117" s="910"/>
      <c r="DB117" s="910"/>
      <c r="DC117" s="910"/>
      <c r="DD117" s="910"/>
      <c r="DE117" s="910"/>
      <c r="DF117" s="910"/>
      <c r="DG117" s="910"/>
      <c r="DI117" s="958"/>
      <c r="DJ117" s="958"/>
      <c r="DK117" s="958"/>
      <c r="DL117" s="910"/>
      <c r="DM117" s="910"/>
      <c r="DN117" s="910"/>
      <c r="DO117" s="910"/>
      <c r="DP117" s="910"/>
      <c r="DQ117" s="910"/>
      <c r="DR117" s="910"/>
      <c r="DS117" s="910"/>
      <c r="DT117" s="910"/>
      <c r="DU117" s="910"/>
      <c r="DV117" s="910"/>
      <c r="DW117" s="910"/>
      <c r="DX117" s="910"/>
      <c r="DY117" s="910"/>
      <c r="DZ117" s="910"/>
      <c r="EA117" s="910"/>
      <c r="EB117" s="910"/>
      <c r="EC117" s="910"/>
      <c r="ED117" s="910"/>
      <c r="EE117" s="910"/>
      <c r="EF117" s="910"/>
      <c r="EG117" s="910"/>
      <c r="EH117" s="910"/>
      <c r="EI117" s="910"/>
      <c r="EJ117" s="910"/>
      <c r="EK117" s="910"/>
      <c r="EL117" s="910"/>
      <c r="EM117" s="910"/>
      <c r="EN117" s="910"/>
      <c r="EO117" s="910"/>
      <c r="EP117" s="910"/>
      <c r="EQ117" s="910"/>
      <c r="ER117" s="910"/>
      <c r="ES117" s="910"/>
      <c r="ET117" s="910"/>
      <c r="EU117" s="910"/>
      <c r="EV117" s="910"/>
      <c r="EW117" s="910"/>
      <c r="EX117" s="910"/>
      <c r="EY117" s="910"/>
      <c r="EZ117" s="910"/>
      <c r="FA117" s="910"/>
      <c r="FB117" s="910"/>
      <c r="FC117" s="910"/>
      <c r="FD117" s="910"/>
      <c r="FE117" s="910"/>
      <c r="FF117" s="910"/>
      <c r="FG117" s="910"/>
      <c r="FH117" s="910"/>
      <c r="FI117" s="910"/>
      <c r="FJ117" s="910"/>
      <c r="FK117" s="910"/>
      <c r="FL117" s="1019" t="str">
        <f>IF(Weapons!AI$16="Dual Wield",IF(Weapons!O$16="Dual Wield",IF(AND(FL99&lt;&gt;"",FL141&lt;&gt;""),FL99&amp;" and "&amp;RIGHT(FL141,IF(Weapons!AI$12="Melee",LEN(FL141)-6,LEN(FL141)-7)),""),""),"")</f>
        <v/>
      </c>
      <c r="FM117" s="1019" t="str">
        <f t="shared" si="2"/>
        <v/>
      </c>
    </row>
    <row r="118" spans="1:169" ht="9" customHeight="1" thickTop="1" thickBot="1">
      <c r="A118" s="910"/>
      <c r="B118" s="910"/>
      <c r="C118" s="910"/>
      <c r="D118" s="93"/>
      <c r="E118" s="2182" t="s">
        <v>5713</v>
      </c>
      <c r="F118" s="2182"/>
      <c r="G118" s="2182"/>
      <c r="H118" s="2182"/>
      <c r="I118" s="2182"/>
      <c r="J118" s="295"/>
      <c r="K118" s="295"/>
      <c r="L118" s="295"/>
      <c r="M118" s="295"/>
      <c r="N118" s="594"/>
      <c r="O118" s="594"/>
      <c r="P118" s="594"/>
      <c r="Q118" s="594"/>
      <c r="R118" s="594"/>
      <c r="S118" s="594"/>
      <c r="T118" s="594"/>
      <c r="U118" s="594"/>
      <c r="V118" s="594"/>
      <c r="W118" s="594"/>
      <c r="X118" s="594"/>
      <c r="Y118" s="594"/>
      <c r="Z118" s="594"/>
      <c r="AA118" s="594"/>
      <c r="AB118" s="594"/>
      <c r="AC118" s="297"/>
      <c r="AD118" s="910"/>
      <c r="AE118" s="910"/>
      <c r="AF118" s="93"/>
      <c r="AG118" s="2193" t="s">
        <v>6133</v>
      </c>
      <c r="AH118" s="2193"/>
      <c r="AI118" s="2193"/>
      <c r="AJ118" s="2193"/>
      <c r="AK118" s="2193"/>
      <c r="AL118" s="2193"/>
      <c r="AM118" s="2193"/>
      <c r="AN118" s="2193"/>
      <c r="AO118" s="1108" t="e">
        <f ca="1">Weapons!$Y$70-Weapons!$Y$69</f>
        <v>#N/A</v>
      </c>
      <c r="AP118" s="592"/>
      <c r="AQ118" s="594"/>
      <c r="AR118" s="594"/>
      <c r="AS118" s="594"/>
      <c r="AT118" s="594"/>
      <c r="AU118" s="594"/>
      <c r="AV118" s="594"/>
      <c r="AW118" s="594"/>
      <c r="AX118" s="297"/>
      <c r="AY118" s="1092"/>
      <c r="AZ118" s="910"/>
      <c r="BA118" s="93"/>
      <c r="BB118" s="2193" t="s">
        <v>4094</v>
      </c>
      <c r="BC118" s="2193"/>
      <c r="BD118" s="2193"/>
      <c r="BE118" s="2193"/>
      <c r="BF118" s="2193"/>
      <c r="BG118" s="2193"/>
      <c r="BH118" s="2193"/>
      <c r="BI118" s="2193"/>
      <c r="BJ118" s="2193"/>
      <c r="BK118" s="2193"/>
      <c r="BL118" s="2193"/>
      <c r="BM118" s="2193"/>
      <c r="BN118" s="2193"/>
      <c r="BO118" s="2193"/>
      <c r="BP118" s="113"/>
      <c r="BQ118" s="145"/>
      <c r="BR118" s="93"/>
      <c r="BS118" s="2193" t="s">
        <v>4100</v>
      </c>
      <c r="BT118" s="2193"/>
      <c r="BU118" s="2193"/>
      <c r="BV118" s="2193"/>
      <c r="BW118" s="2193"/>
      <c r="BX118" s="2193"/>
      <c r="BY118" s="2193"/>
      <c r="BZ118" s="2193"/>
      <c r="CA118" s="2193" t="s">
        <v>4095</v>
      </c>
      <c r="CB118" s="2193"/>
      <c r="CC118" s="2193"/>
      <c r="CD118" s="2193"/>
      <c r="CE118" s="2193"/>
      <c r="CF118" s="2193"/>
      <c r="CG118" s="2193"/>
      <c r="CH118" s="2193"/>
      <c r="CI118" s="2193" t="s">
        <v>4099</v>
      </c>
      <c r="CJ118" s="2193"/>
      <c r="CK118" s="2193"/>
      <c r="CL118" s="2193"/>
      <c r="CM118" s="2193"/>
      <c r="CN118" s="2193"/>
      <c r="CO118" s="2193"/>
      <c r="CP118" s="2193"/>
      <c r="CQ118" s="2193" t="s">
        <v>4098</v>
      </c>
      <c r="CR118" s="2193"/>
      <c r="CS118" s="2193"/>
      <c r="CT118" s="2193"/>
      <c r="CU118" s="2193"/>
      <c r="CV118" s="2193"/>
      <c r="CW118" s="2193"/>
      <c r="CX118" s="2193"/>
      <c r="CY118" s="2193" t="s">
        <v>4097</v>
      </c>
      <c r="CZ118" s="2193"/>
      <c r="DA118" s="2193"/>
      <c r="DB118" s="2193"/>
      <c r="DC118" s="2193"/>
      <c r="DD118" s="2193"/>
      <c r="DE118" s="2193"/>
      <c r="DF118" s="2193"/>
      <c r="DG118" s="113"/>
      <c r="DH118" s="976"/>
      <c r="DI118" s="958"/>
      <c r="DJ118" s="958"/>
      <c r="DK118" s="958"/>
      <c r="DL118" s="910"/>
      <c r="DM118" s="910"/>
      <c r="DN118" s="910"/>
      <c r="DO118" s="910"/>
      <c r="DP118" s="910"/>
      <c r="DQ118" s="910"/>
      <c r="DR118" s="910"/>
      <c r="DS118" s="910"/>
      <c r="DT118" s="910"/>
      <c r="DU118" s="910"/>
      <c r="DV118" s="910"/>
      <c r="DW118" s="910"/>
      <c r="DX118" s="910"/>
      <c r="DY118" s="910"/>
      <c r="DZ118" s="910"/>
      <c r="EA118" s="910"/>
      <c r="EB118" s="910"/>
      <c r="EC118" s="910"/>
      <c r="ED118" s="910"/>
      <c r="EE118" s="910"/>
      <c r="EF118" s="910"/>
      <c r="EG118" s="910"/>
      <c r="EH118" s="910"/>
      <c r="EI118" s="910"/>
      <c r="EJ118" s="910"/>
      <c r="EK118" s="910"/>
      <c r="EL118" s="910"/>
      <c r="EM118" s="910"/>
      <c r="EN118" s="910"/>
      <c r="EO118" s="910"/>
      <c r="EP118" s="910"/>
      <c r="EQ118" s="910"/>
      <c r="ER118" s="910"/>
      <c r="ES118" s="910"/>
      <c r="ET118" s="910"/>
      <c r="EU118" s="910"/>
      <c r="EV118" s="910"/>
      <c r="EW118" s="910"/>
      <c r="EX118" s="910"/>
      <c r="EY118" s="910"/>
      <c r="EZ118" s="910"/>
      <c r="FA118" s="910"/>
      <c r="FB118" s="910"/>
      <c r="FC118" s="910"/>
      <c r="FD118" s="910"/>
      <c r="FE118" s="910"/>
      <c r="FF118" s="910"/>
      <c r="FG118" s="910"/>
      <c r="FH118" s="910"/>
      <c r="FI118" s="910"/>
      <c r="FJ118" s="910"/>
      <c r="FK118" s="910"/>
      <c r="FL118" s="1019" t="str">
        <f>IF(Weapons!AI$16="Dual Wield",IF(Weapons!O$16="Dual Wield",IF(AND(FL100&lt;&gt;"",FL142&lt;&gt;""),FL100&amp;" and "&amp;RIGHT(FL142,IF(Weapons!AI$12="Melee",LEN(FL142)-6,LEN(FL142)-7)),""),""),"")</f>
        <v/>
      </c>
      <c r="FM118" s="1019" t="str">
        <f t="shared" si="2"/>
        <v/>
      </c>
    </row>
    <row r="119" spans="1:169" ht="9" customHeight="1" thickTop="1">
      <c r="A119" s="910"/>
      <c r="B119" s="910"/>
      <c r="C119" s="910"/>
      <c r="D119" s="102"/>
      <c r="E119" s="2180"/>
      <c r="F119" s="2180"/>
      <c r="G119" s="2180"/>
      <c r="H119" s="2180"/>
      <c r="I119" s="2180"/>
      <c r="J119" s="1867" t="str">
        <f>IF(J93&lt;&gt;"",IF(OR(AND(Weapons!$Y$74="lightsabers",Talents!$M$1110&gt;0),AND(Feats!$M$242&gt;0,COUNTIF(Weapons!$Y$56:$Y$59,"Spring Loaded")&gt;0)),"Free",IF(Feats!$M$170&gt;0,"Free as part of a Standard",IF(Feats!$M$242,"Swift","Move")))&amp;" action","")</f>
        <v/>
      </c>
      <c r="K119" s="1867"/>
      <c r="L119" s="1867"/>
      <c r="M119" s="1867"/>
      <c r="N119" s="1867"/>
      <c r="O119" s="1867"/>
      <c r="P119" s="1867"/>
      <c r="Q119" s="1867"/>
      <c r="R119" s="1867"/>
      <c r="S119" s="1867"/>
      <c r="T119" s="1867"/>
      <c r="U119" s="1867"/>
      <c r="V119" s="1867"/>
      <c r="W119" s="1867"/>
      <c r="X119" s="1867"/>
      <c r="Y119" s="1867"/>
      <c r="Z119" s="1867"/>
      <c r="AA119" s="1867"/>
      <c r="AB119" s="1867"/>
      <c r="AC119" s="300"/>
      <c r="AD119" s="595"/>
      <c r="AE119" s="595"/>
      <c r="AF119" s="102"/>
      <c r="AG119" s="2239"/>
      <c r="AH119" s="2239"/>
      <c r="AI119" s="2239"/>
      <c r="AJ119" s="2239"/>
      <c r="AK119" s="2239"/>
      <c r="AL119" s="2239"/>
      <c r="AM119" s="2239"/>
      <c r="AN119" s="2239"/>
      <c r="AO119" s="2241" t="str">
        <f>IF(J93&lt;&gt;"",IF(AND(NOT(ISERROR(FIND("-5 to Perception and Use Computer checks to detect",Q113,1))),ShowCloakedWeapons),INDEX(ConcealItemTable,MATCH(AO118,ConcealItemList,0),3),INDEX(ConcealItemTable,MATCH(AO118,ConcealItemList,0),2)),"")</f>
        <v/>
      </c>
      <c r="AP119" s="2241"/>
      <c r="AQ119" s="2241"/>
      <c r="AR119" s="2241"/>
      <c r="AS119" s="2241"/>
      <c r="AT119" s="2241"/>
      <c r="AU119" s="2241"/>
      <c r="AV119" s="2241"/>
      <c r="AW119" s="2241"/>
      <c r="AX119" s="300"/>
      <c r="AY119" s="1092"/>
      <c r="AZ119" s="910"/>
      <c r="BA119" s="102"/>
      <c r="BB119" s="2239"/>
      <c r="BC119" s="2239"/>
      <c r="BD119" s="2239"/>
      <c r="BE119" s="2239"/>
      <c r="BF119" s="2239"/>
      <c r="BG119" s="2239"/>
      <c r="BH119" s="2239"/>
      <c r="BI119" s="2239"/>
      <c r="BJ119" s="2239"/>
      <c r="BK119" s="2239"/>
      <c r="BL119" s="2239"/>
      <c r="BM119" s="2239"/>
      <c r="BN119" s="2239"/>
      <c r="BO119" s="2239"/>
      <c r="BP119" s="589"/>
      <c r="BQ119" s="598"/>
      <c r="BR119" s="102"/>
      <c r="BS119" s="2194"/>
      <c r="BT119" s="2194"/>
      <c r="BU119" s="2194"/>
      <c r="BV119" s="2194"/>
      <c r="BW119" s="2194"/>
      <c r="BX119" s="2194"/>
      <c r="BY119" s="2194"/>
      <c r="BZ119" s="2194"/>
      <c r="CA119" s="2194"/>
      <c r="CB119" s="2194"/>
      <c r="CC119" s="2194"/>
      <c r="CD119" s="2194"/>
      <c r="CE119" s="2194"/>
      <c r="CF119" s="2194"/>
      <c r="CG119" s="2194"/>
      <c r="CH119" s="2194"/>
      <c r="CI119" s="2194"/>
      <c r="CJ119" s="2194"/>
      <c r="CK119" s="2194"/>
      <c r="CL119" s="2194"/>
      <c r="CM119" s="2194"/>
      <c r="CN119" s="2194"/>
      <c r="CO119" s="2194"/>
      <c r="CP119" s="2194"/>
      <c r="CQ119" s="2194"/>
      <c r="CR119" s="2194"/>
      <c r="CS119" s="2194"/>
      <c r="CT119" s="2194"/>
      <c r="CU119" s="2194"/>
      <c r="CV119" s="2194"/>
      <c r="CW119" s="2194"/>
      <c r="CX119" s="2194"/>
      <c r="CY119" s="2194"/>
      <c r="CZ119" s="2194"/>
      <c r="DA119" s="2194"/>
      <c r="DB119" s="2194"/>
      <c r="DC119" s="2194"/>
      <c r="DD119" s="2194"/>
      <c r="DE119" s="2194"/>
      <c r="DF119" s="2194"/>
      <c r="DG119" s="910"/>
      <c r="DH119" s="977"/>
      <c r="DI119" s="958"/>
      <c r="DJ119" s="958"/>
      <c r="DK119" s="958"/>
      <c r="DL119" s="910"/>
      <c r="DM119" s="910"/>
      <c r="DN119" s="910"/>
      <c r="DO119" s="910"/>
      <c r="DP119" s="910"/>
      <c r="DQ119" s="910"/>
      <c r="DR119" s="910"/>
      <c r="DS119" s="910"/>
      <c r="DT119" s="910"/>
      <c r="DU119" s="910"/>
      <c r="DV119" s="910"/>
      <c r="DW119" s="910"/>
      <c r="DX119" s="910"/>
      <c r="DY119" s="910"/>
      <c r="DZ119" s="910"/>
      <c r="EA119" s="910"/>
      <c r="EB119" s="910"/>
      <c r="EC119" s="910"/>
      <c r="ED119" s="910"/>
      <c r="EE119" s="910"/>
      <c r="EF119" s="910"/>
      <c r="EG119" s="910"/>
      <c r="EH119" s="910"/>
      <c r="EI119" s="910"/>
      <c r="EJ119" s="910"/>
      <c r="EK119" s="910"/>
      <c r="EL119" s="910"/>
      <c r="EM119" s="910"/>
      <c r="EN119" s="910"/>
      <c r="EO119" s="910"/>
      <c r="EP119" s="910"/>
      <c r="EQ119" s="910"/>
      <c r="ER119" s="910"/>
      <c r="ES119" s="910"/>
      <c r="ET119" s="910"/>
      <c r="EU119" s="910"/>
      <c r="EV119" s="910"/>
      <c r="EW119" s="910"/>
      <c r="EX119" s="910"/>
      <c r="EY119" s="910"/>
      <c r="EZ119" s="910"/>
      <c r="FA119" s="910"/>
      <c r="FB119" s="910"/>
      <c r="FC119" s="910"/>
      <c r="FD119" s="910"/>
      <c r="FE119" s="910"/>
      <c r="FF119" s="910"/>
      <c r="FG119" s="910"/>
      <c r="FH119" s="910"/>
      <c r="FI119" s="910"/>
      <c r="FJ119" s="910"/>
      <c r="FK119" s="910"/>
      <c r="FL119" s="1019" t="str">
        <f>IF(Weapons!AI$16="Dual Wield",IF(Weapons!O$16="Dual Wield",IF(AND(FL101&lt;&gt;"",FL143&lt;&gt;""),FL101&amp;" and "&amp;RIGHT(FL143,IF(Weapons!AI$12="Melee",LEN(FL143)-6,LEN(FL143)-7)),""),""),"")</f>
        <v/>
      </c>
      <c r="FM119" s="1019" t="str">
        <f t="shared" si="2"/>
        <v/>
      </c>
    </row>
    <row r="120" spans="1:169" ht="9" customHeight="1">
      <c r="A120" s="910"/>
      <c r="B120" s="910"/>
      <c r="C120" s="910"/>
      <c r="D120" s="102"/>
      <c r="E120" s="105"/>
      <c r="F120" s="105"/>
      <c r="G120" s="105"/>
      <c r="H120" s="105"/>
      <c r="I120" s="657"/>
      <c r="J120" s="1867"/>
      <c r="K120" s="1867"/>
      <c r="L120" s="1867"/>
      <c r="M120" s="1867"/>
      <c r="N120" s="1867"/>
      <c r="O120" s="1867"/>
      <c r="P120" s="1867"/>
      <c r="Q120" s="1867"/>
      <c r="R120" s="1867"/>
      <c r="S120" s="1867"/>
      <c r="T120" s="1867"/>
      <c r="U120" s="1867"/>
      <c r="V120" s="1867"/>
      <c r="W120" s="1867"/>
      <c r="X120" s="1867"/>
      <c r="Y120" s="1867"/>
      <c r="Z120" s="1867"/>
      <c r="AA120" s="1867"/>
      <c r="AB120" s="1867"/>
      <c r="AC120" s="103"/>
      <c r="AD120" s="657"/>
      <c r="AE120" s="657"/>
      <c r="AF120" s="102"/>
      <c r="AG120" s="2243" t="s">
        <v>6134</v>
      </c>
      <c r="AH120" s="2243"/>
      <c r="AI120" s="2243"/>
      <c r="AJ120" s="2243"/>
      <c r="AK120" s="2243"/>
      <c r="AL120" s="2243"/>
      <c r="AM120" s="2243"/>
      <c r="AN120" s="2243"/>
      <c r="AO120" s="2241"/>
      <c r="AP120" s="2241"/>
      <c r="AQ120" s="2241"/>
      <c r="AR120" s="2241"/>
      <c r="AS120" s="2241"/>
      <c r="AT120" s="2241"/>
      <c r="AU120" s="2241"/>
      <c r="AV120" s="2241"/>
      <c r="AW120" s="2241"/>
      <c r="AX120" s="103"/>
      <c r="AY120" s="710"/>
      <c r="AZ120" s="910"/>
      <c r="BA120" s="102"/>
      <c r="BB120" s="2206" t="s">
        <v>110</v>
      </c>
      <c r="BC120" s="2206"/>
      <c r="BD120" s="2206"/>
      <c r="BE120" s="2206"/>
      <c r="BF120" s="2206"/>
      <c r="BG120" s="2206"/>
      <c r="BH120" s="2206"/>
      <c r="BI120" s="2206"/>
      <c r="BJ120" s="2206"/>
      <c r="BK120" s="2206"/>
      <c r="BL120" s="2206"/>
      <c r="BM120" s="2206"/>
      <c r="BN120" s="2206"/>
      <c r="BO120" s="2206"/>
      <c r="BP120" s="910"/>
      <c r="BQ120" s="910"/>
      <c r="BR120" s="102"/>
      <c r="BS120" s="2210" t="str">
        <f>IF(CA120&lt;&gt;"","0-1","")</f>
        <v/>
      </c>
      <c r="BT120" s="2210"/>
      <c r="BU120" s="2210"/>
      <c r="BV120" s="2210"/>
      <c r="BW120" s="2210"/>
      <c r="BX120" s="2210"/>
      <c r="BY120" s="2210"/>
      <c r="BZ120" s="2211"/>
      <c r="CA120" s="2229" t="str">
        <f>IF(AND(J93&lt;&gt;"",Weapons!Y$12="Ranged"),"0-"&amp;INDEX(RangeTable,MATCH(Weapons!Y$92,RangeList,0),2),"")</f>
        <v/>
      </c>
      <c r="CB120" s="2210"/>
      <c r="CC120" s="2210"/>
      <c r="CD120" s="2210"/>
      <c r="CE120" s="2210"/>
      <c r="CF120" s="2210"/>
      <c r="CG120" s="2210"/>
      <c r="CH120" s="2211"/>
      <c r="CI120" s="2229" t="str">
        <f>IF(AND(J93&lt;&gt;"",Weapons!Y$12="Ranged"),"0-"&amp;INDEX(RangeTable,MATCH(Weapons!Y$92,RangeList,0),3),"")</f>
        <v/>
      </c>
      <c r="CJ120" s="2210"/>
      <c r="CK120" s="2210"/>
      <c r="CL120" s="2210"/>
      <c r="CM120" s="2210"/>
      <c r="CN120" s="2210"/>
      <c r="CO120" s="2210"/>
      <c r="CP120" s="2211"/>
      <c r="CQ120" s="2229" t="str">
        <f>IF(AND(J93&lt;&gt;"",Weapons!Y$12="Ranged"),"0-"&amp;INDEX(RangeTable,MATCH(Weapons!Y$92,RangeList,0),4),"")</f>
        <v/>
      </c>
      <c r="CR120" s="2210"/>
      <c r="CS120" s="2210"/>
      <c r="CT120" s="2210"/>
      <c r="CU120" s="2210"/>
      <c r="CV120" s="2210"/>
      <c r="CW120" s="2210"/>
      <c r="CX120" s="2211"/>
      <c r="CY120" s="2229" t="str">
        <f>IF(AND(J93&lt;&gt;"",Weapons!Y$12="Ranged"),"0-"&amp;INDEX(RangeTable,MATCH(Weapons!Y$92,RangeList,0),5),"")</f>
        <v/>
      </c>
      <c r="CZ120" s="2210"/>
      <c r="DA120" s="2210"/>
      <c r="DB120" s="2210"/>
      <c r="DC120" s="2210"/>
      <c r="DD120" s="2210"/>
      <c r="DE120" s="2210"/>
      <c r="DF120" s="2210"/>
      <c r="DG120" s="100"/>
      <c r="DH120" s="976"/>
      <c r="DI120" s="958"/>
      <c r="DJ120" s="958"/>
      <c r="DK120" s="958"/>
      <c r="DL120" s="910"/>
      <c r="DM120" s="910"/>
      <c r="DN120" s="910"/>
      <c r="DO120" s="910"/>
      <c r="DP120" s="910"/>
      <c r="DQ120" s="910"/>
      <c r="DR120" s="910"/>
      <c r="DS120" s="910"/>
      <c r="DT120" s="910"/>
      <c r="DU120" s="910"/>
      <c r="DV120" s="910"/>
      <c r="DW120" s="910"/>
      <c r="DX120" s="910"/>
      <c r="DY120" s="910"/>
      <c r="DZ120" s="910"/>
      <c r="EA120" s="910"/>
      <c r="EB120" s="910"/>
      <c r="EC120" s="910"/>
      <c r="ED120" s="910"/>
      <c r="EE120" s="910"/>
      <c r="EF120" s="910"/>
      <c r="EG120" s="910"/>
      <c r="EH120" s="910"/>
      <c r="EI120" s="910"/>
      <c r="EJ120" s="910"/>
      <c r="EK120" s="910"/>
      <c r="EL120" s="910"/>
      <c r="EM120" s="910"/>
      <c r="EN120" s="910"/>
      <c r="EO120" s="910"/>
      <c r="EP120" s="910"/>
      <c r="EQ120" s="910"/>
      <c r="ER120" s="910"/>
      <c r="ES120" s="910"/>
      <c r="ET120" s="910"/>
      <c r="EU120" s="910"/>
      <c r="EV120" s="910"/>
      <c r="EW120" s="910"/>
      <c r="EX120" s="910"/>
      <c r="EY120" s="910"/>
      <c r="EZ120" s="910"/>
      <c r="FA120" s="910"/>
      <c r="FB120" s="910"/>
      <c r="FC120" s="910"/>
      <c r="FD120" s="910"/>
      <c r="FE120" s="910"/>
      <c r="FF120" s="910"/>
      <c r="FG120" s="910"/>
      <c r="FH120" s="910"/>
      <c r="FI120" s="910"/>
      <c r="FJ120" s="910"/>
      <c r="FK120" s="910"/>
      <c r="FL120" s="1019" t="str">
        <f>IF(Weapons!AI$16="Dual Wield",IF(Weapons!O$16="Dual Wield",IF(AND(FL102&lt;&gt;"",FL144&lt;&gt;""),FL102&amp;" and "&amp;RIGHT(FL144,IF(Weapons!AI$12="Melee",LEN(FL144)-6,LEN(FL144)-7)),""),""),"")</f>
        <v/>
      </c>
      <c r="FM120" s="1019" t="str">
        <f t="shared" si="2"/>
        <v/>
      </c>
    </row>
    <row r="121" spans="1:169" ht="9" customHeight="1" thickBot="1">
      <c r="A121" s="910"/>
      <c r="B121" s="910"/>
      <c r="C121" s="910"/>
      <c r="D121" s="91"/>
      <c r="E121" s="108"/>
      <c r="F121" s="108"/>
      <c r="G121" s="108"/>
      <c r="H121" s="108"/>
      <c r="I121" s="937"/>
      <c r="J121" s="1868"/>
      <c r="K121" s="1868"/>
      <c r="L121" s="1868"/>
      <c r="M121" s="1868"/>
      <c r="N121" s="1868"/>
      <c r="O121" s="1868"/>
      <c r="P121" s="1868"/>
      <c r="Q121" s="1868"/>
      <c r="R121" s="1868"/>
      <c r="S121" s="1868"/>
      <c r="T121" s="1868"/>
      <c r="U121" s="1868"/>
      <c r="V121" s="1868"/>
      <c r="W121" s="1868"/>
      <c r="X121" s="1868"/>
      <c r="Y121" s="1868"/>
      <c r="Z121" s="1868"/>
      <c r="AA121" s="1868"/>
      <c r="AB121" s="1868"/>
      <c r="AC121" s="90"/>
      <c r="AD121" s="657"/>
      <c r="AE121" s="657"/>
      <c r="AF121" s="91"/>
      <c r="AG121" s="2244"/>
      <c r="AH121" s="2244"/>
      <c r="AI121" s="2244"/>
      <c r="AJ121" s="2244"/>
      <c r="AK121" s="2244"/>
      <c r="AL121" s="2244"/>
      <c r="AM121" s="2244"/>
      <c r="AN121" s="2244"/>
      <c r="AO121" s="2242"/>
      <c r="AP121" s="2242"/>
      <c r="AQ121" s="2242"/>
      <c r="AR121" s="2242"/>
      <c r="AS121" s="2242"/>
      <c r="AT121" s="2242"/>
      <c r="AU121" s="2242"/>
      <c r="AV121" s="2242"/>
      <c r="AW121" s="2242"/>
      <c r="AX121" s="90"/>
      <c r="AY121" s="710"/>
      <c r="AZ121" s="910"/>
      <c r="BA121" s="102"/>
      <c r="BB121" s="2206"/>
      <c r="BC121" s="2206"/>
      <c r="BD121" s="2206"/>
      <c r="BE121" s="2206"/>
      <c r="BF121" s="2206"/>
      <c r="BG121" s="2206"/>
      <c r="BH121" s="2206"/>
      <c r="BI121" s="2206"/>
      <c r="BJ121" s="2206"/>
      <c r="BK121" s="2206"/>
      <c r="BL121" s="2206"/>
      <c r="BM121" s="2206"/>
      <c r="BN121" s="2206"/>
      <c r="BO121" s="2206"/>
      <c r="BP121" s="910"/>
      <c r="BQ121" s="910"/>
      <c r="BR121" s="647"/>
      <c r="BS121" s="2212"/>
      <c r="BT121" s="2212"/>
      <c r="BU121" s="2212"/>
      <c r="BV121" s="2212"/>
      <c r="BW121" s="2212"/>
      <c r="BX121" s="2212"/>
      <c r="BY121" s="2212"/>
      <c r="BZ121" s="2213"/>
      <c r="CA121" s="2226"/>
      <c r="CB121" s="2212"/>
      <c r="CC121" s="2212"/>
      <c r="CD121" s="2212"/>
      <c r="CE121" s="2212"/>
      <c r="CF121" s="2212"/>
      <c r="CG121" s="2212"/>
      <c r="CH121" s="2213"/>
      <c r="CI121" s="2226"/>
      <c r="CJ121" s="2212"/>
      <c r="CK121" s="2212"/>
      <c r="CL121" s="2212"/>
      <c r="CM121" s="2212"/>
      <c r="CN121" s="2212"/>
      <c r="CO121" s="2212"/>
      <c r="CP121" s="2213"/>
      <c r="CQ121" s="2226"/>
      <c r="CR121" s="2212"/>
      <c r="CS121" s="2212"/>
      <c r="CT121" s="2212"/>
      <c r="CU121" s="2212"/>
      <c r="CV121" s="2212"/>
      <c r="CW121" s="2212"/>
      <c r="CX121" s="2213"/>
      <c r="CY121" s="2226"/>
      <c r="CZ121" s="2212"/>
      <c r="DA121" s="2212"/>
      <c r="DB121" s="2212"/>
      <c r="DC121" s="2212"/>
      <c r="DD121" s="2212"/>
      <c r="DE121" s="2212"/>
      <c r="DF121" s="2212"/>
      <c r="DG121" s="100"/>
      <c r="DH121" s="976"/>
      <c r="DI121" s="958"/>
      <c r="DJ121" s="958"/>
      <c r="DK121" s="958"/>
      <c r="DL121" s="910"/>
      <c r="DM121" s="910"/>
      <c r="DN121" s="910"/>
      <c r="DO121" s="910"/>
      <c r="DP121" s="910"/>
      <c r="DQ121" s="910"/>
      <c r="DR121" s="910"/>
      <c r="DS121" s="910"/>
      <c r="DT121" s="910"/>
      <c r="DU121" s="910"/>
      <c r="DV121" s="910"/>
      <c r="DW121" s="910"/>
      <c r="DX121" s="910"/>
      <c r="DY121" s="910"/>
      <c r="DZ121" s="910"/>
      <c r="EA121" s="910"/>
      <c r="EB121" s="910"/>
      <c r="EC121" s="910"/>
      <c r="ED121" s="910"/>
      <c r="EE121" s="910"/>
      <c r="EF121" s="910"/>
      <c r="EG121" s="910"/>
      <c r="EH121" s="910"/>
      <c r="EI121" s="910"/>
      <c r="EJ121" s="910"/>
      <c r="EK121" s="910"/>
      <c r="EL121" s="910"/>
      <c r="EM121" s="910"/>
      <c r="EN121" s="910"/>
      <c r="EO121" s="910"/>
      <c r="EP121" s="910"/>
      <c r="EQ121" s="910"/>
      <c r="ER121" s="910"/>
      <c r="ES121" s="910"/>
      <c r="ET121" s="910"/>
      <c r="EU121" s="910"/>
      <c r="EV121" s="910"/>
      <c r="EW121" s="910"/>
      <c r="EX121" s="910"/>
      <c r="EY121" s="910"/>
      <c r="EZ121" s="910"/>
      <c r="FA121" s="910"/>
      <c r="FB121" s="910"/>
      <c r="FC121" s="910"/>
      <c r="FD121" s="910"/>
      <c r="FE121" s="910"/>
      <c r="FF121" s="910"/>
      <c r="FG121" s="910"/>
      <c r="FH121" s="910"/>
      <c r="FI121" s="910"/>
      <c r="FJ121" s="910"/>
      <c r="FK121" s="910"/>
      <c r="FL121" s="1019" t="str">
        <f>IF(Weapons!AI$16="Dual Wield",IF(Weapons!O$16="Dual Wield",IF(AND(FL103&lt;&gt;"",FL145&lt;&gt;""),FL103&amp;" and "&amp;RIGHT(FL145,IF(Weapons!AI$12="Melee",LEN(FL145)-6,LEN(FL145)-7)),""),""),"")</f>
        <v/>
      </c>
      <c r="FM121" s="1019" t="str">
        <f t="shared" si="2"/>
        <v/>
      </c>
    </row>
    <row r="122" spans="1:169" ht="9" customHeight="1" thickTop="1" thickBot="1">
      <c r="A122" s="910"/>
      <c r="B122" s="910"/>
      <c r="C122" s="910"/>
      <c r="D122" s="910"/>
      <c r="E122" s="910"/>
      <c r="F122" s="910"/>
      <c r="G122" s="910"/>
      <c r="H122" s="910"/>
      <c r="I122" s="910"/>
      <c r="J122" s="105"/>
      <c r="K122" s="105"/>
      <c r="L122" s="105"/>
      <c r="M122" s="105"/>
      <c r="N122" s="105"/>
      <c r="O122" s="657"/>
      <c r="P122" s="657"/>
      <c r="Q122" s="657"/>
      <c r="R122" s="657"/>
      <c r="S122" s="657"/>
      <c r="T122" s="657"/>
      <c r="U122" s="657"/>
      <c r="V122" s="657"/>
      <c r="W122" s="657"/>
      <c r="X122" s="657"/>
      <c r="Y122" s="657"/>
      <c r="Z122" s="657"/>
      <c r="AA122" s="657"/>
      <c r="AB122" s="657"/>
      <c r="AC122" s="657"/>
      <c r="AD122" s="657"/>
      <c r="AE122" s="657"/>
      <c r="AF122" s="657"/>
      <c r="AG122" s="657"/>
      <c r="AH122" s="657"/>
      <c r="AI122" s="301"/>
      <c r="AJ122" s="3"/>
      <c r="AK122" s="1092"/>
      <c r="AL122" s="1092"/>
      <c r="AM122" s="1092"/>
      <c r="AN122" s="1092"/>
      <c r="AO122" s="1092"/>
      <c r="AP122" s="1092"/>
      <c r="AQ122" s="710"/>
      <c r="AR122" s="710"/>
      <c r="AS122" s="710"/>
      <c r="AT122" s="710"/>
      <c r="AU122" s="710"/>
      <c r="AV122" s="710"/>
      <c r="AW122" s="710"/>
      <c r="AX122" s="710"/>
      <c r="AY122" s="710"/>
      <c r="AZ122" s="910"/>
      <c r="BA122" s="102"/>
      <c r="BB122" s="2206"/>
      <c r="BC122" s="2206"/>
      <c r="BD122" s="2206"/>
      <c r="BE122" s="2206"/>
      <c r="BF122" s="2206"/>
      <c r="BG122" s="2206"/>
      <c r="BH122" s="2206"/>
      <c r="BI122" s="2206"/>
      <c r="BJ122" s="2206"/>
      <c r="BK122" s="2206"/>
      <c r="BL122" s="2206"/>
      <c r="BM122" s="2206"/>
      <c r="BN122" s="2206"/>
      <c r="BO122" s="2206"/>
      <c r="BP122" s="910"/>
      <c r="BQ122" s="910"/>
      <c r="BR122" s="102"/>
      <c r="BS122" s="2214"/>
      <c r="BT122" s="2214"/>
      <c r="BU122" s="2214"/>
      <c r="BV122" s="2214"/>
      <c r="BW122" s="2214"/>
      <c r="BX122" s="2214"/>
      <c r="BY122" s="2214"/>
      <c r="BZ122" s="2215"/>
      <c r="CA122" s="2230"/>
      <c r="CB122" s="2214"/>
      <c r="CC122" s="2214"/>
      <c r="CD122" s="2214"/>
      <c r="CE122" s="2214"/>
      <c r="CF122" s="2214"/>
      <c r="CG122" s="2214"/>
      <c r="CH122" s="2215"/>
      <c r="CI122" s="2230"/>
      <c r="CJ122" s="2214"/>
      <c r="CK122" s="2214"/>
      <c r="CL122" s="2214"/>
      <c r="CM122" s="2214"/>
      <c r="CN122" s="2214"/>
      <c r="CO122" s="2214"/>
      <c r="CP122" s="2215"/>
      <c r="CQ122" s="2230"/>
      <c r="CR122" s="2214"/>
      <c r="CS122" s="2214"/>
      <c r="CT122" s="2214"/>
      <c r="CU122" s="2214"/>
      <c r="CV122" s="2214"/>
      <c r="CW122" s="2214"/>
      <c r="CX122" s="2215"/>
      <c r="CY122" s="2230"/>
      <c r="CZ122" s="2214"/>
      <c r="DA122" s="2214"/>
      <c r="DB122" s="2214"/>
      <c r="DC122" s="2214"/>
      <c r="DD122" s="2214"/>
      <c r="DE122" s="2214"/>
      <c r="DF122" s="2214"/>
      <c r="DG122" s="100"/>
      <c r="DH122" s="976"/>
      <c r="DI122" s="958"/>
      <c r="DJ122" s="958"/>
      <c r="DK122" s="958"/>
      <c r="DL122" s="910"/>
      <c r="DM122" s="910"/>
      <c r="DN122" s="910"/>
      <c r="DO122" s="910"/>
      <c r="DP122" s="910"/>
      <c r="DQ122" s="910"/>
      <c r="DR122" s="910"/>
      <c r="DS122" s="910"/>
      <c r="DT122" s="910"/>
      <c r="DU122" s="910"/>
      <c r="DV122" s="910"/>
      <c r="DW122" s="910"/>
      <c r="DX122" s="910"/>
      <c r="DY122" s="910"/>
      <c r="DZ122" s="910"/>
      <c r="EA122" s="910"/>
      <c r="EB122" s="910"/>
      <c r="EC122" s="910"/>
      <c r="ED122" s="910"/>
      <c r="EE122" s="910"/>
      <c r="EF122" s="910"/>
      <c r="EG122" s="910"/>
      <c r="EH122" s="910"/>
      <c r="EI122" s="910"/>
      <c r="EJ122" s="910"/>
      <c r="EK122" s="910"/>
      <c r="EL122" s="910"/>
      <c r="EM122" s="910"/>
      <c r="EN122" s="910"/>
      <c r="EO122" s="910"/>
      <c r="EP122" s="910"/>
      <c r="EQ122" s="910"/>
      <c r="ER122" s="910"/>
      <c r="ES122" s="910"/>
      <c r="ET122" s="910"/>
      <c r="EU122" s="910"/>
      <c r="EV122" s="910"/>
      <c r="EW122" s="910"/>
      <c r="EX122" s="910"/>
      <c r="EY122" s="910"/>
      <c r="EZ122" s="910"/>
      <c r="FA122" s="910"/>
      <c r="FB122" s="910"/>
      <c r="FC122" s="910"/>
      <c r="FD122" s="910"/>
      <c r="FE122" s="910"/>
      <c r="FF122" s="910"/>
      <c r="FG122" s="910"/>
      <c r="FH122" s="910"/>
      <c r="FI122" s="910"/>
      <c r="FJ122" s="910"/>
      <c r="FK122" s="910"/>
      <c r="FL122" s="1019" t="str">
        <f>IF(Weapons!AI$16="Dual Wield",IF(Weapons!O$16="Dual Wield",IF(AND(FL104&lt;&gt;"",FL146&lt;&gt;""),FL104&amp;" and "&amp;RIGHT(FL146,IF(Weapons!AI$12="Melee",LEN(FL146)-6,LEN(FL146)-7)),""),""),"")</f>
        <v/>
      </c>
      <c r="FM122" s="1019" t="str">
        <f t="shared" si="2"/>
        <v/>
      </c>
    </row>
    <row r="123" spans="1:169" ht="9" customHeight="1" thickTop="1">
      <c r="A123" s="910"/>
      <c r="B123" s="910"/>
      <c r="C123" s="910"/>
      <c r="D123" s="910"/>
      <c r="E123" s="910"/>
      <c r="F123" s="910"/>
      <c r="G123" s="910"/>
      <c r="H123" s="910"/>
      <c r="I123" s="910"/>
      <c r="J123" s="3"/>
      <c r="K123" s="3"/>
      <c r="L123" s="93"/>
      <c r="M123" s="2179" t="s">
        <v>6142</v>
      </c>
      <c r="N123" s="2179"/>
      <c r="O123" s="2179"/>
      <c r="P123" s="2179"/>
      <c r="Q123" s="2179"/>
      <c r="R123" s="2179"/>
      <c r="S123" s="592"/>
      <c r="T123" s="1117">
        <v>1</v>
      </c>
      <c r="U123" s="1117">
        <f>T123+1</f>
        <v>2</v>
      </c>
      <c r="V123" s="1117">
        <f>U123+1</f>
        <v>3</v>
      </c>
      <c r="W123" s="1117">
        <f>V123+1</f>
        <v>4</v>
      </c>
      <c r="X123" s="1117">
        <f>W123+1</f>
        <v>5</v>
      </c>
      <c r="Y123" s="1117" t="s">
        <v>3816</v>
      </c>
      <c r="Z123" s="1117">
        <f>X123+1</f>
        <v>6</v>
      </c>
      <c r="AA123" s="1117">
        <f>Z123+1</f>
        <v>7</v>
      </c>
      <c r="AB123" s="1117">
        <f>AA123+1</f>
        <v>8</v>
      </c>
      <c r="AC123" s="1117">
        <f>AB123+1</f>
        <v>9</v>
      </c>
      <c r="AD123" s="1117">
        <f>AC123+1</f>
        <v>10</v>
      </c>
      <c r="AE123" s="1117" t="s">
        <v>3816</v>
      </c>
      <c r="AF123" s="1117">
        <f>AD123+1</f>
        <v>11</v>
      </c>
      <c r="AG123" s="1117">
        <f>AF123+1</f>
        <v>12</v>
      </c>
      <c r="AH123" s="1117">
        <f>AG123+1</f>
        <v>13</v>
      </c>
      <c r="AI123" s="1117">
        <f>AH123+1</f>
        <v>14</v>
      </c>
      <c r="AJ123" s="1117">
        <f>AI123+1</f>
        <v>15</v>
      </c>
      <c r="AK123" s="1117" t="s">
        <v>3816</v>
      </c>
      <c r="AL123" s="1117">
        <f>AJ123+1</f>
        <v>16</v>
      </c>
      <c r="AM123" s="1117">
        <f>AL123+1</f>
        <v>17</v>
      </c>
      <c r="AN123" s="1117">
        <f>AM123+1</f>
        <v>18</v>
      </c>
      <c r="AO123" s="1117">
        <f>AN123+1</f>
        <v>19</v>
      </c>
      <c r="AP123" s="1117">
        <f>AO123+1</f>
        <v>20</v>
      </c>
      <c r="AQ123" s="1117" t="s">
        <v>3816</v>
      </c>
      <c r="AR123" s="1117">
        <f>AP123+1</f>
        <v>21</v>
      </c>
      <c r="AS123" s="1117">
        <f>AR123+1</f>
        <v>22</v>
      </c>
      <c r="AT123" s="1117">
        <f>AS123+1</f>
        <v>23</v>
      </c>
      <c r="AU123" s="1117">
        <f>AT123+1</f>
        <v>24</v>
      </c>
      <c r="AV123" s="1117">
        <f>AU123+1</f>
        <v>25</v>
      </c>
      <c r="AW123" s="1117"/>
      <c r="AX123" s="297"/>
      <c r="AY123" s="1116"/>
      <c r="AZ123" s="910"/>
      <c r="BA123" s="102"/>
      <c r="BB123" s="2206" t="s">
        <v>4096</v>
      </c>
      <c r="BC123" s="2206"/>
      <c r="BD123" s="2206"/>
      <c r="BE123" s="2206"/>
      <c r="BF123" s="2206"/>
      <c r="BG123" s="2206"/>
      <c r="BH123" s="2206"/>
      <c r="BI123" s="2206"/>
      <c r="BJ123" s="2206"/>
      <c r="BK123" s="2206"/>
      <c r="BL123" s="2206"/>
      <c r="BM123" s="2206"/>
      <c r="BN123" s="2206"/>
      <c r="BO123" s="2206"/>
      <c r="BP123" s="910"/>
      <c r="BQ123" s="910"/>
      <c r="BR123" s="102"/>
      <c r="BS123" s="2219" t="str">
        <f>IF(CA123&lt;&gt;"",IF(AND(INDEX(WeaponTable,MATCH(Weapons!Y$11,WeaponList,0),5)&lt;&gt;"heavy",Feats!$M$361&gt;0),2,""),"")</f>
        <v/>
      </c>
      <c r="BT123" s="2219"/>
      <c r="BU123" s="2219"/>
      <c r="BV123" s="2219"/>
      <c r="BW123" s="2219"/>
      <c r="BX123" s="2219"/>
      <c r="BY123" s="2219"/>
      <c r="BZ123" s="2220"/>
      <c r="CA123" s="2225" t="str">
        <f>IF(AND(AQ91="Ranged",J91&lt;&gt;""),IF(Feats!$M$233&gt;0,1,0),"")</f>
        <v/>
      </c>
      <c r="CB123" s="2219"/>
      <c r="CC123" s="2219"/>
      <c r="CD123" s="2219"/>
      <c r="CE123" s="2219"/>
      <c r="CF123" s="2219"/>
      <c r="CG123" s="2219"/>
      <c r="CH123" s="2220"/>
      <c r="CI123" s="2219" t="str">
        <f>IF(AND(AQ91="Ranged",J93&lt;&gt;""),IF(OR(Weapons!Y$27="Accurate",COUNTIF(Weapons!Y$56:Y$60,"Rangefinder")&gt;0),0,IF(Feats!$M$107&gt;0,0,-2)),"")</f>
        <v/>
      </c>
      <c r="CJ123" s="2219"/>
      <c r="CK123" s="2219"/>
      <c r="CL123" s="2219"/>
      <c r="CM123" s="2219"/>
      <c r="CN123" s="2219"/>
      <c r="CO123" s="2219"/>
      <c r="CP123" s="2220"/>
      <c r="CQ123" s="2225" t="str">
        <f>IF(AND(AQ91="Ranged",J93&lt;&gt;""),IF(Feats!$M$107&gt;0,-2,-5),"")</f>
        <v/>
      </c>
      <c r="CR123" s="2219"/>
      <c r="CS123" s="2219"/>
      <c r="CT123" s="2219"/>
      <c r="CU123" s="2219"/>
      <c r="CV123" s="2219"/>
      <c r="CW123" s="2219"/>
      <c r="CX123" s="2220"/>
      <c r="CY123" s="2231" t="str">
        <f>IF(AND(AQ91="Ranged",J93&lt;&gt;""),IF(Weapons!Y$27="Inaccurate","N/A",IF(Feats!$M$107&gt;0,-5,-10)),"")</f>
        <v/>
      </c>
      <c r="CZ123" s="2232"/>
      <c r="DA123" s="2232"/>
      <c r="DB123" s="2232"/>
      <c r="DC123" s="2232"/>
      <c r="DD123" s="2232"/>
      <c r="DE123" s="2232"/>
      <c r="DF123" s="2232"/>
      <c r="DG123" s="100"/>
      <c r="DH123" s="976"/>
      <c r="DI123" s="958"/>
      <c r="DJ123" s="958"/>
      <c r="DK123" s="958"/>
      <c r="DL123" s="910"/>
      <c r="DM123" s="910"/>
      <c r="DN123" s="910"/>
      <c r="DO123" s="910"/>
      <c r="DP123" s="910"/>
      <c r="DQ123" s="910"/>
      <c r="DR123" s="910"/>
      <c r="DS123" s="910"/>
      <c r="DT123" s="910"/>
      <c r="DU123" s="910"/>
      <c r="DV123" s="910"/>
      <c r="DW123" s="910"/>
      <c r="DX123" s="910"/>
      <c r="DY123" s="910"/>
      <c r="DZ123" s="910"/>
      <c r="EA123" s="910"/>
      <c r="EB123" s="910"/>
      <c r="EC123" s="910"/>
      <c r="ED123" s="910"/>
      <c r="EE123" s="910"/>
      <c r="EF123" s="910"/>
      <c r="EG123" s="910"/>
      <c r="EH123" s="910"/>
      <c r="EI123" s="910"/>
      <c r="EJ123" s="910"/>
      <c r="EK123" s="910"/>
      <c r="EL123" s="910"/>
      <c r="EM123" s="910"/>
      <c r="EN123" s="910"/>
      <c r="EO123" s="910"/>
      <c r="EP123" s="910"/>
      <c r="EQ123" s="910"/>
      <c r="ER123" s="910"/>
      <c r="ES123" s="910"/>
      <c r="ET123" s="910"/>
      <c r="EU123" s="910"/>
      <c r="EV123" s="910"/>
      <c r="EW123" s="910"/>
      <c r="EX123" s="910"/>
      <c r="EY123" s="910"/>
      <c r="EZ123" s="910"/>
      <c r="FA123" s="910"/>
      <c r="FB123" s="910"/>
      <c r="FC123" s="910"/>
      <c r="FD123" s="910"/>
      <c r="FE123" s="910"/>
      <c r="FF123" s="910"/>
      <c r="FG123" s="910"/>
      <c r="FH123" s="910"/>
      <c r="FI123" s="910"/>
      <c r="FJ123" s="910"/>
      <c r="FK123" s="910"/>
      <c r="FL123" s="1019" t="str">
        <f>IF(Weapons!AI$16="Dual Wield",IF(Weapons!O$16="Dual Wield",IF(AND(FL105&lt;&gt;"",FL147&lt;&gt;""),FL105&amp;" and "&amp;RIGHT(FL147,IF(Weapons!AI$12="Melee",LEN(FL147)-6,LEN(FL147)-7)),""),""),"")</f>
        <v/>
      </c>
      <c r="FM123" s="1019" t="str">
        <f t="shared" si="2"/>
        <v/>
      </c>
    </row>
    <row r="124" spans="1:169" ht="9" customHeight="1">
      <c r="A124" s="910"/>
      <c r="B124" s="910"/>
      <c r="C124" s="910"/>
      <c r="D124" s="910"/>
      <c r="E124" s="910"/>
      <c r="F124" s="910"/>
      <c r="G124" s="910"/>
      <c r="H124" s="910"/>
      <c r="I124" s="910"/>
      <c r="J124" s="105"/>
      <c r="K124" s="913"/>
      <c r="L124" s="102"/>
      <c r="M124" s="2180"/>
      <c r="N124" s="2180"/>
      <c r="O124" s="2180"/>
      <c r="P124" s="2180"/>
      <c r="Q124" s="2180"/>
      <c r="R124" s="2180"/>
      <c r="S124" s="3"/>
      <c r="T124" s="657"/>
      <c r="U124" s="657"/>
      <c r="V124" s="1105"/>
      <c r="W124" s="1105"/>
      <c r="X124" s="1105"/>
      <c r="Y124" s="1105"/>
      <c r="Z124" s="712"/>
      <c r="AA124" s="712"/>
      <c r="AB124" s="595"/>
      <c r="AC124" s="595"/>
      <c r="AD124" s="595"/>
      <c r="AE124" s="595"/>
      <c r="AF124" s="595"/>
      <c r="AG124" s="595"/>
      <c r="AH124" s="595"/>
      <c r="AI124" s="595"/>
      <c r="AJ124" s="595"/>
      <c r="AK124" s="595"/>
      <c r="AL124" s="595"/>
      <c r="AM124" s="595"/>
      <c r="AN124" s="595"/>
      <c r="AO124" s="595"/>
      <c r="AP124" s="595"/>
      <c r="AQ124" s="595"/>
      <c r="AR124" s="595"/>
      <c r="AS124" s="595"/>
      <c r="AT124" s="595"/>
      <c r="AU124" s="595"/>
      <c r="AV124" s="595"/>
      <c r="AW124" s="595"/>
      <c r="AX124" s="300"/>
      <c r="AY124" s="595"/>
      <c r="AZ124" s="910"/>
      <c r="BA124" s="102"/>
      <c r="BB124" s="2206"/>
      <c r="BC124" s="2206"/>
      <c r="BD124" s="2206"/>
      <c r="BE124" s="2206"/>
      <c r="BF124" s="2206"/>
      <c r="BG124" s="2206"/>
      <c r="BH124" s="2206"/>
      <c r="BI124" s="2206"/>
      <c r="BJ124" s="2206"/>
      <c r="BK124" s="2206"/>
      <c r="BL124" s="2206"/>
      <c r="BM124" s="2206"/>
      <c r="BN124" s="2206"/>
      <c r="BO124" s="2206"/>
      <c r="BP124" s="910"/>
      <c r="BQ124" s="910"/>
      <c r="BR124" s="102"/>
      <c r="BS124" s="2221"/>
      <c r="BT124" s="2221"/>
      <c r="BU124" s="2221"/>
      <c r="BV124" s="2221"/>
      <c r="BW124" s="2221"/>
      <c r="BX124" s="2221"/>
      <c r="BY124" s="2221"/>
      <c r="BZ124" s="2222"/>
      <c r="CA124" s="2228"/>
      <c r="CB124" s="2221"/>
      <c r="CC124" s="2221"/>
      <c r="CD124" s="2221"/>
      <c r="CE124" s="2221"/>
      <c r="CF124" s="2221"/>
      <c r="CG124" s="2221"/>
      <c r="CH124" s="2222"/>
      <c r="CI124" s="2221"/>
      <c r="CJ124" s="2221"/>
      <c r="CK124" s="2221"/>
      <c r="CL124" s="2221"/>
      <c r="CM124" s="2221"/>
      <c r="CN124" s="2221"/>
      <c r="CO124" s="2221"/>
      <c r="CP124" s="2222"/>
      <c r="CQ124" s="2228"/>
      <c r="CR124" s="2221"/>
      <c r="CS124" s="2221"/>
      <c r="CT124" s="2221"/>
      <c r="CU124" s="2221"/>
      <c r="CV124" s="2221"/>
      <c r="CW124" s="2221"/>
      <c r="CX124" s="2222"/>
      <c r="CY124" s="2233"/>
      <c r="CZ124" s="2234"/>
      <c r="DA124" s="2234"/>
      <c r="DB124" s="2234"/>
      <c r="DC124" s="2234"/>
      <c r="DD124" s="2234"/>
      <c r="DE124" s="2234"/>
      <c r="DF124" s="2234"/>
      <c r="DG124" s="100"/>
      <c r="DH124" s="976"/>
      <c r="DI124" s="958"/>
      <c r="DJ124" s="958"/>
      <c r="DK124" s="958"/>
      <c r="DL124" s="910"/>
      <c r="DM124" s="910"/>
      <c r="DN124" s="910"/>
      <c r="DO124" s="910"/>
      <c r="DP124" s="910"/>
      <c r="DQ124" s="910"/>
      <c r="DR124" s="910"/>
      <c r="DS124" s="910"/>
      <c r="DT124" s="910"/>
      <c r="DU124" s="910"/>
      <c r="DV124" s="910"/>
      <c r="DW124" s="910"/>
      <c r="DX124" s="910"/>
      <c r="DY124" s="910"/>
      <c r="DZ124" s="910"/>
      <c r="EA124" s="910"/>
      <c r="EB124" s="910"/>
      <c r="EC124" s="910"/>
      <c r="ED124" s="910"/>
      <c r="EE124" s="910"/>
      <c r="EF124" s="910"/>
      <c r="EG124" s="910"/>
      <c r="EH124" s="910"/>
      <c r="EI124" s="910"/>
      <c r="EJ124" s="910"/>
      <c r="EK124" s="910"/>
      <c r="EL124" s="910"/>
      <c r="EM124" s="910"/>
      <c r="EN124" s="910"/>
      <c r="EO124" s="910"/>
      <c r="EP124" s="910"/>
      <c r="EQ124" s="910"/>
      <c r="ER124" s="910"/>
      <c r="ES124" s="910"/>
      <c r="ET124" s="910"/>
      <c r="EU124" s="910"/>
      <c r="EV124" s="910"/>
      <c r="EW124" s="910"/>
      <c r="EX124" s="910"/>
      <c r="EY124" s="910"/>
      <c r="EZ124" s="910"/>
      <c r="FA124" s="910"/>
      <c r="FB124" s="910"/>
      <c r="FC124" s="910"/>
      <c r="FD124" s="910"/>
      <c r="FE124" s="910"/>
      <c r="FF124" s="910"/>
      <c r="FG124" s="910"/>
      <c r="FH124" s="910"/>
      <c r="FI124" s="910"/>
      <c r="FJ124" s="910"/>
      <c r="FK124" s="910"/>
      <c r="FL124" s="1019" t="str">
        <f>IF(Weapons!AI$16="Dual Wield",IF(Weapons!O$16="Dual Wield",IF(AND(FL106&lt;&gt;"",FL148&lt;&gt;""),FL106&amp;" and "&amp;RIGHT(FL148,IF(Weapons!AI$12="Melee",LEN(FL148)-6,LEN(FL148)-7)),""),""),"")</f>
        <v/>
      </c>
      <c r="FM124" s="1019" t="str">
        <f t="shared" si="2"/>
        <v/>
      </c>
    </row>
    <row r="125" spans="1:169" ht="9" customHeight="1">
      <c r="A125" s="910"/>
      <c r="B125" s="910"/>
      <c r="C125" s="910"/>
      <c r="D125" s="910"/>
      <c r="E125" s="910"/>
      <c r="F125" s="910"/>
      <c r="G125" s="910"/>
      <c r="H125" s="910"/>
      <c r="I125" s="910"/>
      <c r="J125" s="331"/>
      <c r="K125" s="913"/>
      <c r="L125" s="102"/>
      <c r="M125" s="105"/>
      <c r="N125" s="105"/>
      <c r="O125" s="105"/>
      <c r="P125" s="105"/>
      <c r="Q125" s="657"/>
      <c r="R125" s="657"/>
      <c r="S125" s="3"/>
      <c r="T125" s="1105"/>
      <c r="U125" s="657"/>
      <c r="V125" s="657"/>
      <c r="W125" s="657"/>
      <c r="X125" s="657"/>
      <c r="Y125" s="657"/>
      <c r="Z125" s="657"/>
      <c r="AA125" s="657"/>
      <c r="AB125" s="657"/>
      <c r="AC125" s="657"/>
      <c r="AD125" s="657"/>
      <c r="AE125" s="657"/>
      <c r="AF125" s="657"/>
      <c r="AG125" s="657"/>
      <c r="AH125" s="657"/>
      <c r="AI125" s="657"/>
      <c r="AJ125" s="657"/>
      <c r="AK125" s="657"/>
      <c r="AL125" s="657"/>
      <c r="AM125" s="657"/>
      <c r="AN125" s="657"/>
      <c r="AO125" s="596"/>
      <c r="AP125" s="3"/>
      <c r="AQ125" s="3"/>
      <c r="AR125" s="3"/>
      <c r="AS125" s="3"/>
      <c r="AT125" s="3"/>
      <c r="AU125" s="3"/>
      <c r="AV125" s="3"/>
      <c r="AW125" s="3"/>
      <c r="AX125" s="103"/>
      <c r="AY125" s="1104"/>
      <c r="AZ125" s="910"/>
      <c r="BA125" s="102"/>
      <c r="BB125" s="2206"/>
      <c r="BC125" s="2206"/>
      <c r="BD125" s="2206"/>
      <c r="BE125" s="2206"/>
      <c r="BF125" s="2206"/>
      <c r="BG125" s="2206"/>
      <c r="BH125" s="2206"/>
      <c r="BI125" s="2206"/>
      <c r="BJ125" s="2206"/>
      <c r="BK125" s="2206"/>
      <c r="BL125" s="2206"/>
      <c r="BM125" s="2206"/>
      <c r="BN125" s="2206"/>
      <c r="BO125" s="2206"/>
      <c r="BP125" s="910"/>
      <c r="BQ125" s="910"/>
      <c r="BR125" s="102"/>
      <c r="BS125" s="2198"/>
      <c r="BT125" s="2198"/>
      <c r="BU125" s="2198"/>
      <c r="BV125" s="2198"/>
      <c r="BW125" s="2198"/>
      <c r="BX125" s="2198"/>
      <c r="BY125" s="2198"/>
      <c r="BZ125" s="2199"/>
      <c r="CA125" s="2197"/>
      <c r="CB125" s="2198"/>
      <c r="CC125" s="2198"/>
      <c r="CD125" s="2198"/>
      <c r="CE125" s="2198"/>
      <c r="CF125" s="2198"/>
      <c r="CG125" s="2198"/>
      <c r="CH125" s="2199"/>
      <c r="CI125" s="2198"/>
      <c r="CJ125" s="2198"/>
      <c r="CK125" s="2198"/>
      <c r="CL125" s="2198"/>
      <c r="CM125" s="2198"/>
      <c r="CN125" s="2198"/>
      <c r="CO125" s="2198"/>
      <c r="CP125" s="2199"/>
      <c r="CQ125" s="2197"/>
      <c r="CR125" s="2198"/>
      <c r="CS125" s="2198"/>
      <c r="CT125" s="2198"/>
      <c r="CU125" s="2198"/>
      <c r="CV125" s="2198"/>
      <c r="CW125" s="2198"/>
      <c r="CX125" s="2199"/>
      <c r="CY125" s="2235"/>
      <c r="CZ125" s="2236"/>
      <c r="DA125" s="2236"/>
      <c r="DB125" s="2236"/>
      <c r="DC125" s="2236"/>
      <c r="DD125" s="2236"/>
      <c r="DE125" s="2236"/>
      <c r="DF125" s="2236"/>
      <c r="DG125" s="100"/>
      <c r="DH125" s="976"/>
      <c r="DI125" s="958"/>
      <c r="DJ125" s="958"/>
      <c r="DK125" s="958"/>
      <c r="DL125" s="910"/>
      <c r="DM125" s="910"/>
      <c r="DN125" s="910"/>
      <c r="DO125" s="910"/>
      <c r="DP125" s="910"/>
      <c r="DQ125" s="910"/>
      <c r="DR125" s="910"/>
      <c r="DS125" s="910"/>
      <c r="DT125" s="910"/>
      <c r="DU125" s="910"/>
      <c r="DV125" s="910"/>
      <c r="DW125" s="910"/>
      <c r="DX125" s="910"/>
      <c r="DY125" s="910"/>
      <c r="DZ125" s="910"/>
      <c r="EA125" s="910"/>
      <c r="EB125" s="910"/>
      <c r="EC125" s="910"/>
      <c r="ED125" s="910"/>
      <c r="EE125" s="910"/>
      <c r="EF125" s="910"/>
      <c r="EG125" s="910"/>
      <c r="EH125" s="910"/>
      <c r="EI125" s="910"/>
      <c r="EJ125" s="910"/>
      <c r="EK125" s="910"/>
      <c r="EL125" s="910"/>
      <c r="EM125" s="910"/>
      <c r="EN125" s="910"/>
      <c r="EO125" s="910"/>
      <c r="EP125" s="910"/>
      <c r="EQ125" s="910"/>
      <c r="ER125" s="910"/>
      <c r="ES125" s="910"/>
      <c r="ET125" s="910"/>
      <c r="EU125" s="910"/>
      <c r="EV125" s="910"/>
      <c r="EW125" s="910"/>
      <c r="EX125" s="910"/>
      <c r="EY125" s="910"/>
      <c r="EZ125" s="910"/>
      <c r="FA125" s="910"/>
      <c r="FB125" s="910"/>
      <c r="FC125" s="910"/>
      <c r="FD125" s="910"/>
      <c r="FE125" s="910"/>
      <c r="FF125" s="910"/>
      <c r="FG125" s="910"/>
      <c r="FH125" s="910"/>
      <c r="FI125" s="910"/>
      <c r="FJ125" s="910"/>
      <c r="FK125" s="910"/>
      <c r="FL125" s="1019" t="str">
        <f>IF(Weapons!AI$16="Dual Wield",IF(Weapons!O$16="Dual Wield",IF(AND(FL107&lt;&gt;"",FL149&lt;&gt;""),FL107&amp;" and "&amp;RIGHT(FL149,IF(Weapons!AI$12="Melee",LEN(FL149)-6,LEN(FL149)-7)),""),""),"")</f>
        <v/>
      </c>
      <c r="FM125" s="1019" t="str">
        <f t="shared" si="2"/>
        <v/>
      </c>
    </row>
    <row r="126" spans="1:169" ht="9" customHeight="1">
      <c r="A126" s="910"/>
      <c r="B126" s="910"/>
      <c r="C126" s="910"/>
      <c r="D126" s="910"/>
      <c r="E126" s="910"/>
      <c r="F126" s="910"/>
      <c r="G126" s="910"/>
      <c r="H126" s="910"/>
      <c r="I126" s="910"/>
      <c r="J126" s="331"/>
      <c r="K126" s="105"/>
      <c r="L126" s="102"/>
      <c r="M126" s="105"/>
      <c r="N126" s="105"/>
      <c r="O126" s="105"/>
      <c r="P126" s="105"/>
      <c r="Q126" s="657"/>
      <c r="R126" s="657"/>
      <c r="S126" s="3"/>
      <c r="T126" s="1105"/>
      <c r="U126" s="657"/>
      <c r="V126" s="657"/>
      <c r="W126" s="657"/>
      <c r="X126" s="657"/>
      <c r="Y126" s="657"/>
      <c r="Z126" s="657"/>
      <c r="AA126" s="657"/>
      <c r="AB126" s="657"/>
      <c r="AC126" s="657"/>
      <c r="AD126" s="657"/>
      <c r="AE126" s="657"/>
      <c r="AF126" s="657"/>
      <c r="AG126" s="657"/>
      <c r="AH126" s="657"/>
      <c r="AI126" s="657"/>
      <c r="AJ126" s="657"/>
      <c r="AK126" s="657"/>
      <c r="AL126" s="657"/>
      <c r="AM126" s="657"/>
      <c r="AN126" s="657"/>
      <c r="AO126" s="596"/>
      <c r="AP126" s="3"/>
      <c r="AQ126" s="3"/>
      <c r="AR126" s="3"/>
      <c r="AS126" s="3"/>
      <c r="AT126" s="3"/>
      <c r="AU126" s="3"/>
      <c r="AV126" s="3"/>
      <c r="AW126" s="3"/>
      <c r="AX126" s="300"/>
      <c r="AY126" s="1104"/>
      <c r="AZ126" s="910"/>
      <c r="BA126" s="102"/>
      <c r="BB126" s="2206" t="s">
        <v>3732</v>
      </c>
      <c r="BC126" s="2206"/>
      <c r="BD126" s="2206"/>
      <c r="BE126" s="2206"/>
      <c r="BF126" s="2206"/>
      <c r="BG126" s="2206"/>
      <c r="BH126" s="2206"/>
      <c r="BI126" s="2206"/>
      <c r="BJ126" s="2206"/>
      <c r="BK126" s="2206"/>
      <c r="BL126" s="2206"/>
      <c r="BM126" s="2206"/>
      <c r="BN126" s="2206"/>
      <c r="BO126" s="2206"/>
      <c r="BP126" s="910"/>
      <c r="BQ126" s="910"/>
      <c r="BR126" s="102"/>
      <c r="BS126" s="2210" t="str">
        <f>IF(CA126&lt;&gt;"",IF(AND(INDEX(WeaponTable,MATCH(Weapons!Y$11,WeaponList,0),5)&lt;&gt;"heavy",Feats!$M$361&gt;0),"+1d"&amp;Weapons!Y$79&amp;"+1",""),"")</f>
        <v/>
      </c>
      <c r="BT126" s="2210"/>
      <c r="BU126" s="2210"/>
      <c r="BV126" s="2210"/>
      <c r="BW126" s="2210"/>
      <c r="BX126" s="2210"/>
      <c r="BY126" s="2210"/>
      <c r="BZ126" s="2211"/>
      <c r="CA126" s="2225" t="str">
        <f>IF(CA123&lt;&gt;"",IF(CA123&lt;&gt;0,CA123,""),"")</f>
        <v/>
      </c>
      <c r="CB126" s="2210"/>
      <c r="CC126" s="2210"/>
      <c r="CD126" s="2210"/>
      <c r="CE126" s="2210"/>
      <c r="CF126" s="2210"/>
      <c r="CG126" s="2210"/>
      <c r="CH126" s="2211"/>
      <c r="CI126" s="2210"/>
      <c r="CJ126" s="2210"/>
      <c r="CK126" s="2210"/>
      <c r="CL126" s="2210"/>
      <c r="CM126" s="2210"/>
      <c r="CN126" s="2210"/>
      <c r="CO126" s="2210"/>
      <c r="CP126" s="2211"/>
      <c r="CQ126" s="2229"/>
      <c r="CR126" s="2210"/>
      <c r="CS126" s="2210"/>
      <c r="CT126" s="2210"/>
      <c r="CU126" s="2210"/>
      <c r="CV126" s="2210"/>
      <c r="CW126" s="2210"/>
      <c r="CX126" s="2211"/>
      <c r="CY126" s="2229"/>
      <c r="CZ126" s="2210"/>
      <c r="DA126" s="2210"/>
      <c r="DB126" s="2210"/>
      <c r="DC126" s="2210"/>
      <c r="DD126" s="2210"/>
      <c r="DE126" s="2210"/>
      <c r="DF126" s="2210"/>
      <c r="DG126" s="100"/>
      <c r="DH126" s="976"/>
      <c r="DI126" s="958"/>
      <c r="DJ126" s="958"/>
      <c r="DK126" s="958"/>
      <c r="DL126" s="910"/>
      <c r="DM126" s="910"/>
      <c r="DN126" s="910"/>
      <c r="DO126" s="910"/>
      <c r="DP126" s="910"/>
      <c r="DQ126" s="910"/>
      <c r="DR126" s="910"/>
      <c r="DS126" s="910"/>
      <c r="DT126" s="910"/>
      <c r="DU126" s="910"/>
      <c r="DV126" s="910"/>
      <c r="DW126" s="910"/>
      <c r="DX126" s="910"/>
      <c r="DY126" s="910"/>
      <c r="DZ126" s="910"/>
      <c r="EA126" s="910"/>
      <c r="EB126" s="910"/>
      <c r="EC126" s="910"/>
      <c r="ED126" s="910"/>
      <c r="EE126" s="910"/>
      <c r="EF126" s="910"/>
      <c r="EG126" s="910"/>
      <c r="EH126" s="910"/>
      <c r="EI126" s="910"/>
      <c r="EJ126" s="910"/>
      <c r="EK126" s="910"/>
      <c r="EL126" s="910"/>
      <c r="EM126" s="910"/>
      <c r="EN126" s="910"/>
      <c r="EO126" s="910"/>
      <c r="EP126" s="910"/>
      <c r="EQ126" s="910"/>
      <c r="ER126" s="910"/>
      <c r="ES126" s="910"/>
      <c r="ET126" s="910"/>
      <c r="EU126" s="910"/>
      <c r="EV126" s="910"/>
      <c r="EW126" s="910"/>
      <c r="EX126" s="910"/>
      <c r="EY126" s="910"/>
      <c r="EZ126" s="910"/>
      <c r="FA126" s="910"/>
      <c r="FB126" s="910"/>
      <c r="FC126" s="910"/>
      <c r="FD126" s="910"/>
      <c r="FE126" s="910"/>
      <c r="FF126" s="910"/>
      <c r="FG126" s="910"/>
      <c r="FH126" s="910"/>
      <c r="FI126" s="910"/>
      <c r="FJ126" s="910"/>
      <c r="FK126" s="910"/>
      <c r="FL126" s="1019" t="str">
        <f>IF(Weapons!AI$16="Dual Wield",IF(Weapons!O$16="Dual Wield",IF(AND(FL108&lt;&gt;"",FL150&lt;&gt;""),FL108&amp;" and "&amp;RIGHT(FL150,IF(Weapons!AI$12="Melee",LEN(FL150)-6,LEN(FL150)-7)),""),""),"")</f>
        <v/>
      </c>
      <c r="FM126" s="1022" t="s">
        <v>195</v>
      </c>
    </row>
    <row r="127" spans="1:169" ht="9" customHeight="1" thickBot="1">
      <c r="A127" s="910"/>
      <c r="B127" s="910"/>
      <c r="C127" s="910"/>
      <c r="D127" s="910"/>
      <c r="E127" s="910"/>
      <c r="F127" s="910"/>
      <c r="G127" s="910"/>
      <c r="H127" s="910"/>
      <c r="I127" s="910"/>
      <c r="J127" s="105"/>
      <c r="K127" s="105"/>
      <c r="L127" s="102"/>
      <c r="M127" s="3"/>
      <c r="N127" s="3"/>
      <c r="O127" s="3"/>
      <c r="P127" s="3"/>
      <c r="Q127" s="3"/>
      <c r="R127" s="105"/>
      <c r="S127" s="3"/>
      <c r="T127" s="1105"/>
      <c r="U127" s="657"/>
      <c r="V127" s="657"/>
      <c r="W127" s="657"/>
      <c r="X127" s="657"/>
      <c r="Y127" s="657"/>
      <c r="Z127" s="657"/>
      <c r="AA127" s="657"/>
      <c r="AB127" s="657"/>
      <c r="AC127" s="657"/>
      <c r="AD127" s="657"/>
      <c r="AE127" s="657"/>
      <c r="AF127" s="657"/>
      <c r="AG127" s="657"/>
      <c r="AH127" s="657"/>
      <c r="AI127" s="657"/>
      <c r="AJ127" s="657"/>
      <c r="AK127" s="657"/>
      <c r="AL127" s="657"/>
      <c r="AM127" s="657"/>
      <c r="AN127" s="657"/>
      <c r="AO127" s="596"/>
      <c r="AP127" s="3"/>
      <c r="AQ127" s="3"/>
      <c r="AR127" s="3"/>
      <c r="AS127" s="3"/>
      <c r="AT127" s="3"/>
      <c r="AU127" s="3"/>
      <c r="AV127" s="3"/>
      <c r="AW127" s="1118"/>
      <c r="AX127" s="103"/>
      <c r="AY127" s="710"/>
      <c r="AZ127" s="910"/>
      <c r="BA127" s="102"/>
      <c r="BB127" s="2206"/>
      <c r="BC127" s="2206"/>
      <c r="BD127" s="2206"/>
      <c r="BE127" s="2206"/>
      <c r="BF127" s="2206"/>
      <c r="BG127" s="2206"/>
      <c r="BH127" s="2206"/>
      <c r="BI127" s="2206"/>
      <c r="BJ127" s="2206"/>
      <c r="BK127" s="2206"/>
      <c r="BL127" s="2206"/>
      <c r="BM127" s="2206"/>
      <c r="BN127" s="2206"/>
      <c r="BO127" s="2206"/>
      <c r="BP127" s="910"/>
      <c r="BQ127" s="108"/>
      <c r="BR127" s="647"/>
      <c r="BS127" s="2212"/>
      <c r="BT127" s="2212"/>
      <c r="BU127" s="2212"/>
      <c r="BV127" s="2212"/>
      <c r="BW127" s="2212"/>
      <c r="BX127" s="2212"/>
      <c r="BY127" s="2212"/>
      <c r="BZ127" s="2213"/>
      <c r="CA127" s="2226"/>
      <c r="CB127" s="2212"/>
      <c r="CC127" s="2212"/>
      <c r="CD127" s="2212"/>
      <c r="CE127" s="2212"/>
      <c r="CF127" s="2212"/>
      <c r="CG127" s="2212"/>
      <c r="CH127" s="2213"/>
      <c r="CI127" s="2212"/>
      <c r="CJ127" s="2212"/>
      <c r="CK127" s="2212"/>
      <c r="CL127" s="2212"/>
      <c r="CM127" s="2212"/>
      <c r="CN127" s="2212"/>
      <c r="CO127" s="2212"/>
      <c r="CP127" s="2213"/>
      <c r="CQ127" s="2226"/>
      <c r="CR127" s="2212"/>
      <c r="CS127" s="2212"/>
      <c r="CT127" s="2212"/>
      <c r="CU127" s="2212"/>
      <c r="CV127" s="2212"/>
      <c r="CW127" s="2212"/>
      <c r="CX127" s="2213"/>
      <c r="CY127" s="2226"/>
      <c r="CZ127" s="2212"/>
      <c r="DA127" s="2212"/>
      <c r="DB127" s="2212"/>
      <c r="DC127" s="2212"/>
      <c r="DD127" s="2212"/>
      <c r="DE127" s="2212"/>
      <c r="DF127" s="2212"/>
      <c r="DG127" s="100"/>
      <c r="DH127" s="976"/>
      <c r="DI127" s="958"/>
      <c r="DJ127" s="958"/>
      <c r="DK127" s="958"/>
      <c r="DL127" s="910"/>
      <c r="DM127" s="910"/>
      <c r="DN127" s="910"/>
      <c r="DO127" s="910"/>
      <c r="DP127" s="910"/>
      <c r="DQ127" s="910"/>
      <c r="DR127" s="910"/>
      <c r="DS127" s="910"/>
      <c r="DT127" s="910"/>
      <c r="DU127" s="910"/>
      <c r="DV127" s="910"/>
      <c r="DW127" s="910"/>
      <c r="DX127" s="910"/>
      <c r="DY127" s="910"/>
      <c r="DZ127" s="910"/>
      <c r="EA127" s="910"/>
      <c r="EB127" s="910"/>
      <c r="EC127" s="910"/>
      <c r="ED127" s="910"/>
      <c r="EE127" s="910"/>
      <c r="EF127" s="910"/>
      <c r="EG127" s="910"/>
      <c r="EH127" s="910"/>
      <c r="EI127" s="910"/>
      <c r="EJ127" s="910"/>
      <c r="EK127" s="910"/>
      <c r="EL127" s="910"/>
      <c r="EM127" s="910"/>
      <c r="EN127" s="910"/>
      <c r="EO127" s="910"/>
      <c r="EP127" s="910"/>
      <c r="EQ127" s="910"/>
      <c r="ER127" s="910"/>
      <c r="ES127" s="910"/>
      <c r="ET127" s="910"/>
      <c r="EU127" s="910"/>
      <c r="EV127" s="910"/>
      <c r="EW127" s="910"/>
      <c r="EX127" s="910"/>
      <c r="EY127" s="910"/>
      <c r="EZ127" s="910"/>
      <c r="FA127" s="910"/>
      <c r="FB127" s="910"/>
      <c r="FC127" s="910"/>
      <c r="FD127" s="910"/>
      <c r="FE127" s="910"/>
      <c r="FF127" s="910"/>
      <c r="FG127" s="910"/>
      <c r="FH127" s="910"/>
      <c r="FI127" s="910"/>
      <c r="FJ127" s="910"/>
      <c r="FK127" s="910"/>
    </row>
    <row r="128" spans="1:169" ht="9" customHeight="1" thickTop="1" thickBot="1">
      <c r="A128" s="910"/>
      <c r="B128" s="910"/>
      <c r="C128" s="910"/>
      <c r="D128" s="910"/>
      <c r="E128" s="910"/>
      <c r="F128" s="910"/>
      <c r="G128" s="910"/>
      <c r="H128" s="910"/>
      <c r="I128" s="910"/>
      <c r="J128" s="910"/>
      <c r="K128" s="910"/>
      <c r="L128" s="91"/>
      <c r="M128" s="713"/>
      <c r="N128" s="713"/>
      <c r="O128" s="713"/>
      <c r="P128" s="713"/>
      <c r="Q128" s="713"/>
      <c r="R128" s="713"/>
      <c r="S128" s="713"/>
      <c r="T128" s="713"/>
      <c r="U128" s="713"/>
      <c r="V128" s="713"/>
      <c r="W128" s="713"/>
      <c r="X128" s="713"/>
      <c r="Y128" s="713"/>
      <c r="Z128" s="713"/>
      <c r="AA128" s="713"/>
      <c r="AB128" s="713"/>
      <c r="AC128" s="713"/>
      <c r="AD128" s="713"/>
      <c r="AE128" s="713"/>
      <c r="AF128" s="713"/>
      <c r="AG128" s="713"/>
      <c r="AH128" s="713"/>
      <c r="AI128" s="713"/>
      <c r="AJ128" s="713"/>
      <c r="AK128" s="713"/>
      <c r="AL128" s="713"/>
      <c r="AM128" s="713"/>
      <c r="AN128" s="713"/>
      <c r="AO128" s="713"/>
      <c r="AP128" s="713"/>
      <c r="AQ128" s="713"/>
      <c r="AR128" s="713"/>
      <c r="AS128" s="713"/>
      <c r="AT128" s="713"/>
      <c r="AU128" s="713"/>
      <c r="AV128" s="713"/>
      <c r="AW128" s="1119"/>
      <c r="AX128" s="90"/>
      <c r="AY128" s="710"/>
      <c r="AZ128" s="710"/>
      <c r="BA128" s="649"/>
      <c r="BB128" s="2240"/>
      <c r="BC128" s="2240"/>
      <c r="BD128" s="2240"/>
      <c r="BE128" s="2240"/>
      <c r="BF128" s="2240"/>
      <c r="BG128" s="2240"/>
      <c r="BH128" s="2240"/>
      <c r="BI128" s="2240"/>
      <c r="BJ128" s="2240"/>
      <c r="BK128" s="2240"/>
      <c r="BL128" s="2240"/>
      <c r="BM128" s="2240"/>
      <c r="BN128" s="2240"/>
      <c r="BO128" s="2240"/>
      <c r="BP128" s="93"/>
      <c r="BQ128" s="910"/>
      <c r="BR128" s="649"/>
      <c r="BS128" s="2223"/>
      <c r="BT128" s="2223"/>
      <c r="BU128" s="2223"/>
      <c r="BV128" s="2223"/>
      <c r="BW128" s="2223"/>
      <c r="BX128" s="2223"/>
      <c r="BY128" s="2223"/>
      <c r="BZ128" s="2224"/>
      <c r="CA128" s="2227"/>
      <c r="CB128" s="2223"/>
      <c r="CC128" s="2223"/>
      <c r="CD128" s="2223"/>
      <c r="CE128" s="2223"/>
      <c r="CF128" s="2223"/>
      <c r="CG128" s="2223"/>
      <c r="CH128" s="2224"/>
      <c r="CI128" s="2223"/>
      <c r="CJ128" s="2223"/>
      <c r="CK128" s="2223"/>
      <c r="CL128" s="2223"/>
      <c r="CM128" s="2223"/>
      <c r="CN128" s="2223"/>
      <c r="CO128" s="2223"/>
      <c r="CP128" s="2224"/>
      <c r="CQ128" s="2227"/>
      <c r="CR128" s="2223"/>
      <c r="CS128" s="2223"/>
      <c r="CT128" s="2223"/>
      <c r="CU128" s="2223"/>
      <c r="CV128" s="2223"/>
      <c r="CW128" s="2223"/>
      <c r="CX128" s="2224"/>
      <c r="CY128" s="2227"/>
      <c r="CZ128" s="2223"/>
      <c r="DA128" s="2223"/>
      <c r="DB128" s="2223"/>
      <c r="DC128" s="2223"/>
      <c r="DD128" s="2223"/>
      <c r="DE128" s="2223"/>
      <c r="DF128" s="2223"/>
      <c r="DG128" s="93"/>
      <c r="DH128" s="976"/>
      <c r="DI128" s="958"/>
      <c r="DJ128" s="958"/>
      <c r="DK128" s="958"/>
      <c r="DL128" s="910"/>
      <c r="DM128" s="910"/>
      <c r="DN128" s="910"/>
      <c r="DO128" s="910"/>
      <c r="DP128" s="910"/>
      <c r="DQ128" s="910"/>
      <c r="DR128" s="910"/>
      <c r="DS128" s="910"/>
      <c r="DT128" s="910"/>
      <c r="DU128" s="910"/>
      <c r="DV128" s="910"/>
      <c r="DW128" s="910"/>
      <c r="DX128" s="910"/>
      <c r="DY128" s="910"/>
      <c r="DZ128" s="910"/>
      <c r="EA128" s="910"/>
      <c r="EB128" s="910"/>
      <c r="EC128" s="910"/>
      <c r="ED128" s="910"/>
      <c r="EE128" s="910"/>
      <c r="EF128" s="910"/>
      <c r="EG128" s="910"/>
      <c r="EH128" s="910"/>
      <c r="EI128" s="910"/>
      <c r="EJ128" s="910"/>
      <c r="EK128" s="910"/>
      <c r="EL128" s="910"/>
      <c r="EM128" s="910"/>
      <c r="EN128" s="910"/>
      <c r="EO128" s="910"/>
      <c r="EP128" s="910"/>
      <c r="EQ128" s="910"/>
      <c r="ER128" s="910"/>
      <c r="ES128" s="910"/>
      <c r="ET128" s="910"/>
      <c r="EU128" s="910"/>
      <c r="EV128" s="910"/>
      <c r="EW128" s="910"/>
      <c r="EX128" s="910"/>
      <c r="EY128" s="910"/>
      <c r="EZ128" s="910"/>
      <c r="FA128" s="910"/>
      <c r="FB128" s="910"/>
      <c r="FC128" s="910"/>
      <c r="FD128" s="910"/>
      <c r="FE128" s="910"/>
      <c r="FF128" s="910"/>
      <c r="FG128" s="910"/>
      <c r="FH128" s="910"/>
      <c r="FI128" s="910"/>
      <c r="FJ128" s="910"/>
      <c r="FK128" s="910"/>
    </row>
    <row r="129" spans="1:169" ht="9" customHeight="1" thickTop="1">
      <c r="A129" s="910"/>
      <c r="B129" s="910"/>
      <c r="C129" s="910"/>
      <c r="D129" s="910"/>
      <c r="E129" s="910"/>
      <c r="F129" s="910"/>
      <c r="G129" s="910"/>
      <c r="H129" s="910"/>
      <c r="I129" s="910"/>
      <c r="J129" s="910"/>
      <c r="K129" s="910"/>
      <c r="L129" s="1104"/>
      <c r="M129" s="1104"/>
      <c r="N129" s="1104"/>
      <c r="O129" s="1104"/>
      <c r="P129" s="1104"/>
      <c r="Q129" s="1104"/>
      <c r="R129" s="1104"/>
      <c r="S129" s="1104"/>
      <c r="T129" s="1104"/>
      <c r="U129" s="1104"/>
      <c r="V129" s="1104"/>
      <c r="W129" s="1104"/>
      <c r="X129" s="1104"/>
      <c r="Y129" s="1104"/>
      <c r="Z129" s="1104"/>
      <c r="AA129" s="1104"/>
      <c r="AB129" s="1104"/>
      <c r="AC129" s="1104"/>
      <c r="AD129" s="1104"/>
      <c r="AE129" s="1104"/>
      <c r="AF129" s="1104"/>
      <c r="AG129" s="1104"/>
      <c r="AH129" s="1104"/>
      <c r="AI129" s="1104"/>
      <c r="AJ129" s="1104"/>
      <c r="AK129" s="1104"/>
      <c r="AL129" s="1104"/>
      <c r="AM129" s="1104"/>
      <c r="AN129" s="1104"/>
      <c r="AO129" s="1104"/>
      <c r="AP129" s="1104"/>
      <c r="AQ129" s="1104"/>
      <c r="AR129" s="1104"/>
      <c r="AS129" s="1104"/>
      <c r="AT129" s="1104"/>
      <c r="AU129" s="1104"/>
      <c r="AV129" s="1104"/>
      <c r="AW129" s="1104"/>
      <c r="AX129" s="1104"/>
      <c r="AY129" s="1104"/>
      <c r="AZ129" s="910"/>
      <c r="BA129" s="910"/>
      <c r="BB129" s="910"/>
      <c r="BC129" s="910"/>
      <c r="BD129" s="910"/>
      <c r="BE129" s="910"/>
      <c r="BF129" s="910"/>
      <c r="BG129" s="910"/>
      <c r="BH129" s="910"/>
      <c r="BI129" s="910"/>
      <c r="BJ129" s="910"/>
      <c r="BK129" s="910"/>
      <c r="BL129" s="910"/>
      <c r="BM129" s="910"/>
      <c r="BN129" s="910"/>
      <c r="BO129" s="910"/>
      <c r="BP129" s="910"/>
      <c r="BQ129" s="910"/>
      <c r="BR129" s="910"/>
      <c r="BS129" s="910"/>
      <c r="BT129" s="910"/>
      <c r="BU129" s="910"/>
      <c r="BV129" s="910"/>
      <c r="BW129" s="910"/>
      <c r="BX129" s="910"/>
      <c r="BY129" s="910"/>
      <c r="BZ129" s="910"/>
      <c r="CA129" s="910"/>
      <c r="CB129" s="910"/>
      <c r="CC129" s="910"/>
      <c r="CD129" s="910"/>
      <c r="CE129" s="910"/>
      <c r="CF129" s="910"/>
      <c r="CG129" s="910"/>
      <c r="CH129" s="910"/>
      <c r="CI129" s="910"/>
      <c r="CJ129" s="910"/>
      <c r="CK129" s="910"/>
      <c r="CL129" s="910"/>
      <c r="CM129" s="910"/>
      <c r="CN129" s="910"/>
      <c r="CO129" s="910"/>
      <c r="CP129" s="910"/>
      <c r="CQ129" s="910"/>
      <c r="CR129" s="910"/>
      <c r="CS129" s="910"/>
      <c r="CT129" s="910"/>
      <c r="CU129" s="910"/>
      <c r="CV129" s="910"/>
      <c r="CW129" s="910"/>
      <c r="CX129" s="910"/>
      <c r="CY129" s="910"/>
      <c r="CZ129" s="910"/>
      <c r="DA129" s="910"/>
      <c r="DB129" s="910"/>
      <c r="DC129" s="910"/>
      <c r="DD129" s="910"/>
      <c r="DE129" s="910"/>
      <c r="DF129" s="910"/>
      <c r="DG129" s="910"/>
      <c r="DI129" s="958"/>
      <c r="DJ129" s="958"/>
      <c r="DK129" s="958"/>
      <c r="DL129" s="910"/>
      <c r="DM129" s="910"/>
      <c r="DN129" s="910"/>
      <c r="DO129" s="910"/>
      <c r="DP129" s="910"/>
      <c r="DQ129" s="910"/>
      <c r="DR129" s="910"/>
      <c r="DS129" s="910"/>
      <c r="DT129" s="910"/>
      <c r="DU129" s="910"/>
      <c r="DV129" s="910"/>
      <c r="DW129" s="910"/>
      <c r="DX129" s="910"/>
      <c r="DY129" s="910"/>
      <c r="DZ129" s="910"/>
      <c r="EA129" s="910"/>
      <c r="EB129" s="910"/>
      <c r="EC129" s="910"/>
      <c r="ED129" s="910"/>
      <c r="EE129" s="910"/>
      <c r="EF129" s="910"/>
      <c r="EG129" s="910"/>
      <c r="EH129" s="910"/>
      <c r="EI129" s="910"/>
      <c r="EJ129" s="910"/>
      <c r="EK129" s="910"/>
      <c r="EL129" s="910"/>
      <c r="EM129" s="910"/>
      <c r="EN129" s="910"/>
      <c r="EO129" s="910"/>
      <c r="EP129" s="910"/>
      <c r="EQ129" s="910"/>
      <c r="ER129" s="910"/>
      <c r="ES129" s="910"/>
      <c r="ET129" s="910"/>
      <c r="EU129" s="910"/>
      <c r="EV129" s="910"/>
      <c r="EW129" s="910"/>
      <c r="EX129" s="910"/>
      <c r="EY129" s="910"/>
      <c r="EZ129" s="910"/>
      <c r="FA129" s="910"/>
      <c r="FB129" s="910"/>
      <c r="FC129" s="910"/>
      <c r="FD129" s="910"/>
      <c r="FE129" s="910"/>
      <c r="FF129" s="910"/>
      <c r="FG129" s="910"/>
      <c r="FH129" s="910"/>
      <c r="FI129" s="910"/>
      <c r="FJ129" s="910"/>
      <c r="FK129" s="910"/>
    </row>
    <row r="130" spans="1:169" ht="9" customHeight="1" thickBot="1">
      <c r="A130" s="910"/>
      <c r="B130" s="910"/>
      <c r="C130" s="910"/>
      <c r="D130" s="942"/>
      <c r="E130" s="942"/>
      <c r="F130" s="942"/>
      <c r="G130" s="942"/>
      <c r="H130" s="942"/>
      <c r="I130" s="942"/>
      <c r="J130" s="942"/>
      <c r="K130" s="942"/>
      <c r="L130" s="942"/>
      <c r="M130" s="942"/>
      <c r="N130" s="942"/>
      <c r="O130" s="942"/>
      <c r="P130" s="942"/>
      <c r="Q130" s="942"/>
      <c r="R130" s="942"/>
      <c r="S130" s="942"/>
      <c r="T130" s="942"/>
      <c r="U130" s="942"/>
      <c r="V130" s="942"/>
      <c r="W130" s="942"/>
      <c r="X130" s="942"/>
      <c r="Y130" s="942"/>
      <c r="Z130" s="942"/>
      <c r="AA130" s="942"/>
      <c r="AB130" s="942"/>
      <c r="AC130" s="942"/>
      <c r="AD130" s="942"/>
      <c r="AE130" s="942"/>
      <c r="AF130" s="942"/>
      <c r="AG130" s="942"/>
      <c r="AH130" s="942"/>
      <c r="AI130" s="942"/>
      <c r="AJ130" s="942"/>
      <c r="AK130" s="942"/>
      <c r="AL130" s="942"/>
      <c r="AM130" s="942"/>
      <c r="AN130" s="942"/>
      <c r="AO130" s="942"/>
      <c r="AP130" s="942"/>
      <c r="AQ130" s="942"/>
      <c r="AR130" s="942"/>
      <c r="AS130" s="942"/>
      <c r="AT130" s="942"/>
      <c r="AU130" s="942"/>
      <c r="AV130" s="942"/>
      <c r="AW130" s="942"/>
      <c r="AX130" s="942"/>
      <c r="AY130" s="942"/>
      <c r="AZ130" s="942"/>
      <c r="BA130" s="942"/>
      <c r="BB130" s="942"/>
      <c r="BC130" s="942"/>
      <c r="BD130" s="942"/>
      <c r="BE130" s="942"/>
      <c r="BF130" s="942"/>
      <c r="BG130" s="942"/>
      <c r="BH130" s="942"/>
      <c r="BI130" s="942"/>
      <c r="BJ130" s="942"/>
      <c r="BK130" s="942"/>
      <c r="BL130" s="942"/>
      <c r="BM130" s="942"/>
      <c r="BN130" s="942"/>
      <c r="BO130" s="942"/>
      <c r="BP130" s="942"/>
      <c r="BQ130" s="942"/>
      <c r="BR130" s="942"/>
      <c r="BS130" s="942"/>
      <c r="BT130" s="942"/>
      <c r="BU130" s="942"/>
      <c r="BV130" s="942"/>
      <c r="BW130" s="942"/>
      <c r="BX130" s="942"/>
      <c r="BY130" s="942"/>
      <c r="BZ130" s="942"/>
      <c r="CA130" s="942"/>
      <c r="CB130" s="942"/>
      <c r="CC130" s="942"/>
      <c r="CD130" s="942"/>
      <c r="CE130" s="942"/>
      <c r="CF130" s="942"/>
      <c r="CG130" s="942"/>
      <c r="CH130" s="942"/>
      <c r="CI130" s="942"/>
      <c r="CJ130" s="942"/>
      <c r="CK130" s="942"/>
      <c r="CL130" s="942"/>
      <c r="CM130" s="942"/>
      <c r="CN130" s="942"/>
      <c r="CO130" s="942"/>
      <c r="CP130" s="942"/>
      <c r="CQ130" s="942"/>
      <c r="CR130" s="942"/>
      <c r="CS130" s="942"/>
      <c r="CT130" s="942"/>
      <c r="CU130" s="942"/>
      <c r="CV130" s="942"/>
      <c r="CW130" s="942"/>
      <c r="CX130" s="942"/>
      <c r="CY130" s="942"/>
      <c r="CZ130" s="942"/>
      <c r="DA130" s="942"/>
      <c r="DB130" s="942"/>
      <c r="DC130" s="942"/>
      <c r="DD130" s="942"/>
      <c r="DE130" s="942"/>
      <c r="DF130" s="942"/>
      <c r="DG130" s="942"/>
      <c r="DH130" s="978"/>
      <c r="DI130" s="942"/>
      <c r="DJ130" s="942"/>
      <c r="DK130" s="942"/>
      <c r="DL130" s="910"/>
      <c r="DM130" s="910"/>
      <c r="DN130" s="910"/>
      <c r="DO130" s="910"/>
      <c r="DP130" s="910"/>
      <c r="DQ130" s="910"/>
      <c r="DR130" s="910"/>
      <c r="DS130" s="910"/>
      <c r="DT130" s="910"/>
      <c r="DU130" s="910"/>
      <c r="DV130" s="910"/>
      <c r="DW130" s="910"/>
      <c r="DX130" s="910"/>
      <c r="DY130" s="910"/>
      <c r="DZ130" s="910"/>
      <c r="EA130" s="910"/>
      <c r="EB130" s="910"/>
      <c r="EC130" s="910"/>
      <c r="ED130" s="910"/>
      <c r="EE130" s="910"/>
      <c r="EF130" s="910"/>
      <c r="EG130" s="910"/>
      <c r="EH130" s="910"/>
      <c r="EI130" s="910"/>
      <c r="EJ130" s="910"/>
      <c r="EK130" s="910"/>
      <c r="EL130" s="910"/>
      <c r="EM130" s="910"/>
      <c r="EN130" s="910"/>
      <c r="EO130" s="910"/>
      <c r="EP130" s="910"/>
      <c r="EQ130" s="910"/>
      <c r="ER130" s="910"/>
      <c r="ES130" s="910"/>
      <c r="ET130" s="910"/>
      <c r="EU130" s="910"/>
      <c r="EV130" s="910"/>
      <c r="EW130" s="910"/>
      <c r="EX130" s="910"/>
      <c r="EY130" s="910"/>
      <c r="EZ130" s="910"/>
      <c r="FA130" s="910"/>
      <c r="FB130" s="910"/>
      <c r="FC130" s="910"/>
      <c r="FD130" s="910"/>
      <c r="FE130" s="910"/>
      <c r="FF130" s="910"/>
      <c r="FG130" s="910"/>
      <c r="FH130" s="910"/>
      <c r="FI130" s="910"/>
      <c r="FJ130" s="910"/>
      <c r="FK130" s="910"/>
    </row>
    <row r="131" spans="1:169" ht="9" customHeight="1">
      <c r="A131" s="910"/>
      <c r="B131" s="910"/>
      <c r="C131" s="910"/>
      <c r="D131" s="910"/>
      <c r="E131" s="910"/>
      <c r="F131" s="910"/>
      <c r="G131" s="910"/>
      <c r="H131" s="910"/>
      <c r="I131" s="910"/>
      <c r="J131" s="910"/>
      <c r="K131" s="910"/>
      <c r="L131" s="910"/>
      <c r="M131" s="910"/>
      <c r="N131" s="910"/>
      <c r="O131" s="910"/>
      <c r="P131" s="910"/>
      <c r="Q131" s="910"/>
      <c r="R131" s="910"/>
      <c r="S131" s="910"/>
      <c r="T131" s="910"/>
      <c r="U131" s="910"/>
      <c r="V131" s="910"/>
      <c r="W131" s="910"/>
      <c r="X131" s="910"/>
      <c r="Y131" s="910"/>
      <c r="Z131" s="910"/>
      <c r="AA131" s="910"/>
      <c r="AB131" s="910"/>
      <c r="AC131" s="910"/>
      <c r="AD131" s="910"/>
      <c r="AE131" s="910"/>
      <c r="AF131" s="910"/>
      <c r="AG131" s="910"/>
      <c r="AH131" s="910"/>
      <c r="AI131" s="910"/>
      <c r="AJ131" s="910"/>
      <c r="AK131" s="910"/>
      <c r="AL131" s="910"/>
      <c r="AM131" s="910"/>
      <c r="AN131" s="910"/>
      <c r="AO131" s="910"/>
      <c r="AP131" s="910"/>
      <c r="AQ131" s="910"/>
      <c r="AR131" s="910"/>
      <c r="AS131" s="910"/>
      <c r="AT131" s="910"/>
      <c r="AU131" s="910"/>
      <c r="AV131" s="910"/>
      <c r="AW131" s="910"/>
      <c r="AX131" s="910"/>
      <c r="AY131" s="910"/>
      <c r="AZ131" s="910"/>
      <c r="BA131" s="910"/>
      <c r="BB131" s="910"/>
      <c r="BC131" s="910"/>
      <c r="BD131" s="910"/>
      <c r="BE131" s="910"/>
      <c r="BF131" s="910"/>
      <c r="BG131" s="910"/>
      <c r="BH131" s="910"/>
      <c r="BI131" s="910"/>
      <c r="BJ131" s="910"/>
      <c r="BK131" s="910"/>
      <c r="BL131" s="910"/>
      <c r="BM131" s="910"/>
      <c r="BN131" s="910"/>
      <c r="BO131" s="910"/>
      <c r="BP131" s="910"/>
      <c r="BQ131" s="910"/>
      <c r="BR131" s="910"/>
      <c r="BS131" s="910"/>
      <c r="BT131" s="2246">
        <f ca="1">IF(NOT(ISERROR(FIND(INDEX(MultiattackProficiencyTable,MATCH(INDEX(WeaponTable,MATCH(Weapons!AI$11,WeaponList,0),5),MultiattackProficiencyType,0),1),TalentsTakenList,1))),INDEX(MultiattackProficiencyTable,MATCH(INDEX(WeaponTable,MATCH(Weapons!AI$11,WeaponList,0),5),MultiattackProficiencyType,0),2),0)</f>
        <v>0</v>
      </c>
      <c r="BU131" s="2246"/>
      <c r="BV131" s="2246"/>
      <c r="BW131" s="2246"/>
      <c r="BX131" s="910"/>
      <c r="BY131" s="910"/>
      <c r="BZ131" s="910"/>
      <c r="CA131" s="910"/>
      <c r="CB131" s="910"/>
      <c r="CC131" s="910"/>
      <c r="CD131" s="910"/>
      <c r="CE131" s="910"/>
      <c r="CF131" s="910"/>
      <c r="CG131" s="910"/>
      <c r="CH131" s="910"/>
      <c r="CI131" s="910"/>
      <c r="CJ131" s="910"/>
      <c r="CK131" s="910"/>
      <c r="CL131" s="910"/>
      <c r="CM131" s="910"/>
      <c r="CN131" s="910"/>
      <c r="CO131" s="910"/>
      <c r="CP131" s="910"/>
      <c r="CQ131" s="910"/>
      <c r="CR131" s="910"/>
      <c r="CS131" s="910"/>
      <c r="CT131" s="910"/>
      <c r="CU131" s="910"/>
      <c r="CV131" s="910"/>
      <c r="CW131" s="910"/>
      <c r="CX131" s="910"/>
      <c r="CY131" s="910"/>
      <c r="CZ131" s="910"/>
      <c r="DA131" s="910"/>
      <c r="DB131" s="910"/>
      <c r="DC131" s="910"/>
      <c r="DD131" s="910"/>
      <c r="DE131" s="910"/>
      <c r="DF131" s="910"/>
      <c r="DG131" s="910"/>
      <c r="DI131" s="958"/>
      <c r="DJ131" s="958"/>
      <c r="DK131" s="958"/>
      <c r="DL131" s="910"/>
      <c r="DM131" s="910"/>
      <c r="DN131" s="910"/>
      <c r="DO131" s="910"/>
      <c r="DP131" s="910"/>
      <c r="DQ131" s="910"/>
      <c r="DR131" s="910"/>
      <c r="DS131" s="910"/>
      <c r="DT131" s="910"/>
      <c r="DU131" s="910"/>
      <c r="DV131" s="910"/>
      <c r="DW131" s="910"/>
      <c r="DX131" s="910"/>
      <c r="DY131" s="910"/>
      <c r="DZ131" s="910"/>
      <c r="EA131" s="910"/>
      <c r="EB131" s="910"/>
      <c r="EC131" s="910"/>
      <c r="ED131" s="910"/>
      <c r="EE131" s="910"/>
      <c r="EF131" s="910"/>
      <c r="EG131" s="910"/>
      <c r="EH131" s="910"/>
      <c r="EI131" s="910"/>
      <c r="EJ131" s="910"/>
      <c r="EK131" s="910"/>
      <c r="EL131" s="910"/>
      <c r="EM131" s="910"/>
      <c r="EN131" s="910"/>
      <c r="EO131" s="910"/>
      <c r="EP131" s="910"/>
      <c r="EQ131" s="910"/>
      <c r="ER131" s="910"/>
      <c r="ES131" s="910"/>
      <c r="ET131" s="910"/>
      <c r="EU131" s="910"/>
      <c r="EV131" s="910"/>
      <c r="EW131" s="910"/>
      <c r="EX131" s="910"/>
      <c r="EY131" s="910"/>
      <c r="EZ131" s="910"/>
      <c r="FA131" s="910"/>
      <c r="FB131" s="910"/>
      <c r="FC131" s="910"/>
      <c r="FD131" s="910"/>
      <c r="FE131" s="910"/>
      <c r="FF131" s="910"/>
      <c r="FG131" s="910"/>
      <c r="FH131" s="910"/>
      <c r="FI131" s="910"/>
      <c r="FJ131" s="910"/>
      <c r="FK131" s="910"/>
    </row>
    <row r="132" spans="1:169" ht="9" customHeight="1" thickBot="1">
      <c r="A132" s="910"/>
      <c r="B132" s="910"/>
      <c r="C132" s="910"/>
      <c r="D132" s="910"/>
      <c r="E132" s="910"/>
      <c r="F132" s="910"/>
      <c r="G132" s="910"/>
      <c r="H132" s="910"/>
      <c r="I132" s="910"/>
      <c r="J132" s="910"/>
      <c r="K132" s="910"/>
      <c r="L132" s="910"/>
      <c r="M132" s="910"/>
      <c r="N132" s="910"/>
      <c r="O132" s="910"/>
      <c r="P132" s="910"/>
      <c r="Q132" s="910"/>
      <c r="R132" s="910"/>
      <c r="S132" s="910"/>
      <c r="T132" s="910"/>
      <c r="U132" s="910"/>
      <c r="V132" s="910"/>
      <c r="W132" s="910"/>
      <c r="X132" s="910"/>
      <c r="Y132" s="910"/>
      <c r="Z132" s="910"/>
      <c r="AA132" s="910"/>
      <c r="AB132" s="910"/>
      <c r="AC132" s="910"/>
      <c r="AD132" s="910"/>
      <c r="AE132" s="910"/>
      <c r="AF132" s="910"/>
      <c r="AG132" s="910"/>
      <c r="AH132" s="910"/>
      <c r="AI132" s="910"/>
      <c r="AJ132" s="910"/>
      <c r="AK132" s="910"/>
      <c r="AL132" s="910"/>
      <c r="AM132" s="910"/>
      <c r="AN132" s="910"/>
      <c r="AO132" s="910"/>
      <c r="AP132" s="910"/>
      <c r="AQ132" s="910"/>
      <c r="AR132" s="910"/>
      <c r="AS132" s="910"/>
      <c r="AT132" s="910"/>
      <c r="AU132" s="910"/>
      <c r="AV132" s="910"/>
      <c r="AW132" s="910"/>
      <c r="AX132" s="910"/>
      <c r="AY132" s="910"/>
      <c r="AZ132" s="910"/>
      <c r="BA132" s="910"/>
      <c r="BB132" s="910"/>
      <c r="BC132" s="910"/>
      <c r="BD132" s="910"/>
      <c r="BE132" s="910"/>
      <c r="BF132" s="910"/>
      <c r="BG132" s="910"/>
      <c r="BH132" s="910"/>
      <c r="BI132" s="910"/>
      <c r="BJ132" s="910"/>
      <c r="BK132" s="910"/>
      <c r="BL132" s="910"/>
      <c r="BM132" s="910"/>
      <c r="BN132" s="910"/>
      <c r="BO132" s="910"/>
      <c r="BP132" s="910"/>
      <c r="BQ132" s="910"/>
      <c r="BR132" s="910"/>
      <c r="BS132" s="910"/>
      <c r="BT132" s="2181" t="e">
        <f ca="1">MIN(IF(INDEX(WeaponTable,MATCH(Weapons!AI$11,WeaponList,0),4)&lt;&gt;"EWP",BT131,IF(NOT(ISERROR(FIND(Lists!$CC$8,TalentsTakenList,1))),Lists!$CD$8,0))-5,0)</f>
        <v>#N/A</v>
      </c>
      <c r="BU132" s="2181"/>
      <c r="BV132" s="2181"/>
      <c r="BW132" s="2181"/>
      <c r="BX132" s="2181" t="e">
        <f ca="1">MIN(IF(INDEX(WeaponTable,MATCH(Weapons!AI$11,WeaponList,0),4)&lt;&gt;"EWP",BT131,IF(NOT(ISERROR(FIND(Lists!$CC$8,TalentsTakenList,1))),Lists!$CD$8,0))-10,0)</f>
        <v>#N/A</v>
      </c>
      <c r="BY132" s="2181"/>
      <c r="BZ132" s="2181"/>
      <c r="CA132" s="2181"/>
      <c r="CB132" s="910"/>
      <c r="CC132" s="910"/>
      <c r="CD132" s="910"/>
      <c r="CE132" s="910"/>
      <c r="CF132" s="910"/>
      <c r="CG132" s="910"/>
      <c r="CH132" s="910"/>
      <c r="CI132" s="910"/>
      <c r="CJ132" s="910"/>
      <c r="CK132" s="910"/>
      <c r="CL132" s="910"/>
      <c r="CM132" s="910"/>
      <c r="CN132" s="910"/>
      <c r="CO132" s="910"/>
      <c r="CP132" s="910"/>
      <c r="CQ132" s="910"/>
      <c r="CR132" s="910"/>
      <c r="CS132" s="910"/>
      <c r="CT132" s="910"/>
      <c r="CU132" s="910"/>
      <c r="CV132" s="910"/>
      <c r="CW132" s="910"/>
      <c r="CX132" s="910"/>
      <c r="CY132" s="910"/>
      <c r="CZ132" s="910"/>
      <c r="DA132" s="910"/>
      <c r="DB132" s="910"/>
      <c r="DC132" s="910"/>
      <c r="DD132" s="910"/>
      <c r="DE132" s="910"/>
      <c r="DF132" s="910"/>
      <c r="DG132" s="910"/>
      <c r="DI132" s="958"/>
      <c r="DJ132" s="958"/>
      <c r="DK132" s="958"/>
      <c r="DL132" s="910"/>
      <c r="DM132" s="910"/>
      <c r="DN132" s="910"/>
      <c r="DO132" s="910"/>
      <c r="DP132" s="910"/>
      <c r="DQ132" s="910"/>
      <c r="DR132" s="910"/>
      <c r="DS132" s="910"/>
      <c r="DT132" s="910"/>
      <c r="DU132" s="910"/>
      <c r="DV132" s="910"/>
      <c r="DW132" s="910"/>
      <c r="DX132" s="910"/>
      <c r="DY132" s="910"/>
      <c r="DZ132" s="910"/>
      <c r="EA132" s="910"/>
      <c r="EB132" s="910"/>
      <c r="EC132" s="910"/>
      <c r="ED132" s="910"/>
      <c r="EE132" s="910"/>
      <c r="EF132" s="910"/>
      <c r="EG132" s="910"/>
      <c r="EH132" s="910"/>
      <c r="EI132" s="910"/>
      <c r="EJ132" s="910"/>
      <c r="EK132" s="910"/>
      <c r="EL132" s="910"/>
      <c r="EM132" s="910"/>
      <c r="EN132" s="910"/>
      <c r="EO132" s="910"/>
      <c r="EP132" s="910"/>
      <c r="EQ132" s="910"/>
      <c r="ER132" s="910"/>
      <c r="ES132" s="910"/>
      <c r="ET132" s="910"/>
      <c r="EU132" s="910"/>
      <c r="EV132" s="910"/>
      <c r="EW132" s="910"/>
      <c r="EX132" s="910"/>
      <c r="EY132" s="910"/>
      <c r="EZ132" s="910"/>
      <c r="FA132" s="910"/>
      <c r="FB132" s="910"/>
      <c r="FC132" s="910"/>
      <c r="FD132" s="910"/>
      <c r="FE132" s="910"/>
      <c r="FF132" s="910"/>
      <c r="FG132" s="910"/>
      <c r="FH132" s="910"/>
      <c r="FI132" s="910"/>
      <c r="FJ132" s="910"/>
      <c r="FK132" s="910"/>
    </row>
    <row r="133" spans="1:169" ht="9" customHeight="1" thickTop="1" thickBot="1">
      <c r="A133" s="910"/>
      <c r="B133" s="910"/>
      <c r="C133" s="87"/>
      <c r="D133" s="109"/>
      <c r="E133" s="913"/>
      <c r="F133" s="913"/>
      <c r="G133" s="913"/>
      <c r="H133" s="913"/>
      <c r="I133" s="93"/>
      <c r="J133" s="2182" t="s">
        <v>3611</v>
      </c>
      <c r="K133" s="2182"/>
      <c r="L133" s="2182"/>
      <c r="M133" s="2182"/>
      <c r="N133" s="2182"/>
      <c r="O133" s="2182"/>
      <c r="P133" s="2182"/>
      <c r="Q133" s="2182"/>
      <c r="R133" s="113"/>
      <c r="S133" s="87"/>
      <c r="T133" s="910"/>
      <c r="U133" s="910"/>
      <c r="V133" s="87"/>
      <c r="W133" s="87"/>
      <c r="X133" s="87"/>
      <c r="Y133" s="87"/>
      <c r="Z133" s="87"/>
      <c r="AA133" s="87"/>
      <c r="AB133" s="87"/>
      <c r="AC133" s="87"/>
      <c r="AD133" s="87"/>
      <c r="AE133" s="87"/>
      <c r="AF133" s="87"/>
      <c r="AG133" s="87"/>
      <c r="AH133" s="87"/>
      <c r="AI133" s="87"/>
      <c r="AJ133" s="87"/>
      <c r="AK133" s="87"/>
      <c r="AL133" s="87"/>
      <c r="AM133" s="87"/>
      <c r="AN133" s="913"/>
      <c r="AO133" s="913"/>
      <c r="AP133" s="93"/>
      <c r="AQ133" s="2179" t="str">
        <f>Weapons!AI$12</f>
        <v/>
      </c>
      <c r="AR133" s="2179"/>
      <c r="AS133" s="2179"/>
      <c r="AT133" s="2179"/>
      <c r="AU133" s="2179"/>
      <c r="AV133" s="2179"/>
      <c r="AW133" s="2179"/>
      <c r="AX133" s="113"/>
      <c r="AY133" s="145"/>
      <c r="AZ133" s="145"/>
      <c r="BA133" s="145"/>
      <c r="BB133" s="145"/>
      <c r="BC133" s="145"/>
      <c r="BD133" s="145"/>
      <c r="BE133" s="145"/>
      <c r="BF133" s="145"/>
      <c r="BG133" s="145"/>
      <c r="BH133" s="145"/>
      <c r="BI133" s="145"/>
      <c r="BJ133" s="145"/>
      <c r="BK133" s="145"/>
      <c r="BL133" s="913"/>
      <c r="BM133" s="913"/>
      <c r="BN133" s="913"/>
      <c r="BO133" s="93"/>
      <c r="BP133" s="2179" t="s">
        <v>3783</v>
      </c>
      <c r="BQ133" s="2179"/>
      <c r="BR133" s="2179"/>
      <c r="BS133" s="2179"/>
      <c r="BT133" s="2179"/>
      <c r="BU133" s="2179"/>
      <c r="BV133" s="2179"/>
      <c r="BW133" s="113"/>
      <c r="BX133" s="145"/>
      <c r="BY133" s="109"/>
      <c r="BZ133" s="109"/>
      <c r="CA133" s="87"/>
      <c r="CB133" s="913"/>
      <c r="CC133" s="913"/>
      <c r="CD133" s="913"/>
      <c r="CE133" s="93"/>
      <c r="CF133" s="2182" t="s">
        <v>3612</v>
      </c>
      <c r="CG133" s="2208"/>
      <c r="CH133" s="2208"/>
      <c r="CI133" s="2208"/>
      <c r="CJ133" s="2208"/>
      <c r="CK133" s="2208"/>
      <c r="CL133" s="2208"/>
      <c r="CM133" s="2208"/>
      <c r="CN133" s="113"/>
      <c r="CO133" s="87"/>
      <c r="CP133" s="87"/>
      <c r="CQ133" s="87"/>
      <c r="CR133" s="87"/>
      <c r="CS133" s="87"/>
      <c r="CT133" s="87"/>
      <c r="CU133" s="87"/>
      <c r="CV133" s="87"/>
      <c r="CW133" s="87"/>
      <c r="CX133" s="87"/>
      <c r="CY133" s="87"/>
      <c r="CZ133" s="87"/>
      <c r="DA133" s="87"/>
      <c r="DB133" s="87"/>
      <c r="DC133" s="87"/>
      <c r="DD133" s="87"/>
      <c r="DE133" s="87"/>
      <c r="DF133" s="87"/>
      <c r="DG133" s="87"/>
      <c r="DH133" s="969"/>
      <c r="DI133" s="87"/>
      <c r="DJ133" s="87"/>
      <c r="DK133" s="87"/>
      <c r="DL133" s="87"/>
      <c r="DM133" s="910"/>
      <c r="DN133" s="910"/>
      <c r="DO133" s="910"/>
      <c r="DP133" s="910"/>
      <c r="DQ133" s="910"/>
      <c r="DR133" s="910"/>
      <c r="DS133" s="910"/>
      <c r="DT133" s="910"/>
      <c r="DU133" s="910"/>
      <c r="DV133" s="910"/>
      <c r="DW133" s="910"/>
      <c r="DX133" s="910"/>
      <c r="DY133" s="910"/>
      <c r="DZ133" s="910"/>
      <c r="EA133" s="910"/>
      <c r="EB133" s="910"/>
      <c r="EC133" s="910"/>
      <c r="ED133" s="910"/>
      <c r="EE133" s="910"/>
      <c r="EF133" s="910"/>
      <c r="EG133" s="910"/>
      <c r="EH133" s="910"/>
      <c r="EI133" s="910"/>
      <c r="EJ133" s="910"/>
      <c r="EK133" s="910"/>
      <c r="EL133" s="910"/>
      <c r="EM133" s="910"/>
      <c r="EN133" s="910"/>
      <c r="EO133" s="910"/>
      <c r="EP133" s="910"/>
      <c r="EQ133" s="910"/>
      <c r="ER133" s="910"/>
      <c r="ES133" s="910"/>
      <c r="ET133" s="910"/>
      <c r="EU133" s="910"/>
      <c r="EV133" s="910"/>
      <c r="EW133" s="910"/>
      <c r="EX133" s="910"/>
      <c r="EY133" s="910"/>
      <c r="EZ133" s="910"/>
      <c r="FA133" s="910"/>
      <c r="FB133" s="910"/>
      <c r="FC133" s="910"/>
      <c r="FD133" s="910"/>
      <c r="FE133" s="910"/>
      <c r="FF133" s="910"/>
      <c r="FG133" s="910"/>
      <c r="FH133" s="910"/>
      <c r="FI133" s="910"/>
      <c r="FJ133" s="910"/>
      <c r="FK133" s="910"/>
    </row>
    <row r="134" spans="1:169" ht="9" customHeight="1" thickTop="1">
      <c r="A134" s="910"/>
      <c r="B134" s="910"/>
      <c r="C134" s="87"/>
      <c r="D134" s="109"/>
      <c r="E134" s="913"/>
      <c r="F134" s="913"/>
      <c r="G134" s="913"/>
      <c r="H134" s="913"/>
      <c r="I134" s="102"/>
      <c r="J134" s="2180"/>
      <c r="K134" s="2180"/>
      <c r="L134" s="2180"/>
      <c r="M134" s="2180"/>
      <c r="N134" s="2180"/>
      <c r="O134" s="2180"/>
      <c r="P134" s="2180"/>
      <c r="Q134" s="2180"/>
      <c r="R134" s="589"/>
      <c r="S134" s="588"/>
      <c r="T134" s="592"/>
      <c r="U134" s="592"/>
      <c r="V134" s="593"/>
      <c r="W134" s="593"/>
      <c r="X134" s="593"/>
      <c r="Y134" s="588"/>
      <c r="Z134" s="588"/>
      <c r="AA134" s="588"/>
      <c r="AB134" s="588"/>
      <c r="AC134" s="588"/>
      <c r="AD134" s="588"/>
      <c r="AE134" s="588"/>
      <c r="AF134" s="588"/>
      <c r="AG134" s="588"/>
      <c r="AH134" s="588"/>
      <c r="AI134" s="588"/>
      <c r="AJ134" s="588"/>
      <c r="AK134" s="588"/>
      <c r="AL134" s="588"/>
      <c r="AM134" s="113"/>
      <c r="AN134" s="913"/>
      <c r="AO134" s="913"/>
      <c r="AP134" s="102"/>
      <c r="AQ134" s="2180"/>
      <c r="AR134" s="2180"/>
      <c r="AS134" s="2180"/>
      <c r="AT134" s="2180"/>
      <c r="AU134" s="2180"/>
      <c r="AV134" s="2180"/>
      <c r="AW134" s="2180"/>
      <c r="AX134" s="589"/>
      <c r="AY134" s="598"/>
      <c r="AZ134" s="598"/>
      <c r="BA134" s="598"/>
      <c r="BB134" s="598"/>
      <c r="BC134" s="598"/>
      <c r="BD134" s="598"/>
      <c r="BE134" s="598"/>
      <c r="BF134" s="598"/>
      <c r="BG134" s="598"/>
      <c r="BH134" s="598"/>
      <c r="BI134" s="598"/>
      <c r="BJ134" s="598"/>
      <c r="BK134" s="598"/>
      <c r="BL134" s="113"/>
      <c r="BM134" s="913"/>
      <c r="BN134" s="913"/>
      <c r="BO134" s="102"/>
      <c r="BP134" s="2180"/>
      <c r="BQ134" s="2180"/>
      <c r="BR134" s="2180"/>
      <c r="BS134" s="2180"/>
      <c r="BT134" s="2180"/>
      <c r="BU134" s="2180"/>
      <c r="BV134" s="2180"/>
      <c r="BW134" s="589"/>
      <c r="BX134" s="598"/>
      <c r="BY134" s="598"/>
      <c r="BZ134" s="598"/>
      <c r="CA134" s="598"/>
      <c r="CB134" s="113"/>
      <c r="CC134" s="913"/>
      <c r="CD134" s="913"/>
      <c r="CE134" s="102"/>
      <c r="CF134" s="2138"/>
      <c r="CG134" s="2138"/>
      <c r="CH134" s="2138"/>
      <c r="CI134" s="2138"/>
      <c r="CJ134" s="2138"/>
      <c r="CK134" s="2138"/>
      <c r="CL134" s="2138"/>
      <c r="CM134" s="2138"/>
      <c r="CN134" s="589"/>
      <c r="CO134" s="599"/>
      <c r="CP134" s="599"/>
      <c r="CQ134" s="599"/>
      <c r="CR134" s="599"/>
      <c r="CS134" s="599"/>
      <c r="CT134" s="599"/>
      <c r="CU134" s="599"/>
      <c r="CV134" s="599"/>
      <c r="CW134" s="599"/>
      <c r="CX134" s="599"/>
      <c r="CY134" s="599"/>
      <c r="CZ134" s="599"/>
      <c r="DA134" s="599"/>
      <c r="DB134" s="599"/>
      <c r="DC134" s="599"/>
      <c r="DD134" s="599"/>
      <c r="DE134" s="599"/>
      <c r="DF134" s="599"/>
      <c r="DG134" s="113"/>
      <c r="DH134" s="970"/>
      <c r="DI134" s="111"/>
      <c r="DJ134" s="111"/>
      <c r="DK134" s="87"/>
      <c r="DL134" s="87"/>
      <c r="DM134" s="910"/>
      <c r="DN134" s="910"/>
      <c r="DO134" s="910"/>
      <c r="DP134" s="910"/>
      <c r="DQ134" s="910"/>
      <c r="DR134" s="910"/>
      <c r="DS134" s="910"/>
      <c r="DT134" s="910"/>
      <c r="DU134" s="910"/>
      <c r="DV134" s="910"/>
      <c r="DW134" s="910"/>
      <c r="DX134" s="910"/>
      <c r="DY134" s="910"/>
      <c r="DZ134" s="910"/>
      <c r="EA134" s="910"/>
      <c r="EB134" s="910"/>
      <c r="EC134" s="910"/>
      <c r="ED134" s="910"/>
      <c r="EE134" s="910"/>
      <c r="EF134" s="910"/>
      <c r="EG134" s="910"/>
      <c r="EH134" s="910"/>
      <c r="EI134" s="910"/>
      <c r="EJ134" s="910"/>
      <c r="EK134" s="910"/>
      <c r="EL134" s="910"/>
      <c r="EM134" s="910"/>
      <c r="EN134" s="910"/>
      <c r="EO134" s="910"/>
      <c r="EP134" s="910"/>
      <c r="EQ134" s="910"/>
      <c r="ER134" s="910"/>
      <c r="ES134" s="910"/>
      <c r="ET134" s="910"/>
      <c r="EU134" s="910"/>
      <c r="EV134" s="910"/>
      <c r="EW134" s="910"/>
      <c r="EX134" s="910"/>
      <c r="EY134" s="910"/>
      <c r="EZ134" s="910"/>
      <c r="FA134" s="910"/>
      <c r="FB134" s="910"/>
      <c r="FC134" s="910"/>
      <c r="FD134" s="910"/>
      <c r="FE134" s="910"/>
      <c r="FF134" s="910"/>
      <c r="FG134" s="910"/>
      <c r="FH134" s="910"/>
      <c r="FI134" s="910"/>
      <c r="FJ134" s="910"/>
      <c r="FK134" s="910"/>
      <c r="FM134" s="1019" t="e">
        <f ca="1">FM135</f>
        <v>#N/A</v>
      </c>
    </row>
    <row r="135" spans="1:169" ht="9" customHeight="1" thickBot="1">
      <c r="A135" s="910"/>
      <c r="B135" s="910"/>
      <c r="C135" s="87"/>
      <c r="D135" s="87"/>
      <c r="E135" s="111"/>
      <c r="F135" s="111"/>
      <c r="G135" s="122"/>
      <c r="H135" s="290"/>
      <c r="I135" s="102"/>
      <c r="J135" s="1879" t="str">
        <f>Weapons!AI$7</f>
        <v/>
      </c>
      <c r="K135" s="1879"/>
      <c r="L135" s="1879"/>
      <c r="M135" s="1879"/>
      <c r="N135" s="1879"/>
      <c r="O135" s="1879"/>
      <c r="P135" s="1879"/>
      <c r="Q135" s="1879"/>
      <c r="R135" s="1879"/>
      <c r="S135" s="1879"/>
      <c r="T135" s="1879"/>
      <c r="U135" s="1879"/>
      <c r="V135" s="1879"/>
      <c r="W135" s="1879"/>
      <c r="X135" s="1879"/>
      <c r="Y135" s="1879"/>
      <c r="Z135" s="1879"/>
      <c r="AA135" s="1879"/>
      <c r="AB135" s="1879"/>
      <c r="AC135" s="1879"/>
      <c r="AD135" s="1879"/>
      <c r="AE135" s="1879"/>
      <c r="AF135" s="1879"/>
      <c r="AG135" s="1879"/>
      <c r="AH135" s="1879"/>
      <c r="AI135" s="1879"/>
      <c r="AJ135" s="1879"/>
      <c r="AK135" s="1879"/>
      <c r="AL135" s="1879"/>
      <c r="AM135" s="646"/>
      <c r="AN135" s="122"/>
      <c r="AO135" s="290"/>
      <c r="AP135" s="102"/>
      <c r="AQ135" s="2189" t="str">
        <f>IF(Weapons!AI$16&lt;&gt;"",Weapons!AI$16,"")</f>
        <v/>
      </c>
      <c r="AR135" s="2189"/>
      <c r="AS135" s="2189"/>
      <c r="AT135" s="2189"/>
      <c r="AU135" s="2189"/>
      <c r="AV135" s="2189"/>
      <c r="AW135" s="2189"/>
      <c r="AX135" s="2189"/>
      <c r="AY135" s="2189"/>
      <c r="AZ135" s="2189"/>
      <c r="BA135" s="2189"/>
      <c r="BB135" s="2189"/>
      <c r="BC135" s="2189"/>
      <c r="BD135" s="2189"/>
      <c r="BE135" s="2189"/>
      <c r="BF135" s="2189"/>
      <c r="BG135" s="2189"/>
      <c r="BH135" s="2189"/>
      <c r="BI135" s="2189"/>
      <c r="BJ135" s="2189"/>
      <c r="BK135" s="2189"/>
      <c r="BL135" s="100"/>
      <c r="BM135" s="122"/>
      <c r="BN135" s="290"/>
      <c r="BO135" s="102"/>
      <c r="BP135" s="2195" t="str">
        <f>Weapons!AI$8</f>
        <v/>
      </c>
      <c r="BQ135" s="2195"/>
      <c r="BR135" s="2195"/>
      <c r="BS135" s="2195"/>
      <c r="BT135" s="2197" t="str">
        <f>IF(BP135&lt;&gt;"",IF(COUNTIF(FeatsCharacterSheet,BT138)&gt;0,BP135+BT132,""),"")</f>
        <v/>
      </c>
      <c r="BU135" s="2198"/>
      <c r="BV135" s="2198"/>
      <c r="BW135" s="2199"/>
      <c r="BX135" s="2198" t="str">
        <f>IF(BP135&lt;&gt;"",IF(COUNTIF(FeatsCharacterSheet,BX138)&gt;0,BP135+BX132,""),"")</f>
        <v/>
      </c>
      <c r="BY135" s="2198"/>
      <c r="BZ135" s="2198"/>
      <c r="CA135" s="2198"/>
      <c r="CB135" s="100"/>
      <c r="CC135" s="122"/>
      <c r="CD135" s="290"/>
      <c r="CE135" s="102"/>
      <c r="CF135" s="1883"/>
      <c r="CG135" s="1883"/>
      <c r="CH135" s="1883"/>
      <c r="CI135" s="1883"/>
      <c r="CJ135" s="1883"/>
      <c r="CK135" s="1883"/>
      <c r="CL135" s="1883"/>
      <c r="CM135" s="1883"/>
      <c r="CN135" s="1883"/>
      <c r="CO135" s="1924" t="str">
        <f>Weapons!AI$9</f>
        <v/>
      </c>
      <c r="CP135" s="1924"/>
      <c r="CQ135" s="1924"/>
      <c r="CR135" s="1924"/>
      <c r="CS135" s="1924"/>
      <c r="CT135" s="1924"/>
      <c r="CU135" s="1924"/>
      <c r="CV135" s="1924"/>
      <c r="CW135" s="1924"/>
      <c r="CX135" s="1924"/>
      <c r="CY135" s="1924"/>
      <c r="CZ135" s="1924"/>
      <c r="DA135" s="1924"/>
      <c r="DB135" s="1924"/>
      <c r="DC135" s="1924"/>
      <c r="DD135" s="1924"/>
      <c r="DE135" s="1924"/>
      <c r="DF135" s="1924"/>
      <c r="DG135" s="656"/>
      <c r="DH135" s="971"/>
      <c r="DI135" s="122"/>
      <c r="DJ135" s="118"/>
      <c r="DK135" s="109"/>
      <c r="DL135" s="109"/>
      <c r="DM135" s="910"/>
      <c r="DN135" s="910"/>
      <c r="DO135" s="910"/>
      <c r="DP135" s="910"/>
      <c r="DQ135" s="910"/>
      <c r="DR135" s="910"/>
      <c r="DS135" s="910"/>
      <c r="DT135" s="910"/>
      <c r="DU135" s="910"/>
      <c r="DV135" s="910"/>
      <c r="DW135" s="910"/>
      <c r="DX135" s="910"/>
      <c r="DY135" s="910"/>
      <c r="DZ135" s="910"/>
      <c r="EA135" s="910"/>
      <c r="EB135" s="910"/>
      <c r="EC135" s="910"/>
      <c r="ED135" s="910"/>
      <c r="EE135" s="910"/>
      <c r="EF135" s="910"/>
      <c r="EG135" s="910"/>
      <c r="EH135" s="910"/>
      <c r="EI135" s="910"/>
      <c r="EJ135" s="910"/>
      <c r="EK135" s="910"/>
      <c r="EL135" s="910"/>
      <c r="EM135" s="910"/>
      <c r="EN135" s="910"/>
      <c r="EO135" s="910"/>
      <c r="EP135" s="910"/>
      <c r="EQ135" s="910"/>
      <c r="ER135" s="910"/>
      <c r="ES135" s="910"/>
      <c r="ET135" s="910"/>
      <c r="EU135" s="910"/>
      <c r="EV135" s="910"/>
      <c r="EW135" s="910"/>
      <c r="EX135" s="910"/>
      <c r="EY135" s="910"/>
      <c r="EZ135" s="910"/>
      <c r="FA135" s="910"/>
      <c r="FB135" s="910"/>
      <c r="FC135" s="910"/>
      <c r="FD135" s="910"/>
      <c r="FE135" s="910"/>
      <c r="FF135" s="910"/>
      <c r="FG135" s="910"/>
      <c r="FH135" s="910"/>
      <c r="FI135" s="910"/>
      <c r="FJ135" s="910"/>
      <c r="FK135" s="910"/>
      <c r="FL135" s="1020" t="e">
        <f ca="1">AQ133&amp;" "&amp;LOWER(J135)&amp;" "&amp;IF(BP135&lt;0,"","+")&amp;BP135&amp;" ("&amp;CO135&amp;IF(Weapons!AI$82&lt;&gt;"20","/"&amp;Weapons!AI$82,"")&amp;IF(Weapons!AI$83&lt;&gt;2,"/×"&amp;Weapons!AI$83,"")&amp;")"</f>
        <v>#N/A</v>
      </c>
      <c r="FM135" s="1019" t="e">
        <f ca="1">IF(FL135&lt;&gt;"",FL135&amp;IF(FM136&lt;&gt;"","
"&amp;FM136,""),FM136)</f>
        <v>#N/A</v>
      </c>
    </row>
    <row r="136" spans="1:169" ht="9" customHeight="1" thickTop="1">
      <c r="A136" s="910"/>
      <c r="B136" s="910"/>
      <c r="C136" s="87"/>
      <c r="D136" s="87"/>
      <c r="E136" s="292"/>
      <c r="F136" s="293"/>
      <c r="G136" s="111"/>
      <c r="H136" s="111"/>
      <c r="I136" s="102"/>
      <c r="J136" s="1879"/>
      <c r="K136" s="1879"/>
      <c r="L136" s="1879"/>
      <c r="M136" s="1879"/>
      <c r="N136" s="1879"/>
      <c r="O136" s="1879"/>
      <c r="P136" s="1879"/>
      <c r="Q136" s="1879"/>
      <c r="R136" s="1879"/>
      <c r="S136" s="1879"/>
      <c r="T136" s="1879"/>
      <c r="U136" s="1879"/>
      <c r="V136" s="1879"/>
      <c r="W136" s="1879"/>
      <c r="X136" s="1879"/>
      <c r="Y136" s="1879"/>
      <c r="Z136" s="1879"/>
      <c r="AA136" s="1879"/>
      <c r="AB136" s="1879"/>
      <c r="AC136" s="1879"/>
      <c r="AD136" s="1879"/>
      <c r="AE136" s="1879"/>
      <c r="AF136" s="1879"/>
      <c r="AG136" s="1879"/>
      <c r="AH136" s="1879"/>
      <c r="AI136" s="1879"/>
      <c r="AJ136" s="1879"/>
      <c r="AK136" s="1879"/>
      <c r="AL136" s="1879"/>
      <c r="AM136" s="646"/>
      <c r="AN136" s="111"/>
      <c r="AO136" s="111"/>
      <c r="AP136" s="647"/>
      <c r="AQ136" s="2189"/>
      <c r="AR136" s="2189"/>
      <c r="AS136" s="2189"/>
      <c r="AT136" s="2189"/>
      <c r="AU136" s="2189"/>
      <c r="AV136" s="2189"/>
      <c r="AW136" s="2189"/>
      <c r="AX136" s="2189"/>
      <c r="AY136" s="2189"/>
      <c r="AZ136" s="2189"/>
      <c r="BA136" s="2189"/>
      <c r="BB136" s="2189"/>
      <c r="BC136" s="2189"/>
      <c r="BD136" s="2189"/>
      <c r="BE136" s="2189"/>
      <c r="BF136" s="2189"/>
      <c r="BG136" s="2189"/>
      <c r="BH136" s="2189"/>
      <c r="BI136" s="2189"/>
      <c r="BJ136" s="2189"/>
      <c r="BK136" s="2189"/>
      <c r="BL136" s="100"/>
      <c r="BM136" s="111"/>
      <c r="BN136" s="111"/>
      <c r="BO136" s="647"/>
      <c r="BP136" s="2195"/>
      <c r="BQ136" s="2195"/>
      <c r="BR136" s="2195"/>
      <c r="BS136" s="2195"/>
      <c r="BT136" s="2200"/>
      <c r="BU136" s="2185"/>
      <c r="BV136" s="2185"/>
      <c r="BW136" s="2201"/>
      <c r="BX136" s="2185"/>
      <c r="BY136" s="2185"/>
      <c r="BZ136" s="2185"/>
      <c r="CA136" s="2185"/>
      <c r="CB136" s="100"/>
      <c r="CC136" s="111"/>
      <c r="CD136" s="111"/>
      <c r="CE136" s="102"/>
      <c r="CF136" s="1883"/>
      <c r="CG136" s="1883"/>
      <c r="CH136" s="1883"/>
      <c r="CI136" s="1883"/>
      <c r="CJ136" s="1883"/>
      <c r="CK136" s="1883"/>
      <c r="CL136" s="1883"/>
      <c r="CM136" s="1883"/>
      <c r="CN136" s="1883"/>
      <c r="CO136" s="1924"/>
      <c r="CP136" s="1924"/>
      <c r="CQ136" s="1924"/>
      <c r="CR136" s="1924"/>
      <c r="CS136" s="1924"/>
      <c r="CT136" s="1924"/>
      <c r="CU136" s="1924"/>
      <c r="CV136" s="1924"/>
      <c r="CW136" s="1924"/>
      <c r="CX136" s="1924"/>
      <c r="CY136" s="1924"/>
      <c r="CZ136" s="1924"/>
      <c r="DA136" s="1924"/>
      <c r="DB136" s="1924"/>
      <c r="DC136" s="1924"/>
      <c r="DD136" s="1924"/>
      <c r="DE136" s="1924"/>
      <c r="DF136" s="1924"/>
      <c r="DG136" s="656"/>
      <c r="DH136" s="970"/>
      <c r="DI136" s="111"/>
      <c r="DJ136" s="256"/>
      <c r="DK136" s="109"/>
      <c r="DL136" s="109"/>
      <c r="DM136" s="910"/>
      <c r="DN136" s="910"/>
      <c r="DO136" s="910"/>
      <c r="DP136" s="910"/>
      <c r="DQ136" s="910"/>
      <c r="DR136" s="910"/>
      <c r="DS136" s="910"/>
      <c r="DT136" s="910"/>
      <c r="DU136" s="910"/>
      <c r="DV136" s="910"/>
      <c r="DW136" s="910"/>
      <c r="DX136" s="910"/>
      <c r="DY136" s="910"/>
      <c r="DZ136" s="910"/>
      <c r="EA136" s="910"/>
      <c r="EB136" s="910"/>
      <c r="EC136" s="910"/>
      <c r="ED136" s="910"/>
      <c r="EE136" s="910"/>
      <c r="EF136" s="910"/>
      <c r="EG136" s="910"/>
      <c r="EH136" s="910"/>
      <c r="EI136" s="910"/>
      <c r="EJ136" s="910"/>
      <c r="EK136" s="910"/>
      <c r="EL136" s="910"/>
      <c r="EM136" s="910"/>
      <c r="EN136" s="910"/>
      <c r="EO136" s="910"/>
      <c r="EP136" s="910"/>
      <c r="EQ136" s="910"/>
      <c r="ER136" s="910"/>
      <c r="ES136" s="910"/>
      <c r="ET136" s="910"/>
      <c r="EU136" s="910"/>
      <c r="EV136" s="910"/>
      <c r="EW136" s="910"/>
      <c r="EX136" s="910"/>
      <c r="EY136" s="910"/>
      <c r="EZ136" s="910"/>
      <c r="FA136" s="910"/>
      <c r="FB136" s="910"/>
      <c r="FC136" s="910"/>
      <c r="FD136" s="910"/>
      <c r="FE136" s="910"/>
      <c r="FF136" s="910"/>
      <c r="FG136" s="910"/>
      <c r="FH136" s="910"/>
      <c r="FI136" s="910"/>
      <c r="FJ136" s="910"/>
      <c r="FK136" s="910"/>
      <c r="FL136" s="1020" t="e">
        <f ca="1">IF(AND(BT138&lt;&gt;"",BT135&lt;&gt;""),AQ133&amp;" "&amp;LOWER(J135)&amp;" "&amp;IF(BT135&lt;0,BT135&amp;"/"&amp;BT135,"+"&amp;BT135&amp;"/+"&amp;BT135)&amp;" ("&amp;CO135&amp;IF(Weapons!AI$82&lt;&gt;"20","/"&amp;Weapons!AI$82,"")&amp;IF(Weapons!AI$83&lt;&gt;2,"/×"&amp;Weapons!AI$83,"")&amp;") with Double Attack","")</f>
        <v>#N/A</v>
      </c>
      <c r="FM136" s="1019" t="e">
        <f t="shared" ref="FM136:FM152" ca="1" si="3">IF(FL136&lt;&gt;"",FL136&amp;IF(FM137&lt;&gt;"","
"&amp;FM137,""),FM137)</f>
        <v>#N/A</v>
      </c>
    </row>
    <row r="137" spans="1:169" ht="9" customHeight="1" thickBot="1">
      <c r="A137" s="910"/>
      <c r="B137" s="910"/>
      <c r="C137" s="87"/>
      <c r="D137" s="144"/>
      <c r="E137" s="111"/>
      <c r="F137" s="111"/>
      <c r="G137" s="111"/>
      <c r="H137" s="111"/>
      <c r="I137" s="91"/>
      <c r="J137" s="1880"/>
      <c r="K137" s="1880"/>
      <c r="L137" s="1880"/>
      <c r="M137" s="1880"/>
      <c r="N137" s="1880"/>
      <c r="O137" s="1880"/>
      <c r="P137" s="1880"/>
      <c r="Q137" s="1880"/>
      <c r="R137" s="1880"/>
      <c r="S137" s="1880"/>
      <c r="T137" s="1880"/>
      <c r="U137" s="1880"/>
      <c r="V137" s="1880"/>
      <c r="W137" s="1880"/>
      <c r="X137" s="1880"/>
      <c r="Y137" s="1880"/>
      <c r="Z137" s="1880"/>
      <c r="AA137" s="1880"/>
      <c r="AB137" s="1880"/>
      <c r="AC137" s="1880"/>
      <c r="AD137" s="1880"/>
      <c r="AE137" s="1880"/>
      <c r="AF137" s="1880"/>
      <c r="AG137" s="1880"/>
      <c r="AH137" s="1880"/>
      <c r="AI137" s="1880"/>
      <c r="AJ137" s="1880"/>
      <c r="AK137" s="1880"/>
      <c r="AL137" s="1880"/>
      <c r="AM137" s="648"/>
      <c r="AN137" s="913"/>
      <c r="AO137" s="913"/>
      <c r="AP137" s="649"/>
      <c r="AQ137" s="2190"/>
      <c r="AR137" s="2190"/>
      <c r="AS137" s="2190"/>
      <c r="AT137" s="2190"/>
      <c r="AU137" s="2190"/>
      <c r="AV137" s="2190"/>
      <c r="AW137" s="2190"/>
      <c r="AX137" s="2190"/>
      <c r="AY137" s="2190"/>
      <c r="AZ137" s="2190"/>
      <c r="BA137" s="2190"/>
      <c r="BB137" s="2190"/>
      <c r="BC137" s="2190"/>
      <c r="BD137" s="2190"/>
      <c r="BE137" s="2190"/>
      <c r="BF137" s="2190"/>
      <c r="BG137" s="2190"/>
      <c r="BH137" s="2190"/>
      <c r="BI137" s="2190"/>
      <c r="BJ137" s="2190"/>
      <c r="BK137" s="2190"/>
      <c r="BL137" s="93"/>
      <c r="BM137" s="913"/>
      <c r="BN137" s="913"/>
      <c r="BO137" s="649"/>
      <c r="BP137" s="2196"/>
      <c r="BQ137" s="2196"/>
      <c r="BR137" s="2196"/>
      <c r="BS137" s="2196"/>
      <c r="BT137" s="2202"/>
      <c r="BU137" s="2186"/>
      <c r="BV137" s="2186"/>
      <c r="BW137" s="2203"/>
      <c r="BX137" s="2186"/>
      <c r="BY137" s="2186"/>
      <c r="BZ137" s="2186"/>
      <c r="CA137" s="2186"/>
      <c r="CB137" s="93"/>
      <c r="CC137" s="913"/>
      <c r="CD137" s="913"/>
      <c r="CE137" s="91"/>
      <c r="CF137" s="655"/>
      <c r="CG137" s="655"/>
      <c r="CH137" s="655"/>
      <c r="CI137" s="655"/>
      <c r="CJ137" s="655"/>
      <c r="CK137" s="655"/>
      <c r="CL137" s="655"/>
      <c r="CM137" s="655"/>
      <c r="CN137" s="655"/>
      <c r="CO137" s="1925"/>
      <c r="CP137" s="1925"/>
      <c r="CQ137" s="1925"/>
      <c r="CR137" s="1925"/>
      <c r="CS137" s="1925"/>
      <c r="CT137" s="1925"/>
      <c r="CU137" s="1925"/>
      <c r="CV137" s="1925"/>
      <c r="CW137" s="1925"/>
      <c r="CX137" s="1925"/>
      <c r="CY137" s="1925"/>
      <c r="CZ137" s="1925"/>
      <c r="DA137" s="1925"/>
      <c r="DB137" s="1925"/>
      <c r="DC137" s="1925"/>
      <c r="DD137" s="1925"/>
      <c r="DE137" s="1925"/>
      <c r="DF137" s="1925"/>
      <c r="DG137" s="93"/>
      <c r="DH137" s="972"/>
      <c r="DI137" s="118"/>
      <c r="DJ137" s="118"/>
      <c r="DK137" s="256"/>
      <c r="DL137" s="109"/>
      <c r="DM137" s="910"/>
      <c r="DN137" s="910"/>
      <c r="DO137" s="910"/>
      <c r="DP137" s="910"/>
      <c r="DQ137" s="910"/>
      <c r="DR137" s="910"/>
      <c r="DS137" s="910"/>
      <c r="DT137" s="910"/>
      <c r="DU137" s="910"/>
      <c r="DV137" s="910"/>
      <c r="DW137" s="910"/>
      <c r="DX137" s="910"/>
      <c r="DY137" s="910"/>
      <c r="DZ137" s="910"/>
      <c r="EA137" s="910"/>
      <c r="EB137" s="910"/>
      <c r="EC137" s="910"/>
      <c r="ED137" s="910"/>
      <c r="EE137" s="910"/>
      <c r="EF137" s="910"/>
      <c r="EG137" s="910"/>
      <c r="EH137" s="910"/>
      <c r="EI137" s="910"/>
      <c r="EJ137" s="910"/>
      <c r="EK137" s="910"/>
      <c r="EL137" s="910"/>
      <c r="EM137" s="910"/>
      <c r="EN137" s="910"/>
      <c r="EO137" s="910"/>
      <c r="EP137" s="910"/>
      <c r="EQ137" s="910"/>
      <c r="ER137" s="910"/>
      <c r="ES137" s="910"/>
      <c r="ET137" s="910"/>
      <c r="EU137" s="910"/>
      <c r="EV137" s="910"/>
      <c r="EW137" s="910"/>
      <c r="EX137" s="910"/>
      <c r="EY137" s="910"/>
      <c r="EZ137" s="910"/>
      <c r="FA137" s="910"/>
      <c r="FB137" s="910"/>
      <c r="FC137" s="910"/>
      <c r="FD137" s="910"/>
      <c r="FE137" s="910"/>
      <c r="FF137" s="910"/>
      <c r="FG137" s="910"/>
      <c r="FH137" s="910"/>
      <c r="FI137" s="910"/>
      <c r="FJ137" s="910"/>
      <c r="FK137" s="910"/>
      <c r="FL137" s="1020" t="e">
        <f ca="1">IF(AND($BX$12&lt;&gt;"",BX135&lt;&gt;""),AQ133&amp;" "&amp;LOWER(J135)&amp;" "&amp;IF(BX135&lt;0,BX135&amp;"/"&amp;BX135&amp;"/"&amp;BX135,"+"&amp;BX135&amp;"/+"&amp;BX135&amp;"/+"&amp;BX135)&amp;" ("&amp;CO135&amp;IF(Weapons!AI$82&lt;&gt;"20","/"&amp;Weapons!AI$82,"")&amp;IF(Weapons!AI$83&lt;&gt;2,"/×"&amp;Weapons!AI$83,"")&amp;") with Triple Attack","")</f>
        <v>#N/A</v>
      </c>
      <c r="FM137" s="1019" t="e">
        <f t="shared" ca="1" si="3"/>
        <v>#N/A</v>
      </c>
    </row>
    <row r="138" spans="1:169" ht="9" customHeight="1" thickTop="1" thickBot="1">
      <c r="A138" s="910"/>
      <c r="B138" s="910"/>
      <c r="C138" s="112"/>
      <c r="D138" s="2183" t="str">
        <f>IF(Weapons!AI$109&lt;&gt;"","MOUNTED","")</f>
        <v/>
      </c>
      <c r="E138" s="2184"/>
      <c r="F138" s="2184"/>
      <c r="G138" s="913"/>
      <c r="H138" s="913"/>
      <c r="I138" s="913"/>
      <c r="J138" s="913"/>
      <c r="K138" s="913"/>
      <c r="L138" s="913"/>
      <c r="M138" s="913"/>
      <c r="N138" s="913"/>
      <c r="O138" s="913"/>
      <c r="P138" s="913"/>
      <c r="Q138" s="913"/>
      <c r="R138" s="913"/>
      <c r="S138" s="913"/>
      <c r="T138" s="913"/>
      <c r="U138" s="913"/>
      <c r="V138" s="913"/>
      <c r="W138" s="913"/>
      <c r="X138" s="913"/>
      <c r="Y138" s="913"/>
      <c r="Z138" s="913"/>
      <c r="AA138" s="913"/>
      <c r="AB138" s="913"/>
      <c r="AC138" s="913"/>
      <c r="AD138" s="913"/>
      <c r="AE138" s="913"/>
      <c r="AF138" s="913"/>
      <c r="AG138" s="913"/>
      <c r="AH138" s="913"/>
      <c r="AI138" s="913"/>
      <c r="AJ138" s="913"/>
      <c r="AK138" s="913"/>
      <c r="AL138" s="913"/>
      <c r="AM138" s="913"/>
      <c r="AN138" s="913"/>
      <c r="AO138" s="910"/>
      <c r="AP138" s="910"/>
      <c r="AQ138" s="910"/>
      <c r="AR138" s="910"/>
      <c r="AS138" s="910"/>
      <c r="AT138" s="910"/>
      <c r="AU138" s="910"/>
      <c r="AV138" s="910"/>
      <c r="AW138" s="910"/>
      <c r="AX138" s="910"/>
      <c r="AY138" s="910"/>
      <c r="AZ138" s="910"/>
      <c r="BA138" s="910"/>
      <c r="BB138" s="910"/>
      <c r="BC138" s="910"/>
      <c r="BD138" s="910"/>
      <c r="BE138" s="910"/>
      <c r="BF138" s="910"/>
      <c r="BG138" s="910"/>
      <c r="BH138" s="910"/>
      <c r="BI138" s="596"/>
      <c r="BJ138" s="596"/>
      <c r="BK138" s="596"/>
      <c r="BL138" s="910"/>
      <c r="BM138" s="910"/>
      <c r="BN138" s="913"/>
      <c r="BO138" s="913"/>
      <c r="BP138" s="913"/>
      <c r="BQ138" s="913"/>
      <c r="BR138" s="913"/>
      <c r="BS138" s="913"/>
      <c r="BT138" s="2205" t="e">
        <f ca="1">"Double Attack ("&amp;INDEX(WeaponTable,MATCH(Weapons!AI$11,WeaponList,0),5)&amp;")"</f>
        <v>#N/A</v>
      </c>
      <c r="BU138" s="2205"/>
      <c r="BV138" s="2205"/>
      <c r="BW138" s="2205"/>
      <c r="BX138" s="2205" t="e">
        <f ca="1">"Triple Attack ("&amp;INDEX(WeaponTable,MATCH(Weapons!AI$11,WeaponList,0),5)&amp;")"</f>
        <v>#N/A</v>
      </c>
      <c r="BY138" s="2205"/>
      <c r="BZ138" s="2205"/>
      <c r="CA138" s="2205"/>
      <c r="CB138" s="913"/>
      <c r="CC138" s="913"/>
      <c r="CD138" s="913"/>
      <c r="CE138" s="913"/>
      <c r="CF138" s="913"/>
      <c r="CG138" s="913"/>
      <c r="CH138" s="913"/>
      <c r="CI138" s="913"/>
      <c r="CJ138" s="913"/>
      <c r="CK138" s="913"/>
      <c r="CL138" s="913"/>
      <c r="CM138" s="913"/>
      <c r="CN138" s="913"/>
      <c r="CO138" s="913"/>
      <c r="CP138" s="913"/>
      <c r="CQ138" s="913"/>
      <c r="CR138" s="913"/>
      <c r="CS138" s="913"/>
      <c r="CT138" s="913"/>
      <c r="CU138" s="913"/>
      <c r="CV138" s="913"/>
      <c r="CW138" s="913"/>
      <c r="CX138" s="913"/>
      <c r="CY138" s="913"/>
      <c r="CZ138" s="913"/>
      <c r="DA138" s="913"/>
      <c r="DB138" s="913"/>
      <c r="DC138" s="913"/>
      <c r="DD138" s="913"/>
      <c r="DE138" s="913"/>
      <c r="DF138" s="913"/>
      <c r="DG138" s="913"/>
      <c r="DH138" s="973"/>
      <c r="DI138" s="596"/>
      <c r="DJ138" s="596"/>
      <c r="DK138" s="112"/>
      <c r="DL138" s="87"/>
      <c r="DM138" s="910"/>
      <c r="DN138" s="910"/>
      <c r="DO138" s="910"/>
      <c r="DP138" s="910"/>
      <c r="DQ138" s="910"/>
      <c r="DR138" s="910"/>
      <c r="DS138" s="910"/>
      <c r="DT138" s="910"/>
      <c r="DU138" s="910"/>
      <c r="DV138" s="910"/>
      <c r="DW138" s="910"/>
      <c r="DX138" s="910"/>
      <c r="DY138" s="910"/>
      <c r="DZ138" s="910"/>
      <c r="EA138" s="910"/>
      <c r="EB138" s="910"/>
      <c r="EC138" s="910"/>
      <c r="ED138" s="910"/>
      <c r="EE138" s="910"/>
      <c r="EF138" s="910"/>
      <c r="EG138" s="910"/>
      <c r="EH138" s="910"/>
      <c r="EI138" s="910"/>
      <c r="EJ138" s="910"/>
      <c r="EK138" s="910"/>
      <c r="EL138" s="910"/>
      <c r="EM138" s="910"/>
      <c r="EN138" s="910"/>
      <c r="EO138" s="910"/>
      <c r="EP138" s="910"/>
      <c r="EQ138" s="910"/>
      <c r="ER138" s="910"/>
      <c r="ES138" s="910"/>
      <c r="ET138" s="910"/>
      <c r="EU138" s="910"/>
      <c r="EV138" s="910"/>
      <c r="EW138" s="910"/>
      <c r="EX138" s="910"/>
      <c r="EY138" s="910"/>
      <c r="EZ138" s="910"/>
      <c r="FA138" s="910"/>
      <c r="FB138" s="910"/>
      <c r="FC138" s="910"/>
      <c r="FD138" s="910"/>
      <c r="FE138" s="910"/>
      <c r="FF138" s="910"/>
      <c r="FG138" s="910"/>
      <c r="FH138" s="910"/>
      <c r="FI138" s="910"/>
      <c r="FJ138" s="910"/>
      <c r="FK138" s="910"/>
      <c r="FL138" s="1020"/>
      <c r="FM138" s="1019" t="str">
        <f t="shared" si="3"/>
        <v/>
      </c>
    </row>
    <row r="139" spans="1:169" ht="9" customHeight="1" thickTop="1" thickBot="1">
      <c r="A139" s="910"/>
      <c r="B139" s="910"/>
      <c r="C139" s="112"/>
      <c r="D139" s="2183"/>
      <c r="E139" s="2184"/>
      <c r="F139" s="2184"/>
      <c r="G139" s="93"/>
      <c r="H139" s="2182" t="s">
        <v>3613</v>
      </c>
      <c r="I139" s="2182"/>
      <c r="J139" s="2182"/>
      <c r="K139" s="2182"/>
      <c r="L139" s="295"/>
      <c r="M139" s="295"/>
      <c r="N139" s="600"/>
      <c r="O139" s="600"/>
      <c r="P139" s="594"/>
      <c r="Q139" s="594"/>
      <c r="R139" s="594"/>
      <c r="S139" s="594"/>
      <c r="T139" s="594"/>
      <c r="U139" s="594"/>
      <c r="V139" s="594"/>
      <c r="W139" s="594"/>
      <c r="X139" s="594"/>
      <c r="Y139" s="594"/>
      <c r="Z139" s="594"/>
      <c r="AA139" s="594"/>
      <c r="AB139" s="594"/>
      <c r="AC139" s="594"/>
      <c r="AD139" s="594"/>
      <c r="AE139" s="594"/>
      <c r="AF139" s="297"/>
      <c r="AG139" s="913"/>
      <c r="AH139" s="913"/>
      <c r="AI139" s="910"/>
      <c r="AJ139" s="910"/>
      <c r="AK139" s="910"/>
      <c r="AL139" s="910"/>
      <c r="AM139" s="910"/>
      <c r="AN139" s="910"/>
      <c r="AO139" s="910"/>
      <c r="AP139" s="93"/>
      <c r="AQ139" s="2179" t="s">
        <v>4093</v>
      </c>
      <c r="AR139" s="2179"/>
      <c r="AS139" s="2179"/>
      <c r="AT139" s="2179"/>
      <c r="AU139" s="2179"/>
      <c r="AV139" s="2179"/>
      <c r="AW139" s="2179"/>
      <c r="AX139" s="2179"/>
      <c r="AY139" s="2179"/>
      <c r="AZ139" s="2179"/>
      <c r="BA139" s="2179"/>
      <c r="BB139" s="2179"/>
      <c r="BC139" s="2179"/>
      <c r="BD139" s="113"/>
      <c r="BE139" s="145"/>
      <c r="BF139" s="145"/>
      <c r="BG139" s="145"/>
      <c r="BH139" s="145"/>
      <c r="BI139" s="145"/>
      <c r="BJ139" s="145"/>
      <c r="BK139" s="145"/>
      <c r="BL139" s="913"/>
      <c r="BM139" s="913"/>
      <c r="BN139" s="913"/>
      <c r="BO139" s="93"/>
      <c r="BP139" s="2193" t="s">
        <v>4092</v>
      </c>
      <c r="BQ139" s="2193"/>
      <c r="BR139" s="2193"/>
      <c r="BS139" s="2193"/>
      <c r="BT139" s="2193" t="s">
        <v>4090</v>
      </c>
      <c r="BU139" s="2193"/>
      <c r="BV139" s="2193"/>
      <c r="BW139" s="2193"/>
      <c r="BX139" s="2193" t="s">
        <v>4091</v>
      </c>
      <c r="BY139" s="2193"/>
      <c r="BZ139" s="2193"/>
      <c r="CA139" s="2193"/>
      <c r="CB139" s="113"/>
      <c r="CC139" s="913"/>
      <c r="CD139" s="913"/>
      <c r="CE139" s="93"/>
      <c r="CF139" s="2182" t="s">
        <v>3612</v>
      </c>
      <c r="CG139" s="2208"/>
      <c r="CH139" s="2208"/>
      <c r="CI139" s="2208"/>
      <c r="CJ139" s="2208"/>
      <c r="CK139" s="2208"/>
      <c r="CL139" s="2208"/>
      <c r="CM139" s="2208"/>
      <c r="CN139" s="113"/>
      <c r="CO139" s="87"/>
      <c r="CP139" s="87"/>
      <c r="CQ139" s="87"/>
      <c r="CR139" s="87"/>
      <c r="CS139" s="87"/>
      <c r="CT139" s="87"/>
      <c r="CU139" s="87"/>
      <c r="CV139" s="87"/>
      <c r="CW139" s="87"/>
      <c r="CX139" s="87"/>
      <c r="CY139" s="87"/>
      <c r="CZ139" s="87"/>
      <c r="DA139" s="87"/>
      <c r="DB139" s="87"/>
      <c r="DC139" s="87"/>
      <c r="DD139" s="87"/>
      <c r="DE139" s="87"/>
      <c r="DF139" s="87"/>
      <c r="DG139" s="87"/>
      <c r="DI139" s="958"/>
      <c r="DJ139" s="958"/>
      <c r="DK139" s="112"/>
      <c r="DL139" s="87"/>
      <c r="DM139" s="910"/>
      <c r="DN139" s="910"/>
      <c r="DO139" s="910"/>
      <c r="DP139" s="910"/>
      <c r="DQ139" s="910"/>
      <c r="DR139" s="910"/>
      <c r="DS139" s="910"/>
      <c r="DT139" s="910"/>
      <c r="DU139" s="910"/>
      <c r="DV139" s="910"/>
      <c r="DW139" s="910"/>
      <c r="DX139" s="910"/>
      <c r="DY139" s="910"/>
      <c r="DZ139" s="910"/>
      <c r="EA139" s="910"/>
      <c r="EB139" s="910"/>
      <c r="EC139" s="910"/>
      <c r="ED139" s="910"/>
      <c r="EE139" s="910"/>
      <c r="EF139" s="910"/>
      <c r="EG139" s="910"/>
      <c r="EH139" s="910"/>
      <c r="EI139" s="910"/>
      <c r="EJ139" s="910"/>
      <c r="EK139" s="910"/>
      <c r="EL139" s="910"/>
      <c r="EM139" s="910"/>
      <c r="EN139" s="910"/>
      <c r="EO139" s="910"/>
      <c r="EP139" s="910"/>
      <c r="EQ139" s="910"/>
      <c r="ER139" s="910"/>
      <c r="ES139" s="910"/>
      <c r="ET139" s="910"/>
      <c r="EU139" s="910"/>
      <c r="EV139" s="910"/>
      <c r="EW139" s="910"/>
      <c r="EX139" s="910"/>
      <c r="EY139" s="910"/>
      <c r="EZ139" s="910"/>
      <c r="FA139" s="910"/>
      <c r="FB139" s="910"/>
      <c r="FC139" s="910"/>
      <c r="FD139" s="910"/>
      <c r="FE139" s="910"/>
      <c r="FF139" s="910"/>
      <c r="FG139" s="910"/>
      <c r="FH139" s="910"/>
      <c r="FI139" s="910"/>
      <c r="FJ139" s="910"/>
      <c r="FK139" s="910"/>
      <c r="FL139" s="1020"/>
      <c r="FM139" s="1019" t="str">
        <f t="shared" si="3"/>
        <v/>
      </c>
    </row>
    <row r="140" spans="1:169" ht="9" customHeight="1" thickTop="1">
      <c r="A140" s="910"/>
      <c r="B140" s="910"/>
      <c r="C140" s="112"/>
      <c r="D140" s="2183"/>
      <c r="E140" s="2184"/>
      <c r="F140" s="2184"/>
      <c r="G140" s="102"/>
      <c r="H140" s="2180"/>
      <c r="I140" s="2180"/>
      <c r="J140" s="2180"/>
      <c r="K140" s="2180"/>
      <c r="L140" s="1867" t="str">
        <f>Weapons!AI$34</f>
        <v/>
      </c>
      <c r="M140" s="1867"/>
      <c r="N140" s="1867"/>
      <c r="O140" s="1867"/>
      <c r="P140" s="1867"/>
      <c r="Q140" s="1867"/>
      <c r="R140" s="1867"/>
      <c r="S140" s="1867"/>
      <c r="T140" s="1867"/>
      <c r="U140" s="1867"/>
      <c r="V140" s="1867"/>
      <c r="W140" s="1867"/>
      <c r="X140" s="1867"/>
      <c r="Y140" s="1867"/>
      <c r="Z140" s="1867"/>
      <c r="AA140" s="1867"/>
      <c r="AB140" s="1867"/>
      <c r="AC140" s="1867"/>
      <c r="AD140" s="1867"/>
      <c r="AE140" s="1867"/>
      <c r="AF140" s="300"/>
      <c r="AG140" s="913"/>
      <c r="AH140" s="913"/>
      <c r="AI140" s="910"/>
      <c r="AJ140" s="910"/>
      <c r="AK140" s="910"/>
      <c r="AL140" s="910"/>
      <c r="AM140" s="910"/>
      <c r="AN140" s="910"/>
      <c r="AO140" s="910"/>
      <c r="AP140" s="102"/>
      <c r="AQ140" s="2180"/>
      <c r="AR140" s="2180"/>
      <c r="AS140" s="2180"/>
      <c r="AT140" s="2180"/>
      <c r="AU140" s="2180"/>
      <c r="AV140" s="2180"/>
      <c r="AW140" s="2180"/>
      <c r="AX140" s="2180"/>
      <c r="AY140" s="2180"/>
      <c r="AZ140" s="2180"/>
      <c r="BA140" s="2180"/>
      <c r="BB140" s="2180"/>
      <c r="BC140" s="2180"/>
      <c r="BD140" s="589"/>
      <c r="BE140" s="598"/>
      <c r="BF140" s="598"/>
      <c r="BG140" s="598"/>
      <c r="BH140" s="598"/>
      <c r="BI140" s="598"/>
      <c r="BJ140" s="598"/>
      <c r="BK140" s="598"/>
      <c r="BL140" s="113"/>
      <c r="BM140" s="913"/>
      <c r="BN140" s="913"/>
      <c r="BO140" s="102"/>
      <c r="BP140" s="2194"/>
      <c r="BQ140" s="2194"/>
      <c r="BR140" s="2194"/>
      <c r="BS140" s="2194"/>
      <c r="BT140" s="2194"/>
      <c r="BU140" s="2194"/>
      <c r="BV140" s="2194"/>
      <c r="BW140" s="2194"/>
      <c r="BX140" s="2194"/>
      <c r="BY140" s="2194"/>
      <c r="BZ140" s="2194"/>
      <c r="CA140" s="2194"/>
      <c r="CB140" s="913"/>
      <c r="CC140" s="102"/>
      <c r="CD140" s="913"/>
      <c r="CE140" s="102"/>
      <c r="CF140" s="2138"/>
      <c r="CG140" s="2138"/>
      <c r="CH140" s="2138"/>
      <c r="CI140" s="2138"/>
      <c r="CJ140" s="2138"/>
      <c r="CK140" s="2138"/>
      <c r="CL140" s="2138"/>
      <c r="CM140" s="2138"/>
      <c r="CN140" s="589"/>
      <c r="CO140" s="599"/>
      <c r="CP140" s="599"/>
      <c r="CQ140" s="599"/>
      <c r="CR140" s="599"/>
      <c r="CS140" s="599"/>
      <c r="CT140" s="599"/>
      <c r="CU140" s="599"/>
      <c r="CV140" s="599"/>
      <c r="CW140" s="599"/>
      <c r="CX140" s="599"/>
      <c r="CY140" s="599"/>
      <c r="CZ140" s="599"/>
      <c r="DA140" s="599"/>
      <c r="DB140" s="599"/>
      <c r="DC140" s="599"/>
      <c r="DD140" s="599"/>
      <c r="DE140" s="599"/>
      <c r="DF140" s="599"/>
      <c r="DG140" s="113"/>
      <c r="DI140" s="958"/>
      <c r="DJ140" s="958"/>
      <c r="DK140" s="112"/>
      <c r="DL140" s="87"/>
      <c r="DM140" s="910"/>
      <c r="DN140" s="910"/>
      <c r="DO140" s="910"/>
      <c r="DP140" s="910"/>
      <c r="DQ140" s="910"/>
      <c r="DR140" s="910"/>
      <c r="DS140" s="910"/>
      <c r="DT140" s="910"/>
      <c r="DU140" s="910"/>
      <c r="DV140" s="910"/>
      <c r="DW140" s="910"/>
      <c r="DX140" s="910"/>
      <c r="DY140" s="910"/>
      <c r="DZ140" s="910"/>
      <c r="EA140" s="910"/>
      <c r="EB140" s="910"/>
      <c r="EC140" s="910"/>
      <c r="ED140" s="910"/>
      <c r="EE140" s="910"/>
      <c r="EF140" s="910"/>
      <c r="EG140" s="910"/>
      <c r="EH140" s="910"/>
      <c r="EI140" s="910"/>
      <c r="EJ140" s="910"/>
      <c r="EK140" s="910"/>
      <c r="EL140" s="910"/>
      <c r="EM140" s="910"/>
      <c r="EN140" s="910"/>
      <c r="EO140" s="910"/>
      <c r="EP140" s="910"/>
      <c r="EQ140" s="910"/>
      <c r="ER140" s="910"/>
      <c r="ES140" s="910"/>
      <c r="ET140" s="910"/>
      <c r="EU140" s="910"/>
      <c r="EV140" s="910"/>
      <c r="EW140" s="910"/>
      <c r="EX140" s="910"/>
      <c r="EY140" s="910"/>
      <c r="EZ140" s="910"/>
      <c r="FA140" s="910"/>
      <c r="FB140" s="910"/>
      <c r="FC140" s="910"/>
      <c r="FD140" s="910"/>
      <c r="FE140" s="910"/>
      <c r="FF140" s="910"/>
      <c r="FG140" s="910"/>
      <c r="FH140" s="910"/>
      <c r="FI140" s="910"/>
      <c r="FJ140" s="910"/>
      <c r="FK140" s="910"/>
      <c r="FL140" s="1020"/>
      <c r="FM140" s="1019" t="str">
        <f t="shared" si="3"/>
        <v/>
      </c>
    </row>
    <row r="141" spans="1:169" ht="9" customHeight="1" thickBot="1">
      <c r="A141" s="910"/>
      <c r="B141" s="910"/>
      <c r="C141" s="112"/>
      <c r="D141" s="2183"/>
      <c r="E141" s="2184"/>
      <c r="F141" s="2184"/>
      <c r="G141" s="102"/>
      <c r="H141" s="105"/>
      <c r="I141" s="105"/>
      <c r="J141" s="105"/>
      <c r="K141" s="105"/>
      <c r="L141" s="1867"/>
      <c r="M141" s="1867"/>
      <c r="N141" s="1867"/>
      <c r="O141" s="1867"/>
      <c r="P141" s="1867"/>
      <c r="Q141" s="1867"/>
      <c r="R141" s="1867"/>
      <c r="S141" s="1867"/>
      <c r="T141" s="1867"/>
      <c r="U141" s="1867"/>
      <c r="V141" s="1867"/>
      <c r="W141" s="1867"/>
      <c r="X141" s="1867"/>
      <c r="Y141" s="1867"/>
      <c r="Z141" s="1867"/>
      <c r="AA141" s="1867"/>
      <c r="AB141" s="1867"/>
      <c r="AC141" s="1867"/>
      <c r="AD141" s="1867"/>
      <c r="AE141" s="1867"/>
      <c r="AF141" s="103"/>
      <c r="AG141" s="913"/>
      <c r="AH141" s="913"/>
      <c r="AI141" s="910"/>
      <c r="AJ141" s="910"/>
      <c r="AK141" s="910"/>
      <c r="AL141" s="910"/>
      <c r="AM141" s="910"/>
      <c r="AN141" s="910"/>
      <c r="AO141" s="910"/>
      <c r="AP141" s="102"/>
      <c r="AQ141" s="2191"/>
      <c r="AR141" s="2191"/>
      <c r="AS141" s="2191"/>
      <c r="AT141" s="2191"/>
      <c r="AU141" s="2191"/>
      <c r="AV141" s="2191"/>
      <c r="AW141" s="2191"/>
      <c r="AX141" s="2191"/>
      <c r="AY141" s="2191"/>
      <c r="AZ141" s="2191"/>
      <c r="BA141" s="2191"/>
      <c r="BB141" s="2191"/>
      <c r="BC141" s="2191"/>
      <c r="BD141" s="2191"/>
      <c r="BE141" s="2191"/>
      <c r="BF141" s="2191"/>
      <c r="BG141" s="2191"/>
      <c r="BH141" s="2191"/>
      <c r="BI141" s="2191"/>
      <c r="BJ141" s="2191"/>
      <c r="BK141" s="2191"/>
      <c r="BL141" s="100"/>
      <c r="BM141" s="122"/>
      <c r="BN141" s="290"/>
      <c r="BO141" s="102"/>
      <c r="BP141" s="2185" t="str">
        <f>IF(AQ141&lt;&gt;"",IF(OR(INDEX(WeaponFeatsModsTable,MATCH(AQ141,WeaponFeatsModsList,0),7)=AQ133,INDEX(WeaponFeatsModsTable,MATCH(AQ141,WeaponFeatsModsList,0),7)=""),INDEX(WeaponFeatsModsTable,MATCH(AQ141,WeaponFeatsModsList,0),2)+BP135,""),"")</f>
        <v/>
      </c>
      <c r="BQ141" s="2185"/>
      <c r="BR141" s="2185"/>
      <c r="BS141" s="2185"/>
      <c r="BT141" s="2200" t="str">
        <f>IF(BP141&lt;&gt;"",IF(AND(OR(INDEX(WeaponFeatsModsTable,MATCH(AQ141,WeaponFeatsModsList,0),7)=AQ133,INDEX(WeaponFeatsModsTable,MATCH(AQ141,WeaponFeatsModsList,0),7)=""),INDEX(WeaponFeatsModsTable,MATCH(AQ141,WeaponFeatsModsList,0),8)&lt;&gt;"Yes"),IF(COUNTIF(FeatsCharacterSheet,BT138)&gt;0,BP141+BT132,""),""),"")</f>
        <v/>
      </c>
      <c r="BU141" s="2185"/>
      <c r="BV141" s="2185"/>
      <c r="BW141" s="2201"/>
      <c r="BX141" s="2185" t="str">
        <f>IF(BP141&lt;&gt;"",IF(AND(OR(INDEX(WeaponFeatsModsTable,MATCH(AQ141,WeaponFeatsModsList,0),7)=AQ133,INDEX(WeaponFeatsModsTable,MATCH(AQ141,WeaponFeatsModsList,0),7)=""),INDEX(WeaponFeatsModsTable,MATCH(AQ141,WeaponFeatsModsList,0),8)&lt;&gt;"Yes"),IF(COUNTIF(FeatsCharacterSheet,BX138)&gt;0,BP141+BX132,""),""),"")</f>
        <v/>
      </c>
      <c r="BY141" s="2185"/>
      <c r="BZ141" s="2185"/>
      <c r="CA141" s="2185"/>
      <c r="CB141" s="100"/>
      <c r="CC141" s="122"/>
      <c r="CD141" s="290"/>
      <c r="CE141" s="102"/>
      <c r="CF141" s="1883"/>
      <c r="CG141" s="1883"/>
      <c r="CH141" s="1883"/>
      <c r="CI141" s="1883"/>
      <c r="CJ141" s="1883"/>
      <c r="CK141" s="1883"/>
      <c r="CL141" s="1883"/>
      <c r="CM141" s="1883"/>
      <c r="CN141" s="1883"/>
      <c r="CO141" s="2207" t="str">
        <f>IF(AQ141&lt;&gt;"",IF(OR(INDEX(WeaponFeatsModsTable,MATCH(AQ141,WeaponFeatsModsList,0),7)=$AQ$133,INDEX(WeaponFeatsModsTable,MATCH(AQ141,WeaponFeatsModsList,0),7)=""),Weapons!AI$78+INDEX(WeaponFeatsModsTable,MATCH(AQ141,WeaponFeatsModsList,0),5)&amp;"d"&amp;Weapons!AI$79&amp;Weapons!AI$123&amp;"+"&amp;Weapons!AI$116+DH141+IF(AND(LEFT(AQ141,12)="Power Attack",$AQ$135="Two-Handed",$AQ$133="Melee"),INDEX(WeaponFeatsModsTable,MATCH(AQ141,WeaponFeatsModsList,0),4),INDEX(WeaponFeatsModsTable,MATCH(AQ141,WeaponFeatsModsList,0),3)),""),"")</f>
        <v/>
      </c>
      <c r="CP141" s="2207"/>
      <c r="CQ141" s="2207"/>
      <c r="CR141" s="2207"/>
      <c r="CS141" s="2207"/>
      <c r="CT141" s="2207"/>
      <c r="CU141" s="2207"/>
      <c r="CV141" s="2207"/>
      <c r="CW141" s="2207"/>
      <c r="CX141" s="2207"/>
      <c r="CY141" s="2207"/>
      <c r="CZ141" s="2207"/>
      <c r="DA141" s="2207"/>
      <c r="DB141" s="2207"/>
      <c r="DC141" s="2207"/>
      <c r="DD141" s="2207"/>
      <c r="DE141" s="2207"/>
      <c r="DF141" s="2207"/>
      <c r="DG141" s="656"/>
      <c r="DH141" s="974">
        <f>IF(AND(COUNTIF(Weapons!AI$56:AI$60,"Pulse Charger"),AQ133="Ranged"),INDEX(WeaponFeatsModsTable,MATCH(AQ141,WeaponFeatsModsList,0),5),0)</f>
        <v>0</v>
      </c>
      <c r="DI141" s="966"/>
      <c r="DJ141" s="966"/>
      <c r="DK141" s="967"/>
      <c r="DL141" s="109"/>
      <c r="DM141" s="910"/>
      <c r="DN141" s="910"/>
      <c r="DO141" s="910"/>
      <c r="DP141" s="910"/>
      <c r="DQ141" s="910"/>
      <c r="DR141" s="910"/>
      <c r="DS141" s="910"/>
      <c r="DT141" s="910"/>
      <c r="DU141" s="910"/>
      <c r="DV141" s="910"/>
      <c r="DW141" s="910"/>
      <c r="DX141" s="910"/>
      <c r="DY141" s="910"/>
      <c r="DZ141" s="910"/>
      <c r="EA141" s="910"/>
      <c r="EB141" s="910"/>
      <c r="EC141" s="910"/>
      <c r="ED141" s="910"/>
      <c r="EE141" s="910"/>
      <c r="EF141" s="910"/>
      <c r="EG141" s="910"/>
      <c r="EH141" s="910"/>
      <c r="EI141" s="910"/>
      <c r="EJ141" s="910"/>
      <c r="EK141" s="910"/>
      <c r="EL141" s="910"/>
      <c r="EM141" s="910"/>
      <c r="EN141" s="910"/>
      <c r="EO141" s="910"/>
      <c r="EP141" s="910"/>
      <c r="EQ141" s="910"/>
      <c r="ER141" s="910"/>
      <c r="ES141" s="910"/>
      <c r="ET141" s="910"/>
      <c r="EU141" s="910"/>
      <c r="EV141" s="910"/>
      <c r="EW141" s="910"/>
      <c r="EX141" s="910"/>
      <c r="EY141" s="910"/>
      <c r="EZ141" s="910"/>
      <c r="FA141" s="910"/>
      <c r="FB141" s="910"/>
      <c r="FC141" s="910"/>
      <c r="FD141" s="910"/>
      <c r="FE141" s="910"/>
      <c r="FF141" s="910"/>
      <c r="FG141" s="910"/>
      <c r="FH141" s="910"/>
      <c r="FI141" s="910"/>
      <c r="FJ141" s="910"/>
      <c r="FK141" s="910"/>
      <c r="FL141" s="1020" t="str">
        <f>IF(AND(AQ141&lt;&gt;"",BP141&lt;&gt;""),AQ133&amp;" "&amp;LOWER(J135)&amp;" "&amp;IF(BP141&lt;0,"","+")&amp;BP141&amp;" ("&amp;CO141&amp;IF(Weapons!AI$82&lt;&gt;"20","/"&amp;Weapons!AI$82,"")&amp;IF(Weapons!AI$83&lt;&gt;2,"/×"&amp;Weapons!AI$83,"")&amp;") with "&amp;AQ141,"")</f>
        <v/>
      </c>
      <c r="FM141" s="1019" t="str">
        <f t="shared" si="3"/>
        <v/>
      </c>
    </row>
    <row r="142" spans="1:169" ht="9" customHeight="1" thickTop="1" thickBot="1">
      <c r="A142" s="910"/>
      <c r="B142" s="910"/>
      <c r="C142" s="112"/>
      <c r="D142" s="2183"/>
      <c r="E142" s="2184"/>
      <c r="F142" s="2184"/>
      <c r="G142" s="91"/>
      <c r="H142" s="108"/>
      <c r="I142" s="108"/>
      <c r="J142" s="108"/>
      <c r="K142" s="108"/>
      <c r="L142" s="1868"/>
      <c r="M142" s="1868"/>
      <c r="N142" s="1868"/>
      <c r="O142" s="1868"/>
      <c r="P142" s="1868"/>
      <c r="Q142" s="1868"/>
      <c r="R142" s="1868"/>
      <c r="S142" s="1868"/>
      <c r="T142" s="1868"/>
      <c r="U142" s="1868"/>
      <c r="V142" s="1868"/>
      <c r="W142" s="1868"/>
      <c r="X142" s="1868"/>
      <c r="Y142" s="1868"/>
      <c r="Z142" s="1868"/>
      <c r="AA142" s="1868"/>
      <c r="AB142" s="1868"/>
      <c r="AC142" s="1868"/>
      <c r="AD142" s="1868"/>
      <c r="AE142" s="1868"/>
      <c r="AF142" s="90"/>
      <c r="AG142" s="913"/>
      <c r="AH142" s="913"/>
      <c r="AI142" s="910"/>
      <c r="AJ142" s="910"/>
      <c r="AK142" s="910"/>
      <c r="AL142" s="910"/>
      <c r="AM142" s="910"/>
      <c r="AN142" s="910"/>
      <c r="AO142" s="910"/>
      <c r="AP142" s="647"/>
      <c r="AQ142" s="2191"/>
      <c r="AR142" s="2191"/>
      <c r="AS142" s="2191"/>
      <c r="AT142" s="2191"/>
      <c r="AU142" s="2191"/>
      <c r="AV142" s="2191"/>
      <c r="AW142" s="2191"/>
      <c r="AX142" s="2191"/>
      <c r="AY142" s="2191"/>
      <c r="AZ142" s="2191"/>
      <c r="BA142" s="2191"/>
      <c r="BB142" s="2191"/>
      <c r="BC142" s="2191"/>
      <c r="BD142" s="2191"/>
      <c r="BE142" s="2191"/>
      <c r="BF142" s="2191"/>
      <c r="BG142" s="2191"/>
      <c r="BH142" s="2191"/>
      <c r="BI142" s="2191"/>
      <c r="BJ142" s="2191"/>
      <c r="BK142" s="2191"/>
      <c r="BL142" s="100"/>
      <c r="BM142" s="111"/>
      <c r="BN142" s="111"/>
      <c r="BO142" s="647"/>
      <c r="BP142" s="2185"/>
      <c r="BQ142" s="2185"/>
      <c r="BR142" s="2185"/>
      <c r="BS142" s="2185"/>
      <c r="BT142" s="2200"/>
      <c r="BU142" s="2185"/>
      <c r="BV142" s="2185"/>
      <c r="BW142" s="2201"/>
      <c r="BX142" s="2185"/>
      <c r="BY142" s="2185"/>
      <c r="BZ142" s="2185"/>
      <c r="CA142" s="2185"/>
      <c r="CB142" s="100"/>
      <c r="CC142" s="111"/>
      <c r="CD142" s="111"/>
      <c r="CE142" s="102"/>
      <c r="CF142" s="1883"/>
      <c r="CG142" s="1883"/>
      <c r="CH142" s="1883"/>
      <c r="CI142" s="1883"/>
      <c r="CJ142" s="1883"/>
      <c r="CK142" s="1883"/>
      <c r="CL142" s="1883"/>
      <c r="CM142" s="1883"/>
      <c r="CN142" s="1883"/>
      <c r="CO142" s="2207"/>
      <c r="CP142" s="2207"/>
      <c r="CQ142" s="2207"/>
      <c r="CR142" s="2207"/>
      <c r="CS142" s="2207"/>
      <c r="CT142" s="2207"/>
      <c r="CU142" s="2207"/>
      <c r="CV142" s="2207"/>
      <c r="CW142" s="2207"/>
      <c r="CX142" s="2207"/>
      <c r="CY142" s="2207"/>
      <c r="CZ142" s="2207"/>
      <c r="DA142" s="2207"/>
      <c r="DB142" s="2207"/>
      <c r="DC142" s="2207"/>
      <c r="DD142" s="2207"/>
      <c r="DE142" s="2207"/>
      <c r="DF142" s="2207"/>
      <c r="DG142" s="656"/>
      <c r="DH142" s="974"/>
      <c r="DI142" s="966"/>
      <c r="DJ142" s="966"/>
      <c r="DK142" s="967"/>
      <c r="DL142" s="109"/>
      <c r="DM142" s="910"/>
      <c r="DN142" s="910"/>
      <c r="DO142" s="910"/>
      <c r="DP142" s="910"/>
      <c r="DQ142" s="910"/>
      <c r="DR142" s="910"/>
      <c r="DS142" s="910"/>
      <c r="DT142" s="910"/>
      <c r="DU142" s="910"/>
      <c r="DV142" s="910"/>
      <c r="DW142" s="910"/>
      <c r="DX142" s="910"/>
      <c r="DY142" s="910"/>
      <c r="DZ142" s="910"/>
      <c r="EA142" s="910"/>
      <c r="EB142" s="910"/>
      <c r="EC142" s="910"/>
      <c r="ED142" s="910"/>
      <c r="EE142" s="910"/>
      <c r="EF142" s="910"/>
      <c r="EG142" s="910"/>
      <c r="EH142" s="910"/>
      <c r="EI142" s="910"/>
      <c r="EJ142" s="910"/>
      <c r="EK142" s="910"/>
      <c r="EL142" s="910"/>
      <c r="EM142" s="910"/>
      <c r="EN142" s="910"/>
      <c r="EO142" s="910"/>
      <c r="EP142" s="910"/>
      <c r="EQ142" s="910"/>
      <c r="ER142" s="910"/>
      <c r="ES142" s="910"/>
      <c r="ET142" s="910"/>
      <c r="EU142" s="910"/>
      <c r="EV142" s="910"/>
      <c r="EW142" s="910"/>
      <c r="EX142" s="910"/>
      <c r="EY142" s="910"/>
      <c r="EZ142" s="910"/>
      <c r="FA142" s="910"/>
      <c r="FB142" s="910"/>
      <c r="FC142" s="910"/>
      <c r="FD142" s="910"/>
      <c r="FE142" s="910"/>
      <c r="FF142" s="910"/>
      <c r="FG142" s="910"/>
      <c r="FH142" s="910"/>
      <c r="FI142" s="910"/>
      <c r="FJ142" s="910"/>
      <c r="FK142" s="910"/>
      <c r="FL142" s="1020" t="str">
        <f>IF(AND(AQ141&lt;&gt;"",BT141&lt;&gt;""),IF(BT138&lt;&gt;"",AQ133&amp;" "&amp;LOWER(J135)&amp;" "&amp;IF(BT141&lt;0,BT141&amp;"/"&amp;BT141,"+"&amp;BT141&amp;"/+"&amp;BT141)&amp;" ("&amp;$BK141&amp;IF(Weapons!AI$82&lt;&gt;"20","/"&amp;Weapons!AI$82,"")&amp;IF(Weapons!AI$83&lt;&gt;2,"/×"&amp;Weapons!AI$83,"")&amp;") with Double Attack and "&amp;AQ141,""),"")</f>
        <v/>
      </c>
      <c r="FM142" s="1019" t="str">
        <f t="shared" si="3"/>
        <v/>
      </c>
    </row>
    <row r="143" spans="1:169" ht="9" customHeight="1" thickTop="1" thickBot="1">
      <c r="A143" s="910"/>
      <c r="B143" s="910"/>
      <c r="C143" s="112"/>
      <c r="D143" s="2183"/>
      <c r="E143" s="2184"/>
      <c r="F143" s="2184"/>
      <c r="G143" s="913"/>
      <c r="H143" s="913"/>
      <c r="I143" s="913"/>
      <c r="J143" s="913"/>
      <c r="K143" s="913"/>
      <c r="L143" s="913"/>
      <c r="M143" s="913"/>
      <c r="N143" s="913"/>
      <c r="O143" s="589"/>
      <c r="P143" s="589"/>
      <c r="Q143" s="589"/>
      <c r="R143" s="589"/>
      <c r="S143" s="589"/>
      <c r="T143" s="589"/>
      <c r="U143" s="589"/>
      <c r="V143" s="589"/>
      <c r="W143" s="589"/>
      <c r="X143" s="589"/>
      <c r="Y143" s="589"/>
      <c r="Z143" s="589"/>
      <c r="AA143" s="589"/>
      <c r="AB143" s="589"/>
      <c r="AC143" s="589"/>
      <c r="AD143" s="589"/>
      <c r="AE143" s="589"/>
      <c r="AF143" s="589"/>
      <c r="AG143" s="589"/>
      <c r="AH143" s="131"/>
      <c r="AI143" s="910"/>
      <c r="AJ143" s="910"/>
      <c r="AK143" s="910"/>
      <c r="AL143" s="910"/>
      <c r="AM143" s="910"/>
      <c r="AN143" s="910"/>
      <c r="AO143" s="910"/>
      <c r="AP143" s="647"/>
      <c r="AQ143" s="2192"/>
      <c r="AR143" s="2192"/>
      <c r="AS143" s="2192"/>
      <c r="AT143" s="2192"/>
      <c r="AU143" s="2192"/>
      <c r="AV143" s="2192"/>
      <c r="AW143" s="2192"/>
      <c r="AX143" s="2192"/>
      <c r="AY143" s="2192"/>
      <c r="AZ143" s="2192"/>
      <c r="BA143" s="2192"/>
      <c r="BB143" s="2192"/>
      <c r="BC143" s="2192"/>
      <c r="BD143" s="2192"/>
      <c r="BE143" s="2192"/>
      <c r="BF143" s="2192"/>
      <c r="BG143" s="2192"/>
      <c r="BH143" s="2192"/>
      <c r="BI143" s="2192"/>
      <c r="BJ143" s="2192"/>
      <c r="BK143" s="2192"/>
      <c r="BL143" s="910"/>
      <c r="BM143" s="647"/>
      <c r="BN143" s="913"/>
      <c r="BO143" s="102"/>
      <c r="BP143" s="2185"/>
      <c r="BQ143" s="2185"/>
      <c r="BR143" s="2185"/>
      <c r="BS143" s="2185"/>
      <c r="BT143" s="2200"/>
      <c r="BU143" s="2185"/>
      <c r="BV143" s="2185"/>
      <c r="BW143" s="2201"/>
      <c r="BX143" s="2185"/>
      <c r="BY143" s="2185"/>
      <c r="BZ143" s="2185"/>
      <c r="CA143" s="2185"/>
      <c r="CB143" s="913"/>
      <c r="CC143" s="102"/>
      <c r="CD143" s="913"/>
      <c r="CE143" s="102"/>
      <c r="CF143" s="910"/>
      <c r="CG143" s="910"/>
      <c r="CH143" s="910"/>
      <c r="CI143" s="910"/>
      <c r="CJ143" s="910"/>
      <c r="CK143" s="910"/>
      <c r="CL143" s="910"/>
      <c r="CM143" s="910"/>
      <c r="CN143" s="910"/>
      <c r="CO143" s="2207"/>
      <c r="CP143" s="2207"/>
      <c r="CQ143" s="2207"/>
      <c r="CR143" s="2207"/>
      <c r="CS143" s="2207"/>
      <c r="CT143" s="2207"/>
      <c r="CU143" s="2207"/>
      <c r="CV143" s="2207"/>
      <c r="CW143" s="2207"/>
      <c r="CX143" s="2207"/>
      <c r="CY143" s="2207"/>
      <c r="CZ143" s="2207"/>
      <c r="DA143" s="2207"/>
      <c r="DB143" s="2207"/>
      <c r="DC143" s="2207"/>
      <c r="DD143" s="2207"/>
      <c r="DE143" s="2207"/>
      <c r="DF143" s="2207"/>
      <c r="DG143" s="656"/>
      <c r="DH143" s="974"/>
      <c r="DI143" s="966"/>
      <c r="DJ143" s="966"/>
      <c r="DK143" s="967"/>
      <c r="DL143" s="118"/>
      <c r="DM143" s="910"/>
      <c r="DN143" s="910"/>
      <c r="DO143" s="910"/>
      <c r="DP143" s="910"/>
      <c r="DQ143" s="910"/>
      <c r="DR143" s="910"/>
      <c r="DS143" s="910"/>
      <c r="DT143" s="910"/>
      <c r="DU143" s="910"/>
      <c r="DV143" s="910"/>
      <c r="DW143" s="910"/>
      <c r="DX143" s="910"/>
      <c r="DY143" s="910"/>
      <c r="DZ143" s="910"/>
      <c r="EA143" s="910"/>
      <c r="EB143" s="910"/>
      <c r="EC143" s="910"/>
      <c r="ED143" s="910"/>
      <c r="EE143" s="910"/>
      <c r="EF143" s="910"/>
      <c r="EG143" s="910"/>
      <c r="EH143" s="910"/>
      <c r="EI143" s="910"/>
      <c r="EJ143" s="910"/>
      <c r="EK143" s="910"/>
      <c r="EL143" s="910"/>
      <c r="EM143" s="910"/>
      <c r="EN143" s="910"/>
      <c r="EO143" s="910"/>
      <c r="EP143" s="910"/>
      <c r="EQ143" s="910"/>
      <c r="ER143" s="910"/>
      <c r="ES143" s="910"/>
      <c r="ET143" s="910"/>
      <c r="EU143" s="910"/>
      <c r="EV143" s="910"/>
      <c r="EW143" s="910"/>
      <c r="EX143" s="910"/>
      <c r="EY143" s="910"/>
      <c r="EZ143" s="910"/>
      <c r="FA143" s="910"/>
      <c r="FB143" s="910"/>
      <c r="FC143" s="910"/>
      <c r="FD143" s="910"/>
      <c r="FE143" s="910"/>
      <c r="FF143" s="910"/>
      <c r="FG143" s="910"/>
      <c r="FH143" s="910"/>
      <c r="FI143" s="910"/>
      <c r="FJ143" s="910"/>
      <c r="FK143" s="910"/>
      <c r="FL143" s="1020" t="str">
        <f>IF(AND(AQ141&lt;&gt;"",BX141&lt;&gt;""),IF(BX138&lt;&gt;"",AQ133&amp;" "&amp;LOWER(J135)&amp;" "&amp;IF($AT141&lt;0,$AT141&amp;"/"&amp;$AT141&amp;"/"&amp;$AT141,"+"&amp;$AT141&amp;"/+"&amp;$AT141&amp;"/+"&amp;$AT141)&amp;" ("&amp;$BK141&amp;IF(Weapons!AI$82&lt;&gt;"20","/"&amp;Weapons!AI$82,"")&amp;IF(Weapons!AI$83&lt;&gt;2,"/×"&amp;Weapons!AI$83,"")&amp;") with Triple Attack and "&amp;AQ141,""),"")</f>
        <v/>
      </c>
      <c r="FM143" s="1019" t="str">
        <f t="shared" si="3"/>
        <v/>
      </c>
    </row>
    <row r="144" spans="1:169" ht="9" customHeight="1" thickTop="1" thickBot="1">
      <c r="A144" s="910"/>
      <c r="B144" s="910"/>
      <c r="C144" s="112"/>
      <c r="D144" s="2183"/>
      <c r="E144" s="2184"/>
      <c r="F144" s="2184"/>
      <c r="G144" s="93"/>
      <c r="H144" s="2182" t="s">
        <v>4051</v>
      </c>
      <c r="I144" s="2208"/>
      <c r="J144" s="2208"/>
      <c r="K144" s="2208"/>
      <c r="L144" s="295"/>
      <c r="M144" s="295"/>
      <c r="N144" s="295"/>
      <c r="O144" s="295"/>
      <c r="P144" s="295"/>
      <c r="Q144" s="295"/>
      <c r="R144" s="295"/>
      <c r="S144" s="295"/>
      <c r="T144" s="295"/>
      <c r="U144" s="295"/>
      <c r="V144" s="113"/>
      <c r="W144" s="910"/>
      <c r="X144" s="910"/>
      <c r="Y144" s="93"/>
      <c r="Z144" s="2182" t="s">
        <v>4089</v>
      </c>
      <c r="AA144" s="2208"/>
      <c r="AB144" s="2208"/>
      <c r="AC144" s="2208"/>
      <c r="AD144" s="295"/>
      <c r="AE144" s="295"/>
      <c r="AF144" s="295"/>
      <c r="AG144" s="295"/>
      <c r="AH144" s="295"/>
      <c r="AI144" s="295"/>
      <c r="AJ144" s="295"/>
      <c r="AK144" s="295"/>
      <c r="AL144" s="295"/>
      <c r="AM144" s="113"/>
      <c r="AN144" s="910"/>
      <c r="AO144" s="910"/>
      <c r="AP144" s="647"/>
      <c r="AQ144" s="2191"/>
      <c r="AR144" s="2191"/>
      <c r="AS144" s="2191"/>
      <c r="AT144" s="2191"/>
      <c r="AU144" s="2191"/>
      <c r="AV144" s="2191"/>
      <c r="AW144" s="2191"/>
      <c r="AX144" s="2191"/>
      <c r="AY144" s="2191"/>
      <c r="AZ144" s="2191"/>
      <c r="BA144" s="2191"/>
      <c r="BB144" s="2191"/>
      <c r="BC144" s="2191"/>
      <c r="BD144" s="2191"/>
      <c r="BE144" s="2191"/>
      <c r="BF144" s="2191"/>
      <c r="BG144" s="2191"/>
      <c r="BH144" s="2191"/>
      <c r="BI144" s="2191"/>
      <c r="BJ144" s="2191"/>
      <c r="BK144" s="2191"/>
      <c r="BL144" s="100"/>
      <c r="BM144" s="122"/>
      <c r="BN144" s="290"/>
      <c r="BO144" s="102"/>
      <c r="BP144" s="2185" t="str">
        <f>IF(AQ144&lt;&gt;"",IF(OR(INDEX(WeaponFeatsModsTable,MATCH(AQ144,WeaponFeatsModsList,0),7)=AQ133,INDEX(WeaponFeatsModsTable,MATCH(AQ144,WeaponFeatsModsList,0),7)=""),INDEX(WeaponFeatsModsTable,MATCH(AQ144,WeaponFeatsModsList,0),2)+BP135,""),"")</f>
        <v/>
      </c>
      <c r="BQ144" s="2185"/>
      <c r="BR144" s="2185"/>
      <c r="BS144" s="2185"/>
      <c r="BT144" s="2200" t="str">
        <f>IF(BP144&lt;&gt;"",IF(AND(OR(INDEX(WeaponFeatsModsTable,MATCH(AQ144,WeaponFeatsModsList,0),7)=AQ133,INDEX(WeaponFeatsModsTable,MATCH(AQ144,WeaponFeatsModsList,0),7)=""),INDEX(WeaponFeatsModsTable,MATCH(AQ144,WeaponFeatsModsList,0),8)&lt;&gt;"Yes"),IF(COUNTIF(FeatsCharacterSheet,BT138)&gt;0,BP144+BT132,""),""),"")</f>
        <v/>
      </c>
      <c r="BU144" s="2185"/>
      <c r="BV144" s="2185"/>
      <c r="BW144" s="2201"/>
      <c r="BX144" s="2185" t="str">
        <f>IF(BP144&lt;&gt;"",IF(AND(OR(INDEX(WeaponFeatsModsTable,MATCH(AQ144,WeaponFeatsModsList,0),7)=AQ133,INDEX(WeaponFeatsModsTable,MATCH(AQ144,WeaponFeatsModsList,0),7)=""),INDEX(WeaponFeatsModsTable,MATCH(AQ144,WeaponFeatsModsList,0),8)&lt;&gt;"Yes"),IF(COUNTIF(FeatsCharacterSheet,BX138)&gt;0,BP144+BX132,""),""),"")</f>
        <v/>
      </c>
      <c r="BY144" s="2185"/>
      <c r="BZ144" s="2185"/>
      <c r="CA144" s="2185"/>
      <c r="CB144" s="100"/>
      <c r="CC144" s="122"/>
      <c r="CD144" s="290"/>
      <c r="CE144" s="102"/>
      <c r="CF144" s="1883"/>
      <c r="CG144" s="1883"/>
      <c r="CH144" s="1883"/>
      <c r="CI144" s="1883"/>
      <c r="CJ144" s="1883"/>
      <c r="CK144" s="1883"/>
      <c r="CL144" s="1883"/>
      <c r="CM144" s="1883"/>
      <c r="CN144" s="1883"/>
      <c r="CO144" s="2207" t="str">
        <f>IF(AQ144&lt;&gt;"",IF(OR(INDEX(WeaponFeatsModsTable,MATCH(AQ144,WeaponFeatsModsList,0),7)=$AQ$133,INDEX(WeaponFeatsModsTable,MATCH(AQ144,WeaponFeatsModsList,0),7)=""),Weapons!AI$78+INDEX(WeaponFeatsModsTable,MATCH(AQ144,WeaponFeatsModsList,0),5)&amp;"d"&amp;Weapons!AI$79&amp;Weapons!AI$123&amp;"+"&amp;Weapons!AI$116+DH144+IF(AND(LEFT(AQ144,12)="Power Attack",$AQ$135="Two-Handed",$AQ$133="Melee"),INDEX(WeaponFeatsModsTable,MATCH(AQ144,WeaponFeatsModsList,0),4),INDEX(WeaponFeatsModsTable,MATCH(AQ144,WeaponFeatsModsList,0),3)),""),"")</f>
        <v/>
      </c>
      <c r="CP144" s="2207"/>
      <c r="CQ144" s="2207"/>
      <c r="CR144" s="2207"/>
      <c r="CS144" s="2207"/>
      <c r="CT144" s="2207"/>
      <c r="CU144" s="2207"/>
      <c r="CV144" s="2207"/>
      <c r="CW144" s="2207"/>
      <c r="CX144" s="2207"/>
      <c r="CY144" s="2207"/>
      <c r="CZ144" s="2207"/>
      <c r="DA144" s="2207"/>
      <c r="DB144" s="2207"/>
      <c r="DC144" s="2207"/>
      <c r="DD144" s="2207"/>
      <c r="DE144" s="2207"/>
      <c r="DF144" s="2207"/>
      <c r="DG144" s="656"/>
      <c r="DH144" s="974">
        <f>IF(AND(COUNTIF(Weapons!AI$56:AI$60,"Pulse Charger"),AQ133="Ranged"),INDEX(WeaponFeatsModsTable,MATCH(AQ144,WeaponFeatsModsList,0),5),0)</f>
        <v>0</v>
      </c>
      <c r="DI144" s="958"/>
      <c r="DJ144" s="958"/>
      <c r="DK144" s="112"/>
      <c r="DL144" s="118"/>
      <c r="DM144" s="910"/>
      <c r="DN144" s="910"/>
      <c r="DO144" s="910"/>
      <c r="DP144" s="910"/>
      <c r="DQ144" s="910"/>
      <c r="DR144" s="910"/>
      <c r="DS144" s="910"/>
      <c r="DT144" s="910"/>
      <c r="DU144" s="910"/>
      <c r="DV144" s="910"/>
      <c r="DW144" s="910"/>
      <c r="DX144" s="910"/>
      <c r="DY144" s="910"/>
      <c r="DZ144" s="910"/>
      <c r="EA144" s="910"/>
      <c r="EB144" s="910"/>
      <c r="EC144" s="910"/>
      <c r="ED144" s="910"/>
      <c r="EE144" s="910"/>
      <c r="EF144" s="910"/>
      <c r="EG144" s="910"/>
      <c r="EH144" s="910"/>
      <c r="EI144" s="910"/>
      <c r="EJ144" s="910"/>
      <c r="EK144" s="910"/>
      <c r="EL144" s="910"/>
      <c r="EM144" s="910"/>
      <c r="EN144" s="910"/>
      <c r="EO144" s="910"/>
      <c r="EP144" s="910"/>
      <c r="EQ144" s="910"/>
      <c r="ER144" s="910"/>
      <c r="ES144" s="910"/>
      <c r="ET144" s="910"/>
      <c r="EU144" s="910"/>
      <c r="EV144" s="910"/>
      <c r="EW144" s="910"/>
      <c r="EX144" s="910"/>
      <c r="EY144" s="910"/>
      <c r="EZ144" s="910"/>
      <c r="FA144" s="910"/>
      <c r="FB144" s="910"/>
      <c r="FC144" s="910"/>
      <c r="FD144" s="910"/>
      <c r="FE144" s="910"/>
      <c r="FF144" s="910"/>
      <c r="FG144" s="910"/>
      <c r="FH144" s="910"/>
      <c r="FI144" s="910"/>
      <c r="FJ144" s="910"/>
      <c r="FK144" s="910"/>
      <c r="FL144" s="1020" t="str">
        <f>IF(AND(AQ144&lt;&gt;"",BP144&lt;&gt;""),AQ133&amp;" "&amp;LOWER(J135)&amp;" "&amp;IF(BP144&lt;0,"","+")&amp;BP144&amp;" ("&amp;CO144&amp;IF(Weapons!AI$82&lt;&gt;"20","/"&amp;Weapons!AI$82,"")&amp;IF(Weapons!AI$83&lt;&gt;2,"/×"&amp;Weapons!AI$83,"")&amp;") with "&amp;AQ144,"")</f>
        <v/>
      </c>
      <c r="FM144" s="1019" t="str">
        <f t="shared" si="3"/>
        <v/>
      </c>
    </row>
    <row r="145" spans="1:169" ht="9" customHeight="1" thickTop="1">
      <c r="A145" s="910"/>
      <c r="B145" s="910"/>
      <c r="C145" s="112"/>
      <c r="D145" s="2183"/>
      <c r="E145" s="2184"/>
      <c r="F145" s="2184"/>
      <c r="G145" s="102"/>
      <c r="H145" s="2138"/>
      <c r="I145" s="2138"/>
      <c r="J145" s="2138"/>
      <c r="K145" s="2138"/>
      <c r="L145" s="2187" t="str">
        <f>Weapons!AI$23</f>
        <v/>
      </c>
      <c r="M145" s="2187"/>
      <c r="N145" s="2187"/>
      <c r="O145" s="2187"/>
      <c r="P145" s="2187"/>
      <c r="Q145" s="2187"/>
      <c r="R145" s="2187"/>
      <c r="S145" s="2187"/>
      <c r="T145" s="2187"/>
      <c r="U145" s="2187"/>
      <c r="V145" s="100"/>
      <c r="W145" s="910"/>
      <c r="X145" s="910"/>
      <c r="Y145" s="102"/>
      <c r="Z145" s="2138"/>
      <c r="AA145" s="2138"/>
      <c r="AB145" s="2138"/>
      <c r="AC145" s="2138"/>
      <c r="AD145" s="2187" t="str">
        <f>IF(J135="","",IF(Weapons!AL$22&lt;&gt;"",Weapons!AI156,Weapons!AI$82&amp;"/×"&amp;Weapons!AI$83))</f>
        <v/>
      </c>
      <c r="AE145" s="2187"/>
      <c r="AF145" s="2187"/>
      <c r="AG145" s="2187"/>
      <c r="AH145" s="2187"/>
      <c r="AI145" s="2187"/>
      <c r="AJ145" s="2187"/>
      <c r="AK145" s="2187"/>
      <c r="AL145" s="2187"/>
      <c r="AM145" s="100"/>
      <c r="AN145" s="910"/>
      <c r="AO145" s="910"/>
      <c r="AP145" s="647"/>
      <c r="AQ145" s="2191"/>
      <c r="AR145" s="2191"/>
      <c r="AS145" s="2191"/>
      <c r="AT145" s="2191"/>
      <c r="AU145" s="2191"/>
      <c r="AV145" s="2191"/>
      <c r="AW145" s="2191"/>
      <c r="AX145" s="2191"/>
      <c r="AY145" s="2191"/>
      <c r="AZ145" s="2191"/>
      <c r="BA145" s="2191"/>
      <c r="BB145" s="2191"/>
      <c r="BC145" s="2191"/>
      <c r="BD145" s="2191"/>
      <c r="BE145" s="2191"/>
      <c r="BF145" s="2191"/>
      <c r="BG145" s="2191"/>
      <c r="BH145" s="2191"/>
      <c r="BI145" s="2191"/>
      <c r="BJ145" s="2191"/>
      <c r="BK145" s="2191"/>
      <c r="BL145" s="100"/>
      <c r="BM145" s="111"/>
      <c r="BN145" s="111"/>
      <c r="BO145" s="647"/>
      <c r="BP145" s="2185"/>
      <c r="BQ145" s="2185"/>
      <c r="BR145" s="2185"/>
      <c r="BS145" s="2185"/>
      <c r="BT145" s="2200"/>
      <c r="BU145" s="2185"/>
      <c r="BV145" s="2185"/>
      <c r="BW145" s="2201"/>
      <c r="BX145" s="2185"/>
      <c r="BY145" s="2185"/>
      <c r="BZ145" s="2185"/>
      <c r="CA145" s="2185"/>
      <c r="CB145" s="100"/>
      <c r="CC145" s="111"/>
      <c r="CD145" s="111"/>
      <c r="CE145" s="102"/>
      <c r="CF145" s="1883"/>
      <c r="CG145" s="1883"/>
      <c r="CH145" s="1883"/>
      <c r="CI145" s="1883"/>
      <c r="CJ145" s="1883"/>
      <c r="CK145" s="1883"/>
      <c r="CL145" s="1883"/>
      <c r="CM145" s="1883"/>
      <c r="CN145" s="1883"/>
      <c r="CO145" s="2207"/>
      <c r="CP145" s="2207"/>
      <c r="CQ145" s="2207"/>
      <c r="CR145" s="2207"/>
      <c r="CS145" s="2207"/>
      <c r="CT145" s="2207"/>
      <c r="CU145" s="2207"/>
      <c r="CV145" s="2207"/>
      <c r="CW145" s="2207"/>
      <c r="CX145" s="2207"/>
      <c r="CY145" s="2207"/>
      <c r="CZ145" s="2207"/>
      <c r="DA145" s="2207"/>
      <c r="DB145" s="2207"/>
      <c r="DC145" s="2207"/>
      <c r="DD145" s="2207"/>
      <c r="DE145" s="2207"/>
      <c r="DF145" s="2207"/>
      <c r="DG145" s="656"/>
      <c r="DI145" s="958"/>
      <c r="DJ145" s="958"/>
      <c r="DK145" s="112"/>
      <c r="DL145" s="118"/>
      <c r="DM145" s="910"/>
      <c r="DN145" s="910"/>
      <c r="DO145" s="910"/>
      <c r="DP145" s="910"/>
      <c r="DQ145" s="910"/>
      <c r="DR145" s="910"/>
      <c r="DS145" s="910"/>
      <c r="DT145" s="910"/>
      <c r="DU145" s="910"/>
      <c r="DV145" s="910"/>
      <c r="DW145" s="910"/>
      <c r="DX145" s="910"/>
      <c r="DY145" s="910"/>
      <c r="DZ145" s="910"/>
      <c r="EA145" s="910"/>
      <c r="EB145" s="910"/>
      <c r="EC145" s="910"/>
      <c r="ED145" s="910"/>
      <c r="EE145" s="910"/>
      <c r="EF145" s="910"/>
      <c r="EG145" s="910"/>
      <c r="EH145" s="910"/>
      <c r="EI145" s="910"/>
      <c r="EJ145" s="910"/>
      <c r="EK145" s="910"/>
      <c r="EL145" s="910"/>
      <c r="EM145" s="910"/>
      <c r="EN145" s="910"/>
      <c r="EO145" s="910"/>
      <c r="EP145" s="910"/>
      <c r="EQ145" s="910"/>
      <c r="ER145" s="910"/>
      <c r="ES145" s="910"/>
      <c r="ET145" s="910"/>
      <c r="EU145" s="910"/>
      <c r="EV145" s="910"/>
      <c r="EW145" s="910"/>
      <c r="EX145" s="910"/>
      <c r="EY145" s="910"/>
      <c r="EZ145" s="910"/>
      <c r="FA145" s="910"/>
      <c r="FB145" s="910"/>
      <c r="FC145" s="910"/>
      <c r="FD145" s="910"/>
      <c r="FE145" s="910"/>
      <c r="FF145" s="910"/>
      <c r="FG145" s="910"/>
      <c r="FH145" s="910"/>
      <c r="FI145" s="910"/>
      <c r="FJ145" s="910"/>
      <c r="FK145" s="910"/>
      <c r="FL145" s="1020" t="str">
        <f>IF(AND(AQ144&lt;&gt;"",BT144&lt;&gt;""),IF(BT138&lt;&gt;"",AQ133&amp;" "&amp;LOWER(J135)&amp;" "&amp;IF($AP144&lt;0,BT144&amp;"/"&amp;BT144,"+"&amp;BT144&amp;"/+"&amp;BT144)&amp;" ("&amp;$BK144&amp;IF(Weapons!AI$82&lt;&gt;"20","/"&amp;Weapons!AI$82,"")&amp;IF(Weapons!AI$83&lt;&gt;2,"/×"&amp;Weapons!AI$83,"")&amp;") with Double Attack and "&amp;AQ144,""),"")</f>
        <v/>
      </c>
      <c r="FM145" s="1019" t="str">
        <f t="shared" si="3"/>
        <v/>
      </c>
    </row>
    <row r="146" spans="1:169" ht="9" customHeight="1">
      <c r="A146" s="910"/>
      <c r="B146" s="910"/>
      <c r="C146" s="112"/>
      <c r="D146" s="2183"/>
      <c r="E146" s="2184"/>
      <c r="F146" s="2184"/>
      <c r="G146" s="102"/>
      <c r="H146" s="911"/>
      <c r="I146" s="911"/>
      <c r="J146" s="911"/>
      <c r="K146" s="911"/>
      <c r="L146" s="2187"/>
      <c r="M146" s="2187"/>
      <c r="N146" s="2187"/>
      <c r="O146" s="2187"/>
      <c r="P146" s="2187"/>
      <c r="Q146" s="2187"/>
      <c r="R146" s="2187"/>
      <c r="S146" s="2187"/>
      <c r="T146" s="2187"/>
      <c r="U146" s="2187"/>
      <c r="V146" s="100"/>
      <c r="W146" s="910"/>
      <c r="X146" s="910"/>
      <c r="Y146" s="102"/>
      <c r="Z146" s="911"/>
      <c r="AA146" s="911"/>
      <c r="AB146" s="911"/>
      <c r="AC146" s="911"/>
      <c r="AD146" s="2187"/>
      <c r="AE146" s="2187"/>
      <c r="AF146" s="2187"/>
      <c r="AG146" s="2187"/>
      <c r="AH146" s="2187"/>
      <c r="AI146" s="2187"/>
      <c r="AJ146" s="2187"/>
      <c r="AK146" s="2187"/>
      <c r="AL146" s="2187"/>
      <c r="AM146" s="100"/>
      <c r="AN146" s="910"/>
      <c r="AO146" s="910"/>
      <c r="AP146" s="647"/>
      <c r="AQ146" s="2192"/>
      <c r="AR146" s="2192"/>
      <c r="AS146" s="2192"/>
      <c r="AT146" s="2192"/>
      <c r="AU146" s="2192"/>
      <c r="AV146" s="2192"/>
      <c r="AW146" s="2192"/>
      <c r="AX146" s="2192"/>
      <c r="AY146" s="2192"/>
      <c r="AZ146" s="2192"/>
      <c r="BA146" s="2192"/>
      <c r="BB146" s="2192"/>
      <c r="BC146" s="2192"/>
      <c r="BD146" s="2192"/>
      <c r="BE146" s="2192"/>
      <c r="BF146" s="2192"/>
      <c r="BG146" s="2192"/>
      <c r="BH146" s="2192"/>
      <c r="BI146" s="2192"/>
      <c r="BJ146" s="2192"/>
      <c r="BK146" s="2192"/>
      <c r="BL146" s="910"/>
      <c r="BM146" s="647"/>
      <c r="BN146" s="913"/>
      <c r="BO146" s="102"/>
      <c r="BP146" s="2185"/>
      <c r="BQ146" s="2185"/>
      <c r="BR146" s="2185"/>
      <c r="BS146" s="2185"/>
      <c r="BT146" s="2200"/>
      <c r="BU146" s="2185"/>
      <c r="BV146" s="2185"/>
      <c r="BW146" s="2201"/>
      <c r="BX146" s="2185"/>
      <c r="BY146" s="2185"/>
      <c r="BZ146" s="2185"/>
      <c r="CA146" s="2185"/>
      <c r="CB146" s="913"/>
      <c r="CC146" s="102"/>
      <c r="CD146" s="913"/>
      <c r="CE146" s="102"/>
      <c r="CF146" s="910"/>
      <c r="CG146" s="910"/>
      <c r="CH146" s="910"/>
      <c r="CI146" s="910"/>
      <c r="CJ146" s="910"/>
      <c r="CK146" s="910"/>
      <c r="CL146" s="910"/>
      <c r="CM146" s="910"/>
      <c r="CN146" s="910"/>
      <c r="CO146" s="2207"/>
      <c r="CP146" s="2207"/>
      <c r="CQ146" s="2207"/>
      <c r="CR146" s="2207"/>
      <c r="CS146" s="2207"/>
      <c r="CT146" s="2207"/>
      <c r="CU146" s="2207"/>
      <c r="CV146" s="2207"/>
      <c r="CW146" s="2207"/>
      <c r="CX146" s="2207"/>
      <c r="CY146" s="2207"/>
      <c r="CZ146" s="2207"/>
      <c r="DA146" s="2207"/>
      <c r="DB146" s="2207"/>
      <c r="DC146" s="2207"/>
      <c r="DD146" s="2207"/>
      <c r="DE146" s="2207"/>
      <c r="DF146" s="2207"/>
      <c r="DG146" s="656"/>
      <c r="DI146" s="958"/>
      <c r="DJ146" s="958"/>
      <c r="DK146" s="112"/>
      <c r="DL146" s="118"/>
      <c r="DM146" s="910"/>
      <c r="DN146" s="910"/>
      <c r="DO146" s="910"/>
      <c r="DP146" s="910"/>
      <c r="DQ146" s="910"/>
      <c r="DR146" s="910"/>
      <c r="DS146" s="910"/>
      <c r="DT146" s="910"/>
      <c r="DU146" s="910"/>
      <c r="DV146" s="910"/>
      <c r="DW146" s="910"/>
      <c r="DX146" s="910"/>
      <c r="DY146" s="910"/>
      <c r="DZ146" s="910"/>
      <c r="EA146" s="910"/>
      <c r="EB146" s="910"/>
      <c r="EC146" s="910"/>
      <c r="ED146" s="910"/>
      <c r="EE146" s="910"/>
      <c r="EF146" s="910"/>
      <c r="EG146" s="910"/>
      <c r="EH146" s="910"/>
      <c r="EI146" s="910"/>
      <c r="EJ146" s="910"/>
      <c r="EK146" s="910"/>
      <c r="EL146" s="910"/>
      <c r="EM146" s="910"/>
      <c r="EN146" s="910"/>
      <c r="EO146" s="910"/>
      <c r="EP146" s="910"/>
      <c r="EQ146" s="910"/>
      <c r="ER146" s="910"/>
      <c r="ES146" s="910"/>
      <c r="ET146" s="910"/>
      <c r="EU146" s="910"/>
      <c r="EV146" s="910"/>
      <c r="EW146" s="910"/>
      <c r="EX146" s="910"/>
      <c r="EY146" s="910"/>
      <c r="EZ146" s="910"/>
      <c r="FA146" s="910"/>
      <c r="FB146" s="910"/>
      <c r="FC146" s="910"/>
      <c r="FD146" s="910"/>
      <c r="FE146" s="910"/>
      <c r="FF146" s="910"/>
      <c r="FG146" s="910"/>
      <c r="FH146" s="910"/>
      <c r="FI146" s="910"/>
      <c r="FJ146" s="910"/>
      <c r="FK146" s="910"/>
      <c r="FL146" s="1020" t="str">
        <f>IF(AND(AQ144&lt;&gt;"",BX144&lt;&gt;""),IF(BX138&lt;&gt;"",AQ133&amp;" "&amp;LOWER(J135)&amp;" "&amp;IF($AT144&lt;0,$AT144&amp;"/"&amp;$AT144&amp;"/"&amp;$AT144,"+"&amp;$AT144&amp;"/+"&amp;$AT144&amp;"/+"&amp;$AT144)&amp;" ("&amp;$BK144&amp;IF(Weapons!AI$82&lt;&gt;"20","/"&amp;Weapons!AI$82,"")&amp;IF(Weapons!AI$83&lt;&gt;2,"/×"&amp;Weapons!AI$83,"")&amp;") with Triple Attack and "&amp;AQ144,""),"")</f>
        <v/>
      </c>
      <c r="FM146" s="1019" t="str">
        <f t="shared" si="3"/>
        <v/>
      </c>
    </row>
    <row r="147" spans="1:169" ht="9" customHeight="1" thickBot="1">
      <c r="A147" s="910"/>
      <c r="B147" s="910"/>
      <c r="C147" s="112"/>
      <c r="D147" s="2183"/>
      <c r="E147" s="2184"/>
      <c r="F147" s="2184"/>
      <c r="G147" s="91"/>
      <c r="H147" s="912"/>
      <c r="I147" s="912"/>
      <c r="J147" s="912"/>
      <c r="K147" s="912"/>
      <c r="L147" s="2188"/>
      <c r="M147" s="2188"/>
      <c r="N147" s="2188"/>
      <c r="O147" s="2188"/>
      <c r="P147" s="2188"/>
      <c r="Q147" s="2188"/>
      <c r="R147" s="2188"/>
      <c r="S147" s="2188"/>
      <c r="T147" s="2188"/>
      <c r="U147" s="2188"/>
      <c r="V147" s="93"/>
      <c r="W147" s="910"/>
      <c r="X147" s="910"/>
      <c r="Y147" s="91"/>
      <c r="Z147" s="912"/>
      <c r="AA147" s="912"/>
      <c r="AB147" s="912"/>
      <c r="AC147" s="912"/>
      <c r="AD147" s="2188"/>
      <c r="AE147" s="2188"/>
      <c r="AF147" s="2188"/>
      <c r="AG147" s="2188"/>
      <c r="AH147" s="2188"/>
      <c r="AI147" s="2188"/>
      <c r="AJ147" s="2188"/>
      <c r="AK147" s="2188"/>
      <c r="AL147" s="2188"/>
      <c r="AM147" s="93"/>
      <c r="AN147" s="910"/>
      <c r="AO147" s="910"/>
      <c r="AP147" s="647"/>
      <c r="AQ147" s="2191"/>
      <c r="AR147" s="2191"/>
      <c r="AS147" s="2191"/>
      <c r="AT147" s="2191"/>
      <c r="AU147" s="2191"/>
      <c r="AV147" s="2191"/>
      <c r="AW147" s="2191"/>
      <c r="AX147" s="2191"/>
      <c r="AY147" s="2191"/>
      <c r="AZ147" s="2191"/>
      <c r="BA147" s="2191"/>
      <c r="BB147" s="2191"/>
      <c r="BC147" s="2191"/>
      <c r="BD147" s="2191"/>
      <c r="BE147" s="2191"/>
      <c r="BF147" s="2191"/>
      <c r="BG147" s="2191"/>
      <c r="BH147" s="2191"/>
      <c r="BI147" s="2191"/>
      <c r="BJ147" s="2191"/>
      <c r="BK147" s="2191"/>
      <c r="BL147" s="100"/>
      <c r="BM147" s="122"/>
      <c r="BN147" s="290"/>
      <c r="BO147" s="102"/>
      <c r="BP147" s="2185" t="str">
        <f>IF(AQ147&lt;&gt;"",IF(OR(INDEX(WeaponFeatsModsTable,MATCH(AQ147,WeaponFeatsModsList,0),7)=AQ133,INDEX(WeaponFeatsModsTable,MATCH(AQ147,WeaponFeatsModsList,0),7)=""),INDEX(WeaponFeatsModsTable,MATCH(AQ147,WeaponFeatsModsList,0),2)+BP135,""),"")</f>
        <v/>
      </c>
      <c r="BQ147" s="2185"/>
      <c r="BR147" s="2185"/>
      <c r="BS147" s="2185"/>
      <c r="BT147" s="2200" t="str">
        <f>IF(BP147&lt;&gt;"",IF(AND(OR(INDEX(WeaponFeatsModsTable,MATCH(AQ147,WeaponFeatsModsList,0),7)=AQ133,INDEX(WeaponFeatsModsTable,MATCH(AQ147,WeaponFeatsModsList,0),7)=""),INDEX(WeaponFeatsModsTable,MATCH(AQ147,WeaponFeatsModsList,0),8)&lt;&gt;"Yes"),IF(COUNTIF(FeatsCharacterSheet,BT138)&gt;0,BP147+BT132,""),""),"")</f>
        <v/>
      </c>
      <c r="BU147" s="2185"/>
      <c r="BV147" s="2185"/>
      <c r="BW147" s="2201"/>
      <c r="BX147" s="2185" t="str">
        <f>IF(BP147&lt;&gt;"",IF(AND(OR(INDEX(WeaponFeatsModsTable,MATCH(AQ147,WeaponFeatsModsList,0),7)=AQ133,INDEX(WeaponFeatsModsTable,MATCH(AQ147,WeaponFeatsModsList,0),7)=""),INDEX(WeaponFeatsModsTable,MATCH(AQ147,WeaponFeatsModsList,0),8)&lt;&gt;"Yes"),IF(COUNTIF(FeatsCharacterSheet,BX138)&gt;0,BP147+BX132,""),""),"")</f>
        <v/>
      </c>
      <c r="BY147" s="2185"/>
      <c r="BZ147" s="2185"/>
      <c r="CA147" s="2185"/>
      <c r="CB147" s="100"/>
      <c r="CC147" s="122"/>
      <c r="CD147" s="290"/>
      <c r="CE147" s="102"/>
      <c r="CF147" s="1883"/>
      <c r="CG147" s="1883"/>
      <c r="CH147" s="1883"/>
      <c r="CI147" s="1883"/>
      <c r="CJ147" s="1883"/>
      <c r="CK147" s="1883"/>
      <c r="CL147" s="1883"/>
      <c r="CM147" s="1883"/>
      <c r="CN147" s="1883"/>
      <c r="CO147" s="2207" t="str">
        <f>IF(AQ147&lt;&gt;"",IF(OR(INDEX(WeaponFeatsModsTable,MATCH(AQ147,WeaponFeatsModsList,0),7)=$AQ$133,INDEX(WeaponFeatsModsTable,MATCH(AQ147,WeaponFeatsModsList,0),7)=""),Weapons!AI$78+INDEX(WeaponFeatsModsTable,MATCH(AQ147,WeaponFeatsModsList,0),5)&amp;"d"&amp;Weapons!AI$79&amp;Weapons!AI$123&amp;"+"&amp;Weapons!AI$116+DH147+IF(AND(LEFT(AQ147,12)="Power Attack",$AQ$135="Two-Handed",$AQ$133="Melee"),INDEX(WeaponFeatsModsTable,MATCH(AQ147,WeaponFeatsModsList,0),4),INDEX(WeaponFeatsModsTable,MATCH(AQ147,WeaponFeatsModsList,0),3)),""),"")</f>
        <v/>
      </c>
      <c r="CP147" s="2207"/>
      <c r="CQ147" s="2207"/>
      <c r="CR147" s="2207"/>
      <c r="CS147" s="2207"/>
      <c r="CT147" s="2207"/>
      <c r="CU147" s="2207"/>
      <c r="CV147" s="2207"/>
      <c r="CW147" s="2207"/>
      <c r="CX147" s="2207"/>
      <c r="CY147" s="2207"/>
      <c r="CZ147" s="2207"/>
      <c r="DA147" s="2207"/>
      <c r="DB147" s="2207"/>
      <c r="DC147" s="2207"/>
      <c r="DD147" s="2207"/>
      <c r="DE147" s="2207"/>
      <c r="DF147" s="2207"/>
      <c r="DG147" s="656"/>
      <c r="DH147" s="974">
        <f>IF(AND(COUNTIF(Weapons!AI$56:AI$60,"Pulse Charger"),AQ133="Ranged"),INDEX(WeaponFeatsModsTable,MATCH(AQ147,WeaponFeatsModsList,0),5),0)</f>
        <v>0</v>
      </c>
      <c r="DI147" s="958"/>
      <c r="DJ147" s="958"/>
      <c r="DK147" s="112"/>
      <c r="DL147" s="118"/>
      <c r="DM147" s="910"/>
      <c r="DN147" s="910"/>
      <c r="DO147" s="910"/>
      <c r="DP147" s="910"/>
      <c r="DQ147" s="910"/>
      <c r="DR147" s="910"/>
      <c r="DS147" s="910"/>
      <c r="DT147" s="910"/>
      <c r="DU147" s="910"/>
      <c r="DV147" s="910"/>
      <c r="DW147" s="910"/>
      <c r="DX147" s="910"/>
      <c r="DY147" s="910"/>
      <c r="DZ147" s="910"/>
      <c r="EA147" s="910"/>
      <c r="EB147" s="910"/>
      <c r="EC147" s="910"/>
      <c r="ED147" s="910"/>
      <c r="EE147" s="910"/>
      <c r="EF147" s="910"/>
      <c r="EG147" s="910"/>
      <c r="EH147" s="910"/>
      <c r="EI147" s="910"/>
      <c r="EJ147" s="910"/>
      <c r="EK147" s="910"/>
      <c r="EL147" s="910"/>
      <c r="EM147" s="910"/>
      <c r="EN147" s="910"/>
      <c r="EO147" s="910"/>
      <c r="EP147" s="910"/>
      <c r="EQ147" s="910"/>
      <c r="ER147" s="910"/>
      <c r="ES147" s="910"/>
      <c r="ET147" s="910"/>
      <c r="EU147" s="910"/>
      <c r="EV147" s="910"/>
      <c r="EW147" s="910"/>
      <c r="EX147" s="910"/>
      <c r="EY147" s="910"/>
      <c r="EZ147" s="910"/>
      <c r="FA147" s="910"/>
      <c r="FB147" s="910"/>
      <c r="FC147" s="910"/>
      <c r="FD147" s="910"/>
      <c r="FE147" s="910"/>
      <c r="FF147" s="910"/>
      <c r="FG147" s="910"/>
      <c r="FH147" s="910"/>
      <c r="FI147" s="910"/>
      <c r="FJ147" s="910"/>
      <c r="FK147" s="910"/>
      <c r="FL147" s="1020" t="str">
        <f>IF(AND(AQ147&lt;&gt;"",BP147&lt;&gt;""),AQ133&amp;" "&amp;LOWER(J135)&amp;" "&amp;IF(BP147&lt;0,"","+")&amp;BP147&amp;" ("&amp;CO147&amp;IF(Weapons!AI$82&lt;&gt;"20","/"&amp;Weapons!AI$82,"")&amp;IF(Weapons!AI$83&lt;&gt;2,"/×"&amp;Weapons!AI$83,"")&amp;") with "&amp;AQ147,"")</f>
        <v/>
      </c>
      <c r="FM147" s="1019" t="str">
        <f t="shared" si="3"/>
        <v/>
      </c>
    </row>
    <row r="148" spans="1:169" ht="9" customHeight="1" thickTop="1" thickBot="1">
      <c r="A148" s="910"/>
      <c r="B148" s="910"/>
      <c r="C148" s="112"/>
      <c r="D148" s="2183"/>
      <c r="E148" s="2184"/>
      <c r="F148" s="2184"/>
      <c r="G148" s="118"/>
      <c r="H148" s="118"/>
      <c r="I148" s="105"/>
      <c r="J148" s="913"/>
      <c r="K148" s="913"/>
      <c r="L148" s="913"/>
      <c r="M148" s="913"/>
      <c r="N148" s="653"/>
      <c r="O148" s="653"/>
      <c r="P148" s="653"/>
      <c r="Q148" s="653"/>
      <c r="R148" s="653"/>
      <c r="S148" s="131"/>
      <c r="T148" s="118"/>
      <c r="U148" s="118"/>
      <c r="V148" s="105"/>
      <c r="W148" s="913"/>
      <c r="X148" s="118"/>
      <c r="Y148" s="118"/>
      <c r="Z148" s="118"/>
      <c r="AA148" s="118"/>
      <c r="AB148" s="118"/>
      <c r="AC148" s="118"/>
      <c r="AD148" s="118"/>
      <c r="AE148" s="118"/>
      <c r="AF148" s="118"/>
      <c r="AG148" s="118"/>
      <c r="AH148" s="118"/>
      <c r="AI148" s="118"/>
      <c r="AJ148" s="118"/>
      <c r="AK148" s="118"/>
      <c r="AL148" s="118"/>
      <c r="AM148" s="118"/>
      <c r="AN148" s="118"/>
      <c r="AO148" s="910"/>
      <c r="AP148" s="647"/>
      <c r="AQ148" s="2191"/>
      <c r="AR148" s="2191"/>
      <c r="AS148" s="2191"/>
      <c r="AT148" s="2191"/>
      <c r="AU148" s="2191"/>
      <c r="AV148" s="2191"/>
      <c r="AW148" s="2191"/>
      <c r="AX148" s="2191"/>
      <c r="AY148" s="2191"/>
      <c r="AZ148" s="2191"/>
      <c r="BA148" s="2191"/>
      <c r="BB148" s="2191"/>
      <c r="BC148" s="2191"/>
      <c r="BD148" s="2191"/>
      <c r="BE148" s="2191"/>
      <c r="BF148" s="2191"/>
      <c r="BG148" s="2191"/>
      <c r="BH148" s="2191"/>
      <c r="BI148" s="2191"/>
      <c r="BJ148" s="2191"/>
      <c r="BK148" s="2191"/>
      <c r="BL148" s="100"/>
      <c r="BM148" s="111"/>
      <c r="BN148" s="111"/>
      <c r="BO148" s="647"/>
      <c r="BP148" s="2185"/>
      <c r="BQ148" s="2185"/>
      <c r="BR148" s="2185"/>
      <c r="BS148" s="2185"/>
      <c r="BT148" s="2200"/>
      <c r="BU148" s="2185"/>
      <c r="BV148" s="2185"/>
      <c r="BW148" s="2201"/>
      <c r="BX148" s="2185"/>
      <c r="BY148" s="2185"/>
      <c r="BZ148" s="2185"/>
      <c r="CA148" s="2185"/>
      <c r="CB148" s="100"/>
      <c r="CC148" s="111"/>
      <c r="CD148" s="111"/>
      <c r="CE148" s="102"/>
      <c r="CF148" s="1883"/>
      <c r="CG148" s="1883"/>
      <c r="CH148" s="1883"/>
      <c r="CI148" s="1883"/>
      <c r="CJ148" s="1883"/>
      <c r="CK148" s="1883"/>
      <c r="CL148" s="1883"/>
      <c r="CM148" s="1883"/>
      <c r="CN148" s="1883"/>
      <c r="CO148" s="2207"/>
      <c r="CP148" s="2207"/>
      <c r="CQ148" s="2207"/>
      <c r="CR148" s="2207"/>
      <c r="CS148" s="2207"/>
      <c r="CT148" s="2207"/>
      <c r="CU148" s="2207"/>
      <c r="CV148" s="2207"/>
      <c r="CW148" s="2207"/>
      <c r="CX148" s="2207"/>
      <c r="CY148" s="2207"/>
      <c r="CZ148" s="2207"/>
      <c r="DA148" s="2207"/>
      <c r="DB148" s="2207"/>
      <c r="DC148" s="2207"/>
      <c r="DD148" s="2207"/>
      <c r="DE148" s="2207"/>
      <c r="DF148" s="2207"/>
      <c r="DG148" s="656"/>
      <c r="DI148" s="958"/>
      <c r="DJ148" s="958"/>
      <c r="DK148" s="112"/>
      <c r="DL148" s="118"/>
      <c r="DM148" s="910"/>
      <c r="DN148" s="910"/>
      <c r="DO148" s="910"/>
      <c r="DP148" s="910"/>
      <c r="DQ148" s="910"/>
      <c r="DR148" s="910"/>
      <c r="DS148" s="910"/>
      <c r="DT148" s="910"/>
      <c r="DU148" s="910"/>
      <c r="DV148" s="910"/>
      <c r="DW148" s="910"/>
      <c r="DX148" s="910"/>
      <c r="DY148" s="910"/>
      <c r="DZ148" s="910"/>
      <c r="EA148" s="910"/>
      <c r="EB148" s="910"/>
      <c r="EC148" s="910"/>
      <c r="ED148" s="910"/>
      <c r="EE148" s="910"/>
      <c r="EF148" s="910"/>
      <c r="EG148" s="910"/>
      <c r="EH148" s="910"/>
      <c r="EI148" s="910"/>
      <c r="EJ148" s="910"/>
      <c r="EK148" s="910"/>
      <c r="EL148" s="910"/>
      <c r="EM148" s="910"/>
      <c r="EN148" s="910"/>
      <c r="EO148" s="910"/>
      <c r="EP148" s="910"/>
      <c r="EQ148" s="910"/>
      <c r="ER148" s="910"/>
      <c r="ES148" s="910"/>
      <c r="ET148" s="910"/>
      <c r="EU148" s="910"/>
      <c r="EV148" s="910"/>
      <c r="EW148" s="910"/>
      <c r="EX148" s="910"/>
      <c r="EY148" s="910"/>
      <c r="EZ148" s="910"/>
      <c r="FA148" s="910"/>
      <c r="FB148" s="910"/>
      <c r="FC148" s="910"/>
      <c r="FD148" s="910"/>
      <c r="FE148" s="910"/>
      <c r="FF148" s="910"/>
      <c r="FG148" s="910"/>
      <c r="FH148" s="910"/>
      <c r="FI148" s="910"/>
      <c r="FJ148" s="910"/>
      <c r="FK148" s="910"/>
      <c r="FL148" s="1020" t="str">
        <f>IF(AND(AQ147&lt;&gt;"",BT147&lt;&gt;""),IF(BT138&lt;&gt;"",AQ133&amp;" "&amp;LOWER(J135)&amp;" "&amp;IF($AP147&lt;0,BT147&amp;"/"&amp;BT147,"+"&amp;BT147&amp;"/+"&amp;BT147)&amp;" ("&amp;$BK147&amp;IF(Weapons!AI$82&lt;&gt;"20","/"&amp;Weapons!AI$82,"")&amp;IF(Weapons!AI$83&lt;&gt;2,"/×"&amp;Weapons!AI$83,"")&amp;") with Double Attack and "&amp;AQ147,""),"")</f>
        <v/>
      </c>
      <c r="FM148" s="1019" t="str">
        <f t="shared" si="3"/>
        <v/>
      </c>
    </row>
    <row r="149" spans="1:169" ht="9" customHeight="1" thickTop="1">
      <c r="A149" s="910"/>
      <c r="B149" s="910"/>
      <c r="C149" s="112"/>
      <c r="D149" s="2183"/>
      <c r="E149" s="2184"/>
      <c r="F149" s="2184"/>
      <c r="G149" s="93"/>
      <c r="H149" s="2182" t="str">
        <f>IF(AG150&lt;&gt;"","AMMO","POWER")</f>
        <v>POWER</v>
      </c>
      <c r="I149" s="2182"/>
      <c r="J149" s="2182"/>
      <c r="K149" s="2182"/>
      <c r="L149" s="2182"/>
      <c r="M149" s="2182"/>
      <c r="N149" s="295"/>
      <c r="O149" s="295"/>
      <c r="P149" s="295"/>
      <c r="Q149" s="295"/>
      <c r="R149" s="295"/>
      <c r="S149" s="295"/>
      <c r="T149" s="295"/>
      <c r="U149" s="295"/>
      <c r="V149" s="295"/>
      <c r="W149" s="295"/>
      <c r="X149" s="295"/>
      <c r="Y149" s="295"/>
      <c r="Z149" s="295"/>
      <c r="AA149" s="295"/>
      <c r="AB149" s="295"/>
      <c r="AC149" s="295"/>
      <c r="AD149" s="295"/>
      <c r="AE149" s="295"/>
      <c r="AF149" s="295"/>
      <c r="AG149" s="295"/>
      <c r="AH149" s="295"/>
      <c r="AI149" s="295"/>
      <c r="AJ149" s="295"/>
      <c r="AK149" s="295"/>
      <c r="AL149" s="295"/>
      <c r="AM149" s="113"/>
      <c r="AN149" s="910"/>
      <c r="AO149" s="910"/>
      <c r="AP149" s="647"/>
      <c r="AQ149" s="2192"/>
      <c r="AR149" s="2192"/>
      <c r="AS149" s="2192"/>
      <c r="AT149" s="2192"/>
      <c r="AU149" s="2192"/>
      <c r="AV149" s="2192"/>
      <c r="AW149" s="2192"/>
      <c r="AX149" s="2192"/>
      <c r="AY149" s="2192"/>
      <c r="AZ149" s="2192"/>
      <c r="BA149" s="2192"/>
      <c r="BB149" s="2192"/>
      <c r="BC149" s="2192"/>
      <c r="BD149" s="2192"/>
      <c r="BE149" s="2192"/>
      <c r="BF149" s="2192"/>
      <c r="BG149" s="2192"/>
      <c r="BH149" s="2192"/>
      <c r="BI149" s="2192"/>
      <c r="BJ149" s="2192"/>
      <c r="BK149" s="2192"/>
      <c r="BL149" s="910"/>
      <c r="BM149" s="647"/>
      <c r="BN149" s="913"/>
      <c r="BO149" s="102"/>
      <c r="BP149" s="2185"/>
      <c r="BQ149" s="2185"/>
      <c r="BR149" s="2185"/>
      <c r="BS149" s="2185"/>
      <c r="BT149" s="2200"/>
      <c r="BU149" s="2185"/>
      <c r="BV149" s="2185"/>
      <c r="BW149" s="2201"/>
      <c r="BX149" s="2185"/>
      <c r="BY149" s="2185"/>
      <c r="BZ149" s="2185"/>
      <c r="CA149" s="2185"/>
      <c r="CB149" s="913"/>
      <c r="CC149" s="102"/>
      <c r="CD149" s="913"/>
      <c r="CE149" s="102"/>
      <c r="CF149" s="910"/>
      <c r="CG149" s="910"/>
      <c r="CH149" s="910"/>
      <c r="CI149" s="910"/>
      <c r="CJ149" s="910"/>
      <c r="CK149" s="910"/>
      <c r="CL149" s="910"/>
      <c r="CM149" s="910"/>
      <c r="CN149" s="910"/>
      <c r="CO149" s="2207"/>
      <c r="CP149" s="2207"/>
      <c r="CQ149" s="2207"/>
      <c r="CR149" s="2207"/>
      <c r="CS149" s="2207"/>
      <c r="CT149" s="2207"/>
      <c r="CU149" s="2207"/>
      <c r="CV149" s="2207"/>
      <c r="CW149" s="2207"/>
      <c r="CX149" s="2207"/>
      <c r="CY149" s="2207"/>
      <c r="CZ149" s="2207"/>
      <c r="DA149" s="2207"/>
      <c r="DB149" s="2207"/>
      <c r="DC149" s="2207"/>
      <c r="DD149" s="2207"/>
      <c r="DE149" s="2207"/>
      <c r="DF149" s="2207"/>
      <c r="DG149" s="656"/>
      <c r="DI149" s="958"/>
      <c r="DJ149" s="958"/>
      <c r="DK149" s="112"/>
      <c r="DL149" s="87"/>
      <c r="DM149" s="910"/>
      <c r="DN149" s="910"/>
      <c r="DO149" s="910"/>
      <c r="DP149" s="910"/>
      <c r="DQ149" s="910"/>
      <c r="DR149" s="910"/>
      <c r="DS149" s="910"/>
      <c r="DT149" s="910"/>
      <c r="DU149" s="910"/>
      <c r="DV149" s="910"/>
      <c r="DW149" s="910"/>
      <c r="DX149" s="910"/>
      <c r="DY149" s="910"/>
      <c r="DZ149" s="910"/>
      <c r="EA149" s="910"/>
      <c r="EB149" s="910"/>
      <c r="EC149" s="910"/>
      <c r="ED149" s="910"/>
      <c r="EE149" s="910"/>
      <c r="EF149" s="910"/>
      <c r="EG149" s="910"/>
      <c r="EH149" s="910"/>
      <c r="EI149" s="910"/>
      <c r="EJ149" s="910"/>
      <c r="EK149" s="910"/>
      <c r="EL149" s="910"/>
      <c r="EM149" s="910"/>
      <c r="EN149" s="910"/>
      <c r="EO149" s="910"/>
      <c r="EP149" s="910"/>
      <c r="EQ149" s="910"/>
      <c r="ER149" s="910"/>
      <c r="ES149" s="910"/>
      <c r="ET149" s="910"/>
      <c r="EU149" s="910"/>
      <c r="EV149" s="910"/>
      <c r="EW149" s="910"/>
      <c r="EX149" s="910"/>
      <c r="EY149" s="910"/>
      <c r="EZ149" s="910"/>
      <c r="FA149" s="910"/>
      <c r="FB149" s="910"/>
      <c r="FC149" s="910"/>
      <c r="FD149" s="910"/>
      <c r="FE149" s="910"/>
      <c r="FF149" s="910"/>
      <c r="FG149" s="910"/>
      <c r="FH149" s="910"/>
      <c r="FI149" s="910"/>
      <c r="FJ149" s="910"/>
      <c r="FK149" s="910"/>
      <c r="FL149" s="1020" t="str">
        <f>IF(AND(AQ147&lt;&gt;"",BX147&lt;&gt;""),IF(BX138&lt;&gt;"",AQ133&amp;" "&amp;LOWER(J135)&amp;" "&amp;IF($AT147&lt;0,$AT147&amp;"/"&amp;$AT147&amp;"/"&amp;$AT147,"+"&amp;$AT147&amp;"/+"&amp;$AT147&amp;"/+"&amp;$AT147)&amp;" ("&amp;$BK147&amp;IF(Weapons!AI$82&lt;&gt;"20","/"&amp;Weapons!AI$82,"")&amp;IF(Weapons!AI$83&lt;&gt;2,"/×"&amp;Weapons!AI$83,"")&amp;") with Triple Attack and "&amp;AQ147,""),"")</f>
        <v/>
      </c>
      <c r="FM149" s="1019" t="str">
        <f t="shared" si="3"/>
        <v/>
      </c>
    </row>
    <row r="150" spans="1:169" ht="9" customHeight="1">
      <c r="A150" s="910"/>
      <c r="B150" s="910"/>
      <c r="C150" s="112"/>
      <c r="D150" s="2183"/>
      <c r="E150" s="2184"/>
      <c r="F150" s="2184"/>
      <c r="G150" s="102"/>
      <c r="H150" s="2180"/>
      <c r="I150" s="2180"/>
      <c r="J150" s="2180"/>
      <c r="K150" s="2180"/>
      <c r="L150" s="2180"/>
      <c r="M150" s="2180"/>
      <c r="N150" s="1875" t="str">
        <f>Weapons!AI$25</f>
        <v/>
      </c>
      <c r="O150" s="1875"/>
      <c r="P150" s="1875"/>
      <c r="Q150" s="1875"/>
      <c r="R150" s="1875"/>
      <c r="S150" s="1875"/>
      <c r="T150" s="1875"/>
      <c r="U150" s="1875"/>
      <c r="V150" s="1875"/>
      <c r="W150" s="1875"/>
      <c r="X150" s="1875"/>
      <c r="Y150" s="1875"/>
      <c r="Z150" s="1875"/>
      <c r="AA150" s="1875"/>
      <c r="AB150" s="1875"/>
      <c r="AC150" s="1875"/>
      <c r="AD150" s="1875"/>
      <c r="AE150" s="1875"/>
      <c r="AF150" s="1875"/>
      <c r="AG150" s="1863" t="str">
        <f>Weapons!AI$26</f>
        <v/>
      </c>
      <c r="AH150" s="1863"/>
      <c r="AI150" s="1863"/>
      <c r="AJ150" s="1863"/>
      <c r="AK150" s="1863"/>
      <c r="AL150" s="1863"/>
      <c r="AM150" s="100"/>
      <c r="AN150" s="910"/>
      <c r="AO150" s="910"/>
      <c r="AP150" s="102"/>
      <c r="AQ150" s="2191"/>
      <c r="AR150" s="2191"/>
      <c r="AS150" s="2191"/>
      <c r="AT150" s="2191"/>
      <c r="AU150" s="2191"/>
      <c r="AV150" s="2191"/>
      <c r="AW150" s="2191"/>
      <c r="AX150" s="2191"/>
      <c r="AY150" s="2191"/>
      <c r="AZ150" s="2191"/>
      <c r="BA150" s="2191"/>
      <c r="BB150" s="2191"/>
      <c r="BC150" s="2191"/>
      <c r="BD150" s="2191"/>
      <c r="BE150" s="2191"/>
      <c r="BF150" s="2191"/>
      <c r="BG150" s="2191"/>
      <c r="BH150" s="2191"/>
      <c r="BI150" s="2191"/>
      <c r="BJ150" s="2191"/>
      <c r="BK150" s="2191"/>
      <c r="BL150" s="910"/>
      <c r="BM150" s="647"/>
      <c r="BN150" s="910"/>
      <c r="BO150" s="102"/>
      <c r="BP150" s="2185" t="str">
        <f>IF(AQ150&lt;&gt;"",IF(OR(INDEX(WeaponFeatsModsTable,MATCH(AQ150,WeaponFeatsModsList,0),7)=AQ133,INDEX(WeaponFeatsModsTable,MATCH(AQ150,WeaponFeatsModsList,0),7)=""),INDEX(WeaponFeatsModsTable,MATCH(AQ150,WeaponFeatsModsList,0),2)+BP135,""),"")</f>
        <v/>
      </c>
      <c r="BQ150" s="2185"/>
      <c r="BR150" s="2185"/>
      <c r="BS150" s="2185"/>
      <c r="BT150" s="2200" t="str">
        <f>IF(BP150&lt;&gt;"",IF(AND(OR(INDEX(WeaponFeatsModsTable,MATCH(AQ150,WeaponFeatsModsList,0),7)=AQ133,INDEX(WeaponFeatsModsTable,MATCH(AQ150,WeaponFeatsModsList,0),7)=""),INDEX(WeaponFeatsModsTable,MATCH(AQ150,WeaponFeatsModsList,0),8)&lt;&gt;"Yes"),IF(COUNTIF(FeatsCharacterSheet,BT138)&gt;0,BP150+BT132,""),""),"")</f>
        <v/>
      </c>
      <c r="BU150" s="2185"/>
      <c r="BV150" s="2185"/>
      <c r="BW150" s="2201"/>
      <c r="BX150" s="2185" t="str">
        <f>IF(BP150&lt;&gt;"",IF(AND(OR(INDEX(WeaponFeatsModsTable,MATCH(AQ150,WeaponFeatsModsList,0),7)=AQ133,INDEX(WeaponFeatsModsTable,MATCH(AQ150,WeaponFeatsModsList,0),7)=""),INDEX(WeaponFeatsModsTable,MATCH(AQ150,WeaponFeatsModsList,0),8)&lt;&gt;"Yes"),IF(COUNTIF(FeatsCharacterSheet,BX138)&gt;0,BP150+BX132,""),""),"")</f>
        <v/>
      </c>
      <c r="BY150" s="2185"/>
      <c r="BZ150" s="2185"/>
      <c r="CA150" s="2185"/>
      <c r="CB150" s="100"/>
      <c r="CC150" s="910"/>
      <c r="CD150" s="913"/>
      <c r="CE150" s="102"/>
      <c r="CF150" s="2209"/>
      <c r="CG150" s="2209"/>
      <c r="CH150" s="2209"/>
      <c r="CI150" s="2209"/>
      <c r="CJ150" s="2209"/>
      <c r="CK150" s="2209"/>
      <c r="CL150" s="2209"/>
      <c r="CM150" s="2209"/>
      <c r="CN150" s="2209"/>
      <c r="CO150" s="2207" t="str">
        <f>IF(AQ150&lt;&gt;"",IF(OR(INDEX(WeaponFeatsModsTable,MATCH(AQ150,WeaponFeatsModsList,0),7)=$AQ$133,INDEX(WeaponFeatsModsTable,MATCH(AQ150,WeaponFeatsModsList,0),7)=""),Weapons!AI$78+INDEX(WeaponFeatsModsTable,MATCH(AQ150,WeaponFeatsModsList,0),5)&amp;"d"&amp;Weapons!AI$79&amp;Weapons!AI$123&amp;"+"&amp;Weapons!AI$116+DH150+IF(AND(LEFT(AQ150,12)="Power Attack",$AQ$135="Two-Handed",$AQ$133="Melee"),INDEX(WeaponFeatsModsTable,MATCH(AQ150,WeaponFeatsModsList,0),4),INDEX(WeaponFeatsModsTable,MATCH(AQ150,WeaponFeatsModsList,0),3)),""),"")</f>
        <v/>
      </c>
      <c r="CP150" s="2207"/>
      <c r="CQ150" s="2207"/>
      <c r="CR150" s="2207"/>
      <c r="CS150" s="2207"/>
      <c r="CT150" s="2207"/>
      <c r="CU150" s="2207"/>
      <c r="CV150" s="2207"/>
      <c r="CW150" s="2207"/>
      <c r="CX150" s="2207"/>
      <c r="CY150" s="2207"/>
      <c r="CZ150" s="2207"/>
      <c r="DA150" s="2207"/>
      <c r="DB150" s="2207"/>
      <c r="DC150" s="2207"/>
      <c r="DD150" s="2207"/>
      <c r="DE150" s="2207"/>
      <c r="DF150" s="2207"/>
      <c r="DG150" s="656"/>
      <c r="DH150" s="974">
        <f>IF(AND(COUNTIF(Weapons!AI$56:AI$60,"Pulse Charger"),AQ133="Ranged"),INDEX(WeaponFeatsModsTable,MATCH(AQ150,WeaponFeatsModsList,0),5),0)</f>
        <v>0</v>
      </c>
      <c r="DI150" s="958"/>
      <c r="DJ150" s="958"/>
      <c r="DK150" s="112"/>
      <c r="DL150" s="109"/>
      <c r="DM150" s="910"/>
      <c r="DN150" s="910"/>
      <c r="DO150" s="910"/>
      <c r="DP150" s="910"/>
      <c r="DQ150" s="910"/>
      <c r="DR150" s="910"/>
      <c r="DS150" s="910"/>
      <c r="DT150" s="910"/>
      <c r="DU150" s="910"/>
      <c r="DV150" s="910"/>
      <c r="DW150" s="910"/>
      <c r="DX150" s="910"/>
      <c r="DY150" s="910"/>
      <c r="DZ150" s="910"/>
      <c r="EA150" s="910"/>
      <c r="EB150" s="910"/>
      <c r="EC150" s="910"/>
      <c r="ED150" s="910"/>
      <c r="EE150" s="910"/>
      <c r="EF150" s="910"/>
      <c r="EG150" s="910"/>
      <c r="EH150" s="910"/>
      <c r="EI150" s="910"/>
      <c r="EJ150" s="910"/>
      <c r="EK150" s="910"/>
      <c r="EL150" s="910"/>
      <c r="EM150" s="910"/>
      <c r="EN150" s="910"/>
      <c r="EO150" s="910"/>
      <c r="EP150" s="910"/>
      <c r="EQ150" s="910"/>
      <c r="ER150" s="910"/>
      <c r="ES150" s="910"/>
      <c r="ET150" s="910"/>
      <c r="EU150" s="910"/>
      <c r="EV150" s="910"/>
      <c r="EW150" s="910"/>
      <c r="EX150" s="910"/>
      <c r="EY150" s="910"/>
      <c r="EZ150" s="910"/>
      <c r="FA150" s="910"/>
      <c r="FB150" s="910"/>
      <c r="FC150" s="910"/>
      <c r="FD150" s="910"/>
      <c r="FE150" s="910"/>
      <c r="FF150" s="910"/>
      <c r="FG150" s="910"/>
      <c r="FH150" s="910"/>
      <c r="FI150" s="910"/>
      <c r="FJ150" s="910"/>
      <c r="FK150" s="910"/>
      <c r="FL150" s="1020" t="str">
        <f>IF(AND(AQ150&lt;&gt;"",BP150&lt;&gt;""),AQ133&amp;" "&amp;LOWER(J135)&amp;" "&amp;IF(BP150&lt;0,"","+")&amp;BP150&amp;" ("&amp;CO150&amp;IF(Weapons!AI$82&lt;&gt;"20","/"&amp;Weapons!AI$82,"")&amp;IF(Weapons!AI$83&lt;&gt;2,"/×"&amp;Weapons!AI$83,"")&amp;") with "&amp;AQ150,"")</f>
        <v/>
      </c>
      <c r="FM150" s="1019" t="str">
        <f t="shared" si="3"/>
        <v/>
      </c>
    </row>
    <row r="151" spans="1:169" ht="9" customHeight="1">
      <c r="A151" s="910"/>
      <c r="B151" s="910"/>
      <c r="C151" s="112"/>
      <c r="D151" s="2183"/>
      <c r="E151" s="2184"/>
      <c r="F151" s="2184"/>
      <c r="G151" s="102"/>
      <c r="H151" s="911"/>
      <c r="I151" s="911"/>
      <c r="J151" s="911"/>
      <c r="K151" s="911"/>
      <c r="L151" s="911"/>
      <c r="M151" s="911"/>
      <c r="N151" s="1875"/>
      <c r="O151" s="1875"/>
      <c r="P151" s="1875"/>
      <c r="Q151" s="1875"/>
      <c r="R151" s="1875"/>
      <c r="S151" s="1875"/>
      <c r="T151" s="1875"/>
      <c r="U151" s="1875"/>
      <c r="V151" s="1875"/>
      <c r="W151" s="1875"/>
      <c r="X151" s="1875"/>
      <c r="Y151" s="1875"/>
      <c r="Z151" s="1875"/>
      <c r="AA151" s="1875"/>
      <c r="AB151" s="1875"/>
      <c r="AC151" s="1875"/>
      <c r="AD151" s="1875"/>
      <c r="AE151" s="1875"/>
      <c r="AF151" s="1875"/>
      <c r="AG151" s="1863"/>
      <c r="AH151" s="1863"/>
      <c r="AI151" s="1863"/>
      <c r="AJ151" s="1863"/>
      <c r="AK151" s="1863"/>
      <c r="AL151" s="1863"/>
      <c r="AM151" s="100"/>
      <c r="AN151" s="910"/>
      <c r="AO151" s="910"/>
      <c r="AP151" s="647"/>
      <c r="AQ151" s="2191"/>
      <c r="AR151" s="2191"/>
      <c r="AS151" s="2191"/>
      <c r="AT151" s="2191"/>
      <c r="AU151" s="2191"/>
      <c r="AV151" s="2191"/>
      <c r="AW151" s="2191"/>
      <c r="AX151" s="2191"/>
      <c r="AY151" s="2191"/>
      <c r="AZ151" s="2191"/>
      <c r="BA151" s="2191"/>
      <c r="BB151" s="2191"/>
      <c r="BC151" s="2191"/>
      <c r="BD151" s="2191"/>
      <c r="BE151" s="2191"/>
      <c r="BF151" s="2191"/>
      <c r="BG151" s="2191"/>
      <c r="BH151" s="2191"/>
      <c r="BI151" s="2191"/>
      <c r="BJ151" s="2191"/>
      <c r="BK151" s="2191"/>
      <c r="BL151" s="100"/>
      <c r="BM151" s="910"/>
      <c r="BN151" s="910"/>
      <c r="BO151" s="647"/>
      <c r="BP151" s="2185"/>
      <c r="BQ151" s="2185"/>
      <c r="BR151" s="2185"/>
      <c r="BS151" s="2185"/>
      <c r="BT151" s="2200"/>
      <c r="BU151" s="2185"/>
      <c r="BV151" s="2185"/>
      <c r="BW151" s="2201"/>
      <c r="BX151" s="2185"/>
      <c r="BY151" s="2185"/>
      <c r="BZ151" s="2185"/>
      <c r="CA151" s="2185"/>
      <c r="CB151" s="100"/>
      <c r="CC151" s="910"/>
      <c r="CD151" s="913"/>
      <c r="CE151" s="102"/>
      <c r="CF151" s="2209"/>
      <c r="CG151" s="2209"/>
      <c r="CH151" s="2209"/>
      <c r="CI151" s="2209"/>
      <c r="CJ151" s="2209"/>
      <c r="CK151" s="2209"/>
      <c r="CL151" s="2209"/>
      <c r="CM151" s="2209"/>
      <c r="CN151" s="2209"/>
      <c r="CO151" s="2207"/>
      <c r="CP151" s="2207"/>
      <c r="CQ151" s="2207"/>
      <c r="CR151" s="2207"/>
      <c r="CS151" s="2207"/>
      <c r="CT151" s="2207"/>
      <c r="CU151" s="2207"/>
      <c r="CV151" s="2207"/>
      <c r="CW151" s="2207"/>
      <c r="CX151" s="2207"/>
      <c r="CY151" s="2207"/>
      <c r="CZ151" s="2207"/>
      <c r="DA151" s="2207"/>
      <c r="DB151" s="2207"/>
      <c r="DC151" s="2207"/>
      <c r="DD151" s="2207"/>
      <c r="DE151" s="2207"/>
      <c r="DF151" s="2207"/>
      <c r="DG151" s="656"/>
      <c r="DI151" s="958"/>
      <c r="DJ151" s="958"/>
      <c r="DK151" s="112"/>
      <c r="DL151" s="109"/>
      <c r="DM151" s="910"/>
      <c r="DN151" s="910"/>
      <c r="DO151" s="910"/>
      <c r="DP151" s="910"/>
      <c r="DQ151" s="910"/>
      <c r="DR151" s="910"/>
      <c r="DS151" s="910"/>
      <c r="DT151" s="910"/>
      <c r="DU151" s="910"/>
      <c r="DV151" s="910"/>
      <c r="DW151" s="910"/>
      <c r="DX151" s="910"/>
      <c r="DY151" s="910"/>
      <c r="DZ151" s="910"/>
      <c r="EA151" s="910"/>
      <c r="EB151" s="910"/>
      <c r="EC151" s="910"/>
      <c r="ED151" s="910"/>
      <c r="EE151" s="910"/>
      <c r="EF151" s="910"/>
      <c r="EG151" s="910"/>
      <c r="EH151" s="910"/>
      <c r="EI151" s="910"/>
      <c r="EJ151" s="910"/>
      <c r="EK151" s="910"/>
      <c r="EL151" s="910"/>
      <c r="EM151" s="910"/>
      <c r="EN151" s="910"/>
      <c r="EO151" s="910"/>
      <c r="EP151" s="910"/>
      <c r="EQ151" s="910"/>
      <c r="ER151" s="910"/>
      <c r="ES151" s="910"/>
      <c r="ET151" s="910"/>
      <c r="EU151" s="910"/>
      <c r="EV151" s="910"/>
      <c r="EW151" s="910"/>
      <c r="EX151" s="910"/>
      <c r="EY151" s="910"/>
      <c r="EZ151" s="910"/>
      <c r="FA151" s="910"/>
      <c r="FB151" s="910"/>
      <c r="FC151" s="910"/>
      <c r="FD151" s="910"/>
      <c r="FE151" s="910"/>
      <c r="FF151" s="910"/>
      <c r="FG151" s="910"/>
      <c r="FH151" s="910"/>
      <c r="FI151" s="910"/>
      <c r="FJ151" s="910"/>
      <c r="FK151" s="910"/>
      <c r="FL151" s="1020" t="str">
        <f>IF(AND(AQ150&lt;&gt;"",BT150&lt;&gt;""),IF(BT138&lt;&gt;"",AQ133&amp;" "&amp;LOWER(J135)&amp;" "&amp;IF($AP150&lt;0,BT150&amp;"/"&amp;BT150,"+"&amp;BT150&amp;"/+"&amp;BT150)&amp;" ("&amp;$BK150&amp;IF(Weapons!AI$82&lt;&gt;"20","/"&amp;Weapons!AI$82,"")&amp;IF(Weapons!AI$83&lt;&gt;2,"/×"&amp;Weapons!AI$83,"")&amp;") with Double Attack and "&amp;AQ150,""),"")</f>
        <v/>
      </c>
      <c r="FM151" s="1019" t="str">
        <f t="shared" si="3"/>
        <v/>
      </c>
    </row>
    <row r="152" spans="1:169" ht="9" customHeight="1" thickBot="1">
      <c r="A152" s="910"/>
      <c r="B152" s="910"/>
      <c r="C152" s="112"/>
      <c r="D152" s="2183"/>
      <c r="E152" s="2184"/>
      <c r="F152" s="2184"/>
      <c r="G152" s="91"/>
      <c r="H152" s="912"/>
      <c r="I152" s="912"/>
      <c r="J152" s="912"/>
      <c r="K152" s="912"/>
      <c r="L152" s="912"/>
      <c r="M152" s="912"/>
      <c r="N152" s="1876"/>
      <c r="O152" s="1876"/>
      <c r="P152" s="1876"/>
      <c r="Q152" s="1876"/>
      <c r="R152" s="1876"/>
      <c r="S152" s="1876"/>
      <c r="T152" s="1876"/>
      <c r="U152" s="1876"/>
      <c r="V152" s="1876"/>
      <c r="W152" s="1876"/>
      <c r="X152" s="1876"/>
      <c r="Y152" s="1876"/>
      <c r="Z152" s="1876"/>
      <c r="AA152" s="1876"/>
      <c r="AB152" s="1876"/>
      <c r="AC152" s="1876"/>
      <c r="AD152" s="1876"/>
      <c r="AE152" s="1876"/>
      <c r="AF152" s="1876"/>
      <c r="AG152" s="1864"/>
      <c r="AH152" s="1864"/>
      <c r="AI152" s="1864"/>
      <c r="AJ152" s="1864"/>
      <c r="AK152" s="1864"/>
      <c r="AL152" s="1864"/>
      <c r="AM152" s="93"/>
      <c r="AN152" s="910"/>
      <c r="AO152" s="910"/>
      <c r="AP152" s="649"/>
      <c r="AQ152" s="2204"/>
      <c r="AR152" s="2204"/>
      <c r="AS152" s="2204"/>
      <c r="AT152" s="2204"/>
      <c r="AU152" s="2204"/>
      <c r="AV152" s="2204"/>
      <c r="AW152" s="2204"/>
      <c r="AX152" s="2204"/>
      <c r="AY152" s="2204"/>
      <c r="AZ152" s="2204"/>
      <c r="BA152" s="2204"/>
      <c r="BB152" s="2204"/>
      <c r="BC152" s="2204"/>
      <c r="BD152" s="2204"/>
      <c r="BE152" s="2204"/>
      <c r="BF152" s="2204"/>
      <c r="BG152" s="2204"/>
      <c r="BH152" s="2204"/>
      <c r="BI152" s="2204"/>
      <c r="BJ152" s="2204"/>
      <c r="BK152" s="2204"/>
      <c r="BL152" s="93"/>
      <c r="BM152" s="910"/>
      <c r="BN152" s="910"/>
      <c r="BO152" s="649"/>
      <c r="BP152" s="2186"/>
      <c r="BQ152" s="2186"/>
      <c r="BR152" s="2186"/>
      <c r="BS152" s="2186"/>
      <c r="BT152" s="2202"/>
      <c r="BU152" s="2186"/>
      <c r="BV152" s="2186"/>
      <c r="BW152" s="2203"/>
      <c r="BX152" s="2186"/>
      <c r="BY152" s="2186"/>
      <c r="BZ152" s="2186"/>
      <c r="CA152" s="2186"/>
      <c r="CB152" s="93"/>
      <c r="CC152" s="910"/>
      <c r="CD152" s="910"/>
      <c r="CE152" s="91"/>
      <c r="CF152" s="713"/>
      <c r="CG152" s="713"/>
      <c r="CH152" s="713"/>
      <c r="CI152" s="713"/>
      <c r="CJ152" s="713"/>
      <c r="CK152" s="713"/>
      <c r="CL152" s="713"/>
      <c r="CM152" s="713"/>
      <c r="CN152" s="713"/>
      <c r="CO152" s="2218"/>
      <c r="CP152" s="2218"/>
      <c r="CQ152" s="2218"/>
      <c r="CR152" s="2218"/>
      <c r="CS152" s="2218"/>
      <c r="CT152" s="2218"/>
      <c r="CU152" s="2218"/>
      <c r="CV152" s="2218"/>
      <c r="CW152" s="2218"/>
      <c r="CX152" s="2218"/>
      <c r="CY152" s="2218"/>
      <c r="CZ152" s="2218"/>
      <c r="DA152" s="2218"/>
      <c r="DB152" s="2218"/>
      <c r="DC152" s="2218"/>
      <c r="DD152" s="2218"/>
      <c r="DE152" s="2218"/>
      <c r="DF152" s="2218"/>
      <c r="DG152" s="93"/>
      <c r="DI152" s="958"/>
      <c r="DJ152" s="958"/>
      <c r="DK152" s="112"/>
      <c r="DL152" s="118"/>
      <c r="DM152" s="910"/>
      <c r="DN152" s="910"/>
      <c r="DO152" s="910"/>
      <c r="DP152" s="910"/>
      <c r="DQ152" s="910"/>
      <c r="DR152" s="910"/>
      <c r="DS152" s="910"/>
      <c r="DT152" s="910"/>
      <c r="DU152" s="910"/>
      <c r="DV152" s="910"/>
      <c r="DW152" s="910"/>
      <c r="DX152" s="910"/>
      <c r="DY152" s="910"/>
      <c r="DZ152" s="910"/>
      <c r="EA152" s="910"/>
      <c r="EB152" s="910"/>
      <c r="EC152" s="910"/>
      <c r="ED152" s="910"/>
      <c r="EE152" s="910"/>
      <c r="EF152" s="910"/>
      <c r="EG152" s="910"/>
      <c r="EH152" s="910"/>
      <c r="EI152" s="910"/>
      <c r="EJ152" s="910"/>
      <c r="EK152" s="910"/>
      <c r="EL152" s="910"/>
      <c r="EM152" s="910"/>
      <c r="EN152" s="910"/>
      <c r="EO152" s="910"/>
      <c r="EP152" s="910"/>
      <c r="EQ152" s="910"/>
      <c r="ER152" s="910"/>
      <c r="ES152" s="910"/>
      <c r="ET152" s="910"/>
      <c r="EU152" s="910"/>
      <c r="EV152" s="910"/>
      <c r="EW152" s="910"/>
      <c r="EX152" s="910"/>
      <c r="EY152" s="910"/>
      <c r="EZ152" s="910"/>
      <c r="FA152" s="910"/>
      <c r="FB152" s="910"/>
      <c r="FC152" s="910"/>
      <c r="FD152" s="910"/>
      <c r="FE152" s="910"/>
      <c r="FF152" s="910"/>
      <c r="FG152" s="910"/>
      <c r="FH152" s="910"/>
      <c r="FI152" s="910"/>
      <c r="FJ152" s="910"/>
      <c r="FK152" s="910"/>
      <c r="FL152" s="1020" t="str">
        <f>IF(AND(AQ150&lt;&gt;"",BX150&lt;&gt;""),IF(BX138&lt;&gt;"",AQ133&amp;" "&amp;LOWER(J135)&amp;" "&amp;IF($AT150&lt;0,$AT150&amp;"/"&amp;$AT150&amp;"/"&amp;$AT150,"+"&amp;$AT150&amp;"/+"&amp;$AT150&amp;"/+"&amp;$AT150)&amp;" ("&amp;$BK150&amp;IF(Weapons!AI$82&lt;&gt;"20","/"&amp;Weapons!AI$82,"")&amp;IF(Weapons!AI$83&lt;&gt;2,"/×"&amp;Weapons!AI$83,"")&amp;") with Triple Attack and "&amp;AQ150,""),"")</f>
        <v/>
      </c>
      <c r="FM152" s="1019" t="str">
        <f t="shared" si="3"/>
        <v/>
      </c>
    </row>
    <row r="153" spans="1:169" ht="9" customHeight="1" thickTop="1" thickBot="1">
      <c r="A153" s="910"/>
      <c r="B153" s="910"/>
      <c r="C153" s="112"/>
      <c r="D153" s="2183"/>
      <c r="E153" s="2184"/>
      <c r="F153" s="2184"/>
      <c r="G153" s="910"/>
      <c r="H153" s="910"/>
      <c r="I153" s="910"/>
      <c r="J153" s="910"/>
      <c r="K153" s="910"/>
      <c r="L153" s="910"/>
      <c r="M153" s="910"/>
      <c r="N153" s="910"/>
      <c r="O153" s="910"/>
      <c r="P153" s="910"/>
      <c r="Q153" s="910"/>
      <c r="R153" s="910"/>
      <c r="S153" s="910"/>
      <c r="T153" s="910"/>
      <c r="U153" s="910"/>
      <c r="V153" s="910"/>
      <c r="W153" s="910"/>
      <c r="X153" s="910"/>
      <c r="Y153" s="910"/>
      <c r="Z153" s="910"/>
      <c r="AA153" s="910"/>
      <c r="AB153" s="910"/>
      <c r="AC153" s="910"/>
      <c r="AD153" s="910"/>
      <c r="AE153" s="910"/>
      <c r="AF153" s="910"/>
      <c r="AG153" s="910"/>
      <c r="AH153" s="910"/>
      <c r="AI153" s="910"/>
      <c r="AJ153" s="442"/>
      <c r="AK153" s="442"/>
      <c r="AL153" s="442"/>
      <c r="AM153" s="442"/>
      <c r="AN153" s="910"/>
      <c r="AO153" s="910"/>
      <c r="AP153" s="910"/>
      <c r="AQ153" s="910"/>
      <c r="AR153" s="910"/>
      <c r="AS153" s="910"/>
      <c r="AT153" s="910"/>
      <c r="AU153" s="910"/>
      <c r="AV153" s="910"/>
      <c r="AW153" s="910"/>
      <c r="AX153" s="910"/>
      <c r="AY153" s="910"/>
      <c r="AZ153" s="910"/>
      <c r="BA153" s="910"/>
      <c r="BB153" s="910"/>
      <c r="BC153" s="910"/>
      <c r="BD153" s="910"/>
      <c r="BE153" s="910"/>
      <c r="BF153" s="910"/>
      <c r="BG153" s="910"/>
      <c r="BH153" s="910"/>
      <c r="BI153" s="910"/>
      <c r="BJ153" s="910"/>
      <c r="BK153" s="910"/>
      <c r="BL153" s="910"/>
      <c r="BM153" s="910"/>
      <c r="BN153" s="910"/>
      <c r="BO153" s="910"/>
      <c r="BP153" s="910"/>
      <c r="BQ153" s="910"/>
      <c r="BR153" s="910"/>
      <c r="BS153" s="910"/>
      <c r="BT153" s="910"/>
      <c r="BU153" s="910"/>
      <c r="BV153" s="910"/>
      <c r="BW153" s="910"/>
      <c r="BX153" s="910"/>
      <c r="BY153" s="910"/>
      <c r="BZ153" s="910"/>
      <c r="CA153" s="910"/>
      <c r="CB153" s="910"/>
      <c r="CC153" s="910"/>
      <c r="CD153" s="910"/>
      <c r="CE153" s="910"/>
      <c r="CF153" s="910"/>
      <c r="CG153" s="910"/>
      <c r="CH153" s="910"/>
      <c r="CI153" s="910"/>
      <c r="CJ153" s="910"/>
      <c r="CK153" s="910"/>
      <c r="CL153" s="910"/>
      <c r="CM153" s="910"/>
      <c r="CN153" s="910"/>
      <c r="CO153" s="910"/>
      <c r="CP153" s="910"/>
      <c r="CQ153" s="910"/>
      <c r="CR153" s="910"/>
      <c r="CS153" s="910"/>
      <c r="CT153" s="910"/>
      <c r="CU153" s="910"/>
      <c r="CV153" s="910"/>
      <c r="CW153" s="910"/>
      <c r="CX153" s="910"/>
      <c r="CY153" s="910"/>
      <c r="CZ153" s="910"/>
      <c r="DA153" s="910"/>
      <c r="DB153" s="910"/>
      <c r="DC153" s="910"/>
      <c r="DD153" s="910"/>
      <c r="DE153" s="910"/>
      <c r="DF153" s="910"/>
      <c r="DG153" s="910"/>
      <c r="DI153" s="958"/>
      <c r="DJ153" s="958"/>
      <c r="DK153" s="112"/>
      <c r="DL153" s="118"/>
      <c r="DM153" s="910"/>
      <c r="DN153" s="910"/>
      <c r="DO153" s="910"/>
      <c r="DP153" s="910"/>
      <c r="DQ153" s="910"/>
      <c r="DR153" s="910"/>
      <c r="DS153" s="910"/>
      <c r="DT153" s="910"/>
      <c r="DU153" s="910"/>
      <c r="DV153" s="910"/>
      <c r="DW153" s="910"/>
      <c r="DX153" s="910"/>
      <c r="DY153" s="910"/>
      <c r="DZ153" s="910"/>
      <c r="EA153" s="910"/>
      <c r="EB153" s="910"/>
      <c r="EC153" s="910"/>
      <c r="ED153" s="910"/>
      <c r="EE153" s="910"/>
      <c r="EF153" s="910"/>
      <c r="EG153" s="910"/>
      <c r="EH153" s="910"/>
      <c r="EI153" s="910"/>
      <c r="EJ153" s="910"/>
      <c r="EK153" s="910"/>
      <c r="EL153" s="910"/>
      <c r="EM153" s="910"/>
      <c r="EN153" s="910"/>
      <c r="EO153" s="910"/>
      <c r="EP153" s="910"/>
      <c r="EQ153" s="910"/>
      <c r="ER153" s="910"/>
      <c r="ES153" s="910"/>
      <c r="ET153" s="910"/>
      <c r="EU153" s="910"/>
      <c r="EV153" s="910"/>
      <c r="EW153" s="910"/>
      <c r="EX153" s="910"/>
      <c r="EY153" s="910"/>
      <c r="EZ153" s="910"/>
      <c r="FA153" s="910"/>
      <c r="FB153" s="910"/>
      <c r="FC153" s="910"/>
      <c r="FD153" s="910"/>
      <c r="FE153" s="910"/>
      <c r="FF153" s="910"/>
      <c r="FG153" s="910"/>
      <c r="FH153" s="910"/>
      <c r="FI153" s="910"/>
      <c r="FJ153" s="910"/>
      <c r="FK153" s="910"/>
      <c r="FM153" s="1021" t="s">
        <v>195</v>
      </c>
    </row>
    <row r="154" spans="1:169" ht="9" customHeight="1" thickTop="1">
      <c r="A154" s="910"/>
      <c r="B154" s="910"/>
      <c r="C154" s="87"/>
      <c r="D154" s="256"/>
      <c r="E154" s="118"/>
      <c r="F154" s="910"/>
      <c r="G154" s="910"/>
      <c r="H154" s="910"/>
      <c r="I154" s="93"/>
      <c r="J154" s="2182" t="s">
        <v>3614</v>
      </c>
      <c r="K154" s="2182"/>
      <c r="L154" s="2182"/>
      <c r="M154" s="2182"/>
      <c r="N154" s="2182"/>
      <c r="O154" s="2182"/>
      <c r="P154" s="295"/>
      <c r="Q154" s="296"/>
      <c r="R154" s="296"/>
      <c r="S154" s="296"/>
      <c r="T154" s="296"/>
      <c r="U154" s="296"/>
      <c r="V154" s="296"/>
      <c r="W154" s="296"/>
      <c r="X154" s="296"/>
      <c r="Y154" s="296"/>
      <c r="Z154" s="296"/>
      <c r="AA154" s="296"/>
      <c r="AB154" s="296"/>
      <c r="AC154" s="296"/>
      <c r="AD154" s="296"/>
      <c r="AE154" s="296"/>
      <c r="AF154" s="296"/>
      <c r="AG154" s="296"/>
      <c r="AH154" s="296"/>
      <c r="AI154" s="296"/>
      <c r="AJ154" s="296"/>
      <c r="AK154" s="296"/>
      <c r="AL154" s="296"/>
      <c r="AM154" s="296"/>
      <c r="AN154" s="296"/>
      <c r="AO154" s="296"/>
      <c r="AP154" s="296"/>
      <c r="AQ154" s="296"/>
      <c r="AR154" s="296"/>
      <c r="AS154" s="296"/>
      <c r="AT154" s="296"/>
      <c r="AU154" s="296"/>
      <c r="AV154" s="296"/>
      <c r="AW154" s="296"/>
      <c r="AX154" s="296"/>
      <c r="AY154" s="296"/>
      <c r="AZ154" s="296"/>
      <c r="BA154" s="296"/>
      <c r="BB154" s="296"/>
      <c r="BC154" s="296"/>
      <c r="BD154" s="296"/>
      <c r="BE154" s="296"/>
      <c r="BF154" s="296"/>
      <c r="BG154" s="296"/>
      <c r="BH154" s="296"/>
      <c r="BI154" s="296"/>
      <c r="BJ154" s="296"/>
      <c r="BK154" s="296"/>
      <c r="BL154" s="296"/>
      <c r="BM154" s="296"/>
      <c r="BN154" s="296"/>
      <c r="BO154" s="296"/>
      <c r="BP154" s="296"/>
      <c r="BQ154" s="296"/>
      <c r="BR154" s="296"/>
      <c r="BS154" s="296"/>
      <c r="BT154" s="296"/>
      <c r="BU154" s="296"/>
      <c r="BV154" s="296"/>
      <c r="BW154" s="296"/>
      <c r="BX154" s="296"/>
      <c r="BY154" s="296"/>
      <c r="BZ154" s="296"/>
      <c r="CA154" s="296"/>
      <c r="CB154" s="296"/>
      <c r="CC154" s="296"/>
      <c r="CD154" s="296"/>
      <c r="CE154" s="296"/>
      <c r="CF154" s="296"/>
      <c r="CG154" s="296"/>
      <c r="CH154" s="296"/>
      <c r="CI154" s="296"/>
      <c r="CJ154" s="296"/>
      <c r="CK154" s="296"/>
      <c r="CL154" s="296"/>
      <c r="CM154" s="296"/>
      <c r="CN154" s="296"/>
      <c r="CO154" s="296"/>
      <c r="CP154" s="296"/>
      <c r="CQ154" s="296"/>
      <c r="CR154" s="296"/>
      <c r="CS154" s="296"/>
      <c r="CT154" s="296"/>
      <c r="CU154" s="296"/>
      <c r="CV154" s="296"/>
      <c r="CW154" s="296"/>
      <c r="CX154" s="296"/>
      <c r="CY154" s="296"/>
      <c r="CZ154" s="296"/>
      <c r="DA154" s="296"/>
      <c r="DB154" s="296"/>
      <c r="DC154" s="296"/>
      <c r="DD154" s="296"/>
      <c r="DE154" s="296"/>
      <c r="DF154" s="296"/>
      <c r="DG154" s="297"/>
      <c r="DI154" s="958"/>
      <c r="DJ154" s="87"/>
      <c r="DK154" s="292"/>
      <c r="DL154" s="118"/>
      <c r="DM154" s="910"/>
      <c r="DN154" s="910"/>
      <c r="DO154" s="910"/>
      <c r="DP154" s="910"/>
      <c r="DQ154" s="910"/>
      <c r="DR154" s="910"/>
      <c r="DS154" s="910"/>
      <c r="DT154" s="910"/>
      <c r="DU154" s="910"/>
      <c r="DV154" s="910"/>
      <c r="DW154" s="910"/>
      <c r="DX154" s="910"/>
      <c r="DY154" s="910"/>
      <c r="DZ154" s="910"/>
      <c r="EA154" s="910"/>
      <c r="EB154" s="910"/>
      <c r="EC154" s="910"/>
      <c r="ED154" s="910"/>
      <c r="EE154" s="910"/>
      <c r="EF154" s="910"/>
      <c r="EG154" s="910"/>
      <c r="EH154" s="910"/>
      <c r="EI154" s="910"/>
      <c r="EJ154" s="910"/>
      <c r="EK154" s="910"/>
      <c r="EL154" s="910"/>
      <c r="EM154" s="910"/>
      <c r="EN154" s="910"/>
      <c r="EO154" s="910"/>
      <c r="EP154" s="910"/>
      <c r="EQ154" s="910"/>
      <c r="ER154" s="910"/>
      <c r="ES154" s="910"/>
      <c r="ET154" s="910"/>
      <c r="EU154" s="910"/>
      <c r="EV154" s="910"/>
      <c r="EW154" s="910"/>
      <c r="EX154" s="910"/>
      <c r="EY154" s="910"/>
      <c r="EZ154" s="910"/>
      <c r="FA154" s="910"/>
      <c r="FB154" s="910"/>
      <c r="FC154" s="910"/>
      <c r="FD154" s="910"/>
      <c r="FE154" s="910"/>
      <c r="FF154" s="910"/>
      <c r="FG154" s="910"/>
      <c r="FH154" s="910"/>
      <c r="FI154" s="910"/>
      <c r="FJ154" s="910"/>
      <c r="FK154" s="910"/>
    </row>
    <row r="155" spans="1:169" ht="9" customHeight="1" thickBot="1">
      <c r="A155" s="910"/>
      <c r="B155" s="910"/>
      <c r="C155" s="87"/>
      <c r="D155" s="118"/>
      <c r="E155" s="256"/>
      <c r="F155" s="111"/>
      <c r="G155" s="122"/>
      <c r="H155" s="290"/>
      <c r="I155" s="102"/>
      <c r="J155" s="2180"/>
      <c r="K155" s="2180"/>
      <c r="L155" s="2180"/>
      <c r="M155" s="2180"/>
      <c r="N155" s="2180"/>
      <c r="O155" s="2180"/>
      <c r="P155" s="913"/>
      <c r="Q155" s="1922" t="str">
        <f>Weapons!AI$28</f>
        <v/>
      </c>
      <c r="R155" s="1922"/>
      <c r="S155" s="1922"/>
      <c r="T155" s="1922"/>
      <c r="U155" s="1922"/>
      <c r="V155" s="1922"/>
      <c r="W155" s="1922"/>
      <c r="X155" s="1922"/>
      <c r="Y155" s="1922"/>
      <c r="Z155" s="1922"/>
      <c r="AA155" s="1922"/>
      <c r="AB155" s="1922"/>
      <c r="AC155" s="1922"/>
      <c r="AD155" s="1922"/>
      <c r="AE155" s="1922"/>
      <c r="AF155" s="1922"/>
      <c r="AG155" s="1922"/>
      <c r="AH155" s="1922"/>
      <c r="AI155" s="1922"/>
      <c r="AJ155" s="1922"/>
      <c r="AK155" s="1922"/>
      <c r="AL155" s="1922"/>
      <c r="AM155" s="1922"/>
      <c r="AN155" s="1922"/>
      <c r="AO155" s="1922"/>
      <c r="AP155" s="1922"/>
      <c r="AQ155" s="1922"/>
      <c r="AR155" s="1922"/>
      <c r="AS155" s="1922"/>
      <c r="AT155" s="1922"/>
      <c r="AU155" s="1922"/>
      <c r="AV155" s="1922"/>
      <c r="AW155" s="1922"/>
      <c r="AX155" s="1922"/>
      <c r="AY155" s="1922"/>
      <c r="AZ155" s="1922"/>
      <c r="BA155" s="1922"/>
      <c r="BB155" s="1922"/>
      <c r="BC155" s="1922"/>
      <c r="BD155" s="1922"/>
      <c r="BE155" s="1922"/>
      <c r="BF155" s="1922"/>
      <c r="BG155" s="1922"/>
      <c r="BH155" s="1922"/>
      <c r="BI155" s="1922"/>
      <c r="BJ155" s="1922"/>
      <c r="BK155" s="1922"/>
      <c r="BL155" s="1922"/>
      <c r="BM155" s="1922"/>
      <c r="BN155" s="1922"/>
      <c r="BO155" s="1922"/>
      <c r="BP155" s="1922"/>
      <c r="BQ155" s="1922"/>
      <c r="BR155" s="1922"/>
      <c r="BS155" s="1922"/>
      <c r="BT155" s="1922"/>
      <c r="BU155" s="1922"/>
      <c r="BV155" s="1922"/>
      <c r="BW155" s="1922"/>
      <c r="BX155" s="1922"/>
      <c r="BY155" s="1922"/>
      <c r="BZ155" s="1922"/>
      <c r="CA155" s="1922"/>
      <c r="CB155" s="1922"/>
      <c r="CC155" s="1922"/>
      <c r="CD155" s="1922"/>
      <c r="CE155" s="1922"/>
      <c r="CF155" s="1922"/>
      <c r="CG155" s="1922"/>
      <c r="CH155" s="1922"/>
      <c r="CI155" s="1922"/>
      <c r="CJ155" s="1922"/>
      <c r="CK155" s="1922"/>
      <c r="CL155" s="1922"/>
      <c r="CM155" s="1922"/>
      <c r="CN155" s="1922"/>
      <c r="CO155" s="1922"/>
      <c r="CP155" s="1922"/>
      <c r="CQ155" s="1922"/>
      <c r="CR155" s="1922"/>
      <c r="CS155" s="1922"/>
      <c r="CT155" s="1922"/>
      <c r="CU155" s="1922"/>
      <c r="CV155" s="1922"/>
      <c r="CW155" s="1922"/>
      <c r="CX155" s="1922"/>
      <c r="CY155" s="1922"/>
      <c r="CZ155" s="1922"/>
      <c r="DA155" s="1922"/>
      <c r="DB155" s="1922"/>
      <c r="DC155" s="1922"/>
      <c r="DD155" s="1922"/>
      <c r="DE155" s="1922"/>
      <c r="DF155" s="1922"/>
      <c r="DG155" s="300"/>
      <c r="DH155" s="971"/>
      <c r="DI155" s="122"/>
      <c r="DJ155" s="144"/>
      <c r="DK155" s="111"/>
      <c r="DL155" s="910"/>
      <c r="DM155" s="910"/>
      <c r="DN155" s="910"/>
      <c r="DO155" s="910"/>
      <c r="DP155" s="910"/>
      <c r="DQ155" s="910"/>
      <c r="DR155" s="910"/>
      <c r="DS155" s="910"/>
      <c r="DT155" s="910"/>
      <c r="DU155" s="910"/>
      <c r="DV155" s="910"/>
      <c r="DW155" s="910"/>
      <c r="DX155" s="910"/>
      <c r="DY155" s="910"/>
      <c r="DZ155" s="910"/>
      <c r="EA155" s="910"/>
      <c r="EB155" s="910"/>
      <c r="EC155" s="910"/>
      <c r="ED155" s="910"/>
      <c r="EE155" s="910"/>
      <c r="EF155" s="910"/>
      <c r="EG155" s="910"/>
      <c r="EH155" s="910"/>
      <c r="EI155" s="910"/>
      <c r="EJ155" s="910"/>
      <c r="EK155" s="910"/>
      <c r="EL155" s="910"/>
      <c r="EM155" s="910"/>
      <c r="EN155" s="910"/>
      <c r="EO155" s="910"/>
      <c r="EP155" s="910"/>
      <c r="EQ155" s="910"/>
      <c r="ER155" s="910"/>
      <c r="ES155" s="910"/>
      <c r="ET155" s="910"/>
      <c r="EU155" s="910"/>
      <c r="EV155" s="910"/>
      <c r="EW155" s="910"/>
      <c r="EX155" s="910"/>
      <c r="EY155" s="910"/>
      <c r="EZ155" s="910"/>
      <c r="FA155" s="910"/>
      <c r="FB155" s="910"/>
      <c r="FC155" s="910"/>
      <c r="FD155" s="910"/>
      <c r="FE155" s="910"/>
      <c r="FF155" s="910"/>
      <c r="FG155" s="910"/>
      <c r="FH155" s="910"/>
      <c r="FI155" s="910"/>
      <c r="FJ155" s="910"/>
      <c r="FK155" s="910"/>
    </row>
    <row r="156" spans="1:169" ht="9" customHeight="1" thickTop="1">
      <c r="A156" s="910"/>
      <c r="B156" s="910"/>
      <c r="C156" s="87"/>
      <c r="D156" s="118"/>
      <c r="E156" s="118"/>
      <c r="F156" s="293"/>
      <c r="G156" s="111"/>
      <c r="H156" s="111"/>
      <c r="I156" s="102"/>
      <c r="J156" s="105"/>
      <c r="K156" s="105"/>
      <c r="L156" s="105"/>
      <c r="M156" s="105"/>
      <c r="N156" s="596"/>
      <c r="O156" s="596"/>
      <c r="P156" s="596"/>
      <c r="Q156" s="1922"/>
      <c r="R156" s="1922"/>
      <c r="S156" s="1922"/>
      <c r="T156" s="1922"/>
      <c r="U156" s="1922"/>
      <c r="V156" s="1922"/>
      <c r="W156" s="1922"/>
      <c r="X156" s="1922"/>
      <c r="Y156" s="1922"/>
      <c r="Z156" s="1922"/>
      <c r="AA156" s="1922"/>
      <c r="AB156" s="1922"/>
      <c r="AC156" s="1922"/>
      <c r="AD156" s="1922"/>
      <c r="AE156" s="1922"/>
      <c r="AF156" s="1922"/>
      <c r="AG156" s="1922"/>
      <c r="AH156" s="1922"/>
      <c r="AI156" s="1922"/>
      <c r="AJ156" s="1922"/>
      <c r="AK156" s="1922"/>
      <c r="AL156" s="1922"/>
      <c r="AM156" s="1922"/>
      <c r="AN156" s="1922"/>
      <c r="AO156" s="1922"/>
      <c r="AP156" s="1922"/>
      <c r="AQ156" s="1922"/>
      <c r="AR156" s="1922"/>
      <c r="AS156" s="1922"/>
      <c r="AT156" s="1922"/>
      <c r="AU156" s="1922"/>
      <c r="AV156" s="1922"/>
      <c r="AW156" s="1922"/>
      <c r="AX156" s="1922"/>
      <c r="AY156" s="1922"/>
      <c r="AZ156" s="1922"/>
      <c r="BA156" s="1922"/>
      <c r="BB156" s="1922"/>
      <c r="BC156" s="1922"/>
      <c r="BD156" s="1922"/>
      <c r="BE156" s="1922"/>
      <c r="BF156" s="1922"/>
      <c r="BG156" s="1922"/>
      <c r="BH156" s="1922"/>
      <c r="BI156" s="1922"/>
      <c r="BJ156" s="1922"/>
      <c r="BK156" s="1922"/>
      <c r="BL156" s="1922"/>
      <c r="BM156" s="1922"/>
      <c r="BN156" s="1922"/>
      <c r="BO156" s="1922"/>
      <c r="BP156" s="1922"/>
      <c r="BQ156" s="1922"/>
      <c r="BR156" s="1922"/>
      <c r="BS156" s="1922"/>
      <c r="BT156" s="1922"/>
      <c r="BU156" s="1922"/>
      <c r="BV156" s="1922"/>
      <c r="BW156" s="1922"/>
      <c r="BX156" s="1922"/>
      <c r="BY156" s="1922"/>
      <c r="BZ156" s="1922"/>
      <c r="CA156" s="1922"/>
      <c r="CB156" s="1922"/>
      <c r="CC156" s="1922"/>
      <c r="CD156" s="1922"/>
      <c r="CE156" s="1922"/>
      <c r="CF156" s="1922"/>
      <c r="CG156" s="1922"/>
      <c r="CH156" s="1922"/>
      <c r="CI156" s="1922"/>
      <c r="CJ156" s="1922"/>
      <c r="CK156" s="1922"/>
      <c r="CL156" s="1922"/>
      <c r="CM156" s="1922"/>
      <c r="CN156" s="1922"/>
      <c r="CO156" s="1922"/>
      <c r="CP156" s="1922"/>
      <c r="CQ156" s="1922"/>
      <c r="CR156" s="1922"/>
      <c r="CS156" s="1922"/>
      <c r="CT156" s="1922"/>
      <c r="CU156" s="1922"/>
      <c r="CV156" s="1922"/>
      <c r="CW156" s="1922"/>
      <c r="CX156" s="1922"/>
      <c r="CY156" s="1922"/>
      <c r="CZ156" s="1922"/>
      <c r="DA156" s="1922"/>
      <c r="DB156" s="1922"/>
      <c r="DC156" s="1922"/>
      <c r="DD156" s="1922"/>
      <c r="DE156" s="1922"/>
      <c r="DF156" s="1922"/>
      <c r="DG156" s="103"/>
      <c r="DH156" s="970"/>
      <c r="DI156" s="111"/>
      <c r="DJ156" s="958"/>
      <c r="DK156" s="958"/>
      <c r="DL156" s="910"/>
      <c r="DM156" s="910"/>
      <c r="DN156" s="910"/>
      <c r="DO156" s="910"/>
      <c r="DP156" s="910"/>
      <c r="DQ156" s="910"/>
      <c r="DR156" s="910"/>
      <c r="DS156" s="910"/>
      <c r="DT156" s="910"/>
      <c r="DU156" s="910"/>
      <c r="DV156" s="910"/>
      <c r="DW156" s="910"/>
      <c r="DX156" s="910"/>
      <c r="DY156" s="910"/>
      <c r="DZ156" s="910"/>
      <c r="EA156" s="910"/>
      <c r="EB156" s="910"/>
      <c r="EC156" s="910"/>
      <c r="ED156" s="910"/>
      <c r="EE156" s="910"/>
      <c r="EF156" s="910"/>
      <c r="EG156" s="910"/>
      <c r="EH156" s="910"/>
      <c r="EI156" s="910"/>
      <c r="EJ156" s="910"/>
      <c r="EK156" s="910"/>
      <c r="EL156" s="910"/>
      <c r="EM156" s="910"/>
      <c r="EN156" s="910"/>
      <c r="EO156" s="910"/>
      <c r="EP156" s="910"/>
      <c r="EQ156" s="910"/>
      <c r="ER156" s="910"/>
      <c r="ES156" s="910"/>
      <c r="ET156" s="910"/>
      <c r="EU156" s="910"/>
      <c r="EV156" s="910"/>
      <c r="EW156" s="910"/>
      <c r="EX156" s="910"/>
      <c r="EY156" s="910"/>
      <c r="EZ156" s="910"/>
      <c r="FA156" s="910"/>
      <c r="FB156" s="910"/>
      <c r="FC156" s="910"/>
      <c r="FD156" s="910"/>
      <c r="FE156" s="910"/>
      <c r="FF156" s="910"/>
      <c r="FG156" s="910"/>
      <c r="FH156" s="910"/>
      <c r="FI156" s="910"/>
      <c r="FJ156" s="910"/>
      <c r="FK156" s="910"/>
    </row>
    <row r="157" spans="1:169" ht="9" customHeight="1" thickBot="1">
      <c r="A157" s="910"/>
      <c r="B157" s="910"/>
      <c r="C157" s="910"/>
      <c r="D157" s="910"/>
      <c r="E157" s="910"/>
      <c r="F157" s="910"/>
      <c r="G157" s="910"/>
      <c r="H157" s="910"/>
      <c r="I157" s="91"/>
      <c r="J157" s="108"/>
      <c r="K157" s="108"/>
      <c r="L157" s="108"/>
      <c r="M157" s="108"/>
      <c r="N157" s="654"/>
      <c r="O157" s="654"/>
      <c r="P157" s="654"/>
      <c r="Q157" s="1923"/>
      <c r="R157" s="1923"/>
      <c r="S157" s="1923"/>
      <c r="T157" s="1923"/>
      <c r="U157" s="1923"/>
      <c r="V157" s="1923"/>
      <c r="W157" s="1923"/>
      <c r="X157" s="1923"/>
      <c r="Y157" s="1923"/>
      <c r="Z157" s="1923"/>
      <c r="AA157" s="1923"/>
      <c r="AB157" s="1923"/>
      <c r="AC157" s="1923"/>
      <c r="AD157" s="1923"/>
      <c r="AE157" s="1923"/>
      <c r="AF157" s="1923"/>
      <c r="AG157" s="1923"/>
      <c r="AH157" s="1923"/>
      <c r="AI157" s="1923"/>
      <c r="AJ157" s="1923"/>
      <c r="AK157" s="1923"/>
      <c r="AL157" s="1923"/>
      <c r="AM157" s="1923"/>
      <c r="AN157" s="1923"/>
      <c r="AO157" s="1923"/>
      <c r="AP157" s="1923"/>
      <c r="AQ157" s="1923"/>
      <c r="AR157" s="1923"/>
      <c r="AS157" s="1923"/>
      <c r="AT157" s="1923"/>
      <c r="AU157" s="1923"/>
      <c r="AV157" s="1923"/>
      <c r="AW157" s="1923"/>
      <c r="AX157" s="1923"/>
      <c r="AY157" s="1923"/>
      <c r="AZ157" s="1923"/>
      <c r="BA157" s="1923"/>
      <c r="BB157" s="1923"/>
      <c r="BC157" s="1923"/>
      <c r="BD157" s="1923"/>
      <c r="BE157" s="1923"/>
      <c r="BF157" s="1923"/>
      <c r="BG157" s="1923"/>
      <c r="BH157" s="1923"/>
      <c r="BI157" s="1923"/>
      <c r="BJ157" s="1923"/>
      <c r="BK157" s="1923"/>
      <c r="BL157" s="1923"/>
      <c r="BM157" s="1923"/>
      <c r="BN157" s="1923"/>
      <c r="BO157" s="1923"/>
      <c r="BP157" s="1923"/>
      <c r="BQ157" s="1923"/>
      <c r="BR157" s="1923"/>
      <c r="BS157" s="1923"/>
      <c r="BT157" s="1923"/>
      <c r="BU157" s="1923"/>
      <c r="BV157" s="1923"/>
      <c r="BW157" s="1923"/>
      <c r="BX157" s="1923"/>
      <c r="BY157" s="1923"/>
      <c r="BZ157" s="1923"/>
      <c r="CA157" s="1923"/>
      <c r="CB157" s="1923"/>
      <c r="CC157" s="1923"/>
      <c r="CD157" s="1923"/>
      <c r="CE157" s="1923"/>
      <c r="CF157" s="1923"/>
      <c r="CG157" s="1923"/>
      <c r="CH157" s="1923"/>
      <c r="CI157" s="1923"/>
      <c r="CJ157" s="1923"/>
      <c r="CK157" s="1923"/>
      <c r="CL157" s="1923"/>
      <c r="CM157" s="1923"/>
      <c r="CN157" s="1923"/>
      <c r="CO157" s="1923"/>
      <c r="CP157" s="1923"/>
      <c r="CQ157" s="1923"/>
      <c r="CR157" s="1923"/>
      <c r="CS157" s="1923"/>
      <c r="CT157" s="1923"/>
      <c r="CU157" s="1923"/>
      <c r="CV157" s="1923"/>
      <c r="CW157" s="1923"/>
      <c r="CX157" s="1923"/>
      <c r="CY157" s="1923"/>
      <c r="CZ157" s="1923"/>
      <c r="DA157" s="1923"/>
      <c r="DB157" s="1923"/>
      <c r="DC157" s="1923"/>
      <c r="DD157" s="1923"/>
      <c r="DE157" s="1923"/>
      <c r="DF157" s="1923"/>
      <c r="DG157" s="90"/>
      <c r="DI157" s="958"/>
      <c r="DJ157" s="958"/>
      <c r="DK157" s="958"/>
      <c r="DL157" s="910"/>
      <c r="DM157" s="910"/>
      <c r="DN157" s="910"/>
      <c r="DO157" s="910"/>
      <c r="DP157" s="910"/>
      <c r="DQ157" s="910"/>
      <c r="DR157" s="910"/>
      <c r="DS157" s="910"/>
      <c r="DT157" s="910"/>
      <c r="DU157" s="910"/>
      <c r="DV157" s="910"/>
      <c r="DW157" s="910"/>
      <c r="DX157" s="910"/>
      <c r="DY157" s="910"/>
      <c r="DZ157" s="910"/>
      <c r="EA157" s="910"/>
      <c r="EB157" s="910"/>
      <c r="EC157" s="910"/>
      <c r="ED157" s="910"/>
      <c r="EE157" s="910"/>
      <c r="EF157" s="910"/>
      <c r="EG157" s="910"/>
      <c r="EH157" s="910"/>
      <c r="EI157" s="910"/>
      <c r="EJ157" s="910"/>
      <c r="EK157" s="910"/>
      <c r="EL157" s="910"/>
      <c r="EM157" s="910"/>
      <c r="EN157" s="910"/>
      <c r="EO157" s="910"/>
      <c r="EP157" s="910"/>
      <c r="EQ157" s="910"/>
      <c r="ER157" s="910"/>
      <c r="ES157" s="910"/>
      <c r="ET157" s="910"/>
      <c r="EU157" s="910"/>
      <c r="EV157" s="910"/>
      <c r="EW157" s="910"/>
      <c r="EX157" s="910"/>
      <c r="EY157" s="910"/>
      <c r="EZ157" s="910"/>
      <c r="FA157" s="910"/>
      <c r="FB157" s="910"/>
      <c r="FC157" s="910"/>
      <c r="FD157" s="910"/>
      <c r="FE157" s="910"/>
      <c r="FF157" s="910"/>
      <c r="FG157" s="910"/>
      <c r="FH157" s="910"/>
      <c r="FI157" s="910"/>
      <c r="FJ157" s="910"/>
      <c r="FK157" s="910"/>
    </row>
    <row r="158" spans="1:169" ht="9" customHeight="1" thickTop="1">
      <c r="A158" s="910"/>
      <c r="B158" s="910"/>
      <c r="C158" s="910"/>
      <c r="D158" s="910"/>
      <c r="E158" s="910"/>
      <c r="F158" s="910"/>
      <c r="G158" s="910"/>
      <c r="H158" s="910"/>
      <c r="I158" s="910"/>
      <c r="J158" s="910"/>
      <c r="K158" s="910"/>
      <c r="L158" s="910"/>
      <c r="M158" s="910"/>
      <c r="N158" s="910"/>
      <c r="O158" s="910"/>
      <c r="P158" s="910"/>
      <c r="Q158" s="910"/>
      <c r="R158" s="910"/>
      <c r="S158" s="910"/>
      <c r="T158" s="910"/>
      <c r="U158" s="910"/>
      <c r="V158" s="910"/>
      <c r="W158" s="910"/>
      <c r="X158" s="910"/>
      <c r="Y158" s="910"/>
      <c r="Z158" s="910"/>
      <c r="AA158" s="910"/>
      <c r="AB158" s="910"/>
      <c r="AC158" s="910"/>
      <c r="AD158" s="910"/>
      <c r="AE158" s="910"/>
      <c r="AF158" s="910"/>
      <c r="AG158" s="910"/>
      <c r="AH158" s="910"/>
      <c r="AI158" s="910"/>
      <c r="AJ158" s="910"/>
      <c r="AK158" s="910"/>
      <c r="AL158" s="910"/>
      <c r="AM158" s="910"/>
      <c r="AN158" s="910"/>
      <c r="AO158" s="913"/>
      <c r="AP158" s="913"/>
      <c r="AQ158" s="913"/>
      <c r="AR158" s="913"/>
      <c r="AS158" s="913"/>
      <c r="AT158" s="442"/>
      <c r="AU158" s="442"/>
      <c r="AV158" s="442"/>
      <c r="AW158" s="442"/>
      <c r="AX158" s="442"/>
      <c r="AY158" s="442"/>
      <c r="AZ158" s="442"/>
      <c r="BA158" s="442"/>
      <c r="BB158" s="442"/>
      <c r="BC158" s="442"/>
      <c r="BD158" s="442"/>
      <c r="BE158" s="442"/>
      <c r="BF158" s="442"/>
      <c r="BG158" s="442"/>
      <c r="BH158" s="442"/>
      <c r="BI158" s="442"/>
      <c r="BJ158" s="442"/>
      <c r="BK158" s="442"/>
      <c r="BL158" s="442"/>
      <c r="BM158" s="442"/>
      <c r="BN158" s="442"/>
      <c r="BO158" s="442"/>
      <c r="BP158" s="442"/>
      <c r="BQ158" s="442"/>
      <c r="BR158" s="442"/>
      <c r="BS158" s="442"/>
      <c r="BT158" s="442"/>
      <c r="BU158" s="442"/>
      <c r="BV158" s="442"/>
      <c r="BW158" s="442"/>
      <c r="BX158" s="442"/>
      <c r="BY158" s="442"/>
      <c r="BZ158" s="442"/>
      <c r="CA158" s="442"/>
      <c r="CB158" s="442"/>
      <c r="CC158" s="442"/>
      <c r="CD158" s="3"/>
      <c r="CE158" s="3"/>
      <c r="CF158" s="3"/>
      <c r="CG158" s="3"/>
      <c r="CH158" s="910"/>
      <c r="CI158" s="910"/>
      <c r="CJ158" s="3"/>
      <c r="CK158" s="910"/>
      <c r="CL158" s="910"/>
      <c r="CM158" s="910"/>
      <c r="CN158" s="3"/>
      <c r="CO158" s="910"/>
      <c r="CP158" s="910"/>
      <c r="CQ158" s="3"/>
      <c r="CR158" s="910"/>
      <c r="CS158" s="910"/>
      <c r="CT158" s="3"/>
      <c r="CU158" s="910"/>
      <c r="CV158" s="910"/>
      <c r="CW158" s="3"/>
      <c r="CX158" s="910"/>
      <c r="CY158" s="910"/>
      <c r="CZ158" s="3"/>
      <c r="DA158" s="910"/>
      <c r="DB158" s="910"/>
      <c r="DC158" s="3"/>
      <c r="DD158" s="3"/>
      <c r="DE158" s="910"/>
      <c r="DF158" s="910"/>
      <c r="DG158" s="910"/>
      <c r="DI158" s="958"/>
      <c r="DJ158" s="958"/>
      <c r="DK158" s="958"/>
      <c r="DL158" s="910"/>
      <c r="DM158" s="910"/>
      <c r="DN158" s="910"/>
      <c r="DO158" s="910"/>
      <c r="DP158" s="910"/>
      <c r="DQ158" s="910"/>
      <c r="DR158" s="910"/>
      <c r="DS158" s="910"/>
      <c r="DT158" s="910"/>
      <c r="DU158" s="910"/>
      <c r="DV158" s="910"/>
      <c r="DW158" s="910"/>
      <c r="DX158" s="910"/>
      <c r="DY158" s="910"/>
      <c r="DZ158" s="910"/>
      <c r="EA158" s="910"/>
      <c r="EB158" s="910"/>
      <c r="EC158" s="910"/>
      <c r="ED158" s="910"/>
      <c r="EE158" s="910"/>
      <c r="EF158" s="910"/>
      <c r="EG158" s="910"/>
      <c r="EH158" s="910"/>
      <c r="EI158" s="910"/>
      <c r="EJ158" s="910"/>
      <c r="EK158" s="910"/>
      <c r="EL158" s="910"/>
      <c r="EM158" s="910"/>
      <c r="EN158" s="910"/>
      <c r="EO158" s="910"/>
      <c r="EP158" s="910"/>
      <c r="EQ158" s="910"/>
      <c r="ER158" s="910"/>
      <c r="ES158" s="910"/>
      <c r="ET158" s="910"/>
      <c r="EU158" s="910"/>
      <c r="EV158" s="910"/>
      <c r="EW158" s="910"/>
      <c r="EX158" s="910"/>
      <c r="EY158" s="910"/>
      <c r="EZ158" s="910"/>
      <c r="FA158" s="910"/>
      <c r="FB158" s="910"/>
      <c r="FC158" s="910"/>
      <c r="FD158" s="910"/>
      <c r="FE158" s="910"/>
      <c r="FF158" s="910"/>
      <c r="FG158" s="910"/>
      <c r="FH158" s="910"/>
      <c r="FI158" s="910"/>
      <c r="FJ158" s="910"/>
      <c r="FK158" s="910"/>
    </row>
    <row r="159" spans="1:169" ht="9" customHeight="1" thickBot="1">
      <c r="A159" s="910"/>
      <c r="B159" s="910"/>
      <c r="C159" s="910"/>
      <c r="D159" s="910"/>
      <c r="E159" s="910"/>
      <c r="F159" s="910"/>
      <c r="G159" s="910"/>
      <c r="H159" s="910"/>
      <c r="I159" s="910"/>
      <c r="J159" s="910"/>
      <c r="K159" s="910"/>
      <c r="L159" s="910"/>
      <c r="M159" s="910"/>
      <c r="N159" s="910"/>
      <c r="O159" s="910"/>
      <c r="P159" s="910"/>
      <c r="Q159" s="910"/>
      <c r="R159" s="910"/>
      <c r="S159" s="910"/>
      <c r="T159" s="910"/>
      <c r="U159" s="910"/>
      <c r="V159" s="910"/>
      <c r="W159" s="910"/>
      <c r="X159" s="910"/>
      <c r="Y159" s="910"/>
      <c r="Z159" s="910"/>
      <c r="AA159" s="910"/>
      <c r="AB159" s="910"/>
      <c r="AC159" s="910"/>
      <c r="AD159" s="910"/>
      <c r="AE159" s="910"/>
      <c r="AF159" s="910"/>
      <c r="AG159" s="910"/>
      <c r="AH159" s="910"/>
      <c r="AI159" s="910"/>
      <c r="AJ159" s="910"/>
      <c r="AK159" s="910"/>
      <c r="AL159" s="910"/>
      <c r="AM159" s="910"/>
      <c r="AN159" s="910"/>
      <c r="AO159" s="910"/>
      <c r="AP159" s="910"/>
      <c r="AQ159" s="910"/>
      <c r="AR159" s="910"/>
      <c r="AS159" s="910"/>
      <c r="AT159" s="910"/>
      <c r="AU159" s="910"/>
      <c r="AV159" s="910"/>
      <c r="AW159" s="910"/>
      <c r="AX159" s="910"/>
      <c r="AY159" s="910"/>
      <c r="AZ159" s="910"/>
      <c r="BA159" s="910"/>
      <c r="BB159" s="910"/>
      <c r="BC159" s="910"/>
      <c r="BD159" s="910"/>
      <c r="BE159" s="910"/>
      <c r="BF159" s="910"/>
      <c r="BG159" s="910"/>
      <c r="BH159" s="910"/>
      <c r="BI159" s="910"/>
      <c r="BJ159" s="910"/>
      <c r="BK159" s="910"/>
      <c r="BL159" s="910"/>
      <c r="BM159" s="910"/>
      <c r="BN159" s="910"/>
      <c r="BO159" s="910"/>
      <c r="BP159" s="910"/>
      <c r="BQ159" s="3"/>
      <c r="BR159" s="3"/>
      <c r="BS159" s="3"/>
      <c r="BT159" s="3"/>
      <c r="BU159" s="3"/>
      <c r="BV159" s="3"/>
      <c r="BW159" s="3"/>
      <c r="BX159" s="3"/>
      <c r="BY159" s="3"/>
      <c r="BZ159" s="3"/>
      <c r="CA159" s="3"/>
      <c r="CB159" s="3"/>
      <c r="CC159" s="3"/>
      <c r="CD159" s="3"/>
      <c r="CE159" s="3"/>
      <c r="CF159" s="3"/>
      <c r="CG159" s="3"/>
      <c r="CH159" s="910"/>
      <c r="CI159" s="910"/>
      <c r="CJ159" s="910"/>
      <c r="CK159" s="910"/>
      <c r="CL159" s="910"/>
      <c r="CM159" s="910"/>
      <c r="CN159" s="910"/>
      <c r="CO159" s="910"/>
      <c r="CP159" s="910"/>
      <c r="CQ159" s="910"/>
      <c r="CR159" s="910"/>
      <c r="CS159" s="910"/>
      <c r="CT159" s="910"/>
      <c r="CU159" s="910"/>
      <c r="CV159" s="910"/>
      <c r="CW159" s="910"/>
      <c r="CX159" s="910"/>
      <c r="CY159" s="910"/>
      <c r="CZ159" s="910"/>
      <c r="DA159" s="910"/>
      <c r="DB159" s="910"/>
      <c r="DC159" s="910"/>
      <c r="DD159" s="910"/>
      <c r="DE159" s="910"/>
      <c r="DF159" s="910"/>
      <c r="DG159" s="910"/>
      <c r="DI159" s="958"/>
      <c r="DJ159" s="958"/>
      <c r="DK159" s="958"/>
      <c r="DL159" s="910"/>
      <c r="DM159" s="910"/>
      <c r="DN159" s="910"/>
      <c r="DO159" s="910"/>
      <c r="DP159" s="910"/>
      <c r="DQ159" s="910"/>
      <c r="DR159" s="910"/>
      <c r="DS159" s="910"/>
      <c r="DT159" s="910"/>
      <c r="DU159" s="910"/>
      <c r="DV159" s="910"/>
      <c r="DW159" s="910"/>
      <c r="DX159" s="910"/>
      <c r="DY159" s="910"/>
      <c r="DZ159" s="910"/>
      <c r="EA159" s="910"/>
      <c r="EB159" s="910"/>
      <c r="EC159" s="910"/>
      <c r="ED159" s="910"/>
      <c r="EE159" s="910"/>
      <c r="EF159" s="910"/>
      <c r="EG159" s="910"/>
      <c r="EH159" s="910"/>
      <c r="EI159" s="910"/>
      <c r="EJ159" s="910"/>
      <c r="EK159" s="910"/>
      <c r="EL159" s="910"/>
      <c r="EM159" s="910"/>
      <c r="EN159" s="910"/>
      <c r="EO159" s="910"/>
      <c r="EP159" s="910"/>
      <c r="EQ159" s="910"/>
      <c r="ER159" s="910"/>
      <c r="ES159" s="910"/>
      <c r="ET159" s="910"/>
      <c r="EU159" s="910"/>
      <c r="EV159" s="910"/>
      <c r="EW159" s="910"/>
      <c r="EX159" s="910"/>
      <c r="EY159" s="910"/>
      <c r="EZ159" s="910"/>
      <c r="FA159" s="910"/>
      <c r="FB159" s="910"/>
      <c r="FC159" s="910"/>
      <c r="FD159" s="910"/>
      <c r="FE159" s="910"/>
      <c r="FF159" s="910"/>
      <c r="FG159" s="910"/>
      <c r="FH159" s="910"/>
      <c r="FI159" s="910"/>
      <c r="FJ159" s="910"/>
      <c r="FK159" s="910"/>
    </row>
    <row r="160" spans="1:169" ht="9" customHeight="1" thickTop="1" thickBot="1">
      <c r="A160" s="910"/>
      <c r="B160" s="910"/>
      <c r="C160" s="910"/>
      <c r="D160" s="93"/>
      <c r="E160" s="2182" t="s">
        <v>5713</v>
      </c>
      <c r="F160" s="2182"/>
      <c r="G160" s="2182"/>
      <c r="H160" s="2182"/>
      <c r="I160" s="2182"/>
      <c r="J160" s="295"/>
      <c r="K160" s="295"/>
      <c r="L160" s="295"/>
      <c r="M160" s="295"/>
      <c r="N160" s="594"/>
      <c r="O160" s="594"/>
      <c r="P160" s="594"/>
      <c r="Q160" s="594"/>
      <c r="R160" s="594"/>
      <c r="S160" s="594"/>
      <c r="T160" s="594"/>
      <c r="U160" s="594"/>
      <c r="V160" s="594"/>
      <c r="W160" s="594"/>
      <c r="X160" s="594"/>
      <c r="Y160" s="594"/>
      <c r="Z160" s="594"/>
      <c r="AA160" s="594"/>
      <c r="AB160" s="594"/>
      <c r="AC160" s="297"/>
      <c r="AD160" s="910"/>
      <c r="AE160" s="910"/>
      <c r="AF160" s="93"/>
      <c r="AG160" s="2193" t="s">
        <v>6133</v>
      </c>
      <c r="AH160" s="2193"/>
      <c r="AI160" s="2193"/>
      <c r="AJ160" s="2193"/>
      <c r="AK160" s="2193"/>
      <c r="AL160" s="2193"/>
      <c r="AM160" s="2193"/>
      <c r="AN160" s="2193"/>
      <c r="AO160" s="1108" t="e">
        <f ca="1">Weapons!$AI$70-Weapons!$AI$69</f>
        <v>#N/A</v>
      </c>
      <c r="AP160" s="592"/>
      <c r="AQ160" s="594"/>
      <c r="AR160" s="594"/>
      <c r="AS160" s="594"/>
      <c r="AT160" s="594"/>
      <c r="AU160" s="594"/>
      <c r="AV160" s="594"/>
      <c r="AW160" s="594"/>
      <c r="AX160" s="297"/>
      <c r="AY160" s="1092"/>
      <c r="AZ160" s="910"/>
      <c r="BA160" s="93"/>
      <c r="BB160" s="2193" t="s">
        <v>4094</v>
      </c>
      <c r="BC160" s="2193"/>
      <c r="BD160" s="2193"/>
      <c r="BE160" s="2193"/>
      <c r="BF160" s="2193"/>
      <c r="BG160" s="2193"/>
      <c r="BH160" s="2193"/>
      <c r="BI160" s="2193"/>
      <c r="BJ160" s="2193"/>
      <c r="BK160" s="2193"/>
      <c r="BL160" s="2193"/>
      <c r="BM160" s="2193"/>
      <c r="BN160" s="2193"/>
      <c r="BO160" s="2193"/>
      <c r="BP160" s="113"/>
      <c r="BQ160" s="145"/>
      <c r="BR160" s="93"/>
      <c r="BS160" s="2193" t="s">
        <v>4100</v>
      </c>
      <c r="BT160" s="2193"/>
      <c r="BU160" s="2193"/>
      <c r="BV160" s="2193"/>
      <c r="BW160" s="2193"/>
      <c r="BX160" s="2193"/>
      <c r="BY160" s="2193"/>
      <c r="BZ160" s="2193"/>
      <c r="CA160" s="2193" t="s">
        <v>4095</v>
      </c>
      <c r="CB160" s="2193"/>
      <c r="CC160" s="2193"/>
      <c r="CD160" s="2193"/>
      <c r="CE160" s="2193"/>
      <c r="CF160" s="2193"/>
      <c r="CG160" s="2193"/>
      <c r="CH160" s="2193"/>
      <c r="CI160" s="2193" t="s">
        <v>4099</v>
      </c>
      <c r="CJ160" s="2193"/>
      <c r="CK160" s="2193"/>
      <c r="CL160" s="2193"/>
      <c r="CM160" s="2193"/>
      <c r="CN160" s="2193"/>
      <c r="CO160" s="2193"/>
      <c r="CP160" s="2193"/>
      <c r="CQ160" s="2193" t="s">
        <v>4098</v>
      </c>
      <c r="CR160" s="2193"/>
      <c r="CS160" s="2193"/>
      <c r="CT160" s="2193"/>
      <c r="CU160" s="2193"/>
      <c r="CV160" s="2193"/>
      <c r="CW160" s="2193"/>
      <c r="CX160" s="2193"/>
      <c r="CY160" s="2193" t="s">
        <v>4097</v>
      </c>
      <c r="CZ160" s="2193"/>
      <c r="DA160" s="2193"/>
      <c r="DB160" s="2193"/>
      <c r="DC160" s="2193"/>
      <c r="DD160" s="2193"/>
      <c r="DE160" s="2193"/>
      <c r="DF160" s="2193"/>
      <c r="DG160" s="113"/>
      <c r="DH160" s="976"/>
      <c r="DI160" s="958"/>
      <c r="DJ160" s="958"/>
      <c r="DK160" s="958"/>
      <c r="DL160" s="910"/>
      <c r="DM160" s="910"/>
      <c r="DN160" s="910"/>
      <c r="DO160" s="910"/>
      <c r="DP160" s="910"/>
      <c r="DQ160" s="910"/>
      <c r="DR160" s="910"/>
      <c r="DS160" s="910"/>
      <c r="DT160" s="910"/>
      <c r="DU160" s="910"/>
      <c r="DV160" s="910"/>
      <c r="DW160" s="910"/>
      <c r="DX160" s="910"/>
      <c r="DY160" s="910"/>
      <c r="DZ160" s="910"/>
      <c r="EA160" s="910"/>
      <c r="EB160" s="910"/>
      <c r="EC160" s="910"/>
      <c r="ED160" s="910"/>
      <c r="EE160" s="910"/>
      <c r="EF160" s="910"/>
      <c r="EG160" s="910"/>
      <c r="EH160" s="910"/>
      <c r="EI160" s="910"/>
      <c r="EJ160" s="910"/>
      <c r="EK160" s="910"/>
      <c r="EL160" s="910"/>
      <c r="EM160" s="910"/>
      <c r="EN160" s="910"/>
      <c r="EO160" s="910"/>
      <c r="EP160" s="910"/>
      <c r="EQ160" s="910"/>
      <c r="ER160" s="910"/>
      <c r="ES160" s="910"/>
      <c r="ET160" s="910"/>
      <c r="EU160" s="910"/>
      <c r="EV160" s="910"/>
      <c r="EW160" s="910"/>
      <c r="EX160" s="910"/>
      <c r="EY160" s="910"/>
      <c r="EZ160" s="910"/>
      <c r="FA160" s="910"/>
      <c r="FB160" s="910"/>
      <c r="FC160" s="910"/>
      <c r="FD160" s="910"/>
      <c r="FE160" s="910"/>
      <c r="FF160" s="910"/>
      <c r="FG160" s="910"/>
      <c r="FH160" s="910"/>
      <c r="FI160" s="910"/>
      <c r="FJ160" s="910"/>
      <c r="FK160" s="910"/>
    </row>
    <row r="161" spans="1:169" ht="9" customHeight="1" thickTop="1">
      <c r="A161" s="910"/>
      <c r="B161" s="910"/>
      <c r="C161" s="910"/>
      <c r="D161" s="102"/>
      <c r="E161" s="2180"/>
      <c r="F161" s="2180"/>
      <c r="G161" s="2180"/>
      <c r="H161" s="2180"/>
      <c r="I161" s="2180"/>
      <c r="J161" s="1867" t="str">
        <f>IF(J135&lt;&gt;"",IF(OR(AND(Weapons!$AI$74="lightsabers",Talents!$M$1110&gt;0),AND(Feats!$M$242&gt;0,COUNTIF(Weapons!$AI$56:$AI$59,"Spring Loaded")&gt;0)),"Free",IF(Feats!$M$170&gt;0,"Free as part of a Standard",IF(Feats!$M$242,"Swift","Move")))&amp;" action","")</f>
        <v/>
      </c>
      <c r="K161" s="1867"/>
      <c r="L161" s="1867"/>
      <c r="M161" s="1867"/>
      <c r="N161" s="1867"/>
      <c r="O161" s="1867"/>
      <c r="P161" s="1867"/>
      <c r="Q161" s="1867"/>
      <c r="R161" s="1867"/>
      <c r="S161" s="1867"/>
      <c r="T161" s="1867"/>
      <c r="U161" s="1867"/>
      <c r="V161" s="1867"/>
      <c r="W161" s="1867"/>
      <c r="X161" s="1867"/>
      <c r="Y161" s="1867"/>
      <c r="Z161" s="1867"/>
      <c r="AA161" s="1867"/>
      <c r="AB161" s="1867"/>
      <c r="AC161" s="300"/>
      <c r="AD161" s="595"/>
      <c r="AE161" s="595"/>
      <c r="AF161" s="102"/>
      <c r="AG161" s="2239"/>
      <c r="AH161" s="2239"/>
      <c r="AI161" s="2239"/>
      <c r="AJ161" s="2239"/>
      <c r="AK161" s="2239"/>
      <c r="AL161" s="2239"/>
      <c r="AM161" s="2239"/>
      <c r="AN161" s="2239"/>
      <c r="AO161" s="2241" t="str">
        <f>IF(J135&lt;&gt;"",IF(AND(NOT(ISERROR(FIND("-5 to Perception and Use Computer checks to detect",Q155,1))),ShowCloakedWeapons),INDEX(ConcealItemTable,MATCH(AO160,ConcealItemList,0),3),INDEX(ConcealItemTable,MATCH(AO160,ConcealItemList,0),2)),"")</f>
        <v/>
      </c>
      <c r="AP161" s="2241"/>
      <c r="AQ161" s="2241"/>
      <c r="AR161" s="2241"/>
      <c r="AS161" s="2241"/>
      <c r="AT161" s="2241"/>
      <c r="AU161" s="2241"/>
      <c r="AV161" s="2241"/>
      <c r="AW161" s="2241"/>
      <c r="AX161" s="300"/>
      <c r="AY161" s="1092"/>
      <c r="AZ161" s="910"/>
      <c r="BA161" s="102"/>
      <c r="BB161" s="2239"/>
      <c r="BC161" s="2239"/>
      <c r="BD161" s="2239"/>
      <c r="BE161" s="2239"/>
      <c r="BF161" s="2239"/>
      <c r="BG161" s="2239"/>
      <c r="BH161" s="2239"/>
      <c r="BI161" s="2239"/>
      <c r="BJ161" s="2239"/>
      <c r="BK161" s="2239"/>
      <c r="BL161" s="2239"/>
      <c r="BM161" s="2239"/>
      <c r="BN161" s="2239"/>
      <c r="BO161" s="2239"/>
      <c r="BP161" s="589"/>
      <c r="BQ161" s="598"/>
      <c r="BR161" s="102"/>
      <c r="BS161" s="2194"/>
      <c r="BT161" s="2194"/>
      <c r="BU161" s="2194"/>
      <c r="BV161" s="2194"/>
      <c r="BW161" s="2194"/>
      <c r="BX161" s="2194"/>
      <c r="BY161" s="2194"/>
      <c r="BZ161" s="2194"/>
      <c r="CA161" s="2194"/>
      <c r="CB161" s="2194"/>
      <c r="CC161" s="2194"/>
      <c r="CD161" s="2194"/>
      <c r="CE161" s="2194"/>
      <c r="CF161" s="2194"/>
      <c r="CG161" s="2194"/>
      <c r="CH161" s="2194"/>
      <c r="CI161" s="2194"/>
      <c r="CJ161" s="2194"/>
      <c r="CK161" s="2194"/>
      <c r="CL161" s="2194"/>
      <c r="CM161" s="2194"/>
      <c r="CN161" s="2194"/>
      <c r="CO161" s="2194"/>
      <c r="CP161" s="2194"/>
      <c r="CQ161" s="2194"/>
      <c r="CR161" s="2194"/>
      <c r="CS161" s="2194"/>
      <c r="CT161" s="2194"/>
      <c r="CU161" s="2194"/>
      <c r="CV161" s="2194"/>
      <c r="CW161" s="2194"/>
      <c r="CX161" s="2194"/>
      <c r="CY161" s="2194"/>
      <c r="CZ161" s="2194"/>
      <c r="DA161" s="2194"/>
      <c r="DB161" s="2194"/>
      <c r="DC161" s="2194"/>
      <c r="DD161" s="2194"/>
      <c r="DE161" s="2194"/>
      <c r="DF161" s="2194"/>
      <c r="DG161" s="910"/>
      <c r="DH161" s="977"/>
      <c r="DI161" s="958"/>
      <c r="DJ161" s="958"/>
      <c r="DK161" s="958"/>
      <c r="DL161" s="910"/>
      <c r="DM161" s="910"/>
      <c r="DN161" s="910"/>
      <c r="DO161" s="910"/>
      <c r="DP161" s="910"/>
      <c r="DQ161" s="910"/>
      <c r="DR161" s="910"/>
      <c r="DS161" s="910"/>
      <c r="DT161" s="910"/>
      <c r="DU161" s="910"/>
      <c r="DV161" s="910"/>
      <c r="DW161" s="910"/>
      <c r="DX161" s="910"/>
      <c r="DY161" s="910"/>
      <c r="DZ161" s="910"/>
      <c r="EA161" s="910"/>
      <c r="EB161" s="910"/>
      <c r="EC161" s="910"/>
      <c r="ED161" s="910"/>
      <c r="EE161" s="910"/>
      <c r="EF161" s="910"/>
      <c r="EG161" s="910"/>
      <c r="EH161" s="910"/>
      <c r="EI161" s="910"/>
      <c r="EJ161" s="910"/>
      <c r="EK161" s="910"/>
      <c r="EL161" s="910"/>
      <c r="EM161" s="910"/>
      <c r="EN161" s="910"/>
      <c r="EO161" s="910"/>
      <c r="EP161" s="910"/>
      <c r="EQ161" s="910"/>
      <c r="ER161" s="910"/>
      <c r="ES161" s="910"/>
      <c r="ET161" s="910"/>
      <c r="EU161" s="910"/>
      <c r="EV161" s="910"/>
      <c r="EW161" s="910"/>
      <c r="EX161" s="910"/>
      <c r="EY161" s="910"/>
      <c r="EZ161" s="910"/>
      <c r="FA161" s="910"/>
      <c r="FB161" s="910"/>
      <c r="FC161" s="910"/>
      <c r="FD161" s="910"/>
      <c r="FE161" s="910"/>
      <c r="FF161" s="910"/>
      <c r="FG161" s="910"/>
      <c r="FH161" s="910"/>
      <c r="FI161" s="910"/>
      <c r="FJ161" s="910"/>
      <c r="FK161" s="910"/>
    </row>
    <row r="162" spans="1:169" ht="9" customHeight="1">
      <c r="A162" s="910"/>
      <c r="B162" s="910"/>
      <c r="C162" s="910"/>
      <c r="D162" s="102"/>
      <c r="E162" s="105"/>
      <c r="F162" s="105"/>
      <c r="G162" s="105"/>
      <c r="H162" s="105"/>
      <c r="I162" s="657"/>
      <c r="J162" s="1867"/>
      <c r="K162" s="1867"/>
      <c r="L162" s="1867"/>
      <c r="M162" s="1867"/>
      <c r="N162" s="1867"/>
      <c r="O162" s="1867"/>
      <c r="P162" s="1867"/>
      <c r="Q162" s="1867"/>
      <c r="R162" s="1867"/>
      <c r="S162" s="1867"/>
      <c r="T162" s="1867"/>
      <c r="U162" s="1867"/>
      <c r="V162" s="1867"/>
      <c r="W162" s="1867"/>
      <c r="X162" s="1867"/>
      <c r="Y162" s="1867"/>
      <c r="Z162" s="1867"/>
      <c r="AA162" s="1867"/>
      <c r="AB162" s="1867"/>
      <c r="AC162" s="103"/>
      <c r="AD162" s="657"/>
      <c r="AE162" s="657"/>
      <c r="AF162" s="102"/>
      <c r="AG162" s="2243" t="s">
        <v>6134</v>
      </c>
      <c r="AH162" s="2243"/>
      <c r="AI162" s="2243"/>
      <c r="AJ162" s="2243"/>
      <c r="AK162" s="2243"/>
      <c r="AL162" s="2243"/>
      <c r="AM162" s="2243"/>
      <c r="AN162" s="2243"/>
      <c r="AO162" s="2241"/>
      <c r="AP162" s="2241"/>
      <c r="AQ162" s="2241"/>
      <c r="AR162" s="2241"/>
      <c r="AS162" s="2241"/>
      <c r="AT162" s="2241"/>
      <c r="AU162" s="2241"/>
      <c r="AV162" s="2241"/>
      <c r="AW162" s="2241"/>
      <c r="AX162" s="103"/>
      <c r="AY162" s="710"/>
      <c r="AZ162" s="910"/>
      <c r="BA162" s="102"/>
      <c r="BB162" s="2206" t="s">
        <v>110</v>
      </c>
      <c r="BC162" s="2206"/>
      <c r="BD162" s="2206"/>
      <c r="BE162" s="2206"/>
      <c r="BF162" s="2206"/>
      <c r="BG162" s="2206"/>
      <c r="BH162" s="2206"/>
      <c r="BI162" s="2206"/>
      <c r="BJ162" s="2206"/>
      <c r="BK162" s="2206"/>
      <c r="BL162" s="2206"/>
      <c r="BM162" s="2206"/>
      <c r="BN162" s="2206"/>
      <c r="BO162" s="2206"/>
      <c r="BP162" s="910"/>
      <c r="BQ162" s="910"/>
      <c r="BR162" s="102"/>
      <c r="BS162" s="2210" t="str">
        <f>IF(CA162&lt;&gt;"","0-1","")</f>
        <v/>
      </c>
      <c r="BT162" s="2210"/>
      <c r="BU162" s="2210"/>
      <c r="BV162" s="2210"/>
      <c r="BW162" s="2210"/>
      <c r="BX162" s="2210"/>
      <c r="BY162" s="2210"/>
      <c r="BZ162" s="2211"/>
      <c r="CA162" s="2229" t="str">
        <f>IF(AND(J135&lt;&gt;"",Weapons!AI$12="Ranged"),"0-"&amp;INDEX(RangeTable,MATCH(Weapons!AI$92,RangeList,0),2),"")</f>
        <v/>
      </c>
      <c r="CB162" s="2210"/>
      <c r="CC162" s="2210"/>
      <c r="CD162" s="2210"/>
      <c r="CE162" s="2210"/>
      <c r="CF162" s="2210"/>
      <c r="CG162" s="2210"/>
      <c r="CH162" s="2211"/>
      <c r="CI162" s="2229" t="str">
        <f>IF(AND(J135&lt;&gt;"",Weapons!AI$12="Ranged"),"0-"&amp;INDEX(RangeTable,MATCH(Weapons!AI$92,RangeList,0),3),"")</f>
        <v/>
      </c>
      <c r="CJ162" s="2210"/>
      <c r="CK162" s="2210"/>
      <c r="CL162" s="2210"/>
      <c r="CM162" s="2210"/>
      <c r="CN162" s="2210"/>
      <c r="CO162" s="2210"/>
      <c r="CP162" s="2211"/>
      <c r="CQ162" s="2229" t="str">
        <f>IF(AND(J135&lt;&gt;"",Weapons!AI$12="Ranged"),"0-"&amp;INDEX(RangeTable,MATCH(Weapons!AI$92,RangeList,0),4),"")</f>
        <v/>
      </c>
      <c r="CR162" s="2210"/>
      <c r="CS162" s="2210"/>
      <c r="CT162" s="2210"/>
      <c r="CU162" s="2210"/>
      <c r="CV162" s="2210"/>
      <c r="CW162" s="2210"/>
      <c r="CX162" s="2211"/>
      <c r="CY162" s="2229" t="str">
        <f>IF(AND(J135&lt;&gt;"",Weapons!AI$12="Ranged"),"0-"&amp;INDEX(RangeTable,MATCH(Weapons!AI$92,RangeList,0),5),"")</f>
        <v/>
      </c>
      <c r="CZ162" s="2210"/>
      <c r="DA162" s="2210"/>
      <c r="DB162" s="2210"/>
      <c r="DC162" s="2210"/>
      <c r="DD162" s="2210"/>
      <c r="DE162" s="2210"/>
      <c r="DF162" s="2210"/>
      <c r="DG162" s="100"/>
      <c r="DH162" s="976"/>
      <c r="DI162" s="958"/>
      <c r="DJ162" s="958"/>
      <c r="DK162" s="958"/>
      <c r="DL162" s="910"/>
      <c r="DM162" s="910"/>
      <c r="DN162" s="910"/>
      <c r="DO162" s="910"/>
      <c r="DP162" s="910"/>
      <c r="DQ162" s="910"/>
      <c r="DR162" s="910"/>
      <c r="DS162" s="910"/>
      <c r="DT162" s="910"/>
      <c r="DU162" s="910"/>
      <c r="DV162" s="910"/>
      <c r="DW162" s="910"/>
      <c r="DX162" s="910"/>
      <c r="DY162" s="910"/>
      <c r="DZ162" s="910"/>
      <c r="EA162" s="910"/>
      <c r="EB162" s="910"/>
      <c r="EC162" s="910"/>
      <c r="ED162" s="910"/>
      <c r="EE162" s="910"/>
      <c r="EF162" s="910"/>
      <c r="EG162" s="910"/>
      <c r="EH162" s="910"/>
      <c r="EI162" s="910"/>
      <c r="EJ162" s="910"/>
      <c r="EK162" s="910"/>
      <c r="EL162" s="910"/>
      <c r="EM162" s="910"/>
      <c r="EN162" s="910"/>
      <c r="EO162" s="910"/>
      <c r="EP162" s="910"/>
      <c r="EQ162" s="910"/>
      <c r="ER162" s="910"/>
      <c r="ES162" s="910"/>
      <c r="ET162" s="910"/>
      <c r="EU162" s="910"/>
      <c r="EV162" s="910"/>
      <c r="EW162" s="910"/>
      <c r="EX162" s="910"/>
      <c r="EY162" s="910"/>
      <c r="EZ162" s="910"/>
      <c r="FA162" s="910"/>
      <c r="FB162" s="910"/>
      <c r="FC162" s="910"/>
      <c r="FD162" s="910"/>
      <c r="FE162" s="910"/>
      <c r="FF162" s="910"/>
      <c r="FG162" s="910"/>
      <c r="FH162" s="910"/>
      <c r="FI162" s="910"/>
      <c r="FJ162" s="910"/>
      <c r="FK162" s="910"/>
    </row>
    <row r="163" spans="1:169" ht="9" customHeight="1" thickBot="1">
      <c r="A163" s="910"/>
      <c r="B163" s="910"/>
      <c r="C163" s="910"/>
      <c r="D163" s="91"/>
      <c r="E163" s="108"/>
      <c r="F163" s="108"/>
      <c r="G163" s="108"/>
      <c r="H163" s="108"/>
      <c r="I163" s="937"/>
      <c r="J163" s="1868"/>
      <c r="K163" s="1868"/>
      <c r="L163" s="1868"/>
      <c r="M163" s="1868"/>
      <c r="N163" s="1868"/>
      <c r="O163" s="1868"/>
      <c r="P163" s="1868"/>
      <c r="Q163" s="1868"/>
      <c r="R163" s="1868"/>
      <c r="S163" s="1868"/>
      <c r="T163" s="1868"/>
      <c r="U163" s="1868"/>
      <c r="V163" s="1868"/>
      <c r="W163" s="1868"/>
      <c r="X163" s="1868"/>
      <c r="Y163" s="1868"/>
      <c r="Z163" s="1868"/>
      <c r="AA163" s="1868"/>
      <c r="AB163" s="1868"/>
      <c r="AC163" s="90"/>
      <c r="AD163" s="657"/>
      <c r="AE163" s="657"/>
      <c r="AF163" s="91"/>
      <c r="AG163" s="2244"/>
      <c r="AH163" s="2244"/>
      <c r="AI163" s="2244"/>
      <c r="AJ163" s="2244"/>
      <c r="AK163" s="2244"/>
      <c r="AL163" s="2244"/>
      <c r="AM163" s="2244"/>
      <c r="AN163" s="2244"/>
      <c r="AO163" s="2242"/>
      <c r="AP163" s="2242"/>
      <c r="AQ163" s="2242"/>
      <c r="AR163" s="2242"/>
      <c r="AS163" s="2242"/>
      <c r="AT163" s="2242"/>
      <c r="AU163" s="2242"/>
      <c r="AV163" s="2242"/>
      <c r="AW163" s="2242"/>
      <c r="AX163" s="90"/>
      <c r="AY163" s="710"/>
      <c r="AZ163" s="910"/>
      <c r="BA163" s="102"/>
      <c r="BB163" s="2206"/>
      <c r="BC163" s="2206"/>
      <c r="BD163" s="2206"/>
      <c r="BE163" s="2206"/>
      <c r="BF163" s="2206"/>
      <c r="BG163" s="2206"/>
      <c r="BH163" s="2206"/>
      <c r="BI163" s="2206"/>
      <c r="BJ163" s="2206"/>
      <c r="BK163" s="2206"/>
      <c r="BL163" s="2206"/>
      <c r="BM163" s="2206"/>
      <c r="BN163" s="2206"/>
      <c r="BO163" s="2206"/>
      <c r="BP163" s="910"/>
      <c r="BQ163" s="910"/>
      <c r="BR163" s="647"/>
      <c r="BS163" s="2212"/>
      <c r="BT163" s="2212"/>
      <c r="BU163" s="2212"/>
      <c r="BV163" s="2212"/>
      <c r="BW163" s="2212"/>
      <c r="BX163" s="2212"/>
      <c r="BY163" s="2212"/>
      <c r="BZ163" s="2213"/>
      <c r="CA163" s="2226"/>
      <c r="CB163" s="2212"/>
      <c r="CC163" s="2212"/>
      <c r="CD163" s="2212"/>
      <c r="CE163" s="2212"/>
      <c r="CF163" s="2212"/>
      <c r="CG163" s="2212"/>
      <c r="CH163" s="2213"/>
      <c r="CI163" s="2226"/>
      <c r="CJ163" s="2212"/>
      <c r="CK163" s="2212"/>
      <c r="CL163" s="2212"/>
      <c r="CM163" s="2212"/>
      <c r="CN163" s="2212"/>
      <c r="CO163" s="2212"/>
      <c r="CP163" s="2213"/>
      <c r="CQ163" s="2226"/>
      <c r="CR163" s="2212"/>
      <c r="CS163" s="2212"/>
      <c r="CT163" s="2212"/>
      <c r="CU163" s="2212"/>
      <c r="CV163" s="2212"/>
      <c r="CW163" s="2212"/>
      <c r="CX163" s="2213"/>
      <c r="CY163" s="2226"/>
      <c r="CZ163" s="2212"/>
      <c r="DA163" s="2212"/>
      <c r="DB163" s="2212"/>
      <c r="DC163" s="2212"/>
      <c r="DD163" s="2212"/>
      <c r="DE163" s="2212"/>
      <c r="DF163" s="2212"/>
      <c r="DG163" s="100"/>
      <c r="DH163" s="976"/>
      <c r="DI163" s="958"/>
      <c r="DJ163" s="958"/>
      <c r="DK163" s="958"/>
      <c r="DL163" s="910"/>
      <c r="DM163" s="910"/>
      <c r="DN163" s="910"/>
      <c r="DO163" s="910"/>
      <c r="DP163" s="910"/>
      <c r="DQ163" s="910"/>
      <c r="DR163" s="910"/>
      <c r="DS163" s="910"/>
      <c r="DT163" s="910"/>
      <c r="DU163" s="910"/>
      <c r="DV163" s="910"/>
      <c r="DW163" s="910"/>
      <c r="DX163" s="910"/>
      <c r="DY163" s="910"/>
      <c r="DZ163" s="910"/>
      <c r="EA163" s="910"/>
      <c r="EB163" s="910"/>
      <c r="EC163" s="910"/>
      <c r="ED163" s="910"/>
      <c r="EE163" s="910"/>
      <c r="EF163" s="910"/>
      <c r="EG163" s="910"/>
      <c r="EH163" s="910"/>
      <c r="EI163" s="910"/>
      <c r="EJ163" s="910"/>
      <c r="EK163" s="910"/>
      <c r="EL163" s="910"/>
      <c r="EM163" s="910"/>
      <c r="EN163" s="910"/>
      <c r="EO163" s="910"/>
      <c r="EP163" s="910"/>
      <c r="EQ163" s="910"/>
      <c r="ER163" s="910"/>
      <c r="ES163" s="910"/>
      <c r="ET163" s="910"/>
      <c r="EU163" s="910"/>
      <c r="EV163" s="910"/>
      <c r="EW163" s="910"/>
      <c r="EX163" s="910"/>
      <c r="EY163" s="910"/>
      <c r="EZ163" s="910"/>
      <c r="FA163" s="910"/>
      <c r="FB163" s="910"/>
      <c r="FC163" s="910"/>
      <c r="FD163" s="910"/>
      <c r="FE163" s="910"/>
      <c r="FF163" s="910"/>
      <c r="FG163" s="910"/>
      <c r="FH163" s="910"/>
      <c r="FI163" s="910"/>
      <c r="FJ163" s="910"/>
      <c r="FK163" s="910"/>
    </row>
    <row r="164" spans="1:169" ht="9" customHeight="1" thickTop="1" thickBot="1">
      <c r="A164" s="910"/>
      <c r="B164" s="910"/>
      <c r="C164" s="910"/>
      <c r="D164" s="910"/>
      <c r="E164" s="910"/>
      <c r="F164" s="910"/>
      <c r="G164" s="910"/>
      <c r="H164" s="910"/>
      <c r="I164" s="910"/>
      <c r="J164" s="105"/>
      <c r="K164" s="105"/>
      <c r="L164" s="105"/>
      <c r="M164" s="105"/>
      <c r="N164" s="105"/>
      <c r="O164" s="657"/>
      <c r="P164" s="657"/>
      <c r="Q164" s="657"/>
      <c r="R164" s="657"/>
      <c r="S164" s="657"/>
      <c r="T164" s="657"/>
      <c r="U164" s="657"/>
      <c r="V164" s="657"/>
      <c r="W164" s="657"/>
      <c r="X164" s="657"/>
      <c r="Y164" s="657"/>
      <c r="Z164" s="657"/>
      <c r="AA164" s="657"/>
      <c r="AB164" s="657"/>
      <c r="AC164" s="657"/>
      <c r="AD164" s="657"/>
      <c r="AE164" s="657"/>
      <c r="AF164" s="657"/>
      <c r="AG164" s="657"/>
      <c r="AH164" s="657"/>
      <c r="AI164" s="301"/>
      <c r="AJ164" s="3"/>
      <c r="AK164" s="1092"/>
      <c r="AL164" s="1092"/>
      <c r="AM164" s="1092"/>
      <c r="AN164" s="1092"/>
      <c r="AO164" s="1092"/>
      <c r="AP164" s="1092"/>
      <c r="AQ164" s="710"/>
      <c r="AR164" s="710"/>
      <c r="AS164" s="710"/>
      <c r="AT164" s="710"/>
      <c r="AU164" s="710"/>
      <c r="AV164" s="710"/>
      <c r="AW164" s="710"/>
      <c r="AX164" s="710"/>
      <c r="AY164" s="710"/>
      <c r="AZ164" s="910"/>
      <c r="BA164" s="102"/>
      <c r="BB164" s="2206"/>
      <c r="BC164" s="2206"/>
      <c r="BD164" s="2206"/>
      <c r="BE164" s="2206"/>
      <c r="BF164" s="2206"/>
      <c r="BG164" s="2206"/>
      <c r="BH164" s="2206"/>
      <c r="BI164" s="2206"/>
      <c r="BJ164" s="2206"/>
      <c r="BK164" s="2206"/>
      <c r="BL164" s="2206"/>
      <c r="BM164" s="2206"/>
      <c r="BN164" s="2206"/>
      <c r="BO164" s="2206"/>
      <c r="BP164" s="910"/>
      <c r="BQ164" s="910"/>
      <c r="BR164" s="102"/>
      <c r="BS164" s="2214"/>
      <c r="BT164" s="2214"/>
      <c r="BU164" s="2214"/>
      <c r="BV164" s="2214"/>
      <c r="BW164" s="2214"/>
      <c r="BX164" s="2214"/>
      <c r="BY164" s="2214"/>
      <c r="BZ164" s="2215"/>
      <c r="CA164" s="2230"/>
      <c r="CB164" s="2214"/>
      <c r="CC164" s="2214"/>
      <c r="CD164" s="2214"/>
      <c r="CE164" s="2214"/>
      <c r="CF164" s="2214"/>
      <c r="CG164" s="2214"/>
      <c r="CH164" s="2215"/>
      <c r="CI164" s="2230"/>
      <c r="CJ164" s="2214"/>
      <c r="CK164" s="2214"/>
      <c r="CL164" s="2214"/>
      <c r="CM164" s="2214"/>
      <c r="CN164" s="2214"/>
      <c r="CO164" s="2214"/>
      <c r="CP164" s="2215"/>
      <c r="CQ164" s="2230"/>
      <c r="CR164" s="2214"/>
      <c r="CS164" s="2214"/>
      <c r="CT164" s="2214"/>
      <c r="CU164" s="2214"/>
      <c r="CV164" s="2214"/>
      <c r="CW164" s="2214"/>
      <c r="CX164" s="2215"/>
      <c r="CY164" s="2230"/>
      <c r="CZ164" s="2214"/>
      <c r="DA164" s="2214"/>
      <c r="DB164" s="2214"/>
      <c r="DC164" s="2214"/>
      <c r="DD164" s="2214"/>
      <c r="DE164" s="2214"/>
      <c r="DF164" s="2214"/>
      <c r="DG164" s="100"/>
      <c r="DH164" s="976"/>
      <c r="DI164" s="958"/>
      <c r="DJ164" s="958"/>
      <c r="DK164" s="958"/>
      <c r="DL164" s="910"/>
      <c r="DM164" s="910"/>
      <c r="DN164" s="910"/>
      <c r="DO164" s="910"/>
      <c r="DP164" s="910"/>
      <c r="DQ164" s="910"/>
      <c r="DR164" s="910"/>
      <c r="DS164" s="910"/>
      <c r="DT164" s="910"/>
      <c r="DU164" s="910"/>
      <c r="DV164" s="910"/>
      <c r="DW164" s="910"/>
      <c r="DX164" s="910"/>
      <c r="DY164" s="910"/>
      <c r="DZ164" s="910"/>
      <c r="EA164" s="910"/>
      <c r="EB164" s="910"/>
      <c r="EC164" s="910"/>
      <c r="ED164" s="910"/>
      <c r="EE164" s="910"/>
      <c r="EF164" s="910"/>
      <c r="EG164" s="910"/>
      <c r="EH164" s="910"/>
      <c r="EI164" s="910"/>
      <c r="EJ164" s="910"/>
      <c r="EK164" s="910"/>
      <c r="EL164" s="910"/>
      <c r="EM164" s="910"/>
      <c r="EN164" s="910"/>
      <c r="EO164" s="910"/>
      <c r="EP164" s="910"/>
      <c r="EQ164" s="910"/>
      <c r="ER164" s="910"/>
      <c r="ES164" s="910"/>
      <c r="ET164" s="910"/>
      <c r="EU164" s="910"/>
      <c r="EV164" s="910"/>
      <c r="EW164" s="910"/>
      <c r="EX164" s="910"/>
      <c r="EY164" s="910"/>
      <c r="EZ164" s="910"/>
      <c r="FA164" s="910"/>
      <c r="FB164" s="910"/>
      <c r="FC164" s="910"/>
      <c r="FD164" s="910"/>
      <c r="FE164" s="910"/>
      <c r="FF164" s="910"/>
      <c r="FG164" s="910"/>
      <c r="FH164" s="910"/>
      <c r="FI164" s="910"/>
      <c r="FJ164" s="910"/>
      <c r="FK164" s="910"/>
    </row>
    <row r="165" spans="1:169" ht="9" customHeight="1" thickTop="1">
      <c r="A165" s="910"/>
      <c r="B165" s="910"/>
      <c r="C165" s="910"/>
      <c r="D165" s="910"/>
      <c r="E165" s="910"/>
      <c r="F165" s="910"/>
      <c r="G165" s="910"/>
      <c r="H165" s="910"/>
      <c r="I165" s="910"/>
      <c r="J165" s="3"/>
      <c r="K165" s="3"/>
      <c r="L165" s="93"/>
      <c r="M165" s="2179" t="s">
        <v>6142</v>
      </c>
      <c r="N165" s="2179"/>
      <c r="O165" s="2179"/>
      <c r="P165" s="2179"/>
      <c r="Q165" s="2179"/>
      <c r="R165" s="2179"/>
      <c r="S165" s="592"/>
      <c r="T165" s="1117">
        <v>1</v>
      </c>
      <c r="U165" s="1117">
        <f>T165+1</f>
        <v>2</v>
      </c>
      <c r="V165" s="1117">
        <f>U165+1</f>
        <v>3</v>
      </c>
      <c r="W165" s="1117">
        <f>V165+1</f>
        <v>4</v>
      </c>
      <c r="X165" s="1117">
        <f>W165+1</f>
        <v>5</v>
      </c>
      <c r="Y165" s="1117" t="s">
        <v>3816</v>
      </c>
      <c r="Z165" s="1117">
        <f>X165+1</f>
        <v>6</v>
      </c>
      <c r="AA165" s="1117">
        <f>Z165+1</f>
        <v>7</v>
      </c>
      <c r="AB165" s="1117">
        <f>AA165+1</f>
        <v>8</v>
      </c>
      <c r="AC165" s="1117">
        <f>AB165+1</f>
        <v>9</v>
      </c>
      <c r="AD165" s="1117">
        <f>AC165+1</f>
        <v>10</v>
      </c>
      <c r="AE165" s="1117" t="s">
        <v>3816</v>
      </c>
      <c r="AF165" s="1117">
        <f>AD165+1</f>
        <v>11</v>
      </c>
      <c r="AG165" s="1117">
        <f>AF165+1</f>
        <v>12</v>
      </c>
      <c r="AH165" s="1117">
        <f>AG165+1</f>
        <v>13</v>
      </c>
      <c r="AI165" s="1117">
        <f>AH165+1</f>
        <v>14</v>
      </c>
      <c r="AJ165" s="1117">
        <f>AI165+1</f>
        <v>15</v>
      </c>
      <c r="AK165" s="1117" t="s">
        <v>3816</v>
      </c>
      <c r="AL165" s="1117">
        <f>AJ165+1</f>
        <v>16</v>
      </c>
      <c r="AM165" s="1117">
        <f>AL165+1</f>
        <v>17</v>
      </c>
      <c r="AN165" s="1117">
        <f>AM165+1</f>
        <v>18</v>
      </c>
      <c r="AO165" s="1117">
        <f>AN165+1</f>
        <v>19</v>
      </c>
      <c r="AP165" s="1117">
        <f>AO165+1</f>
        <v>20</v>
      </c>
      <c r="AQ165" s="1117" t="s">
        <v>3816</v>
      </c>
      <c r="AR165" s="1117">
        <f>AP165+1</f>
        <v>21</v>
      </c>
      <c r="AS165" s="1117">
        <f>AR165+1</f>
        <v>22</v>
      </c>
      <c r="AT165" s="1117">
        <f>AS165+1</f>
        <v>23</v>
      </c>
      <c r="AU165" s="1117">
        <f>AT165+1</f>
        <v>24</v>
      </c>
      <c r="AV165" s="1117">
        <f>AU165+1</f>
        <v>25</v>
      </c>
      <c r="AW165" s="1117"/>
      <c r="AX165" s="297"/>
      <c r="AY165" s="1116"/>
      <c r="AZ165" s="910"/>
      <c r="BA165" s="102"/>
      <c r="BB165" s="2206" t="s">
        <v>4096</v>
      </c>
      <c r="BC165" s="2206"/>
      <c r="BD165" s="2206"/>
      <c r="BE165" s="2206"/>
      <c r="BF165" s="2206"/>
      <c r="BG165" s="2206"/>
      <c r="BH165" s="2206"/>
      <c r="BI165" s="2206"/>
      <c r="BJ165" s="2206"/>
      <c r="BK165" s="2206"/>
      <c r="BL165" s="2206"/>
      <c r="BM165" s="2206"/>
      <c r="BN165" s="2206"/>
      <c r="BO165" s="2206"/>
      <c r="BP165" s="910"/>
      <c r="BQ165" s="910"/>
      <c r="BR165" s="102"/>
      <c r="BS165" s="2219" t="str">
        <f>IF(CA165&lt;&gt;"",IF(AND(INDEX(WeaponTable,MATCH(Weapons!AI$11,WeaponList,0),5)&lt;&gt;"heavy",Feats!$M$361&gt;0),2,""),"")</f>
        <v/>
      </c>
      <c r="BT165" s="2219"/>
      <c r="BU165" s="2219"/>
      <c r="BV165" s="2219"/>
      <c r="BW165" s="2219"/>
      <c r="BX165" s="2219"/>
      <c r="BY165" s="2219"/>
      <c r="BZ165" s="2220"/>
      <c r="CA165" s="2225" t="str">
        <f>IF(AND(AQ133="Ranged",J133&lt;&gt;""),IF(Feats!$M$233&gt;0,1,0),"")</f>
        <v/>
      </c>
      <c r="CB165" s="2219"/>
      <c r="CC165" s="2219"/>
      <c r="CD165" s="2219"/>
      <c r="CE165" s="2219"/>
      <c r="CF165" s="2219"/>
      <c r="CG165" s="2219"/>
      <c r="CH165" s="2220"/>
      <c r="CI165" s="2219" t="str">
        <f>IF(AND(AQ133="Ranged",J135&lt;&gt;""),IF(OR(Weapons!AI$27="Accurate",COUNTIF(Weapons!AI$56:AI$60,"Rangefinder")&gt;0),0,IF(Feats!$M$107&gt;0,0,-2)),"")</f>
        <v/>
      </c>
      <c r="CJ165" s="2219"/>
      <c r="CK165" s="2219"/>
      <c r="CL165" s="2219"/>
      <c r="CM165" s="2219"/>
      <c r="CN165" s="2219"/>
      <c r="CO165" s="2219"/>
      <c r="CP165" s="2220"/>
      <c r="CQ165" s="2225" t="str">
        <f>IF(AND(AQ133="Ranged",J135&lt;&gt;""),IF(Feats!$M$107&gt;0,-2,-5),"")</f>
        <v/>
      </c>
      <c r="CR165" s="2219"/>
      <c r="CS165" s="2219"/>
      <c r="CT165" s="2219"/>
      <c r="CU165" s="2219"/>
      <c r="CV165" s="2219"/>
      <c r="CW165" s="2219"/>
      <c r="CX165" s="2220"/>
      <c r="CY165" s="2231" t="str">
        <f>IF(AND(AQ133="Ranged",J135&lt;&gt;""),IF(Weapons!AI$27="Inaccurate","N/A",IF(Feats!$M$107&gt;0,-5,-10)),"")</f>
        <v/>
      </c>
      <c r="CZ165" s="2232"/>
      <c r="DA165" s="2232"/>
      <c r="DB165" s="2232"/>
      <c r="DC165" s="2232"/>
      <c r="DD165" s="2232"/>
      <c r="DE165" s="2232"/>
      <c r="DF165" s="2232"/>
      <c r="DG165" s="100"/>
      <c r="DH165" s="976"/>
      <c r="DI165" s="958"/>
      <c r="DJ165" s="958"/>
      <c r="DK165" s="958"/>
      <c r="DL165" s="910"/>
      <c r="DM165" s="910"/>
      <c r="DN165" s="910"/>
      <c r="DO165" s="910"/>
      <c r="DP165" s="910"/>
      <c r="DQ165" s="910"/>
      <c r="DR165" s="910"/>
      <c r="DS165" s="910"/>
      <c r="DT165" s="910"/>
      <c r="DU165" s="910"/>
      <c r="DV165" s="910"/>
      <c r="DW165" s="910"/>
      <c r="DX165" s="910"/>
      <c r="DY165" s="910"/>
      <c r="DZ165" s="910"/>
      <c r="EA165" s="910"/>
      <c r="EB165" s="910"/>
      <c r="EC165" s="910"/>
      <c r="ED165" s="910"/>
      <c r="EE165" s="910"/>
      <c r="EF165" s="910"/>
      <c r="EG165" s="910"/>
      <c r="EH165" s="910"/>
      <c r="EI165" s="910"/>
      <c r="EJ165" s="910"/>
      <c r="EK165" s="910"/>
      <c r="EL165" s="910"/>
      <c r="EM165" s="910"/>
      <c r="EN165" s="910"/>
      <c r="EO165" s="910"/>
      <c r="EP165" s="910"/>
      <c r="EQ165" s="910"/>
      <c r="ER165" s="910"/>
      <c r="ES165" s="910"/>
      <c r="ET165" s="910"/>
      <c r="EU165" s="910"/>
      <c r="EV165" s="910"/>
      <c r="EW165" s="910"/>
      <c r="EX165" s="910"/>
      <c r="EY165" s="910"/>
      <c r="EZ165" s="910"/>
      <c r="FA165" s="910"/>
      <c r="FB165" s="910"/>
      <c r="FC165" s="910"/>
      <c r="FD165" s="910"/>
      <c r="FE165" s="910"/>
      <c r="FF165" s="910"/>
      <c r="FG165" s="910"/>
      <c r="FH165" s="910"/>
      <c r="FI165" s="910"/>
      <c r="FJ165" s="910"/>
      <c r="FK165" s="910"/>
    </row>
    <row r="166" spans="1:169" ht="9" customHeight="1">
      <c r="A166" s="910"/>
      <c r="B166" s="910"/>
      <c r="C166" s="910"/>
      <c r="D166" s="910"/>
      <c r="E166" s="910"/>
      <c r="F166" s="910"/>
      <c r="G166" s="910"/>
      <c r="H166" s="910"/>
      <c r="I166" s="910"/>
      <c r="J166" s="105"/>
      <c r="K166" s="913"/>
      <c r="L166" s="102"/>
      <c r="M166" s="2180"/>
      <c r="N166" s="2180"/>
      <c r="O166" s="2180"/>
      <c r="P166" s="2180"/>
      <c r="Q166" s="2180"/>
      <c r="R166" s="2180"/>
      <c r="S166" s="3"/>
      <c r="T166" s="657"/>
      <c r="U166" s="657"/>
      <c r="V166" s="1105"/>
      <c r="W166" s="1105"/>
      <c r="X166" s="1105"/>
      <c r="Y166" s="1105"/>
      <c r="Z166" s="712"/>
      <c r="AA166" s="712"/>
      <c r="AB166" s="595"/>
      <c r="AC166" s="595"/>
      <c r="AD166" s="595"/>
      <c r="AE166" s="595"/>
      <c r="AF166" s="595"/>
      <c r="AG166" s="595"/>
      <c r="AH166" s="595"/>
      <c r="AI166" s="595"/>
      <c r="AJ166" s="595"/>
      <c r="AK166" s="595"/>
      <c r="AL166" s="595"/>
      <c r="AM166" s="595"/>
      <c r="AN166" s="595"/>
      <c r="AO166" s="595"/>
      <c r="AP166" s="595"/>
      <c r="AQ166" s="595"/>
      <c r="AR166" s="595"/>
      <c r="AS166" s="595"/>
      <c r="AT166" s="595"/>
      <c r="AU166" s="595"/>
      <c r="AV166" s="595"/>
      <c r="AW166" s="595"/>
      <c r="AX166" s="300"/>
      <c r="AY166" s="595"/>
      <c r="AZ166" s="910"/>
      <c r="BA166" s="102"/>
      <c r="BB166" s="2206"/>
      <c r="BC166" s="2206"/>
      <c r="BD166" s="2206"/>
      <c r="BE166" s="2206"/>
      <c r="BF166" s="2206"/>
      <c r="BG166" s="2206"/>
      <c r="BH166" s="2206"/>
      <c r="BI166" s="2206"/>
      <c r="BJ166" s="2206"/>
      <c r="BK166" s="2206"/>
      <c r="BL166" s="2206"/>
      <c r="BM166" s="2206"/>
      <c r="BN166" s="2206"/>
      <c r="BO166" s="2206"/>
      <c r="BP166" s="910"/>
      <c r="BQ166" s="910"/>
      <c r="BR166" s="102"/>
      <c r="BS166" s="2221"/>
      <c r="BT166" s="2221"/>
      <c r="BU166" s="2221"/>
      <c r="BV166" s="2221"/>
      <c r="BW166" s="2221"/>
      <c r="BX166" s="2221"/>
      <c r="BY166" s="2221"/>
      <c r="BZ166" s="2222"/>
      <c r="CA166" s="2228"/>
      <c r="CB166" s="2221"/>
      <c r="CC166" s="2221"/>
      <c r="CD166" s="2221"/>
      <c r="CE166" s="2221"/>
      <c r="CF166" s="2221"/>
      <c r="CG166" s="2221"/>
      <c r="CH166" s="2222"/>
      <c r="CI166" s="2221"/>
      <c r="CJ166" s="2221"/>
      <c r="CK166" s="2221"/>
      <c r="CL166" s="2221"/>
      <c r="CM166" s="2221"/>
      <c r="CN166" s="2221"/>
      <c r="CO166" s="2221"/>
      <c r="CP166" s="2222"/>
      <c r="CQ166" s="2228"/>
      <c r="CR166" s="2221"/>
      <c r="CS166" s="2221"/>
      <c r="CT166" s="2221"/>
      <c r="CU166" s="2221"/>
      <c r="CV166" s="2221"/>
      <c r="CW166" s="2221"/>
      <c r="CX166" s="2222"/>
      <c r="CY166" s="2233"/>
      <c r="CZ166" s="2234"/>
      <c r="DA166" s="2234"/>
      <c r="DB166" s="2234"/>
      <c r="DC166" s="2234"/>
      <c r="DD166" s="2234"/>
      <c r="DE166" s="2234"/>
      <c r="DF166" s="2234"/>
      <c r="DG166" s="100"/>
      <c r="DH166" s="976"/>
      <c r="DI166" s="958"/>
      <c r="DJ166" s="958"/>
      <c r="DK166" s="958"/>
      <c r="DL166" s="910"/>
      <c r="DM166" s="910"/>
      <c r="DN166" s="910"/>
      <c r="DO166" s="910"/>
      <c r="DP166" s="910"/>
      <c r="DQ166" s="910"/>
      <c r="DR166" s="910"/>
      <c r="DS166" s="910"/>
      <c r="DT166" s="910"/>
      <c r="DU166" s="910"/>
      <c r="DV166" s="910"/>
      <c r="DW166" s="910"/>
      <c r="DX166" s="910"/>
      <c r="DY166" s="910"/>
      <c r="DZ166" s="910"/>
      <c r="EA166" s="910"/>
      <c r="EB166" s="910"/>
      <c r="EC166" s="910"/>
      <c r="ED166" s="910"/>
      <c r="EE166" s="910"/>
      <c r="EF166" s="910"/>
      <c r="EG166" s="910"/>
      <c r="EH166" s="910"/>
      <c r="EI166" s="910"/>
      <c r="EJ166" s="910"/>
      <c r="EK166" s="910"/>
      <c r="EL166" s="910"/>
      <c r="EM166" s="910"/>
      <c r="EN166" s="910"/>
      <c r="EO166" s="910"/>
      <c r="EP166" s="910"/>
      <c r="EQ166" s="910"/>
      <c r="ER166" s="910"/>
      <c r="ES166" s="910"/>
      <c r="ET166" s="910"/>
      <c r="EU166" s="910"/>
      <c r="EV166" s="910"/>
      <c r="EW166" s="910"/>
      <c r="EX166" s="910"/>
      <c r="EY166" s="910"/>
      <c r="EZ166" s="910"/>
      <c r="FA166" s="910"/>
      <c r="FB166" s="910"/>
      <c r="FC166" s="910"/>
      <c r="FD166" s="910"/>
      <c r="FE166" s="910"/>
      <c r="FF166" s="910"/>
      <c r="FG166" s="910"/>
      <c r="FH166" s="910"/>
      <c r="FI166" s="910"/>
      <c r="FJ166" s="910"/>
      <c r="FK166" s="910"/>
    </row>
    <row r="167" spans="1:169" ht="9" customHeight="1">
      <c r="A167" s="910"/>
      <c r="B167" s="910"/>
      <c r="C167" s="910"/>
      <c r="D167" s="910"/>
      <c r="E167" s="910"/>
      <c r="F167" s="910"/>
      <c r="G167" s="910"/>
      <c r="H167" s="910"/>
      <c r="I167" s="910"/>
      <c r="J167" s="331"/>
      <c r="K167" s="913"/>
      <c r="L167" s="102"/>
      <c r="M167" s="105"/>
      <c r="N167" s="105"/>
      <c r="O167" s="105"/>
      <c r="P167" s="105"/>
      <c r="Q167" s="657"/>
      <c r="R167" s="657"/>
      <c r="S167" s="3"/>
      <c r="T167" s="1105"/>
      <c r="U167" s="657"/>
      <c r="V167" s="657"/>
      <c r="W167" s="657"/>
      <c r="X167" s="657"/>
      <c r="Y167" s="657"/>
      <c r="Z167" s="657"/>
      <c r="AA167" s="657"/>
      <c r="AB167" s="657"/>
      <c r="AC167" s="657"/>
      <c r="AD167" s="657"/>
      <c r="AE167" s="657"/>
      <c r="AF167" s="657"/>
      <c r="AG167" s="657"/>
      <c r="AH167" s="657"/>
      <c r="AI167" s="657"/>
      <c r="AJ167" s="657"/>
      <c r="AK167" s="657"/>
      <c r="AL167" s="657"/>
      <c r="AM167" s="657"/>
      <c r="AN167" s="657"/>
      <c r="AO167" s="596"/>
      <c r="AP167" s="3"/>
      <c r="AQ167" s="3"/>
      <c r="AR167" s="3"/>
      <c r="AS167" s="3"/>
      <c r="AT167" s="3"/>
      <c r="AU167" s="3"/>
      <c r="AV167" s="3"/>
      <c r="AW167" s="3"/>
      <c r="AX167" s="103"/>
      <c r="AY167" s="1104"/>
      <c r="AZ167" s="910"/>
      <c r="BA167" s="102"/>
      <c r="BB167" s="2206"/>
      <c r="BC167" s="2206"/>
      <c r="BD167" s="2206"/>
      <c r="BE167" s="2206"/>
      <c r="BF167" s="2206"/>
      <c r="BG167" s="2206"/>
      <c r="BH167" s="2206"/>
      <c r="BI167" s="2206"/>
      <c r="BJ167" s="2206"/>
      <c r="BK167" s="2206"/>
      <c r="BL167" s="2206"/>
      <c r="BM167" s="2206"/>
      <c r="BN167" s="2206"/>
      <c r="BO167" s="2206"/>
      <c r="BP167" s="910"/>
      <c r="BQ167" s="910"/>
      <c r="BR167" s="102"/>
      <c r="BS167" s="2198"/>
      <c r="BT167" s="2198"/>
      <c r="BU167" s="2198"/>
      <c r="BV167" s="2198"/>
      <c r="BW167" s="2198"/>
      <c r="BX167" s="2198"/>
      <c r="BY167" s="2198"/>
      <c r="BZ167" s="2199"/>
      <c r="CA167" s="2197"/>
      <c r="CB167" s="2198"/>
      <c r="CC167" s="2198"/>
      <c r="CD167" s="2198"/>
      <c r="CE167" s="2198"/>
      <c r="CF167" s="2198"/>
      <c r="CG167" s="2198"/>
      <c r="CH167" s="2199"/>
      <c r="CI167" s="2198"/>
      <c r="CJ167" s="2198"/>
      <c r="CK167" s="2198"/>
      <c r="CL167" s="2198"/>
      <c r="CM167" s="2198"/>
      <c r="CN167" s="2198"/>
      <c r="CO167" s="2198"/>
      <c r="CP167" s="2199"/>
      <c r="CQ167" s="2197"/>
      <c r="CR167" s="2198"/>
      <c r="CS167" s="2198"/>
      <c r="CT167" s="2198"/>
      <c r="CU167" s="2198"/>
      <c r="CV167" s="2198"/>
      <c r="CW167" s="2198"/>
      <c r="CX167" s="2199"/>
      <c r="CY167" s="2235"/>
      <c r="CZ167" s="2236"/>
      <c r="DA167" s="2236"/>
      <c r="DB167" s="2236"/>
      <c r="DC167" s="2236"/>
      <c r="DD167" s="2236"/>
      <c r="DE167" s="2236"/>
      <c r="DF167" s="2236"/>
      <c r="DG167" s="100"/>
      <c r="DH167" s="976"/>
      <c r="DI167" s="958"/>
      <c r="DJ167" s="958"/>
      <c r="DK167" s="958"/>
      <c r="DL167" s="910"/>
      <c r="DM167" s="910"/>
      <c r="DN167" s="910"/>
      <c r="DO167" s="910"/>
      <c r="DP167" s="910"/>
      <c r="DQ167" s="910"/>
      <c r="DR167" s="910"/>
      <c r="DS167" s="910"/>
      <c r="DT167" s="910"/>
      <c r="DU167" s="910"/>
      <c r="DV167" s="910"/>
      <c r="DW167" s="910"/>
      <c r="DX167" s="910"/>
      <c r="DY167" s="910"/>
      <c r="DZ167" s="910"/>
      <c r="EA167" s="910"/>
      <c r="EB167" s="910"/>
      <c r="EC167" s="910"/>
      <c r="ED167" s="910"/>
      <c r="EE167" s="910"/>
      <c r="EF167" s="910"/>
      <c r="EG167" s="910"/>
      <c r="EH167" s="910"/>
      <c r="EI167" s="910"/>
      <c r="EJ167" s="910"/>
      <c r="EK167" s="910"/>
      <c r="EL167" s="910"/>
      <c r="EM167" s="910"/>
      <c r="EN167" s="910"/>
      <c r="EO167" s="910"/>
      <c r="EP167" s="910"/>
      <c r="EQ167" s="910"/>
      <c r="ER167" s="910"/>
      <c r="ES167" s="910"/>
      <c r="ET167" s="910"/>
      <c r="EU167" s="910"/>
      <c r="EV167" s="910"/>
      <c r="EW167" s="910"/>
      <c r="EX167" s="910"/>
      <c r="EY167" s="910"/>
      <c r="EZ167" s="910"/>
      <c r="FA167" s="910"/>
      <c r="FB167" s="910"/>
      <c r="FC167" s="910"/>
      <c r="FD167" s="910"/>
      <c r="FE167" s="910"/>
      <c r="FF167" s="910"/>
      <c r="FG167" s="910"/>
      <c r="FH167" s="910"/>
      <c r="FI167" s="910"/>
      <c r="FJ167" s="910"/>
      <c r="FK167" s="910"/>
    </row>
    <row r="168" spans="1:169" ht="9" customHeight="1">
      <c r="A168" s="910"/>
      <c r="B168" s="910"/>
      <c r="C168" s="910"/>
      <c r="D168" s="910"/>
      <c r="E168" s="910"/>
      <c r="F168" s="910"/>
      <c r="G168" s="910"/>
      <c r="H168" s="910"/>
      <c r="I168" s="910"/>
      <c r="J168" s="331"/>
      <c r="K168" s="105"/>
      <c r="L168" s="102"/>
      <c r="M168" s="105"/>
      <c r="N168" s="105"/>
      <c r="O168" s="105"/>
      <c r="P168" s="105"/>
      <c r="Q168" s="657"/>
      <c r="R168" s="657"/>
      <c r="S168" s="3"/>
      <c r="T168" s="1105"/>
      <c r="U168" s="657"/>
      <c r="V168" s="657"/>
      <c r="W168" s="657"/>
      <c r="X168" s="657"/>
      <c r="Y168" s="657"/>
      <c r="Z168" s="657"/>
      <c r="AA168" s="657"/>
      <c r="AB168" s="657"/>
      <c r="AC168" s="657"/>
      <c r="AD168" s="657"/>
      <c r="AE168" s="657"/>
      <c r="AF168" s="657"/>
      <c r="AG168" s="657"/>
      <c r="AH168" s="657"/>
      <c r="AI168" s="657"/>
      <c r="AJ168" s="657"/>
      <c r="AK168" s="657"/>
      <c r="AL168" s="657"/>
      <c r="AM168" s="657"/>
      <c r="AN168" s="657"/>
      <c r="AO168" s="596"/>
      <c r="AP168" s="3"/>
      <c r="AQ168" s="3"/>
      <c r="AR168" s="3"/>
      <c r="AS168" s="3"/>
      <c r="AT168" s="3"/>
      <c r="AU168" s="3"/>
      <c r="AV168" s="3"/>
      <c r="AW168" s="3"/>
      <c r="AX168" s="300"/>
      <c r="AY168" s="1104"/>
      <c r="AZ168" s="910"/>
      <c r="BA168" s="102"/>
      <c r="BB168" s="2206" t="s">
        <v>3732</v>
      </c>
      <c r="BC168" s="2206"/>
      <c r="BD168" s="2206"/>
      <c r="BE168" s="2206"/>
      <c r="BF168" s="2206"/>
      <c r="BG168" s="2206"/>
      <c r="BH168" s="2206"/>
      <c r="BI168" s="2206"/>
      <c r="BJ168" s="2206"/>
      <c r="BK168" s="2206"/>
      <c r="BL168" s="2206"/>
      <c r="BM168" s="2206"/>
      <c r="BN168" s="2206"/>
      <c r="BO168" s="2206"/>
      <c r="BP168" s="910"/>
      <c r="BQ168" s="910"/>
      <c r="BR168" s="102"/>
      <c r="BS168" s="2210" t="str">
        <f>IF(CA168&lt;&gt;"",IF(AND(INDEX(WeaponTable,MATCH(Weapons!AI$11,WeaponList,0),5)&lt;&gt;"heavy",Feats!$M$361&gt;0),"+1d"&amp;Weapons!AI$79&amp;"+1",""),"")</f>
        <v/>
      </c>
      <c r="BT168" s="2210"/>
      <c r="BU168" s="2210"/>
      <c r="BV168" s="2210"/>
      <c r="BW168" s="2210"/>
      <c r="BX168" s="2210"/>
      <c r="BY168" s="2210"/>
      <c r="BZ168" s="2211"/>
      <c r="CA168" s="2225" t="str">
        <f>IF(CA165&lt;&gt;"",IF(CA165&lt;&gt;0,CA165,""),"")</f>
        <v/>
      </c>
      <c r="CB168" s="2210"/>
      <c r="CC168" s="2210"/>
      <c r="CD168" s="2210"/>
      <c r="CE168" s="2210"/>
      <c r="CF168" s="2210"/>
      <c r="CG168" s="2210"/>
      <c r="CH168" s="2211"/>
      <c r="CI168" s="2210"/>
      <c r="CJ168" s="2210"/>
      <c r="CK168" s="2210"/>
      <c r="CL168" s="2210"/>
      <c r="CM168" s="2210"/>
      <c r="CN168" s="2210"/>
      <c r="CO168" s="2210"/>
      <c r="CP168" s="2211"/>
      <c r="CQ168" s="2229"/>
      <c r="CR168" s="2210"/>
      <c r="CS168" s="2210"/>
      <c r="CT168" s="2210"/>
      <c r="CU168" s="2210"/>
      <c r="CV168" s="2210"/>
      <c r="CW168" s="2210"/>
      <c r="CX168" s="2211"/>
      <c r="CY168" s="2229"/>
      <c r="CZ168" s="2210"/>
      <c r="DA168" s="2210"/>
      <c r="DB168" s="2210"/>
      <c r="DC168" s="2210"/>
      <c r="DD168" s="2210"/>
      <c r="DE168" s="2210"/>
      <c r="DF168" s="2210"/>
      <c r="DG168" s="100"/>
      <c r="DH168" s="976"/>
      <c r="DI168" s="958"/>
      <c r="DJ168" s="958"/>
      <c r="DK168" s="958"/>
      <c r="DL168" s="910"/>
      <c r="DM168" s="910"/>
      <c r="DN168" s="910"/>
      <c r="DO168" s="910"/>
      <c r="DP168" s="910"/>
      <c r="DQ168" s="910"/>
      <c r="DR168" s="910"/>
      <c r="DS168" s="910"/>
      <c r="DT168" s="910"/>
      <c r="DU168" s="910"/>
      <c r="DV168" s="910"/>
      <c r="DW168" s="910"/>
      <c r="DX168" s="910"/>
      <c r="DY168" s="910"/>
      <c r="DZ168" s="910"/>
      <c r="EA168" s="910"/>
      <c r="EB168" s="910"/>
      <c r="EC168" s="910"/>
      <c r="ED168" s="910"/>
      <c r="EE168" s="910"/>
      <c r="EF168" s="910"/>
      <c r="EG168" s="910"/>
      <c r="EH168" s="910"/>
      <c r="EI168" s="910"/>
      <c r="EJ168" s="910"/>
      <c r="EK168" s="910"/>
      <c r="EL168" s="910"/>
      <c r="EM168" s="910"/>
      <c r="EN168" s="910"/>
      <c r="EO168" s="910"/>
      <c r="EP168" s="910"/>
      <c r="EQ168" s="910"/>
      <c r="ER168" s="910"/>
      <c r="ES168" s="910"/>
      <c r="ET168" s="910"/>
      <c r="EU168" s="910"/>
      <c r="EV168" s="910"/>
      <c r="EW168" s="910"/>
      <c r="EX168" s="910"/>
      <c r="EY168" s="910"/>
      <c r="EZ168" s="910"/>
      <c r="FA168" s="910"/>
      <c r="FB168" s="910"/>
      <c r="FC168" s="910"/>
      <c r="FD168" s="910"/>
      <c r="FE168" s="910"/>
      <c r="FF168" s="910"/>
      <c r="FG168" s="910"/>
      <c r="FH168" s="910"/>
      <c r="FI168" s="910"/>
      <c r="FJ168" s="910"/>
      <c r="FK168" s="910"/>
    </row>
    <row r="169" spans="1:169" ht="9" customHeight="1" thickBot="1">
      <c r="A169" s="910"/>
      <c r="B169" s="910"/>
      <c r="C169" s="910"/>
      <c r="D169" s="910"/>
      <c r="E169" s="910"/>
      <c r="F169" s="910"/>
      <c r="G169" s="910"/>
      <c r="H169" s="910"/>
      <c r="I169" s="910"/>
      <c r="J169" s="105"/>
      <c r="K169" s="105"/>
      <c r="L169" s="102"/>
      <c r="M169" s="3"/>
      <c r="N169" s="3"/>
      <c r="O169" s="3"/>
      <c r="P169" s="3"/>
      <c r="Q169" s="3"/>
      <c r="R169" s="105"/>
      <c r="S169" s="3"/>
      <c r="T169" s="1105"/>
      <c r="U169" s="657"/>
      <c r="V169" s="657"/>
      <c r="W169" s="657"/>
      <c r="X169" s="657"/>
      <c r="Y169" s="657"/>
      <c r="Z169" s="657"/>
      <c r="AA169" s="657"/>
      <c r="AB169" s="657"/>
      <c r="AC169" s="657"/>
      <c r="AD169" s="657"/>
      <c r="AE169" s="657"/>
      <c r="AF169" s="657"/>
      <c r="AG169" s="657"/>
      <c r="AH169" s="657"/>
      <c r="AI169" s="657"/>
      <c r="AJ169" s="657"/>
      <c r="AK169" s="657"/>
      <c r="AL169" s="657"/>
      <c r="AM169" s="657"/>
      <c r="AN169" s="657"/>
      <c r="AO169" s="596"/>
      <c r="AP169" s="3"/>
      <c r="AQ169" s="3"/>
      <c r="AR169" s="3"/>
      <c r="AS169" s="3"/>
      <c r="AT169" s="3"/>
      <c r="AU169" s="3"/>
      <c r="AV169" s="3"/>
      <c r="AW169" s="1118"/>
      <c r="AX169" s="103"/>
      <c r="AY169" s="710"/>
      <c r="AZ169" s="910"/>
      <c r="BA169" s="102"/>
      <c r="BB169" s="2206"/>
      <c r="BC169" s="2206"/>
      <c r="BD169" s="2206"/>
      <c r="BE169" s="2206"/>
      <c r="BF169" s="2206"/>
      <c r="BG169" s="2206"/>
      <c r="BH169" s="2206"/>
      <c r="BI169" s="2206"/>
      <c r="BJ169" s="2206"/>
      <c r="BK169" s="2206"/>
      <c r="BL169" s="2206"/>
      <c r="BM169" s="2206"/>
      <c r="BN169" s="2206"/>
      <c r="BO169" s="2206"/>
      <c r="BP169" s="910"/>
      <c r="BQ169" s="108"/>
      <c r="BR169" s="647"/>
      <c r="BS169" s="2212"/>
      <c r="BT169" s="2212"/>
      <c r="BU169" s="2212"/>
      <c r="BV169" s="2212"/>
      <c r="BW169" s="2212"/>
      <c r="BX169" s="2212"/>
      <c r="BY169" s="2212"/>
      <c r="BZ169" s="2213"/>
      <c r="CA169" s="2226"/>
      <c r="CB169" s="2212"/>
      <c r="CC169" s="2212"/>
      <c r="CD169" s="2212"/>
      <c r="CE169" s="2212"/>
      <c r="CF169" s="2212"/>
      <c r="CG169" s="2212"/>
      <c r="CH169" s="2213"/>
      <c r="CI169" s="2212"/>
      <c r="CJ169" s="2212"/>
      <c r="CK169" s="2212"/>
      <c r="CL169" s="2212"/>
      <c r="CM169" s="2212"/>
      <c r="CN169" s="2212"/>
      <c r="CO169" s="2212"/>
      <c r="CP169" s="2213"/>
      <c r="CQ169" s="2226"/>
      <c r="CR169" s="2212"/>
      <c r="CS169" s="2212"/>
      <c r="CT169" s="2212"/>
      <c r="CU169" s="2212"/>
      <c r="CV169" s="2212"/>
      <c r="CW169" s="2212"/>
      <c r="CX169" s="2213"/>
      <c r="CY169" s="2226"/>
      <c r="CZ169" s="2212"/>
      <c r="DA169" s="2212"/>
      <c r="DB169" s="2212"/>
      <c r="DC169" s="2212"/>
      <c r="DD169" s="2212"/>
      <c r="DE169" s="2212"/>
      <c r="DF169" s="2212"/>
      <c r="DG169" s="100"/>
      <c r="DH169" s="976"/>
      <c r="DI169" s="958"/>
      <c r="DJ169" s="958"/>
      <c r="DK169" s="958"/>
      <c r="DL169" s="910"/>
      <c r="DM169" s="910"/>
      <c r="DN169" s="910"/>
      <c r="DO169" s="910"/>
      <c r="DP169" s="910"/>
      <c r="DQ169" s="910"/>
      <c r="DR169" s="910"/>
      <c r="DS169" s="910"/>
      <c r="DT169" s="910"/>
      <c r="DU169" s="910"/>
      <c r="DV169" s="910"/>
      <c r="DW169" s="910"/>
      <c r="DX169" s="910"/>
      <c r="DY169" s="910"/>
      <c r="DZ169" s="910"/>
      <c r="EA169" s="910"/>
      <c r="EB169" s="910"/>
      <c r="EC169" s="910"/>
      <c r="ED169" s="910"/>
      <c r="EE169" s="910"/>
      <c r="EF169" s="910"/>
      <c r="EG169" s="910"/>
      <c r="EH169" s="910"/>
      <c r="EI169" s="910"/>
      <c r="EJ169" s="910"/>
      <c r="EK169" s="910"/>
      <c r="EL169" s="910"/>
      <c r="EM169" s="910"/>
      <c r="EN169" s="910"/>
      <c r="EO169" s="910"/>
      <c r="EP169" s="910"/>
      <c r="EQ169" s="910"/>
      <c r="ER169" s="910"/>
      <c r="ES169" s="910"/>
      <c r="ET169" s="910"/>
      <c r="EU169" s="910"/>
      <c r="EV169" s="910"/>
      <c r="EW169" s="910"/>
      <c r="EX169" s="910"/>
      <c r="EY169" s="910"/>
      <c r="EZ169" s="910"/>
      <c r="FA169" s="910"/>
      <c r="FB169" s="910"/>
      <c r="FC169" s="910"/>
      <c r="FD169" s="910"/>
      <c r="FE169" s="910"/>
      <c r="FF169" s="910"/>
      <c r="FG169" s="910"/>
      <c r="FH169" s="910"/>
      <c r="FI169" s="910"/>
      <c r="FJ169" s="910"/>
      <c r="FK169" s="910"/>
    </row>
    <row r="170" spans="1:169" ht="9" customHeight="1" thickTop="1" thickBot="1">
      <c r="A170" s="910"/>
      <c r="B170" s="910"/>
      <c r="C170" s="910"/>
      <c r="D170" s="910"/>
      <c r="E170" s="910"/>
      <c r="F170" s="910"/>
      <c r="G170" s="910"/>
      <c r="H170" s="910"/>
      <c r="I170" s="910"/>
      <c r="J170" s="910"/>
      <c r="K170" s="910"/>
      <c r="L170" s="91"/>
      <c r="M170" s="713"/>
      <c r="N170" s="713"/>
      <c r="O170" s="713"/>
      <c r="P170" s="713"/>
      <c r="Q170" s="713"/>
      <c r="R170" s="713"/>
      <c r="S170" s="713"/>
      <c r="T170" s="713"/>
      <c r="U170" s="713"/>
      <c r="V170" s="713"/>
      <c r="W170" s="713"/>
      <c r="X170" s="713"/>
      <c r="Y170" s="713"/>
      <c r="Z170" s="713"/>
      <c r="AA170" s="713"/>
      <c r="AB170" s="713"/>
      <c r="AC170" s="713"/>
      <c r="AD170" s="713"/>
      <c r="AE170" s="713"/>
      <c r="AF170" s="713"/>
      <c r="AG170" s="713"/>
      <c r="AH170" s="713"/>
      <c r="AI170" s="713"/>
      <c r="AJ170" s="713"/>
      <c r="AK170" s="713"/>
      <c r="AL170" s="713"/>
      <c r="AM170" s="713"/>
      <c r="AN170" s="713"/>
      <c r="AO170" s="713"/>
      <c r="AP170" s="713"/>
      <c r="AQ170" s="713"/>
      <c r="AR170" s="713"/>
      <c r="AS170" s="713"/>
      <c r="AT170" s="713"/>
      <c r="AU170" s="713"/>
      <c r="AV170" s="713"/>
      <c r="AW170" s="1119"/>
      <c r="AX170" s="90"/>
      <c r="AY170" s="710"/>
      <c r="AZ170" s="710"/>
      <c r="BA170" s="649"/>
      <c r="BB170" s="2240"/>
      <c r="BC170" s="2240"/>
      <c r="BD170" s="2240"/>
      <c r="BE170" s="2240"/>
      <c r="BF170" s="2240"/>
      <c r="BG170" s="2240"/>
      <c r="BH170" s="2240"/>
      <c r="BI170" s="2240"/>
      <c r="BJ170" s="2240"/>
      <c r="BK170" s="2240"/>
      <c r="BL170" s="2240"/>
      <c r="BM170" s="2240"/>
      <c r="BN170" s="2240"/>
      <c r="BO170" s="2240"/>
      <c r="BP170" s="93"/>
      <c r="BQ170" s="910"/>
      <c r="BR170" s="649"/>
      <c r="BS170" s="2223"/>
      <c r="BT170" s="2223"/>
      <c r="BU170" s="2223"/>
      <c r="BV170" s="2223"/>
      <c r="BW170" s="2223"/>
      <c r="BX170" s="2223"/>
      <c r="BY170" s="2223"/>
      <c r="BZ170" s="2224"/>
      <c r="CA170" s="2227"/>
      <c r="CB170" s="2223"/>
      <c r="CC170" s="2223"/>
      <c r="CD170" s="2223"/>
      <c r="CE170" s="2223"/>
      <c r="CF170" s="2223"/>
      <c r="CG170" s="2223"/>
      <c r="CH170" s="2224"/>
      <c r="CI170" s="2223"/>
      <c r="CJ170" s="2223"/>
      <c r="CK170" s="2223"/>
      <c r="CL170" s="2223"/>
      <c r="CM170" s="2223"/>
      <c r="CN170" s="2223"/>
      <c r="CO170" s="2223"/>
      <c r="CP170" s="2224"/>
      <c r="CQ170" s="2227"/>
      <c r="CR170" s="2223"/>
      <c r="CS170" s="2223"/>
      <c r="CT170" s="2223"/>
      <c r="CU170" s="2223"/>
      <c r="CV170" s="2223"/>
      <c r="CW170" s="2223"/>
      <c r="CX170" s="2224"/>
      <c r="CY170" s="2227"/>
      <c r="CZ170" s="2223"/>
      <c r="DA170" s="2223"/>
      <c r="DB170" s="2223"/>
      <c r="DC170" s="2223"/>
      <c r="DD170" s="2223"/>
      <c r="DE170" s="2223"/>
      <c r="DF170" s="2223"/>
      <c r="DG170" s="93"/>
      <c r="DH170" s="976"/>
      <c r="DI170" s="958"/>
      <c r="DJ170" s="958"/>
      <c r="DK170" s="958"/>
      <c r="DL170" s="910"/>
      <c r="DM170" s="910"/>
      <c r="DN170" s="910"/>
      <c r="DO170" s="910"/>
      <c r="DP170" s="910"/>
      <c r="DQ170" s="910"/>
      <c r="DR170" s="910"/>
      <c r="DS170" s="910"/>
      <c r="DT170" s="910"/>
      <c r="DU170" s="910"/>
      <c r="DV170" s="910"/>
      <c r="DW170" s="910"/>
      <c r="DX170" s="910"/>
      <c r="DY170" s="910"/>
      <c r="DZ170" s="910"/>
      <c r="EA170" s="910"/>
      <c r="EB170" s="910"/>
      <c r="EC170" s="910"/>
      <c r="ED170" s="910"/>
      <c r="EE170" s="910"/>
      <c r="EF170" s="910"/>
      <c r="EG170" s="910"/>
      <c r="EH170" s="910"/>
      <c r="EI170" s="910"/>
      <c r="EJ170" s="910"/>
      <c r="EK170" s="910"/>
      <c r="EL170" s="910"/>
      <c r="EM170" s="910"/>
      <c r="EN170" s="910"/>
      <c r="EO170" s="910"/>
      <c r="EP170" s="910"/>
      <c r="EQ170" s="910"/>
      <c r="ER170" s="910"/>
      <c r="ES170" s="910"/>
      <c r="ET170" s="910"/>
      <c r="EU170" s="910"/>
      <c r="EV170" s="910"/>
      <c r="EW170" s="910"/>
      <c r="EX170" s="910"/>
      <c r="EY170" s="910"/>
      <c r="EZ170" s="910"/>
      <c r="FA170" s="910"/>
      <c r="FB170" s="910"/>
      <c r="FC170" s="910"/>
      <c r="FD170" s="910"/>
      <c r="FE170" s="910"/>
      <c r="FF170" s="910"/>
      <c r="FG170" s="910"/>
      <c r="FH170" s="910"/>
      <c r="FI170" s="910"/>
      <c r="FJ170" s="910"/>
      <c r="FK170" s="910"/>
    </row>
    <row r="171" spans="1:169" ht="9" customHeight="1" thickTop="1">
      <c r="A171" s="910"/>
      <c r="B171" s="910"/>
      <c r="C171" s="910"/>
      <c r="D171" s="910"/>
      <c r="E171" s="910"/>
      <c r="F171" s="910"/>
      <c r="G171" s="910"/>
      <c r="H171" s="910"/>
      <c r="I171" s="910"/>
      <c r="J171" s="910"/>
      <c r="K171" s="910"/>
      <c r="L171" s="1104"/>
      <c r="M171" s="1104"/>
      <c r="N171" s="1104"/>
      <c r="O171" s="1104"/>
      <c r="P171" s="1104"/>
      <c r="Q171" s="1104"/>
      <c r="R171" s="1104"/>
      <c r="S171" s="1104"/>
      <c r="T171" s="1104"/>
      <c r="U171" s="1104"/>
      <c r="V171" s="1104"/>
      <c r="W171" s="1104"/>
      <c r="X171" s="1104"/>
      <c r="Y171" s="1104"/>
      <c r="Z171" s="1104"/>
      <c r="AA171" s="1104"/>
      <c r="AB171" s="1104"/>
      <c r="AC171" s="1104"/>
      <c r="AD171" s="1104"/>
      <c r="AE171" s="1104"/>
      <c r="AF171" s="1104"/>
      <c r="AG171" s="1104"/>
      <c r="AH171" s="1104"/>
      <c r="AI171" s="1104"/>
      <c r="AJ171" s="1104"/>
      <c r="AK171" s="1104"/>
      <c r="AL171" s="1104"/>
      <c r="AM171" s="1104"/>
      <c r="AN171" s="1104"/>
      <c r="AO171" s="1104"/>
      <c r="AP171" s="1104"/>
      <c r="AQ171" s="1104"/>
      <c r="AR171" s="1104"/>
      <c r="AS171" s="1104"/>
      <c r="AT171" s="1104"/>
      <c r="AU171" s="1104"/>
      <c r="AV171" s="1104"/>
      <c r="AW171" s="1104"/>
      <c r="AX171" s="1104"/>
      <c r="AY171" s="1104"/>
      <c r="AZ171" s="910"/>
      <c r="BA171" s="910"/>
      <c r="BB171" s="910"/>
      <c r="BC171" s="910"/>
      <c r="BD171" s="910"/>
      <c r="BE171" s="910"/>
      <c r="BF171" s="910"/>
      <c r="BG171" s="910"/>
      <c r="BH171" s="910"/>
      <c r="BI171" s="910"/>
      <c r="BJ171" s="910"/>
      <c r="BK171" s="910"/>
      <c r="BL171" s="910"/>
      <c r="BM171" s="910"/>
      <c r="BN171" s="910"/>
      <c r="BO171" s="910"/>
      <c r="BP171" s="910"/>
      <c r="BQ171" s="910"/>
      <c r="BR171" s="910"/>
      <c r="BS171" s="910"/>
      <c r="BT171" s="910"/>
      <c r="BU171" s="910"/>
      <c r="BV171" s="910"/>
      <c r="BW171" s="910"/>
      <c r="BX171" s="910"/>
      <c r="BY171" s="910"/>
      <c r="BZ171" s="910"/>
      <c r="CA171" s="910"/>
      <c r="CB171" s="910"/>
      <c r="CC171" s="910"/>
      <c r="CD171" s="910"/>
      <c r="CE171" s="910"/>
      <c r="CF171" s="910"/>
      <c r="CG171" s="910"/>
      <c r="CH171" s="910"/>
      <c r="CI171" s="910"/>
      <c r="CJ171" s="910"/>
      <c r="CK171" s="910"/>
      <c r="CL171" s="910"/>
      <c r="CM171" s="910"/>
      <c r="CN171" s="910"/>
      <c r="CO171" s="910"/>
      <c r="CP171" s="910"/>
      <c r="CQ171" s="910"/>
      <c r="CR171" s="910"/>
      <c r="CS171" s="910"/>
      <c r="CT171" s="910"/>
      <c r="CU171" s="910"/>
      <c r="CV171" s="910"/>
      <c r="CW171" s="910"/>
      <c r="CX171" s="910"/>
      <c r="CY171" s="910"/>
      <c r="CZ171" s="910"/>
      <c r="DA171" s="910"/>
      <c r="DB171" s="910"/>
      <c r="DC171" s="910"/>
      <c r="DD171" s="910"/>
      <c r="DE171" s="910"/>
      <c r="DF171" s="910"/>
      <c r="DG171" s="910"/>
      <c r="DI171" s="958"/>
      <c r="DJ171" s="958"/>
      <c r="DK171" s="958"/>
      <c r="DL171" s="910"/>
      <c r="DM171" s="910"/>
      <c r="DN171" s="910"/>
      <c r="DO171" s="910"/>
      <c r="DP171" s="910"/>
      <c r="DQ171" s="910"/>
      <c r="DR171" s="910"/>
      <c r="DS171" s="910"/>
      <c r="DT171" s="910"/>
      <c r="DU171" s="910"/>
      <c r="DV171" s="910"/>
      <c r="DW171" s="910"/>
      <c r="DX171" s="910"/>
      <c r="DY171" s="910"/>
      <c r="DZ171" s="910"/>
      <c r="EA171" s="910"/>
      <c r="EB171" s="910"/>
      <c r="EC171" s="910"/>
      <c r="ED171" s="910"/>
      <c r="EE171" s="910"/>
      <c r="EF171" s="910"/>
      <c r="EG171" s="910"/>
      <c r="EH171" s="910"/>
      <c r="EI171" s="910"/>
      <c r="EJ171" s="910"/>
      <c r="EK171" s="910"/>
      <c r="EL171" s="910"/>
      <c r="EM171" s="910"/>
      <c r="EN171" s="910"/>
      <c r="EO171" s="910"/>
      <c r="EP171" s="910"/>
      <c r="EQ171" s="910"/>
      <c r="ER171" s="910"/>
      <c r="ES171" s="910"/>
      <c r="ET171" s="910"/>
      <c r="EU171" s="910"/>
      <c r="EV171" s="910"/>
      <c r="EW171" s="910"/>
      <c r="EX171" s="910"/>
      <c r="EY171" s="910"/>
      <c r="EZ171" s="910"/>
      <c r="FA171" s="910"/>
      <c r="FB171" s="910"/>
      <c r="FC171" s="910"/>
      <c r="FD171" s="910"/>
      <c r="FE171" s="910"/>
      <c r="FF171" s="910"/>
      <c r="FG171" s="910"/>
      <c r="FH171" s="910"/>
      <c r="FI171" s="910"/>
      <c r="FJ171" s="910"/>
      <c r="FK171" s="910"/>
    </row>
    <row r="172" spans="1:169" ht="9" customHeight="1" thickBot="1">
      <c r="A172" s="910"/>
      <c r="B172" s="910"/>
      <c r="C172" s="910"/>
      <c r="D172" s="942"/>
      <c r="E172" s="942"/>
      <c r="F172" s="942"/>
      <c r="G172" s="942"/>
      <c r="H172" s="942"/>
      <c r="I172" s="942"/>
      <c r="J172" s="942"/>
      <c r="K172" s="942"/>
      <c r="L172" s="942"/>
      <c r="M172" s="942"/>
      <c r="N172" s="942"/>
      <c r="O172" s="942"/>
      <c r="P172" s="942"/>
      <c r="Q172" s="942"/>
      <c r="R172" s="942"/>
      <c r="S172" s="942"/>
      <c r="T172" s="942"/>
      <c r="U172" s="942"/>
      <c r="V172" s="942"/>
      <c r="W172" s="942"/>
      <c r="X172" s="942"/>
      <c r="Y172" s="942"/>
      <c r="Z172" s="942"/>
      <c r="AA172" s="942"/>
      <c r="AB172" s="942"/>
      <c r="AC172" s="942"/>
      <c r="AD172" s="942"/>
      <c r="AE172" s="942"/>
      <c r="AF172" s="942"/>
      <c r="AG172" s="942"/>
      <c r="AH172" s="942"/>
      <c r="AI172" s="942"/>
      <c r="AJ172" s="942"/>
      <c r="AK172" s="942"/>
      <c r="AL172" s="942"/>
      <c r="AM172" s="942"/>
      <c r="AN172" s="942"/>
      <c r="AO172" s="942"/>
      <c r="AP172" s="942"/>
      <c r="AQ172" s="942"/>
      <c r="AR172" s="942"/>
      <c r="AS172" s="942"/>
      <c r="AT172" s="942"/>
      <c r="AU172" s="942"/>
      <c r="AV172" s="942"/>
      <c r="AW172" s="942"/>
      <c r="AX172" s="942"/>
      <c r="AY172" s="942"/>
      <c r="AZ172" s="942"/>
      <c r="BA172" s="942"/>
      <c r="BB172" s="942"/>
      <c r="BC172" s="942"/>
      <c r="BD172" s="942"/>
      <c r="BE172" s="942"/>
      <c r="BF172" s="942"/>
      <c r="BG172" s="942"/>
      <c r="BH172" s="942"/>
      <c r="BI172" s="942"/>
      <c r="BJ172" s="942"/>
      <c r="BK172" s="942"/>
      <c r="BL172" s="942"/>
      <c r="BM172" s="942"/>
      <c r="BN172" s="942"/>
      <c r="BO172" s="942"/>
      <c r="BP172" s="942"/>
      <c r="BQ172" s="942"/>
      <c r="BR172" s="942"/>
      <c r="BS172" s="942"/>
      <c r="BT172" s="942"/>
      <c r="BU172" s="942"/>
      <c r="BV172" s="942"/>
      <c r="BW172" s="942"/>
      <c r="BX172" s="942"/>
      <c r="BY172" s="942"/>
      <c r="BZ172" s="942"/>
      <c r="CA172" s="942"/>
      <c r="CB172" s="942"/>
      <c r="CC172" s="942"/>
      <c r="CD172" s="942"/>
      <c r="CE172" s="942"/>
      <c r="CF172" s="942"/>
      <c r="CG172" s="942"/>
      <c r="CH172" s="942"/>
      <c r="CI172" s="942"/>
      <c r="CJ172" s="942"/>
      <c r="CK172" s="942"/>
      <c r="CL172" s="942"/>
      <c r="CM172" s="942"/>
      <c r="CN172" s="942"/>
      <c r="CO172" s="942"/>
      <c r="CP172" s="942"/>
      <c r="CQ172" s="942"/>
      <c r="CR172" s="942"/>
      <c r="CS172" s="942"/>
      <c r="CT172" s="942"/>
      <c r="CU172" s="942"/>
      <c r="CV172" s="942"/>
      <c r="CW172" s="942"/>
      <c r="CX172" s="942"/>
      <c r="CY172" s="942"/>
      <c r="CZ172" s="942"/>
      <c r="DA172" s="942"/>
      <c r="DB172" s="942"/>
      <c r="DC172" s="942"/>
      <c r="DD172" s="942"/>
      <c r="DE172" s="942"/>
      <c r="DF172" s="942"/>
      <c r="DG172" s="942"/>
      <c r="DH172" s="978"/>
      <c r="DI172" s="942"/>
      <c r="DJ172" s="942"/>
      <c r="DK172" s="942"/>
      <c r="DL172" s="910"/>
      <c r="DM172" s="910"/>
      <c r="DN172" s="910"/>
      <c r="DO172" s="910"/>
      <c r="DP172" s="910"/>
      <c r="DQ172" s="910"/>
      <c r="DR172" s="910"/>
      <c r="DS172" s="910"/>
      <c r="DT172" s="910"/>
      <c r="DU172" s="910"/>
      <c r="DV172" s="910"/>
      <c r="DW172" s="910"/>
      <c r="DX172" s="910"/>
      <c r="DY172" s="910"/>
      <c r="DZ172" s="910"/>
      <c r="EA172" s="910"/>
      <c r="EB172" s="910"/>
      <c r="EC172" s="910"/>
      <c r="ED172" s="910"/>
      <c r="EE172" s="910"/>
      <c r="EF172" s="910"/>
      <c r="EG172" s="910"/>
      <c r="EH172" s="910"/>
      <c r="EI172" s="910"/>
      <c r="EJ172" s="910"/>
      <c r="EK172" s="910"/>
      <c r="EL172" s="910"/>
      <c r="EM172" s="910"/>
      <c r="EN172" s="910"/>
      <c r="EO172" s="910"/>
      <c r="EP172" s="910"/>
      <c r="EQ172" s="910"/>
      <c r="ER172" s="910"/>
      <c r="ES172" s="910"/>
      <c r="ET172" s="910"/>
      <c r="EU172" s="910"/>
      <c r="EV172" s="910"/>
      <c r="EW172" s="910"/>
      <c r="EX172" s="910"/>
      <c r="EY172" s="910"/>
      <c r="EZ172" s="910"/>
      <c r="FA172" s="910"/>
      <c r="FB172" s="910"/>
      <c r="FC172" s="910"/>
      <c r="FD172" s="910"/>
      <c r="FE172" s="910"/>
      <c r="FF172" s="910"/>
      <c r="FG172" s="910"/>
      <c r="FH172" s="910"/>
      <c r="FI172" s="910"/>
      <c r="FJ172" s="910"/>
      <c r="FK172" s="910"/>
    </row>
    <row r="173" spans="1:169" ht="9" customHeight="1">
      <c r="A173" s="910"/>
      <c r="B173" s="910"/>
      <c r="C173" s="910"/>
      <c r="D173" s="910"/>
      <c r="E173" s="910"/>
      <c r="F173" s="910"/>
      <c r="G173" s="910"/>
      <c r="H173" s="910"/>
      <c r="I173" s="910"/>
      <c r="J173" s="910"/>
      <c r="K173" s="910"/>
      <c r="L173" s="910"/>
      <c r="M173" s="910"/>
      <c r="N173" s="910"/>
      <c r="O173" s="910"/>
      <c r="P173" s="910"/>
      <c r="Q173" s="910"/>
      <c r="R173" s="910"/>
      <c r="S173" s="910"/>
      <c r="T173" s="910"/>
      <c r="U173" s="910"/>
      <c r="V173" s="910"/>
      <c r="W173" s="910"/>
      <c r="X173" s="910"/>
      <c r="Y173" s="910"/>
      <c r="Z173" s="910"/>
      <c r="AA173" s="910"/>
      <c r="AB173" s="910"/>
      <c r="AC173" s="910"/>
      <c r="AD173" s="910"/>
      <c r="AE173" s="910"/>
      <c r="AF173" s="910"/>
      <c r="AG173" s="910"/>
      <c r="AH173" s="910"/>
      <c r="AI173" s="910"/>
      <c r="AJ173" s="910"/>
      <c r="AK173" s="910"/>
      <c r="AL173" s="910"/>
      <c r="AM173" s="910"/>
      <c r="AN173" s="910"/>
      <c r="AO173" s="910"/>
      <c r="AP173" s="910"/>
      <c r="AQ173" s="910"/>
      <c r="AR173" s="910"/>
      <c r="AS173" s="910"/>
      <c r="AT173" s="910"/>
      <c r="AU173" s="910"/>
      <c r="AV173" s="910"/>
      <c r="AW173" s="910"/>
      <c r="AX173" s="910"/>
      <c r="AY173" s="910"/>
      <c r="AZ173" s="910"/>
      <c r="BA173" s="910"/>
      <c r="BB173" s="910"/>
      <c r="BC173" s="910"/>
      <c r="BD173" s="910"/>
      <c r="BE173" s="910"/>
      <c r="BF173" s="910"/>
      <c r="BG173" s="910"/>
      <c r="BH173" s="910"/>
      <c r="BI173" s="910"/>
      <c r="BJ173" s="910"/>
      <c r="BK173" s="910"/>
      <c r="BL173" s="910"/>
      <c r="BM173" s="910"/>
      <c r="BN173" s="910"/>
      <c r="BO173" s="910"/>
      <c r="BP173" s="910"/>
      <c r="BQ173" s="910"/>
      <c r="BR173" s="910"/>
      <c r="BS173" s="910"/>
      <c r="BT173" s="2246">
        <f ca="1">IF(NOT(ISERROR(FIND(INDEX(MultiattackProficiencyTable,MATCH(INDEX(WeaponTable,MATCH(Weapons!AS$11,WeaponList,0),5),MultiattackProficiencyType,0),1),TalentsTakenList,1))),INDEX(MultiattackProficiencyTable,MATCH(INDEX(WeaponTable,MATCH(Weapons!AS$11,WeaponList,0),5),MultiattackProficiencyType,0),2),0)</f>
        <v>0</v>
      </c>
      <c r="BU173" s="2246"/>
      <c r="BV173" s="2246"/>
      <c r="BW173" s="2246"/>
      <c r="BX173" s="910"/>
      <c r="BY173" s="910"/>
      <c r="BZ173" s="910"/>
      <c r="CA173" s="910"/>
      <c r="CB173" s="910"/>
      <c r="CC173" s="910"/>
      <c r="CD173" s="910"/>
      <c r="CE173" s="910"/>
      <c r="CF173" s="910"/>
      <c r="CG173" s="910"/>
      <c r="CH173" s="910"/>
      <c r="CI173" s="910"/>
      <c r="CJ173" s="910"/>
      <c r="CK173" s="910"/>
      <c r="CL173" s="910"/>
      <c r="CM173" s="910"/>
      <c r="CN173" s="910"/>
      <c r="CO173" s="910"/>
      <c r="CP173" s="910"/>
      <c r="CQ173" s="910"/>
      <c r="CR173" s="910"/>
      <c r="CS173" s="910"/>
      <c r="CT173" s="910"/>
      <c r="CU173" s="910"/>
      <c r="CV173" s="910"/>
      <c r="CW173" s="910"/>
      <c r="CX173" s="910"/>
      <c r="CY173" s="910"/>
      <c r="CZ173" s="910"/>
      <c r="DA173" s="910"/>
      <c r="DB173" s="910"/>
      <c r="DC173" s="910"/>
      <c r="DD173" s="910"/>
      <c r="DE173" s="910"/>
      <c r="DF173" s="910"/>
      <c r="DG173" s="910"/>
      <c r="DI173" s="958"/>
      <c r="DJ173" s="958"/>
      <c r="DK173" s="958"/>
      <c r="DL173" s="910"/>
      <c r="DM173" s="910"/>
      <c r="DN173" s="910"/>
      <c r="DO173" s="910"/>
      <c r="DP173" s="910"/>
      <c r="DQ173" s="910"/>
      <c r="DR173" s="910"/>
      <c r="DS173" s="910"/>
      <c r="DT173" s="910"/>
      <c r="DU173" s="910"/>
      <c r="DV173" s="910"/>
      <c r="DW173" s="910"/>
      <c r="DX173" s="910"/>
      <c r="DY173" s="910"/>
      <c r="DZ173" s="910"/>
      <c r="EA173" s="910"/>
      <c r="EB173" s="910"/>
      <c r="EC173" s="910"/>
      <c r="ED173" s="910"/>
      <c r="EE173" s="910"/>
      <c r="EF173" s="910"/>
      <c r="EG173" s="910"/>
      <c r="EH173" s="910"/>
      <c r="EI173" s="910"/>
      <c r="EJ173" s="910"/>
      <c r="EK173" s="910"/>
      <c r="EL173" s="910"/>
      <c r="EM173" s="910"/>
      <c r="EN173" s="910"/>
      <c r="EO173" s="910"/>
      <c r="EP173" s="910"/>
      <c r="EQ173" s="910"/>
      <c r="ER173" s="910"/>
      <c r="ES173" s="910"/>
      <c r="ET173" s="910"/>
      <c r="EU173" s="910"/>
      <c r="EV173" s="910"/>
      <c r="EW173" s="910"/>
      <c r="EX173" s="910"/>
      <c r="EY173" s="910"/>
      <c r="EZ173" s="910"/>
      <c r="FA173" s="910"/>
      <c r="FB173" s="910"/>
      <c r="FC173" s="910"/>
      <c r="FD173" s="910"/>
      <c r="FE173" s="910"/>
      <c r="FF173" s="910"/>
      <c r="FG173" s="910"/>
      <c r="FH173" s="910"/>
      <c r="FI173" s="910"/>
      <c r="FJ173" s="910"/>
      <c r="FK173" s="910"/>
    </row>
    <row r="174" spans="1:169" ht="9" customHeight="1" thickBot="1">
      <c r="A174" s="910"/>
      <c r="B174" s="910"/>
      <c r="C174" s="910"/>
      <c r="D174" s="910"/>
      <c r="E174" s="910"/>
      <c r="F174" s="910"/>
      <c r="G174" s="910"/>
      <c r="H174" s="910"/>
      <c r="I174" s="910"/>
      <c r="J174" s="910"/>
      <c r="K174" s="910"/>
      <c r="L174" s="910"/>
      <c r="M174" s="910"/>
      <c r="N174" s="910"/>
      <c r="O174" s="910"/>
      <c r="P174" s="910"/>
      <c r="Q174" s="910"/>
      <c r="R174" s="910"/>
      <c r="S174" s="910"/>
      <c r="T174" s="910"/>
      <c r="U174" s="910"/>
      <c r="V174" s="910"/>
      <c r="W174" s="910"/>
      <c r="X174" s="910"/>
      <c r="Y174" s="910"/>
      <c r="Z174" s="910"/>
      <c r="AA174" s="910"/>
      <c r="AB174" s="910"/>
      <c r="AC174" s="910"/>
      <c r="AD174" s="910"/>
      <c r="AE174" s="910"/>
      <c r="AF174" s="910"/>
      <c r="AG174" s="910"/>
      <c r="AH174" s="910"/>
      <c r="AI174" s="910"/>
      <c r="AJ174" s="910"/>
      <c r="AK174" s="910"/>
      <c r="AL174" s="910"/>
      <c r="AM174" s="910"/>
      <c r="AN174" s="910"/>
      <c r="AO174" s="910"/>
      <c r="AP174" s="910"/>
      <c r="AQ174" s="910"/>
      <c r="AR174" s="910"/>
      <c r="AS174" s="910"/>
      <c r="AT174" s="910"/>
      <c r="AU174" s="910"/>
      <c r="AV174" s="910"/>
      <c r="AW174" s="910"/>
      <c r="AX174" s="910"/>
      <c r="AY174" s="910"/>
      <c r="AZ174" s="910"/>
      <c r="BA174" s="910"/>
      <c r="BB174" s="910"/>
      <c r="BC174" s="910"/>
      <c r="BD174" s="910"/>
      <c r="BE174" s="910"/>
      <c r="BF174" s="910"/>
      <c r="BG174" s="910"/>
      <c r="BH174" s="910"/>
      <c r="BI174" s="910"/>
      <c r="BJ174" s="910"/>
      <c r="BK174" s="910"/>
      <c r="BL174" s="910"/>
      <c r="BM174" s="910"/>
      <c r="BN174" s="910"/>
      <c r="BO174" s="910"/>
      <c r="BP174" s="910"/>
      <c r="BQ174" s="910"/>
      <c r="BR174" s="910"/>
      <c r="BS174" s="910"/>
      <c r="BT174" s="2181" t="e">
        <f ca="1">MIN(IF(INDEX(WeaponTable,MATCH(Weapons!AS$11,WeaponList,0),4)&lt;&gt;"EWP",BT173,IF(NOT(ISERROR(FIND(Lists!$CC$8,TalentsTakenList,1))),Lists!$CD$8,0))-5,0)</f>
        <v>#N/A</v>
      </c>
      <c r="BU174" s="2181"/>
      <c r="BV174" s="2181"/>
      <c r="BW174" s="2181"/>
      <c r="BX174" s="2181" t="e">
        <f ca="1">MIN(IF(INDEX(WeaponTable,MATCH(Weapons!AS$11,WeaponList,0),4)&lt;&gt;"EWP",BT173,IF(NOT(ISERROR(FIND(Lists!$CC$8,TalentsTakenList,1))),Lists!$CD$8,0))-10,0)</f>
        <v>#N/A</v>
      </c>
      <c r="BY174" s="2181"/>
      <c r="BZ174" s="2181"/>
      <c r="CA174" s="2181"/>
      <c r="CB174" s="910"/>
      <c r="CC174" s="910"/>
      <c r="CD174" s="910"/>
      <c r="CE174" s="910"/>
      <c r="CF174" s="910"/>
      <c r="CG174" s="910"/>
      <c r="CH174" s="910"/>
      <c r="CI174" s="910"/>
      <c r="CJ174" s="910"/>
      <c r="CK174" s="910"/>
      <c r="CL174" s="910"/>
      <c r="CM174" s="910"/>
      <c r="CN174" s="910"/>
      <c r="CO174" s="910"/>
      <c r="CP174" s="910"/>
      <c r="CQ174" s="910"/>
      <c r="CR174" s="910"/>
      <c r="CS174" s="910"/>
      <c r="CT174" s="910"/>
      <c r="CU174" s="910"/>
      <c r="CV174" s="910"/>
      <c r="CW174" s="910"/>
      <c r="CX174" s="910"/>
      <c r="CY174" s="910"/>
      <c r="CZ174" s="910"/>
      <c r="DA174" s="910"/>
      <c r="DB174" s="910"/>
      <c r="DC174" s="910"/>
      <c r="DD174" s="910"/>
      <c r="DE174" s="910"/>
      <c r="DF174" s="910"/>
      <c r="DG174" s="910"/>
      <c r="DI174" s="958"/>
      <c r="DJ174" s="958"/>
      <c r="DK174" s="958"/>
      <c r="DL174" s="910"/>
      <c r="DM174" s="910"/>
      <c r="DN174" s="910"/>
      <c r="DO174" s="910"/>
      <c r="DP174" s="910"/>
      <c r="DQ174" s="910"/>
      <c r="DR174" s="910"/>
      <c r="DS174" s="910"/>
      <c r="DT174" s="910"/>
      <c r="DU174" s="910"/>
      <c r="DV174" s="910"/>
      <c r="DW174" s="910"/>
      <c r="DX174" s="910"/>
      <c r="DY174" s="910"/>
      <c r="DZ174" s="910"/>
      <c r="EA174" s="910"/>
      <c r="EB174" s="910"/>
      <c r="EC174" s="910"/>
      <c r="ED174" s="910"/>
      <c r="EE174" s="910"/>
      <c r="EF174" s="910"/>
      <c r="EG174" s="910"/>
      <c r="EH174" s="910"/>
      <c r="EI174" s="910"/>
      <c r="EJ174" s="910"/>
      <c r="EK174" s="910"/>
      <c r="EL174" s="910"/>
      <c r="EM174" s="910"/>
      <c r="EN174" s="910"/>
      <c r="EO174" s="910"/>
      <c r="EP174" s="910"/>
      <c r="EQ174" s="910"/>
      <c r="ER174" s="910"/>
      <c r="ES174" s="910"/>
      <c r="ET174" s="910"/>
      <c r="EU174" s="910"/>
      <c r="EV174" s="910"/>
      <c r="EW174" s="910"/>
      <c r="EX174" s="910"/>
      <c r="EY174" s="910"/>
      <c r="EZ174" s="910"/>
      <c r="FA174" s="910"/>
      <c r="FB174" s="910"/>
      <c r="FC174" s="910"/>
      <c r="FD174" s="910"/>
      <c r="FE174" s="910"/>
      <c r="FF174" s="910"/>
      <c r="FG174" s="910"/>
      <c r="FH174" s="910"/>
      <c r="FI174" s="910"/>
      <c r="FJ174" s="910"/>
      <c r="FK174" s="910"/>
    </row>
    <row r="175" spans="1:169" ht="9" customHeight="1" thickTop="1" thickBot="1">
      <c r="A175" s="910"/>
      <c r="B175" s="910"/>
      <c r="C175" s="87"/>
      <c r="D175" s="109"/>
      <c r="E175" s="913"/>
      <c r="F175" s="913"/>
      <c r="G175" s="913"/>
      <c r="H175" s="913"/>
      <c r="I175" s="93"/>
      <c r="J175" s="2182" t="s">
        <v>3611</v>
      </c>
      <c r="K175" s="2182"/>
      <c r="L175" s="2182"/>
      <c r="M175" s="2182"/>
      <c r="N175" s="2182"/>
      <c r="O175" s="2182"/>
      <c r="P175" s="2182"/>
      <c r="Q175" s="2182"/>
      <c r="R175" s="113"/>
      <c r="S175" s="87"/>
      <c r="T175" s="910"/>
      <c r="U175" s="910"/>
      <c r="V175" s="87"/>
      <c r="W175" s="87"/>
      <c r="X175" s="87"/>
      <c r="Y175" s="87"/>
      <c r="Z175" s="87"/>
      <c r="AA175" s="87"/>
      <c r="AB175" s="87"/>
      <c r="AC175" s="87"/>
      <c r="AD175" s="87"/>
      <c r="AE175" s="87"/>
      <c r="AF175" s="87"/>
      <c r="AG175" s="87"/>
      <c r="AH175" s="87"/>
      <c r="AI175" s="87"/>
      <c r="AJ175" s="87"/>
      <c r="AK175" s="87"/>
      <c r="AL175" s="87"/>
      <c r="AM175" s="87"/>
      <c r="AN175" s="913"/>
      <c r="AO175" s="913"/>
      <c r="AP175" s="93"/>
      <c r="AQ175" s="2179" t="str">
        <f>Weapons!AS$12</f>
        <v/>
      </c>
      <c r="AR175" s="2179"/>
      <c r="AS175" s="2179"/>
      <c r="AT175" s="2179"/>
      <c r="AU175" s="2179"/>
      <c r="AV175" s="2179"/>
      <c r="AW175" s="2179"/>
      <c r="AX175" s="113"/>
      <c r="AY175" s="145"/>
      <c r="AZ175" s="145"/>
      <c r="BA175" s="145"/>
      <c r="BB175" s="145"/>
      <c r="BC175" s="145"/>
      <c r="BD175" s="145"/>
      <c r="BE175" s="145"/>
      <c r="BF175" s="145"/>
      <c r="BG175" s="145"/>
      <c r="BH175" s="145"/>
      <c r="BI175" s="145"/>
      <c r="BJ175" s="145"/>
      <c r="BK175" s="145"/>
      <c r="BL175" s="913"/>
      <c r="BM175" s="913"/>
      <c r="BN175" s="913"/>
      <c r="BO175" s="93"/>
      <c r="BP175" s="2179" t="s">
        <v>3783</v>
      </c>
      <c r="BQ175" s="2179"/>
      <c r="BR175" s="2179"/>
      <c r="BS175" s="2179"/>
      <c r="BT175" s="2179"/>
      <c r="BU175" s="2179"/>
      <c r="BV175" s="2179"/>
      <c r="BW175" s="113"/>
      <c r="BX175" s="145"/>
      <c r="BY175" s="109"/>
      <c r="BZ175" s="109"/>
      <c r="CA175" s="87"/>
      <c r="CB175" s="913"/>
      <c r="CC175" s="913"/>
      <c r="CD175" s="913"/>
      <c r="CE175" s="93"/>
      <c r="CF175" s="2182" t="s">
        <v>3612</v>
      </c>
      <c r="CG175" s="2208"/>
      <c r="CH175" s="2208"/>
      <c r="CI175" s="2208"/>
      <c r="CJ175" s="2208"/>
      <c r="CK175" s="2208"/>
      <c r="CL175" s="2208"/>
      <c r="CM175" s="2208"/>
      <c r="CN175" s="113"/>
      <c r="CO175" s="87"/>
      <c r="CP175" s="87"/>
      <c r="CQ175" s="87"/>
      <c r="CR175" s="87"/>
      <c r="CS175" s="87"/>
      <c r="CT175" s="87"/>
      <c r="CU175" s="87"/>
      <c r="CV175" s="87"/>
      <c r="CW175" s="87"/>
      <c r="CX175" s="87"/>
      <c r="CY175" s="87"/>
      <c r="CZ175" s="87"/>
      <c r="DA175" s="87"/>
      <c r="DB175" s="87"/>
      <c r="DC175" s="87"/>
      <c r="DD175" s="87"/>
      <c r="DE175" s="87"/>
      <c r="DF175" s="87"/>
      <c r="DG175" s="87"/>
      <c r="DH175" s="969"/>
      <c r="DI175" s="87"/>
      <c r="DJ175" s="87"/>
      <c r="DK175" s="87"/>
      <c r="DL175" s="87"/>
      <c r="DM175" s="910"/>
      <c r="DN175" s="910"/>
      <c r="DO175" s="910"/>
      <c r="DP175" s="910"/>
      <c r="DQ175" s="910"/>
      <c r="DR175" s="910"/>
      <c r="DS175" s="910"/>
      <c r="DT175" s="910"/>
      <c r="DU175" s="910"/>
      <c r="DV175" s="910"/>
      <c r="DW175" s="910"/>
      <c r="DX175" s="910"/>
      <c r="DY175" s="910"/>
      <c r="DZ175" s="910"/>
      <c r="EA175" s="910"/>
      <c r="EB175" s="910"/>
      <c r="EC175" s="910"/>
      <c r="ED175" s="910"/>
      <c r="EE175" s="910"/>
      <c r="EF175" s="910"/>
      <c r="EG175" s="910"/>
      <c r="EH175" s="910"/>
      <c r="EI175" s="910"/>
      <c r="EJ175" s="910"/>
      <c r="EK175" s="910"/>
      <c r="EL175" s="910"/>
      <c r="EM175" s="910"/>
      <c r="EN175" s="910"/>
      <c r="EO175" s="910"/>
      <c r="EP175" s="910"/>
      <c r="EQ175" s="910"/>
      <c r="ER175" s="910"/>
      <c r="ES175" s="910"/>
      <c r="ET175" s="910"/>
      <c r="EU175" s="910"/>
      <c r="EV175" s="910"/>
      <c r="EW175" s="910"/>
      <c r="EX175" s="910"/>
      <c r="EY175" s="910"/>
      <c r="EZ175" s="910"/>
      <c r="FA175" s="910"/>
      <c r="FB175" s="910"/>
      <c r="FC175" s="910"/>
      <c r="FD175" s="910"/>
      <c r="FE175" s="910"/>
      <c r="FF175" s="910"/>
      <c r="FG175" s="910"/>
      <c r="FH175" s="910"/>
      <c r="FI175" s="910"/>
      <c r="FJ175" s="910"/>
      <c r="FK175" s="910"/>
    </row>
    <row r="176" spans="1:169" ht="9" customHeight="1" thickTop="1">
      <c r="A176" s="910"/>
      <c r="B176" s="910"/>
      <c r="C176" s="87"/>
      <c r="D176" s="109"/>
      <c r="E176" s="913"/>
      <c r="F176" s="913"/>
      <c r="G176" s="913"/>
      <c r="H176" s="913"/>
      <c r="I176" s="102"/>
      <c r="J176" s="2180"/>
      <c r="K176" s="2180"/>
      <c r="L176" s="2180"/>
      <c r="M176" s="2180"/>
      <c r="N176" s="2180"/>
      <c r="O176" s="2180"/>
      <c r="P176" s="2180"/>
      <c r="Q176" s="2180"/>
      <c r="R176" s="589"/>
      <c r="S176" s="588"/>
      <c r="T176" s="592"/>
      <c r="U176" s="592"/>
      <c r="V176" s="593"/>
      <c r="W176" s="593"/>
      <c r="X176" s="593"/>
      <c r="Y176" s="588"/>
      <c r="Z176" s="588"/>
      <c r="AA176" s="588"/>
      <c r="AB176" s="588"/>
      <c r="AC176" s="588"/>
      <c r="AD176" s="588"/>
      <c r="AE176" s="588"/>
      <c r="AF176" s="588"/>
      <c r="AG176" s="588"/>
      <c r="AH176" s="588"/>
      <c r="AI176" s="588"/>
      <c r="AJ176" s="588"/>
      <c r="AK176" s="588"/>
      <c r="AL176" s="588"/>
      <c r="AM176" s="113"/>
      <c r="AN176" s="913"/>
      <c r="AO176" s="913"/>
      <c r="AP176" s="102"/>
      <c r="AQ176" s="2180"/>
      <c r="AR176" s="2180"/>
      <c r="AS176" s="2180"/>
      <c r="AT176" s="2180"/>
      <c r="AU176" s="2180"/>
      <c r="AV176" s="2180"/>
      <c r="AW176" s="2180"/>
      <c r="AX176" s="589"/>
      <c r="AY176" s="598"/>
      <c r="AZ176" s="598"/>
      <c r="BA176" s="598"/>
      <c r="BB176" s="598"/>
      <c r="BC176" s="598"/>
      <c r="BD176" s="598"/>
      <c r="BE176" s="598"/>
      <c r="BF176" s="598"/>
      <c r="BG176" s="598"/>
      <c r="BH176" s="598"/>
      <c r="BI176" s="598"/>
      <c r="BJ176" s="598"/>
      <c r="BK176" s="598"/>
      <c r="BL176" s="113"/>
      <c r="BM176" s="913"/>
      <c r="BN176" s="913"/>
      <c r="BO176" s="102"/>
      <c r="BP176" s="2180"/>
      <c r="BQ176" s="2180"/>
      <c r="BR176" s="2180"/>
      <c r="BS176" s="2180"/>
      <c r="BT176" s="2180"/>
      <c r="BU176" s="2180"/>
      <c r="BV176" s="2180"/>
      <c r="BW176" s="589"/>
      <c r="BX176" s="598"/>
      <c r="BY176" s="598"/>
      <c r="BZ176" s="598"/>
      <c r="CA176" s="598"/>
      <c r="CB176" s="113"/>
      <c r="CC176" s="913"/>
      <c r="CD176" s="913"/>
      <c r="CE176" s="102"/>
      <c r="CF176" s="2138"/>
      <c r="CG176" s="2138"/>
      <c r="CH176" s="2138"/>
      <c r="CI176" s="2138"/>
      <c r="CJ176" s="2138"/>
      <c r="CK176" s="2138"/>
      <c r="CL176" s="2138"/>
      <c r="CM176" s="2138"/>
      <c r="CN176" s="589"/>
      <c r="CO176" s="599"/>
      <c r="CP176" s="599"/>
      <c r="CQ176" s="599"/>
      <c r="CR176" s="599"/>
      <c r="CS176" s="599"/>
      <c r="CT176" s="599"/>
      <c r="CU176" s="599"/>
      <c r="CV176" s="599"/>
      <c r="CW176" s="599"/>
      <c r="CX176" s="599"/>
      <c r="CY176" s="599"/>
      <c r="CZ176" s="599"/>
      <c r="DA176" s="599"/>
      <c r="DB176" s="599"/>
      <c r="DC176" s="599"/>
      <c r="DD176" s="599"/>
      <c r="DE176" s="599"/>
      <c r="DF176" s="599"/>
      <c r="DG176" s="113"/>
      <c r="DH176" s="970"/>
      <c r="DI176" s="111"/>
      <c r="DJ176" s="111"/>
      <c r="DK176" s="87"/>
      <c r="DL176" s="87"/>
      <c r="DM176" s="910"/>
      <c r="DN176" s="910"/>
      <c r="DO176" s="910"/>
      <c r="DP176" s="910"/>
      <c r="DQ176" s="910"/>
      <c r="DR176" s="910"/>
      <c r="DS176" s="910"/>
      <c r="DT176" s="910"/>
      <c r="DU176" s="910"/>
      <c r="DV176" s="910"/>
      <c r="DW176" s="910"/>
      <c r="DX176" s="910"/>
      <c r="DY176" s="910"/>
      <c r="DZ176" s="910"/>
      <c r="EA176" s="910"/>
      <c r="EB176" s="910"/>
      <c r="EC176" s="910"/>
      <c r="ED176" s="910"/>
      <c r="EE176" s="910"/>
      <c r="EF176" s="910"/>
      <c r="EG176" s="910"/>
      <c r="EH176" s="910"/>
      <c r="EI176" s="910"/>
      <c r="EJ176" s="910"/>
      <c r="EK176" s="910"/>
      <c r="EL176" s="910"/>
      <c r="EM176" s="910"/>
      <c r="EN176" s="910"/>
      <c r="EO176" s="910"/>
      <c r="EP176" s="910"/>
      <c r="EQ176" s="910"/>
      <c r="ER176" s="910"/>
      <c r="ES176" s="910"/>
      <c r="ET176" s="910"/>
      <c r="EU176" s="910"/>
      <c r="EV176" s="910"/>
      <c r="EW176" s="910"/>
      <c r="EX176" s="910"/>
      <c r="EY176" s="910"/>
      <c r="EZ176" s="910"/>
      <c r="FA176" s="910"/>
      <c r="FB176" s="910"/>
      <c r="FC176" s="910"/>
      <c r="FD176" s="910"/>
      <c r="FE176" s="910"/>
      <c r="FF176" s="910"/>
      <c r="FG176" s="910"/>
      <c r="FH176" s="910"/>
      <c r="FI176" s="910"/>
      <c r="FJ176" s="910"/>
      <c r="FK176" s="910"/>
      <c r="FM176" s="1019" t="e">
        <f ca="1">FM177</f>
        <v>#N/A</v>
      </c>
    </row>
    <row r="177" spans="1:169" ht="9" customHeight="1" thickBot="1">
      <c r="A177" s="910"/>
      <c r="B177" s="910"/>
      <c r="C177" s="87"/>
      <c r="D177" s="87"/>
      <c r="E177" s="111"/>
      <c r="F177" s="111"/>
      <c r="G177" s="122"/>
      <c r="H177" s="290"/>
      <c r="I177" s="102"/>
      <c r="J177" s="1879" t="str">
        <f>Weapons!AS$7</f>
        <v/>
      </c>
      <c r="K177" s="1879"/>
      <c r="L177" s="1879"/>
      <c r="M177" s="1879"/>
      <c r="N177" s="1879"/>
      <c r="O177" s="1879"/>
      <c r="P177" s="1879"/>
      <c r="Q177" s="1879"/>
      <c r="R177" s="1879"/>
      <c r="S177" s="1879"/>
      <c r="T177" s="1879"/>
      <c r="U177" s="1879"/>
      <c r="V177" s="1879"/>
      <c r="W177" s="1879"/>
      <c r="X177" s="1879"/>
      <c r="Y177" s="1879"/>
      <c r="Z177" s="1879"/>
      <c r="AA177" s="1879"/>
      <c r="AB177" s="1879"/>
      <c r="AC177" s="1879"/>
      <c r="AD177" s="1879"/>
      <c r="AE177" s="1879"/>
      <c r="AF177" s="1879"/>
      <c r="AG177" s="1879"/>
      <c r="AH177" s="1879"/>
      <c r="AI177" s="1879"/>
      <c r="AJ177" s="1879"/>
      <c r="AK177" s="1879"/>
      <c r="AL177" s="1879"/>
      <c r="AM177" s="646"/>
      <c r="AN177" s="122"/>
      <c r="AO177" s="290"/>
      <c r="AP177" s="102"/>
      <c r="AQ177" s="2189" t="str">
        <f>IF(Weapons!AS$16&lt;&gt;"",Weapons!AS$16,"")</f>
        <v/>
      </c>
      <c r="AR177" s="2189"/>
      <c r="AS177" s="2189"/>
      <c r="AT177" s="2189"/>
      <c r="AU177" s="2189"/>
      <c r="AV177" s="2189"/>
      <c r="AW177" s="2189"/>
      <c r="AX177" s="2189"/>
      <c r="AY177" s="2189"/>
      <c r="AZ177" s="2189"/>
      <c r="BA177" s="2189"/>
      <c r="BB177" s="2189"/>
      <c r="BC177" s="2189"/>
      <c r="BD177" s="2189"/>
      <c r="BE177" s="2189"/>
      <c r="BF177" s="2189"/>
      <c r="BG177" s="2189"/>
      <c r="BH177" s="2189"/>
      <c r="BI177" s="2189"/>
      <c r="BJ177" s="2189"/>
      <c r="BK177" s="2189"/>
      <c r="BL177" s="100"/>
      <c r="BM177" s="122"/>
      <c r="BN177" s="290"/>
      <c r="BO177" s="102"/>
      <c r="BP177" s="2195" t="str">
        <f>Weapons!AS$8</f>
        <v/>
      </c>
      <c r="BQ177" s="2195"/>
      <c r="BR177" s="2195"/>
      <c r="BS177" s="2195"/>
      <c r="BT177" s="2197" t="str">
        <f>IF(BP177&lt;&gt;"",IF(COUNTIF(FeatsCharacterSheet,BT180)&gt;0,BP177+BT174,""),"")</f>
        <v/>
      </c>
      <c r="BU177" s="2198"/>
      <c r="BV177" s="2198"/>
      <c r="BW177" s="2199"/>
      <c r="BX177" s="2198" t="str">
        <f>IF(BP177&lt;&gt;"",IF(COUNTIF(FeatsCharacterSheet,BX180)&gt;0,BP177+BX174,""),"")</f>
        <v/>
      </c>
      <c r="BY177" s="2198"/>
      <c r="BZ177" s="2198"/>
      <c r="CA177" s="2198"/>
      <c r="CB177" s="100"/>
      <c r="CC177" s="122"/>
      <c r="CD177" s="290"/>
      <c r="CE177" s="102"/>
      <c r="CF177" s="1883"/>
      <c r="CG177" s="1883"/>
      <c r="CH177" s="1883"/>
      <c r="CI177" s="1883"/>
      <c r="CJ177" s="1883"/>
      <c r="CK177" s="1883"/>
      <c r="CL177" s="1883"/>
      <c r="CM177" s="1883"/>
      <c r="CN177" s="1883"/>
      <c r="CO177" s="1924" t="str">
        <f>Weapons!AS$9</f>
        <v/>
      </c>
      <c r="CP177" s="1924"/>
      <c r="CQ177" s="1924"/>
      <c r="CR177" s="1924"/>
      <c r="CS177" s="1924"/>
      <c r="CT177" s="1924"/>
      <c r="CU177" s="1924"/>
      <c r="CV177" s="1924"/>
      <c r="CW177" s="1924"/>
      <c r="CX177" s="1924"/>
      <c r="CY177" s="1924"/>
      <c r="CZ177" s="1924"/>
      <c r="DA177" s="1924"/>
      <c r="DB177" s="1924"/>
      <c r="DC177" s="1924"/>
      <c r="DD177" s="1924"/>
      <c r="DE177" s="1924"/>
      <c r="DF177" s="1924"/>
      <c r="DG177" s="656"/>
      <c r="DH177" s="971"/>
      <c r="DI177" s="122"/>
      <c r="DJ177" s="118"/>
      <c r="DK177" s="109"/>
      <c r="DL177" s="109"/>
      <c r="DM177" s="910"/>
      <c r="DN177" s="910"/>
      <c r="DO177" s="910"/>
      <c r="DP177" s="910"/>
      <c r="DQ177" s="910"/>
      <c r="DR177" s="910"/>
      <c r="DS177" s="910"/>
      <c r="DT177" s="910"/>
      <c r="DU177" s="910"/>
      <c r="DV177" s="910"/>
      <c r="DW177" s="910"/>
      <c r="DX177" s="910"/>
      <c r="DY177" s="910"/>
      <c r="DZ177" s="910"/>
      <c r="EA177" s="910"/>
      <c r="EB177" s="910"/>
      <c r="EC177" s="910"/>
      <c r="ED177" s="910"/>
      <c r="EE177" s="910"/>
      <c r="EF177" s="910"/>
      <c r="EG177" s="910"/>
      <c r="EH177" s="910"/>
      <c r="EI177" s="910"/>
      <c r="EJ177" s="910"/>
      <c r="EK177" s="910"/>
      <c r="EL177" s="910"/>
      <c r="EM177" s="910"/>
      <c r="EN177" s="910"/>
      <c r="EO177" s="910"/>
      <c r="EP177" s="910"/>
      <c r="EQ177" s="910"/>
      <c r="ER177" s="910"/>
      <c r="ES177" s="910"/>
      <c r="ET177" s="910"/>
      <c r="EU177" s="910"/>
      <c r="EV177" s="910"/>
      <c r="EW177" s="910"/>
      <c r="EX177" s="910"/>
      <c r="EY177" s="910"/>
      <c r="EZ177" s="910"/>
      <c r="FA177" s="910"/>
      <c r="FB177" s="910"/>
      <c r="FC177" s="910"/>
      <c r="FD177" s="910"/>
      <c r="FE177" s="910"/>
      <c r="FF177" s="910"/>
      <c r="FG177" s="910"/>
      <c r="FH177" s="910"/>
      <c r="FI177" s="910"/>
      <c r="FJ177" s="910"/>
      <c r="FK177" s="910"/>
      <c r="FL177" s="1020" t="e">
        <f ca="1">AQ175&amp;" "&amp;LOWER(J177)&amp;" "&amp;IF(BP177&lt;0,"","+")&amp;BP177&amp;" ("&amp;CO177&amp;IF(Weapons!AS$82&lt;&gt;"20","/"&amp;Weapons!AS$82,"")&amp;IF(Weapons!AS$83&lt;&gt;2,"/×"&amp;Weapons!AS$83,"")&amp;")"</f>
        <v>#N/A</v>
      </c>
      <c r="FM177" s="1019" t="e">
        <f ca="1">IF(FL177&lt;&gt;"",FL177&amp;IF(FM178&lt;&gt;"","
"&amp;FM178,""),FM178)</f>
        <v>#N/A</v>
      </c>
    </row>
    <row r="178" spans="1:169" ht="9" customHeight="1" thickTop="1">
      <c r="A178" s="910"/>
      <c r="B178" s="910"/>
      <c r="C178" s="87"/>
      <c r="D178" s="87"/>
      <c r="E178" s="292"/>
      <c r="F178" s="293"/>
      <c r="G178" s="111"/>
      <c r="H178" s="111"/>
      <c r="I178" s="102"/>
      <c r="J178" s="1879"/>
      <c r="K178" s="1879"/>
      <c r="L178" s="1879"/>
      <c r="M178" s="1879"/>
      <c r="N178" s="1879"/>
      <c r="O178" s="1879"/>
      <c r="P178" s="1879"/>
      <c r="Q178" s="1879"/>
      <c r="R178" s="1879"/>
      <c r="S178" s="1879"/>
      <c r="T178" s="1879"/>
      <c r="U178" s="1879"/>
      <c r="V178" s="1879"/>
      <c r="W178" s="1879"/>
      <c r="X178" s="1879"/>
      <c r="Y178" s="1879"/>
      <c r="Z178" s="1879"/>
      <c r="AA178" s="1879"/>
      <c r="AB178" s="1879"/>
      <c r="AC178" s="1879"/>
      <c r="AD178" s="1879"/>
      <c r="AE178" s="1879"/>
      <c r="AF178" s="1879"/>
      <c r="AG178" s="1879"/>
      <c r="AH178" s="1879"/>
      <c r="AI178" s="1879"/>
      <c r="AJ178" s="1879"/>
      <c r="AK178" s="1879"/>
      <c r="AL178" s="1879"/>
      <c r="AM178" s="646"/>
      <c r="AN178" s="111"/>
      <c r="AO178" s="111"/>
      <c r="AP178" s="647"/>
      <c r="AQ178" s="2189"/>
      <c r="AR178" s="2189"/>
      <c r="AS178" s="2189"/>
      <c r="AT178" s="2189"/>
      <c r="AU178" s="2189"/>
      <c r="AV178" s="2189"/>
      <c r="AW178" s="2189"/>
      <c r="AX178" s="2189"/>
      <c r="AY178" s="2189"/>
      <c r="AZ178" s="2189"/>
      <c r="BA178" s="2189"/>
      <c r="BB178" s="2189"/>
      <c r="BC178" s="2189"/>
      <c r="BD178" s="2189"/>
      <c r="BE178" s="2189"/>
      <c r="BF178" s="2189"/>
      <c r="BG178" s="2189"/>
      <c r="BH178" s="2189"/>
      <c r="BI178" s="2189"/>
      <c r="BJ178" s="2189"/>
      <c r="BK178" s="2189"/>
      <c r="BL178" s="100"/>
      <c r="BM178" s="111"/>
      <c r="BN178" s="111"/>
      <c r="BO178" s="647"/>
      <c r="BP178" s="2195"/>
      <c r="BQ178" s="2195"/>
      <c r="BR178" s="2195"/>
      <c r="BS178" s="2195"/>
      <c r="BT178" s="2200"/>
      <c r="BU178" s="2185"/>
      <c r="BV178" s="2185"/>
      <c r="BW178" s="2201"/>
      <c r="BX178" s="2185"/>
      <c r="BY178" s="2185"/>
      <c r="BZ178" s="2185"/>
      <c r="CA178" s="2185"/>
      <c r="CB178" s="100"/>
      <c r="CC178" s="111"/>
      <c r="CD178" s="111"/>
      <c r="CE178" s="102"/>
      <c r="CF178" s="1883"/>
      <c r="CG178" s="1883"/>
      <c r="CH178" s="1883"/>
      <c r="CI178" s="1883"/>
      <c r="CJ178" s="1883"/>
      <c r="CK178" s="1883"/>
      <c r="CL178" s="1883"/>
      <c r="CM178" s="1883"/>
      <c r="CN178" s="1883"/>
      <c r="CO178" s="1924"/>
      <c r="CP178" s="1924"/>
      <c r="CQ178" s="1924"/>
      <c r="CR178" s="1924"/>
      <c r="CS178" s="1924"/>
      <c r="CT178" s="1924"/>
      <c r="CU178" s="1924"/>
      <c r="CV178" s="1924"/>
      <c r="CW178" s="1924"/>
      <c r="CX178" s="1924"/>
      <c r="CY178" s="1924"/>
      <c r="CZ178" s="1924"/>
      <c r="DA178" s="1924"/>
      <c r="DB178" s="1924"/>
      <c r="DC178" s="1924"/>
      <c r="DD178" s="1924"/>
      <c r="DE178" s="1924"/>
      <c r="DF178" s="1924"/>
      <c r="DG178" s="656"/>
      <c r="DH178" s="970"/>
      <c r="DI178" s="111"/>
      <c r="DJ178" s="256"/>
      <c r="DK178" s="109"/>
      <c r="DL178" s="109"/>
      <c r="DM178" s="910"/>
      <c r="DN178" s="910"/>
      <c r="DO178" s="910"/>
      <c r="DP178" s="910"/>
      <c r="DQ178" s="910"/>
      <c r="DR178" s="910"/>
      <c r="DS178" s="910"/>
      <c r="DT178" s="910"/>
      <c r="DU178" s="910"/>
      <c r="DV178" s="910"/>
      <c r="DW178" s="910"/>
      <c r="DX178" s="910"/>
      <c r="DY178" s="910"/>
      <c r="DZ178" s="910"/>
      <c r="EA178" s="910"/>
      <c r="EB178" s="910"/>
      <c r="EC178" s="910"/>
      <c r="ED178" s="910"/>
      <c r="EE178" s="910"/>
      <c r="EF178" s="910"/>
      <c r="EG178" s="910"/>
      <c r="EH178" s="910"/>
      <c r="EI178" s="910"/>
      <c r="EJ178" s="910"/>
      <c r="EK178" s="910"/>
      <c r="EL178" s="910"/>
      <c r="EM178" s="910"/>
      <c r="EN178" s="910"/>
      <c r="EO178" s="910"/>
      <c r="EP178" s="910"/>
      <c r="EQ178" s="910"/>
      <c r="ER178" s="910"/>
      <c r="ES178" s="910"/>
      <c r="ET178" s="910"/>
      <c r="EU178" s="910"/>
      <c r="EV178" s="910"/>
      <c r="EW178" s="910"/>
      <c r="EX178" s="910"/>
      <c r="EY178" s="910"/>
      <c r="EZ178" s="910"/>
      <c r="FA178" s="910"/>
      <c r="FB178" s="910"/>
      <c r="FC178" s="910"/>
      <c r="FD178" s="910"/>
      <c r="FE178" s="910"/>
      <c r="FF178" s="910"/>
      <c r="FG178" s="910"/>
      <c r="FH178" s="910"/>
      <c r="FI178" s="910"/>
      <c r="FJ178" s="910"/>
      <c r="FK178" s="910"/>
      <c r="FL178" s="1020" t="e">
        <f ca="1">IF(AND(BT180&lt;&gt;"",BT177&lt;&gt;""),AQ175&amp;" "&amp;LOWER(J177)&amp;" "&amp;IF(BT177&lt;0,BT177&amp;"/"&amp;BT177,"+"&amp;BT177&amp;"/+"&amp;BT177)&amp;" ("&amp;CO177&amp;IF(Weapons!AS$82&lt;&gt;"20","/"&amp;Weapons!AS$82,"")&amp;IF(Weapons!AS$83&lt;&gt;2,"/×"&amp;Weapons!AS$83,"")&amp;") with Double Attack","")</f>
        <v>#N/A</v>
      </c>
      <c r="FM178" s="1019" t="e">
        <f t="shared" ref="FM178:FM209" ca="1" si="4">IF(FL178&lt;&gt;"",FL178&amp;IF(FM179&lt;&gt;"","
"&amp;FM179,""),FM179)</f>
        <v>#N/A</v>
      </c>
    </row>
    <row r="179" spans="1:169" ht="9" customHeight="1" thickBot="1">
      <c r="A179" s="910"/>
      <c r="B179" s="910"/>
      <c r="C179" s="87"/>
      <c r="D179" s="144"/>
      <c r="E179" s="111"/>
      <c r="F179" s="111"/>
      <c r="G179" s="111"/>
      <c r="H179" s="111"/>
      <c r="I179" s="91"/>
      <c r="J179" s="1880"/>
      <c r="K179" s="1880"/>
      <c r="L179" s="1880"/>
      <c r="M179" s="1880"/>
      <c r="N179" s="1880"/>
      <c r="O179" s="1880"/>
      <c r="P179" s="1880"/>
      <c r="Q179" s="1880"/>
      <c r="R179" s="1880"/>
      <c r="S179" s="1880"/>
      <c r="T179" s="1880"/>
      <c r="U179" s="1880"/>
      <c r="V179" s="1880"/>
      <c r="W179" s="1880"/>
      <c r="X179" s="1880"/>
      <c r="Y179" s="1880"/>
      <c r="Z179" s="1880"/>
      <c r="AA179" s="1880"/>
      <c r="AB179" s="1880"/>
      <c r="AC179" s="1880"/>
      <c r="AD179" s="1880"/>
      <c r="AE179" s="1880"/>
      <c r="AF179" s="1880"/>
      <c r="AG179" s="1880"/>
      <c r="AH179" s="1880"/>
      <c r="AI179" s="1880"/>
      <c r="AJ179" s="1880"/>
      <c r="AK179" s="1880"/>
      <c r="AL179" s="1880"/>
      <c r="AM179" s="648"/>
      <c r="AN179" s="913"/>
      <c r="AO179" s="913"/>
      <c r="AP179" s="649"/>
      <c r="AQ179" s="2190"/>
      <c r="AR179" s="2190"/>
      <c r="AS179" s="2190"/>
      <c r="AT179" s="2190"/>
      <c r="AU179" s="2190"/>
      <c r="AV179" s="2190"/>
      <c r="AW179" s="2190"/>
      <c r="AX179" s="2190"/>
      <c r="AY179" s="2190"/>
      <c r="AZ179" s="2190"/>
      <c r="BA179" s="2190"/>
      <c r="BB179" s="2190"/>
      <c r="BC179" s="2190"/>
      <c r="BD179" s="2190"/>
      <c r="BE179" s="2190"/>
      <c r="BF179" s="2190"/>
      <c r="BG179" s="2190"/>
      <c r="BH179" s="2190"/>
      <c r="BI179" s="2190"/>
      <c r="BJ179" s="2190"/>
      <c r="BK179" s="2190"/>
      <c r="BL179" s="93"/>
      <c r="BM179" s="913"/>
      <c r="BN179" s="913"/>
      <c r="BO179" s="649"/>
      <c r="BP179" s="2196"/>
      <c r="BQ179" s="2196"/>
      <c r="BR179" s="2196"/>
      <c r="BS179" s="2196"/>
      <c r="BT179" s="2202"/>
      <c r="BU179" s="2186"/>
      <c r="BV179" s="2186"/>
      <c r="BW179" s="2203"/>
      <c r="BX179" s="2186"/>
      <c r="BY179" s="2186"/>
      <c r="BZ179" s="2186"/>
      <c r="CA179" s="2186"/>
      <c r="CB179" s="93"/>
      <c r="CC179" s="913"/>
      <c r="CD179" s="913"/>
      <c r="CE179" s="91"/>
      <c r="CF179" s="655"/>
      <c r="CG179" s="655"/>
      <c r="CH179" s="655"/>
      <c r="CI179" s="655"/>
      <c r="CJ179" s="655"/>
      <c r="CK179" s="655"/>
      <c r="CL179" s="655"/>
      <c r="CM179" s="655"/>
      <c r="CN179" s="655"/>
      <c r="CO179" s="1925"/>
      <c r="CP179" s="1925"/>
      <c r="CQ179" s="1925"/>
      <c r="CR179" s="1925"/>
      <c r="CS179" s="1925"/>
      <c r="CT179" s="1925"/>
      <c r="CU179" s="1925"/>
      <c r="CV179" s="1925"/>
      <c r="CW179" s="1925"/>
      <c r="CX179" s="1925"/>
      <c r="CY179" s="1925"/>
      <c r="CZ179" s="1925"/>
      <c r="DA179" s="1925"/>
      <c r="DB179" s="1925"/>
      <c r="DC179" s="1925"/>
      <c r="DD179" s="1925"/>
      <c r="DE179" s="1925"/>
      <c r="DF179" s="1925"/>
      <c r="DG179" s="93"/>
      <c r="DH179" s="972"/>
      <c r="DI179" s="118"/>
      <c r="DJ179" s="118"/>
      <c r="DK179" s="256"/>
      <c r="DL179" s="109"/>
      <c r="DM179" s="910"/>
      <c r="DN179" s="910"/>
      <c r="DO179" s="910"/>
      <c r="DP179" s="910"/>
      <c r="DQ179" s="910"/>
      <c r="DR179" s="910"/>
      <c r="DS179" s="910"/>
      <c r="DT179" s="910"/>
      <c r="DU179" s="910"/>
      <c r="DV179" s="910"/>
      <c r="DW179" s="910"/>
      <c r="DX179" s="910"/>
      <c r="DY179" s="910"/>
      <c r="DZ179" s="910"/>
      <c r="EA179" s="910"/>
      <c r="EB179" s="910"/>
      <c r="EC179" s="910"/>
      <c r="ED179" s="910"/>
      <c r="EE179" s="910"/>
      <c r="EF179" s="910"/>
      <c r="EG179" s="910"/>
      <c r="EH179" s="910"/>
      <c r="EI179" s="910"/>
      <c r="EJ179" s="910"/>
      <c r="EK179" s="910"/>
      <c r="EL179" s="910"/>
      <c r="EM179" s="910"/>
      <c r="EN179" s="910"/>
      <c r="EO179" s="910"/>
      <c r="EP179" s="910"/>
      <c r="EQ179" s="910"/>
      <c r="ER179" s="910"/>
      <c r="ES179" s="910"/>
      <c r="ET179" s="910"/>
      <c r="EU179" s="910"/>
      <c r="EV179" s="910"/>
      <c r="EW179" s="910"/>
      <c r="EX179" s="910"/>
      <c r="EY179" s="910"/>
      <c r="EZ179" s="910"/>
      <c r="FA179" s="910"/>
      <c r="FB179" s="910"/>
      <c r="FC179" s="910"/>
      <c r="FD179" s="910"/>
      <c r="FE179" s="910"/>
      <c r="FF179" s="910"/>
      <c r="FG179" s="910"/>
      <c r="FH179" s="910"/>
      <c r="FI179" s="910"/>
      <c r="FJ179" s="910"/>
      <c r="FK179" s="910"/>
      <c r="FL179" s="1020" t="e">
        <f ca="1">IF(AND($BX$12&lt;&gt;"",BX177&lt;&gt;""),AQ175&amp;" "&amp;LOWER(J177)&amp;" "&amp;IF(BX177&lt;0,BX177&amp;"/"&amp;BX177&amp;"/"&amp;BX177,"+"&amp;BX177&amp;"/+"&amp;BX177&amp;"/+"&amp;BX177)&amp;" ("&amp;CO177&amp;IF(Weapons!AS$82&lt;&gt;"20","/"&amp;Weapons!AS$82,"")&amp;IF(Weapons!AS$83&lt;&gt;2,"/×"&amp;Weapons!AS$83,"")&amp;") with Triple Attack","")</f>
        <v>#N/A</v>
      </c>
      <c r="FM179" s="1019" t="e">
        <f t="shared" ca="1" si="4"/>
        <v>#N/A</v>
      </c>
    </row>
    <row r="180" spans="1:169" ht="9" customHeight="1" thickTop="1" thickBot="1">
      <c r="A180" s="910"/>
      <c r="B180" s="910"/>
      <c r="C180" s="112"/>
      <c r="D180" s="2183" t="str">
        <f>IF(Weapons!AS$109&lt;&gt;"","MOUNTED","")</f>
        <v/>
      </c>
      <c r="E180" s="2184"/>
      <c r="F180" s="2184"/>
      <c r="G180" s="913"/>
      <c r="H180" s="913"/>
      <c r="I180" s="913"/>
      <c r="J180" s="913"/>
      <c r="K180" s="913"/>
      <c r="L180" s="913"/>
      <c r="M180" s="913"/>
      <c r="N180" s="913"/>
      <c r="O180" s="913"/>
      <c r="P180" s="913"/>
      <c r="Q180" s="913"/>
      <c r="R180" s="913"/>
      <c r="S180" s="913"/>
      <c r="T180" s="913"/>
      <c r="U180" s="913"/>
      <c r="V180" s="913"/>
      <c r="W180" s="913"/>
      <c r="X180" s="913"/>
      <c r="Y180" s="913"/>
      <c r="Z180" s="913"/>
      <c r="AA180" s="913"/>
      <c r="AB180" s="913"/>
      <c r="AC180" s="913"/>
      <c r="AD180" s="913"/>
      <c r="AE180" s="913"/>
      <c r="AF180" s="913"/>
      <c r="AG180" s="913"/>
      <c r="AH180" s="913"/>
      <c r="AI180" s="913"/>
      <c r="AJ180" s="913"/>
      <c r="AK180" s="913"/>
      <c r="AL180" s="913"/>
      <c r="AM180" s="913"/>
      <c r="AN180" s="913"/>
      <c r="AO180" s="910"/>
      <c r="AP180" s="910"/>
      <c r="AQ180" s="910"/>
      <c r="AR180" s="910"/>
      <c r="AS180" s="910"/>
      <c r="AT180" s="910"/>
      <c r="AU180" s="910"/>
      <c r="AV180" s="910"/>
      <c r="AW180" s="910"/>
      <c r="AX180" s="910"/>
      <c r="AY180" s="910"/>
      <c r="AZ180" s="910"/>
      <c r="BA180" s="910"/>
      <c r="BB180" s="910"/>
      <c r="BC180" s="910"/>
      <c r="BD180" s="910"/>
      <c r="BE180" s="910"/>
      <c r="BF180" s="910"/>
      <c r="BG180" s="910"/>
      <c r="BH180" s="910"/>
      <c r="BI180" s="596"/>
      <c r="BJ180" s="596"/>
      <c r="BK180" s="596"/>
      <c r="BL180" s="910"/>
      <c r="BM180" s="910"/>
      <c r="BN180" s="913"/>
      <c r="BO180" s="913"/>
      <c r="BP180" s="913"/>
      <c r="BQ180" s="913"/>
      <c r="BR180" s="913"/>
      <c r="BS180" s="913"/>
      <c r="BT180" s="2205" t="e">
        <f ca="1">"Double Attack ("&amp;INDEX(WeaponTable,MATCH(Weapons!AS$11,WeaponList,0),5)&amp;")"</f>
        <v>#N/A</v>
      </c>
      <c r="BU180" s="2205"/>
      <c r="BV180" s="2205"/>
      <c r="BW180" s="2205"/>
      <c r="BX180" s="2205" t="e">
        <f ca="1">"Triple Attack ("&amp;INDEX(WeaponTable,MATCH(Weapons!AS$11,WeaponList,0),5)&amp;")"</f>
        <v>#N/A</v>
      </c>
      <c r="BY180" s="2205"/>
      <c r="BZ180" s="2205"/>
      <c r="CA180" s="2205"/>
      <c r="CB180" s="913"/>
      <c r="CC180" s="913"/>
      <c r="CD180" s="913"/>
      <c r="CE180" s="913"/>
      <c r="CF180" s="913"/>
      <c r="CG180" s="913"/>
      <c r="CH180" s="913"/>
      <c r="CI180" s="913"/>
      <c r="CJ180" s="913"/>
      <c r="CK180" s="913"/>
      <c r="CL180" s="913"/>
      <c r="CM180" s="913"/>
      <c r="CN180" s="913"/>
      <c r="CO180" s="913"/>
      <c r="CP180" s="913"/>
      <c r="CQ180" s="913"/>
      <c r="CR180" s="913"/>
      <c r="CS180" s="913"/>
      <c r="CT180" s="913"/>
      <c r="CU180" s="913"/>
      <c r="CV180" s="913"/>
      <c r="CW180" s="913"/>
      <c r="CX180" s="913"/>
      <c r="CY180" s="913"/>
      <c r="CZ180" s="913"/>
      <c r="DA180" s="913"/>
      <c r="DB180" s="913"/>
      <c r="DC180" s="913"/>
      <c r="DD180" s="913"/>
      <c r="DE180" s="913"/>
      <c r="DF180" s="913"/>
      <c r="DG180" s="913"/>
      <c r="DH180" s="973"/>
      <c r="DI180" s="596"/>
      <c r="DJ180" s="596"/>
      <c r="DK180" s="112"/>
      <c r="DL180" s="87"/>
      <c r="DM180" s="910"/>
      <c r="DN180" s="910"/>
      <c r="DO180" s="910"/>
      <c r="DP180" s="910"/>
      <c r="DQ180" s="910"/>
      <c r="DR180" s="910"/>
      <c r="DS180" s="910"/>
      <c r="DT180" s="910"/>
      <c r="DU180" s="910"/>
      <c r="DV180" s="910"/>
      <c r="DW180" s="910"/>
      <c r="DX180" s="910"/>
      <c r="DY180" s="910"/>
      <c r="DZ180" s="910"/>
      <c r="EA180" s="910"/>
      <c r="EB180" s="910"/>
      <c r="EC180" s="910"/>
      <c r="ED180" s="910"/>
      <c r="EE180" s="910"/>
      <c r="EF180" s="910"/>
      <c r="EG180" s="910"/>
      <c r="EH180" s="910"/>
      <c r="EI180" s="910"/>
      <c r="EJ180" s="910"/>
      <c r="EK180" s="910"/>
      <c r="EL180" s="910"/>
      <c r="EM180" s="910"/>
      <c r="EN180" s="910"/>
      <c r="EO180" s="910"/>
      <c r="EP180" s="910"/>
      <c r="EQ180" s="910"/>
      <c r="ER180" s="910"/>
      <c r="ES180" s="910"/>
      <c r="ET180" s="910"/>
      <c r="EU180" s="910"/>
      <c r="EV180" s="910"/>
      <c r="EW180" s="910"/>
      <c r="EX180" s="910"/>
      <c r="EY180" s="910"/>
      <c r="EZ180" s="910"/>
      <c r="FA180" s="910"/>
      <c r="FB180" s="910"/>
      <c r="FC180" s="910"/>
      <c r="FD180" s="910"/>
      <c r="FE180" s="910"/>
      <c r="FF180" s="910"/>
      <c r="FG180" s="910"/>
      <c r="FH180" s="910"/>
      <c r="FI180" s="910"/>
      <c r="FJ180" s="910"/>
      <c r="FK180" s="910"/>
      <c r="FL180" s="1020"/>
      <c r="FM180" s="1019" t="str">
        <f t="shared" si="4"/>
        <v/>
      </c>
    </row>
    <row r="181" spans="1:169" ht="9" customHeight="1" thickTop="1" thickBot="1">
      <c r="A181" s="910"/>
      <c r="B181" s="910"/>
      <c r="C181" s="112"/>
      <c r="D181" s="2183"/>
      <c r="E181" s="2184"/>
      <c r="F181" s="2184"/>
      <c r="G181" s="93"/>
      <c r="H181" s="2182" t="s">
        <v>3613</v>
      </c>
      <c r="I181" s="2182"/>
      <c r="J181" s="2182"/>
      <c r="K181" s="2182"/>
      <c r="L181" s="295"/>
      <c r="M181" s="295"/>
      <c r="N181" s="600"/>
      <c r="O181" s="600"/>
      <c r="P181" s="594"/>
      <c r="Q181" s="594"/>
      <c r="R181" s="594"/>
      <c r="S181" s="594"/>
      <c r="T181" s="594"/>
      <c r="U181" s="594"/>
      <c r="V181" s="594"/>
      <c r="W181" s="594"/>
      <c r="X181" s="594"/>
      <c r="Y181" s="594"/>
      <c r="Z181" s="594"/>
      <c r="AA181" s="594"/>
      <c r="AB181" s="594"/>
      <c r="AC181" s="594"/>
      <c r="AD181" s="594"/>
      <c r="AE181" s="594"/>
      <c r="AF181" s="297"/>
      <c r="AG181" s="913"/>
      <c r="AH181" s="913"/>
      <c r="AI181" s="910"/>
      <c r="AJ181" s="910"/>
      <c r="AK181" s="910"/>
      <c r="AL181" s="910"/>
      <c r="AM181" s="910"/>
      <c r="AN181" s="910"/>
      <c r="AO181" s="910"/>
      <c r="AP181" s="93"/>
      <c r="AQ181" s="2179" t="s">
        <v>4093</v>
      </c>
      <c r="AR181" s="2179"/>
      <c r="AS181" s="2179"/>
      <c r="AT181" s="2179"/>
      <c r="AU181" s="2179"/>
      <c r="AV181" s="2179"/>
      <c r="AW181" s="2179"/>
      <c r="AX181" s="2179"/>
      <c r="AY181" s="2179"/>
      <c r="AZ181" s="2179"/>
      <c r="BA181" s="2179"/>
      <c r="BB181" s="2179"/>
      <c r="BC181" s="2179"/>
      <c r="BD181" s="113"/>
      <c r="BE181" s="145"/>
      <c r="BF181" s="145"/>
      <c r="BG181" s="145"/>
      <c r="BH181" s="145"/>
      <c r="BI181" s="145"/>
      <c r="BJ181" s="145"/>
      <c r="BK181" s="145"/>
      <c r="BL181" s="913"/>
      <c r="BM181" s="913"/>
      <c r="BN181" s="913"/>
      <c r="BO181" s="93"/>
      <c r="BP181" s="2193" t="s">
        <v>4092</v>
      </c>
      <c r="BQ181" s="2193"/>
      <c r="BR181" s="2193"/>
      <c r="BS181" s="2193"/>
      <c r="BT181" s="2193" t="s">
        <v>4090</v>
      </c>
      <c r="BU181" s="2193"/>
      <c r="BV181" s="2193"/>
      <c r="BW181" s="2193"/>
      <c r="BX181" s="2193" t="s">
        <v>4091</v>
      </c>
      <c r="BY181" s="2193"/>
      <c r="BZ181" s="2193"/>
      <c r="CA181" s="2193"/>
      <c r="CB181" s="113"/>
      <c r="CC181" s="913"/>
      <c r="CD181" s="913"/>
      <c r="CE181" s="93"/>
      <c r="CF181" s="2182" t="s">
        <v>3612</v>
      </c>
      <c r="CG181" s="2208"/>
      <c r="CH181" s="2208"/>
      <c r="CI181" s="2208"/>
      <c r="CJ181" s="2208"/>
      <c r="CK181" s="2208"/>
      <c r="CL181" s="2208"/>
      <c r="CM181" s="2208"/>
      <c r="CN181" s="113"/>
      <c r="CO181" s="87"/>
      <c r="CP181" s="87"/>
      <c r="CQ181" s="87"/>
      <c r="CR181" s="87"/>
      <c r="CS181" s="87"/>
      <c r="CT181" s="87"/>
      <c r="CU181" s="87"/>
      <c r="CV181" s="87"/>
      <c r="CW181" s="87"/>
      <c r="CX181" s="87"/>
      <c r="CY181" s="87"/>
      <c r="CZ181" s="87"/>
      <c r="DA181" s="87"/>
      <c r="DB181" s="87"/>
      <c r="DC181" s="87"/>
      <c r="DD181" s="87"/>
      <c r="DE181" s="87"/>
      <c r="DF181" s="87"/>
      <c r="DG181" s="87"/>
      <c r="DI181" s="958"/>
      <c r="DJ181" s="958"/>
      <c r="DK181" s="112"/>
      <c r="DL181" s="87"/>
      <c r="DM181" s="910"/>
      <c r="DN181" s="910"/>
      <c r="DO181" s="910"/>
      <c r="DP181" s="910"/>
      <c r="DQ181" s="910"/>
      <c r="DR181" s="910"/>
      <c r="DS181" s="910"/>
      <c r="DT181" s="910"/>
      <c r="DU181" s="910"/>
      <c r="DV181" s="910"/>
      <c r="DW181" s="910"/>
      <c r="DX181" s="910"/>
      <c r="DY181" s="910"/>
      <c r="DZ181" s="910"/>
      <c r="EA181" s="910"/>
      <c r="EB181" s="910"/>
      <c r="EC181" s="910"/>
      <c r="ED181" s="910"/>
      <c r="EE181" s="910"/>
      <c r="EF181" s="910"/>
      <c r="EG181" s="910"/>
      <c r="EH181" s="910"/>
      <c r="EI181" s="910"/>
      <c r="EJ181" s="910"/>
      <c r="EK181" s="910"/>
      <c r="EL181" s="910"/>
      <c r="EM181" s="910"/>
      <c r="EN181" s="910"/>
      <c r="EO181" s="910"/>
      <c r="EP181" s="910"/>
      <c r="EQ181" s="910"/>
      <c r="ER181" s="910"/>
      <c r="ES181" s="910"/>
      <c r="ET181" s="910"/>
      <c r="EU181" s="910"/>
      <c r="EV181" s="910"/>
      <c r="EW181" s="910"/>
      <c r="EX181" s="910"/>
      <c r="EY181" s="910"/>
      <c r="EZ181" s="910"/>
      <c r="FA181" s="910"/>
      <c r="FB181" s="910"/>
      <c r="FC181" s="910"/>
      <c r="FD181" s="910"/>
      <c r="FE181" s="910"/>
      <c r="FF181" s="910"/>
      <c r="FG181" s="910"/>
      <c r="FH181" s="910"/>
      <c r="FI181" s="910"/>
      <c r="FJ181" s="910"/>
      <c r="FK181" s="910"/>
      <c r="FL181" s="1020"/>
      <c r="FM181" s="1019" t="str">
        <f t="shared" si="4"/>
        <v/>
      </c>
    </row>
    <row r="182" spans="1:169" ht="9" customHeight="1" thickTop="1">
      <c r="A182" s="910"/>
      <c r="B182" s="910"/>
      <c r="C182" s="112"/>
      <c r="D182" s="2183"/>
      <c r="E182" s="2184"/>
      <c r="F182" s="2184"/>
      <c r="G182" s="102"/>
      <c r="H182" s="2180"/>
      <c r="I182" s="2180"/>
      <c r="J182" s="2180"/>
      <c r="K182" s="2180"/>
      <c r="L182" s="1867" t="str">
        <f>Weapons!AS$34</f>
        <v/>
      </c>
      <c r="M182" s="1867"/>
      <c r="N182" s="1867"/>
      <c r="O182" s="1867"/>
      <c r="P182" s="1867"/>
      <c r="Q182" s="1867"/>
      <c r="R182" s="1867"/>
      <c r="S182" s="1867"/>
      <c r="T182" s="1867"/>
      <c r="U182" s="1867"/>
      <c r="V182" s="1867"/>
      <c r="W182" s="1867"/>
      <c r="X182" s="1867"/>
      <c r="Y182" s="1867"/>
      <c r="Z182" s="1867"/>
      <c r="AA182" s="1867"/>
      <c r="AB182" s="1867"/>
      <c r="AC182" s="1867"/>
      <c r="AD182" s="1867"/>
      <c r="AE182" s="1867"/>
      <c r="AF182" s="300"/>
      <c r="AG182" s="913"/>
      <c r="AH182" s="913"/>
      <c r="AI182" s="910"/>
      <c r="AJ182" s="910"/>
      <c r="AK182" s="910"/>
      <c r="AL182" s="910"/>
      <c r="AM182" s="910"/>
      <c r="AN182" s="910"/>
      <c r="AO182" s="910"/>
      <c r="AP182" s="102"/>
      <c r="AQ182" s="2180"/>
      <c r="AR182" s="2180"/>
      <c r="AS182" s="2180"/>
      <c r="AT182" s="2180"/>
      <c r="AU182" s="2180"/>
      <c r="AV182" s="2180"/>
      <c r="AW182" s="2180"/>
      <c r="AX182" s="2180"/>
      <c r="AY182" s="2180"/>
      <c r="AZ182" s="2180"/>
      <c r="BA182" s="2180"/>
      <c r="BB182" s="2180"/>
      <c r="BC182" s="2180"/>
      <c r="BD182" s="589"/>
      <c r="BE182" s="598"/>
      <c r="BF182" s="598"/>
      <c r="BG182" s="598"/>
      <c r="BH182" s="598"/>
      <c r="BI182" s="598"/>
      <c r="BJ182" s="598"/>
      <c r="BK182" s="598"/>
      <c r="BL182" s="113"/>
      <c r="BM182" s="913"/>
      <c r="BN182" s="913"/>
      <c r="BO182" s="102"/>
      <c r="BP182" s="2194"/>
      <c r="BQ182" s="2194"/>
      <c r="BR182" s="2194"/>
      <c r="BS182" s="2194"/>
      <c r="BT182" s="2194"/>
      <c r="BU182" s="2194"/>
      <c r="BV182" s="2194"/>
      <c r="BW182" s="2194"/>
      <c r="BX182" s="2194"/>
      <c r="BY182" s="2194"/>
      <c r="BZ182" s="2194"/>
      <c r="CA182" s="2194"/>
      <c r="CB182" s="913"/>
      <c r="CC182" s="102"/>
      <c r="CD182" s="913"/>
      <c r="CE182" s="102"/>
      <c r="CF182" s="2138"/>
      <c r="CG182" s="2138"/>
      <c r="CH182" s="2138"/>
      <c r="CI182" s="2138"/>
      <c r="CJ182" s="2138"/>
      <c r="CK182" s="2138"/>
      <c r="CL182" s="2138"/>
      <c r="CM182" s="2138"/>
      <c r="CN182" s="589"/>
      <c r="CO182" s="599"/>
      <c r="CP182" s="599"/>
      <c r="CQ182" s="599"/>
      <c r="CR182" s="599"/>
      <c r="CS182" s="599"/>
      <c r="CT182" s="599"/>
      <c r="CU182" s="599"/>
      <c r="CV182" s="599"/>
      <c r="CW182" s="599"/>
      <c r="CX182" s="599"/>
      <c r="CY182" s="599"/>
      <c r="CZ182" s="599"/>
      <c r="DA182" s="599"/>
      <c r="DB182" s="599"/>
      <c r="DC182" s="599"/>
      <c r="DD182" s="599"/>
      <c r="DE182" s="599"/>
      <c r="DF182" s="599"/>
      <c r="DG182" s="113"/>
      <c r="DI182" s="958"/>
      <c r="DJ182" s="958"/>
      <c r="DK182" s="112"/>
      <c r="DL182" s="87"/>
      <c r="DM182" s="910"/>
      <c r="DN182" s="910"/>
      <c r="DO182" s="910"/>
      <c r="DP182" s="910"/>
      <c r="DQ182" s="910"/>
      <c r="DR182" s="910"/>
      <c r="DS182" s="910"/>
      <c r="DT182" s="910"/>
      <c r="DU182" s="910"/>
      <c r="DV182" s="910"/>
      <c r="DW182" s="910"/>
      <c r="DX182" s="910"/>
      <c r="DY182" s="910"/>
      <c r="DZ182" s="910"/>
      <c r="EA182" s="910"/>
      <c r="EB182" s="910"/>
      <c r="EC182" s="910"/>
      <c r="ED182" s="910"/>
      <c r="EE182" s="910"/>
      <c r="EF182" s="910"/>
      <c r="EG182" s="910"/>
      <c r="EH182" s="910"/>
      <c r="EI182" s="910"/>
      <c r="EJ182" s="910"/>
      <c r="EK182" s="910"/>
      <c r="EL182" s="910"/>
      <c r="EM182" s="910"/>
      <c r="EN182" s="910"/>
      <c r="EO182" s="910"/>
      <c r="EP182" s="910"/>
      <c r="EQ182" s="910"/>
      <c r="ER182" s="910"/>
      <c r="ES182" s="910"/>
      <c r="ET182" s="910"/>
      <c r="EU182" s="910"/>
      <c r="EV182" s="910"/>
      <c r="EW182" s="910"/>
      <c r="EX182" s="910"/>
      <c r="EY182" s="910"/>
      <c r="EZ182" s="910"/>
      <c r="FA182" s="910"/>
      <c r="FB182" s="910"/>
      <c r="FC182" s="910"/>
      <c r="FD182" s="910"/>
      <c r="FE182" s="910"/>
      <c r="FF182" s="910"/>
      <c r="FG182" s="910"/>
      <c r="FH182" s="910"/>
      <c r="FI182" s="910"/>
      <c r="FJ182" s="910"/>
      <c r="FK182" s="910"/>
      <c r="FL182" s="1020"/>
      <c r="FM182" s="1019" t="str">
        <f t="shared" si="4"/>
        <v/>
      </c>
    </row>
    <row r="183" spans="1:169" ht="9" customHeight="1" thickBot="1">
      <c r="A183" s="910"/>
      <c r="B183" s="910"/>
      <c r="C183" s="112"/>
      <c r="D183" s="2183"/>
      <c r="E183" s="2184"/>
      <c r="F183" s="2184"/>
      <c r="G183" s="102"/>
      <c r="H183" s="105"/>
      <c r="I183" s="105"/>
      <c r="J183" s="105"/>
      <c r="K183" s="105"/>
      <c r="L183" s="1867"/>
      <c r="M183" s="1867"/>
      <c r="N183" s="1867"/>
      <c r="O183" s="1867"/>
      <c r="P183" s="1867"/>
      <c r="Q183" s="1867"/>
      <c r="R183" s="1867"/>
      <c r="S183" s="1867"/>
      <c r="T183" s="1867"/>
      <c r="U183" s="1867"/>
      <c r="V183" s="1867"/>
      <c r="W183" s="1867"/>
      <c r="X183" s="1867"/>
      <c r="Y183" s="1867"/>
      <c r="Z183" s="1867"/>
      <c r="AA183" s="1867"/>
      <c r="AB183" s="1867"/>
      <c r="AC183" s="1867"/>
      <c r="AD183" s="1867"/>
      <c r="AE183" s="1867"/>
      <c r="AF183" s="103"/>
      <c r="AG183" s="913"/>
      <c r="AH183" s="913"/>
      <c r="AI183" s="910"/>
      <c r="AJ183" s="910"/>
      <c r="AK183" s="910"/>
      <c r="AL183" s="910"/>
      <c r="AM183" s="910"/>
      <c r="AN183" s="910"/>
      <c r="AO183" s="910"/>
      <c r="AP183" s="102"/>
      <c r="AQ183" s="2191"/>
      <c r="AR183" s="2191"/>
      <c r="AS183" s="2191"/>
      <c r="AT183" s="2191"/>
      <c r="AU183" s="2191"/>
      <c r="AV183" s="2191"/>
      <c r="AW183" s="2191"/>
      <c r="AX183" s="2191"/>
      <c r="AY183" s="2191"/>
      <c r="AZ183" s="2191"/>
      <c r="BA183" s="2191"/>
      <c r="BB183" s="2191"/>
      <c r="BC183" s="2191"/>
      <c r="BD183" s="2191"/>
      <c r="BE183" s="2191"/>
      <c r="BF183" s="2191"/>
      <c r="BG183" s="2191"/>
      <c r="BH183" s="2191"/>
      <c r="BI183" s="2191"/>
      <c r="BJ183" s="2191"/>
      <c r="BK183" s="2191"/>
      <c r="BL183" s="100"/>
      <c r="BM183" s="122"/>
      <c r="BN183" s="290"/>
      <c r="BO183" s="102"/>
      <c r="BP183" s="2185" t="str">
        <f>IF(AQ183&lt;&gt;"",IF(OR(INDEX(WeaponFeatsModsTable,MATCH(AQ183,WeaponFeatsModsList,0),7)=AQ175,INDEX(WeaponFeatsModsTable,MATCH(AQ183,WeaponFeatsModsList,0),7)=""),INDEX(WeaponFeatsModsTable,MATCH(AQ183,WeaponFeatsModsList,0),2)+BP177,""),"")</f>
        <v/>
      </c>
      <c r="BQ183" s="2185"/>
      <c r="BR183" s="2185"/>
      <c r="BS183" s="2185"/>
      <c r="BT183" s="2200" t="str">
        <f>IF(BP183&lt;&gt;"",IF(AND(OR(INDEX(WeaponFeatsModsTable,MATCH(AQ183,WeaponFeatsModsList,0),7)=AQ175,INDEX(WeaponFeatsModsTable,MATCH(AQ183,WeaponFeatsModsList,0),7)=""),INDEX(WeaponFeatsModsTable,MATCH(AQ183,WeaponFeatsModsList,0),8)&lt;&gt;"Yes"),IF(COUNTIF(FeatsCharacterSheet,BT180)&gt;0,BP183+BT174,""),""),"")</f>
        <v/>
      </c>
      <c r="BU183" s="2185"/>
      <c r="BV183" s="2185"/>
      <c r="BW183" s="2201"/>
      <c r="BX183" s="2185" t="str">
        <f>IF(BP183&lt;&gt;"",IF(AND(OR(INDEX(WeaponFeatsModsTable,MATCH(AQ183,WeaponFeatsModsList,0),7)=AQ175,INDEX(WeaponFeatsModsTable,MATCH(AQ183,WeaponFeatsModsList,0),7)=""),INDEX(WeaponFeatsModsTable,MATCH(AQ183,WeaponFeatsModsList,0),8)&lt;&gt;"Yes"),IF(COUNTIF(FeatsCharacterSheet,BX180)&gt;0,BP183+BX174,""),""),"")</f>
        <v/>
      </c>
      <c r="BY183" s="2185"/>
      <c r="BZ183" s="2185"/>
      <c r="CA183" s="2185"/>
      <c r="CB183" s="100"/>
      <c r="CC183" s="122"/>
      <c r="CD183" s="290"/>
      <c r="CE183" s="102"/>
      <c r="CF183" s="1883"/>
      <c r="CG183" s="1883"/>
      <c r="CH183" s="1883"/>
      <c r="CI183" s="1883"/>
      <c r="CJ183" s="1883"/>
      <c r="CK183" s="1883"/>
      <c r="CL183" s="1883"/>
      <c r="CM183" s="1883"/>
      <c r="CN183" s="1883"/>
      <c r="CO183" s="2207" t="str">
        <f>IF(AQ183&lt;&gt;"",IF(OR(INDEX(WeaponFeatsModsTable,MATCH(AQ183,WeaponFeatsModsList,0),7)=$AQ$175,INDEX(WeaponFeatsModsTable,MATCH(AQ183,WeaponFeatsModsList,0),7)=""),Weapons!AS$78+INDEX(WeaponFeatsModsTable,MATCH(AQ183,WeaponFeatsModsList,0),5)&amp;"d"&amp;Weapons!AS$79&amp;Weapons!AS$123&amp;"+"&amp;Weapons!AS$116+DH183+IF(AND(LEFT(AQ183,12)="Power Attack",$AQ$177="Two-Handed",$AQ$175="Melee"),INDEX(WeaponFeatsModsTable,MATCH(AQ183,WeaponFeatsModsList,0),4),INDEX(WeaponFeatsModsTable,MATCH(AQ183,WeaponFeatsModsList,0),3)),""),"")</f>
        <v/>
      </c>
      <c r="CP183" s="2207"/>
      <c r="CQ183" s="2207"/>
      <c r="CR183" s="2207"/>
      <c r="CS183" s="2207"/>
      <c r="CT183" s="2207"/>
      <c r="CU183" s="2207"/>
      <c r="CV183" s="2207"/>
      <c r="CW183" s="2207"/>
      <c r="CX183" s="2207"/>
      <c r="CY183" s="2207"/>
      <c r="CZ183" s="2207"/>
      <c r="DA183" s="2207"/>
      <c r="DB183" s="2207"/>
      <c r="DC183" s="2207"/>
      <c r="DD183" s="2207"/>
      <c r="DE183" s="2207"/>
      <c r="DF183" s="2207"/>
      <c r="DG183" s="656"/>
      <c r="DH183" s="974">
        <f>IF(AND(COUNTIF(Weapons!AS$56:AS$60,"Pulse Charger"),AQ175="Ranged"),INDEX(WeaponFeatsModsTable,MATCH(AQ183,WeaponFeatsModsList,0),5),0)</f>
        <v>0</v>
      </c>
      <c r="DI183" s="966"/>
      <c r="DJ183" s="966"/>
      <c r="DK183" s="967"/>
      <c r="DL183" s="109"/>
      <c r="DM183" s="910"/>
      <c r="DN183" s="910"/>
      <c r="DO183" s="910"/>
      <c r="DP183" s="910"/>
      <c r="DQ183" s="910"/>
      <c r="DR183" s="910"/>
      <c r="DS183" s="910"/>
      <c r="DT183" s="910"/>
      <c r="DU183" s="910"/>
      <c r="DV183" s="910"/>
      <c r="DW183" s="910"/>
      <c r="DX183" s="910"/>
      <c r="DY183" s="910"/>
      <c r="DZ183" s="910"/>
      <c r="EA183" s="910"/>
      <c r="EB183" s="910"/>
      <c r="EC183" s="910"/>
      <c r="ED183" s="910"/>
      <c r="EE183" s="910"/>
      <c r="EF183" s="910"/>
      <c r="EG183" s="910"/>
      <c r="EH183" s="910"/>
      <c r="EI183" s="910"/>
      <c r="EJ183" s="910"/>
      <c r="EK183" s="910"/>
      <c r="EL183" s="910"/>
      <c r="EM183" s="910"/>
      <c r="EN183" s="910"/>
      <c r="EO183" s="910"/>
      <c r="EP183" s="910"/>
      <c r="EQ183" s="910"/>
      <c r="ER183" s="910"/>
      <c r="ES183" s="910"/>
      <c r="ET183" s="910"/>
      <c r="EU183" s="910"/>
      <c r="EV183" s="910"/>
      <c r="EW183" s="910"/>
      <c r="EX183" s="910"/>
      <c r="EY183" s="910"/>
      <c r="EZ183" s="910"/>
      <c r="FA183" s="910"/>
      <c r="FB183" s="910"/>
      <c r="FC183" s="910"/>
      <c r="FD183" s="910"/>
      <c r="FE183" s="910"/>
      <c r="FF183" s="910"/>
      <c r="FG183" s="910"/>
      <c r="FH183" s="910"/>
      <c r="FI183" s="910"/>
      <c r="FJ183" s="910"/>
      <c r="FK183" s="910"/>
      <c r="FL183" s="1020" t="str">
        <f>IF(AND(AQ183&lt;&gt;"",BP183&lt;&gt;""),AQ175&amp;" "&amp;LOWER(J177)&amp;" "&amp;IF(BP183&lt;0,"","+")&amp;BP183&amp;" ("&amp;CO183&amp;IF(Weapons!AS$82&lt;&gt;"20","/"&amp;Weapons!AS$82,"")&amp;IF(Weapons!AS$83&lt;&gt;2,"/×"&amp;Weapons!AS$83,"")&amp;") with "&amp;AQ183,"")</f>
        <v/>
      </c>
      <c r="FM183" s="1019" t="str">
        <f t="shared" si="4"/>
        <v/>
      </c>
    </row>
    <row r="184" spans="1:169" ht="9" customHeight="1" thickTop="1" thickBot="1">
      <c r="A184" s="910"/>
      <c r="B184" s="910"/>
      <c r="C184" s="112"/>
      <c r="D184" s="2183"/>
      <c r="E184" s="2184"/>
      <c r="F184" s="2184"/>
      <c r="G184" s="91"/>
      <c r="H184" s="108"/>
      <c r="I184" s="108"/>
      <c r="J184" s="108"/>
      <c r="K184" s="108"/>
      <c r="L184" s="1868"/>
      <c r="M184" s="1868"/>
      <c r="N184" s="1868"/>
      <c r="O184" s="1868"/>
      <c r="P184" s="1868"/>
      <c r="Q184" s="1868"/>
      <c r="R184" s="1868"/>
      <c r="S184" s="1868"/>
      <c r="T184" s="1868"/>
      <c r="U184" s="1868"/>
      <c r="V184" s="1868"/>
      <c r="W184" s="1868"/>
      <c r="X184" s="1868"/>
      <c r="Y184" s="1868"/>
      <c r="Z184" s="1868"/>
      <c r="AA184" s="1868"/>
      <c r="AB184" s="1868"/>
      <c r="AC184" s="1868"/>
      <c r="AD184" s="1868"/>
      <c r="AE184" s="1868"/>
      <c r="AF184" s="90"/>
      <c r="AG184" s="913"/>
      <c r="AH184" s="913"/>
      <c r="AI184" s="910"/>
      <c r="AJ184" s="910"/>
      <c r="AK184" s="910"/>
      <c r="AL184" s="910"/>
      <c r="AM184" s="910"/>
      <c r="AN184" s="910"/>
      <c r="AO184" s="910"/>
      <c r="AP184" s="647"/>
      <c r="AQ184" s="2191"/>
      <c r="AR184" s="2191"/>
      <c r="AS184" s="2191"/>
      <c r="AT184" s="2191"/>
      <c r="AU184" s="2191"/>
      <c r="AV184" s="2191"/>
      <c r="AW184" s="2191"/>
      <c r="AX184" s="2191"/>
      <c r="AY184" s="2191"/>
      <c r="AZ184" s="2191"/>
      <c r="BA184" s="2191"/>
      <c r="BB184" s="2191"/>
      <c r="BC184" s="2191"/>
      <c r="BD184" s="2191"/>
      <c r="BE184" s="2191"/>
      <c r="BF184" s="2191"/>
      <c r="BG184" s="2191"/>
      <c r="BH184" s="2191"/>
      <c r="BI184" s="2191"/>
      <c r="BJ184" s="2191"/>
      <c r="BK184" s="2191"/>
      <c r="BL184" s="100"/>
      <c r="BM184" s="111"/>
      <c r="BN184" s="111"/>
      <c r="BO184" s="647"/>
      <c r="BP184" s="2185"/>
      <c r="BQ184" s="2185"/>
      <c r="BR184" s="2185"/>
      <c r="BS184" s="2185"/>
      <c r="BT184" s="2200"/>
      <c r="BU184" s="2185"/>
      <c r="BV184" s="2185"/>
      <c r="BW184" s="2201"/>
      <c r="BX184" s="2185"/>
      <c r="BY184" s="2185"/>
      <c r="BZ184" s="2185"/>
      <c r="CA184" s="2185"/>
      <c r="CB184" s="100"/>
      <c r="CC184" s="111"/>
      <c r="CD184" s="111"/>
      <c r="CE184" s="102"/>
      <c r="CF184" s="1883"/>
      <c r="CG184" s="1883"/>
      <c r="CH184" s="1883"/>
      <c r="CI184" s="1883"/>
      <c r="CJ184" s="1883"/>
      <c r="CK184" s="1883"/>
      <c r="CL184" s="1883"/>
      <c r="CM184" s="1883"/>
      <c r="CN184" s="1883"/>
      <c r="CO184" s="2207"/>
      <c r="CP184" s="2207"/>
      <c r="CQ184" s="2207"/>
      <c r="CR184" s="2207"/>
      <c r="CS184" s="2207"/>
      <c r="CT184" s="2207"/>
      <c r="CU184" s="2207"/>
      <c r="CV184" s="2207"/>
      <c r="CW184" s="2207"/>
      <c r="CX184" s="2207"/>
      <c r="CY184" s="2207"/>
      <c r="CZ184" s="2207"/>
      <c r="DA184" s="2207"/>
      <c r="DB184" s="2207"/>
      <c r="DC184" s="2207"/>
      <c r="DD184" s="2207"/>
      <c r="DE184" s="2207"/>
      <c r="DF184" s="2207"/>
      <c r="DG184" s="656"/>
      <c r="DH184" s="974"/>
      <c r="DI184" s="966"/>
      <c r="DJ184" s="966"/>
      <c r="DK184" s="967"/>
      <c r="DL184" s="109"/>
      <c r="DM184" s="910"/>
      <c r="DN184" s="910"/>
      <c r="DO184" s="910"/>
      <c r="DP184" s="910"/>
      <c r="DQ184" s="910"/>
      <c r="DR184" s="910"/>
      <c r="DS184" s="910"/>
      <c r="DT184" s="910"/>
      <c r="DU184" s="910"/>
      <c r="DV184" s="910"/>
      <c r="DW184" s="910"/>
      <c r="DX184" s="910"/>
      <c r="DY184" s="910"/>
      <c r="DZ184" s="910"/>
      <c r="EA184" s="910"/>
      <c r="EB184" s="910"/>
      <c r="EC184" s="910"/>
      <c r="ED184" s="910"/>
      <c r="EE184" s="910"/>
      <c r="EF184" s="910"/>
      <c r="EG184" s="910"/>
      <c r="EH184" s="910"/>
      <c r="EI184" s="910"/>
      <c r="EJ184" s="910"/>
      <c r="EK184" s="910"/>
      <c r="EL184" s="910"/>
      <c r="EM184" s="910"/>
      <c r="EN184" s="910"/>
      <c r="EO184" s="910"/>
      <c r="EP184" s="910"/>
      <c r="EQ184" s="910"/>
      <c r="ER184" s="910"/>
      <c r="ES184" s="910"/>
      <c r="ET184" s="910"/>
      <c r="EU184" s="910"/>
      <c r="EV184" s="910"/>
      <c r="EW184" s="910"/>
      <c r="EX184" s="910"/>
      <c r="EY184" s="910"/>
      <c r="EZ184" s="910"/>
      <c r="FA184" s="910"/>
      <c r="FB184" s="910"/>
      <c r="FC184" s="910"/>
      <c r="FD184" s="910"/>
      <c r="FE184" s="910"/>
      <c r="FF184" s="910"/>
      <c r="FG184" s="910"/>
      <c r="FH184" s="910"/>
      <c r="FI184" s="910"/>
      <c r="FJ184" s="910"/>
      <c r="FK184" s="910"/>
      <c r="FL184" s="1020" t="str">
        <f>IF(AND(AQ183&lt;&gt;"",BT183&lt;&gt;""),IF(BT180&lt;&gt;"",AQ175&amp;" "&amp;LOWER(J177)&amp;" "&amp;IF(BT183&lt;0,BT183&amp;"/"&amp;BT183,"+"&amp;BT183&amp;"/+"&amp;BT183)&amp;" ("&amp;$BA183&amp;IF(Weapons!AS$82&lt;&gt;"20","/"&amp;Weapons!AS$82,"")&amp;IF(Weapons!AS$83&lt;&gt;2,"/×"&amp;Weapons!AS$83,"")&amp;") with Double Attack and "&amp;AQ183,""),"")</f>
        <v/>
      </c>
      <c r="FM184" s="1019" t="str">
        <f t="shared" si="4"/>
        <v/>
      </c>
    </row>
    <row r="185" spans="1:169" ht="9" customHeight="1" thickTop="1" thickBot="1">
      <c r="A185" s="910"/>
      <c r="B185" s="910"/>
      <c r="C185" s="112"/>
      <c r="D185" s="2183"/>
      <c r="E185" s="2184"/>
      <c r="F185" s="2184"/>
      <c r="G185" s="913"/>
      <c r="H185" s="913"/>
      <c r="I185" s="913"/>
      <c r="J185" s="913"/>
      <c r="K185" s="913"/>
      <c r="L185" s="913"/>
      <c r="M185" s="913"/>
      <c r="N185" s="913"/>
      <c r="O185" s="589"/>
      <c r="P185" s="589"/>
      <c r="Q185" s="589"/>
      <c r="R185" s="589"/>
      <c r="S185" s="589"/>
      <c r="T185" s="589"/>
      <c r="U185" s="589"/>
      <c r="V185" s="589"/>
      <c r="W185" s="589"/>
      <c r="X185" s="589"/>
      <c r="Y185" s="589"/>
      <c r="Z185" s="589"/>
      <c r="AA185" s="589"/>
      <c r="AB185" s="589"/>
      <c r="AC185" s="589"/>
      <c r="AD185" s="589"/>
      <c r="AE185" s="589"/>
      <c r="AF185" s="589"/>
      <c r="AG185" s="589"/>
      <c r="AH185" s="131"/>
      <c r="AI185" s="910"/>
      <c r="AJ185" s="910"/>
      <c r="AK185" s="910"/>
      <c r="AL185" s="910"/>
      <c r="AM185" s="910"/>
      <c r="AN185" s="910"/>
      <c r="AO185" s="910"/>
      <c r="AP185" s="647"/>
      <c r="AQ185" s="2192"/>
      <c r="AR185" s="2192"/>
      <c r="AS185" s="2192"/>
      <c r="AT185" s="2192"/>
      <c r="AU185" s="2192"/>
      <c r="AV185" s="2192"/>
      <c r="AW185" s="2192"/>
      <c r="AX185" s="2192"/>
      <c r="AY185" s="2192"/>
      <c r="AZ185" s="2192"/>
      <c r="BA185" s="2192"/>
      <c r="BB185" s="2192"/>
      <c r="BC185" s="2192"/>
      <c r="BD185" s="2192"/>
      <c r="BE185" s="2192"/>
      <c r="BF185" s="2192"/>
      <c r="BG185" s="2192"/>
      <c r="BH185" s="2192"/>
      <c r="BI185" s="2192"/>
      <c r="BJ185" s="2192"/>
      <c r="BK185" s="2192"/>
      <c r="BL185" s="910"/>
      <c r="BM185" s="647"/>
      <c r="BN185" s="913"/>
      <c r="BO185" s="102"/>
      <c r="BP185" s="2185"/>
      <c r="BQ185" s="2185"/>
      <c r="BR185" s="2185"/>
      <c r="BS185" s="2185"/>
      <c r="BT185" s="2200"/>
      <c r="BU185" s="2185"/>
      <c r="BV185" s="2185"/>
      <c r="BW185" s="2201"/>
      <c r="BX185" s="2185"/>
      <c r="BY185" s="2185"/>
      <c r="BZ185" s="2185"/>
      <c r="CA185" s="2185"/>
      <c r="CB185" s="913"/>
      <c r="CC185" s="102"/>
      <c r="CD185" s="913"/>
      <c r="CE185" s="102"/>
      <c r="CF185" s="910"/>
      <c r="CG185" s="910"/>
      <c r="CH185" s="910"/>
      <c r="CI185" s="910"/>
      <c r="CJ185" s="910"/>
      <c r="CK185" s="910"/>
      <c r="CL185" s="910"/>
      <c r="CM185" s="910"/>
      <c r="CN185" s="910"/>
      <c r="CO185" s="2207"/>
      <c r="CP185" s="2207"/>
      <c r="CQ185" s="2207"/>
      <c r="CR185" s="2207"/>
      <c r="CS185" s="2207"/>
      <c r="CT185" s="2207"/>
      <c r="CU185" s="2207"/>
      <c r="CV185" s="2207"/>
      <c r="CW185" s="2207"/>
      <c r="CX185" s="2207"/>
      <c r="CY185" s="2207"/>
      <c r="CZ185" s="2207"/>
      <c r="DA185" s="2207"/>
      <c r="DB185" s="2207"/>
      <c r="DC185" s="2207"/>
      <c r="DD185" s="2207"/>
      <c r="DE185" s="2207"/>
      <c r="DF185" s="2207"/>
      <c r="DG185" s="656"/>
      <c r="DH185" s="974"/>
      <c r="DI185" s="966"/>
      <c r="DJ185" s="966"/>
      <c r="DK185" s="967"/>
      <c r="DL185" s="118"/>
      <c r="DM185" s="910"/>
      <c r="DN185" s="910"/>
      <c r="DO185" s="910"/>
      <c r="DP185" s="910"/>
      <c r="DQ185" s="910"/>
      <c r="DR185" s="910"/>
      <c r="DS185" s="910"/>
      <c r="DT185" s="910"/>
      <c r="DU185" s="910"/>
      <c r="DV185" s="910"/>
      <c r="DW185" s="910"/>
      <c r="DX185" s="910"/>
      <c r="DY185" s="910"/>
      <c r="DZ185" s="910"/>
      <c r="EA185" s="910"/>
      <c r="EB185" s="910"/>
      <c r="EC185" s="910"/>
      <c r="ED185" s="910"/>
      <c r="EE185" s="910"/>
      <c r="EF185" s="910"/>
      <c r="EG185" s="910"/>
      <c r="EH185" s="910"/>
      <c r="EI185" s="910"/>
      <c r="EJ185" s="910"/>
      <c r="EK185" s="910"/>
      <c r="EL185" s="910"/>
      <c r="EM185" s="910"/>
      <c r="EN185" s="910"/>
      <c r="EO185" s="910"/>
      <c r="EP185" s="910"/>
      <c r="EQ185" s="910"/>
      <c r="ER185" s="910"/>
      <c r="ES185" s="910"/>
      <c r="ET185" s="910"/>
      <c r="EU185" s="910"/>
      <c r="EV185" s="910"/>
      <c r="EW185" s="910"/>
      <c r="EX185" s="910"/>
      <c r="EY185" s="910"/>
      <c r="EZ185" s="910"/>
      <c r="FA185" s="910"/>
      <c r="FB185" s="910"/>
      <c r="FC185" s="910"/>
      <c r="FD185" s="910"/>
      <c r="FE185" s="910"/>
      <c r="FF185" s="910"/>
      <c r="FG185" s="910"/>
      <c r="FH185" s="910"/>
      <c r="FI185" s="910"/>
      <c r="FJ185" s="910"/>
      <c r="FK185" s="910"/>
      <c r="FL185" s="1020" t="str">
        <f>IF(AND(AQ183&lt;&gt;"",BX183&lt;&gt;""),IF(BX180&lt;&gt;"",AQ175&amp;" "&amp;LOWER(J177)&amp;" "&amp;IF($AJ183&lt;0,$AJ183&amp;"/"&amp;$AJ183&amp;"/"&amp;$AJ183,"+"&amp;$AJ183&amp;"/+"&amp;$AJ183&amp;"/+"&amp;$AJ183)&amp;" ("&amp;$BA183&amp;IF(Weapons!AS$82&lt;&gt;"20","/"&amp;Weapons!AS$82,"")&amp;IF(Weapons!AS$83&lt;&gt;2,"/×"&amp;Weapons!AS$83,"")&amp;") with Triple Attack and "&amp;AQ183,""),"")</f>
        <v/>
      </c>
      <c r="FM185" s="1019" t="str">
        <f t="shared" si="4"/>
        <v/>
      </c>
    </row>
    <row r="186" spans="1:169" ht="9" customHeight="1" thickTop="1" thickBot="1">
      <c r="A186" s="910"/>
      <c r="B186" s="910"/>
      <c r="C186" s="112"/>
      <c r="D186" s="2183"/>
      <c r="E186" s="2184"/>
      <c r="F186" s="2184"/>
      <c r="G186" s="93"/>
      <c r="H186" s="2182" t="s">
        <v>4051</v>
      </c>
      <c r="I186" s="2208"/>
      <c r="J186" s="2208"/>
      <c r="K186" s="2208"/>
      <c r="L186" s="295"/>
      <c r="M186" s="295"/>
      <c r="N186" s="295"/>
      <c r="O186" s="295"/>
      <c r="P186" s="295"/>
      <c r="Q186" s="295"/>
      <c r="R186" s="295"/>
      <c r="S186" s="295"/>
      <c r="T186" s="295"/>
      <c r="U186" s="295"/>
      <c r="V186" s="113"/>
      <c r="W186" s="910"/>
      <c r="X186" s="910"/>
      <c r="Y186" s="93"/>
      <c r="Z186" s="2182" t="s">
        <v>4089</v>
      </c>
      <c r="AA186" s="2208"/>
      <c r="AB186" s="2208"/>
      <c r="AC186" s="2208"/>
      <c r="AD186" s="295"/>
      <c r="AE186" s="295"/>
      <c r="AF186" s="295"/>
      <c r="AG186" s="295"/>
      <c r="AH186" s="295"/>
      <c r="AI186" s="295"/>
      <c r="AJ186" s="295"/>
      <c r="AK186" s="295"/>
      <c r="AL186" s="295"/>
      <c r="AM186" s="113"/>
      <c r="AN186" s="910"/>
      <c r="AO186" s="910"/>
      <c r="AP186" s="647"/>
      <c r="AQ186" s="2191"/>
      <c r="AR186" s="2191"/>
      <c r="AS186" s="2191"/>
      <c r="AT186" s="2191"/>
      <c r="AU186" s="2191"/>
      <c r="AV186" s="2191"/>
      <c r="AW186" s="2191"/>
      <c r="AX186" s="2191"/>
      <c r="AY186" s="2191"/>
      <c r="AZ186" s="2191"/>
      <c r="BA186" s="2191"/>
      <c r="BB186" s="2191"/>
      <c r="BC186" s="2191"/>
      <c r="BD186" s="2191"/>
      <c r="BE186" s="2191"/>
      <c r="BF186" s="2191"/>
      <c r="BG186" s="2191"/>
      <c r="BH186" s="2191"/>
      <c r="BI186" s="2191"/>
      <c r="BJ186" s="2191"/>
      <c r="BK186" s="2191"/>
      <c r="BL186" s="100"/>
      <c r="BM186" s="122"/>
      <c r="BN186" s="290"/>
      <c r="BO186" s="102"/>
      <c r="BP186" s="2185" t="str">
        <f>IF(AQ186&lt;&gt;"",IF(OR(INDEX(WeaponFeatsModsTable,MATCH(AQ186,WeaponFeatsModsList,0),7)=AQ175,INDEX(WeaponFeatsModsTable,MATCH(AQ186,WeaponFeatsModsList,0),7)=""),INDEX(WeaponFeatsModsTable,MATCH(AQ186,WeaponFeatsModsList,0),2)+BP177,""),"")</f>
        <v/>
      </c>
      <c r="BQ186" s="2185"/>
      <c r="BR186" s="2185"/>
      <c r="BS186" s="2185"/>
      <c r="BT186" s="2200" t="str">
        <f>IF(BP186&lt;&gt;"",IF(AND(OR(INDEX(WeaponFeatsModsTable,MATCH(AQ186,WeaponFeatsModsList,0),7)=AQ175,INDEX(WeaponFeatsModsTable,MATCH(AQ186,WeaponFeatsModsList,0),7)=""),INDEX(WeaponFeatsModsTable,MATCH(AQ186,WeaponFeatsModsList,0),8)&lt;&gt;"Yes"),IF(COUNTIF(FeatsCharacterSheet,BT180)&gt;0,BP186+BT174,""),""),"")</f>
        <v/>
      </c>
      <c r="BU186" s="2185"/>
      <c r="BV186" s="2185"/>
      <c r="BW186" s="2201"/>
      <c r="BX186" s="2185" t="str">
        <f>IF(BP186&lt;&gt;"",IF(AND(OR(INDEX(WeaponFeatsModsTable,MATCH(AQ186,WeaponFeatsModsList,0),7)=AQ175,INDEX(WeaponFeatsModsTable,MATCH(AQ186,WeaponFeatsModsList,0),7)=""),INDEX(WeaponFeatsModsTable,MATCH(AQ186,WeaponFeatsModsList,0),8)&lt;&gt;"Yes"),IF(COUNTIF(FeatsCharacterSheet,BX180)&gt;0,BP186+BX174,""),""),"")</f>
        <v/>
      </c>
      <c r="BY186" s="2185"/>
      <c r="BZ186" s="2185"/>
      <c r="CA186" s="2185"/>
      <c r="CB186" s="100"/>
      <c r="CC186" s="122"/>
      <c r="CD186" s="290"/>
      <c r="CE186" s="102"/>
      <c r="CF186" s="1883"/>
      <c r="CG186" s="1883"/>
      <c r="CH186" s="1883"/>
      <c r="CI186" s="1883"/>
      <c r="CJ186" s="1883"/>
      <c r="CK186" s="1883"/>
      <c r="CL186" s="1883"/>
      <c r="CM186" s="1883"/>
      <c r="CN186" s="1883"/>
      <c r="CO186" s="2207" t="str">
        <f>IF(AQ186&lt;&gt;"",IF(OR(INDEX(WeaponFeatsModsTable,MATCH(AQ186,WeaponFeatsModsList,0),7)=$AQ$175,INDEX(WeaponFeatsModsTable,MATCH(AQ186,WeaponFeatsModsList,0),7)=""),Weapons!AS$78+INDEX(WeaponFeatsModsTable,MATCH(AQ186,WeaponFeatsModsList,0),5)&amp;"d"&amp;Weapons!AS$79&amp;Weapons!AS$123&amp;"+"&amp;Weapons!AS$116+DH186+IF(AND(LEFT(AQ186,12)="Power Attack",$AQ$177="Two-Handed",$AQ$175="Melee"),INDEX(WeaponFeatsModsTable,MATCH(AQ186,WeaponFeatsModsList,0),4),INDEX(WeaponFeatsModsTable,MATCH(AQ186,WeaponFeatsModsList,0),3)),""),"")</f>
        <v/>
      </c>
      <c r="CP186" s="2207"/>
      <c r="CQ186" s="2207"/>
      <c r="CR186" s="2207"/>
      <c r="CS186" s="2207"/>
      <c r="CT186" s="2207"/>
      <c r="CU186" s="2207"/>
      <c r="CV186" s="2207"/>
      <c r="CW186" s="2207"/>
      <c r="CX186" s="2207"/>
      <c r="CY186" s="2207"/>
      <c r="CZ186" s="2207"/>
      <c r="DA186" s="2207"/>
      <c r="DB186" s="2207"/>
      <c r="DC186" s="2207"/>
      <c r="DD186" s="2207"/>
      <c r="DE186" s="2207"/>
      <c r="DF186" s="2207"/>
      <c r="DG186" s="656"/>
      <c r="DH186" s="974">
        <f>IF(AND(COUNTIF(Weapons!AS$56:AS$60,"Pulse Charger"),AQ175="Ranged"),INDEX(WeaponFeatsModsTable,MATCH(AQ186,WeaponFeatsModsList,0),5),0)</f>
        <v>0</v>
      </c>
      <c r="DI186" s="958"/>
      <c r="DJ186" s="958"/>
      <c r="DK186" s="112"/>
      <c r="DL186" s="118"/>
      <c r="DM186" s="910"/>
      <c r="DN186" s="910"/>
      <c r="DO186" s="910"/>
      <c r="DP186" s="910"/>
      <c r="DQ186" s="910"/>
      <c r="DR186" s="910"/>
      <c r="DS186" s="910"/>
      <c r="DT186" s="910"/>
      <c r="DU186" s="910"/>
      <c r="DV186" s="910"/>
      <c r="DW186" s="910"/>
      <c r="DX186" s="910"/>
      <c r="DY186" s="910"/>
      <c r="DZ186" s="910"/>
      <c r="EA186" s="910"/>
      <c r="EB186" s="910"/>
      <c r="EC186" s="910"/>
      <c r="ED186" s="910"/>
      <c r="EE186" s="910"/>
      <c r="EF186" s="910"/>
      <c r="EG186" s="910"/>
      <c r="EH186" s="910"/>
      <c r="EI186" s="910"/>
      <c r="EJ186" s="910"/>
      <c r="EK186" s="910"/>
      <c r="EL186" s="910"/>
      <c r="EM186" s="910"/>
      <c r="EN186" s="910"/>
      <c r="EO186" s="910"/>
      <c r="EP186" s="910"/>
      <c r="EQ186" s="910"/>
      <c r="ER186" s="910"/>
      <c r="ES186" s="910"/>
      <c r="ET186" s="910"/>
      <c r="EU186" s="910"/>
      <c r="EV186" s="910"/>
      <c r="EW186" s="910"/>
      <c r="EX186" s="910"/>
      <c r="EY186" s="910"/>
      <c r="EZ186" s="910"/>
      <c r="FA186" s="910"/>
      <c r="FB186" s="910"/>
      <c r="FC186" s="910"/>
      <c r="FD186" s="910"/>
      <c r="FE186" s="910"/>
      <c r="FF186" s="910"/>
      <c r="FG186" s="910"/>
      <c r="FH186" s="910"/>
      <c r="FI186" s="910"/>
      <c r="FJ186" s="910"/>
      <c r="FK186" s="910"/>
      <c r="FL186" s="1020" t="str">
        <f>IF(AND(AQ186&lt;&gt;"",BP186&lt;&gt;""),AQ175&amp;" "&amp;LOWER(J177)&amp;" "&amp;IF(BP186&lt;0,"","+")&amp;BP186&amp;" ("&amp;CO186&amp;IF(Weapons!AS$82&lt;&gt;"20","/"&amp;Weapons!AS$82,"")&amp;IF(Weapons!AS$83&lt;&gt;2,"/×"&amp;Weapons!AS$83,"")&amp;") with "&amp;AQ186,"")</f>
        <v/>
      </c>
      <c r="FM186" s="1019" t="str">
        <f t="shared" si="4"/>
        <v/>
      </c>
    </row>
    <row r="187" spans="1:169" ht="9" customHeight="1" thickTop="1">
      <c r="A187" s="910"/>
      <c r="B187" s="910"/>
      <c r="C187" s="112"/>
      <c r="D187" s="2183"/>
      <c r="E187" s="2184"/>
      <c r="F187" s="2184"/>
      <c r="G187" s="102"/>
      <c r="H187" s="2138"/>
      <c r="I187" s="2138"/>
      <c r="J187" s="2138"/>
      <c r="K187" s="2138"/>
      <c r="L187" s="2187" t="str">
        <f>Weapons!AS$23</f>
        <v/>
      </c>
      <c r="M187" s="2187"/>
      <c r="N187" s="2187"/>
      <c r="O187" s="2187"/>
      <c r="P187" s="2187"/>
      <c r="Q187" s="2187"/>
      <c r="R187" s="2187"/>
      <c r="S187" s="2187"/>
      <c r="T187" s="2187"/>
      <c r="U187" s="2187"/>
      <c r="V187" s="100"/>
      <c r="W187" s="910"/>
      <c r="X187" s="910"/>
      <c r="Y187" s="102"/>
      <c r="Z187" s="2138"/>
      <c r="AA187" s="2138"/>
      <c r="AB187" s="2138"/>
      <c r="AC187" s="2138"/>
      <c r="AD187" s="2187" t="str">
        <f>IF(J177="","",IF(Weapons!AV$22&lt;&gt;"",Weapons!AS198,Weapons!AS$82&amp;"/×"&amp;Weapons!AS$83))</f>
        <v/>
      </c>
      <c r="AE187" s="2187"/>
      <c r="AF187" s="2187"/>
      <c r="AG187" s="2187"/>
      <c r="AH187" s="2187"/>
      <c r="AI187" s="2187"/>
      <c r="AJ187" s="2187"/>
      <c r="AK187" s="2187"/>
      <c r="AL187" s="2187"/>
      <c r="AM187" s="100"/>
      <c r="AN187" s="910"/>
      <c r="AO187" s="910"/>
      <c r="AP187" s="647"/>
      <c r="AQ187" s="2191"/>
      <c r="AR187" s="2191"/>
      <c r="AS187" s="2191"/>
      <c r="AT187" s="2191"/>
      <c r="AU187" s="2191"/>
      <c r="AV187" s="2191"/>
      <c r="AW187" s="2191"/>
      <c r="AX187" s="2191"/>
      <c r="AY187" s="2191"/>
      <c r="AZ187" s="2191"/>
      <c r="BA187" s="2191"/>
      <c r="BB187" s="2191"/>
      <c r="BC187" s="2191"/>
      <c r="BD187" s="2191"/>
      <c r="BE187" s="2191"/>
      <c r="BF187" s="2191"/>
      <c r="BG187" s="2191"/>
      <c r="BH187" s="2191"/>
      <c r="BI187" s="2191"/>
      <c r="BJ187" s="2191"/>
      <c r="BK187" s="2191"/>
      <c r="BL187" s="100"/>
      <c r="BM187" s="111"/>
      <c r="BN187" s="111"/>
      <c r="BO187" s="647"/>
      <c r="BP187" s="2185"/>
      <c r="BQ187" s="2185"/>
      <c r="BR187" s="2185"/>
      <c r="BS187" s="2185"/>
      <c r="BT187" s="2200"/>
      <c r="BU187" s="2185"/>
      <c r="BV187" s="2185"/>
      <c r="BW187" s="2201"/>
      <c r="BX187" s="2185"/>
      <c r="BY187" s="2185"/>
      <c r="BZ187" s="2185"/>
      <c r="CA187" s="2185"/>
      <c r="CB187" s="100"/>
      <c r="CC187" s="111"/>
      <c r="CD187" s="111"/>
      <c r="CE187" s="102"/>
      <c r="CF187" s="1883"/>
      <c r="CG187" s="1883"/>
      <c r="CH187" s="1883"/>
      <c r="CI187" s="1883"/>
      <c r="CJ187" s="1883"/>
      <c r="CK187" s="1883"/>
      <c r="CL187" s="1883"/>
      <c r="CM187" s="1883"/>
      <c r="CN187" s="1883"/>
      <c r="CO187" s="2207"/>
      <c r="CP187" s="2207"/>
      <c r="CQ187" s="2207"/>
      <c r="CR187" s="2207"/>
      <c r="CS187" s="2207"/>
      <c r="CT187" s="2207"/>
      <c r="CU187" s="2207"/>
      <c r="CV187" s="2207"/>
      <c r="CW187" s="2207"/>
      <c r="CX187" s="2207"/>
      <c r="CY187" s="2207"/>
      <c r="CZ187" s="2207"/>
      <c r="DA187" s="2207"/>
      <c r="DB187" s="2207"/>
      <c r="DC187" s="2207"/>
      <c r="DD187" s="2207"/>
      <c r="DE187" s="2207"/>
      <c r="DF187" s="2207"/>
      <c r="DG187" s="656"/>
      <c r="DI187" s="958"/>
      <c r="DJ187" s="958"/>
      <c r="DK187" s="112"/>
      <c r="DL187" s="118"/>
      <c r="DM187" s="910"/>
      <c r="DN187" s="910"/>
      <c r="DO187" s="910"/>
      <c r="DP187" s="910"/>
      <c r="DQ187" s="910"/>
      <c r="DR187" s="910"/>
      <c r="DS187" s="910"/>
      <c r="DT187" s="910"/>
      <c r="DU187" s="910"/>
      <c r="DV187" s="910"/>
      <c r="DW187" s="910"/>
      <c r="DX187" s="910"/>
      <c r="DY187" s="910"/>
      <c r="DZ187" s="910"/>
      <c r="EA187" s="910"/>
      <c r="EB187" s="910"/>
      <c r="EC187" s="910"/>
      <c r="ED187" s="910"/>
      <c r="EE187" s="910"/>
      <c r="EF187" s="910"/>
      <c r="EG187" s="910"/>
      <c r="EH187" s="910"/>
      <c r="EI187" s="910"/>
      <c r="EJ187" s="910"/>
      <c r="EK187" s="910"/>
      <c r="EL187" s="910"/>
      <c r="EM187" s="910"/>
      <c r="EN187" s="910"/>
      <c r="EO187" s="910"/>
      <c r="EP187" s="910"/>
      <c r="EQ187" s="910"/>
      <c r="ER187" s="910"/>
      <c r="ES187" s="910"/>
      <c r="ET187" s="910"/>
      <c r="EU187" s="910"/>
      <c r="EV187" s="910"/>
      <c r="EW187" s="910"/>
      <c r="EX187" s="910"/>
      <c r="EY187" s="910"/>
      <c r="EZ187" s="910"/>
      <c r="FA187" s="910"/>
      <c r="FB187" s="910"/>
      <c r="FC187" s="910"/>
      <c r="FD187" s="910"/>
      <c r="FE187" s="910"/>
      <c r="FF187" s="910"/>
      <c r="FG187" s="910"/>
      <c r="FH187" s="910"/>
      <c r="FI187" s="910"/>
      <c r="FJ187" s="910"/>
      <c r="FK187" s="910"/>
      <c r="FL187" s="1020" t="str">
        <f>IF(AND(AQ186&lt;&gt;"",BT186&lt;&gt;""),IF(BT180&lt;&gt;"",AQ175&amp;" "&amp;LOWER(J177)&amp;" "&amp;IF($AF186&lt;0,BT186&amp;"/"&amp;BT186,"+"&amp;BT186&amp;"/+"&amp;BT186)&amp;" ("&amp;$BA186&amp;IF(Weapons!AS$82&lt;&gt;"20","/"&amp;Weapons!AS$82,"")&amp;IF(Weapons!AS$83&lt;&gt;2,"/×"&amp;Weapons!AS$83,"")&amp;") with Double Attack and "&amp;AQ186,""),"")</f>
        <v/>
      </c>
      <c r="FM187" s="1019" t="str">
        <f t="shared" si="4"/>
        <v/>
      </c>
    </row>
    <row r="188" spans="1:169" ht="9" customHeight="1">
      <c r="A188" s="910"/>
      <c r="B188" s="910"/>
      <c r="C188" s="112"/>
      <c r="D188" s="2183"/>
      <c r="E188" s="2184"/>
      <c r="F188" s="2184"/>
      <c r="G188" s="102"/>
      <c r="H188" s="911"/>
      <c r="I188" s="911"/>
      <c r="J188" s="911"/>
      <c r="K188" s="911"/>
      <c r="L188" s="2187"/>
      <c r="M188" s="2187"/>
      <c r="N188" s="2187"/>
      <c r="O188" s="2187"/>
      <c r="P188" s="2187"/>
      <c r="Q188" s="2187"/>
      <c r="R188" s="2187"/>
      <c r="S188" s="2187"/>
      <c r="T188" s="2187"/>
      <c r="U188" s="2187"/>
      <c r="V188" s="100"/>
      <c r="W188" s="910"/>
      <c r="X188" s="910"/>
      <c r="Y188" s="102"/>
      <c r="Z188" s="911"/>
      <c r="AA188" s="911"/>
      <c r="AB188" s="911"/>
      <c r="AC188" s="911"/>
      <c r="AD188" s="2187"/>
      <c r="AE188" s="2187"/>
      <c r="AF188" s="2187"/>
      <c r="AG188" s="2187"/>
      <c r="AH188" s="2187"/>
      <c r="AI188" s="2187"/>
      <c r="AJ188" s="2187"/>
      <c r="AK188" s="2187"/>
      <c r="AL188" s="2187"/>
      <c r="AM188" s="100"/>
      <c r="AN188" s="910"/>
      <c r="AO188" s="910"/>
      <c r="AP188" s="647"/>
      <c r="AQ188" s="2192"/>
      <c r="AR188" s="2192"/>
      <c r="AS188" s="2192"/>
      <c r="AT188" s="2192"/>
      <c r="AU188" s="2192"/>
      <c r="AV188" s="2192"/>
      <c r="AW188" s="2192"/>
      <c r="AX188" s="2192"/>
      <c r="AY188" s="2192"/>
      <c r="AZ188" s="2192"/>
      <c r="BA188" s="2192"/>
      <c r="BB188" s="2192"/>
      <c r="BC188" s="2192"/>
      <c r="BD188" s="2192"/>
      <c r="BE188" s="2192"/>
      <c r="BF188" s="2192"/>
      <c r="BG188" s="2192"/>
      <c r="BH188" s="2192"/>
      <c r="BI188" s="2192"/>
      <c r="BJ188" s="2192"/>
      <c r="BK188" s="2192"/>
      <c r="BL188" s="910"/>
      <c r="BM188" s="647"/>
      <c r="BN188" s="913"/>
      <c r="BO188" s="102"/>
      <c r="BP188" s="2185"/>
      <c r="BQ188" s="2185"/>
      <c r="BR188" s="2185"/>
      <c r="BS188" s="2185"/>
      <c r="BT188" s="2200"/>
      <c r="BU188" s="2185"/>
      <c r="BV188" s="2185"/>
      <c r="BW188" s="2201"/>
      <c r="BX188" s="2185"/>
      <c r="BY188" s="2185"/>
      <c r="BZ188" s="2185"/>
      <c r="CA188" s="2185"/>
      <c r="CB188" s="913"/>
      <c r="CC188" s="102"/>
      <c r="CD188" s="913"/>
      <c r="CE188" s="102"/>
      <c r="CF188" s="910"/>
      <c r="CG188" s="910"/>
      <c r="CH188" s="910"/>
      <c r="CI188" s="910"/>
      <c r="CJ188" s="910"/>
      <c r="CK188" s="910"/>
      <c r="CL188" s="910"/>
      <c r="CM188" s="910"/>
      <c r="CN188" s="910"/>
      <c r="CO188" s="2207"/>
      <c r="CP188" s="2207"/>
      <c r="CQ188" s="2207"/>
      <c r="CR188" s="2207"/>
      <c r="CS188" s="2207"/>
      <c r="CT188" s="2207"/>
      <c r="CU188" s="2207"/>
      <c r="CV188" s="2207"/>
      <c r="CW188" s="2207"/>
      <c r="CX188" s="2207"/>
      <c r="CY188" s="2207"/>
      <c r="CZ188" s="2207"/>
      <c r="DA188" s="2207"/>
      <c r="DB188" s="2207"/>
      <c r="DC188" s="2207"/>
      <c r="DD188" s="2207"/>
      <c r="DE188" s="2207"/>
      <c r="DF188" s="2207"/>
      <c r="DG188" s="656"/>
      <c r="DI188" s="958"/>
      <c r="DJ188" s="958"/>
      <c r="DK188" s="112"/>
      <c r="DL188" s="118"/>
      <c r="DM188" s="910"/>
      <c r="DN188" s="910"/>
      <c r="DO188" s="910"/>
      <c r="DP188" s="910"/>
      <c r="DQ188" s="910"/>
      <c r="DR188" s="910"/>
      <c r="DS188" s="910"/>
      <c r="DT188" s="910"/>
      <c r="DU188" s="910"/>
      <c r="DV188" s="910"/>
      <c r="DW188" s="910"/>
      <c r="DX188" s="910"/>
      <c r="DY188" s="910"/>
      <c r="DZ188" s="910"/>
      <c r="EA188" s="910"/>
      <c r="EB188" s="910"/>
      <c r="EC188" s="910"/>
      <c r="ED188" s="910"/>
      <c r="EE188" s="910"/>
      <c r="EF188" s="910"/>
      <c r="EG188" s="910"/>
      <c r="EH188" s="910"/>
      <c r="EI188" s="910"/>
      <c r="EJ188" s="910"/>
      <c r="EK188" s="910"/>
      <c r="EL188" s="910"/>
      <c r="EM188" s="910"/>
      <c r="EN188" s="910"/>
      <c r="EO188" s="910"/>
      <c r="EP188" s="910"/>
      <c r="EQ188" s="910"/>
      <c r="ER188" s="910"/>
      <c r="ES188" s="910"/>
      <c r="ET188" s="910"/>
      <c r="EU188" s="910"/>
      <c r="EV188" s="910"/>
      <c r="EW188" s="910"/>
      <c r="EX188" s="910"/>
      <c r="EY188" s="910"/>
      <c r="EZ188" s="910"/>
      <c r="FA188" s="910"/>
      <c r="FB188" s="910"/>
      <c r="FC188" s="910"/>
      <c r="FD188" s="910"/>
      <c r="FE188" s="910"/>
      <c r="FF188" s="910"/>
      <c r="FG188" s="910"/>
      <c r="FH188" s="910"/>
      <c r="FI188" s="910"/>
      <c r="FJ188" s="910"/>
      <c r="FK188" s="910"/>
      <c r="FL188" s="1020" t="str">
        <f>IF(AND(AQ186&lt;&gt;"",BX186&lt;&gt;""),IF(BX180&lt;&gt;"",AQ175&amp;" "&amp;LOWER(J177)&amp;" "&amp;IF($AJ186&lt;0,$AJ186&amp;"/"&amp;$AJ186&amp;"/"&amp;$AJ186,"+"&amp;$AJ186&amp;"/+"&amp;$AJ186&amp;"/+"&amp;$AJ186)&amp;" ("&amp;$BA186&amp;IF(Weapons!AS$82&lt;&gt;"20","/"&amp;Weapons!AS$82,"")&amp;IF(Weapons!AS$83&lt;&gt;2,"/×"&amp;Weapons!AS$83,"")&amp;") with Triple Attack and "&amp;AQ186,""),"")</f>
        <v/>
      </c>
      <c r="FM188" s="1019" t="str">
        <f t="shared" si="4"/>
        <v/>
      </c>
    </row>
    <row r="189" spans="1:169" ht="9" customHeight="1" thickBot="1">
      <c r="A189" s="910"/>
      <c r="B189" s="910"/>
      <c r="C189" s="112"/>
      <c r="D189" s="2183"/>
      <c r="E189" s="2184"/>
      <c r="F189" s="2184"/>
      <c r="G189" s="91"/>
      <c r="H189" s="912"/>
      <c r="I189" s="912"/>
      <c r="J189" s="912"/>
      <c r="K189" s="912"/>
      <c r="L189" s="2188"/>
      <c r="M189" s="2188"/>
      <c r="N189" s="2188"/>
      <c r="O189" s="2188"/>
      <c r="P189" s="2188"/>
      <c r="Q189" s="2188"/>
      <c r="R189" s="2188"/>
      <c r="S189" s="2188"/>
      <c r="T189" s="2188"/>
      <c r="U189" s="2188"/>
      <c r="V189" s="93"/>
      <c r="W189" s="910"/>
      <c r="X189" s="910"/>
      <c r="Y189" s="91"/>
      <c r="Z189" s="912"/>
      <c r="AA189" s="912"/>
      <c r="AB189" s="912"/>
      <c r="AC189" s="912"/>
      <c r="AD189" s="2188"/>
      <c r="AE189" s="2188"/>
      <c r="AF189" s="2188"/>
      <c r="AG189" s="2188"/>
      <c r="AH189" s="2188"/>
      <c r="AI189" s="2188"/>
      <c r="AJ189" s="2188"/>
      <c r="AK189" s="2188"/>
      <c r="AL189" s="2188"/>
      <c r="AM189" s="93"/>
      <c r="AN189" s="910"/>
      <c r="AO189" s="910"/>
      <c r="AP189" s="647"/>
      <c r="AQ189" s="2191"/>
      <c r="AR189" s="2191"/>
      <c r="AS189" s="2191"/>
      <c r="AT189" s="2191"/>
      <c r="AU189" s="2191"/>
      <c r="AV189" s="2191"/>
      <c r="AW189" s="2191"/>
      <c r="AX189" s="2191"/>
      <c r="AY189" s="2191"/>
      <c r="AZ189" s="2191"/>
      <c r="BA189" s="2191"/>
      <c r="BB189" s="2191"/>
      <c r="BC189" s="2191"/>
      <c r="BD189" s="2191"/>
      <c r="BE189" s="2191"/>
      <c r="BF189" s="2191"/>
      <c r="BG189" s="2191"/>
      <c r="BH189" s="2191"/>
      <c r="BI189" s="2191"/>
      <c r="BJ189" s="2191"/>
      <c r="BK189" s="2191"/>
      <c r="BL189" s="100"/>
      <c r="BM189" s="122"/>
      <c r="BN189" s="290"/>
      <c r="BO189" s="102"/>
      <c r="BP189" s="2185" t="str">
        <f>IF(AQ189&lt;&gt;"",IF(OR(INDEX(WeaponFeatsModsTable,MATCH(AQ189,WeaponFeatsModsList,0),7)=AQ175,INDEX(WeaponFeatsModsTable,MATCH(AQ189,WeaponFeatsModsList,0),7)=""),INDEX(WeaponFeatsModsTable,MATCH(AQ189,WeaponFeatsModsList,0),2)+BP177,""),"")</f>
        <v/>
      </c>
      <c r="BQ189" s="2185"/>
      <c r="BR189" s="2185"/>
      <c r="BS189" s="2185"/>
      <c r="BT189" s="2200" t="str">
        <f>IF(BP189&lt;&gt;"",IF(AND(OR(INDEX(WeaponFeatsModsTable,MATCH(AQ189,WeaponFeatsModsList,0),7)=AQ175,INDEX(WeaponFeatsModsTable,MATCH(AQ189,WeaponFeatsModsList,0),7)=""),INDEX(WeaponFeatsModsTable,MATCH(AQ189,WeaponFeatsModsList,0),8)&lt;&gt;"Yes"),IF(COUNTIF(FeatsCharacterSheet,BT180)&gt;0,BP189+BT174,""),""),"")</f>
        <v/>
      </c>
      <c r="BU189" s="2185"/>
      <c r="BV189" s="2185"/>
      <c r="BW189" s="2201"/>
      <c r="BX189" s="2185" t="str">
        <f>IF(BP189&lt;&gt;"",IF(AND(OR(INDEX(WeaponFeatsModsTable,MATCH(AQ189,WeaponFeatsModsList,0),7)=AQ175,INDEX(WeaponFeatsModsTable,MATCH(AQ189,WeaponFeatsModsList,0),7)=""),INDEX(WeaponFeatsModsTable,MATCH(AQ189,WeaponFeatsModsList,0),8)&lt;&gt;"Yes"),IF(COUNTIF(FeatsCharacterSheet,BX180)&gt;0,BP189+BX174,""),""),"")</f>
        <v/>
      </c>
      <c r="BY189" s="2185"/>
      <c r="BZ189" s="2185"/>
      <c r="CA189" s="2185"/>
      <c r="CB189" s="100"/>
      <c r="CC189" s="122"/>
      <c r="CD189" s="290"/>
      <c r="CE189" s="102"/>
      <c r="CF189" s="1883"/>
      <c r="CG189" s="1883"/>
      <c r="CH189" s="1883"/>
      <c r="CI189" s="1883"/>
      <c r="CJ189" s="1883"/>
      <c r="CK189" s="1883"/>
      <c r="CL189" s="1883"/>
      <c r="CM189" s="1883"/>
      <c r="CN189" s="1883"/>
      <c r="CO189" s="2207" t="str">
        <f>IF(AQ189&lt;&gt;"",IF(OR(INDEX(WeaponFeatsModsTable,MATCH(AQ189,WeaponFeatsModsList,0),7)=$AQ$175,INDEX(WeaponFeatsModsTable,MATCH(AQ189,WeaponFeatsModsList,0),7)=""),Weapons!AS$78+INDEX(WeaponFeatsModsTable,MATCH(AQ189,WeaponFeatsModsList,0),5)&amp;"d"&amp;Weapons!AS$79&amp;Weapons!AS$123&amp;"+"&amp;Weapons!AS$116+DH189+IF(AND(LEFT(AQ189,12)="Power Attack",$AQ$177="Two-Handed",$AQ$175="Melee"),INDEX(WeaponFeatsModsTable,MATCH(AQ189,WeaponFeatsModsList,0),4),INDEX(WeaponFeatsModsTable,MATCH(AQ189,WeaponFeatsModsList,0),3)),""),"")</f>
        <v/>
      </c>
      <c r="CP189" s="2207"/>
      <c r="CQ189" s="2207"/>
      <c r="CR189" s="2207"/>
      <c r="CS189" s="2207"/>
      <c r="CT189" s="2207"/>
      <c r="CU189" s="2207"/>
      <c r="CV189" s="2207"/>
      <c r="CW189" s="2207"/>
      <c r="CX189" s="2207"/>
      <c r="CY189" s="2207"/>
      <c r="CZ189" s="2207"/>
      <c r="DA189" s="2207"/>
      <c r="DB189" s="2207"/>
      <c r="DC189" s="2207"/>
      <c r="DD189" s="2207"/>
      <c r="DE189" s="2207"/>
      <c r="DF189" s="2207"/>
      <c r="DG189" s="656"/>
      <c r="DH189" s="974">
        <f>IF(AND(COUNTIF(Weapons!AS$56:AS$60,"Pulse Charger"),AQ175="Ranged"),INDEX(WeaponFeatsModsTable,MATCH(AQ189,WeaponFeatsModsList,0),5),0)</f>
        <v>0</v>
      </c>
      <c r="DI189" s="958"/>
      <c r="DJ189" s="958"/>
      <c r="DK189" s="112"/>
      <c r="DL189" s="118"/>
      <c r="DM189" s="910"/>
      <c r="DN189" s="910"/>
      <c r="DO189" s="910"/>
      <c r="DP189" s="910"/>
      <c r="DQ189" s="910"/>
      <c r="DR189" s="910"/>
      <c r="DS189" s="910"/>
      <c r="DT189" s="910"/>
      <c r="DU189" s="910"/>
      <c r="DV189" s="910"/>
      <c r="DW189" s="910"/>
      <c r="DX189" s="910"/>
      <c r="DY189" s="910"/>
      <c r="DZ189" s="910"/>
      <c r="EA189" s="910"/>
      <c r="EB189" s="910"/>
      <c r="EC189" s="910"/>
      <c r="ED189" s="910"/>
      <c r="EE189" s="910"/>
      <c r="EF189" s="910"/>
      <c r="EG189" s="910"/>
      <c r="EH189" s="910"/>
      <c r="EI189" s="910"/>
      <c r="EJ189" s="910"/>
      <c r="EK189" s="910"/>
      <c r="EL189" s="910"/>
      <c r="EM189" s="910"/>
      <c r="EN189" s="910"/>
      <c r="EO189" s="910"/>
      <c r="EP189" s="910"/>
      <c r="EQ189" s="910"/>
      <c r="ER189" s="910"/>
      <c r="ES189" s="910"/>
      <c r="ET189" s="910"/>
      <c r="EU189" s="910"/>
      <c r="EV189" s="910"/>
      <c r="EW189" s="910"/>
      <c r="EX189" s="910"/>
      <c r="EY189" s="910"/>
      <c r="EZ189" s="910"/>
      <c r="FA189" s="910"/>
      <c r="FB189" s="910"/>
      <c r="FC189" s="910"/>
      <c r="FD189" s="910"/>
      <c r="FE189" s="910"/>
      <c r="FF189" s="910"/>
      <c r="FG189" s="910"/>
      <c r="FH189" s="910"/>
      <c r="FI189" s="910"/>
      <c r="FJ189" s="910"/>
      <c r="FK189" s="910"/>
      <c r="FL189" s="1020" t="str">
        <f>IF(AND(AQ189&lt;&gt;"",BP189&lt;&gt;""),AQ175&amp;" "&amp;LOWER(J177)&amp;" "&amp;IF(BP189&lt;0,"","+")&amp;BP189&amp;" ("&amp;CO189&amp;IF(Weapons!AS$82&lt;&gt;"20","/"&amp;Weapons!AS$82,"")&amp;IF(Weapons!AS$83&lt;&gt;2,"/×"&amp;Weapons!AS$83,"")&amp;") with "&amp;AQ189,"")</f>
        <v/>
      </c>
      <c r="FM189" s="1019" t="str">
        <f t="shared" si="4"/>
        <v/>
      </c>
    </row>
    <row r="190" spans="1:169" ht="9" customHeight="1" thickTop="1" thickBot="1">
      <c r="A190" s="910"/>
      <c r="B190" s="910"/>
      <c r="C190" s="112"/>
      <c r="D190" s="2183"/>
      <c r="E190" s="2184"/>
      <c r="F190" s="2184"/>
      <c r="G190" s="118"/>
      <c r="H190" s="118"/>
      <c r="I190" s="105"/>
      <c r="J190" s="913"/>
      <c r="K190" s="913"/>
      <c r="L190" s="913"/>
      <c r="M190" s="913"/>
      <c r="N190" s="653"/>
      <c r="O190" s="653"/>
      <c r="P190" s="653"/>
      <c r="Q190" s="653"/>
      <c r="R190" s="653"/>
      <c r="S190" s="131"/>
      <c r="T190" s="118"/>
      <c r="U190" s="118"/>
      <c r="V190" s="105"/>
      <c r="W190" s="913"/>
      <c r="X190" s="118"/>
      <c r="Y190" s="118"/>
      <c r="Z190" s="118"/>
      <c r="AA190" s="118"/>
      <c r="AB190" s="118"/>
      <c r="AC190" s="118"/>
      <c r="AD190" s="118"/>
      <c r="AE190" s="118"/>
      <c r="AF190" s="118"/>
      <c r="AG190" s="118"/>
      <c r="AH190" s="118"/>
      <c r="AI190" s="118"/>
      <c r="AJ190" s="118"/>
      <c r="AK190" s="118"/>
      <c r="AL190" s="118"/>
      <c r="AM190" s="118"/>
      <c r="AN190" s="118"/>
      <c r="AO190" s="910"/>
      <c r="AP190" s="647"/>
      <c r="AQ190" s="2191"/>
      <c r="AR190" s="2191"/>
      <c r="AS190" s="2191"/>
      <c r="AT190" s="2191"/>
      <c r="AU190" s="2191"/>
      <c r="AV190" s="2191"/>
      <c r="AW190" s="2191"/>
      <c r="AX190" s="2191"/>
      <c r="AY190" s="2191"/>
      <c r="AZ190" s="2191"/>
      <c r="BA190" s="2191"/>
      <c r="BB190" s="2191"/>
      <c r="BC190" s="2191"/>
      <c r="BD190" s="2191"/>
      <c r="BE190" s="2191"/>
      <c r="BF190" s="2191"/>
      <c r="BG190" s="2191"/>
      <c r="BH190" s="2191"/>
      <c r="BI190" s="2191"/>
      <c r="BJ190" s="2191"/>
      <c r="BK190" s="2191"/>
      <c r="BL190" s="100"/>
      <c r="BM190" s="111"/>
      <c r="BN190" s="111"/>
      <c r="BO190" s="647"/>
      <c r="BP190" s="2185"/>
      <c r="BQ190" s="2185"/>
      <c r="BR190" s="2185"/>
      <c r="BS190" s="2185"/>
      <c r="BT190" s="2200"/>
      <c r="BU190" s="2185"/>
      <c r="BV190" s="2185"/>
      <c r="BW190" s="2201"/>
      <c r="BX190" s="2185"/>
      <c r="BY190" s="2185"/>
      <c r="BZ190" s="2185"/>
      <c r="CA190" s="2185"/>
      <c r="CB190" s="100"/>
      <c r="CC190" s="111"/>
      <c r="CD190" s="111"/>
      <c r="CE190" s="102"/>
      <c r="CF190" s="1883"/>
      <c r="CG190" s="1883"/>
      <c r="CH190" s="1883"/>
      <c r="CI190" s="1883"/>
      <c r="CJ190" s="1883"/>
      <c r="CK190" s="1883"/>
      <c r="CL190" s="1883"/>
      <c r="CM190" s="1883"/>
      <c r="CN190" s="1883"/>
      <c r="CO190" s="2207"/>
      <c r="CP190" s="2207"/>
      <c r="CQ190" s="2207"/>
      <c r="CR190" s="2207"/>
      <c r="CS190" s="2207"/>
      <c r="CT190" s="2207"/>
      <c r="CU190" s="2207"/>
      <c r="CV190" s="2207"/>
      <c r="CW190" s="2207"/>
      <c r="CX190" s="2207"/>
      <c r="CY190" s="2207"/>
      <c r="CZ190" s="2207"/>
      <c r="DA190" s="2207"/>
      <c r="DB190" s="2207"/>
      <c r="DC190" s="2207"/>
      <c r="DD190" s="2207"/>
      <c r="DE190" s="2207"/>
      <c r="DF190" s="2207"/>
      <c r="DG190" s="656"/>
      <c r="DI190" s="958"/>
      <c r="DJ190" s="958"/>
      <c r="DK190" s="112"/>
      <c r="DL190" s="118"/>
      <c r="DM190" s="910"/>
      <c r="DN190" s="910"/>
      <c r="DO190" s="910"/>
      <c r="DP190" s="910"/>
      <c r="DQ190" s="910"/>
      <c r="DR190" s="910"/>
      <c r="DS190" s="910"/>
      <c r="DT190" s="910"/>
      <c r="DU190" s="910"/>
      <c r="DV190" s="910"/>
      <c r="DW190" s="910"/>
      <c r="DX190" s="910"/>
      <c r="DY190" s="910"/>
      <c r="DZ190" s="910"/>
      <c r="EA190" s="910"/>
      <c r="EB190" s="910"/>
      <c r="EC190" s="910"/>
      <c r="ED190" s="910"/>
      <c r="EE190" s="910"/>
      <c r="EF190" s="910"/>
      <c r="EG190" s="910"/>
      <c r="EH190" s="910"/>
      <c r="EI190" s="910"/>
      <c r="EJ190" s="910"/>
      <c r="EK190" s="910"/>
      <c r="EL190" s="910"/>
      <c r="EM190" s="910"/>
      <c r="EN190" s="910"/>
      <c r="EO190" s="910"/>
      <c r="EP190" s="910"/>
      <c r="EQ190" s="910"/>
      <c r="ER190" s="910"/>
      <c r="ES190" s="910"/>
      <c r="ET190" s="910"/>
      <c r="EU190" s="910"/>
      <c r="EV190" s="910"/>
      <c r="EW190" s="910"/>
      <c r="EX190" s="910"/>
      <c r="EY190" s="910"/>
      <c r="EZ190" s="910"/>
      <c r="FA190" s="910"/>
      <c r="FB190" s="910"/>
      <c r="FC190" s="910"/>
      <c r="FD190" s="910"/>
      <c r="FE190" s="910"/>
      <c r="FF190" s="910"/>
      <c r="FG190" s="910"/>
      <c r="FH190" s="910"/>
      <c r="FI190" s="910"/>
      <c r="FJ190" s="910"/>
      <c r="FK190" s="910"/>
      <c r="FL190" s="1020" t="str">
        <f>IF(AND(AQ189&lt;&gt;"",BT189&lt;&gt;""),IF(BT180&lt;&gt;"",AQ175&amp;" "&amp;LOWER(J177)&amp;" "&amp;IF($AF189&lt;0,BT189&amp;"/"&amp;BT189,"+"&amp;BT189&amp;"/+"&amp;BT189)&amp;" ("&amp;$BA189&amp;IF(Weapons!AS$82&lt;&gt;"20","/"&amp;Weapons!AS$82,"")&amp;IF(Weapons!AS$83&lt;&gt;2,"/×"&amp;Weapons!AS$83,"")&amp;") with Double Attack and "&amp;AQ189,""),"")</f>
        <v/>
      </c>
      <c r="FM190" s="1019" t="str">
        <f t="shared" si="4"/>
        <v/>
      </c>
    </row>
    <row r="191" spans="1:169" ht="9" customHeight="1" thickTop="1">
      <c r="A191" s="910"/>
      <c r="B191" s="910"/>
      <c r="C191" s="112"/>
      <c r="D191" s="2183"/>
      <c r="E191" s="2184"/>
      <c r="F191" s="2184"/>
      <c r="G191" s="93"/>
      <c r="H191" s="2182" t="str">
        <f>IF(AG192&lt;&gt;"","AMMO","POWER")</f>
        <v>POWER</v>
      </c>
      <c r="I191" s="2182"/>
      <c r="J191" s="2182"/>
      <c r="K191" s="2182"/>
      <c r="L191" s="2182"/>
      <c r="M191" s="2182"/>
      <c r="N191" s="295"/>
      <c r="O191" s="295"/>
      <c r="P191" s="295"/>
      <c r="Q191" s="295"/>
      <c r="R191" s="295"/>
      <c r="S191" s="295"/>
      <c r="T191" s="295"/>
      <c r="U191" s="295"/>
      <c r="V191" s="295"/>
      <c r="W191" s="295"/>
      <c r="X191" s="295"/>
      <c r="Y191" s="295"/>
      <c r="Z191" s="295"/>
      <c r="AA191" s="295"/>
      <c r="AB191" s="295"/>
      <c r="AC191" s="295"/>
      <c r="AD191" s="295"/>
      <c r="AE191" s="295"/>
      <c r="AF191" s="295"/>
      <c r="AG191" s="295"/>
      <c r="AH191" s="295"/>
      <c r="AI191" s="295"/>
      <c r="AJ191" s="295"/>
      <c r="AK191" s="295"/>
      <c r="AL191" s="295"/>
      <c r="AM191" s="113"/>
      <c r="AN191" s="910"/>
      <c r="AO191" s="910"/>
      <c r="AP191" s="647"/>
      <c r="AQ191" s="2192"/>
      <c r="AR191" s="2192"/>
      <c r="AS191" s="2192"/>
      <c r="AT191" s="2192"/>
      <c r="AU191" s="2192"/>
      <c r="AV191" s="2192"/>
      <c r="AW191" s="2192"/>
      <c r="AX191" s="2192"/>
      <c r="AY191" s="2192"/>
      <c r="AZ191" s="2192"/>
      <c r="BA191" s="2192"/>
      <c r="BB191" s="2192"/>
      <c r="BC191" s="2192"/>
      <c r="BD191" s="2192"/>
      <c r="BE191" s="2192"/>
      <c r="BF191" s="2192"/>
      <c r="BG191" s="2192"/>
      <c r="BH191" s="2192"/>
      <c r="BI191" s="2192"/>
      <c r="BJ191" s="2192"/>
      <c r="BK191" s="2192"/>
      <c r="BL191" s="910"/>
      <c r="BM191" s="647"/>
      <c r="BN191" s="913"/>
      <c r="BO191" s="102"/>
      <c r="BP191" s="2185"/>
      <c r="BQ191" s="2185"/>
      <c r="BR191" s="2185"/>
      <c r="BS191" s="2185"/>
      <c r="BT191" s="2200"/>
      <c r="BU191" s="2185"/>
      <c r="BV191" s="2185"/>
      <c r="BW191" s="2201"/>
      <c r="BX191" s="2185"/>
      <c r="BY191" s="2185"/>
      <c r="BZ191" s="2185"/>
      <c r="CA191" s="2185"/>
      <c r="CB191" s="913"/>
      <c r="CC191" s="102"/>
      <c r="CD191" s="913"/>
      <c r="CE191" s="102"/>
      <c r="CF191" s="910"/>
      <c r="CG191" s="910"/>
      <c r="CH191" s="910"/>
      <c r="CI191" s="910"/>
      <c r="CJ191" s="910"/>
      <c r="CK191" s="910"/>
      <c r="CL191" s="910"/>
      <c r="CM191" s="910"/>
      <c r="CN191" s="910"/>
      <c r="CO191" s="2207"/>
      <c r="CP191" s="2207"/>
      <c r="CQ191" s="2207"/>
      <c r="CR191" s="2207"/>
      <c r="CS191" s="2207"/>
      <c r="CT191" s="2207"/>
      <c r="CU191" s="2207"/>
      <c r="CV191" s="2207"/>
      <c r="CW191" s="2207"/>
      <c r="CX191" s="2207"/>
      <c r="CY191" s="2207"/>
      <c r="CZ191" s="2207"/>
      <c r="DA191" s="2207"/>
      <c r="DB191" s="2207"/>
      <c r="DC191" s="2207"/>
      <c r="DD191" s="2207"/>
      <c r="DE191" s="2207"/>
      <c r="DF191" s="2207"/>
      <c r="DG191" s="656"/>
      <c r="DI191" s="958"/>
      <c r="DJ191" s="958"/>
      <c r="DK191" s="112"/>
      <c r="DL191" s="87"/>
      <c r="DM191" s="910"/>
      <c r="DN191" s="910"/>
      <c r="DO191" s="910"/>
      <c r="DP191" s="910"/>
      <c r="DQ191" s="910"/>
      <c r="DR191" s="910"/>
      <c r="DS191" s="910"/>
      <c r="DT191" s="910"/>
      <c r="DU191" s="910"/>
      <c r="DV191" s="910"/>
      <c r="DW191" s="910"/>
      <c r="DX191" s="910"/>
      <c r="DY191" s="910"/>
      <c r="DZ191" s="910"/>
      <c r="EA191" s="910"/>
      <c r="EB191" s="910"/>
      <c r="EC191" s="910"/>
      <c r="ED191" s="910"/>
      <c r="EE191" s="910"/>
      <c r="EF191" s="910"/>
      <c r="EG191" s="910"/>
      <c r="EH191" s="910"/>
      <c r="EI191" s="910"/>
      <c r="EJ191" s="910"/>
      <c r="EK191" s="910"/>
      <c r="EL191" s="910"/>
      <c r="EM191" s="910"/>
      <c r="EN191" s="910"/>
      <c r="EO191" s="910"/>
      <c r="EP191" s="910"/>
      <c r="EQ191" s="910"/>
      <c r="ER191" s="910"/>
      <c r="ES191" s="910"/>
      <c r="ET191" s="910"/>
      <c r="EU191" s="910"/>
      <c r="EV191" s="910"/>
      <c r="EW191" s="910"/>
      <c r="EX191" s="910"/>
      <c r="EY191" s="910"/>
      <c r="EZ191" s="910"/>
      <c r="FA191" s="910"/>
      <c r="FB191" s="910"/>
      <c r="FC191" s="910"/>
      <c r="FD191" s="910"/>
      <c r="FE191" s="910"/>
      <c r="FF191" s="910"/>
      <c r="FG191" s="910"/>
      <c r="FH191" s="910"/>
      <c r="FI191" s="910"/>
      <c r="FJ191" s="910"/>
      <c r="FK191" s="910"/>
      <c r="FL191" s="1020" t="str">
        <f>IF(AND(AQ189&lt;&gt;"",BX189&lt;&gt;""),IF(BX180&lt;&gt;"",AQ175&amp;" "&amp;LOWER(J177)&amp;" "&amp;IF($AJ189&lt;0,$AJ189&amp;"/"&amp;$AJ189&amp;"/"&amp;$AJ189,"+"&amp;$AJ189&amp;"/+"&amp;$AJ189&amp;"/+"&amp;$AJ189)&amp;" ("&amp;$BA189&amp;IF(Weapons!AS$82&lt;&gt;"20","/"&amp;Weapons!AS$82,"")&amp;IF(Weapons!AS$83&lt;&gt;2,"/×"&amp;Weapons!AS$83,"")&amp;") with Triple Attack and "&amp;AQ189,""),"")</f>
        <v/>
      </c>
      <c r="FM191" s="1019" t="str">
        <f t="shared" si="4"/>
        <v/>
      </c>
    </row>
    <row r="192" spans="1:169" ht="9" customHeight="1">
      <c r="A192" s="910"/>
      <c r="B192" s="910"/>
      <c r="C192" s="112"/>
      <c r="D192" s="2183"/>
      <c r="E192" s="2184"/>
      <c r="F192" s="2184"/>
      <c r="G192" s="102"/>
      <c r="H192" s="2180"/>
      <c r="I192" s="2180"/>
      <c r="J192" s="2180"/>
      <c r="K192" s="2180"/>
      <c r="L192" s="2180"/>
      <c r="M192" s="2180"/>
      <c r="N192" s="1875" t="str">
        <f>Weapons!AS$25</f>
        <v/>
      </c>
      <c r="O192" s="1875"/>
      <c r="P192" s="1875"/>
      <c r="Q192" s="1875"/>
      <c r="R192" s="1875"/>
      <c r="S192" s="1875"/>
      <c r="T192" s="1875"/>
      <c r="U192" s="1875"/>
      <c r="V192" s="1875"/>
      <c r="W192" s="1875"/>
      <c r="X192" s="1875"/>
      <c r="Y192" s="1875"/>
      <c r="Z192" s="1875"/>
      <c r="AA192" s="1875"/>
      <c r="AB192" s="1875"/>
      <c r="AC192" s="1875"/>
      <c r="AD192" s="1875"/>
      <c r="AE192" s="1875"/>
      <c r="AF192" s="1875"/>
      <c r="AG192" s="1863" t="str">
        <f>Weapons!AS$26</f>
        <v/>
      </c>
      <c r="AH192" s="1863"/>
      <c r="AI192" s="1863"/>
      <c r="AJ192" s="1863"/>
      <c r="AK192" s="1863"/>
      <c r="AL192" s="1863"/>
      <c r="AM192" s="100"/>
      <c r="AN192" s="910"/>
      <c r="AO192" s="910"/>
      <c r="AP192" s="102"/>
      <c r="AQ192" s="2191"/>
      <c r="AR192" s="2191"/>
      <c r="AS192" s="2191"/>
      <c r="AT192" s="2191"/>
      <c r="AU192" s="2191"/>
      <c r="AV192" s="2191"/>
      <c r="AW192" s="2191"/>
      <c r="AX192" s="2191"/>
      <c r="AY192" s="2191"/>
      <c r="AZ192" s="2191"/>
      <c r="BA192" s="2191"/>
      <c r="BB192" s="2191"/>
      <c r="BC192" s="2191"/>
      <c r="BD192" s="2191"/>
      <c r="BE192" s="2191"/>
      <c r="BF192" s="2191"/>
      <c r="BG192" s="2191"/>
      <c r="BH192" s="2191"/>
      <c r="BI192" s="2191"/>
      <c r="BJ192" s="2191"/>
      <c r="BK192" s="2191"/>
      <c r="BL192" s="910"/>
      <c r="BM192" s="647"/>
      <c r="BN192" s="910"/>
      <c r="BO192" s="102"/>
      <c r="BP192" s="2185" t="str">
        <f>IF(AQ192&lt;&gt;"",IF(OR(INDEX(WeaponFeatsModsTable,MATCH(AQ192,WeaponFeatsModsList,0),7)=AQ175,INDEX(WeaponFeatsModsTable,MATCH(AQ192,WeaponFeatsModsList,0),7)=""),INDEX(WeaponFeatsModsTable,MATCH(AQ192,WeaponFeatsModsList,0),2)+BP177,""),"")</f>
        <v/>
      </c>
      <c r="BQ192" s="2185"/>
      <c r="BR192" s="2185"/>
      <c r="BS192" s="2185"/>
      <c r="BT192" s="2200" t="str">
        <f>IF(BP192&lt;&gt;"",IF(AND(OR(INDEX(WeaponFeatsModsTable,MATCH(AQ192,WeaponFeatsModsList,0),7)=AQ175,INDEX(WeaponFeatsModsTable,MATCH(AQ192,WeaponFeatsModsList,0),7)=""),INDEX(WeaponFeatsModsTable,MATCH(AQ192,WeaponFeatsModsList,0),8)&lt;&gt;"Yes"),IF(COUNTIF(FeatsCharacterSheet,BT180)&gt;0,BP192+BT174,""),""),"")</f>
        <v/>
      </c>
      <c r="BU192" s="2185"/>
      <c r="BV192" s="2185"/>
      <c r="BW192" s="2201"/>
      <c r="BX192" s="2185" t="str">
        <f>IF(BP192&lt;&gt;"",IF(AND(OR(INDEX(WeaponFeatsModsTable,MATCH(AQ192,WeaponFeatsModsList,0),7)=AQ175,INDEX(WeaponFeatsModsTable,MATCH(AQ192,WeaponFeatsModsList,0),7)=""),INDEX(WeaponFeatsModsTable,MATCH(AQ192,WeaponFeatsModsList,0),8)&lt;&gt;"Yes"),IF(COUNTIF(FeatsCharacterSheet,BX180)&gt;0,BP192+BX174,""),""),"")</f>
        <v/>
      </c>
      <c r="BY192" s="2185"/>
      <c r="BZ192" s="2185"/>
      <c r="CA192" s="2185"/>
      <c r="CB192" s="100"/>
      <c r="CC192" s="910"/>
      <c r="CD192" s="913"/>
      <c r="CE192" s="102"/>
      <c r="CF192" s="2209"/>
      <c r="CG192" s="2209"/>
      <c r="CH192" s="2209"/>
      <c r="CI192" s="2209"/>
      <c r="CJ192" s="2209"/>
      <c r="CK192" s="2209"/>
      <c r="CL192" s="2209"/>
      <c r="CM192" s="2209"/>
      <c r="CN192" s="2209"/>
      <c r="CO192" s="2207" t="str">
        <f>IF(AQ192&lt;&gt;"",IF(OR(INDEX(WeaponFeatsModsTable,MATCH(AQ192,WeaponFeatsModsList,0),7)=$AQ$175,INDEX(WeaponFeatsModsTable,MATCH(AQ192,WeaponFeatsModsList,0),7)=""),Weapons!AS$78+INDEX(WeaponFeatsModsTable,MATCH(AQ192,WeaponFeatsModsList,0),5)&amp;"d"&amp;Weapons!AS$79&amp;Weapons!AS$123&amp;"+"&amp;Weapons!AS$116+DH192+IF(AND(LEFT(AQ192,12)="Power Attack",$AQ$177="Two-Handed",$AQ$175="Melee"),INDEX(WeaponFeatsModsTable,MATCH(AQ192,WeaponFeatsModsList,0),4),INDEX(WeaponFeatsModsTable,MATCH(AQ192,WeaponFeatsModsList,0),3)),""),"")</f>
        <v/>
      </c>
      <c r="CP192" s="2207"/>
      <c r="CQ192" s="2207"/>
      <c r="CR192" s="2207"/>
      <c r="CS192" s="2207"/>
      <c r="CT192" s="2207"/>
      <c r="CU192" s="2207"/>
      <c r="CV192" s="2207"/>
      <c r="CW192" s="2207"/>
      <c r="CX192" s="2207"/>
      <c r="CY192" s="2207"/>
      <c r="CZ192" s="2207"/>
      <c r="DA192" s="2207"/>
      <c r="DB192" s="2207"/>
      <c r="DC192" s="2207"/>
      <c r="DD192" s="2207"/>
      <c r="DE192" s="2207"/>
      <c r="DF192" s="2207"/>
      <c r="DG192" s="656"/>
      <c r="DH192" s="974">
        <f>IF(AND(COUNTIF(Weapons!AS$56:AS$60,"Pulse Charger"),AQ175="Ranged"),INDEX(WeaponFeatsModsTable,MATCH(AQ192,WeaponFeatsModsList,0),5),0)</f>
        <v>0</v>
      </c>
      <c r="DI192" s="958"/>
      <c r="DJ192" s="958"/>
      <c r="DK192" s="112"/>
      <c r="DL192" s="109"/>
      <c r="DM192" s="910"/>
      <c r="DN192" s="910"/>
      <c r="DO192" s="910"/>
      <c r="DP192" s="910"/>
      <c r="DQ192" s="910"/>
      <c r="DR192" s="910"/>
      <c r="DS192" s="910"/>
      <c r="DT192" s="910"/>
      <c r="DU192" s="910"/>
      <c r="DV192" s="910"/>
      <c r="DW192" s="910"/>
      <c r="DX192" s="910"/>
      <c r="DY192" s="910"/>
      <c r="DZ192" s="910"/>
      <c r="EA192" s="910"/>
      <c r="EB192" s="910"/>
      <c r="EC192" s="910"/>
      <c r="ED192" s="910"/>
      <c r="EE192" s="910"/>
      <c r="EF192" s="910"/>
      <c r="EG192" s="910"/>
      <c r="EH192" s="910"/>
      <c r="EI192" s="910"/>
      <c r="EJ192" s="910"/>
      <c r="EK192" s="910"/>
      <c r="EL192" s="910"/>
      <c r="EM192" s="910"/>
      <c r="EN192" s="910"/>
      <c r="EO192" s="910"/>
      <c r="EP192" s="910"/>
      <c r="EQ192" s="910"/>
      <c r="ER192" s="910"/>
      <c r="ES192" s="910"/>
      <c r="ET192" s="910"/>
      <c r="EU192" s="910"/>
      <c r="EV192" s="910"/>
      <c r="EW192" s="910"/>
      <c r="EX192" s="910"/>
      <c r="EY192" s="910"/>
      <c r="EZ192" s="910"/>
      <c r="FA192" s="910"/>
      <c r="FB192" s="910"/>
      <c r="FC192" s="910"/>
      <c r="FD192" s="910"/>
      <c r="FE192" s="910"/>
      <c r="FF192" s="910"/>
      <c r="FG192" s="910"/>
      <c r="FH192" s="910"/>
      <c r="FI192" s="910"/>
      <c r="FJ192" s="910"/>
      <c r="FK192" s="910"/>
      <c r="FL192" s="1020" t="str">
        <f>IF(AND(AQ192&lt;&gt;"",BP192&lt;&gt;""),AQ175&amp;" "&amp;LOWER(J177)&amp;" "&amp;IF(BP192&lt;0,"","+")&amp;BP192&amp;" ("&amp;CO192&amp;IF(Weapons!AS$82&lt;&gt;"20","/"&amp;Weapons!AS$82,"")&amp;IF(Weapons!AS$83&lt;&gt;2,"/×"&amp;Weapons!AS$83,"")&amp;") with "&amp;AQ192,"")</f>
        <v/>
      </c>
      <c r="FM192" s="1019" t="str">
        <f t="shared" si="4"/>
        <v/>
      </c>
    </row>
    <row r="193" spans="1:169" ht="9" customHeight="1">
      <c r="A193" s="910"/>
      <c r="B193" s="910"/>
      <c r="C193" s="112"/>
      <c r="D193" s="2183"/>
      <c r="E193" s="2184"/>
      <c r="F193" s="2184"/>
      <c r="G193" s="102"/>
      <c r="H193" s="911"/>
      <c r="I193" s="911"/>
      <c r="J193" s="911"/>
      <c r="K193" s="911"/>
      <c r="L193" s="911"/>
      <c r="M193" s="911"/>
      <c r="N193" s="1875"/>
      <c r="O193" s="1875"/>
      <c r="P193" s="1875"/>
      <c r="Q193" s="1875"/>
      <c r="R193" s="1875"/>
      <c r="S193" s="1875"/>
      <c r="T193" s="1875"/>
      <c r="U193" s="1875"/>
      <c r="V193" s="1875"/>
      <c r="W193" s="1875"/>
      <c r="X193" s="1875"/>
      <c r="Y193" s="1875"/>
      <c r="Z193" s="1875"/>
      <c r="AA193" s="1875"/>
      <c r="AB193" s="1875"/>
      <c r="AC193" s="1875"/>
      <c r="AD193" s="1875"/>
      <c r="AE193" s="1875"/>
      <c r="AF193" s="1875"/>
      <c r="AG193" s="1863"/>
      <c r="AH193" s="1863"/>
      <c r="AI193" s="1863"/>
      <c r="AJ193" s="1863"/>
      <c r="AK193" s="1863"/>
      <c r="AL193" s="1863"/>
      <c r="AM193" s="100"/>
      <c r="AN193" s="910"/>
      <c r="AO193" s="910"/>
      <c r="AP193" s="647"/>
      <c r="AQ193" s="2191"/>
      <c r="AR193" s="2191"/>
      <c r="AS193" s="2191"/>
      <c r="AT193" s="2191"/>
      <c r="AU193" s="2191"/>
      <c r="AV193" s="2191"/>
      <c r="AW193" s="2191"/>
      <c r="AX193" s="2191"/>
      <c r="AY193" s="2191"/>
      <c r="AZ193" s="2191"/>
      <c r="BA193" s="2191"/>
      <c r="BB193" s="2191"/>
      <c r="BC193" s="2191"/>
      <c r="BD193" s="2191"/>
      <c r="BE193" s="2191"/>
      <c r="BF193" s="2191"/>
      <c r="BG193" s="2191"/>
      <c r="BH193" s="2191"/>
      <c r="BI193" s="2191"/>
      <c r="BJ193" s="2191"/>
      <c r="BK193" s="2191"/>
      <c r="BL193" s="100"/>
      <c r="BM193" s="910"/>
      <c r="BN193" s="910"/>
      <c r="BO193" s="647"/>
      <c r="BP193" s="2185"/>
      <c r="BQ193" s="2185"/>
      <c r="BR193" s="2185"/>
      <c r="BS193" s="2185"/>
      <c r="BT193" s="2200"/>
      <c r="BU193" s="2185"/>
      <c r="BV193" s="2185"/>
      <c r="BW193" s="2201"/>
      <c r="BX193" s="2185"/>
      <c r="BY193" s="2185"/>
      <c r="BZ193" s="2185"/>
      <c r="CA193" s="2185"/>
      <c r="CB193" s="100"/>
      <c r="CC193" s="910"/>
      <c r="CD193" s="913"/>
      <c r="CE193" s="102"/>
      <c r="CF193" s="2209"/>
      <c r="CG193" s="2209"/>
      <c r="CH193" s="2209"/>
      <c r="CI193" s="2209"/>
      <c r="CJ193" s="2209"/>
      <c r="CK193" s="2209"/>
      <c r="CL193" s="2209"/>
      <c r="CM193" s="2209"/>
      <c r="CN193" s="2209"/>
      <c r="CO193" s="2207"/>
      <c r="CP193" s="2207"/>
      <c r="CQ193" s="2207"/>
      <c r="CR193" s="2207"/>
      <c r="CS193" s="2207"/>
      <c r="CT193" s="2207"/>
      <c r="CU193" s="2207"/>
      <c r="CV193" s="2207"/>
      <c r="CW193" s="2207"/>
      <c r="CX193" s="2207"/>
      <c r="CY193" s="2207"/>
      <c r="CZ193" s="2207"/>
      <c r="DA193" s="2207"/>
      <c r="DB193" s="2207"/>
      <c r="DC193" s="2207"/>
      <c r="DD193" s="2207"/>
      <c r="DE193" s="2207"/>
      <c r="DF193" s="2207"/>
      <c r="DG193" s="656"/>
      <c r="DI193" s="958"/>
      <c r="DJ193" s="958"/>
      <c r="DK193" s="112"/>
      <c r="DL193" s="109"/>
      <c r="DM193" s="910"/>
      <c r="DN193" s="910"/>
      <c r="DO193" s="910"/>
      <c r="DP193" s="910"/>
      <c r="DQ193" s="910"/>
      <c r="DR193" s="910"/>
      <c r="DS193" s="910"/>
      <c r="DT193" s="910"/>
      <c r="DU193" s="910"/>
      <c r="DV193" s="910"/>
      <c r="DW193" s="910"/>
      <c r="DX193" s="910"/>
      <c r="DY193" s="910"/>
      <c r="DZ193" s="910"/>
      <c r="EA193" s="910"/>
      <c r="EB193" s="910"/>
      <c r="EC193" s="910"/>
      <c r="ED193" s="910"/>
      <c r="EE193" s="910"/>
      <c r="EF193" s="910"/>
      <c r="EG193" s="910"/>
      <c r="EH193" s="910"/>
      <c r="EI193" s="910"/>
      <c r="EJ193" s="910"/>
      <c r="EK193" s="910"/>
      <c r="EL193" s="910"/>
      <c r="EM193" s="910"/>
      <c r="EN193" s="910"/>
      <c r="EO193" s="910"/>
      <c r="EP193" s="910"/>
      <c r="EQ193" s="910"/>
      <c r="ER193" s="910"/>
      <c r="ES193" s="910"/>
      <c r="ET193" s="910"/>
      <c r="EU193" s="910"/>
      <c r="EV193" s="910"/>
      <c r="EW193" s="910"/>
      <c r="EX193" s="910"/>
      <c r="EY193" s="910"/>
      <c r="EZ193" s="910"/>
      <c r="FA193" s="910"/>
      <c r="FB193" s="910"/>
      <c r="FC193" s="910"/>
      <c r="FD193" s="910"/>
      <c r="FE193" s="910"/>
      <c r="FF193" s="910"/>
      <c r="FG193" s="910"/>
      <c r="FH193" s="910"/>
      <c r="FI193" s="910"/>
      <c r="FJ193" s="910"/>
      <c r="FK193" s="910"/>
      <c r="FL193" s="1020" t="str">
        <f>IF(AND(AQ192&lt;&gt;"",BT192&lt;&gt;""),IF(BT180&lt;&gt;"",AQ175&amp;" "&amp;LOWER(J177)&amp;" "&amp;IF($AF192&lt;0,BT192&amp;"/"&amp;BT192,"+"&amp;BT192&amp;"/+"&amp;BT192)&amp;" ("&amp;$BA192&amp;IF(Weapons!AS$82&lt;&gt;"20","/"&amp;Weapons!AS$82,"")&amp;IF(Weapons!AS$83&lt;&gt;2,"/×"&amp;Weapons!AS$83,"")&amp;") with Double Attack and "&amp;AQ192,""),"")</f>
        <v/>
      </c>
      <c r="FM193" s="1019" t="str">
        <f t="shared" si="4"/>
        <v/>
      </c>
    </row>
    <row r="194" spans="1:169" ht="9" customHeight="1" thickBot="1">
      <c r="A194" s="910"/>
      <c r="B194" s="910"/>
      <c r="C194" s="112"/>
      <c r="D194" s="2183"/>
      <c r="E194" s="2184"/>
      <c r="F194" s="2184"/>
      <c r="G194" s="91"/>
      <c r="H194" s="912"/>
      <c r="I194" s="912"/>
      <c r="J194" s="912"/>
      <c r="K194" s="912"/>
      <c r="L194" s="912"/>
      <c r="M194" s="912"/>
      <c r="N194" s="1876"/>
      <c r="O194" s="1876"/>
      <c r="P194" s="1876"/>
      <c r="Q194" s="1876"/>
      <c r="R194" s="1876"/>
      <c r="S194" s="1876"/>
      <c r="T194" s="1876"/>
      <c r="U194" s="1876"/>
      <c r="V194" s="1876"/>
      <c r="W194" s="1876"/>
      <c r="X194" s="1876"/>
      <c r="Y194" s="1876"/>
      <c r="Z194" s="1876"/>
      <c r="AA194" s="1876"/>
      <c r="AB194" s="1876"/>
      <c r="AC194" s="1876"/>
      <c r="AD194" s="1876"/>
      <c r="AE194" s="1876"/>
      <c r="AF194" s="1876"/>
      <c r="AG194" s="1864"/>
      <c r="AH194" s="1864"/>
      <c r="AI194" s="1864"/>
      <c r="AJ194" s="1864"/>
      <c r="AK194" s="1864"/>
      <c r="AL194" s="1864"/>
      <c r="AM194" s="93"/>
      <c r="AN194" s="910"/>
      <c r="AO194" s="910"/>
      <c r="AP194" s="649"/>
      <c r="AQ194" s="2204"/>
      <c r="AR194" s="2204"/>
      <c r="AS194" s="2204"/>
      <c r="AT194" s="2204"/>
      <c r="AU194" s="2204"/>
      <c r="AV194" s="2204"/>
      <c r="AW194" s="2204"/>
      <c r="AX194" s="2204"/>
      <c r="AY194" s="2204"/>
      <c r="AZ194" s="2204"/>
      <c r="BA194" s="2204"/>
      <c r="BB194" s="2204"/>
      <c r="BC194" s="2204"/>
      <c r="BD194" s="2204"/>
      <c r="BE194" s="2204"/>
      <c r="BF194" s="2204"/>
      <c r="BG194" s="2204"/>
      <c r="BH194" s="2204"/>
      <c r="BI194" s="2204"/>
      <c r="BJ194" s="2204"/>
      <c r="BK194" s="2204"/>
      <c r="BL194" s="93"/>
      <c r="BM194" s="910"/>
      <c r="BN194" s="910"/>
      <c r="BO194" s="649"/>
      <c r="BP194" s="2186"/>
      <c r="BQ194" s="2186"/>
      <c r="BR194" s="2186"/>
      <c r="BS194" s="2186"/>
      <c r="BT194" s="2202"/>
      <c r="BU194" s="2186"/>
      <c r="BV194" s="2186"/>
      <c r="BW194" s="2203"/>
      <c r="BX194" s="2186"/>
      <c r="BY194" s="2186"/>
      <c r="BZ194" s="2186"/>
      <c r="CA194" s="2186"/>
      <c r="CB194" s="93"/>
      <c r="CC194" s="910"/>
      <c r="CD194" s="910"/>
      <c r="CE194" s="91"/>
      <c r="CF194" s="713"/>
      <c r="CG194" s="713"/>
      <c r="CH194" s="713"/>
      <c r="CI194" s="713"/>
      <c r="CJ194" s="713"/>
      <c r="CK194" s="713"/>
      <c r="CL194" s="713"/>
      <c r="CM194" s="713"/>
      <c r="CN194" s="713"/>
      <c r="CO194" s="2218"/>
      <c r="CP194" s="2218"/>
      <c r="CQ194" s="2218"/>
      <c r="CR194" s="2218"/>
      <c r="CS194" s="2218"/>
      <c r="CT194" s="2218"/>
      <c r="CU194" s="2218"/>
      <c r="CV194" s="2218"/>
      <c r="CW194" s="2218"/>
      <c r="CX194" s="2218"/>
      <c r="CY194" s="2218"/>
      <c r="CZ194" s="2218"/>
      <c r="DA194" s="2218"/>
      <c r="DB194" s="2218"/>
      <c r="DC194" s="2218"/>
      <c r="DD194" s="2218"/>
      <c r="DE194" s="2218"/>
      <c r="DF194" s="2218"/>
      <c r="DG194" s="93"/>
      <c r="DI194" s="958"/>
      <c r="DJ194" s="958"/>
      <c r="DK194" s="112"/>
      <c r="DL194" s="118"/>
      <c r="DM194" s="910"/>
      <c r="DN194" s="910"/>
      <c r="DO194" s="910"/>
      <c r="DP194" s="910"/>
      <c r="DQ194" s="910"/>
      <c r="DR194" s="910"/>
      <c r="DS194" s="910"/>
      <c r="DT194" s="910"/>
      <c r="DU194" s="910"/>
      <c r="DV194" s="910"/>
      <c r="DW194" s="910"/>
      <c r="DX194" s="910"/>
      <c r="DY194" s="910"/>
      <c r="DZ194" s="910"/>
      <c r="EA194" s="910"/>
      <c r="EB194" s="910"/>
      <c r="EC194" s="910"/>
      <c r="ED194" s="910"/>
      <c r="EE194" s="910"/>
      <c r="EF194" s="910"/>
      <c r="EG194" s="910"/>
      <c r="EH194" s="910"/>
      <c r="EI194" s="910"/>
      <c r="EJ194" s="910"/>
      <c r="EK194" s="910"/>
      <c r="EL194" s="910"/>
      <c r="EM194" s="910"/>
      <c r="EN194" s="910"/>
      <c r="EO194" s="910"/>
      <c r="EP194" s="910"/>
      <c r="EQ194" s="910"/>
      <c r="ER194" s="910"/>
      <c r="ES194" s="910"/>
      <c r="ET194" s="910"/>
      <c r="EU194" s="910"/>
      <c r="EV194" s="910"/>
      <c r="EW194" s="910"/>
      <c r="EX194" s="910"/>
      <c r="EY194" s="910"/>
      <c r="EZ194" s="910"/>
      <c r="FA194" s="910"/>
      <c r="FB194" s="910"/>
      <c r="FC194" s="910"/>
      <c r="FD194" s="910"/>
      <c r="FE194" s="910"/>
      <c r="FF194" s="910"/>
      <c r="FG194" s="910"/>
      <c r="FH194" s="910"/>
      <c r="FI194" s="910"/>
      <c r="FJ194" s="910"/>
      <c r="FK194" s="910"/>
      <c r="FL194" s="1020" t="str">
        <f>IF(AND(AQ192&lt;&gt;"",BX192&lt;&gt;""),IF(BX180&lt;&gt;"",AQ175&amp;" "&amp;LOWER(J177)&amp;" "&amp;IF($AJ192&lt;0,$AJ192&amp;"/"&amp;$AJ192&amp;"/"&amp;$AJ192,"+"&amp;$AJ192&amp;"/+"&amp;$AJ192&amp;"/+"&amp;$AJ192)&amp;" ("&amp;$BA192&amp;IF(Weapons!AS$82&lt;&gt;"20","/"&amp;Weapons!AS$82,"")&amp;IF(Weapons!AS$83&lt;&gt;2,"/×"&amp;Weapons!AS$83,"")&amp;") with Triple Attack and "&amp;AQ192,""),"")</f>
        <v/>
      </c>
      <c r="FM194" s="1019" t="str">
        <f t="shared" si="4"/>
        <v/>
      </c>
    </row>
    <row r="195" spans="1:169" ht="9" customHeight="1" thickTop="1" thickBot="1">
      <c r="A195" s="910"/>
      <c r="B195" s="910"/>
      <c r="C195" s="112"/>
      <c r="D195" s="2183"/>
      <c r="E195" s="2184"/>
      <c r="F195" s="2184"/>
      <c r="G195" s="910"/>
      <c r="H195" s="910"/>
      <c r="I195" s="910"/>
      <c r="J195" s="910"/>
      <c r="K195" s="910"/>
      <c r="L195" s="910"/>
      <c r="M195" s="910"/>
      <c r="N195" s="910"/>
      <c r="O195" s="910"/>
      <c r="P195" s="910"/>
      <c r="Q195" s="910"/>
      <c r="R195" s="910"/>
      <c r="S195" s="910"/>
      <c r="T195" s="910"/>
      <c r="U195" s="910"/>
      <c r="V195" s="910"/>
      <c r="W195" s="910"/>
      <c r="X195" s="910"/>
      <c r="Y195" s="910"/>
      <c r="Z195" s="910"/>
      <c r="AA195" s="910"/>
      <c r="AB195" s="910"/>
      <c r="AC195" s="910"/>
      <c r="AD195" s="910"/>
      <c r="AE195" s="910"/>
      <c r="AF195" s="910"/>
      <c r="AG195" s="910"/>
      <c r="AH195" s="910"/>
      <c r="AI195" s="910"/>
      <c r="AJ195" s="442"/>
      <c r="AK195" s="442"/>
      <c r="AL195" s="442"/>
      <c r="AM195" s="442"/>
      <c r="AN195" s="910"/>
      <c r="AO195" s="910"/>
      <c r="AP195" s="910"/>
      <c r="AQ195" s="910"/>
      <c r="AR195" s="910"/>
      <c r="AS195" s="910"/>
      <c r="AT195" s="910"/>
      <c r="AU195" s="910"/>
      <c r="AV195" s="910"/>
      <c r="AW195" s="910"/>
      <c r="AX195" s="910"/>
      <c r="AY195" s="910"/>
      <c r="AZ195" s="910"/>
      <c r="BA195" s="910"/>
      <c r="BB195" s="910"/>
      <c r="BC195" s="910"/>
      <c r="BD195" s="910"/>
      <c r="BE195" s="910"/>
      <c r="BF195" s="910"/>
      <c r="BG195" s="910"/>
      <c r="BH195" s="910"/>
      <c r="BI195" s="910"/>
      <c r="BJ195" s="910"/>
      <c r="BK195" s="910"/>
      <c r="BL195" s="910"/>
      <c r="BM195" s="910"/>
      <c r="BN195" s="910"/>
      <c r="BO195" s="910"/>
      <c r="BP195" s="910"/>
      <c r="BQ195" s="910"/>
      <c r="BR195" s="910"/>
      <c r="BS195" s="910"/>
      <c r="BT195" s="910"/>
      <c r="BU195" s="910"/>
      <c r="BV195" s="910"/>
      <c r="BW195" s="910"/>
      <c r="BX195" s="910"/>
      <c r="BY195" s="910"/>
      <c r="BZ195" s="910"/>
      <c r="CA195" s="910"/>
      <c r="CB195" s="910"/>
      <c r="CC195" s="910"/>
      <c r="CD195" s="910"/>
      <c r="CE195" s="910"/>
      <c r="CF195" s="910"/>
      <c r="CG195" s="910"/>
      <c r="CH195" s="910"/>
      <c r="CI195" s="910"/>
      <c r="CJ195" s="910"/>
      <c r="CK195" s="910"/>
      <c r="CL195" s="910"/>
      <c r="CM195" s="910"/>
      <c r="CN195" s="910"/>
      <c r="CO195" s="910"/>
      <c r="CP195" s="910"/>
      <c r="CQ195" s="910"/>
      <c r="CR195" s="910"/>
      <c r="CS195" s="910"/>
      <c r="CT195" s="910"/>
      <c r="CU195" s="910"/>
      <c r="CV195" s="910"/>
      <c r="CW195" s="910"/>
      <c r="CX195" s="910"/>
      <c r="CY195" s="910"/>
      <c r="CZ195" s="910"/>
      <c r="DA195" s="910"/>
      <c r="DB195" s="910"/>
      <c r="DC195" s="910"/>
      <c r="DD195" s="910"/>
      <c r="DE195" s="910"/>
      <c r="DF195" s="910"/>
      <c r="DG195" s="910"/>
      <c r="DI195" s="958"/>
      <c r="DJ195" s="958"/>
      <c r="DK195" s="112"/>
      <c r="DL195" s="118"/>
      <c r="DM195" s="910"/>
      <c r="DN195" s="910"/>
      <c r="DO195" s="910"/>
      <c r="DP195" s="910"/>
      <c r="DQ195" s="910"/>
      <c r="DR195" s="910"/>
      <c r="DS195" s="910"/>
      <c r="DT195" s="910"/>
      <c r="DU195" s="910"/>
      <c r="DV195" s="910"/>
      <c r="DW195" s="910"/>
      <c r="DX195" s="910"/>
      <c r="DY195" s="910"/>
      <c r="DZ195" s="910"/>
      <c r="EA195" s="910"/>
      <c r="EB195" s="910"/>
      <c r="EC195" s="910"/>
      <c r="ED195" s="910"/>
      <c r="EE195" s="910"/>
      <c r="EF195" s="910"/>
      <c r="EG195" s="910"/>
      <c r="EH195" s="910"/>
      <c r="EI195" s="910"/>
      <c r="EJ195" s="910"/>
      <c r="EK195" s="910"/>
      <c r="EL195" s="910"/>
      <c r="EM195" s="910"/>
      <c r="EN195" s="910"/>
      <c r="EO195" s="910"/>
      <c r="EP195" s="910"/>
      <c r="EQ195" s="910"/>
      <c r="ER195" s="910"/>
      <c r="ES195" s="910"/>
      <c r="ET195" s="910"/>
      <c r="EU195" s="910"/>
      <c r="EV195" s="910"/>
      <c r="EW195" s="910"/>
      <c r="EX195" s="910"/>
      <c r="EY195" s="910"/>
      <c r="EZ195" s="910"/>
      <c r="FA195" s="910"/>
      <c r="FB195" s="910"/>
      <c r="FC195" s="910"/>
      <c r="FD195" s="910"/>
      <c r="FE195" s="910"/>
      <c r="FF195" s="910"/>
      <c r="FG195" s="910"/>
      <c r="FH195" s="910"/>
      <c r="FI195" s="910"/>
      <c r="FJ195" s="910"/>
      <c r="FK195" s="910"/>
      <c r="FL195" s="1019" t="str">
        <f>IF(Weapons!BC$16="Dual Wield",IF(Weapons!O$16="Dual Wield",IF(AND(FL177&lt;&gt;"",FL219&lt;&gt;""),FL177&amp;" and "&amp;RIGHT(FL219,IF(Weapons!BC$12="Melee",LEN(FL219)-6,LEN(FL219)-7)),""),""),"")</f>
        <v/>
      </c>
      <c r="FM195" s="1019" t="str">
        <f t="shared" si="4"/>
        <v/>
      </c>
    </row>
    <row r="196" spans="1:169" ht="9" customHeight="1" thickTop="1">
      <c r="A196" s="910"/>
      <c r="B196" s="910"/>
      <c r="C196" s="87"/>
      <c r="D196" s="256"/>
      <c r="E196" s="118"/>
      <c r="F196" s="910"/>
      <c r="G196" s="910"/>
      <c r="H196" s="910"/>
      <c r="I196" s="93"/>
      <c r="J196" s="2182" t="s">
        <v>3614</v>
      </c>
      <c r="K196" s="2182"/>
      <c r="L196" s="2182"/>
      <c r="M196" s="2182"/>
      <c r="N196" s="2182"/>
      <c r="O196" s="2182"/>
      <c r="P196" s="295"/>
      <c r="Q196" s="296"/>
      <c r="R196" s="296"/>
      <c r="S196" s="296"/>
      <c r="T196" s="296"/>
      <c r="U196" s="296"/>
      <c r="V196" s="296"/>
      <c r="W196" s="296"/>
      <c r="X196" s="296"/>
      <c r="Y196" s="296"/>
      <c r="Z196" s="296"/>
      <c r="AA196" s="296"/>
      <c r="AB196" s="296"/>
      <c r="AC196" s="296"/>
      <c r="AD196" s="296"/>
      <c r="AE196" s="296"/>
      <c r="AF196" s="296"/>
      <c r="AG196" s="296"/>
      <c r="AH196" s="296"/>
      <c r="AI196" s="296"/>
      <c r="AJ196" s="296"/>
      <c r="AK196" s="296"/>
      <c r="AL196" s="296"/>
      <c r="AM196" s="296"/>
      <c r="AN196" s="296"/>
      <c r="AO196" s="296"/>
      <c r="AP196" s="296"/>
      <c r="AQ196" s="296"/>
      <c r="AR196" s="296"/>
      <c r="AS196" s="296"/>
      <c r="AT196" s="296"/>
      <c r="AU196" s="296"/>
      <c r="AV196" s="296"/>
      <c r="AW196" s="296"/>
      <c r="AX196" s="296"/>
      <c r="AY196" s="296"/>
      <c r="AZ196" s="296"/>
      <c r="BA196" s="296"/>
      <c r="BB196" s="296"/>
      <c r="BC196" s="296"/>
      <c r="BD196" s="296"/>
      <c r="BE196" s="296"/>
      <c r="BF196" s="296"/>
      <c r="BG196" s="296"/>
      <c r="BH196" s="296"/>
      <c r="BI196" s="296"/>
      <c r="BJ196" s="296"/>
      <c r="BK196" s="296"/>
      <c r="BL196" s="296"/>
      <c r="BM196" s="296"/>
      <c r="BN196" s="296"/>
      <c r="BO196" s="296"/>
      <c r="BP196" s="296"/>
      <c r="BQ196" s="296"/>
      <c r="BR196" s="296"/>
      <c r="BS196" s="296"/>
      <c r="BT196" s="296"/>
      <c r="BU196" s="296"/>
      <c r="BV196" s="296"/>
      <c r="BW196" s="296"/>
      <c r="BX196" s="296"/>
      <c r="BY196" s="296"/>
      <c r="BZ196" s="296"/>
      <c r="CA196" s="296"/>
      <c r="CB196" s="296"/>
      <c r="CC196" s="296"/>
      <c r="CD196" s="296"/>
      <c r="CE196" s="296"/>
      <c r="CF196" s="296"/>
      <c r="CG196" s="296"/>
      <c r="CH196" s="296"/>
      <c r="CI196" s="296"/>
      <c r="CJ196" s="296"/>
      <c r="CK196" s="296"/>
      <c r="CL196" s="296"/>
      <c r="CM196" s="296"/>
      <c r="CN196" s="296"/>
      <c r="CO196" s="296"/>
      <c r="CP196" s="296"/>
      <c r="CQ196" s="296"/>
      <c r="CR196" s="296"/>
      <c r="CS196" s="296"/>
      <c r="CT196" s="296"/>
      <c r="CU196" s="296"/>
      <c r="CV196" s="296"/>
      <c r="CW196" s="296"/>
      <c r="CX196" s="296"/>
      <c r="CY196" s="296"/>
      <c r="CZ196" s="296"/>
      <c r="DA196" s="296"/>
      <c r="DB196" s="296"/>
      <c r="DC196" s="296"/>
      <c r="DD196" s="296"/>
      <c r="DE196" s="296"/>
      <c r="DF196" s="296"/>
      <c r="DG196" s="297"/>
      <c r="DI196" s="958"/>
      <c r="DJ196" s="87"/>
      <c r="DK196" s="292"/>
      <c r="DL196" s="118"/>
      <c r="DM196" s="910"/>
      <c r="DN196" s="910"/>
      <c r="DO196" s="910"/>
      <c r="DP196" s="910"/>
      <c r="DQ196" s="910"/>
      <c r="DR196" s="910"/>
      <c r="DS196" s="910"/>
      <c r="DT196" s="910"/>
      <c r="DU196" s="910"/>
      <c r="DV196" s="910"/>
      <c r="DW196" s="910"/>
      <c r="DX196" s="910"/>
      <c r="DY196" s="910"/>
      <c r="DZ196" s="910"/>
      <c r="EA196" s="910"/>
      <c r="EB196" s="910"/>
      <c r="EC196" s="910"/>
      <c r="ED196" s="910"/>
      <c r="EE196" s="910"/>
      <c r="EF196" s="910"/>
      <c r="EG196" s="910"/>
      <c r="EH196" s="910"/>
      <c r="EI196" s="910"/>
      <c r="EJ196" s="910"/>
      <c r="EK196" s="910"/>
      <c r="EL196" s="910"/>
      <c r="EM196" s="910"/>
      <c r="EN196" s="910"/>
      <c r="EO196" s="910"/>
      <c r="EP196" s="910"/>
      <c r="EQ196" s="910"/>
      <c r="ER196" s="910"/>
      <c r="ES196" s="910"/>
      <c r="ET196" s="910"/>
      <c r="EU196" s="910"/>
      <c r="EV196" s="910"/>
      <c r="EW196" s="910"/>
      <c r="EX196" s="910"/>
      <c r="EY196" s="910"/>
      <c r="EZ196" s="910"/>
      <c r="FA196" s="910"/>
      <c r="FB196" s="910"/>
      <c r="FC196" s="910"/>
      <c r="FD196" s="910"/>
      <c r="FE196" s="910"/>
      <c r="FF196" s="910"/>
      <c r="FG196" s="910"/>
      <c r="FH196" s="910"/>
      <c r="FI196" s="910"/>
      <c r="FJ196" s="910"/>
      <c r="FK196" s="910"/>
      <c r="FL196" s="1019" t="str">
        <f>IF(Weapons!BC$16="Dual Wield",IF(Weapons!O$16="Dual Wield",IF(AND(FL178&lt;&gt;"",FL220&lt;&gt;""),FL178&amp;" and "&amp;RIGHT(FL220,IF(Weapons!BC$12="Melee",LEN(FL220)-6,LEN(FL220)-7)),""),""),"")</f>
        <v/>
      </c>
      <c r="FM196" s="1019" t="str">
        <f t="shared" si="4"/>
        <v/>
      </c>
    </row>
    <row r="197" spans="1:169" ht="9" customHeight="1" thickBot="1">
      <c r="A197" s="910"/>
      <c r="B197" s="910"/>
      <c r="C197" s="87"/>
      <c r="D197" s="118"/>
      <c r="E197" s="256"/>
      <c r="F197" s="111"/>
      <c r="G197" s="122"/>
      <c r="H197" s="290"/>
      <c r="I197" s="102"/>
      <c r="J197" s="2180"/>
      <c r="K197" s="2180"/>
      <c r="L197" s="2180"/>
      <c r="M197" s="2180"/>
      <c r="N197" s="2180"/>
      <c r="O197" s="2180"/>
      <c r="P197" s="913"/>
      <c r="Q197" s="1922" t="str">
        <f>Weapons!AS$28</f>
        <v/>
      </c>
      <c r="R197" s="1922"/>
      <c r="S197" s="1922"/>
      <c r="T197" s="1922"/>
      <c r="U197" s="1922"/>
      <c r="V197" s="1922"/>
      <c r="W197" s="1922"/>
      <c r="X197" s="1922"/>
      <c r="Y197" s="1922"/>
      <c r="Z197" s="1922"/>
      <c r="AA197" s="1922"/>
      <c r="AB197" s="1922"/>
      <c r="AC197" s="1922"/>
      <c r="AD197" s="1922"/>
      <c r="AE197" s="1922"/>
      <c r="AF197" s="1922"/>
      <c r="AG197" s="1922"/>
      <c r="AH197" s="1922"/>
      <c r="AI197" s="1922"/>
      <c r="AJ197" s="1922"/>
      <c r="AK197" s="1922"/>
      <c r="AL197" s="1922"/>
      <c r="AM197" s="1922"/>
      <c r="AN197" s="1922"/>
      <c r="AO197" s="1922"/>
      <c r="AP197" s="1922"/>
      <c r="AQ197" s="1922"/>
      <c r="AR197" s="1922"/>
      <c r="AS197" s="1922"/>
      <c r="AT197" s="1922"/>
      <c r="AU197" s="1922"/>
      <c r="AV197" s="1922"/>
      <c r="AW197" s="1922"/>
      <c r="AX197" s="1922"/>
      <c r="AY197" s="1922"/>
      <c r="AZ197" s="1922"/>
      <c r="BA197" s="1922"/>
      <c r="BB197" s="1922"/>
      <c r="BC197" s="1922"/>
      <c r="BD197" s="1922"/>
      <c r="BE197" s="1922"/>
      <c r="BF197" s="1922"/>
      <c r="BG197" s="1922"/>
      <c r="BH197" s="1922"/>
      <c r="BI197" s="1922"/>
      <c r="BJ197" s="1922"/>
      <c r="BK197" s="1922"/>
      <c r="BL197" s="1922"/>
      <c r="BM197" s="1922"/>
      <c r="BN197" s="1922"/>
      <c r="BO197" s="1922"/>
      <c r="BP197" s="1922"/>
      <c r="BQ197" s="1922"/>
      <c r="BR197" s="1922"/>
      <c r="BS197" s="1922"/>
      <c r="BT197" s="1922"/>
      <c r="BU197" s="1922"/>
      <c r="BV197" s="1922"/>
      <c r="BW197" s="1922"/>
      <c r="BX197" s="1922"/>
      <c r="BY197" s="1922"/>
      <c r="BZ197" s="1922"/>
      <c r="CA197" s="1922"/>
      <c r="CB197" s="1922"/>
      <c r="CC197" s="1922"/>
      <c r="CD197" s="1922"/>
      <c r="CE197" s="1922"/>
      <c r="CF197" s="1922"/>
      <c r="CG197" s="1922"/>
      <c r="CH197" s="1922"/>
      <c r="CI197" s="1922"/>
      <c r="CJ197" s="1922"/>
      <c r="CK197" s="1922"/>
      <c r="CL197" s="1922"/>
      <c r="CM197" s="1922"/>
      <c r="CN197" s="1922"/>
      <c r="CO197" s="1922"/>
      <c r="CP197" s="1922"/>
      <c r="CQ197" s="1922"/>
      <c r="CR197" s="1922"/>
      <c r="CS197" s="1922"/>
      <c r="CT197" s="1922"/>
      <c r="CU197" s="1922"/>
      <c r="CV197" s="1922"/>
      <c r="CW197" s="1922"/>
      <c r="CX197" s="1922"/>
      <c r="CY197" s="1922"/>
      <c r="CZ197" s="1922"/>
      <c r="DA197" s="1922"/>
      <c r="DB197" s="1922"/>
      <c r="DC197" s="1922"/>
      <c r="DD197" s="1922"/>
      <c r="DE197" s="1922"/>
      <c r="DF197" s="1922"/>
      <c r="DG197" s="300"/>
      <c r="DH197" s="971"/>
      <c r="DI197" s="122"/>
      <c r="DJ197" s="144"/>
      <c r="DK197" s="111"/>
      <c r="DL197" s="910"/>
      <c r="DM197" s="910"/>
      <c r="DN197" s="910"/>
      <c r="DO197" s="910"/>
      <c r="DP197" s="910"/>
      <c r="DQ197" s="910"/>
      <c r="DR197" s="910"/>
      <c r="DS197" s="910"/>
      <c r="DT197" s="910"/>
      <c r="DU197" s="910"/>
      <c r="DV197" s="910"/>
      <c r="DW197" s="910"/>
      <c r="DX197" s="910"/>
      <c r="DY197" s="910"/>
      <c r="DZ197" s="910"/>
      <c r="EA197" s="910"/>
      <c r="EB197" s="910"/>
      <c r="EC197" s="910"/>
      <c r="ED197" s="910"/>
      <c r="EE197" s="910"/>
      <c r="EF197" s="910"/>
      <c r="EG197" s="910"/>
      <c r="EH197" s="910"/>
      <c r="EI197" s="910"/>
      <c r="EJ197" s="910"/>
      <c r="EK197" s="910"/>
      <c r="EL197" s="910"/>
      <c r="EM197" s="910"/>
      <c r="EN197" s="910"/>
      <c r="EO197" s="910"/>
      <c r="EP197" s="910"/>
      <c r="EQ197" s="910"/>
      <c r="ER197" s="910"/>
      <c r="ES197" s="910"/>
      <c r="ET197" s="910"/>
      <c r="EU197" s="910"/>
      <c r="EV197" s="910"/>
      <c r="EW197" s="910"/>
      <c r="EX197" s="910"/>
      <c r="EY197" s="910"/>
      <c r="EZ197" s="910"/>
      <c r="FA197" s="910"/>
      <c r="FB197" s="910"/>
      <c r="FC197" s="910"/>
      <c r="FD197" s="910"/>
      <c r="FE197" s="910"/>
      <c r="FF197" s="910"/>
      <c r="FG197" s="910"/>
      <c r="FH197" s="910"/>
      <c r="FI197" s="910"/>
      <c r="FJ197" s="910"/>
      <c r="FK197" s="910"/>
      <c r="FL197" s="1019" t="str">
        <f>IF(Weapons!BC$16="Dual Wield",IF(Weapons!O$16="Dual Wield",IF(AND(FL179&lt;&gt;"",FL221&lt;&gt;""),FL179&amp;" and "&amp;RIGHT(FL221,IF(Weapons!BC$12="Melee",LEN(FL221)-6,LEN(FL221)-7)),""),""),"")</f>
        <v/>
      </c>
      <c r="FM197" s="1019" t="str">
        <f t="shared" si="4"/>
        <v/>
      </c>
    </row>
    <row r="198" spans="1:169" ht="9" customHeight="1" thickTop="1">
      <c r="A198" s="910"/>
      <c r="B198" s="910"/>
      <c r="C198" s="87"/>
      <c r="D198" s="118"/>
      <c r="E198" s="118"/>
      <c r="F198" s="293"/>
      <c r="G198" s="111"/>
      <c r="H198" s="111"/>
      <c r="I198" s="102"/>
      <c r="J198" s="105"/>
      <c r="K198" s="105"/>
      <c r="L198" s="105"/>
      <c r="M198" s="105"/>
      <c r="N198" s="596"/>
      <c r="O198" s="596"/>
      <c r="P198" s="596"/>
      <c r="Q198" s="1922"/>
      <c r="R198" s="1922"/>
      <c r="S198" s="1922"/>
      <c r="T198" s="1922"/>
      <c r="U198" s="1922"/>
      <c r="V198" s="1922"/>
      <c r="W198" s="1922"/>
      <c r="X198" s="1922"/>
      <c r="Y198" s="1922"/>
      <c r="Z198" s="1922"/>
      <c r="AA198" s="1922"/>
      <c r="AB198" s="1922"/>
      <c r="AC198" s="1922"/>
      <c r="AD198" s="1922"/>
      <c r="AE198" s="1922"/>
      <c r="AF198" s="1922"/>
      <c r="AG198" s="1922"/>
      <c r="AH198" s="1922"/>
      <c r="AI198" s="1922"/>
      <c r="AJ198" s="1922"/>
      <c r="AK198" s="1922"/>
      <c r="AL198" s="1922"/>
      <c r="AM198" s="1922"/>
      <c r="AN198" s="1922"/>
      <c r="AO198" s="1922"/>
      <c r="AP198" s="1922"/>
      <c r="AQ198" s="1922"/>
      <c r="AR198" s="1922"/>
      <c r="AS198" s="1922"/>
      <c r="AT198" s="1922"/>
      <c r="AU198" s="1922"/>
      <c r="AV198" s="1922"/>
      <c r="AW198" s="1922"/>
      <c r="AX198" s="1922"/>
      <c r="AY198" s="1922"/>
      <c r="AZ198" s="1922"/>
      <c r="BA198" s="1922"/>
      <c r="BB198" s="1922"/>
      <c r="BC198" s="1922"/>
      <c r="BD198" s="1922"/>
      <c r="BE198" s="1922"/>
      <c r="BF198" s="1922"/>
      <c r="BG198" s="1922"/>
      <c r="BH198" s="1922"/>
      <c r="BI198" s="1922"/>
      <c r="BJ198" s="1922"/>
      <c r="BK198" s="1922"/>
      <c r="BL198" s="1922"/>
      <c r="BM198" s="1922"/>
      <c r="BN198" s="1922"/>
      <c r="BO198" s="1922"/>
      <c r="BP198" s="1922"/>
      <c r="BQ198" s="1922"/>
      <c r="BR198" s="1922"/>
      <c r="BS198" s="1922"/>
      <c r="BT198" s="1922"/>
      <c r="BU198" s="1922"/>
      <c r="BV198" s="1922"/>
      <c r="BW198" s="1922"/>
      <c r="BX198" s="1922"/>
      <c r="BY198" s="1922"/>
      <c r="BZ198" s="1922"/>
      <c r="CA198" s="1922"/>
      <c r="CB198" s="1922"/>
      <c r="CC198" s="1922"/>
      <c r="CD198" s="1922"/>
      <c r="CE198" s="1922"/>
      <c r="CF198" s="1922"/>
      <c r="CG198" s="1922"/>
      <c r="CH198" s="1922"/>
      <c r="CI198" s="1922"/>
      <c r="CJ198" s="1922"/>
      <c r="CK198" s="1922"/>
      <c r="CL198" s="1922"/>
      <c r="CM198" s="1922"/>
      <c r="CN198" s="1922"/>
      <c r="CO198" s="1922"/>
      <c r="CP198" s="1922"/>
      <c r="CQ198" s="1922"/>
      <c r="CR198" s="1922"/>
      <c r="CS198" s="1922"/>
      <c r="CT198" s="1922"/>
      <c r="CU198" s="1922"/>
      <c r="CV198" s="1922"/>
      <c r="CW198" s="1922"/>
      <c r="CX198" s="1922"/>
      <c r="CY198" s="1922"/>
      <c r="CZ198" s="1922"/>
      <c r="DA198" s="1922"/>
      <c r="DB198" s="1922"/>
      <c r="DC198" s="1922"/>
      <c r="DD198" s="1922"/>
      <c r="DE198" s="1922"/>
      <c r="DF198" s="1922"/>
      <c r="DG198" s="103"/>
      <c r="DH198" s="970"/>
      <c r="DI198" s="111"/>
      <c r="DJ198" s="958"/>
      <c r="DK198" s="958"/>
      <c r="DL198" s="910"/>
      <c r="DM198" s="910"/>
      <c r="DN198" s="910"/>
      <c r="DO198" s="910"/>
      <c r="DP198" s="910"/>
      <c r="DQ198" s="910"/>
      <c r="DR198" s="910"/>
      <c r="DS198" s="910"/>
      <c r="DT198" s="910"/>
      <c r="DU198" s="910"/>
      <c r="DV198" s="910"/>
      <c r="DW198" s="910"/>
      <c r="DX198" s="910"/>
      <c r="DY198" s="910"/>
      <c r="DZ198" s="910"/>
      <c r="EA198" s="910"/>
      <c r="EB198" s="910"/>
      <c r="EC198" s="910"/>
      <c r="ED198" s="910"/>
      <c r="EE198" s="910"/>
      <c r="EF198" s="910"/>
      <c r="EG198" s="910"/>
      <c r="EH198" s="910"/>
      <c r="EI198" s="910"/>
      <c r="EJ198" s="910"/>
      <c r="EK198" s="910"/>
      <c r="EL198" s="910"/>
      <c r="EM198" s="910"/>
      <c r="EN198" s="910"/>
      <c r="EO198" s="910"/>
      <c r="EP198" s="910"/>
      <c r="EQ198" s="910"/>
      <c r="ER198" s="910"/>
      <c r="ES198" s="910"/>
      <c r="ET198" s="910"/>
      <c r="EU198" s="910"/>
      <c r="EV198" s="910"/>
      <c r="EW198" s="910"/>
      <c r="EX198" s="910"/>
      <c r="EY198" s="910"/>
      <c r="EZ198" s="910"/>
      <c r="FA198" s="910"/>
      <c r="FB198" s="910"/>
      <c r="FC198" s="910"/>
      <c r="FD198" s="910"/>
      <c r="FE198" s="910"/>
      <c r="FF198" s="910"/>
      <c r="FG198" s="910"/>
      <c r="FH198" s="910"/>
      <c r="FI198" s="910"/>
      <c r="FJ198" s="910"/>
      <c r="FK198" s="910"/>
      <c r="FL198" s="1019" t="str">
        <f>IF(Weapons!BC$16="Dual Wield",IF(Weapons!O$16="Dual Wield",IF(AND(FL180&lt;&gt;"",FL222&lt;&gt;""),FL180&amp;" and "&amp;RIGHT(FL222,IF(Weapons!BC$12="Melee",LEN(FL222)-6,LEN(FL222)-7)),""),""),"")</f>
        <v/>
      </c>
      <c r="FM198" s="1019" t="str">
        <f t="shared" si="4"/>
        <v/>
      </c>
    </row>
    <row r="199" spans="1:169" ht="9" customHeight="1" thickBot="1">
      <c r="A199" s="910"/>
      <c r="B199" s="910"/>
      <c r="C199" s="910"/>
      <c r="D199" s="910"/>
      <c r="E199" s="910"/>
      <c r="F199" s="910"/>
      <c r="G199" s="910"/>
      <c r="H199" s="910"/>
      <c r="I199" s="91"/>
      <c r="J199" s="108"/>
      <c r="K199" s="108"/>
      <c r="L199" s="108"/>
      <c r="M199" s="108"/>
      <c r="N199" s="654"/>
      <c r="O199" s="654"/>
      <c r="P199" s="654"/>
      <c r="Q199" s="1923"/>
      <c r="R199" s="1923"/>
      <c r="S199" s="1923"/>
      <c r="T199" s="1923"/>
      <c r="U199" s="1923"/>
      <c r="V199" s="1923"/>
      <c r="W199" s="1923"/>
      <c r="X199" s="1923"/>
      <c r="Y199" s="1923"/>
      <c r="Z199" s="1923"/>
      <c r="AA199" s="1923"/>
      <c r="AB199" s="1923"/>
      <c r="AC199" s="1923"/>
      <c r="AD199" s="1923"/>
      <c r="AE199" s="1923"/>
      <c r="AF199" s="1923"/>
      <c r="AG199" s="1923"/>
      <c r="AH199" s="1923"/>
      <c r="AI199" s="1923"/>
      <c r="AJ199" s="1923"/>
      <c r="AK199" s="1923"/>
      <c r="AL199" s="1923"/>
      <c r="AM199" s="1923"/>
      <c r="AN199" s="1923"/>
      <c r="AO199" s="1923"/>
      <c r="AP199" s="1923"/>
      <c r="AQ199" s="1923"/>
      <c r="AR199" s="1923"/>
      <c r="AS199" s="1923"/>
      <c r="AT199" s="1923"/>
      <c r="AU199" s="1923"/>
      <c r="AV199" s="1923"/>
      <c r="AW199" s="1923"/>
      <c r="AX199" s="1923"/>
      <c r="AY199" s="1923"/>
      <c r="AZ199" s="1923"/>
      <c r="BA199" s="1923"/>
      <c r="BB199" s="1923"/>
      <c r="BC199" s="1923"/>
      <c r="BD199" s="1923"/>
      <c r="BE199" s="1923"/>
      <c r="BF199" s="1923"/>
      <c r="BG199" s="1923"/>
      <c r="BH199" s="1923"/>
      <c r="BI199" s="1923"/>
      <c r="BJ199" s="1923"/>
      <c r="BK199" s="1923"/>
      <c r="BL199" s="1923"/>
      <c r="BM199" s="1923"/>
      <c r="BN199" s="1923"/>
      <c r="BO199" s="1923"/>
      <c r="BP199" s="1923"/>
      <c r="BQ199" s="1923"/>
      <c r="BR199" s="1923"/>
      <c r="BS199" s="1923"/>
      <c r="BT199" s="1923"/>
      <c r="BU199" s="1923"/>
      <c r="BV199" s="1923"/>
      <c r="BW199" s="1923"/>
      <c r="BX199" s="1923"/>
      <c r="BY199" s="1923"/>
      <c r="BZ199" s="1923"/>
      <c r="CA199" s="1923"/>
      <c r="CB199" s="1923"/>
      <c r="CC199" s="1923"/>
      <c r="CD199" s="1923"/>
      <c r="CE199" s="1923"/>
      <c r="CF199" s="1923"/>
      <c r="CG199" s="1923"/>
      <c r="CH199" s="1923"/>
      <c r="CI199" s="1923"/>
      <c r="CJ199" s="1923"/>
      <c r="CK199" s="1923"/>
      <c r="CL199" s="1923"/>
      <c r="CM199" s="1923"/>
      <c r="CN199" s="1923"/>
      <c r="CO199" s="1923"/>
      <c r="CP199" s="1923"/>
      <c r="CQ199" s="1923"/>
      <c r="CR199" s="1923"/>
      <c r="CS199" s="1923"/>
      <c r="CT199" s="1923"/>
      <c r="CU199" s="1923"/>
      <c r="CV199" s="1923"/>
      <c r="CW199" s="1923"/>
      <c r="CX199" s="1923"/>
      <c r="CY199" s="1923"/>
      <c r="CZ199" s="1923"/>
      <c r="DA199" s="1923"/>
      <c r="DB199" s="1923"/>
      <c r="DC199" s="1923"/>
      <c r="DD199" s="1923"/>
      <c r="DE199" s="1923"/>
      <c r="DF199" s="1923"/>
      <c r="DG199" s="90"/>
      <c r="DI199" s="958"/>
      <c r="DJ199" s="958"/>
      <c r="DK199" s="958"/>
      <c r="DL199" s="910"/>
      <c r="DM199" s="910"/>
      <c r="DN199" s="910"/>
      <c r="DO199" s="910"/>
      <c r="DP199" s="910"/>
      <c r="DQ199" s="910"/>
      <c r="DR199" s="910"/>
      <c r="DS199" s="910"/>
      <c r="DT199" s="910"/>
      <c r="DU199" s="910"/>
      <c r="DV199" s="910"/>
      <c r="DW199" s="910"/>
      <c r="DX199" s="910"/>
      <c r="DY199" s="910"/>
      <c r="DZ199" s="910"/>
      <c r="EA199" s="910"/>
      <c r="EB199" s="910"/>
      <c r="EC199" s="910"/>
      <c r="ED199" s="910"/>
      <c r="EE199" s="910"/>
      <c r="EF199" s="910"/>
      <c r="EG199" s="910"/>
      <c r="EH199" s="910"/>
      <c r="EI199" s="910"/>
      <c r="EJ199" s="910"/>
      <c r="EK199" s="910"/>
      <c r="EL199" s="910"/>
      <c r="EM199" s="910"/>
      <c r="EN199" s="910"/>
      <c r="EO199" s="910"/>
      <c r="EP199" s="910"/>
      <c r="EQ199" s="910"/>
      <c r="ER199" s="910"/>
      <c r="ES199" s="910"/>
      <c r="ET199" s="910"/>
      <c r="EU199" s="910"/>
      <c r="EV199" s="910"/>
      <c r="EW199" s="910"/>
      <c r="EX199" s="910"/>
      <c r="EY199" s="910"/>
      <c r="EZ199" s="910"/>
      <c r="FA199" s="910"/>
      <c r="FB199" s="910"/>
      <c r="FC199" s="910"/>
      <c r="FD199" s="910"/>
      <c r="FE199" s="910"/>
      <c r="FF199" s="910"/>
      <c r="FG199" s="910"/>
      <c r="FH199" s="910"/>
      <c r="FI199" s="910"/>
      <c r="FJ199" s="910"/>
      <c r="FK199" s="910"/>
      <c r="FL199" s="1019" t="str">
        <f>IF(Weapons!BC$16="Dual Wield",IF(Weapons!O$16="Dual Wield",IF(AND(FL181&lt;&gt;"",FL223&lt;&gt;""),FL181&amp;" and "&amp;RIGHT(FL223,IF(Weapons!BC$12="Melee",LEN(FL223)-6,LEN(FL223)-7)),""),""),"")</f>
        <v/>
      </c>
      <c r="FM199" s="1019" t="str">
        <f t="shared" si="4"/>
        <v/>
      </c>
    </row>
    <row r="200" spans="1:169" ht="9" customHeight="1" thickTop="1">
      <c r="A200" s="910"/>
      <c r="B200" s="910"/>
      <c r="C200" s="910"/>
      <c r="D200" s="910"/>
      <c r="E200" s="910"/>
      <c r="F200" s="910"/>
      <c r="G200" s="910"/>
      <c r="H200" s="910"/>
      <c r="I200" s="910"/>
      <c r="J200" s="910"/>
      <c r="K200" s="910"/>
      <c r="L200" s="910"/>
      <c r="M200" s="910"/>
      <c r="N200" s="910"/>
      <c r="O200" s="910"/>
      <c r="P200" s="910"/>
      <c r="Q200" s="910"/>
      <c r="R200" s="910"/>
      <c r="S200" s="910"/>
      <c r="T200" s="910"/>
      <c r="U200" s="910"/>
      <c r="V200" s="910"/>
      <c r="W200" s="910"/>
      <c r="X200" s="910"/>
      <c r="Y200" s="910"/>
      <c r="Z200" s="910"/>
      <c r="AA200" s="910"/>
      <c r="AB200" s="910"/>
      <c r="AC200" s="910"/>
      <c r="AD200" s="910"/>
      <c r="AE200" s="910"/>
      <c r="AF200" s="910"/>
      <c r="AG200" s="910"/>
      <c r="AH200" s="910"/>
      <c r="AI200" s="910"/>
      <c r="AJ200" s="910"/>
      <c r="AK200" s="910"/>
      <c r="AL200" s="910"/>
      <c r="AM200" s="910"/>
      <c r="AN200" s="910"/>
      <c r="AO200" s="913"/>
      <c r="AP200" s="913"/>
      <c r="AQ200" s="913"/>
      <c r="AR200" s="913"/>
      <c r="AS200" s="913"/>
      <c r="AT200" s="442"/>
      <c r="AU200" s="442"/>
      <c r="AV200" s="442"/>
      <c r="AW200" s="442"/>
      <c r="AX200" s="442"/>
      <c r="AY200" s="442"/>
      <c r="AZ200" s="442"/>
      <c r="BA200" s="442"/>
      <c r="BB200" s="442"/>
      <c r="BC200" s="442"/>
      <c r="BD200" s="442"/>
      <c r="BE200" s="442"/>
      <c r="BF200" s="442"/>
      <c r="BG200" s="442"/>
      <c r="BH200" s="442"/>
      <c r="BI200" s="442"/>
      <c r="BJ200" s="442"/>
      <c r="BK200" s="442"/>
      <c r="BL200" s="442"/>
      <c r="BM200" s="442"/>
      <c r="BN200" s="442"/>
      <c r="BO200" s="442"/>
      <c r="BP200" s="442"/>
      <c r="BQ200" s="442"/>
      <c r="BR200" s="442"/>
      <c r="BS200" s="442"/>
      <c r="BT200" s="442"/>
      <c r="BU200" s="442"/>
      <c r="BV200" s="442"/>
      <c r="BW200" s="442"/>
      <c r="BX200" s="442"/>
      <c r="BY200" s="442"/>
      <c r="BZ200" s="442"/>
      <c r="CA200" s="442"/>
      <c r="CB200" s="442"/>
      <c r="CC200" s="442"/>
      <c r="CD200" s="3"/>
      <c r="CE200" s="3"/>
      <c r="CF200" s="3"/>
      <c r="CG200" s="3"/>
      <c r="CH200" s="910"/>
      <c r="CI200" s="910"/>
      <c r="CJ200" s="3"/>
      <c r="CK200" s="910"/>
      <c r="CL200" s="910"/>
      <c r="CM200" s="910"/>
      <c r="CN200" s="3"/>
      <c r="CO200" s="910"/>
      <c r="CP200" s="910"/>
      <c r="CQ200" s="3"/>
      <c r="CR200" s="910"/>
      <c r="CS200" s="910"/>
      <c r="CT200" s="3"/>
      <c r="CU200" s="910"/>
      <c r="CV200" s="910"/>
      <c r="CW200" s="3"/>
      <c r="CX200" s="910"/>
      <c r="CY200" s="910"/>
      <c r="CZ200" s="3"/>
      <c r="DA200" s="910"/>
      <c r="DB200" s="910"/>
      <c r="DC200" s="3"/>
      <c r="DD200" s="3"/>
      <c r="DE200" s="910"/>
      <c r="DF200" s="910"/>
      <c r="DG200" s="910"/>
      <c r="DI200" s="958"/>
      <c r="DJ200" s="958"/>
      <c r="DK200" s="958"/>
      <c r="DL200" s="910"/>
      <c r="DM200" s="910"/>
      <c r="DN200" s="910"/>
      <c r="DO200" s="910"/>
      <c r="DP200" s="910"/>
      <c r="DQ200" s="910"/>
      <c r="DR200" s="910"/>
      <c r="DS200" s="910"/>
      <c r="DT200" s="910"/>
      <c r="DU200" s="910"/>
      <c r="DV200" s="910"/>
      <c r="DW200" s="910"/>
      <c r="DX200" s="910"/>
      <c r="DY200" s="910"/>
      <c r="DZ200" s="910"/>
      <c r="EA200" s="910"/>
      <c r="EB200" s="910"/>
      <c r="EC200" s="910"/>
      <c r="ED200" s="910"/>
      <c r="EE200" s="910"/>
      <c r="EF200" s="910"/>
      <c r="EG200" s="910"/>
      <c r="EH200" s="910"/>
      <c r="EI200" s="910"/>
      <c r="EJ200" s="910"/>
      <c r="EK200" s="910"/>
      <c r="EL200" s="910"/>
      <c r="EM200" s="910"/>
      <c r="EN200" s="910"/>
      <c r="EO200" s="910"/>
      <c r="EP200" s="910"/>
      <c r="EQ200" s="910"/>
      <c r="ER200" s="910"/>
      <c r="ES200" s="910"/>
      <c r="ET200" s="910"/>
      <c r="EU200" s="910"/>
      <c r="EV200" s="910"/>
      <c r="EW200" s="910"/>
      <c r="EX200" s="910"/>
      <c r="EY200" s="910"/>
      <c r="EZ200" s="910"/>
      <c r="FA200" s="910"/>
      <c r="FB200" s="910"/>
      <c r="FC200" s="910"/>
      <c r="FD200" s="910"/>
      <c r="FE200" s="910"/>
      <c r="FF200" s="910"/>
      <c r="FG200" s="910"/>
      <c r="FH200" s="910"/>
      <c r="FI200" s="910"/>
      <c r="FJ200" s="910"/>
      <c r="FK200" s="910"/>
      <c r="FL200" s="1019" t="str">
        <f>IF(Weapons!BC$16="Dual Wield",IF(Weapons!O$16="Dual Wield",IF(AND(FL182&lt;&gt;"",FL224&lt;&gt;""),FL182&amp;" and "&amp;RIGHT(FL224,IF(Weapons!BC$12="Melee",LEN(FL224)-6,LEN(FL224)-7)),""),""),"")</f>
        <v/>
      </c>
      <c r="FM200" s="1019" t="str">
        <f t="shared" si="4"/>
        <v/>
      </c>
    </row>
    <row r="201" spans="1:169" ht="9" customHeight="1" thickBot="1">
      <c r="A201" s="910"/>
      <c r="B201" s="910"/>
      <c r="C201" s="910"/>
      <c r="D201" s="910"/>
      <c r="E201" s="910"/>
      <c r="F201" s="910"/>
      <c r="G201" s="910"/>
      <c r="H201" s="910"/>
      <c r="I201" s="910"/>
      <c r="J201" s="910"/>
      <c r="K201" s="910"/>
      <c r="L201" s="910"/>
      <c r="M201" s="910"/>
      <c r="N201" s="910"/>
      <c r="O201" s="910"/>
      <c r="P201" s="910"/>
      <c r="Q201" s="910"/>
      <c r="R201" s="910"/>
      <c r="S201" s="910"/>
      <c r="T201" s="910"/>
      <c r="U201" s="910"/>
      <c r="V201" s="910"/>
      <c r="W201" s="910"/>
      <c r="X201" s="910"/>
      <c r="Y201" s="910"/>
      <c r="Z201" s="910"/>
      <c r="AA201" s="910"/>
      <c r="AB201" s="910"/>
      <c r="AC201" s="910"/>
      <c r="AD201" s="910"/>
      <c r="AE201" s="910"/>
      <c r="AF201" s="910"/>
      <c r="AG201" s="910"/>
      <c r="AH201" s="910"/>
      <c r="AI201" s="910"/>
      <c r="AJ201" s="910"/>
      <c r="AK201" s="910"/>
      <c r="AL201" s="910"/>
      <c r="AM201" s="910"/>
      <c r="AN201" s="910"/>
      <c r="AO201" s="910"/>
      <c r="AP201" s="910"/>
      <c r="AQ201" s="910"/>
      <c r="AR201" s="910"/>
      <c r="AS201" s="910"/>
      <c r="AT201" s="910"/>
      <c r="AU201" s="910"/>
      <c r="AV201" s="910"/>
      <c r="AW201" s="910"/>
      <c r="AX201" s="910"/>
      <c r="AY201" s="910"/>
      <c r="AZ201" s="910"/>
      <c r="BA201" s="910"/>
      <c r="BB201" s="910"/>
      <c r="BC201" s="910"/>
      <c r="BD201" s="910"/>
      <c r="BE201" s="910"/>
      <c r="BF201" s="910"/>
      <c r="BG201" s="910"/>
      <c r="BH201" s="910"/>
      <c r="BI201" s="910"/>
      <c r="BJ201" s="910"/>
      <c r="BK201" s="910"/>
      <c r="BL201" s="910"/>
      <c r="BM201" s="910"/>
      <c r="BN201" s="910"/>
      <c r="BO201" s="910"/>
      <c r="BP201" s="910"/>
      <c r="BQ201" s="3"/>
      <c r="BR201" s="3"/>
      <c r="BS201" s="3"/>
      <c r="BT201" s="3"/>
      <c r="BU201" s="3"/>
      <c r="BV201" s="3"/>
      <c r="BW201" s="3"/>
      <c r="BX201" s="3"/>
      <c r="BY201" s="3"/>
      <c r="BZ201" s="3"/>
      <c r="CA201" s="3"/>
      <c r="CB201" s="3"/>
      <c r="CC201" s="3"/>
      <c r="CD201" s="3"/>
      <c r="CE201" s="3"/>
      <c r="CF201" s="3"/>
      <c r="CG201" s="3"/>
      <c r="CH201" s="910"/>
      <c r="CI201" s="910"/>
      <c r="CJ201" s="910"/>
      <c r="CK201" s="910"/>
      <c r="CL201" s="910"/>
      <c r="CM201" s="910"/>
      <c r="CN201" s="910"/>
      <c r="CO201" s="910"/>
      <c r="CP201" s="910"/>
      <c r="CQ201" s="910"/>
      <c r="CR201" s="910"/>
      <c r="CS201" s="910"/>
      <c r="CT201" s="910"/>
      <c r="CU201" s="910"/>
      <c r="CV201" s="910"/>
      <c r="CW201" s="910"/>
      <c r="CX201" s="910"/>
      <c r="CY201" s="910"/>
      <c r="CZ201" s="910"/>
      <c r="DA201" s="910"/>
      <c r="DB201" s="910"/>
      <c r="DC201" s="910"/>
      <c r="DD201" s="910"/>
      <c r="DE201" s="910"/>
      <c r="DF201" s="910"/>
      <c r="DG201" s="910"/>
      <c r="DI201" s="958"/>
      <c r="DJ201" s="958"/>
      <c r="DK201" s="958"/>
      <c r="DL201" s="910"/>
      <c r="DM201" s="910"/>
      <c r="DN201" s="910"/>
      <c r="DO201" s="910"/>
      <c r="DP201" s="910"/>
      <c r="DQ201" s="910"/>
      <c r="DR201" s="910"/>
      <c r="DS201" s="910"/>
      <c r="DT201" s="910"/>
      <c r="DU201" s="910"/>
      <c r="DV201" s="910"/>
      <c r="DW201" s="910"/>
      <c r="DX201" s="910"/>
      <c r="DY201" s="910"/>
      <c r="DZ201" s="910"/>
      <c r="EA201" s="910"/>
      <c r="EB201" s="910"/>
      <c r="EC201" s="910"/>
      <c r="ED201" s="910"/>
      <c r="EE201" s="910"/>
      <c r="EF201" s="910"/>
      <c r="EG201" s="910"/>
      <c r="EH201" s="910"/>
      <c r="EI201" s="910"/>
      <c r="EJ201" s="910"/>
      <c r="EK201" s="910"/>
      <c r="EL201" s="910"/>
      <c r="EM201" s="910"/>
      <c r="EN201" s="910"/>
      <c r="EO201" s="910"/>
      <c r="EP201" s="910"/>
      <c r="EQ201" s="910"/>
      <c r="ER201" s="910"/>
      <c r="ES201" s="910"/>
      <c r="ET201" s="910"/>
      <c r="EU201" s="910"/>
      <c r="EV201" s="910"/>
      <c r="EW201" s="910"/>
      <c r="EX201" s="910"/>
      <c r="EY201" s="910"/>
      <c r="EZ201" s="910"/>
      <c r="FA201" s="910"/>
      <c r="FB201" s="910"/>
      <c r="FC201" s="910"/>
      <c r="FD201" s="910"/>
      <c r="FE201" s="910"/>
      <c r="FF201" s="910"/>
      <c r="FG201" s="910"/>
      <c r="FH201" s="910"/>
      <c r="FI201" s="910"/>
      <c r="FJ201" s="910"/>
      <c r="FK201" s="910"/>
      <c r="FL201" s="1019" t="str">
        <f>IF(Weapons!BC$16="Dual Wield",IF(Weapons!O$16="Dual Wield",IF(AND(FL183&lt;&gt;"",FL225&lt;&gt;""),FL183&amp;" and "&amp;RIGHT(FL225,IF(Weapons!BC$12="Melee",LEN(FL225)-6,LEN(FL225)-7)),""),""),"")</f>
        <v/>
      </c>
      <c r="FM201" s="1019" t="str">
        <f t="shared" si="4"/>
        <v/>
      </c>
    </row>
    <row r="202" spans="1:169" ht="9" customHeight="1" thickTop="1" thickBot="1">
      <c r="A202" s="910"/>
      <c r="B202" s="910"/>
      <c r="C202" s="910"/>
      <c r="D202" s="93"/>
      <c r="E202" s="2182" t="s">
        <v>5713</v>
      </c>
      <c r="F202" s="2182"/>
      <c r="G202" s="2182"/>
      <c r="H202" s="2182"/>
      <c r="I202" s="2182"/>
      <c r="J202" s="295"/>
      <c r="K202" s="295"/>
      <c r="L202" s="295"/>
      <c r="M202" s="295"/>
      <c r="N202" s="594"/>
      <c r="O202" s="594"/>
      <c r="P202" s="594"/>
      <c r="Q202" s="594"/>
      <c r="R202" s="594"/>
      <c r="S202" s="594"/>
      <c r="T202" s="594"/>
      <c r="U202" s="594"/>
      <c r="V202" s="594"/>
      <c r="W202" s="594"/>
      <c r="X202" s="594"/>
      <c r="Y202" s="594"/>
      <c r="Z202" s="594"/>
      <c r="AA202" s="594"/>
      <c r="AB202" s="594"/>
      <c r="AC202" s="297"/>
      <c r="AD202" s="910"/>
      <c r="AE202" s="910"/>
      <c r="AF202" s="93"/>
      <c r="AG202" s="2193" t="s">
        <v>6133</v>
      </c>
      <c r="AH202" s="2193"/>
      <c r="AI202" s="2193"/>
      <c r="AJ202" s="2193"/>
      <c r="AK202" s="2193"/>
      <c r="AL202" s="2193"/>
      <c r="AM202" s="2193"/>
      <c r="AN202" s="2193"/>
      <c r="AO202" s="1108" t="e">
        <f ca="1">Weapons!$AS$70-Weapons!$AS$69</f>
        <v>#N/A</v>
      </c>
      <c r="AP202" s="592"/>
      <c r="AQ202" s="594"/>
      <c r="AR202" s="594"/>
      <c r="AS202" s="594"/>
      <c r="AT202" s="594"/>
      <c r="AU202" s="594"/>
      <c r="AV202" s="594"/>
      <c r="AW202" s="594"/>
      <c r="AX202" s="297"/>
      <c r="AY202" s="1092"/>
      <c r="AZ202" s="910"/>
      <c r="BA202" s="93"/>
      <c r="BB202" s="2193" t="s">
        <v>4094</v>
      </c>
      <c r="BC202" s="2193"/>
      <c r="BD202" s="2193"/>
      <c r="BE202" s="2193"/>
      <c r="BF202" s="2193"/>
      <c r="BG202" s="2193"/>
      <c r="BH202" s="2193"/>
      <c r="BI202" s="2193"/>
      <c r="BJ202" s="2193"/>
      <c r="BK202" s="2193"/>
      <c r="BL202" s="2193"/>
      <c r="BM202" s="2193"/>
      <c r="BN202" s="2193"/>
      <c r="BO202" s="2193"/>
      <c r="BP202" s="113"/>
      <c r="BQ202" s="145"/>
      <c r="BR202" s="93"/>
      <c r="BS202" s="2193" t="s">
        <v>4100</v>
      </c>
      <c r="BT202" s="2193"/>
      <c r="BU202" s="2193"/>
      <c r="BV202" s="2193"/>
      <c r="BW202" s="2193"/>
      <c r="BX202" s="2193"/>
      <c r="BY202" s="2193"/>
      <c r="BZ202" s="2193"/>
      <c r="CA202" s="2193" t="s">
        <v>4095</v>
      </c>
      <c r="CB202" s="2193"/>
      <c r="CC202" s="2193"/>
      <c r="CD202" s="2193"/>
      <c r="CE202" s="2193"/>
      <c r="CF202" s="2193"/>
      <c r="CG202" s="2193"/>
      <c r="CH202" s="2193"/>
      <c r="CI202" s="2193" t="s">
        <v>4099</v>
      </c>
      <c r="CJ202" s="2193"/>
      <c r="CK202" s="2193"/>
      <c r="CL202" s="2193"/>
      <c r="CM202" s="2193"/>
      <c r="CN202" s="2193"/>
      <c r="CO202" s="2193"/>
      <c r="CP202" s="2193"/>
      <c r="CQ202" s="2193" t="s">
        <v>4098</v>
      </c>
      <c r="CR202" s="2193"/>
      <c r="CS202" s="2193"/>
      <c r="CT202" s="2193"/>
      <c r="CU202" s="2193"/>
      <c r="CV202" s="2193"/>
      <c r="CW202" s="2193"/>
      <c r="CX202" s="2193"/>
      <c r="CY202" s="2193" t="s">
        <v>4097</v>
      </c>
      <c r="CZ202" s="2193"/>
      <c r="DA202" s="2193"/>
      <c r="DB202" s="2193"/>
      <c r="DC202" s="2193"/>
      <c r="DD202" s="2193"/>
      <c r="DE202" s="2193"/>
      <c r="DF202" s="2193"/>
      <c r="DG202" s="113"/>
      <c r="DH202" s="976"/>
      <c r="DI202" s="958"/>
      <c r="DJ202" s="958"/>
      <c r="DK202" s="958"/>
      <c r="DL202" s="910"/>
      <c r="DM202" s="910"/>
      <c r="DN202" s="910"/>
      <c r="DO202" s="910"/>
      <c r="DP202" s="910"/>
      <c r="DQ202" s="910"/>
      <c r="DR202" s="910"/>
      <c r="DS202" s="910"/>
      <c r="DT202" s="910"/>
      <c r="DU202" s="910"/>
      <c r="DV202" s="910"/>
      <c r="DW202" s="910"/>
      <c r="DX202" s="910"/>
      <c r="DY202" s="910"/>
      <c r="DZ202" s="910"/>
      <c r="EA202" s="910"/>
      <c r="EB202" s="910"/>
      <c r="EC202" s="910"/>
      <c r="ED202" s="910"/>
      <c r="EE202" s="910"/>
      <c r="EF202" s="910"/>
      <c r="EG202" s="910"/>
      <c r="EH202" s="910"/>
      <c r="EI202" s="910"/>
      <c r="EJ202" s="910"/>
      <c r="EK202" s="910"/>
      <c r="EL202" s="910"/>
      <c r="EM202" s="910"/>
      <c r="EN202" s="910"/>
      <c r="EO202" s="910"/>
      <c r="EP202" s="910"/>
      <c r="EQ202" s="910"/>
      <c r="ER202" s="910"/>
      <c r="ES202" s="910"/>
      <c r="ET202" s="910"/>
      <c r="EU202" s="910"/>
      <c r="EV202" s="910"/>
      <c r="EW202" s="910"/>
      <c r="EX202" s="910"/>
      <c r="EY202" s="910"/>
      <c r="EZ202" s="910"/>
      <c r="FA202" s="910"/>
      <c r="FB202" s="910"/>
      <c r="FC202" s="910"/>
      <c r="FD202" s="910"/>
      <c r="FE202" s="910"/>
      <c r="FF202" s="910"/>
      <c r="FG202" s="910"/>
      <c r="FH202" s="910"/>
      <c r="FI202" s="910"/>
      <c r="FJ202" s="910"/>
      <c r="FK202" s="910"/>
      <c r="FL202" s="1019" t="str">
        <f>IF(Weapons!BC$16="Dual Wield",IF(Weapons!O$16="Dual Wield",IF(AND(FL184&lt;&gt;"",FL226&lt;&gt;""),FL184&amp;" and "&amp;RIGHT(FL226,IF(Weapons!BC$12="Melee",LEN(FL226)-6,LEN(FL226)-7)),""),""),"")</f>
        <v/>
      </c>
      <c r="FM202" s="1019" t="str">
        <f t="shared" si="4"/>
        <v/>
      </c>
    </row>
    <row r="203" spans="1:169" ht="9" customHeight="1" thickTop="1">
      <c r="A203" s="910"/>
      <c r="B203" s="910"/>
      <c r="C203" s="910"/>
      <c r="D203" s="102"/>
      <c r="E203" s="2180"/>
      <c r="F203" s="2180"/>
      <c r="G203" s="2180"/>
      <c r="H203" s="2180"/>
      <c r="I203" s="2180"/>
      <c r="J203" s="1867" t="str">
        <f>IF(J177&lt;&gt;"",IF(OR(AND(Weapons!$AS$74="lightsabers",Talents!$M$1110&gt;0),AND(Feats!$M$242&gt;0,COUNTIF(Weapons!$AS$56:$AS$59,"Spring Loaded")&gt;0)),"Free",IF(Feats!$M$170&gt;0,"Free as part of a Standard",IF(Feats!$M$242,"Swift","Move")))&amp;" action","")</f>
        <v/>
      </c>
      <c r="K203" s="1867"/>
      <c r="L203" s="1867"/>
      <c r="M203" s="1867"/>
      <c r="N203" s="1867"/>
      <c r="O203" s="1867"/>
      <c r="P203" s="1867"/>
      <c r="Q203" s="1867"/>
      <c r="R203" s="1867"/>
      <c r="S203" s="1867"/>
      <c r="T203" s="1867"/>
      <c r="U203" s="1867"/>
      <c r="V203" s="1867"/>
      <c r="W203" s="1867"/>
      <c r="X203" s="1867"/>
      <c r="Y203" s="1867"/>
      <c r="Z203" s="1867"/>
      <c r="AA203" s="1867"/>
      <c r="AB203" s="1867"/>
      <c r="AC203" s="300"/>
      <c r="AD203" s="595"/>
      <c r="AE203" s="595"/>
      <c r="AF203" s="102"/>
      <c r="AG203" s="2239"/>
      <c r="AH203" s="2239"/>
      <c r="AI203" s="2239"/>
      <c r="AJ203" s="2239"/>
      <c r="AK203" s="2239"/>
      <c r="AL203" s="2239"/>
      <c r="AM203" s="2239"/>
      <c r="AN203" s="2239"/>
      <c r="AO203" s="2241" t="str">
        <f>IF(J177&lt;&gt;"",IF(AND(NOT(ISERROR(FIND("-5 to Perception and Use Computer checks to detect",Q197,1))),ShowCloakedWeapons),INDEX(ConcealItemTable,MATCH(AO202,ConcealItemList,0),3),INDEX(ConcealItemTable,MATCH(AO202,ConcealItemList,0),2)),"")</f>
        <v/>
      </c>
      <c r="AP203" s="2241"/>
      <c r="AQ203" s="2241"/>
      <c r="AR203" s="2241"/>
      <c r="AS203" s="2241"/>
      <c r="AT203" s="2241"/>
      <c r="AU203" s="2241"/>
      <c r="AV203" s="2241"/>
      <c r="AW203" s="2241"/>
      <c r="AX203" s="300"/>
      <c r="AY203" s="1092"/>
      <c r="AZ203" s="910"/>
      <c r="BA203" s="102"/>
      <c r="BB203" s="2239"/>
      <c r="BC203" s="2239"/>
      <c r="BD203" s="2239"/>
      <c r="BE203" s="2239"/>
      <c r="BF203" s="2239"/>
      <c r="BG203" s="2239"/>
      <c r="BH203" s="2239"/>
      <c r="BI203" s="2239"/>
      <c r="BJ203" s="2239"/>
      <c r="BK203" s="2239"/>
      <c r="BL203" s="2239"/>
      <c r="BM203" s="2239"/>
      <c r="BN203" s="2239"/>
      <c r="BO203" s="2239"/>
      <c r="BP203" s="589"/>
      <c r="BQ203" s="598"/>
      <c r="BR203" s="102"/>
      <c r="BS203" s="2194"/>
      <c r="BT203" s="2194"/>
      <c r="BU203" s="2194"/>
      <c r="BV203" s="2194"/>
      <c r="BW203" s="2194"/>
      <c r="BX203" s="2194"/>
      <c r="BY203" s="2194"/>
      <c r="BZ203" s="2194"/>
      <c r="CA203" s="2194"/>
      <c r="CB203" s="2194"/>
      <c r="CC203" s="2194"/>
      <c r="CD203" s="2194"/>
      <c r="CE203" s="2194"/>
      <c r="CF203" s="2194"/>
      <c r="CG203" s="2194"/>
      <c r="CH203" s="2194"/>
      <c r="CI203" s="2194"/>
      <c r="CJ203" s="2194"/>
      <c r="CK203" s="2194"/>
      <c r="CL203" s="2194"/>
      <c r="CM203" s="2194"/>
      <c r="CN203" s="2194"/>
      <c r="CO203" s="2194"/>
      <c r="CP203" s="2194"/>
      <c r="CQ203" s="2194"/>
      <c r="CR203" s="2194"/>
      <c r="CS203" s="2194"/>
      <c r="CT203" s="2194"/>
      <c r="CU203" s="2194"/>
      <c r="CV203" s="2194"/>
      <c r="CW203" s="2194"/>
      <c r="CX203" s="2194"/>
      <c r="CY203" s="2194"/>
      <c r="CZ203" s="2194"/>
      <c r="DA203" s="2194"/>
      <c r="DB203" s="2194"/>
      <c r="DC203" s="2194"/>
      <c r="DD203" s="2194"/>
      <c r="DE203" s="2194"/>
      <c r="DF203" s="2194"/>
      <c r="DG203" s="910"/>
      <c r="DH203" s="977"/>
      <c r="DI203" s="958"/>
      <c r="DJ203" s="958"/>
      <c r="DK203" s="958"/>
      <c r="DL203" s="910"/>
      <c r="DM203" s="910"/>
      <c r="DN203" s="910"/>
      <c r="DO203" s="910"/>
      <c r="DP203" s="910"/>
      <c r="DQ203" s="910"/>
      <c r="DR203" s="910"/>
      <c r="DS203" s="910"/>
      <c r="DT203" s="910"/>
      <c r="DU203" s="910"/>
      <c r="DV203" s="910"/>
      <c r="DW203" s="910"/>
      <c r="DX203" s="910"/>
      <c r="DY203" s="910"/>
      <c r="DZ203" s="910"/>
      <c r="EA203" s="910"/>
      <c r="EB203" s="910"/>
      <c r="EC203" s="910"/>
      <c r="ED203" s="910"/>
      <c r="EE203" s="910"/>
      <c r="EF203" s="910"/>
      <c r="EG203" s="910"/>
      <c r="EH203" s="910"/>
      <c r="EI203" s="910"/>
      <c r="EJ203" s="910"/>
      <c r="EK203" s="910"/>
      <c r="EL203" s="910"/>
      <c r="EM203" s="910"/>
      <c r="EN203" s="910"/>
      <c r="EO203" s="910"/>
      <c r="EP203" s="910"/>
      <c r="EQ203" s="910"/>
      <c r="ER203" s="910"/>
      <c r="ES203" s="910"/>
      <c r="ET203" s="910"/>
      <c r="EU203" s="910"/>
      <c r="EV203" s="910"/>
      <c r="EW203" s="910"/>
      <c r="EX203" s="910"/>
      <c r="EY203" s="910"/>
      <c r="EZ203" s="910"/>
      <c r="FA203" s="910"/>
      <c r="FB203" s="910"/>
      <c r="FC203" s="910"/>
      <c r="FD203" s="910"/>
      <c r="FE203" s="910"/>
      <c r="FF203" s="910"/>
      <c r="FG203" s="910"/>
      <c r="FH203" s="910"/>
      <c r="FI203" s="910"/>
      <c r="FJ203" s="910"/>
      <c r="FK203" s="910"/>
      <c r="FL203" s="1019" t="str">
        <f>IF(Weapons!BC$16="Dual Wield",IF(Weapons!O$16="Dual Wield",IF(AND(FL185&lt;&gt;"",FL227&lt;&gt;""),FL185&amp;" and "&amp;RIGHT(FL227,IF(Weapons!BC$12="Melee",LEN(FL227)-6,LEN(FL227)-7)),""),""),"")</f>
        <v/>
      </c>
      <c r="FM203" s="1019" t="str">
        <f t="shared" si="4"/>
        <v/>
      </c>
    </row>
    <row r="204" spans="1:169" ht="9" customHeight="1">
      <c r="A204" s="910"/>
      <c r="B204" s="910"/>
      <c r="C204" s="910"/>
      <c r="D204" s="102"/>
      <c r="E204" s="105"/>
      <c r="F204" s="105"/>
      <c r="G204" s="105"/>
      <c r="H204" s="105"/>
      <c r="I204" s="657"/>
      <c r="J204" s="1867"/>
      <c r="K204" s="1867"/>
      <c r="L204" s="1867"/>
      <c r="M204" s="1867"/>
      <c r="N204" s="1867"/>
      <c r="O204" s="1867"/>
      <c r="P204" s="1867"/>
      <c r="Q204" s="1867"/>
      <c r="R204" s="1867"/>
      <c r="S204" s="1867"/>
      <c r="T204" s="1867"/>
      <c r="U204" s="1867"/>
      <c r="V204" s="1867"/>
      <c r="W204" s="1867"/>
      <c r="X204" s="1867"/>
      <c r="Y204" s="1867"/>
      <c r="Z204" s="1867"/>
      <c r="AA204" s="1867"/>
      <c r="AB204" s="1867"/>
      <c r="AC204" s="103"/>
      <c r="AD204" s="657"/>
      <c r="AE204" s="657"/>
      <c r="AF204" s="102"/>
      <c r="AG204" s="2243" t="s">
        <v>6134</v>
      </c>
      <c r="AH204" s="2243"/>
      <c r="AI204" s="2243"/>
      <c r="AJ204" s="2243"/>
      <c r="AK204" s="2243"/>
      <c r="AL204" s="2243"/>
      <c r="AM204" s="2243"/>
      <c r="AN204" s="2243"/>
      <c r="AO204" s="2241"/>
      <c r="AP204" s="2241"/>
      <c r="AQ204" s="2241"/>
      <c r="AR204" s="2241"/>
      <c r="AS204" s="2241"/>
      <c r="AT204" s="2241"/>
      <c r="AU204" s="2241"/>
      <c r="AV204" s="2241"/>
      <c r="AW204" s="2241"/>
      <c r="AX204" s="103"/>
      <c r="AY204" s="710"/>
      <c r="AZ204" s="910"/>
      <c r="BA204" s="102"/>
      <c r="BB204" s="2206" t="s">
        <v>110</v>
      </c>
      <c r="BC204" s="2206"/>
      <c r="BD204" s="2206"/>
      <c r="BE204" s="2206"/>
      <c r="BF204" s="2206"/>
      <c r="BG204" s="2206"/>
      <c r="BH204" s="2206"/>
      <c r="BI204" s="2206"/>
      <c r="BJ204" s="2206"/>
      <c r="BK204" s="2206"/>
      <c r="BL204" s="2206"/>
      <c r="BM204" s="2206"/>
      <c r="BN204" s="2206"/>
      <c r="BO204" s="2206"/>
      <c r="BP204" s="910"/>
      <c r="BQ204" s="910"/>
      <c r="BR204" s="102"/>
      <c r="BS204" s="2210" t="str">
        <f>IF(CA204&lt;&gt;"","0-1","")</f>
        <v/>
      </c>
      <c r="BT204" s="2210"/>
      <c r="BU204" s="2210"/>
      <c r="BV204" s="2210"/>
      <c r="BW204" s="2210"/>
      <c r="BX204" s="2210"/>
      <c r="BY204" s="2210"/>
      <c r="BZ204" s="2211"/>
      <c r="CA204" s="2229" t="str">
        <f>IF(AND(J177&lt;&gt;"",Weapons!AS$12="Ranged"),"0-"&amp;INDEX(RangeTable,MATCH(Weapons!AS$92,RangeList,0),2),"")</f>
        <v/>
      </c>
      <c r="CB204" s="2210"/>
      <c r="CC204" s="2210"/>
      <c r="CD204" s="2210"/>
      <c r="CE204" s="2210"/>
      <c r="CF204" s="2210"/>
      <c r="CG204" s="2210"/>
      <c r="CH204" s="2211"/>
      <c r="CI204" s="2229" t="str">
        <f>IF(AND(J177&lt;&gt;"",Weapons!AS$12="Ranged"),"0-"&amp;INDEX(RangeTable,MATCH(Weapons!AS$92,RangeList,0),3),"")</f>
        <v/>
      </c>
      <c r="CJ204" s="2210"/>
      <c r="CK204" s="2210"/>
      <c r="CL204" s="2210"/>
      <c r="CM204" s="2210"/>
      <c r="CN204" s="2210"/>
      <c r="CO204" s="2210"/>
      <c r="CP204" s="2211"/>
      <c r="CQ204" s="2229" t="str">
        <f>IF(AND(J177&lt;&gt;"",Weapons!AS$12="Ranged"),"0-"&amp;INDEX(RangeTable,MATCH(Weapons!AS$92,RangeList,0),4),"")</f>
        <v/>
      </c>
      <c r="CR204" s="2210"/>
      <c r="CS204" s="2210"/>
      <c r="CT204" s="2210"/>
      <c r="CU204" s="2210"/>
      <c r="CV204" s="2210"/>
      <c r="CW204" s="2210"/>
      <c r="CX204" s="2211"/>
      <c r="CY204" s="2229" t="str">
        <f>IF(AND(J177&lt;&gt;"",Weapons!AS$12="Ranged"),"0-"&amp;INDEX(RangeTable,MATCH(Weapons!AS$92,RangeList,0),5),"")</f>
        <v/>
      </c>
      <c r="CZ204" s="2210"/>
      <c r="DA204" s="2210"/>
      <c r="DB204" s="2210"/>
      <c r="DC204" s="2210"/>
      <c r="DD204" s="2210"/>
      <c r="DE204" s="2210"/>
      <c r="DF204" s="2210"/>
      <c r="DG204" s="100"/>
      <c r="DH204" s="976"/>
      <c r="DI204" s="958"/>
      <c r="DJ204" s="958"/>
      <c r="DK204" s="958"/>
      <c r="DL204" s="910"/>
      <c r="DM204" s="910"/>
      <c r="DN204" s="910"/>
      <c r="DO204" s="910"/>
      <c r="DP204" s="910"/>
      <c r="DQ204" s="910"/>
      <c r="DR204" s="910"/>
      <c r="DS204" s="910"/>
      <c r="DT204" s="910"/>
      <c r="DU204" s="910"/>
      <c r="DV204" s="910"/>
      <c r="DW204" s="910"/>
      <c r="DX204" s="910"/>
      <c r="DY204" s="910"/>
      <c r="DZ204" s="910"/>
      <c r="EA204" s="910"/>
      <c r="EB204" s="910"/>
      <c r="EC204" s="910"/>
      <c r="ED204" s="910"/>
      <c r="EE204" s="910"/>
      <c r="EF204" s="910"/>
      <c r="EG204" s="910"/>
      <c r="EH204" s="910"/>
      <c r="EI204" s="910"/>
      <c r="EJ204" s="910"/>
      <c r="EK204" s="910"/>
      <c r="EL204" s="910"/>
      <c r="EM204" s="910"/>
      <c r="EN204" s="910"/>
      <c r="EO204" s="910"/>
      <c r="EP204" s="910"/>
      <c r="EQ204" s="910"/>
      <c r="ER204" s="910"/>
      <c r="ES204" s="910"/>
      <c r="ET204" s="910"/>
      <c r="EU204" s="910"/>
      <c r="EV204" s="910"/>
      <c r="EW204" s="910"/>
      <c r="EX204" s="910"/>
      <c r="EY204" s="910"/>
      <c r="EZ204" s="910"/>
      <c r="FA204" s="910"/>
      <c r="FB204" s="910"/>
      <c r="FC204" s="910"/>
      <c r="FD204" s="910"/>
      <c r="FE204" s="910"/>
      <c r="FF204" s="910"/>
      <c r="FG204" s="910"/>
      <c r="FH204" s="910"/>
      <c r="FI204" s="910"/>
      <c r="FJ204" s="910"/>
      <c r="FK204" s="910"/>
      <c r="FL204" s="1019" t="str">
        <f>IF(Weapons!BC$16="Dual Wield",IF(Weapons!O$16="Dual Wield",IF(AND(FL186&lt;&gt;"",FL228&lt;&gt;""),FL186&amp;" and "&amp;RIGHT(FL228,IF(Weapons!BC$12="Melee",LEN(FL228)-6,LEN(FL228)-7)),""),""),"")</f>
        <v/>
      </c>
      <c r="FM204" s="1019" t="str">
        <f t="shared" si="4"/>
        <v/>
      </c>
    </row>
    <row r="205" spans="1:169" ht="9" customHeight="1" thickBot="1">
      <c r="A205" s="910"/>
      <c r="B205" s="910"/>
      <c r="C205" s="910"/>
      <c r="D205" s="91"/>
      <c r="E205" s="108"/>
      <c r="F205" s="108"/>
      <c r="G205" s="108"/>
      <c r="H205" s="108"/>
      <c r="I205" s="937"/>
      <c r="J205" s="1868"/>
      <c r="K205" s="1868"/>
      <c r="L205" s="1868"/>
      <c r="M205" s="1868"/>
      <c r="N205" s="1868"/>
      <c r="O205" s="1868"/>
      <c r="P205" s="1868"/>
      <c r="Q205" s="1868"/>
      <c r="R205" s="1868"/>
      <c r="S205" s="1868"/>
      <c r="T205" s="1868"/>
      <c r="U205" s="1868"/>
      <c r="V205" s="1868"/>
      <c r="W205" s="1868"/>
      <c r="X205" s="1868"/>
      <c r="Y205" s="1868"/>
      <c r="Z205" s="1868"/>
      <c r="AA205" s="1868"/>
      <c r="AB205" s="1868"/>
      <c r="AC205" s="90"/>
      <c r="AD205" s="657"/>
      <c r="AE205" s="657"/>
      <c r="AF205" s="91"/>
      <c r="AG205" s="2244"/>
      <c r="AH205" s="2244"/>
      <c r="AI205" s="2244"/>
      <c r="AJ205" s="2244"/>
      <c r="AK205" s="2244"/>
      <c r="AL205" s="2244"/>
      <c r="AM205" s="2244"/>
      <c r="AN205" s="2244"/>
      <c r="AO205" s="2242"/>
      <c r="AP205" s="2242"/>
      <c r="AQ205" s="2242"/>
      <c r="AR205" s="2242"/>
      <c r="AS205" s="2242"/>
      <c r="AT205" s="2242"/>
      <c r="AU205" s="2242"/>
      <c r="AV205" s="2242"/>
      <c r="AW205" s="2242"/>
      <c r="AX205" s="90"/>
      <c r="AY205" s="710"/>
      <c r="AZ205" s="910"/>
      <c r="BA205" s="102"/>
      <c r="BB205" s="2206"/>
      <c r="BC205" s="2206"/>
      <c r="BD205" s="2206"/>
      <c r="BE205" s="2206"/>
      <c r="BF205" s="2206"/>
      <c r="BG205" s="2206"/>
      <c r="BH205" s="2206"/>
      <c r="BI205" s="2206"/>
      <c r="BJ205" s="2206"/>
      <c r="BK205" s="2206"/>
      <c r="BL205" s="2206"/>
      <c r="BM205" s="2206"/>
      <c r="BN205" s="2206"/>
      <c r="BO205" s="2206"/>
      <c r="BP205" s="910"/>
      <c r="BQ205" s="910"/>
      <c r="BR205" s="647"/>
      <c r="BS205" s="2212"/>
      <c r="BT205" s="2212"/>
      <c r="BU205" s="2212"/>
      <c r="BV205" s="2212"/>
      <c r="BW205" s="2212"/>
      <c r="BX205" s="2212"/>
      <c r="BY205" s="2212"/>
      <c r="BZ205" s="2213"/>
      <c r="CA205" s="2226"/>
      <c r="CB205" s="2212"/>
      <c r="CC205" s="2212"/>
      <c r="CD205" s="2212"/>
      <c r="CE205" s="2212"/>
      <c r="CF205" s="2212"/>
      <c r="CG205" s="2212"/>
      <c r="CH205" s="2213"/>
      <c r="CI205" s="2226"/>
      <c r="CJ205" s="2212"/>
      <c r="CK205" s="2212"/>
      <c r="CL205" s="2212"/>
      <c r="CM205" s="2212"/>
      <c r="CN205" s="2212"/>
      <c r="CO205" s="2212"/>
      <c r="CP205" s="2213"/>
      <c r="CQ205" s="2226"/>
      <c r="CR205" s="2212"/>
      <c r="CS205" s="2212"/>
      <c r="CT205" s="2212"/>
      <c r="CU205" s="2212"/>
      <c r="CV205" s="2212"/>
      <c r="CW205" s="2212"/>
      <c r="CX205" s="2213"/>
      <c r="CY205" s="2226"/>
      <c r="CZ205" s="2212"/>
      <c r="DA205" s="2212"/>
      <c r="DB205" s="2212"/>
      <c r="DC205" s="2212"/>
      <c r="DD205" s="2212"/>
      <c r="DE205" s="2212"/>
      <c r="DF205" s="2212"/>
      <c r="DG205" s="100"/>
      <c r="DH205" s="976"/>
      <c r="DI205" s="958"/>
      <c r="DJ205" s="958"/>
      <c r="DK205" s="958"/>
      <c r="DL205" s="910"/>
      <c r="DM205" s="910"/>
      <c r="DN205" s="910"/>
      <c r="DO205" s="910"/>
      <c r="DP205" s="910"/>
      <c r="DQ205" s="910"/>
      <c r="DR205" s="910"/>
      <c r="DS205" s="910"/>
      <c r="DT205" s="910"/>
      <c r="DU205" s="910"/>
      <c r="DV205" s="910"/>
      <c r="DW205" s="910"/>
      <c r="DX205" s="910"/>
      <c r="DY205" s="910"/>
      <c r="DZ205" s="910"/>
      <c r="EA205" s="910"/>
      <c r="EB205" s="910"/>
      <c r="EC205" s="910"/>
      <c r="ED205" s="910"/>
      <c r="EE205" s="910"/>
      <c r="EF205" s="910"/>
      <c r="EG205" s="910"/>
      <c r="EH205" s="910"/>
      <c r="EI205" s="910"/>
      <c r="EJ205" s="910"/>
      <c r="EK205" s="910"/>
      <c r="EL205" s="910"/>
      <c r="EM205" s="910"/>
      <c r="EN205" s="910"/>
      <c r="EO205" s="910"/>
      <c r="EP205" s="910"/>
      <c r="EQ205" s="910"/>
      <c r="ER205" s="910"/>
      <c r="ES205" s="910"/>
      <c r="ET205" s="910"/>
      <c r="EU205" s="910"/>
      <c r="EV205" s="910"/>
      <c r="EW205" s="910"/>
      <c r="EX205" s="910"/>
      <c r="EY205" s="910"/>
      <c r="EZ205" s="910"/>
      <c r="FA205" s="910"/>
      <c r="FB205" s="910"/>
      <c r="FC205" s="910"/>
      <c r="FD205" s="910"/>
      <c r="FE205" s="910"/>
      <c r="FF205" s="910"/>
      <c r="FG205" s="910"/>
      <c r="FH205" s="910"/>
      <c r="FI205" s="910"/>
      <c r="FJ205" s="910"/>
      <c r="FK205" s="910"/>
      <c r="FL205" s="1019" t="str">
        <f>IF(Weapons!BC$16="Dual Wield",IF(Weapons!O$16="Dual Wield",IF(AND(FL187&lt;&gt;"",FL229&lt;&gt;""),FL187&amp;" and "&amp;RIGHT(FL229,IF(Weapons!BC$12="Melee",LEN(FL229)-6,LEN(FL229)-7)),""),""),"")</f>
        <v/>
      </c>
      <c r="FM205" s="1019" t="str">
        <f t="shared" si="4"/>
        <v/>
      </c>
    </row>
    <row r="206" spans="1:169" ht="9" customHeight="1" thickTop="1" thickBot="1">
      <c r="A206" s="910"/>
      <c r="B206" s="910"/>
      <c r="C206" s="910"/>
      <c r="D206" s="910"/>
      <c r="E206" s="910"/>
      <c r="F206" s="910"/>
      <c r="G206" s="910"/>
      <c r="H206" s="910"/>
      <c r="I206" s="910"/>
      <c r="J206" s="105"/>
      <c r="K206" s="105"/>
      <c r="L206" s="105"/>
      <c r="M206" s="105"/>
      <c r="N206" s="105"/>
      <c r="O206" s="657"/>
      <c r="P206" s="657"/>
      <c r="Q206" s="657"/>
      <c r="R206" s="657"/>
      <c r="S206" s="657"/>
      <c r="T206" s="657"/>
      <c r="U206" s="657"/>
      <c r="V206" s="657"/>
      <c r="W206" s="657"/>
      <c r="X206" s="657"/>
      <c r="Y206" s="657"/>
      <c r="Z206" s="657"/>
      <c r="AA206" s="657"/>
      <c r="AB206" s="657"/>
      <c r="AC206" s="657"/>
      <c r="AD206" s="657"/>
      <c r="AE206" s="657"/>
      <c r="AF206" s="657"/>
      <c r="AG206" s="657"/>
      <c r="AH206" s="657"/>
      <c r="AI206" s="301"/>
      <c r="AJ206" s="3"/>
      <c r="AK206" s="1092"/>
      <c r="AL206" s="1092"/>
      <c r="AM206" s="1092"/>
      <c r="AN206" s="1092"/>
      <c r="AO206" s="1092"/>
      <c r="AP206" s="1092"/>
      <c r="AQ206" s="710"/>
      <c r="AR206" s="710"/>
      <c r="AS206" s="710"/>
      <c r="AT206" s="710"/>
      <c r="AU206" s="710"/>
      <c r="AV206" s="710"/>
      <c r="AW206" s="710"/>
      <c r="AX206" s="710"/>
      <c r="AY206" s="710"/>
      <c r="AZ206" s="910"/>
      <c r="BA206" s="102"/>
      <c r="BB206" s="2206"/>
      <c r="BC206" s="2206"/>
      <c r="BD206" s="2206"/>
      <c r="BE206" s="2206"/>
      <c r="BF206" s="2206"/>
      <c r="BG206" s="2206"/>
      <c r="BH206" s="2206"/>
      <c r="BI206" s="2206"/>
      <c r="BJ206" s="2206"/>
      <c r="BK206" s="2206"/>
      <c r="BL206" s="2206"/>
      <c r="BM206" s="2206"/>
      <c r="BN206" s="2206"/>
      <c r="BO206" s="2206"/>
      <c r="BP206" s="910"/>
      <c r="BQ206" s="910"/>
      <c r="BR206" s="102"/>
      <c r="BS206" s="2214"/>
      <c r="BT206" s="2214"/>
      <c r="BU206" s="2214"/>
      <c r="BV206" s="2214"/>
      <c r="BW206" s="2214"/>
      <c r="BX206" s="2214"/>
      <c r="BY206" s="2214"/>
      <c r="BZ206" s="2215"/>
      <c r="CA206" s="2230"/>
      <c r="CB206" s="2214"/>
      <c r="CC206" s="2214"/>
      <c r="CD206" s="2214"/>
      <c r="CE206" s="2214"/>
      <c r="CF206" s="2214"/>
      <c r="CG206" s="2214"/>
      <c r="CH206" s="2215"/>
      <c r="CI206" s="2230"/>
      <c r="CJ206" s="2214"/>
      <c r="CK206" s="2214"/>
      <c r="CL206" s="2214"/>
      <c r="CM206" s="2214"/>
      <c r="CN206" s="2214"/>
      <c r="CO206" s="2214"/>
      <c r="CP206" s="2215"/>
      <c r="CQ206" s="2230"/>
      <c r="CR206" s="2214"/>
      <c r="CS206" s="2214"/>
      <c r="CT206" s="2214"/>
      <c r="CU206" s="2214"/>
      <c r="CV206" s="2214"/>
      <c r="CW206" s="2214"/>
      <c r="CX206" s="2215"/>
      <c r="CY206" s="2230"/>
      <c r="CZ206" s="2214"/>
      <c r="DA206" s="2214"/>
      <c r="DB206" s="2214"/>
      <c r="DC206" s="2214"/>
      <c r="DD206" s="2214"/>
      <c r="DE206" s="2214"/>
      <c r="DF206" s="2214"/>
      <c r="DG206" s="100"/>
      <c r="DH206" s="976"/>
      <c r="DI206" s="958"/>
      <c r="DJ206" s="958"/>
      <c r="DK206" s="958"/>
      <c r="DL206" s="910"/>
      <c r="DM206" s="910"/>
      <c r="DN206" s="910"/>
      <c r="DO206" s="910"/>
      <c r="DP206" s="910"/>
      <c r="DQ206" s="910"/>
      <c r="DR206" s="910"/>
      <c r="DS206" s="910"/>
      <c r="DT206" s="910"/>
      <c r="DU206" s="910"/>
      <c r="DV206" s="910"/>
      <c r="DW206" s="910"/>
      <c r="DX206" s="910"/>
      <c r="DY206" s="910"/>
      <c r="DZ206" s="910"/>
      <c r="EA206" s="910"/>
      <c r="EB206" s="910"/>
      <c r="EC206" s="910"/>
      <c r="ED206" s="910"/>
      <c r="EE206" s="910"/>
      <c r="EF206" s="910"/>
      <c r="EG206" s="910"/>
      <c r="EH206" s="910"/>
      <c r="EI206" s="910"/>
      <c r="EJ206" s="910"/>
      <c r="EK206" s="910"/>
      <c r="EL206" s="910"/>
      <c r="EM206" s="910"/>
      <c r="EN206" s="910"/>
      <c r="EO206" s="910"/>
      <c r="EP206" s="910"/>
      <c r="EQ206" s="910"/>
      <c r="ER206" s="910"/>
      <c r="ES206" s="910"/>
      <c r="ET206" s="910"/>
      <c r="EU206" s="910"/>
      <c r="EV206" s="910"/>
      <c r="EW206" s="910"/>
      <c r="EX206" s="910"/>
      <c r="EY206" s="910"/>
      <c r="EZ206" s="910"/>
      <c r="FA206" s="910"/>
      <c r="FB206" s="910"/>
      <c r="FC206" s="910"/>
      <c r="FD206" s="910"/>
      <c r="FE206" s="910"/>
      <c r="FF206" s="910"/>
      <c r="FG206" s="910"/>
      <c r="FH206" s="910"/>
      <c r="FI206" s="910"/>
      <c r="FJ206" s="910"/>
      <c r="FK206" s="910"/>
      <c r="FL206" s="1019" t="str">
        <f>IF(Weapons!BC$16="Dual Wield",IF(Weapons!O$16="Dual Wield",IF(AND(FL188&lt;&gt;"",FL230&lt;&gt;""),FL188&amp;" and "&amp;RIGHT(FL230,IF(Weapons!BC$12="Melee",LEN(FL230)-6,LEN(FL230)-7)),""),""),"")</f>
        <v/>
      </c>
      <c r="FM206" s="1019" t="str">
        <f t="shared" si="4"/>
        <v/>
      </c>
    </row>
    <row r="207" spans="1:169" ht="9" customHeight="1" thickTop="1">
      <c r="A207" s="910"/>
      <c r="B207" s="910"/>
      <c r="C207" s="910"/>
      <c r="D207" s="910"/>
      <c r="E207" s="910"/>
      <c r="F207" s="910"/>
      <c r="G207" s="910"/>
      <c r="H207" s="910"/>
      <c r="I207" s="910"/>
      <c r="J207" s="3"/>
      <c r="K207" s="3"/>
      <c r="L207" s="93"/>
      <c r="M207" s="2179" t="s">
        <v>6142</v>
      </c>
      <c r="N207" s="2179"/>
      <c r="O207" s="2179"/>
      <c r="P207" s="2179"/>
      <c r="Q207" s="2179"/>
      <c r="R207" s="2179"/>
      <c r="S207" s="592"/>
      <c r="T207" s="1117">
        <v>1</v>
      </c>
      <c r="U207" s="1117">
        <f>T207+1</f>
        <v>2</v>
      </c>
      <c r="V207" s="1117">
        <f>U207+1</f>
        <v>3</v>
      </c>
      <c r="W207" s="1117">
        <f>V207+1</f>
        <v>4</v>
      </c>
      <c r="X207" s="1117">
        <f>W207+1</f>
        <v>5</v>
      </c>
      <c r="Y207" s="1117" t="s">
        <v>3816</v>
      </c>
      <c r="Z207" s="1117">
        <f>X207+1</f>
        <v>6</v>
      </c>
      <c r="AA207" s="1117">
        <f>Z207+1</f>
        <v>7</v>
      </c>
      <c r="AB207" s="1117">
        <f>AA207+1</f>
        <v>8</v>
      </c>
      <c r="AC207" s="1117">
        <f>AB207+1</f>
        <v>9</v>
      </c>
      <c r="AD207" s="1117">
        <f>AC207+1</f>
        <v>10</v>
      </c>
      <c r="AE207" s="1117" t="s">
        <v>3816</v>
      </c>
      <c r="AF207" s="1117">
        <f>AD207+1</f>
        <v>11</v>
      </c>
      <c r="AG207" s="1117">
        <f>AF207+1</f>
        <v>12</v>
      </c>
      <c r="AH207" s="1117">
        <f>AG207+1</f>
        <v>13</v>
      </c>
      <c r="AI207" s="1117">
        <f>AH207+1</f>
        <v>14</v>
      </c>
      <c r="AJ207" s="1117">
        <f>AI207+1</f>
        <v>15</v>
      </c>
      <c r="AK207" s="1117" t="s">
        <v>3816</v>
      </c>
      <c r="AL207" s="1117">
        <f>AJ207+1</f>
        <v>16</v>
      </c>
      <c r="AM207" s="1117">
        <f>AL207+1</f>
        <v>17</v>
      </c>
      <c r="AN207" s="1117">
        <f>AM207+1</f>
        <v>18</v>
      </c>
      <c r="AO207" s="1117">
        <f>AN207+1</f>
        <v>19</v>
      </c>
      <c r="AP207" s="1117">
        <f>AO207+1</f>
        <v>20</v>
      </c>
      <c r="AQ207" s="1117" t="s">
        <v>3816</v>
      </c>
      <c r="AR207" s="1117">
        <f>AP207+1</f>
        <v>21</v>
      </c>
      <c r="AS207" s="1117">
        <f>AR207+1</f>
        <v>22</v>
      </c>
      <c r="AT207" s="1117">
        <f>AS207+1</f>
        <v>23</v>
      </c>
      <c r="AU207" s="1117">
        <f>AT207+1</f>
        <v>24</v>
      </c>
      <c r="AV207" s="1117">
        <f>AU207+1</f>
        <v>25</v>
      </c>
      <c r="AW207" s="1117"/>
      <c r="AX207" s="297"/>
      <c r="AY207" s="1116"/>
      <c r="AZ207" s="910"/>
      <c r="BA207" s="102"/>
      <c r="BB207" s="2206" t="s">
        <v>4096</v>
      </c>
      <c r="BC207" s="2206"/>
      <c r="BD207" s="2206"/>
      <c r="BE207" s="2206"/>
      <c r="BF207" s="2206"/>
      <c r="BG207" s="2206"/>
      <c r="BH207" s="2206"/>
      <c r="BI207" s="2206"/>
      <c r="BJ207" s="2206"/>
      <c r="BK207" s="2206"/>
      <c r="BL207" s="2206"/>
      <c r="BM207" s="2206"/>
      <c r="BN207" s="2206"/>
      <c r="BO207" s="2206"/>
      <c r="BP207" s="910"/>
      <c r="BQ207" s="910"/>
      <c r="BR207" s="102"/>
      <c r="BS207" s="2219" t="str">
        <f>IF(CA207&lt;&gt;"",IF(AND(INDEX(WeaponTable,MATCH(Weapons!AS$11,WeaponList,0),5)&lt;&gt;"heavy",Feats!$M$361&gt;0),2,""),"")</f>
        <v/>
      </c>
      <c r="BT207" s="2219"/>
      <c r="BU207" s="2219"/>
      <c r="BV207" s="2219"/>
      <c r="BW207" s="2219"/>
      <c r="BX207" s="2219"/>
      <c r="BY207" s="2219"/>
      <c r="BZ207" s="2220"/>
      <c r="CA207" s="2225" t="str">
        <f>IF(AND(AQ175="Ranged",J175&lt;&gt;""),IF(Feats!$M$233&gt;0,1,0),"")</f>
        <v/>
      </c>
      <c r="CB207" s="2219"/>
      <c r="CC207" s="2219"/>
      <c r="CD207" s="2219"/>
      <c r="CE207" s="2219"/>
      <c r="CF207" s="2219"/>
      <c r="CG207" s="2219"/>
      <c r="CH207" s="2220"/>
      <c r="CI207" s="2219" t="str">
        <f>IF(AND(AQ175="Ranged",J177&lt;&gt;""),IF(OR(Weapons!AS$27="Accurate",COUNTIF(Weapons!AS$56:AS$60,"Rangefinder")&gt;0),0,IF(Feats!$M$107&gt;0,0,-2)),"")</f>
        <v/>
      </c>
      <c r="CJ207" s="2219"/>
      <c r="CK207" s="2219"/>
      <c r="CL207" s="2219"/>
      <c r="CM207" s="2219"/>
      <c r="CN207" s="2219"/>
      <c r="CO207" s="2219"/>
      <c r="CP207" s="2220"/>
      <c r="CQ207" s="2225" t="str">
        <f>IF(AND(AQ175="Ranged",J177&lt;&gt;""),IF(Feats!$M$107&gt;0,-2,-5),"")</f>
        <v/>
      </c>
      <c r="CR207" s="2219"/>
      <c r="CS207" s="2219"/>
      <c r="CT207" s="2219"/>
      <c r="CU207" s="2219"/>
      <c r="CV207" s="2219"/>
      <c r="CW207" s="2219"/>
      <c r="CX207" s="2220"/>
      <c r="CY207" s="2231" t="str">
        <f>IF(AND(AQ175="Ranged",J177&lt;&gt;""),IF(Weapons!AS$27="Inaccurate","N/A",IF(Feats!$M$107&gt;0,-5,-10)),"")</f>
        <v/>
      </c>
      <c r="CZ207" s="2232"/>
      <c r="DA207" s="2232"/>
      <c r="DB207" s="2232"/>
      <c r="DC207" s="2232"/>
      <c r="DD207" s="2232"/>
      <c r="DE207" s="2232"/>
      <c r="DF207" s="2232"/>
      <c r="DG207" s="100"/>
      <c r="DH207" s="976"/>
      <c r="DI207" s="958"/>
      <c r="DJ207" s="958"/>
      <c r="DK207" s="958"/>
      <c r="DL207" s="910"/>
      <c r="DM207" s="910"/>
      <c r="DN207" s="910"/>
      <c r="DO207" s="910"/>
      <c r="DP207" s="910"/>
      <c r="DQ207" s="910"/>
      <c r="DR207" s="910"/>
      <c r="DS207" s="910"/>
      <c r="DT207" s="910"/>
      <c r="DU207" s="910"/>
      <c r="DV207" s="910"/>
      <c r="DW207" s="910"/>
      <c r="DX207" s="910"/>
      <c r="DY207" s="910"/>
      <c r="DZ207" s="910"/>
      <c r="EA207" s="910"/>
      <c r="EB207" s="910"/>
      <c r="EC207" s="910"/>
      <c r="ED207" s="910"/>
      <c r="EE207" s="910"/>
      <c r="EF207" s="910"/>
      <c r="EG207" s="910"/>
      <c r="EH207" s="910"/>
      <c r="EI207" s="910"/>
      <c r="EJ207" s="910"/>
      <c r="EK207" s="910"/>
      <c r="EL207" s="910"/>
      <c r="EM207" s="910"/>
      <c r="EN207" s="910"/>
      <c r="EO207" s="910"/>
      <c r="EP207" s="910"/>
      <c r="EQ207" s="910"/>
      <c r="ER207" s="910"/>
      <c r="ES207" s="910"/>
      <c r="ET207" s="910"/>
      <c r="EU207" s="910"/>
      <c r="EV207" s="910"/>
      <c r="EW207" s="910"/>
      <c r="EX207" s="910"/>
      <c r="EY207" s="910"/>
      <c r="EZ207" s="910"/>
      <c r="FA207" s="910"/>
      <c r="FB207" s="910"/>
      <c r="FC207" s="910"/>
      <c r="FD207" s="910"/>
      <c r="FE207" s="910"/>
      <c r="FF207" s="910"/>
      <c r="FG207" s="910"/>
      <c r="FH207" s="910"/>
      <c r="FI207" s="910"/>
      <c r="FJ207" s="910"/>
      <c r="FK207" s="910"/>
      <c r="FL207" s="1019" t="str">
        <f>IF(Weapons!BC$16="Dual Wield",IF(Weapons!O$16="Dual Wield",IF(AND(FL189&lt;&gt;"",FL231&lt;&gt;""),FL189&amp;" and "&amp;RIGHT(FL231,IF(Weapons!BC$12="Melee",LEN(FL231)-6,LEN(FL231)-7)),""),""),"")</f>
        <v/>
      </c>
      <c r="FM207" s="1019" t="str">
        <f t="shared" si="4"/>
        <v/>
      </c>
    </row>
    <row r="208" spans="1:169" ht="9" customHeight="1">
      <c r="A208" s="910"/>
      <c r="B208" s="910"/>
      <c r="C208" s="910"/>
      <c r="D208" s="910"/>
      <c r="E208" s="910"/>
      <c r="F208" s="910"/>
      <c r="G208" s="910"/>
      <c r="H208" s="910"/>
      <c r="I208" s="910"/>
      <c r="J208" s="105"/>
      <c r="K208" s="913"/>
      <c r="L208" s="102"/>
      <c r="M208" s="2180"/>
      <c r="N208" s="2180"/>
      <c r="O208" s="2180"/>
      <c r="P208" s="2180"/>
      <c r="Q208" s="2180"/>
      <c r="R208" s="2180"/>
      <c r="S208" s="3"/>
      <c r="T208" s="657"/>
      <c r="U208" s="657"/>
      <c r="V208" s="1105"/>
      <c r="W208" s="1105"/>
      <c r="X208" s="1105"/>
      <c r="Y208" s="1105"/>
      <c r="Z208" s="712"/>
      <c r="AA208" s="712"/>
      <c r="AB208" s="595"/>
      <c r="AC208" s="595"/>
      <c r="AD208" s="595"/>
      <c r="AE208" s="595"/>
      <c r="AF208" s="595"/>
      <c r="AG208" s="595"/>
      <c r="AH208" s="595"/>
      <c r="AI208" s="595"/>
      <c r="AJ208" s="595"/>
      <c r="AK208" s="595"/>
      <c r="AL208" s="595"/>
      <c r="AM208" s="595"/>
      <c r="AN208" s="595"/>
      <c r="AO208" s="595"/>
      <c r="AP208" s="595"/>
      <c r="AQ208" s="595"/>
      <c r="AR208" s="595"/>
      <c r="AS208" s="595"/>
      <c r="AT208" s="595"/>
      <c r="AU208" s="595"/>
      <c r="AV208" s="595"/>
      <c r="AW208" s="595"/>
      <c r="AX208" s="300"/>
      <c r="AY208" s="595"/>
      <c r="AZ208" s="910"/>
      <c r="BA208" s="102"/>
      <c r="BB208" s="2206"/>
      <c r="BC208" s="2206"/>
      <c r="BD208" s="2206"/>
      <c r="BE208" s="2206"/>
      <c r="BF208" s="2206"/>
      <c r="BG208" s="2206"/>
      <c r="BH208" s="2206"/>
      <c r="BI208" s="2206"/>
      <c r="BJ208" s="2206"/>
      <c r="BK208" s="2206"/>
      <c r="BL208" s="2206"/>
      <c r="BM208" s="2206"/>
      <c r="BN208" s="2206"/>
      <c r="BO208" s="2206"/>
      <c r="BP208" s="910"/>
      <c r="BQ208" s="910"/>
      <c r="BR208" s="102"/>
      <c r="BS208" s="2221"/>
      <c r="BT208" s="2221"/>
      <c r="BU208" s="2221"/>
      <c r="BV208" s="2221"/>
      <c r="BW208" s="2221"/>
      <c r="BX208" s="2221"/>
      <c r="BY208" s="2221"/>
      <c r="BZ208" s="2222"/>
      <c r="CA208" s="2228"/>
      <c r="CB208" s="2221"/>
      <c r="CC208" s="2221"/>
      <c r="CD208" s="2221"/>
      <c r="CE208" s="2221"/>
      <c r="CF208" s="2221"/>
      <c r="CG208" s="2221"/>
      <c r="CH208" s="2222"/>
      <c r="CI208" s="2221"/>
      <c r="CJ208" s="2221"/>
      <c r="CK208" s="2221"/>
      <c r="CL208" s="2221"/>
      <c r="CM208" s="2221"/>
      <c r="CN208" s="2221"/>
      <c r="CO208" s="2221"/>
      <c r="CP208" s="2222"/>
      <c r="CQ208" s="2228"/>
      <c r="CR208" s="2221"/>
      <c r="CS208" s="2221"/>
      <c r="CT208" s="2221"/>
      <c r="CU208" s="2221"/>
      <c r="CV208" s="2221"/>
      <c r="CW208" s="2221"/>
      <c r="CX208" s="2222"/>
      <c r="CY208" s="2233"/>
      <c r="CZ208" s="2234"/>
      <c r="DA208" s="2234"/>
      <c r="DB208" s="2234"/>
      <c r="DC208" s="2234"/>
      <c r="DD208" s="2234"/>
      <c r="DE208" s="2234"/>
      <c r="DF208" s="2234"/>
      <c r="DG208" s="100"/>
      <c r="DH208" s="976"/>
      <c r="DI208" s="958"/>
      <c r="DJ208" s="958"/>
      <c r="DK208" s="958"/>
      <c r="DL208" s="910"/>
      <c r="DM208" s="910"/>
      <c r="DN208" s="910"/>
      <c r="DO208" s="910"/>
      <c r="DP208" s="910"/>
      <c r="DQ208" s="910"/>
      <c r="DR208" s="910"/>
      <c r="DS208" s="910"/>
      <c r="DT208" s="910"/>
      <c r="DU208" s="910"/>
      <c r="DV208" s="910"/>
      <c r="DW208" s="910"/>
      <c r="DX208" s="910"/>
      <c r="DY208" s="910"/>
      <c r="DZ208" s="910"/>
      <c r="EA208" s="910"/>
      <c r="EB208" s="910"/>
      <c r="EC208" s="910"/>
      <c r="ED208" s="910"/>
      <c r="EE208" s="910"/>
      <c r="EF208" s="910"/>
      <c r="EG208" s="910"/>
      <c r="EH208" s="910"/>
      <c r="EI208" s="910"/>
      <c r="EJ208" s="910"/>
      <c r="EK208" s="910"/>
      <c r="EL208" s="910"/>
      <c r="EM208" s="910"/>
      <c r="EN208" s="910"/>
      <c r="EO208" s="910"/>
      <c r="EP208" s="910"/>
      <c r="EQ208" s="910"/>
      <c r="ER208" s="910"/>
      <c r="ES208" s="910"/>
      <c r="ET208" s="910"/>
      <c r="EU208" s="910"/>
      <c r="EV208" s="910"/>
      <c r="EW208" s="910"/>
      <c r="EX208" s="910"/>
      <c r="EY208" s="910"/>
      <c r="EZ208" s="910"/>
      <c r="FA208" s="910"/>
      <c r="FB208" s="910"/>
      <c r="FC208" s="910"/>
      <c r="FD208" s="910"/>
      <c r="FE208" s="910"/>
      <c r="FF208" s="910"/>
      <c r="FG208" s="910"/>
      <c r="FH208" s="910"/>
      <c r="FI208" s="910"/>
      <c r="FJ208" s="910"/>
      <c r="FK208" s="910"/>
      <c r="FL208" s="1019" t="str">
        <f>IF(Weapons!BC$16="Dual Wield",IF(Weapons!O$16="Dual Wield",IF(AND(FL190&lt;&gt;"",FL232&lt;&gt;""),FL190&amp;" and "&amp;RIGHT(FL232,IF(Weapons!BC$12="Melee",LEN(FL232)-6,LEN(FL232)-7)),""),""),"")</f>
        <v/>
      </c>
      <c r="FM208" s="1019" t="str">
        <f t="shared" si="4"/>
        <v/>
      </c>
    </row>
    <row r="209" spans="1:169" ht="9" customHeight="1">
      <c r="A209" s="910"/>
      <c r="B209" s="910"/>
      <c r="C209" s="910"/>
      <c r="D209" s="910"/>
      <c r="E209" s="910"/>
      <c r="F209" s="910"/>
      <c r="G209" s="910"/>
      <c r="H209" s="910"/>
      <c r="I209" s="910"/>
      <c r="J209" s="331"/>
      <c r="K209" s="913"/>
      <c r="L209" s="102"/>
      <c r="M209" s="105"/>
      <c r="N209" s="105"/>
      <c r="O209" s="105"/>
      <c r="P209" s="105"/>
      <c r="Q209" s="657"/>
      <c r="R209" s="657"/>
      <c r="S209" s="3"/>
      <c r="T209" s="1105"/>
      <c r="U209" s="657"/>
      <c r="V209" s="657"/>
      <c r="W209" s="657"/>
      <c r="X209" s="657"/>
      <c r="Y209" s="657"/>
      <c r="Z209" s="657"/>
      <c r="AA209" s="657"/>
      <c r="AB209" s="657"/>
      <c r="AC209" s="657"/>
      <c r="AD209" s="657"/>
      <c r="AE209" s="657"/>
      <c r="AF209" s="657"/>
      <c r="AG209" s="657"/>
      <c r="AH209" s="657"/>
      <c r="AI209" s="657"/>
      <c r="AJ209" s="657"/>
      <c r="AK209" s="657"/>
      <c r="AL209" s="657"/>
      <c r="AM209" s="657"/>
      <c r="AN209" s="657"/>
      <c r="AO209" s="596"/>
      <c r="AP209" s="3"/>
      <c r="AQ209" s="3"/>
      <c r="AR209" s="3"/>
      <c r="AS209" s="3"/>
      <c r="AT209" s="3"/>
      <c r="AU209" s="3"/>
      <c r="AV209" s="3"/>
      <c r="AW209" s="3"/>
      <c r="AX209" s="103"/>
      <c r="AY209" s="1104"/>
      <c r="AZ209" s="910"/>
      <c r="BA209" s="102"/>
      <c r="BB209" s="2206"/>
      <c r="BC209" s="2206"/>
      <c r="BD209" s="2206"/>
      <c r="BE209" s="2206"/>
      <c r="BF209" s="2206"/>
      <c r="BG209" s="2206"/>
      <c r="BH209" s="2206"/>
      <c r="BI209" s="2206"/>
      <c r="BJ209" s="2206"/>
      <c r="BK209" s="2206"/>
      <c r="BL209" s="2206"/>
      <c r="BM209" s="2206"/>
      <c r="BN209" s="2206"/>
      <c r="BO209" s="2206"/>
      <c r="BP209" s="910"/>
      <c r="BQ209" s="910"/>
      <c r="BR209" s="102"/>
      <c r="BS209" s="2198"/>
      <c r="BT209" s="2198"/>
      <c r="BU209" s="2198"/>
      <c r="BV209" s="2198"/>
      <c r="BW209" s="2198"/>
      <c r="BX209" s="2198"/>
      <c r="BY209" s="2198"/>
      <c r="BZ209" s="2199"/>
      <c r="CA209" s="2197"/>
      <c r="CB209" s="2198"/>
      <c r="CC209" s="2198"/>
      <c r="CD209" s="2198"/>
      <c r="CE209" s="2198"/>
      <c r="CF209" s="2198"/>
      <c r="CG209" s="2198"/>
      <c r="CH209" s="2199"/>
      <c r="CI209" s="2198"/>
      <c r="CJ209" s="2198"/>
      <c r="CK209" s="2198"/>
      <c r="CL209" s="2198"/>
      <c r="CM209" s="2198"/>
      <c r="CN209" s="2198"/>
      <c r="CO209" s="2198"/>
      <c r="CP209" s="2199"/>
      <c r="CQ209" s="2197"/>
      <c r="CR209" s="2198"/>
      <c r="CS209" s="2198"/>
      <c r="CT209" s="2198"/>
      <c r="CU209" s="2198"/>
      <c r="CV209" s="2198"/>
      <c r="CW209" s="2198"/>
      <c r="CX209" s="2199"/>
      <c r="CY209" s="2235"/>
      <c r="CZ209" s="2236"/>
      <c r="DA209" s="2236"/>
      <c r="DB209" s="2236"/>
      <c r="DC209" s="2236"/>
      <c r="DD209" s="2236"/>
      <c r="DE209" s="2236"/>
      <c r="DF209" s="2236"/>
      <c r="DG209" s="100"/>
      <c r="DH209" s="976"/>
      <c r="DI209" s="958"/>
      <c r="DJ209" s="958"/>
      <c r="DK209" s="958"/>
      <c r="DL209" s="910"/>
      <c r="DM209" s="910"/>
      <c r="DN209" s="910"/>
      <c r="DO209" s="910"/>
      <c r="DP209" s="910"/>
      <c r="DQ209" s="910"/>
      <c r="DR209" s="910"/>
      <c r="DS209" s="910"/>
      <c r="DT209" s="910"/>
      <c r="DU209" s="910"/>
      <c r="DV209" s="910"/>
      <c r="DW209" s="910"/>
      <c r="DX209" s="910"/>
      <c r="DY209" s="910"/>
      <c r="DZ209" s="910"/>
      <c r="EA209" s="910"/>
      <c r="EB209" s="910"/>
      <c r="EC209" s="910"/>
      <c r="ED209" s="910"/>
      <c r="EE209" s="910"/>
      <c r="EF209" s="910"/>
      <c r="EG209" s="910"/>
      <c r="EH209" s="910"/>
      <c r="EI209" s="910"/>
      <c r="EJ209" s="910"/>
      <c r="EK209" s="910"/>
      <c r="EL209" s="910"/>
      <c r="EM209" s="910"/>
      <c r="EN209" s="910"/>
      <c r="EO209" s="910"/>
      <c r="EP209" s="910"/>
      <c r="EQ209" s="910"/>
      <c r="ER209" s="910"/>
      <c r="ES209" s="910"/>
      <c r="ET209" s="910"/>
      <c r="EU209" s="910"/>
      <c r="EV209" s="910"/>
      <c r="EW209" s="910"/>
      <c r="EX209" s="910"/>
      <c r="EY209" s="910"/>
      <c r="EZ209" s="910"/>
      <c r="FA209" s="910"/>
      <c r="FB209" s="910"/>
      <c r="FC209" s="910"/>
      <c r="FD209" s="910"/>
      <c r="FE209" s="910"/>
      <c r="FF209" s="910"/>
      <c r="FG209" s="910"/>
      <c r="FH209" s="910"/>
      <c r="FI209" s="910"/>
      <c r="FJ209" s="910"/>
      <c r="FK209" s="910"/>
      <c r="FL209" s="1019" t="str">
        <f>IF(Weapons!BC$16="Dual Wield",IF(Weapons!O$16="Dual Wield",IF(AND(FL191&lt;&gt;"",FL233&lt;&gt;""),FL191&amp;" and "&amp;RIGHT(FL233,IF(Weapons!BC$12="Melee",LEN(FL233)-6,LEN(FL233)-7)),""),""),"")</f>
        <v/>
      </c>
      <c r="FM209" s="1019" t="str">
        <f t="shared" si="4"/>
        <v/>
      </c>
    </row>
    <row r="210" spans="1:169" ht="9" customHeight="1">
      <c r="A210" s="910"/>
      <c r="B210" s="910"/>
      <c r="C210" s="910"/>
      <c r="D210" s="910"/>
      <c r="E210" s="910"/>
      <c r="F210" s="910"/>
      <c r="G210" s="910"/>
      <c r="H210" s="910"/>
      <c r="I210" s="910"/>
      <c r="J210" s="331"/>
      <c r="K210" s="105"/>
      <c r="L210" s="102"/>
      <c r="M210" s="105"/>
      <c r="N210" s="105"/>
      <c r="O210" s="105"/>
      <c r="P210" s="105"/>
      <c r="Q210" s="657"/>
      <c r="R210" s="657"/>
      <c r="S210" s="3"/>
      <c r="T210" s="1105"/>
      <c r="U210" s="657"/>
      <c r="V210" s="657"/>
      <c r="W210" s="657"/>
      <c r="X210" s="657"/>
      <c r="Y210" s="657"/>
      <c r="Z210" s="657"/>
      <c r="AA210" s="657"/>
      <c r="AB210" s="657"/>
      <c r="AC210" s="657"/>
      <c r="AD210" s="657"/>
      <c r="AE210" s="657"/>
      <c r="AF210" s="657"/>
      <c r="AG210" s="657"/>
      <c r="AH210" s="657"/>
      <c r="AI210" s="657"/>
      <c r="AJ210" s="657"/>
      <c r="AK210" s="657"/>
      <c r="AL210" s="657"/>
      <c r="AM210" s="657"/>
      <c r="AN210" s="657"/>
      <c r="AO210" s="596"/>
      <c r="AP210" s="3"/>
      <c r="AQ210" s="3"/>
      <c r="AR210" s="3"/>
      <c r="AS210" s="3"/>
      <c r="AT210" s="3"/>
      <c r="AU210" s="3"/>
      <c r="AV210" s="3"/>
      <c r="AW210" s="3"/>
      <c r="AX210" s="300"/>
      <c r="AY210" s="1104"/>
      <c r="AZ210" s="910"/>
      <c r="BA210" s="102"/>
      <c r="BB210" s="2206" t="s">
        <v>3732</v>
      </c>
      <c r="BC210" s="2206"/>
      <c r="BD210" s="2206"/>
      <c r="BE210" s="2206"/>
      <c r="BF210" s="2206"/>
      <c r="BG210" s="2206"/>
      <c r="BH210" s="2206"/>
      <c r="BI210" s="2206"/>
      <c r="BJ210" s="2206"/>
      <c r="BK210" s="2206"/>
      <c r="BL210" s="2206"/>
      <c r="BM210" s="2206"/>
      <c r="BN210" s="2206"/>
      <c r="BO210" s="2206"/>
      <c r="BP210" s="910"/>
      <c r="BQ210" s="910"/>
      <c r="BR210" s="102"/>
      <c r="BS210" s="2210" t="str">
        <f>IF(CA210&lt;&gt;"",IF(AND(INDEX(WeaponTable,MATCH(Weapons!AS$11,WeaponList,0),5)&lt;&gt;"heavy",Feats!$M$361&gt;0),"+1d"&amp;Weapons!AS$79&amp;"+1",""),"")</f>
        <v/>
      </c>
      <c r="BT210" s="2210"/>
      <c r="BU210" s="2210"/>
      <c r="BV210" s="2210"/>
      <c r="BW210" s="2210"/>
      <c r="BX210" s="2210"/>
      <c r="BY210" s="2210"/>
      <c r="BZ210" s="2211"/>
      <c r="CA210" s="2225" t="str">
        <f>IF(CA207&lt;&gt;"",IF(CA207&lt;&gt;0,CA207,""),"")</f>
        <v/>
      </c>
      <c r="CB210" s="2210"/>
      <c r="CC210" s="2210"/>
      <c r="CD210" s="2210"/>
      <c r="CE210" s="2210"/>
      <c r="CF210" s="2210"/>
      <c r="CG210" s="2210"/>
      <c r="CH210" s="2211"/>
      <c r="CI210" s="2210"/>
      <c r="CJ210" s="2210"/>
      <c r="CK210" s="2210"/>
      <c r="CL210" s="2210"/>
      <c r="CM210" s="2210"/>
      <c r="CN210" s="2210"/>
      <c r="CO210" s="2210"/>
      <c r="CP210" s="2211"/>
      <c r="CQ210" s="2229"/>
      <c r="CR210" s="2210"/>
      <c r="CS210" s="2210"/>
      <c r="CT210" s="2210"/>
      <c r="CU210" s="2210"/>
      <c r="CV210" s="2210"/>
      <c r="CW210" s="2210"/>
      <c r="CX210" s="2211"/>
      <c r="CY210" s="2229"/>
      <c r="CZ210" s="2210"/>
      <c r="DA210" s="2210"/>
      <c r="DB210" s="2210"/>
      <c r="DC210" s="2210"/>
      <c r="DD210" s="2210"/>
      <c r="DE210" s="2210"/>
      <c r="DF210" s="2210"/>
      <c r="DG210" s="100"/>
      <c r="DH210" s="976"/>
      <c r="DI210" s="958"/>
      <c r="DJ210" s="958"/>
      <c r="DK210" s="958"/>
      <c r="DL210" s="910"/>
      <c r="DM210" s="910"/>
      <c r="DN210" s="910"/>
      <c r="DO210" s="910"/>
      <c r="DP210" s="910"/>
      <c r="DQ210" s="910"/>
      <c r="DR210" s="910"/>
      <c r="DS210" s="910"/>
      <c r="DT210" s="910"/>
      <c r="DU210" s="910"/>
      <c r="DV210" s="910"/>
      <c r="DW210" s="910"/>
      <c r="DX210" s="910"/>
      <c r="DY210" s="910"/>
      <c r="DZ210" s="910"/>
      <c r="EA210" s="910"/>
      <c r="EB210" s="910"/>
      <c r="EC210" s="910"/>
      <c r="ED210" s="910"/>
      <c r="EE210" s="910"/>
      <c r="EF210" s="910"/>
      <c r="EG210" s="910"/>
      <c r="EH210" s="910"/>
      <c r="EI210" s="910"/>
      <c r="EJ210" s="910"/>
      <c r="EK210" s="910"/>
      <c r="EL210" s="910"/>
      <c r="EM210" s="910"/>
      <c r="EN210" s="910"/>
      <c r="EO210" s="910"/>
      <c r="EP210" s="910"/>
      <c r="EQ210" s="910"/>
      <c r="ER210" s="910"/>
      <c r="ES210" s="910"/>
      <c r="ET210" s="910"/>
      <c r="EU210" s="910"/>
      <c r="EV210" s="910"/>
      <c r="EW210" s="910"/>
      <c r="EX210" s="910"/>
      <c r="EY210" s="910"/>
      <c r="EZ210" s="910"/>
      <c r="FA210" s="910"/>
      <c r="FB210" s="910"/>
      <c r="FC210" s="910"/>
      <c r="FD210" s="910"/>
      <c r="FE210" s="910"/>
      <c r="FF210" s="910"/>
      <c r="FG210" s="910"/>
      <c r="FH210" s="910"/>
      <c r="FI210" s="910"/>
      <c r="FJ210" s="910"/>
      <c r="FK210" s="910"/>
      <c r="FL210" s="1019" t="str">
        <f>IF(Weapons!AI$16="Dual Wield",IF(Weapons!O$16="Dual Wield",IF(AND(FL192&lt;&gt;"",FL234&lt;&gt;""),FL192&amp;" and "&amp;RIGHT(FL234,IF(Weapons!AI$12="Melee",LEN(FL234)-6,LEN(FL234)-7)),""),""),"")</f>
        <v/>
      </c>
      <c r="FM210" s="1022" t="s">
        <v>195</v>
      </c>
    </row>
    <row r="211" spans="1:169" ht="9" customHeight="1" thickBot="1">
      <c r="A211" s="910"/>
      <c r="B211" s="910"/>
      <c r="C211" s="910"/>
      <c r="D211" s="910"/>
      <c r="E211" s="910"/>
      <c r="F211" s="910"/>
      <c r="G211" s="910"/>
      <c r="H211" s="910"/>
      <c r="I211" s="910"/>
      <c r="J211" s="105"/>
      <c r="K211" s="105"/>
      <c r="L211" s="102"/>
      <c r="M211" s="3"/>
      <c r="N211" s="3"/>
      <c r="O211" s="3"/>
      <c r="P211" s="3"/>
      <c r="Q211" s="3"/>
      <c r="R211" s="105"/>
      <c r="S211" s="3"/>
      <c r="T211" s="1105"/>
      <c r="U211" s="657"/>
      <c r="V211" s="657"/>
      <c r="W211" s="657"/>
      <c r="X211" s="657"/>
      <c r="Y211" s="657"/>
      <c r="Z211" s="657"/>
      <c r="AA211" s="657"/>
      <c r="AB211" s="657"/>
      <c r="AC211" s="657"/>
      <c r="AD211" s="657"/>
      <c r="AE211" s="657"/>
      <c r="AF211" s="657"/>
      <c r="AG211" s="657"/>
      <c r="AH211" s="657"/>
      <c r="AI211" s="657"/>
      <c r="AJ211" s="657"/>
      <c r="AK211" s="657"/>
      <c r="AL211" s="657"/>
      <c r="AM211" s="657"/>
      <c r="AN211" s="657"/>
      <c r="AO211" s="596"/>
      <c r="AP211" s="3"/>
      <c r="AQ211" s="3"/>
      <c r="AR211" s="3"/>
      <c r="AS211" s="3"/>
      <c r="AT211" s="3"/>
      <c r="AU211" s="3"/>
      <c r="AV211" s="3"/>
      <c r="AW211" s="1118"/>
      <c r="AX211" s="103"/>
      <c r="AY211" s="710"/>
      <c r="AZ211" s="910"/>
      <c r="BA211" s="102"/>
      <c r="BB211" s="2206"/>
      <c r="BC211" s="2206"/>
      <c r="BD211" s="2206"/>
      <c r="BE211" s="2206"/>
      <c r="BF211" s="2206"/>
      <c r="BG211" s="2206"/>
      <c r="BH211" s="2206"/>
      <c r="BI211" s="2206"/>
      <c r="BJ211" s="2206"/>
      <c r="BK211" s="2206"/>
      <c r="BL211" s="2206"/>
      <c r="BM211" s="2206"/>
      <c r="BN211" s="2206"/>
      <c r="BO211" s="2206"/>
      <c r="BP211" s="910"/>
      <c r="BQ211" s="108"/>
      <c r="BR211" s="647"/>
      <c r="BS211" s="2212"/>
      <c r="BT211" s="2212"/>
      <c r="BU211" s="2212"/>
      <c r="BV211" s="2212"/>
      <c r="BW211" s="2212"/>
      <c r="BX211" s="2212"/>
      <c r="BY211" s="2212"/>
      <c r="BZ211" s="2213"/>
      <c r="CA211" s="2226"/>
      <c r="CB211" s="2212"/>
      <c r="CC211" s="2212"/>
      <c r="CD211" s="2212"/>
      <c r="CE211" s="2212"/>
      <c r="CF211" s="2212"/>
      <c r="CG211" s="2212"/>
      <c r="CH211" s="2213"/>
      <c r="CI211" s="2212"/>
      <c r="CJ211" s="2212"/>
      <c r="CK211" s="2212"/>
      <c r="CL211" s="2212"/>
      <c r="CM211" s="2212"/>
      <c r="CN211" s="2212"/>
      <c r="CO211" s="2212"/>
      <c r="CP211" s="2213"/>
      <c r="CQ211" s="2226"/>
      <c r="CR211" s="2212"/>
      <c r="CS211" s="2212"/>
      <c r="CT211" s="2212"/>
      <c r="CU211" s="2212"/>
      <c r="CV211" s="2212"/>
      <c r="CW211" s="2212"/>
      <c r="CX211" s="2213"/>
      <c r="CY211" s="2226"/>
      <c r="CZ211" s="2212"/>
      <c r="DA211" s="2212"/>
      <c r="DB211" s="2212"/>
      <c r="DC211" s="2212"/>
      <c r="DD211" s="2212"/>
      <c r="DE211" s="2212"/>
      <c r="DF211" s="2212"/>
      <c r="DG211" s="100"/>
      <c r="DH211" s="976"/>
      <c r="DI211" s="958"/>
      <c r="DJ211" s="958"/>
      <c r="DK211" s="958"/>
      <c r="DL211" s="910"/>
      <c r="DM211" s="910"/>
      <c r="DN211" s="910"/>
      <c r="DO211" s="910"/>
      <c r="DP211" s="910"/>
      <c r="DQ211" s="910"/>
      <c r="DR211" s="910"/>
      <c r="DS211" s="910"/>
      <c r="DT211" s="910"/>
      <c r="DU211" s="910"/>
      <c r="DV211" s="910"/>
      <c r="DW211" s="910"/>
      <c r="DX211" s="910"/>
      <c r="DY211" s="910"/>
      <c r="DZ211" s="910"/>
      <c r="EA211" s="910"/>
      <c r="EB211" s="910"/>
      <c r="EC211" s="910"/>
      <c r="ED211" s="910"/>
      <c r="EE211" s="910"/>
      <c r="EF211" s="910"/>
      <c r="EG211" s="910"/>
      <c r="EH211" s="910"/>
      <c r="EI211" s="910"/>
      <c r="EJ211" s="910"/>
      <c r="EK211" s="910"/>
      <c r="EL211" s="910"/>
      <c r="EM211" s="910"/>
      <c r="EN211" s="910"/>
      <c r="EO211" s="910"/>
      <c r="EP211" s="910"/>
      <c r="EQ211" s="910"/>
      <c r="ER211" s="910"/>
      <c r="ES211" s="910"/>
      <c r="ET211" s="910"/>
      <c r="EU211" s="910"/>
      <c r="EV211" s="910"/>
      <c r="EW211" s="910"/>
      <c r="EX211" s="910"/>
      <c r="EY211" s="910"/>
      <c r="EZ211" s="910"/>
      <c r="FA211" s="910"/>
      <c r="FB211" s="910"/>
      <c r="FC211" s="910"/>
      <c r="FD211" s="910"/>
      <c r="FE211" s="910"/>
      <c r="FF211" s="910"/>
      <c r="FG211" s="910"/>
      <c r="FH211" s="910"/>
      <c r="FI211" s="910"/>
      <c r="FJ211" s="910"/>
      <c r="FK211" s="910"/>
    </row>
    <row r="212" spans="1:169" ht="9" customHeight="1" thickTop="1" thickBot="1">
      <c r="A212" s="910"/>
      <c r="B212" s="910"/>
      <c r="C212" s="910"/>
      <c r="D212" s="910"/>
      <c r="E212" s="910"/>
      <c r="F212" s="910"/>
      <c r="G212" s="910"/>
      <c r="H212" s="910"/>
      <c r="I212" s="910"/>
      <c r="J212" s="910"/>
      <c r="K212" s="910"/>
      <c r="L212" s="91"/>
      <c r="M212" s="713"/>
      <c r="N212" s="713"/>
      <c r="O212" s="713"/>
      <c r="P212" s="713"/>
      <c r="Q212" s="713"/>
      <c r="R212" s="713"/>
      <c r="S212" s="713"/>
      <c r="T212" s="713"/>
      <c r="U212" s="713"/>
      <c r="V212" s="713"/>
      <c r="W212" s="713"/>
      <c r="X212" s="713"/>
      <c r="Y212" s="713"/>
      <c r="Z212" s="713"/>
      <c r="AA212" s="713"/>
      <c r="AB212" s="713"/>
      <c r="AC212" s="713"/>
      <c r="AD212" s="713"/>
      <c r="AE212" s="713"/>
      <c r="AF212" s="713"/>
      <c r="AG212" s="713"/>
      <c r="AH212" s="713"/>
      <c r="AI212" s="713"/>
      <c r="AJ212" s="713"/>
      <c r="AK212" s="713"/>
      <c r="AL212" s="713"/>
      <c r="AM212" s="713"/>
      <c r="AN212" s="713"/>
      <c r="AO212" s="713"/>
      <c r="AP212" s="713"/>
      <c r="AQ212" s="713"/>
      <c r="AR212" s="713"/>
      <c r="AS212" s="713"/>
      <c r="AT212" s="713"/>
      <c r="AU212" s="713"/>
      <c r="AV212" s="713"/>
      <c r="AW212" s="1119"/>
      <c r="AX212" s="90"/>
      <c r="AY212" s="710"/>
      <c r="AZ212" s="710"/>
      <c r="BA212" s="649"/>
      <c r="BB212" s="2240"/>
      <c r="BC212" s="2240"/>
      <c r="BD212" s="2240"/>
      <c r="BE212" s="2240"/>
      <c r="BF212" s="2240"/>
      <c r="BG212" s="2240"/>
      <c r="BH212" s="2240"/>
      <c r="BI212" s="2240"/>
      <c r="BJ212" s="2240"/>
      <c r="BK212" s="2240"/>
      <c r="BL212" s="2240"/>
      <c r="BM212" s="2240"/>
      <c r="BN212" s="2240"/>
      <c r="BO212" s="2240"/>
      <c r="BP212" s="93"/>
      <c r="BQ212" s="910"/>
      <c r="BR212" s="649"/>
      <c r="BS212" s="2223"/>
      <c r="BT212" s="2223"/>
      <c r="BU212" s="2223"/>
      <c r="BV212" s="2223"/>
      <c r="BW212" s="2223"/>
      <c r="BX212" s="2223"/>
      <c r="BY212" s="2223"/>
      <c r="BZ212" s="2224"/>
      <c r="CA212" s="2227"/>
      <c r="CB212" s="2223"/>
      <c r="CC212" s="2223"/>
      <c r="CD212" s="2223"/>
      <c r="CE212" s="2223"/>
      <c r="CF212" s="2223"/>
      <c r="CG212" s="2223"/>
      <c r="CH212" s="2224"/>
      <c r="CI212" s="2223"/>
      <c r="CJ212" s="2223"/>
      <c r="CK212" s="2223"/>
      <c r="CL212" s="2223"/>
      <c r="CM212" s="2223"/>
      <c r="CN212" s="2223"/>
      <c r="CO212" s="2223"/>
      <c r="CP212" s="2224"/>
      <c r="CQ212" s="2227"/>
      <c r="CR212" s="2223"/>
      <c r="CS212" s="2223"/>
      <c r="CT212" s="2223"/>
      <c r="CU212" s="2223"/>
      <c r="CV212" s="2223"/>
      <c r="CW212" s="2223"/>
      <c r="CX212" s="2224"/>
      <c r="CY212" s="2227"/>
      <c r="CZ212" s="2223"/>
      <c r="DA212" s="2223"/>
      <c r="DB212" s="2223"/>
      <c r="DC212" s="2223"/>
      <c r="DD212" s="2223"/>
      <c r="DE212" s="2223"/>
      <c r="DF212" s="2223"/>
      <c r="DG212" s="93"/>
      <c r="DH212" s="976"/>
      <c r="DI212" s="958"/>
      <c r="DJ212" s="958"/>
      <c r="DK212" s="958"/>
      <c r="DL212" s="910"/>
      <c r="DM212" s="910"/>
      <c r="DN212" s="910"/>
      <c r="DO212" s="910"/>
      <c r="DP212" s="910"/>
      <c r="DQ212" s="910"/>
      <c r="DR212" s="910"/>
      <c r="DS212" s="910"/>
      <c r="DT212" s="910"/>
      <c r="DU212" s="910"/>
      <c r="DV212" s="910"/>
      <c r="DW212" s="910"/>
      <c r="DX212" s="910"/>
      <c r="DY212" s="910"/>
      <c r="DZ212" s="910"/>
      <c r="EA212" s="910"/>
      <c r="EB212" s="910"/>
      <c r="EC212" s="910"/>
      <c r="ED212" s="910"/>
      <c r="EE212" s="910"/>
      <c r="EF212" s="910"/>
      <c r="EG212" s="910"/>
      <c r="EH212" s="910"/>
      <c r="EI212" s="910"/>
      <c r="EJ212" s="910"/>
      <c r="EK212" s="910"/>
      <c r="EL212" s="910"/>
      <c r="EM212" s="910"/>
      <c r="EN212" s="910"/>
      <c r="EO212" s="910"/>
      <c r="EP212" s="910"/>
      <c r="EQ212" s="910"/>
      <c r="ER212" s="910"/>
      <c r="ES212" s="910"/>
      <c r="ET212" s="910"/>
      <c r="EU212" s="910"/>
      <c r="EV212" s="910"/>
      <c r="EW212" s="910"/>
      <c r="EX212" s="910"/>
      <c r="EY212" s="910"/>
      <c r="EZ212" s="910"/>
      <c r="FA212" s="910"/>
      <c r="FB212" s="910"/>
      <c r="FC212" s="910"/>
      <c r="FD212" s="910"/>
      <c r="FE212" s="910"/>
      <c r="FF212" s="910"/>
      <c r="FG212" s="910"/>
      <c r="FH212" s="910"/>
      <c r="FI212" s="910"/>
      <c r="FJ212" s="910"/>
      <c r="FK212" s="910"/>
    </row>
    <row r="213" spans="1:169" ht="9" customHeight="1" thickTop="1">
      <c r="A213" s="910"/>
      <c r="B213" s="910"/>
      <c r="C213" s="910"/>
      <c r="D213" s="910"/>
      <c r="E213" s="910"/>
      <c r="F213" s="910"/>
      <c r="G213" s="910"/>
      <c r="H213" s="910"/>
      <c r="I213" s="910"/>
      <c r="J213" s="910"/>
      <c r="K213" s="910"/>
      <c r="L213" s="1104"/>
      <c r="M213" s="1104"/>
      <c r="N213" s="1104"/>
      <c r="O213" s="1104"/>
      <c r="P213" s="1104"/>
      <c r="Q213" s="1104"/>
      <c r="R213" s="1104"/>
      <c r="S213" s="1104"/>
      <c r="T213" s="1104"/>
      <c r="U213" s="1104"/>
      <c r="V213" s="1104"/>
      <c r="W213" s="1104"/>
      <c r="X213" s="1104"/>
      <c r="Y213" s="1104"/>
      <c r="Z213" s="1104"/>
      <c r="AA213" s="1104"/>
      <c r="AB213" s="1104"/>
      <c r="AC213" s="1104"/>
      <c r="AD213" s="1104"/>
      <c r="AE213" s="1104"/>
      <c r="AF213" s="1104"/>
      <c r="AG213" s="1104"/>
      <c r="AH213" s="1104"/>
      <c r="AI213" s="1104"/>
      <c r="AJ213" s="1104"/>
      <c r="AK213" s="1104"/>
      <c r="AL213" s="1104"/>
      <c r="AM213" s="1104"/>
      <c r="AN213" s="1104"/>
      <c r="AO213" s="1104"/>
      <c r="AP213" s="1104"/>
      <c r="AQ213" s="1104"/>
      <c r="AR213" s="1104"/>
      <c r="AS213" s="1104"/>
      <c r="AT213" s="1104"/>
      <c r="AU213" s="1104"/>
      <c r="AV213" s="1104"/>
      <c r="AW213" s="1104"/>
      <c r="AX213" s="1104"/>
      <c r="AY213" s="1104"/>
      <c r="AZ213" s="910"/>
      <c r="BA213" s="910"/>
      <c r="BB213" s="910"/>
      <c r="BC213" s="910"/>
      <c r="BD213" s="910"/>
      <c r="BE213" s="910"/>
      <c r="BF213" s="910"/>
      <c r="BG213" s="910"/>
      <c r="BH213" s="910"/>
      <c r="BI213" s="910"/>
      <c r="BJ213" s="910"/>
      <c r="BK213" s="910"/>
      <c r="BL213" s="910"/>
      <c r="BM213" s="910"/>
      <c r="BN213" s="910"/>
      <c r="BO213" s="910"/>
      <c r="BP213" s="910"/>
      <c r="BQ213" s="910"/>
      <c r="BR213" s="910"/>
      <c r="BS213" s="910"/>
      <c r="BT213" s="910"/>
      <c r="BU213" s="910"/>
      <c r="BV213" s="910"/>
      <c r="BW213" s="910"/>
      <c r="BX213" s="910"/>
      <c r="BY213" s="910"/>
      <c r="BZ213" s="910"/>
      <c r="CA213" s="910"/>
      <c r="CB213" s="910"/>
      <c r="CC213" s="910"/>
      <c r="CD213" s="910"/>
      <c r="CE213" s="910"/>
      <c r="CF213" s="910"/>
      <c r="CG213" s="910"/>
      <c r="CH213" s="910"/>
      <c r="CI213" s="910"/>
      <c r="CJ213" s="910"/>
      <c r="CK213" s="910"/>
      <c r="CL213" s="910"/>
      <c r="CM213" s="910"/>
      <c r="CN213" s="910"/>
      <c r="CO213" s="910"/>
      <c r="CP213" s="910"/>
      <c r="CQ213" s="910"/>
      <c r="CR213" s="910"/>
      <c r="CS213" s="910"/>
      <c r="CT213" s="910"/>
      <c r="CU213" s="910"/>
      <c r="CV213" s="910"/>
      <c r="CW213" s="910"/>
      <c r="CX213" s="910"/>
      <c r="CY213" s="910"/>
      <c r="CZ213" s="910"/>
      <c r="DA213" s="910"/>
      <c r="DB213" s="910"/>
      <c r="DC213" s="910"/>
      <c r="DD213" s="910"/>
      <c r="DE213" s="910"/>
      <c r="DF213" s="910"/>
      <c r="DG213" s="910"/>
      <c r="DI213" s="958"/>
      <c r="DJ213" s="958"/>
      <c r="DK213" s="958"/>
      <c r="DL213" s="910"/>
      <c r="DM213" s="910"/>
      <c r="DN213" s="910"/>
      <c r="DO213" s="910"/>
      <c r="DP213" s="910"/>
      <c r="DQ213" s="910"/>
      <c r="DR213" s="910"/>
      <c r="DS213" s="910"/>
      <c r="DT213" s="910"/>
      <c r="DU213" s="910"/>
      <c r="DV213" s="910"/>
      <c r="DW213" s="910"/>
      <c r="DX213" s="910"/>
      <c r="DY213" s="910"/>
      <c r="DZ213" s="910"/>
      <c r="EA213" s="910"/>
      <c r="EB213" s="910"/>
      <c r="EC213" s="910"/>
      <c r="ED213" s="910"/>
      <c r="EE213" s="910"/>
      <c r="EF213" s="910"/>
      <c r="EG213" s="910"/>
      <c r="EH213" s="910"/>
      <c r="EI213" s="910"/>
      <c r="EJ213" s="910"/>
      <c r="EK213" s="910"/>
      <c r="EL213" s="910"/>
      <c r="EM213" s="910"/>
      <c r="EN213" s="910"/>
      <c r="EO213" s="910"/>
      <c r="EP213" s="910"/>
      <c r="EQ213" s="910"/>
      <c r="ER213" s="910"/>
      <c r="ES213" s="910"/>
      <c r="ET213" s="910"/>
      <c r="EU213" s="910"/>
      <c r="EV213" s="910"/>
      <c r="EW213" s="910"/>
      <c r="EX213" s="910"/>
      <c r="EY213" s="910"/>
      <c r="EZ213" s="910"/>
      <c r="FA213" s="910"/>
      <c r="FB213" s="910"/>
      <c r="FC213" s="910"/>
      <c r="FD213" s="910"/>
      <c r="FE213" s="910"/>
      <c r="FF213" s="910"/>
      <c r="FG213" s="910"/>
      <c r="FH213" s="910"/>
      <c r="FI213" s="910"/>
      <c r="FJ213" s="910"/>
      <c r="FK213" s="910"/>
    </row>
    <row r="214" spans="1:169" ht="9" customHeight="1" thickBot="1">
      <c r="A214" s="910"/>
      <c r="B214" s="910"/>
      <c r="C214" s="910"/>
      <c r="D214" s="942"/>
      <c r="E214" s="942"/>
      <c r="F214" s="942"/>
      <c r="G214" s="942"/>
      <c r="H214" s="942"/>
      <c r="I214" s="942"/>
      <c r="J214" s="942"/>
      <c r="K214" s="942"/>
      <c r="L214" s="942"/>
      <c r="M214" s="942"/>
      <c r="N214" s="942"/>
      <c r="O214" s="942"/>
      <c r="P214" s="942"/>
      <c r="Q214" s="942"/>
      <c r="R214" s="942"/>
      <c r="S214" s="942"/>
      <c r="T214" s="942"/>
      <c r="U214" s="942"/>
      <c r="V214" s="942"/>
      <c r="W214" s="942"/>
      <c r="X214" s="942"/>
      <c r="Y214" s="942"/>
      <c r="Z214" s="942"/>
      <c r="AA214" s="942"/>
      <c r="AB214" s="942"/>
      <c r="AC214" s="942"/>
      <c r="AD214" s="942"/>
      <c r="AE214" s="942"/>
      <c r="AF214" s="942"/>
      <c r="AG214" s="942"/>
      <c r="AH214" s="942"/>
      <c r="AI214" s="942"/>
      <c r="AJ214" s="942"/>
      <c r="AK214" s="942"/>
      <c r="AL214" s="942"/>
      <c r="AM214" s="942"/>
      <c r="AN214" s="942"/>
      <c r="AO214" s="942"/>
      <c r="AP214" s="942"/>
      <c r="AQ214" s="942"/>
      <c r="AR214" s="942"/>
      <c r="AS214" s="942"/>
      <c r="AT214" s="942"/>
      <c r="AU214" s="942"/>
      <c r="AV214" s="942"/>
      <c r="AW214" s="942"/>
      <c r="AX214" s="942"/>
      <c r="AY214" s="942"/>
      <c r="AZ214" s="942"/>
      <c r="BA214" s="942"/>
      <c r="BB214" s="942"/>
      <c r="BC214" s="942"/>
      <c r="BD214" s="942"/>
      <c r="BE214" s="942"/>
      <c r="BF214" s="942"/>
      <c r="BG214" s="942"/>
      <c r="BH214" s="942"/>
      <c r="BI214" s="942"/>
      <c r="BJ214" s="942"/>
      <c r="BK214" s="942"/>
      <c r="BL214" s="942"/>
      <c r="BM214" s="942"/>
      <c r="BN214" s="942"/>
      <c r="BO214" s="942"/>
      <c r="BP214" s="942"/>
      <c r="BQ214" s="942"/>
      <c r="BR214" s="942"/>
      <c r="BS214" s="942"/>
      <c r="BT214" s="942"/>
      <c r="BU214" s="942"/>
      <c r="BV214" s="942"/>
      <c r="BW214" s="942"/>
      <c r="BX214" s="942"/>
      <c r="BY214" s="942"/>
      <c r="BZ214" s="942"/>
      <c r="CA214" s="942"/>
      <c r="CB214" s="942"/>
      <c r="CC214" s="942"/>
      <c r="CD214" s="942"/>
      <c r="CE214" s="942"/>
      <c r="CF214" s="942"/>
      <c r="CG214" s="942"/>
      <c r="CH214" s="942"/>
      <c r="CI214" s="942"/>
      <c r="CJ214" s="942"/>
      <c r="CK214" s="942"/>
      <c r="CL214" s="942"/>
      <c r="CM214" s="942"/>
      <c r="CN214" s="942"/>
      <c r="CO214" s="942"/>
      <c r="CP214" s="942"/>
      <c r="CQ214" s="942"/>
      <c r="CR214" s="942"/>
      <c r="CS214" s="942"/>
      <c r="CT214" s="942"/>
      <c r="CU214" s="942"/>
      <c r="CV214" s="942"/>
      <c r="CW214" s="942"/>
      <c r="CX214" s="942"/>
      <c r="CY214" s="942"/>
      <c r="CZ214" s="942"/>
      <c r="DA214" s="942"/>
      <c r="DB214" s="942"/>
      <c r="DC214" s="942"/>
      <c r="DD214" s="942"/>
      <c r="DE214" s="942"/>
      <c r="DF214" s="942"/>
      <c r="DG214" s="942"/>
      <c r="DH214" s="978"/>
      <c r="DI214" s="942"/>
      <c r="DJ214" s="942"/>
      <c r="DK214" s="942"/>
      <c r="DL214" s="910"/>
      <c r="DM214" s="910"/>
      <c r="DN214" s="910"/>
      <c r="DO214" s="910"/>
      <c r="DP214" s="910"/>
      <c r="DQ214" s="910"/>
      <c r="DR214" s="910"/>
      <c r="DS214" s="910"/>
      <c r="DT214" s="910"/>
      <c r="DU214" s="910"/>
      <c r="DV214" s="910"/>
      <c r="DW214" s="910"/>
      <c r="DX214" s="910"/>
      <c r="DY214" s="910"/>
      <c r="DZ214" s="910"/>
      <c r="EA214" s="910"/>
      <c r="EB214" s="910"/>
      <c r="EC214" s="910"/>
      <c r="ED214" s="910"/>
      <c r="EE214" s="910"/>
      <c r="EF214" s="910"/>
      <c r="EG214" s="910"/>
      <c r="EH214" s="910"/>
      <c r="EI214" s="910"/>
      <c r="EJ214" s="910"/>
      <c r="EK214" s="910"/>
      <c r="EL214" s="910"/>
      <c r="EM214" s="910"/>
      <c r="EN214" s="910"/>
      <c r="EO214" s="910"/>
      <c r="EP214" s="910"/>
      <c r="EQ214" s="910"/>
      <c r="ER214" s="910"/>
      <c r="ES214" s="910"/>
      <c r="ET214" s="910"/>
      <c r="EU214" s="910"/>
      <c r="EV214" s="910"/>
      <c r="EW214" s="910"/>
      <c r="EX214" s="910"/>
      <c r="EY214" s="910"/>
      <c r="EZ214" s="910"/>
      <c r="FA214" s="910"/>
      <c r="FB214" s="910"/>
      <c r="FC214" s="910"/>
      <c r="FD214" s="910"/>
      <c r="FE214" s="910"/>
      <c r="FF214" s="910"/>
      <c r="FG214" s="910"/>
      <c r="FH214" s="910"/>
      <c r="FI214" s="910"/>
      <c r="FJ214" s="910"/>
      <c r="FK214" s="910"/>
    </row>
    <row r="215" spans="1:169" ht="9" customHeight="1">
      <c r="A215" s="910"/>
      <c r="B215" s="910"/>
      <c r="C215" s="910"/>
      <c r="D215" s="910"/>
      <c r="E215" s="910"/>
      <c r="F215" s="910"/>
      <c r="G215" s="910"/>
      <c r="H215" s="910"/>
      <c r="I215" s="910"/>
      <c r="J215" s="910"/>
      <c r="K215" s="910"/>
      <c r="L215" s="910"/>
      <c r="M215" s="910"/>
      <c r="N215" s="910"/>
      <c r="O215" s="910"/>
      <c r="P215" s="910"/>
      <c r="Q215" s="910"/>
      <c r="R215" s="910"/>
      <c r="S215" s="910"/>
      <c r="T215" s="910"/>
      <c r="U215" s="910"/>
      <c r="V215" s="910"/>
      <c r="W215" s="910"/>
      <c r="X215" s="910"/>
      <c r="Y215" s="910"/>
      <c r="Z215" s="910"/>
      <c r="AA215" s="910"/>
      <c r="AB215" s="910"/>
      <c r="AC215" s="910"/>
      <c r="AD215" s="910"/>
      <c r="AE215" s="910"/>
      <c r="AF215" s="910"/>
      <c r="AG215" s="910"/>
      <c r="AH215" s="910"/>
      <c r="AI215" s="910"/>
      <c r="AJ215" s="910"/>
      <c r="AK215" s="910"/>
      <c r="AL215" s="910"/>
      <c r="AM215" s="910"/>
      <c r="AN215" s="910"/>
      <c r="AO215" s="910"/>
      <c r="AP215" s="910"/>
      <c r="AQ215" s="910"/>
      <c r="AR215" s="910"/>
      <c r="AS215" s="910"/>
      <c r="AT215" s="910"/>
      <c r="AU215" s="910"/>
      <c r="AV215" s="910"/>
      <c r="AW215" s="910"/>
      <c r="AX215" s="910"/>
      <c r="AY215" s="910"/>
      <c r="AZ215" s="910"/>
      <c r="BA215" s="910"/>
      <c r="BB215" s="910"/>
      <c r="BC215" s="910"/>
      <c r="BD215" s="910"/>
      <c r="BE215" s="910"/>
      <c r="BF215" s="910"/>
      <c r="BG215" s="910"/>
      <c r="BH215" s="910"/>
      <c r="BI215" s="910"/>
      <c r="BJ215" s="910"/>
      <c r="BK215" s="910"/>
      <c r="BL215" s="910"/>
      <c r="BM215" s="910"/>
      <c r="BN215" s="910"/>
      <c r="BO215" s="910"/>
      <c r="BP215" s="910"/>
      <c r="BQ215" s="910"/>
      <c r="BR215" s="910"/>
      <c r="BS215" s="910"/>
      <c r="BT215" s="2246">
        <f ca="1">IF(NOT(ISERROR(FIND(INDEX(MultiattackProficiencyTable,MATCH(INDEX(WeaponTable,MATCH(Weapons!BC$11,WeaponList,0),5),MultiattackProficiencyType,0),1),TalentsTakenList,1))),INDEX(MultiattackProficiencyTable,MATCH(INDEX(WeaponTable,MATCH(Weapons!BC$11,WeaponList,0),5),MultiattackProficiencyType,0),2),0)</f>
        <v>0</v>
      </c>
      <c r="BU215" s="2246"/>
      <c r="BV215" s="2246"/>
      <c r="BW215" s="2246"/>
      <c r="BX215" s="910"/>
      <c r="BY215" s="910"/>
      <c r="BZ215" s="910"/>
      <c r="CA215" s="910"/>
      <c r="CB215" s="910"/>
      <c r="CC215" s="910"/>
      <c r="CD215" s="910"/>
      <c r="CE215" s="910"/>
      <c r="CF215" s="910"/>
      <c r="CG215" s="910"/>
      <c r="CH215" s="910"/>
      <c r="CI215" s="910"/>
      <c r="CJ215" s="910"/>
      <c r="CK215" s="910"/>
      <c r="CL215" s="910"/>
      <c r="CM215" s="910"/>
      <c r="CN215" s="910"/>
      <c r="CO215" s="910"/>
      <c r="CP215" s="910"/>
      <c r="CQ215" s="910"/>
      <c r="CR215" s="910"/>
      <c r="CS215" s="910"/>
      <c r="CT215" s="910"/>
      <c r="CU215" s="910"/>
      <c r="CV215" s="910"/>
      <c r="CW215" s="910"/>
      <c r="CX215" s="910"/>
      <c r="CY215" s="910"/>
      <c r="CZ215" s="910"/>
      <c r="DA215" s="910"/>
      <c r="DB215" s="910"/>
      <c r="DC215" s="910"/>
      <c r="DD215" s="910"/>
      <c r="DE215" s="910"/>
      <c r="DF215" s="910"/>
      <c r="DG215" s="910"/>
      <c r="DI215" s="958"/>
      <c r="DJ215" s="958"/>
      <c r="DK215" s="958"/>
      <c r="DL215" s="910"/>
      <c r="DM215" s="910"/>
      <c r="DN215" s="910"/>
      <c r="DO215" s="910"/>
      <c r="DP215" s="910"/>
      <c r="DQ215" s="910"/>
      <c r="DR215" s="910"/>
      <c r="DS215" s="910"/>
      <c r="DT215" s="910"/>
      <c r="DU215" s="910"/>
      <c r="DV215" s="910"/>
      <c r="DW215" s="910"/>
      <c r="DX215" s="910"/>
      <c r="DY215" s="910"/>
      <c r="DZ215" s="910"/>
      <c r="EA215" s="910"/>
      <c r="EB215" s="910"/>
      <c r="EC215" s="910"/>
      <c r="ED215" s="910"/>
      <c r="EE215" s="910"/>
      <c r="EF215" s="910"/>
      <c r="EG215" s="910"/>
      <c r="EH215" s="910"/>
      <c r="EI215" s="910"/>
      <c r="EJ215" s="910"/>
      <c r="EK215" s="910"/>
      <c r="EL215" s="910"/>
      <c r="EM215" s="910"/>
      <c r="EN215" s="910"/>
      <c r="EO215" s="910"/>
      <c r="EP215" s="910"/>
      <c r="EQ215" s="910"/>
      <c r="ER215" s="910"/>
      <c r="ES215" s="910"/>
      <c r="ET215" s="910"/>
      <c r="EU215" s="910"/>
      <c r="EV215" s="910"/>
      <c r="EW215" s="910"/>
      <c r="EX215" s="910"/>
      <c r="EY215" s="910"/>
      <c r="EZ215" s="910"/>
      <c r="FA215" s="910"/>
      <c r="FB215" s="910"/>
      <c r="FC215" s="910"/>
      <c r="FD215" s="910"/>
      <c r="FE215" s="910"/>
      <c r="FF215" s="910"/>
      <c r="FG215" s="910"/>
      <c r="FH215" s="910"/>
      <c r="FI215" s="910"/>
      <c r="FJ215" s="910"/>
      <c r="FK215" s="910"/>
    </row>
    <row r="216" spans="1:169" ht="9" customHeight="1" thickBot="1">
      <c r="A216" s="910"/>
      <c r="B216" s="910"/>
      <c r="C216" s="910"/>
      <c r="D216" s="910"/>
      <c r="E216" s="910"/>
      <c r="F216" s="910"/>
      <c r="G216" s="910"/>
      <c r="H216" s="910"/>
      <c r="I216" s="910"/>
      <c r="J216" s="910"/>
      <c r="K216" s="910"/>
      <c r="L216" s="910"/>
      <c r="M216" s="910"/>
      <c r="N216" s="910"/>
      <c r="O216" s="910"/>
      <c r="P216" s="910"/>
      <c r="Q216" s="910"/>
      <c r="R216" s="910"/>
      <c r="S216" s="910"/>
      <c r="T216" s="910"/>
      <c r="U216" s="910"/>
      <c r="V216" s="910"/>
      <c r="W216" s="910"/>
      <c r="X216" s="910"/>
      <c r="Y216" s="910"/>
      <c r="Z216" s="910"/>
      <c r="AA216" s="910"/>
      <c r="AB216" s="910"/>
      <c r="AC216" s="910"/>
      <c r="AD216" s="910"/>
      <c r="AE216" s="910"/>
      <c r="AF216" s="910"/>
      <c r="AG216" s="910"/>
      <c r="AH216" s="910"/>
      <c r="AI216" s="910"/>
      <c r="AJ216" s="910"/>
      <c r="AK216" s="910"/>
      <c r="AL216" s="910"/>
      <c r="AM216" s="910"/>
      <c r="AN216" s="910"/>
      <c r="AO216" s="910"/>
      <c r="AP216" s="910"/>
      <c r="AQ216" s="910"/>
      <c r="AR216" s="910"/>
      <c r="AS216" s="910"/>
      <c r="AT216" s="910"/>
      <c r="AU216" s="910"/>
      <c r="AV216" s="910"/>
      <c r="AW216" s="910"/>
      <c r="AX216" s="910"/>
      <c r="AY216" s="910"/>
      <c r="AZ216" s="910"/>
      <c r="BA216" s="910"/>
      <c r="BB216" s="910"/>
      <c r="BC216" s="910"/>
      <c r="BD216" s="910"/>
      <c r="BE216" s="910"/>
      <c r="BF216" s="910"/>
      <c r="BG216" s="910"/>
      <c r="BH216" s="910"/>
      <c r="BI216" s="910"/>
      <c r="BJ216" s="910"/>
      <c r="BK216" s="910"/>
      <c r="BL216" s="910"/>
      <c r="BM216" s="910"/>
      <c r="BN216" s="910"/>
      <c r="BO216" s="910"/>
      <c r="BP216" s="910"/>
      <c r="BQ216" s="910"/>
      <c r="BR216" s="910"/>
      <c r="BS216" s="910"/>
      <c r="BT216" s="2181" t="e">
        <f ca="1">MIN(IF(INDEX(WeaponTable,MATCH(Weapons!BC$11,WeaponList,0),4)&lt;&gt;"EWP",BT215,IF(NOT(ISERROR(FIND(Lists!$CC$8,TalentsTakenList,1))),Lists!$CD$8,0))-5,0)</f>
        <v>#N/A</v>
      </c>
      <c r="BU216" s="2181"/>
      <c r="BV216" s="2181"/>
      <c r="BW216" s="2181"/>
      <c r="BX216" s="2181" t="e">
        <f ca="1">MIN(IF(INDEX(WeaponTable,MATCH(Weapons!BC$11,WeaponList,0),4)&lt;&gt;"EWP",BT215,IF(NOT(ISERROR(FIND(Lists!$CC$8,TalentsTakenList,1))),Lists!$CD$8,0))-10,0)</f>
        <v>#N/A</v>
      </c>
      <c r="BY216" s="2181"/>
      <c r="BZ216" s="2181"/>
      <c r="CA216" s="2181"/>
      <c r="CB216" s="910"/>
      <c r="CC216" s="910"/>
      <c r="CD216" s="910"/>
      <c r="CE216" s="910"/>
      <c r="CF216" s="910"/>
      <c r="CG216" s="910"/>
      <c r="CH216" s="910"/>
      <c r="CI216" s="910"/>
      <c r="CJ216" s="910"/>
      <c r="CK216" s="910"/>
      <c r="CL216" s="910"/>
      <c r="CM216" s="910"/>
      <c r="CN216" s="910"/>
      <c r="CO216" s="910"/>
      <c r="CP216" s="910"/>
      <c r="CQ216" s="910"/>
      <c r="CR216" s="910"/>
      <c r="CS216" s="910"/>
      <c r="CT216" s="910"/>
      <c r="CU216" s="910"/>
      <c r="CV216" s="910"/>
      <c r="CW216" s="910"/>
      <c r="CX216" s="910"/>
      <c r="CY216" s="910"/>
      <c r="CZ216" s="910"/>
      <c r="DA216" s="910"/>
      <c r="DB216" s="910"/>
      <c r="DC216" s="910"/>
      <c r="DD216" s="910"/>
      <c r="DE216" s="910"/>
      <c r="DF216" s="910"/>
      <c r="DG216" s="910"/>
      <c r="DI216" s="958"/>
      <c r="DJ216" s="958"/>
      <c r="DK216" s="958"/>
      <c r="DL216" s="910"/>
      <c r="DM216" s="910"/>
      <c r="DN216" s="910"/>
      <c r="DO216" s="910"/>
      <c r="DP216" s="910"/>
      <c r="DQ216" s="910"/>
      <c r="DR216" s="910"/>
      <c r="DS216" s="910"/>
      <c r="DT216" s="910"/>
      <c r="DU216" s="910"/>
      <c r="DV216" s="910"/>
      <c r="DW216" s="910"/>
      <c r="DX216" s="910"/>
      <c r="DY216" s="910"/>
      <c r="DZ216" s="910"/>
      <c r="EA216" s="910"/>
      <c r="EB216" s="910"/>
      <c r="EC216" s="910"/>
      <c r="ED216" s="910"/>
      <c r="EE216" s="910"/>
      <c r="EF216" s="910"/>
      <c r="EG216" s="910"/>
      <c r="EH216" s="910"/>
      <c r="EI216" s="910"/>
      <c r="EJ216" s="910"/>
      <c r="EK216" s="910"/>
      <c r="EL216" s="910"/>
      <c r="EM216" s="910"/>
      <c r="EN216" s="910"/>
      <c r="EO216" s="910"/>
      <c r="EP216" s="910"/>
      <c r="EQ216" s="910"/>
      <c r="ER216" s="910"/>
      <c r="ES216" s="910"/>
      <c r="ET216" s="910"/>
      <c r="EU216" s="910"/>
      <c r="EV216" s="910"/>
      <c r="EW216" s="910"/>
      <c r="EX216" s="910"/>
      <c r="EY216" s="910"/>
      <c r="EZ216" s="910"/>
      <c r="FA216" s="910"/>
      <c r="FB216" s="910"/>
      <c r="FC216" s="910"/>
      <c r="FD216" s="910"/>
      <c r="FE216" s="910"/>
      <c r="FF216" s="910"/>
      <c r="FG216" s="910"/>
      <c r="FH216" s="910"/>
      <c r="FI216" s="910"/>
      <c r="FJ216" s="910"/>
      <c r="FK216" s="910"/>
    </row>
    <row r="217" spans="1:169" ht="9" customHeight="1" thickTop="1" thickBot="1">
      <c r="A217" s="910"/>
      <c r="B217" s="910"/>
      <c r="C217" s="87"/>
      <c r="D217" s="109"/>
      <c r="E217" s="913"/>
      <c r="F217" s="913"/>
      <c r="G217" s="913"/>
      <c r="H217" s="913"/>
      <c r="I217" s="93"/>
      <c r="J217" s="2182" t="s">
        <v>3611</v>
      </c>
      <c r="K217" s="2182"/>
      <c r="L217" s="2182"/>
      <c r="M217" s="2182"/>
      <c r="N217" s="2182"/>
      <c r="O217" s="2182"/>
      <c r="P217" s="2182"/>
      <c r="Q217" s="2182"/>
      <c r="R217" s="113"/>
      <c r="S217" s="87"/>
      <c r="T217" s="910"/>
      <c r="U217" s="910"/>
      <c r="V217" s="87"/>
      <c r="W217" s="87"/>
      <c r="X217" s="87"/>
      <c r="Y217" s="87"/>
      <c r="Z217" s="87"/>
      <c r="AA217" s="87"/>
      <c r="AB217" s="87"/>
      <c r="AC217" s="87"/>
      <c r="AD217" s="87"/>
      <c r="AE217" s="87"/>
      <c r="AF217" s="87"/>
      <c r="AG217" s="87"/>
      <c r="AH217" s="87"/>
      <c r="AI217" s="87"/>
      <c r="AJ217" s="87"/>
      <c r="AK217" s="87"/>
      <c r="AL217" s="87"/>
      <c r="AM217" s="87"/>
      <c r="AN217" s="913"/>
      <c r="AO217" s="913"/>
      <c r="AP217" s="93"/>
      <c r="AQ217" s="2179" t="str">
        <f>Weapons!BC$12</f>
        <v/>
      </c>
      <c r="AR217" s="2179"/>
      <c r="AS217" s="2179"/>
      <c r="AT217" s="2179"/>
      <c r="AU217" s="2179"/>
      <c r="AV217" s="2179"/>
      <c r="AW217" s="2179"/>
      <c r="AX217" s="113"/>
      <c r="AY217" s="145"/>
      <c r="AZ217" s="145"/>
      <c r="BA217" s="145"/>
      <c r="BB217" s="145"/>
      <c r="BC217" s="145"/>
      <c r="BD217" s="145"/>
      <c r="BE217" s="145"/>
      <c r="BF217" s="145"/>
      <c r="BG217" s="145"/>
      <c r="BH217" s="145"/>
      <c r="BI217" s="145"/>
      <c r="BJ217" s="145"/>
      <c r="BK217" s="145"/>
      <c r="BL217" s="913"/>
      <c r="BM217" s="913"/>
      <c r="BN217" s="913"/>
      <c r="BO217" s="93"/>
      <c r="BP217" s="2179" t="s">
        <v>3783</v>
      </c>
      <c r="BQ217" s="2179"/>
      <c r="BR217" s="2179"/>
      <c r="BS217" s="2179"/>
      <c r="BT217" s="2179"/>
      <c r="BU217" s="2179"/>
      <c r="BV217" s="2179"/>
      <c r="BW217" s="113"/>
      <c r="BX217" s="145"/>
      <c r="BY217" s="109"/>
      <c r="BZ217" s="109"/>
      <c r="CA217" s="87"/>
      <c r="CB217" s="913"/>
      <c r="CC217" s="913"/>
      <c r="CD217" s="913"/>
      <c r="CE217" s="93"/>
      <c r="CF217" s="2182" t="s">
        <v>3612</v>
      </c>
      <c r="CG217" s="2208"/>
      <c r="CH217" s="2208"/>
      <c r="CI217" s="2208"/>
      <c r="CJ217" s="2208"/>
      <c r="CK217" s="2208"/>
      <c r="CL217" s="2208"/>
      <c r="CM217" s="2208"/>
      <c r="CN217" s="113"/>
      <c r="CO217" s="87"/>
      <c r="CP217" s="87"/>
      <c r="CQ217" s="87"/>
      <c r="CR217" s="87"/>
      <c r="CS217" s="87"/>
      <c r="CT217" s="87"/>
      <c r="CU217" s="87"/>
      <c r="CV217" s="87"/>
      <c r="CW217" s="87"/>
      <c r="CX217" s="87"/>
      <c r="CY217" s="87"/>
      <c r="CZ217" s="87"/>
      <c r="DA217" s="87"/>
      <c r="DB217" s="87"/>
      <c r="DC217" s="87"/>
      <c r="DD217" s="87"/>
      <c r="DE217" s="87"/>
      <c r="DF217" s="87"/>
      <c r="DG217" s="87"/>
      <c r="DH217" s="969"/>
      <c r="DI217" s="87"/>
      <c r="DJ217" s="87"/>
      <c r="DK217" s="87"/>
      <c r="DL217" s="87"/>
      <c r="DM217" s="910"/>
      <c r="DN217" s="910"/>
      <c r="DO217" s="910"/>
      <c r="DP217" s="910"/>
      <c r="DQ217" s="910"/>
      <c r="DR217" s="910"/>
      <c r="DS217" s="910"/>
      <c r="DT217" s="910"/>
      <c r="DU217" s="910"/>
      <c r="DV217" s="910"/>
      <c r="DW217" s="910"/>
      <c r="DX217" s="910"/>
      <c r="DY217" s="910"/>
      <c r="DZ217" s="910"/>
      <c r="EA217" s="910"/>
      <c r="EB217" s="910"/>
      <c r="EC217" s="910"/>
      <c r="ED217" s="910"/>
      <c r="EE217" s="910"/>
      <c r="EF217" s="910"/>
      <c r="EG217" s="910"/>
      <c r="EH217" s="910"/>
      <c r="EI217" s="910"/>
      <c r="EJ217" s="910"/>
      <c r="EK217" s="910"/>
      <c r="EL217" s="910"/>
      <c r="EM217" s="910"/>
      <c r="EN217" s="910"/>
      <c r="EO217" s="910"/>
      <c r="EP217" s="910"/>
      <c r="EQ217" s="910"/>
      <c r="ER217" s="910"/>
      <c r="ES217" s="910"/>
      <c r="ET217" s="910"/>
      <c r="EU217" s="910"/>
      <c r="EV217" s="910"/>
      <c r="EW217" s="910"/>
      <c r="EX217" s="910"/>
      <c r="EY217" s="910"/>
      <c r="EZ217" s="910"/>
      <c r="FA217" s="910"/>
      <c r="FB217" s="910"/>
      <c r="FC217" s="910"/>
      <c r="FD217" s="910"/>
      <c r="FE217" s="910"/>
      <c r="FF217" s="910"/>
      <c r="FG217" s="910"/>
      <c r="FH217" s="910"/>
      <c r="FI217" s="910"/>
      <c r="FJ217" s="910"/>
      <c r="FK217" s="910"/>
    </row>
    <row r="218" spans="1:169" ht="9" customHeight="1" thickTop="1">
      <c r="A218" s="910"/>
      <c r="B218" s="910"/>
      <c r="C218" s="87"/>
      <c r="D218" s="109"/>
      <c r="E218" s="913"/>
      <c r="F218" s="913"/>
      <c r="G218" s="913"/>
      <c r="H218" s="913"/>
      <c r="I218" s="102"/>
      <c r="J218" s="2180"/>
      <c r="K218" s="2180"/>
      <c r="L218" s="2180"/>
      <c r="M218" s="2180"/>
      <c r="N218" s="2180"/>
      <c r="O218" s="2180"/>
      <c r="P218" s="2180"/>
      <c r="Q218" s="2180"/>
      <c r="R218" s="589"/>
      <c r="S218" s="588"/>
      <c r="T218" s="592"/>
      <c r="U218" s="592"/>
      <c r="V218" s="593"/>
      <c r="W218" s="593"/>
      <c r="X218" s="593"/>
      <c r="Y218" s="588"/>
      <c r="Z218" s="588"/>
      <c r="AA218" s="588"/>
      <c r="AB218" s="588"/>
      <c r="AC218" s="588"/>
      <c r="AD218" s="588"/>
      <c r="AE218" s="588"/>
      <c r="AF218" s="588"/>
      <c r="AG218" s="588"/>
      <c r="AH218" s="588"/>
      <c r="AI218" s="588"/>
      <c r="AJ218" s="588"/>
      <c r="AK218" s="588"/>
      <c r="AL218" s="588"/>
      <c r="AM218" s="113"/>
      <c r="AN218" s="913"/>
      <c r="AO218" s="913"/>
      <c r="AP218" s="102"/>
      <c r="AQ218" s="2180"/>
      <c r="AR218" s="2180"/>
      <c r="AS218" s="2180"/>
      <c r="AT218" s="2180"/>
      <c r="AU218" s="2180"/>
      <c r="AV218" s="2180"/>
      <c r="AW218" s="2180"/>
      <c r="AX218" s="589"/>
      <c r="AY218" s="598"/>
      <c r="AZ218" s="598"/>
      <c r="BA218" s="598"/>
      <c r="BB218" s="598"/>
      <c r="BC218" s="598"/>
      <c r="BD218" s="598"/>
      <c r="BE218" s="598"/>
      <c r="BF218" s="598"/>
      <c r="BG218" s="598"/>
      <c r="BH218" s="598"/>
      <c r="BI218" s="598"/>
      <c r="BJ218" s="598"/>
      <c r="BK218" s="598"/>
      <c r="BL218" s="113"/>
      <c r="BM218" s="913"/>
      <c r="BN218" s="913"/>
      <c r="BO218" s="102"/>
      <c r="BP218" s="2180"/>
      <c r="BQ218" s="2180"/>
      <c r="BR218" s="2180"/>
      <c r="BS218" s="2180"/>
      <c r="BT218" s="2180"/>
      <c r="BU218" s="2180"/>
      <c r="BV218" s="2180"/>
      <c r="BW218" s="589"/>
      <c r="BX218" s="598"/>
      <c r="BY218" s="598"/>
      <c r="BZ218" s="598"/>
      <c r="CA218" s="598"/>
      <c r="CB218" s="113"/>
      <c r="CC218" s="913"/>
      <c r="CD218" s="913"/>
      <c r="CE218" s="102"/>
      <c r="CF218" s="2138"/>
      <c r="CG218" s="2138"/>
      <c r="CH218" s="2138"/>
      <c r="CI218" s="2138"/>
      <c r="CJ218" s="2138"/>
      <c r="CK218" s="2138"/>
      <c r="CL218" s="2138"/>
      <c r="CM218" s="2138"/>
      <c r="CN218" s="589"/>
      <c r="CO218" s="599"/>
      <c r="CP218" s="599"/>
      <c r="CQ218" s="599"/>
      <c r="CR218" s="599"/>
      <c r="CS218" s="599"/>
      <c r="CT218" s="599"/>
      <c r="CU218" s="599"/>
      <c r="CV218" s="599"/>
      <c r="CW218" s="599"/>
      <c r="CX218" s="599"/>
      <c r="CY218" s="599"/>
      <c r="CZ218" s="599"/>
      <c r="DA218" s="599"/>
      <c r="DB218" s="599"/>
      <c r="DC218" s="599"/>
      <c r="DD218" s="599"/>
      <c r="DE218" s="599"/>
      <c r="DF218" s="599"/>
      <c r="DG218" s="113"/>
      <c r="DH218" s="970"/>
      <c r="DI218" s="111"/>
      <c r="DJ218" s="111"/>
      <c r="DK218" s="87"/>
      <c r="DL218" s="87"/>
      <c r="DM218" s="910"/>
      <c r="DN218" s="910"/>
      <c r="DO218" s="910"/>
      <c r="DP218" s="910"/>
      <c r="DQ218" s="910"/>
      <c r="DR218" s="910"/>
      <c r="DS218" s="910"/>
      <c r="DT218" s="910"/>
      <c r="DU218" s="910"/>
      <c r="DV218" s="910"/>
      <c r="DW218" s="910"/>
      <c r="DX218" s="910"/>
      <c r="DY218" s="910"/>
      <c r="DZ218" s="910"/>
      <c r="EA218" s="910"/>
      <c r="EB218" s="910"/>
      <c r="EC218" s="910"/>
      <c r="ED218" s="910"/>
      <c r="EE218" s="910"/>
      <c r="EF218" s="910"/>
      <c r="EG218" s="910"/>
      <c r="EH218" s="910"/>
      <c r="EI218" s="910"/>
      <c r="EJ218" s="910"/>
      <c r="EK218" s="910"/>
      <c r="EL218" s="910"/>
      <c r="EM218" s="910"/>
      <c r="EN218" s="910"/>
      <c r="EO218" s="910"/>
      <c r="EP218" s="910"/>
      <c r="EQ218" s="910"/>
      <c r="ER218" s="910"/>
      <c r="ES218" s="910"/>
      <c r="ET218" s="910"/>
      <c r="EU218" s="910"/>
      <c r="EV218" s="910"/>
      <c r="EW218" s="910"/>
      <c r="EX218" s="910"/>
      <c r="EY218" s="910"/>
      <c r="EZ218" s="910"/>
      <c r="FA218" s="910"/>
      <c r="FB218" s="910"/>
      <c r="FC218" s="910"/>
      <c r="FD218" s="910"/>
      <c r="FE218" s="910"/>
      <c r="FF218" s="910"/>
      <c r="FG218" s="910"/>
      <c r="FH218" s="910"/>
      <c r="FI218" s="910"/>
      <c r="FJ218" s="910"/>
      <c r="FK218" s="910"/>
      <c r="FM218" s="1019" t="e">
        <f ca="1">FM219</f>
        <v>#N/A</v>
      </c>
    </row>
    <row r="219" spans="1:169" ht="9" customHeight="1" thickBot="1">
      <c r="A219" s="910"/>
      <c r="B219" s="910"/>
      <c r="C219" s="87"/>
      <c r="D219" s="87"/>
      <c r="E219" s="111"/>
      <c r="F219" s="111"/>
      <c r="G219" s="122"/>
      <c r="H219" s="290"/>
      <c r="I219" s="102"/>
      <c r="J219" s="1879" t="str">
        <f>Weapons!BC$7</f>
        <v/>
      </c>
      <c r="K219" s="1879"/>
      <c r="L219" s="1879"/>
      <c r="M219" s="1879"/>
      <c r="N219" s="1879"/>
      <c r="O219" s="1879"/>
      <c r="P219" s="1879"/>
      <c r="Q219" s="1879"/>
      <c r="R219" s="1879"/>
      <c r="S219" s="1879"/>
      <c r="T219" s="1879"/>
      <c r="U219" s="1879"/>
      <c r="V219" s="1879"/>
      <c r="W219" s="1879"/>
      <c r="X219" s="1879"/>
      <c r="Y219" s="1879"/>
      <c r="Z219" s="1879"/>
      <c r="AA219" s="1879"/>
      <c r="AB219" s="1879"/>
      <c r="AC219" s="1879"/>
      <c r="AD219" s="1879"/>
      <c r="AE219" s="1879"/>
      <c r="AF219" s="1879"/>
      <c r="AG219" s="1879"/>
      <c r="AH219" s="1879"/>
      <c r="AI219" s="1879"/>
      <c r="AJ219" s="1879"/>
      <c r="AK219" s="1879"/>
      <c r="AL219" s="1879"/>
      <c r="AM219" s="646"/>
      <c r="AN219" s="122"/>
      <c r="AO219" s="290"/>
      <c r="AP219" s="102"/>
      <c r="AQ219" s="2189" t="str">
        <f>IF(Weapons!BC$16&lt;&gt;"",Weapons!BC$16,"")</f>
        <v/>
      </c>
      <c r="AR219" s="2189"/>
      <c r="AS219" s="2189"/>
      <c r="AT219" s="2189"/>
      <c r="AU219" s="2189"/>
      <c r="AV219" s="2189"/>
      <c r="AW219" s="2189"/>
      <c r="AX219" s="2189"/>
      <c r="AY219" s="2189"/>
      <c r="AZ219" s="2189"/>
      <c r="BA219" s="2189"/>
      <c r="BB219" s="2189"/>
      <c r="BC219" s="2189"/>
      <c r="BD219" s="2189"/>
      <c r="BE219" s="2189"/>
      <c r="BF219" s="2189"/>
      <c r="BG219" s="2189"/>
      <c r="BH219" s="2189"/>
      <c r="BI219" s="2189"/>
      <c r="BJ219" s="2189"/>
      <c r="BK219" s="2189"/>
      <c r="BL219" s="100"/>
      <c r="BM219" s="122"/>
      <c r="BN219" s="290"/>
      <c r="BO219" s="102"/>
      <c r="BP219" s="2195" t="str">
        <f>Weapons!BC$8</f>
        <v/>
      </c>
      <c r="BQ219" s="2195"/>
      <c r="BR219" s="2195"/>
      <c r="BS219" s="2195"/>
      <c r="BT219" s="2197" t="str">
        <f>IF(BP219&lt;&gt;"",IF(COUNTIF(FeatsCharacterSheet,BT222)&gt;0,BP219+BT216,""),"")</f>
        <v/>
      </c>
      <c r="BU219" s="2198"/>
      <c r="BV219" s="2198"/>
      <c r="BW219" s="2199"/>
      <c r="BX219" s="2198" t="str">
        <f>IF(BP219&lt;&gt;"",IF(COUNTIF(FeatsCharacterSheet,BX222)&gt;0,BP219+BX216,""),"")</f>
        <v/>
      </c>
      <c r="BY219" s="2198"/>
      <c r="BZ219" s="2198"/>
      <c r="CA219" s="2198"/>
      <c r="CB219" s="100"/>
      <c r="CC219" s="122"/>
      <c r="CD219" s="290"/>
      <c r="CE219" s="102"/>
      <c r="CF219" s="1883"/>
      <c r="CG219" s="1883"/>
      <c r="CH219" s="1883"/>
      <c r="CI219" s="1883"/>
      <c r="CJ219" s="1883"/>
      <c r="CK219" s="1883"/>
      <c r="CL219" s="1883"/>
      <c r="CM219" s="1883"/>
      <c r="CN219" s="1883"/>
      <c r="CO219" s="1924" t="str">
        <f>Weapons!BC$9</f>
        <v/>
      </c>
      <c r="CP219" s="1924"/>
      <c r="CQ219" s="1924"/>
      <c r="CR219" s="1924"/>
      <c r="CS219" s="1924"/>
      <c r="CT219" s="1924"/>
      <c r="CU219" s="1924"/>
      <c r="CV219" s="1924"/>
      <c r="CW219" s="1924"/>
      <c r="CX219" s="1924"/>
      <c r="CY219" s="1924"/>
      <c r="CZ219" s="1924"/>
      <c r="DA219" s="1924"/>
      <c r="DB219" s="1924"/>
      <c r="DC219" s="1924"/>
      <c r="DD219" s="1924"/>
      <c r="DE219" s="1924"/>
      <c r="DF219" s="1924"/>
      <c r="DG219" s="656"/>
      <c r="DH219" s="971"/>
      <c r="DI219" s="122"/>
      <c r="DJ219" s="118"/>
      <c r="DK219" s="109"/>
      <c r="DL219" s="109"/>
      <c r="DM219" s="910"/>
      <c r="DN219" s="910"/>
      <c r="DO219" s="910"/>
      <c r="DP219" s="910"/>
      <c r="DQ219" s="910"/>
      <c r="DR219" s="910"/>
      <c r="DS219" s="910"/>
      <c r="DT219" s="910"/>
      <c r="DU219" s="910"/>
      <c r="DV219" s="910"/>
      <c r="DW219" s="910"/>
      <c r="DX219" s="910"/>
      <c r="DY219" s="910"/>
      <c r="DZ219" s="910"/>
      <c r="EA219" s="910"/>
      <c r="EB219" s="910"/>
      <c r="EC219" s="910"/>
      <c r="ED219" s="910"/>
      <c r="EE219" s="910"/>
      <c r="EF219" s="910"/>
      <c r="EG219" s="910"/>
      <c r="EH219" s="910"/>
      <c r="EI219" s="910"/>
      <c r="EJ219" s="910"/>
      <c r="EK219" s="910"/>
      <c r="EL219" s="910"/>
      <c r="EM219" s="910"/>
      <c r="EN219" s="910"/>
      <c r="EO219" s="910"/>
      <c r="EP219" s="910"/>
      <c r="EQ219" s="910"/>
      <c r="ER219" s="910"/>
      <c r="ES219" s="910"/>
      <c r="ET219" s="910"/>
      <c r="EU219" s="910"/>
      <c r="EV219" s="910"/>
      <c r="EW219" s="910"/>
      <c r="EX219" s="910"/>
      <c r="EY219" s="910"/>
      <c r="EZ219" s="910"/>
      <c r="FA219" s="910"/>
      <c r="FB219" s="910"/>
      <c r="FC219" s="910"/>
      <c r="FD219" s="910"/>
      <c r="FE219" s="910"/>
      <c r="FF219" s="910"/>
      <c r="FG219" s="910"/>
      <c r="FH219" s="910"/>
      <c r="FI219" s="910"/>
      <c r="FJ219" s="910"/>
      <c r="FK219" s="910"/>
      <c r="FL219" s="1020" t="e">
        <f ca="1">AQ217&amp;" "&amp;LOWER(J219)&amp;" "&amp;IF(BP219&lt;0,"","+")&amp;BP219&amp;" ("&amp;CO219&amp;IF(Weapons!BC$82&lt;&gt;"20","/"&amp;Weapons!BC$82,"")&amp;IF(Weapons!BC$83&lt;&gt;2,"/×"&amp;Weapons!BC$83,"")&amp;")"</f>
        <v>#N/A</v>
      </c>
      <c r="FM219" s="1019" t="e">
        <f ca="1">IF(FL219&lt;&gt;"",FL219&amp;IF(FM220&lt;&gt;"","
"&amp;FM220,""),FM220)</f>
        <v>#N/A</v>
      </c>
    </row>
    <row r="220" spans="1:169" ht="9" customHeight="1" thickTop="1">
      <c r="A220" s="910"/>
      <c r="B220" s="910"/>
      <c r="C220" s="87"/>
      <c r="D220" s="87"/>
      <c r="E220" s="292"/>
      <c r="F220" s="293"/>
      <c r="G220" s="111"/>
      <c r="H220" s="111"/>
      <c r="I220" s="102"/>
      <c r="J220" s="1879"/>
      <c r="K220" s="1879"/>
      <c r="L220" s="1879"/>
      <c r="M220" s="1879"/>
      <c r="N220" s="1879"/>
      <c r="O220" s="1879"/>
      <c r="P220" s="1879"/>
      <c r="Q220" s="1879"/>
      <c r="R220" s="1879"/>
      <c r="S220" s="1879"/>
      <c r="T220" s="1879"/>
      <c r="U220" s="1879"/>
      <c r="V220" s="1879"/>
      <c r="W220" s="1879"/>
      <c r="X220" s="1879"/>
      <c r="Y220" s="1879"/>
      <c r="Z220" s="1879"/>
      <c r="AA220" s="1879"/>
      <c r="AB220" s="1879"/>
      <c r="AC220" s="1879"/>
      <c r="AD220" s="1879"/>
      <c r="AE220" s="1879"/>
      <c r="AF220" s="1879"/>
      <c r="AG220" s="1879"/>
      <c r="AH220" s="1879"/>
      <c r="AI220" s="1879"/>
      <c r="AJ220" s="1879"/>
      <c r="AK220" s="1879"/>
      <c r="AL220" s="1879"/>
      <c r="AM220" s="646"/>
      <c r="AN220" s="111"/>
      <c r="AO220" s="111"/>
      <c r="AP220" s="647"/>
      <c r="AQ220" s="2189"/>
      <c r="AR220" s="2189"/>
      <c r="AS220" s="2189"/>
      <c r="AT220" s="2189"/>
      <c r="AU220" s="2189"/>
      <c r="AV220" s="2189"/>
      <c r="AW220" s="2189"/>
      <c r="AX220" s="2189"/>
      <c r="AY220" s="2189"/>
      <c r="AZ220" s="2189"/>
      <c r="BA220" s="2189"/>
      <c r="BB220" s="2189"/>
      <c r="BC220" s="2189"/>
      <c r="BD220" s="2189"/>
      <c r="BE220" s="2189"/>
      <c r="BF220" s="2189"/>
      <c r="BG220" s="2189"/>
      <c r="BH220" s="2189"/>
      <c r="BI220" s="2189"/>
      <c r="BJ220" s="2189"/>
      <c r="BK220" s="2189"/>
      <c r="BL220" s="100"/>
      <c r="BM220" s="111"/>
      <c r="BN220" s="111"/>
      <c r="BO220" s="647"/>
      <c r="BP220" s="2195"/>
      <c r="BQ220" s="2195"/>
      <c r="BR220" s="2195"/>
      <c r="BS220" s="2195"/>
      <c r="BT220" s="2200"/>
      <c r="BU220" s="2185"/>
      <c r="BV220" s="2185"/>
      <c r="BW220" s="2201"/>
      <c r="BX220" s="2185"/>
      <c r="BY220" s="2185"/>
      <c r="BZ220" s="2185"/>
      <c r="CA220" s="2185"/>
      <c r="CB220" s="100"/>
      <c r="CC220" s="111"/>
      <c r="CD220" s="111"/>
      <c r="CE220" s="102"/>
      <c r="CF220" s="1883"/>
      <c r="CG220" s="1883"/>
      <c r="CH220" s="1883"/>
      <c r="CI220" s="1883"/>
      <c r="CJ220" s="1883"/>
      <c r="CK220" s="1883"/>
      <c r="CL220" s="1883"/>
      <c r="CM220" s="1883"/>
      <c r="CN220" s="1883"/>
      <c r="CO220" s="1924"/>
      <c r="CP220" s="1924"/>
      <c r="CQ220" s="1924"/>
      <c r="CR220" s="1924"/>
      <c r="CS220" s="1924"/>
      <c r="CT220" s="1924"/>
      <c r="CU220" s="1924"/>
      <c r="CV220" s="1924"/>
      <c r="CW220" s="1924"/>
      <c r="CX220" s="1924"/>
      <c r="CY220" s="1924"/>
      <c r="CZ220" s="1924"/>
      <c r="DA220" s="1924"/>
      <c r="DB220" s="1924"/>
      <c r="DC220" s="1924"/>
      <c r="DD220" s="1924"/>
      <c r="DE220" s="1924"/>
      <c r="DF220" s="1924"/>
      <c r="DG220" s="656"/>
      <c r="DH220" s="970"/>
      <c r="DI220" s="111"/>
      <c r="DJ220" s="256"/>
      <c r="DK220" s="109"/>
      <c r="DL220" s="109"/>
      <c r="DM220" s="910"/>
      <c r="DN220" s="910"/>
      <c r="DO220" s="910"/>
      <c r="DP220" s="910"/>
      <c r="DQ220" s="910"/>
      <c r="DR220" s="910"/>
      <c r="DS220" s="910"/>
      <c r="DT220" s="910"/>
      <c r="DU220" s="910"/>
      <c r="DV220" s="910"/>
      <c r="DW220" s="910"/>
      <c r="DX220" s="910"/>
      <c r="DY220" s="910"/>
      <c r="DZ220" s="910"/>
      <c r="EA220" s="910"/>
      <c r="EB220" s="910"/>
      <c r="EC220" s="910"/>
      <c r="ED220" s="910"/>
      <c r="EE220" s="910"/>
      <c r="EF220" s="910"/>
      <c r="EG220" s="910"/>
      <c r="EH220" s="910"/>
      <c r="EI220" s="910"/>
      <c r="EJ220" s="910"/>
      <c r="EK220" s="910"/>
      <c r="EL220" s="910"/>
      <c r="EM220" s="910"/>
      <c r="EN220" s="910"/>
      <c r="EO220" s="910"/>
      <c r="EP220" s="910"/>
      <c r="EQ220" s="910"/>
      <c r="ER220" s="910"/>
      <c r="ES220" s="910"/>
      <c r="ET220" s="910"/>
      <c r="EU220" s="910"/>
      <c r="EV220" s="910"/>
      <c r="EW220" s="910"/>
      <c r="EX220" s="910"/>
      <c r="EY220" s="910"/>
      <c r="EZ220" s="910"/>
      <c r="FA220" s="910"/>
      <c r="FB220" s="910"/>
      <c r="FC220" s="910"/>
      <c r="FD220" s="910"/>
      <c r="FE220" s="910"/>
      <c r="FF220" s="910"/>
      <c r="FG220" s="910"/>
      <c r="FH220" s="910"/>
      <c r="FI220" s="910"/>
      <c r="FJ220" s="910"/>
      <c r="FK220" s="910"/>
      <c r="FL220" s="1020" t="e">
        <f ca="1">IF(AND(BT222&lt;&gt;"",BT219&lt;&gt;""),AQ217&amp;" "&amp;LOWER(J219)&amp;" "&amp;IF(BT219&lt;0,BT219&amp;"/"&amp;BT219,"+"&amp;BT219&amp;"/+"&amp;BT219)&amp;" ("&amp;CO219&amp;IF(Weapons!BC$82&lt;&gt;"20","/"&amp;Weapons!BC$82,"")&amp;IF(Weapons!BC$83&lt;&gt;2,"/×"&amp;Weapons!BC$83,"")&amp;") with Double Attack","")</f>
        <v>#N/A</v>
      </c>
      <c r="FM220" s="1019" t="e">
        <f t="shared" ref="FM220:FM236" ca="1" si="5">IF(FL220&lt;&gt;"",FL220&amp;IF(FM221&lt;&gt;"","
"&amp;FM221,""),FM221)</f>
        <v>#N/A</v>
      </c>
    </row>
    <row r="221" spans="1:169" ht="9" customHeight="1" thickBot="1">
      <c r="A221" s="910"/>
      <c r="B221" s="910"/>
      <c r="C221" s="87"/>
      <c r="D221" s="144"/>
      <c r="E221" s="111"/>
      <c r="F221" s="111"/>
      <c r="G221" s="111"/>
      <c r="H221" s="111"/>
      <c r="I221" s="91"/>
      <c r="J221" s="1880"/>
      <c r="K221" s="1880"/>
      <c r="L221" s="1880"/>
      <c r="M221" s="1880"/>
      <c r="N221" s="1880"/>
      <c r="O221" s="1880"/>
      <c r="P221" s="1880"/>
      <c r="Q221" s="1880"/>
      <c r="R221" s="1880"/>
      <c r="S221" s="1880"/>
      <c r="T221" s="1880"/>
      <c r="U221" s="1880"/>
      <c r="V221" s="1880"/>
      <c r="W221" s="1880"/>
      <c r="X221" s="1880"/>
      <c r="Y221" s="1880"/>
      <c r="Z221" s="1880"/>
      <c r="AA221" s="1880"/>
      <c r="AB221" s="1880"/>
      <c r="AC221" s="1880"/>
      <c r="AD221" s="1880"/>
      <c r="AE221" s="1880"/>
      <c r="AF221" s="1880"/>
      <c r="AG221" s="1880"/>
      <c r="AH221" s="1880"/>
      <c r="AI221" s="1880"/>
      <c r="AJ221" s="1880"/>
      <c r="AK221" s="1880"/>
      <c r="AL221" s="1880"/>
      <c r="AM221" s="648"/>
      <c r="AN221" s="913"/>
      <c r="AO221" s="913"/>
      <c r="AP221" s="649"/>
      <c r="AQ221" s="2190"/>
      <c r="AR221" s="2190"/>
      <c r="AS221" s="2190"/>
      <c r="AT221" s="2190"/>
      <c r="AU221" s="2190"/>
      <c r="AV221" s="2190"/>
      <c r="AW221" s="2190"/>
      <c r="AX221" s="2190"/>
      <c r="AY221" s="2190"/>
      <c r="AZ221" s="2190"/>
      <c r="BA221" s="2190"/>
      <c r="BB221" s="2190"/>
      <c r="BC221" s="2190"/>
      <c r="BD221" s="2190"/>
      <c r="BE221" s="2190"/>
      <c r="BF221" s="2190"/>
      <c r="BG221" s="2190"/>
      <c r="BH221" s="2190"/>
      <c r="BI221" s="2190"/>
      <c r="BJ221" s="2190"/>
      <c r="BK221" s="2190"/>
      <c r="BL221" s="93"/>
      <c r="BM221" s="913"/>
      <c r="BN221" s="913"/>
      <c r="BO221" s="649"/>
      <c r="BP221" s="2196"/>
      <c r="BQ221" s="2196"/>
      <c r="BR221" s="2196"/>
      <c r="BS221" s="2196"/>
      <c r="BT221" s="2202"/>
      <c r="BU221" s="2186"/>
      <c r="BV221" s="2186"/>
      <c r="BW221" s="2203"/>
      <c r="BX221" s="2186"/>
      <c r="BY221" s="2186"/>
      <c r="BZ221" s="2186"/>
      <c r="CA221" s="2186"/>
      <c r="CB221" s="93"/>
      <c r="CC221" s="913"/>
      <c r="CD221" s="913"/>
      <c r="CE221" s="91"/>
      <c r="CF221" s="655"/>
      <c r="CG221" s="655"/>
      <c r="CH221" s="655"/>
      <c r="CI221" s="655"/>
      <c r="CJ221" s="655"/>
      <c r="CK221" s="655"/>
      <c r="CL221" s="655"/>
      <c r="CM221" s="655"/>
      <c r="CN221" s="655"/>
      <c r="CO221" s="1925"/>
      <c r="CP221" s="1925"/>
      <c r="CQ221" s="1925"/>
      <c r="CR221" s="1925"/>
      <c r="CS221" s="1925"/>
      <c r="CT221" s="1925"/>
      <c r="CU221" s="1925"/>
      <c r="CV221" s="1925"/>
      <c r="CW221" s="1925"/>
      <c r="CX221" s="1925"/>
      <c r="CY221" s="1925"/>
      <c r="CZ221" s="1925"/>
      <c r="DA221" s="1925"/>
      <c r="DB221" s="1925"/>
      <c r="DC221" s="1925"/>
      <c r="DD221" s="1925"/>
      <c r="DE221" s="1925"/>
      <c r="DF221" s="1925"/>
      <c r="DG221" s="93"/>
      <c r="DH221" s="972"/>
      <c r="DI221" s="118"/>
      <c r="DJ221" s="118"/>
      <c r="DK221" s="256"/>
      <c r="DL221" s="109"/>
      <c r="DM221" s="910"/>
      <c r="DN221" s="910"/>
      <c r="DO221" s="910"/>
      <c r="DP221" s="910"/>
      <c r="DQ221" s="910"/>
      <c r="DR221" s="910"/>
      <c r="DS221" s="910"/>
      <c r="DT221" s="910"/>
      <c r="DU221" s="910"/>
      <c r="DV221" s="910"/>
      <c r="DW221" s="910"/>
      <c r="DX221" s="910"/>
      <c r="DY221" s="910"/>
      <c r="DZ221" s="910"/>
      <c r="EA221" s="910"/>
      <c r="EB221" s="910"/>
      <c r="EC221" s="910"/>
      <c r="ED221" s="910"/>
      <c r="EE221" s="910"/>
      <c r="EF221" s="910"/>
      <c r="EG221" s="910"/>
      <c r="EH221" s="910"/>
      <c r="EI221" s="910"/>
      <c r="EJ221" s="910"/>
      <c r="EK221" s="910"/>
      <c r="EL221" s="910"/>
      <c r="EM221" s="910"/>
      <c r="EN221" s="910"/>
      <c r="EO221" s="910"/>
      <c r="EP221" s="910"/>
      <c r="EQ221" s="910"/>
      <c r="ER221" s="910"/>
      <c r="ES221" s="910"/>
      <c r="ET221" s="910"/>
      <c r="EU221" s="910"/>
      <c r="EV221" s="910"/>
      <c r="EW221" s="910"/>
      <c r="EX221" s="910"/>
      <c r="EY221" s="910"/>
      <c r="EZ221" s="910"/>
      <c r="FA221" s="910"/>
      <c r="FB221" s="910"/>
      <c r="FC221" s="910"/>
      <c r="FD221" s="910"/>
      <c r="FE221" s="910"/>
      <c r="FF221" s="910"/>
      <c r="FG221" s="910"/>
      <c r="FH221" s="910"/>
      <c r="FI221" s="910"/>
      <c r="FJ221" s="910"/>
      <c r="FK221" s="910"/>
      <c r="FL221" s="1020" t="e">
        <f ca="1">IF(AND($BX$12&lt;&gt;"",BX219&lt;&gt;""),AQ217&amp;" "&amp;LOWER(J219)&amp;" "&amp;IF(BX219&lt;0,BX219&amp;"/"&amp;BX219&amp;"/"&amp;BX219,"+"&amp;BX219&amp;"/+"&amp;BX219&amp;"/+"&amp;BX219)&amp;" ("&amp;CO219&amp;IF(Weapons!BC$82&lt;&gt;"20","/"&amp;Weapons!BC$82,"")&amp;IF(Weapons!BC$83&lt;&gt;2,"/×"&amp;Weapons!BC$83,"")&amp;") with Triple Attack","")</f>
        <v>#N/A</v>
      </c>
      <c r="FM221" s="1019" t="e">
        <f t="shared" ca="1" si="5"/>
        <v>#N/A</v>
      </c>
    </row>
    <row r="222" spans="1:169" ht="9" customHeight="1" thickTop="1" thickBot="1">
      <c r="A222" s="910"/>
      <c r="B222" s="910"/>
      <c r="C222" s="112"/>
      <c r="D222" s="2183" t="str">
        <f>IF(Weapons!BC$109&lt;&gt;"","MOUNTED","")</f>
        <v/>
      </c>
      <c r="E222" s="2184"/>
      <c r="F222" s="2184"/>
      <c r="G222" s="913"/>
      <c r="H222" s="913"/>
      <c r="I222" s="913"/>
      <c r="J222" s="913"/>
      <c r="K222" s="913"/>
      <c r="L222" s="913"/>
      <c r="M222" s="913"/>
      <c r="N222" s="913"/>
      <c r="O222" s="913"/>
      <c r="P222" s="913"/>
      <c r="Q222" s="913"/>
      <c r="R222" s="913"/>
      <c r="S222" s="913"/>
      <c r="T222" s="913"/>
      <c r="U222" s="913"/>
      <c r="V222" s="913"/>
      <c r="W222" s="913"/>
      <c r="X222" s="913"/>
      <c r="Y222" s="913"/>
      <c r="Z222" s="913"/>
      <c r="AA222" s="913"/>
      <c r="AB222" s="913"/>
      <c r="AC222" s="913"/>
      <c r="AD222" s="913"/>
      <c r="AE222" s="913"/>
      <c r="AF222" s="913"/>
      <c r="AG222" s="913"/>
      <c r="AH222" s="913"/>
      <c r="AI222" s="913"/>
      <c r="AJ222" s="913"/>
      <c r="AK222" s="913"/>
      <c r="AL222" s="913"/>
      <c r="AM222" s="913"/>
      <c r="AN222" s="913"/>
      <c r="AO222" s="910"/>
      <c r="AP222" s="910"/>
      <c r="AQ222" s="910"/>
      <c r="AR222" s="910"/>
      <c r="AS222" s="910"/>
      <c r="AT222" s="910"/>
      <c r="AU222" s="910"/>
      <c r="AV222" s="910"/>
      <c r="AW222" s="910"/>
      <c r="AX222" s="910"/>
      <c r="AY222" s="910"/>
      <c r="AZ222" s="910"/>
      <c r="BA222" s="910"/>
      <c r="BB222" s="910"/>
      <c r="BC222" s="910"/>
      <c r="BD222" s="910"/>
      <c r="BE222" s="910"/>
      <c r="BF222" s="910"/>
      <c r="BG222" s="910"/>
      <c r="BH222" s="910"/>
      <c r="BI222" s="596"/>
      <c r="BJ222" s="596"/>
      <c r="BK222" s="596"/>
      <c r="BL222" s="910"/>
      <c r="BM222" s="910"/>
      <c r="BN222" s="913"/>
      <c r="BO222" s="913"/>
      <c r="BP222" s="913"/>
      <c r="BQ222" s="913"/>
      <c r="BR222" s="913"/>
      <c r="BS222" s="913"/>
      <c r="BT222" s="2205" t="e">
        <f ca="1">"Double Attack ("&amp;INDEX(WeaponTable,MATCH(Weapons!BC$11,WeaponList,0),5)&amp;")"</f>
        <v>#N/A</v>
      </c>
      <c r="BU222" s="2205"/>
      <c r="BV222" s="2205"/>
      <c r="BW222" s="2205"/>
      <c r="BX222" s="2205" t="e">
        <f ca="1">"Triple Attack ("&amp;INDEX(WeaponTable,MATCH(Weapons!BC$11,WeaponList,0),5)&amp;")"</f>
        <v>#N/A</v>
      </c>
      <c r="BY222" s="2205"/>
      <c r="BZ222" s="2205"/>
      <c r="CA222" s="2205"/>
      <c r="CB222" s="913"/>
      <c r="CC222" s="913"/>
      <c r="CD222" s="913"/>
      <c r="CE222" s="913"/>
      <c r="CF222" s="913"/>
      <c r="CG222" s="913"/>
      <c r="CH222" s="913"/>
      <c r="CI222" s="913"/>
      <c r="CJ222" s="913"/>
      <c r="CK222" s="913"/>
      <c r="CL222" s="913"/>
      <c r="CM222" s="913"/>
      <c r="CN222" s="913"/>
      <c r="CO222" s="913"/>
      <c r="CP222" s="913"/>
      <c r="CQ222" s="913"/>
      <c r="CR222" s="913"/>
      <c r="CS222" s="913"/>
      <c r="CT222" s="913"/>
      <c r="CU222" s="913"/>
      <c r="CV222" s="913"/>
      <c r="CW222" s="913"/>
      <c r="CX222" s="913"/>
      <c r="CY222" s="913"/>
      <c r="CZ222" s="913"/>
      <c r="DA222" s="913"/>
      <c r="DB222" s="913"/>
      <c r="DC222" s="913"/>
      <c r="DD222" s="913"/>
      <c r="DE222" s="913"/>
      <c r="DF222" s="913"/>
      <c r="DG222" s="913"/>
      <c r="DH222" s="973"/>
      <c r="DI222" s="596"/>
      <c r="DJ222" s="596"/>
      <c r="DK222" s="112"/>
      <c r="DL222" s="87"/>
      <c r="DM222" s="910"/>
      <c r="DN222" s="910"/>
      <c r="DO222" s="910"/>
      <c r="DP222" s="910"/>
      <c r="DQ222" s="910"/>
      <c r="DR222" s="910"/>
      <c r="DS222" s="910"/>
      <c r="DT222" s="910"/>
      <c r="DU222" s="910"/>
      <c r="DV222" s="910"/>
      <c r="DW222" s="910"/>
      <c r="DX222" s="910"/>
      <c r="DY222" s="910"/>
      <c r="DZ222" s="910"/>
      <c r="EA222" s="910"/>
      <c r="EB222" s="910"/>
      <c r="EC222" s="910"/>
      <c r="ED222" s="910"/>
      <c r="EE222" s="910"/>
      <c r="EF222" s="910"/>
      <c r="EG222" s="910"/>
      <c r="EH222" s="910"/>
      <c r="EI222" s="910"/>
      <c r="EJ222" s="910"/>
      <c r="EK222" s="910"/>
      <c r="EL222" s="910"/>
      <c r="EM222" s="910"/>
      <c r="EN222" s="910"/>
      <c r="EO222" s="910"/>
      <c r="EP222" s="910"/>
      <c r="EQ222" s="910"/>
      <c r="ER222" s="910"/>
      <c r="ES222" s="910"/>
      <c r="ET222" s="910"/>
      <c r="EU222" s="910"/>
      <c r="EV222" s="910"/>
      <c r="EW222" s="910"/>
      <c r="EX222" s="910"/>
      <c r="EY222" s="910"/>
      <c r="EZ222" s="910"/>
      <c r="FA222" s="910"/>
      <c r="FB222" s="910"/>
      <c r="FC222" s="910"/>
      <c r="FD222" s="910"/>
      <c r="FE222" s="910"/>
      <c r="FF222" s="910"/>
      <c r="FG222" s="910"/>
      <c r="FH222" s="910"/>
      <c r="FI222" s="910"/>
      <c r="FJ222" s="910"/>
      <c r="FK222" s="910"/>
      <c r="FL222" s="1020"/>
      <c r="FM222" s="1019" t="str">
        <f t="shared" si="5"/>
        <v/>
      </c>
    </row>
    <row r="223" spans="1:169" ht="9" customHeight="1" thickTop="1" thickBot="1">
      <c r="A223" s="910"/>
      <c r="B223" s="910"/>
      <c r="C223" s="112"/>
      <c r="D223" s="2183"/>
      <c r="E223" s="2184"/>
      <c r="F223" s="2184"/>
      <c r="G223" s="93"/>
      <c r="H223" s="2182" t="s">
        <v>3613</v>
      </c>
      <c r="I223" s="2182"/>
      <c r="J223" s="2182"/>
      <c r="K223" s="2182"/>
      <c r="L223" s="295"/>
      <c r="M223" s="295"/>
      <c r="N223" s="600"/>
      <c r="O223" s="600"/>
      <c r="P223" s="594"/>
      <c r="Q223" s="594"/>
      <c r="R223" s="594"/>
      <c r="S223" s="594"/>
      <c r="T223" s="594"/>
      <c r="U223" s="594"/>
      <c r="V223" s="594"/>
      <c r="W223" s="594"/>
      <c r="X223" s="594"/>
      <c r="Y223" s="594"/>
      <c r="Z223" s="594"/>
      <c r="AA223" s="594"/>
      <c r="AB223" s="594"/>
      <c r="AC223" s="594"/>
      <c r="AD223" s="594"/>
      <c r="AE223" s="594"/>
      <c r="AF223" s="297"/>
      <c r="AG223" s="913"/>
      <c r="AH223" s="913"/>
      <c r="AI223" s="910"/>
      <c r="AJ223" s="910"/>
      <c r="AK223" s="910"/>
      <c r="AL223" s="910"/>
      <c r="AM223" s="910"/>
      <c r="AN223" s="910"/>
      <c r="AO223" s="910"/>
      <c r="AP223" s="93"/>
      <c r="AQ223" s="2179" t="s">
        <v>4093</v>
      </c>
      <c r="AR223" s="2179"/>
      <c r="AS223" s="2179"/>
      <c r="AT223" s="2179"/>
      <c r="AU223" s="2179"/>
      <c r="AV223" s="2179"/>
      <c r="AW223" s="2179"/>
      <c r="AX223" s="2179"/>
      <c r="AY223" s="2179"/>
      <c r="AZ223" s="2179"/>
      <c r="BA223" s="2179"/>
      <c r="BB223" s="2179"/>
      <c r="BC223" s="2179"/>
      <c r="BD223" s="113"/>
      <c r="BE223" s="145"/>
      <c r="BF223" s="145"/>
      <c r="BG223" s="145"/>
      <c r="BH223" s="145"/>
      <c r="BI223" s="145"/>
      <c r="BJ223" s="145"/>
      <c r="BK223" s="145"/>
      <c r="BL223" s="913"/>
      <c r="BM223" s="913"/>
      <c r="BN223" s="913"/>
      <c r="BO223" s="93"/>
      <c r="BP223" s="2193" t="s">
        <v>4092</v>
      </c>
      <c r="BQ223" s="2193"/>
      <c r="BR223" s="2193"/>
      <c r="BS223" s="2193"/>
      <c r="BT223" s="2193" t="s">
        <v>4090</v>
      </c>
      <c r="BU223" s="2193"/>
      <c r="BV223" s="2193"/>
      <c r="BW223" s="2193"/>
      <c r="BX223" s="2193" t="s">
        <v>4091</v>
      </c>
      <c r="BY223" s="2193"/>
      <c r="BZ223" s="2193"/>
      <c r="CA223" s="2193"/>
      <c r="CB223" s="113"/>
      <c r="CC223" s="913"/>
      <c r="CD223" s="913"/>
      <c r="CE223" s="93"/>
      <c r="CF223" s="2182" t="s">
        <v>3612</v>
      </c>
      <c r="CG223" s="2208"/>
      <c r="CH223" s="2208"/>
      <c r="CI223" s="2208"/>
      <c r="CJ223" s="2208"/>
      <c r="CK223" s="2208"/>
      <c r="CL223" s="2208"/>
      <c r="CM223" s="2208"/>
      <c r="CN223" s="113"/>
      <c r="CO223" s="87"/>
      <c r="CP223" s="87"/>
      <c r="CQ223" s="87"/>
      <c r="CR223" s="87"/>
      <c r="CS223" s="87"/>
      <c r="CT223" s="87"/>
      <c r="CU223" s="87"/>
      <c r="CV223" s="87"/>
      <c r="CW223" s="87"/>
      <c r="CX223" s="87"/>
      <c r="CY223" s="87"/>
      <c r="CZ223" s="87"/>
      <c r="DA223" s="87"/>
      <c r="DB223" s="87"/>
      <c r="DC223" s="87"/>
      <c r="DD223" s="87"/>
      <c r="DE223" s="87"/>
      <c r="DF223" s="87"/>
      <c r="DG223" s="87"/>
      <c r="DI223" s="958"/>
      <c r="DJ223" s="958"/>
      <c r="DK223" s="112"/>
      <c r="DL223" s="87"/>
      <c r="DM223" s="910"/>
      <c r="DN223" s="910"/>
      <c r="DO223" s="910"/>
      <c r="DP223" s="910"/>
      <c r="DQ223" s="910"/>
      <c r="DR223" s="910"/>
      <c r="DS223" s="910"/>
      <c r="DT223" s="910"/>
      <c r="DU223" s="910"/>
      <c r="DV223" s="910"/>
      <c r="DW223" s="910"/>
      <c r="DX223" s="910"/>
      <c r="DY223" s="910"/>
      <c r="DZ223" s="910"/>
      <c r="EA223" s="910"/>
      <c r="EB223" s="910"/>
      <c r="EC223" s="910"/>
      <c r="ED223" s="910"/>
      <c r="EE223" s="910"/>
      <c r="EF223" s="910"/>
      <c r="EG223" s="910"/>
      <c r="EH223" s="910"/>
      <c r="EI223" s="910"/>
      <c r="EJ223" s="910"/>
      <c r="EK223" s="910"/>
      <c r="EL223" s="910"/>
      <c r="EM223" s="910"/>
      <c r="EN223" s="910"/>
      <c r="EO223" s="910"/>
      <c r="EP223" s="910"/>
      <c r="EQ223" s="910"/>
      <c r="ER223" s="910"/>
      <c r="ES223" s="910"/>
      <c r="ET223" s="910"/>
      <c r="EU223" s="910"/>
      <c r="EV223" s="910"/>
      <c r="EW223" s="910"/>
      <c r="EX223" s="910"/>
      <c r="EY223" s="910"/>
      <c r="EZ223" s="910"/>
      <c r="FA223" s="910"/>
      <c r="FB223" s="910"/>
      <c r="FC223" s="910"/>
      <c r="FD223" s="910"/>
      <c r="FE223" s="910"/>
      <c r="FF223" s="910"/>
      <c r="FG223" s="910"/>
      <c r="FH223" s="910"/>
      <c r="FI223" s="910"/>
      <c r="FJ223" s="910"/>
      <c r="FK223" s="910"/>
      <c r="FL223" s="1020"/>
      <c r="FM223" s="1019" t="str">
        <f t="shared" si="5"/>
        <v/>
      </c>
    </row>
    <row r="224" spans="1:169" ht="9" customHeight="1" thickTop="1">
      <c r="A224" s="910"/>
      <c r="B224" s="910"/>
      <c r="C224" s="112"/>
      <c r="D224" s="2183"/>
      <c r="E224" s="2184"/>
      <c r="F224" s="2184"/>
      <c r="G224" s="102"/>
      <c r="H224" s="2180"/>
      <c r="I224" s="2180"/>
      <c r="J224" s="2180"/>
      <c r="K224" s="2180"/>
      <c r="L224" s="1867" t="str">
        <f>Weapons!BC$34</f>
        <v/>
      </c>
      <c r="M224" s="1867"/>
      <c r="N224" s="1867"/>
      <c r="O224" s="1867"/>
      <c r="P224" s="1867"/>
      <c r="Q224" s="1867"/>
      <c r="R224" s="1867"/>
      <c r="S224" s="1867"/>
      <c r="T224" s="1867"/>
      <c r="U224" s="1867"/>
      <c r="V224" s="1867"/>
      <c r="W224" s="1867"/>
      <c r="X224" s="1867"/>
      <c r="Y224" s="1867"/>
      <c r="Z224" s="1867"/>
      <c r="AA224" s="1867"/>
      <c r="AB224" s="1867"/>
      <c r="AC224" s="1867"/>
      <c r="AD224" s="1867"/>
      <c r="AE224" s="1867"/>
      <c r="AF224" s="300"/>
      <c r="AG224" s="913"/>
      <c r="AH224" s="913"/>
      <c r="AI224" s="910"/>
      <c r="AJ224" s="910"/>
      <c r="AK224" s="910"/>
      <c r="AL224" s="910"/>
      <c r="AM224" s="910"/>
      <c r="AN224" s="910"/>
      <c r="AO224" s="910"/>
      <c r="AP224" s="102"/>
      <c r="AQ224" s="2180"/>
      <c r="AR224" s="2180"/>
      <c r="AS224" s="2180"/>
      <c r="AT224" s="2180"/>
      <c r="AU224" s="2180"/>
      <c r="AV224" s="2180"/>
      <c r="AW224" s="2180"/>
      <c r="AX224" s="2180"/>
      <c r="AY224" s="2180"/>
      <c r="AZ224" s="2180"/>
      <c r="BA224" s="2180"/>
      <c r="BB224" s="2180"/>
      <c r="BC224" s="2180"/>
      <c r="BD224" s="589"/>
      <c r="BE224" s="598"/>
      <c r="BF224" s="598"/>
      <c r="BG224" s="598"/>
      <c r="BH224" s="598"/>
      <c r="BI224" s="598"/>
      <c r="BJ224" s="598"/>
      <c r="BK224" s="598"/>
      <c r="BL224" s="113"/>
      <c r="BM224" s="913"/>
      <c r="BN224" s="913"/>
      <c r="BO224" s="102"/>
      <c r="BP224" s="2194"/>
      <c r="BQ224" s="2194"/>
      <c r="BR224" s="2194"/>
      <c r="BS224" s="2194"/>
      <c r="BT224" s="2194"/>
      <c r="BU224" s="2194"/>
      <c r="BV224" s="2194"/>
      <c r="BW224" s="2194"/>
      <c r="BX224" s="2194"/>
      <c r="BY224" s="2194"/>
      <c r="BZ224" s="2194"/>
      <c r="CA224" s="2194"/>
      <c r="CB224" s="913"/>
      <c r="CC224" s="102"/>
      <c r="CD224" s="913"/>
      <c r="CE224" s="102"/>
      <c r="CF224" s="2138"/>
      <c r="CG224" s="2138"/>
      <c r="CH224" s="2138"/>
      <c r="CI224" s="2138"/>
      <c r="CJ224" s="2138"/>
      <c r="CK224" s="2138"/>
      <c r="CL224" s="2138"/>
      <c r="CM224" s="2138"/>
      <c r="CN224" s="589"/>
      <c r="CO224" s="599"/>
      <c r="CP224" s="599"/>
      <c r="CQ224" s="599"/>
      <c r="CR224" s="599"/>
      <c r="CS224" s="599"/>
      <c r="CT224" s="599"/>
      <c r="CU224" s="599"/>
      <c r="CV224" s="599"/>
      <c r="CW224" s="599"/>
      <c r="CX224" s="599"/>
      <c r="CY224" s="599"/>
      <c r="CZ224" s="599"/>
      <c r="DA224" s="599"/>
      <c r="DB224" s="599"/>
      <c r="DC224" s="599"/>
      <c r="DD224" s="599"/>
      <c r="DE224" s="599"/>
      <c r="DF224" s="599"/>
      <c r="DG224" s="113"/>
      <c r="DI224" s="958"/>
      <c r="DJ224" s="958"/>
      <c r="DK224" s="112"/>
      <c r="DL224" s="87"/>
      <c r="DM224" s="910"/>
      <c r="DN224" s="910"/>
      <c r="DO224" s="910"/>
      <c r="DP224" s="910"/>
      <c r="DQ224" s="910"/>
      <c r="DR224" s="910"/>
      <c r="DS224" s="910"/>
      <c r="DT224" s="910"/>
      <c r="DU224" s="910"/>
      <c r="DV224" s="910"/>
      <c r="DW224" s="910"/>
      <c r="DX224" s="910"/>
      <c r="DY224" s="910"/>
      <c r="DZ224" s="910"/>
      <c r="EA224" s="910"/>
      <c r="EB224" s="910"/>
      <c r="EC224" s="910"/>
      <c r="ED224" s="910"/>
      <c r="EE224" s="910"/>
      <c r="EF224" s="910"/>
      <c r="EG224" s="910"/>
      <c r="EH224" s="910"/>
      <c r="EI224" s="910"/>
      <c r="EJ224" s="910"/>
      <c r="EK224" s="910"/>
      <c r="EL224" s="910"/>
      <c r="EM224" s="910"/>
      <c r="EN224" s="910"/>
      <c r="EO224" s="910"/>
      <c r="EP224" s="910"/>
      <c r="EQ224" s="910"/>
      <c r="ER224" s="910"/>
      <c r="ES224" s="910"/>
      <c r="ET224" s="910"/>
      <c r="EU224" s="910"/>
      <c r="EV224" s="910"/>
      <c r="EW224" s="910"/>
      <c r="EX224" s="910"/>
      <c r="EY224" s="910"/>
      <c r="EZ224" s="910"/>
      <c r="FA224" s="910"/>
      <c r="FB224" s="910"/>
      <c r="FC224" s="910"/>
      <c r="FD224" s="910"/>
      <c r="FE224" s="910"/>
      <c r="FF224" s="910"/>
      <c r="FG224" s="910"/>
      <c r="FH224" s="910"/>
      <c r="FI224" s="910"/>
      <c r="FJ224" s="910"/>
      <c r="FK224" s="910"/>
      <c r="FL224" s="1020"/>
      <c r="FM224" s="1019" t="str">
        <f t="shared" si="5"/>
        <v/>
      </c>
    </row>
    <row r="225" spans="1:169" ht="9" customHeight="1" thickBot="1">
      <c r="A225" s="910"/>
      <c r="B225" s="910"/>
      <c r="C225" s="112"/>
      <c r="D225" s="2183"/>
      <c r="E225" s="2184"/>
      <c r="F225" s="2184"/>
      <c r="G225" s="102"/>
      <c r="H225" s="105"/>
      <c r="I225" s="105"/>
      <c r="J225" s="105"/>
      <c r="K225" s="105"/>
      <c r="L225" s="1867"/>
      <c r="M225" s="1867"/>
      <c r="N225" s="1867"/>
      <c r="O225" s="1867"/>
      <c r="P225" s="1867"/>
      <c r="Q225" s="1867"/>
      <c r="R225" s="1867"/>
      <c r="S225" s="1867"/>
      <c r="T225" s="1867"/>
      <c r="U225" s="1867"/>
      <c r="V225" s="1867"/>
      <c r="W225" s="1867"/>
      <c r="X225" s="1867"/>
      <c r="Y225" s="1867"/>
      <c r="Z225" s="1867"/>
      <c r="AA225" s="1867"/>
      <c r="AB225" s="1867"/>
      <c r="AC225" s="1867"/>
      <c r="AD225" s="1867"/>
      <c r="AE225" s="1867"/>
      <c r="AF225" s="103"/>
      <c r="AG225" s="913"/>
      <c r="AH225" s="913"/>
      <c r="AI225" s="910"/>
      <c r="AJ225" s="910"/>
      <c r="AK225" s="910"/>
      <c r="AL225" s="910"/>
      <c r="AM225" s="910"/>
      <c r="AN225" s="910"/>
      <c r="AO225" s="910"/>
      <c r="AP225" s="102"/>
      <c r="AQ225" s="2191"/>
      <c r="AR225" s="2191"/>
      <c r="AS225" s="2191"/>
      <c r="AT225" s="2191"/>
      <c r="AU225" s="2191"/>
      <c r="AV225" s="2191"/>
      <c r="AW225" s="2191"/>
      <c r="AX225" s="2191"/>
      <c r="AY225" s="2191"/>
      <c r="AZ225" s="2191"/>
      <c r="BA225" s="2191"/>
      <c r="BB225" s="2191"/>
      <c r="BC225" s="2191"/>
      <c r="BD225" s="2191"/>
      <c r="BE225" s="2191"/>
      <c r="BF225" s="2191"/>
      <c r="BG225" s="2191"/>
      <c r="BH225" s="2191"/>
      <c r="BI225" s="2191"/>
      <c r="BJ225" s="2191"/>
      <c r="BK225" s="2191"/>
      <c r="BL225" s="100"/>
      <c r="BM225" s="122"/>
      <c r="BN225" s="290"/>
      <c r="BO225" s="102"/>
      <c r="BP225" s="2185" t="str">
        <f>IF(AQ225&lt;&gt;"",IF(OR(INDEX(WeaponFeatsModsTable,MATCH(AQ225,WeaponFeatsModsList,0),7)=AQ217,INDEX(WeaponFeatsModsTable,MATCH(AQ225,WeaponFeatsModsList,0),7)=""),INDEX(WeaponFeatsModsTable,MATCH(AQ225,WeaponFeatsModsList,0),2)+BP219,""),"")</f>
        <v/>
      </c>
      <c r="BQ225" s="2185"/>
      <c r="BR225" s="2185"/>
      <c r="BS225" s="2185"/>
      <c r="BT225" s="2200" t="str">
        <f>IF(BP225&lt;&gt;"",IF(AND(OR(INDEX(WeaponFeatsModsTable,MATCH(AQ225,WeaponFeatsModsList,0),7)=AQ217,INDEX(WeaponFeatsModsTable,MATCH(AQ225,WeaponFeatsModsList,0),7)=""),INDEX(WeaponFeatsModsTable,MATCH(AQ225,WeaponFeatsModsList,0),8)&lt;&gt;"Yes"),IF(COUNTIF(FeatsCharacterSheet,BT222)&gt;0,BP225+BT216,""),""),"")</f>
        <v/>
      </c>
      <c r="BU225" s="2185"/>
      <c r="BV225" s="2185"/>
      <c r="BW225" s="2201"/>
      <c r="BX225" s="2185" t="str">
        <f>IF(BP225&lt;&gt;"",IF(AND(OR(INDEX(WeaponFeatsModsTable,MATCH(AQ225,WeaponFeatsModsList,0),7)=AQ217,INDEX(WeaponFeatsModsTable,MATCH(AQ225,WeaponFeatsModsList,0),7)=""),INDEX(WeaponFeatsModsTable,MATCH(AQ225,WeaponFeatsModsList,0),8)&lt;&gt;"Yes"),IF(COUNTIF(FeatsCharacterSheet,BX222)&gt;0,BP225+BX216,""),""),"")</f>
        <v/>
      </c>
      <c r="BY225" s="2185"/>
      <c r="BZ225" s="2185"/>
      <c r="CA225" s="2185"/>
      <c r="CB225" s="100"/>
      <c r="CC225" s="122"/>
      <c r="CD225" s="290"/>
      <c r="CE225" s="102"/>
      <c r="CF225" s="1883"/>
      <c r="CG225" s="1883"/>
      <c r="CH225" s="1883"/>
      <c r="CI225" s="1883"/>
      <c r="CJ225" s="1883"/>
      <c r="CK225" s="1883"/>
      <c r="CL225" s="1883"/>
      <c r="CM225" s="1883"/>
      <c r="CN225" s="1883"/>
      <c r="CO225" s="2207" t="str">
        <f>IF(AQ225&lt;&gt;"",IF(OR(INDEX(WeaponFeatsModsTable,MATCH(AQ225,WeaponFeatsModsList,0),7)=$AQ$217,INDEX(WeaponFeatsModsTable,MATCH(AQ225,WeaponFeatsModsList,0),7)=""),Weapons!BC$78+INDEX(WeaponFeatsModsTable,MATCH(AQ225,WeaponFeatsModsList,0),5)&amp;"d"&amp;Weapons!BC$79&amp;Weapons!BC$123&amp;"+"&amp;Weapons!BC$116+DH225+IF(AND(LEFT(AQ225,12)="Power Attack",$AQ$219="Two-Handed",$AQ$217="Melee"),INDEX(WeaponFeatsModsTable,MATCH(AQ225,WeaponFeatsModsList,0),4),INDEX(WeaponFeatsModsTable,MATCH(AQ225,WeaponFeatsModsList,0),3)),""),"")</f>
        <v/>
      </c>
      <c r="CP225" s="2207"/>
      <c r="CQ225" s="2207"/>
      <c r="CR225" s="2207"/>
      <c r="CS225" s="2207"/>
      <c r="CT225" s="2207"/>
      <c r="CU225" s="2207"/>
      <c r="CV225" s="2207"/>
      <c r="CW225" s="2207"/>
      <c r="CX225" s="2207"/>
      <c r="CY225" s="2207"/>
      <c r="CZ225" s="2207"/>
      <c r="DA225" s="2207"/>
      <c r="DB225" s="2207"/>
      <c r="DC225" s="2207"/>
      <c r="DD225" s="2207"/>
      <c r="DE225" s="2207"/>
      <c r="DF225" s="2207"/>
      <c r="DG225" s="656"/>
      <c r="DH225" s="974">
        <f>IF(AND(COUNTIF(Weapons!BC$56:BC$60,"Pulse Charger"),AQ217="Ranged"),INDEX(WeaponFeatsModsTable,MATCH(AQ225,WeaponFeatsModsList,0),5),0)</f>
        <v>0</v>
      </c>
      <c r="DI225" s="966"/>
      <c r="DJ225" s="966"/>
      <c r="DK225" s="967"/>
      <c r="DL225" s="109"/>
      <c r="DM225" s="910"/>
      <c r="DN225" s="910"/>
      <c r="DO225" s="910"/>
      <c r="DP225" s="910"/>
      <c r="DQ225" s="910"/>
      <c r="DR225" s="910"/>
      <c r="DS225" s="910"/>
      <c r="DT225" s="910"/>
      <c r="DU225" s="910"/>
      <c r="DV225" s="910"/>
      <c r="DW225" s="910"/>
      <c r="DX225" s="910"/>
      <c r="DY225" s="910"/>
      <c r="DZ225" s="910"/>
      <c r="EA225" s="910"/>
      <c r="EB225" s="910"/>
      <c r="EC225" s="910"/>
      <c r="ED225" s="910"/>
      <c r="EE225" s="910"/>
      <c r="EF225" s="910"/>
      <c r="EG225" s="910"/>
      <c r="EH225" s="910"/>
      <c r="EI225" s="910"/>
      <c r="EJ225" s="910"/>
      <c r="EK225" s="910"/>
      <c r="EL225" s="910"/>
      <c r="EM225" s="910"/>
      <c r="EN225" s="910"/>
      <c r="EO225" s="910"/>
      <c r="EP225" s="910"/>
      <c r="EQ225" s="910"/>
      <c r="ER225" s="910"/>
      <c r="ES225" s="910"/>
      <c r="ET225" s="910"/>
      <c r="EU225" s="910"/>
      <c r="EV225" s="910"/>
      <c r="EW225" s="910"/>
      <c r="EX225" s="910"/>
      <c r="EY225" s="910"/>
      <c r="EZ225" s="910"/>
      <c r="FA225" s="910"/>
      <c r="FB225" s="910"/>
      <c r="FC225" s="910"/>
      <c r="FD225" s="910"/>
      <c r="FE225" s="910"/>
      <c r="FF225" s="910"/>
      <c r="FG225" s="910"/>
      <c r="FH225" s="910"/>
      <c r="FI225" s="910"/>
      <c r="FJ225" s="910"/>
      <c r="FK225" s="910"/>
      <c r="FL225" s="1020" t="str">
        <f>IF(AND(AQ225&lt;&gt;"",BP225&lt;&gt;""),AQ217&amp;" "&amp;LOWER(J219)&amp;" "&amp;IF(BP225&lt;0,"","+")&amp;BP225&amp;" ("&amp;CO225&amp;IF(Weapons!BC$82&lt;&gt;"20","/"&amp;Weapons!BC$82,"")&amp;IF(Weapons!BC$83&lt;&gt;2,"/×"&amp;Weapons!BC$83,"")&amp;") with "&amp;AQ225,"")</f>
        <v/>
      </c>
      <c r="FM225" s="1019" t="str">
        <f t="shared" si="5"/>
        <v/>
      </c>
    </row>
    <row r="226" spans="1:169" ht="9" customHeight="1" thickTop="1" thickBot="1">
      <c r="A226" s="910"/>
      <c r="B226" s="910"/>
      <c r="C226" s="112"/>
      <c r="D226" s="2183"/>
      <c r="E226" s="2184"/>
      <c r="F226" s="2184"/>
      <c r="G226" s="91"/>
      <c r="H226" s="108"/>
      <c r="I226" s="108"/>
      <c r="J226" s="108"/>
      <c r="K226" s="108"/>
      <c r="L226" s="1868"/>
      <c r="M226" s="1868"/>
      <c r="N226" s="1868"/>
      <c r="O226" s="1868"/>
      <c r="P226" s="1868"/>
      <c r="Q226" s="1868"/>
      <c r="R226" s="1868"/>
      <c r="S226" s="1868"/>
      <c r="T226" s="1868"/>
      <c r="U226" s="1868"/>
      <c r="V226" s="1868"/>
      <c r="W226" s="1868"/>
      <c r="X226" s="1868"/>
      <c r="Y226" s="1868"/>
      <c r="Z226" s="1868"/>
      <c r="AA226" s="1868"/>
      <c r="AB226" s="1868"/>
      <c r="AC226" s="1868"/>
      <c r="AD226" s="1868"/>
      <c r="AE226" s="1868"/>
      <c r="AF226" s="90"/>
      <c r="AG226" s="913"/>
      <c r="AH226" s="913"/>
      <c r="AI226" s="910"/>
      <c r="AJ226" s="910"/>
      <c r="AK226" s="910"/>
      <c r="AL226" s="910"/>
      <c r="AM226" s="910"/>
      <c r="AN226" s="910"/>
      <c r="AO226" s="910"/>
      <c r="AP226" s="647"/>
      <c r="AQ226" s="2191"/>
      <c r="AR226" s="2191"/>
      <c r="AS226" s="2191"/>
      <c r="AT226" s="2191"/>
      <c r="AU226" s="2191"/>
      <c r="AV226" s="2191"/>
      <c r="AW226" s="2191"/>
      <c r="AX226" s="2191"/>
      <c r="AY226" s="2191"/>
      <c r="AZ226" s="2191"/>
      <c r="BA226" s="2191"/>
      <c r="BB226" s="2191"/>
      <c r="BC226" s="2191"/>
      <c r="BD226" s="2191"/>
      <c r="BE226" s="2191"/>
      <c r="BF226" s="2191"/>
      <c r="BG226" s="2191"/>
      <c r="BH226" s="2191"/>
      <c r="BI226" s="2191"/>
      <c r="BJ226" s="2191"/>
      <c r="BK226" s="2191"/>
      <c r="BL226" s="100"/>
      <c r="BM226" s="111"/>
      <c r="BN226" s="111"/>
      <c r="BO226" s="647"/>
      <c r="BP226" s="2185"/>
      <c r="BQ226" s="2185"/>
      <c r="BR226" s="2185"/>
      <c r="BS226" s="2185"/>
      <c r="BT226" s="2200"/>
      <c r="BU226" s="2185"/>
      <c r="BV226" s="2185"/>
      <c r="BW226" s="2201"/>
      <c r="BX226" s="2185"/>
      <c r="BY226" s="2185"/>
      <c r="BZ226" s="2185"/>
      <c r="CA226" s="2185"/>
      <c r="CB226" s="100"/>
      <c r="CC226" s="111"/>
      <c r="CD226" s="111"/>
      <c r="CE226" s="102"/>
      <c r="CF226" s="1883"/>
      <c r="CG226" s="1883"/>
      <c r="CH226" s="1883"/>
      <c r="CI226" s="1883"/>
      <c r="CJ226" s="1883"/>
      <c r="CK226" s="1883"/>
      <c r="CL226" s="1883"/>
      <c r="CM226" s="1883"/>
      <c r="CN226" s="1883"/>
      <c r="CO226" s="2207"/>
      <c r="CP226" s="2207"/>
      <c r="CQ226" s="2207"/>
      <c r="CR226" s="2207"/>
      <c r="CS226" s="2207"/>
      <c r="CT226" s="2207"/>
      <c r="CU226" s="2207"/>
      <c r="CV226" s="2207"/>
      <c r="CW226" s="2207"/>
      <c r="CX226" s="2207"/>
      <c r="CY226" s="2207"/>
      <c r="CZ226" s="2207"/>
      <c r="DA226" s="2207"/>
      <c r="DB226" s="2207"/>
      <c r="DC226" s="2207"/>
      <c r="DD226" s="2207"/>
      <c r="DE226" s="2207"/>
      <c r="DF226" s="2207"/>
      <c r="DG226" s="656"/>
      <c r="DH226" s="974"/>
      <c r="DI226" s="966"/>
      <c r="DJ226" s="966"/>
      <c r="DK226" s="967"/>
      <c r="DL226" s="109"/>
      <c r="DM226" s="910"/>
      <c r="DN226" s="910"/>
      <c r="DO226" s="910"/>
      <c r="DP226" s="910"/>
      <c r="DQ226" s="910"/>
      <c r="DR226" s="910"/>
      <c r="DS226" s="910"/>
      <c r="DT226" s="910"/>
      <c r="DU226" s="910"/>
      <c r="DV226" s="910"/>
      <c r="DW226" s="910"/>
      <c r="DX226" s="910"/>
      <c r="DY226" s="910"/>
      <c r="DZ226" s="910"/>
      <c r="EA226" s="910"/>
      <c r="EB226" s="910"/>
      <c r="EC226" s="910"/>
      <c r="ED226" s="910"/>
      <c r="EE226" s="910"/>
      <c r="EF226" s="910"/>
      <c r="EG226" s="910"/>
      <c r="EH226" s="910"/>
      <c r="EI226" s="910"/>
      <c r="EJ226" s="910"/>
      <c r="EK226" s="910"/>
      <c r="EL226" s="910"/>
      <c r="EM226" s="910"/>
      <c r="EN226" s="910"/>
      <c r="EO226" s="910"/>
      <c r="EP226" s="910"/>
      <c r="EQ226" s="910"/>
      <c r="ER226" s="910"/>
      <c r="ES226" s="910"/>
      <c r="ET226" s="910"/>
      <c r="EU226" s="910"/>
      <c r="EV226" s="910"/>
      <c r="EW226" s="910"/>
      <c r="EX226" s="910"/>
      <c r="EY226" s="910"/>
      <c r="EZ226" s="910"/>
      <c r="FA226" s="910"/>
      <c r="FB226" s="910"/>
      <c r="FC226" s="910"/>
      <c r="FD226" s="910"/>
      <c r="FE226" s="910"/>
      <c r="FF226" s="910"/>
      <c r="FG226" s="910"/>
      <c r="FH226" s="910"/>
      <c r="FI226" s="910"/>
      <c r="FJ226" s="910"/>
      <c r="FK226" s="910"/>
      <c r="FL226" s="1020" t="str">
        <f>IF(AND(AQ225&lt;&gt;"",BT225&lt;&gt;""),IF(BT222&lt;&gt;"",AQ217&amp;" "&amp;LOWER(J219)&amp;" "&amp;IF(BT225&lt;0,BT225&amp;"/"&amp;BT225,"+"&amp;BT225&amp;"/+"&amp;BT225)&amp;" ("&amp;$AQ225&amp;IF(Weapons!BC$82&lt;&gt;"20","/"&amp;Weapons!BC$82,"")&amp;IF(Weapons!BC$83&lt;&gt;2,"/×"&amp;Weapons!BC$83,"")&amp;") with Double Attack and "&amp;AQ225,""),"")</f>
        <v/>
      </c>
      <c r="FM226" s="1019" t="str">
        <f t="shared" si="5"/>
        <v/>
      </c>
    </row>
    <row r="227" spans="1:169" ht="9" customHeight="1" thickTop="1" thickBot="1">
      <c r="A227" s="910"/>
      <c r="B227" s="910"/>
      <c r="C227" s="112"/>
      <c r="D227" s="2183"/>
      <c r="E227" s="2184"/>
      <c r="F227" s="2184"/>
      <c r="G227" s="913"/>
      <c r="H227" s="913"/>
      <c r="I227" s="913"/>
      <c r="J227" s="913"/>
      <c r="K227" s="913"/>
      <c r="L227" s="913"/>
      <c r="M227" s="913"/>
      <c r="N227" s="913"/>
      <c r="O227" s="589"/>
      <c r="P227" s="589"/>
      <c r="Q227" s="589"/>
      <c r="R227" s="589"/>
      <c r="S227" s="589"/>
      <c r="T227" s="589"/>
      <c r="U227" s="589"/>
      <c r="V227" s="589"/>
      <c r="W227" s="589"/>
      <c r="X227" s="589"/>
      <c r="Y227" s="589"/>
      <c r="Z227" s="589"/>
      <c r="AA227" s="589"/>
      <c r="AB227" s="589"/>
      <c r="AC227" s="589"/>
      <c r="AD227" s="589"/>
      <c r="AE227" s="589"/>
      <c r="AF227" s="589"/>
      <c r="AG227" s="589"/>
      <c r="AH227" s="131"/>
      <c r="AI227" s="910"/>
      <c r="AJ227" s="910"/>
      <c r="AK227" s="910"/>
      <c r="AL227" s="910"/>
      <c r="AM227" s="910"/>
      <c r="AN227" s="910"/>
      <c r="AO227" s="910"/>
      <c r="AP227" s="647"/>
      <c r="AQ227" s="2192"/>
      <c r="AR227" s="2192"/>
      <c r="AS227" s="2192"/>
      <c r="AT227" s="2192"/>
      <c r="AU227" s="2192"/>
      <c r="AV227" s="2192"/>
      <c r="AW227" s="2192"/>
      <c r="AX227" s="2192"/>
      <c r="AY227" s="2192"/>
      <c r="AZ227" s="2192"/>
      <c r="BA227" s="2192"/>
      <c r="BB227" s="2192"/>
      <c r="BC227" s="2192"/>
      <c r="BD227" s="2192"/>
      <c r="BE227" s="2192"/>
      <c r="BF227" s="2192"/>
      <c r="BG227" s="2192"/>
      <c r="BH227" s="2192"/>
      <c r="BI227" s="2192"/>
      <c r="BJ227" s="2192"/>
      <c r="BK227" s="2192"/>
      <c r="BL227" s="910"/>
      <c r="BM227" s="647"/>
      <c r="BN227" s="913"/>
      <c r="BO227" s="102"/>
      <c r="BP227" s="2185"/>
      <c r="BQ227" s="2185"/>
      <c r="BR227" s="2185"/>
      <c r="BS227" s="2185"/>
      <c r="BT227" s="2200"/>
      <c r="BU227" s="2185"/>
      <c r="BV227" s="2185"/>
      <c r="BW227" s="2201"/>
      <c r="BX227" s="2185"/>
      <c r="BY227" s="2185"/>
      <c r="BZ227" s="2185"/>
      <c r="CA227" s="2185"/>
      <c r="CB227" s="913"/>
      <c r="CC227" s="102"/>
      <c r="CD227" s="913"/>
      <c r="CE227" s="102"/>
      <c r="CF227" s="910"/>
      <c r="CG227" s="910"/>
      <c r="CH227" s="910"/>
      <c r="CI227" s="910"/>
      <c r="CJ227" s="910"/>
      <c r="CK227" s="910"/>
      <c r="CL227" s="910"/>
      <c r="CM227" s="910"/>
      <c r="CN227" s="910"/>
      <c r="CO227" s="2207"/>
      <c r="CP227" s="2207"/>
      <c r="CQ227" s="2207"/>
      <c r="CR227" s="2207"/>
      <c r="CS227" s="2207"/>
      <c r="CT227" s="2207"/>
      <c r="CU227" s="2207"/>
      <c r="CV227" s="2207"/>
      <c r="CW227" s="2207"/>
      <c r="CX227" s="2207"/>
      <c r="CY227" s="2207"/>
      <c r="CZ227" s="2207"/>
      <c r="DA227" s="2207"/>
      <c r="DB227" s="2207"/>
      <c r="DC227" s="2207"/>
      <c r="DD227" s="2207"/>
      <c r="DE227" s="2207"/>
      <c r="DF227" s="2207"/>
      <c r="DG227" s="656"/>
      <c r="DH227" s="974"/>
      <c r="DI227" s="966"/>
      <c r="DJ227" s="966"/>
      <c r="DK227" s="967"/>
      <c r="DL227" s="118"/>
      <c r="DM227" s="910"/>
      <c r="DN227" s="910"/>
      <c r="DO227" s="910"/>
      <c r="DP227" s="910"/>
      <c r="DQ227" s="910"/>
      <c r="DR227" s="910"/>
      <c r="DS227" s="910"/>
      <c r="DT227" s="910"/>
      <c r="DU227" s="910"/>
      <c r="DV227" s="910"/>
      <c r="DW227" s="910"/>
      <c r="DX227" s="910"/>
      <c r="DY227" s="910"/>
      <c r="DZ227" s="910"/>
      <c r="EA227" s="910"/>
      <c r="EB227" s="910"/>
      <c r="EC227" s="910"/>
      <c r="ED227" s="910"/>
      <c r="EE227" s="910"/>
      <c r="EF227" s="910"/>
      <c r="EG227" s="910"/>
      <c r="EH227" s="910"/>
      <c r="EI227" s="910"/>
      <c r="EJ227" s="910"/>
      <c r="EK227" s="910"/>
      <c r="EL227" s="910"/>
      <c r="EM227" s="910"/>
      <c r="EN227" s="910"/>
      <c r="EO227" s="910"/>
      <c r="EP227" s="910"/>
      <c r="EQ227" s="910"/>
      <c r="ER227" s="910"/>
      <c r="ES227" s="910"/>
      <c r="ET227" s="910"/>
      <c r="EU227" s="910"/>
      <c r="EV227" s="910"/>
      <c r="EW227" s="910"/>
      <c r="EX227" s="910"/>
      <c r="EY227" s="910"/>
      <c r="EZ227" s="910"/>
      <c r="FA227" s="910"/>
      <c r="FB227" s="910"/>
      <c r="FC227" s="910"/>
      <c r="FD227" s="910"/>
      <c r="FE227" s="910"/>
      <c r="FF227" s="910"/>
      <c r="FG227" s="910"/>
      <c r="FH227" s="910"/>
      <c r="FI227" s="910"/>
      <c r="FJ227" s="910"/>
      <c r="FK227" s="910"/>
      <c r="FL227" s="1020" t="str">
        <f>IF(AND(AQ225&lt;&gt;"",BX225&lt;&gt;""),IF(BX222&lt;&gt;"",AQ217&amp;" "&amp;LOWER(J219)&amp;" "&amp;IF($Z225&lt;0,$Z225&amp;"/"&amp;$Z225&amp;"/"&amp;$Z225,"+"&amp;$Z225&amp;"/+"&amp;$Z225&amp;"/+"&amp;$Z225)&amp;" ("&amp;$AQ225&amp;IF(Weapons!BC$82&lt;&gt;"20","/"&amp;Weapons!BC$82,"")&amp;IF(Weapons!BC$83&lt;&gt;2,"/×"&amp;Weapons!BC$83,"")&amp;") with Triple Attack and "&amp;AQ225,""),"")</f>
        <v/>
      </c>
      <c r="FM227" s="1019" t="str">
        <f t="shared" si="5"/>
        <v/>
      </c>
    </row>
    <row r="228" spans="1:169" ht="9" customHeight="1" thickTop="1" thickBot="1">
      <c r="A228" s="910"/>
      <c r="B228" s="910"/>
      <c r="C228" s="112"/>
      <c r="D228" s="2183"/>
      <c r="E228" s="2184"/>
      <c r="F228" s="2184"/>
      <c r="G228" s="93"/>
      <c r="H228" s="2182" t="s">
        <v>4051</v>
      </c>
      <c r="I228" s="2208"/>
      <c r="J228" s="2208"/>
      <c r="K228" s="2208"/>
      <c r="L228" s="295"/>
      <c r="M228" s="295"/>
      <c r="N228" s="295"/>
      <c r="O228" s="295"/>
      <c r="P228" s="295"/>
      <c r="Q228" s="295"/>
      <c r="R228" s="295"/>
      <c r="S228" s="295"/>
      <c r="T228" s="295"/>
      <c r="U228" s="295"/>
      <c r="V228" s="113"/>
      <c r="W228" s="910"/>
      <c r="X228" s="910"/>
      <c r="Y228" s="93"/>
      <c r="Z228" s="2182" t="s">
        <v>4089</v>
      </c>
      <c r="AA228" s="2208"/>
      <c r="AB228" s="2208"/>
      <c r="AC228" s="2208"/>
      <c r="AD228" s="295"/>
      <c r="AE228" s="295"/>
      <c r="AF228" s="295"/>
      <c r="AG228" s="295"/>
      <c r="AH228" s="295"/>
      <c r="AI228" s="295"/>
      <c r="AJ228" s="295"/>
      <c r="AK228" s="295"/>
      <c r="AL228" s="295"/>
      <c r="AM228" s="113"/>
      <c r="AN228" s="910"/>
      <c r="AO228" s="910"/>
      <c r="AP228" s="647"/>
      <c r="AQ228" s="2191"/>
      <c r="AR228" s="2191"/>
      <c r="AS228" s="2191"/>
      <c r="AT228" s="2191"/>
      <c r="AU228" s="2191"/>
      <c r="AV228" s="2191"/>
      <c r="AW228" s="2191"/>
      <c r="AX228" s="2191"/>
      <c r="AY228" s="2191"/>
      <c r="AZ228" s="2191"/>
      <c r="BA228" s="2191"/>
      <c r="BB228" s="2191"/>
      <c r="BC228" s="2191"/>
      <c r="BD228" s="2191"/>
      <c r="BE228" s="2191"/>
      <c r="BF228" s="2191"/>
      <c r="BG228" s="2191"/>
      <c r="BH228" s="2191"/>
      <c r="BI228" s="2191"/>
      <c r="BJ228" s="2191"/>
      <c r="BK228" s="2191"/>
      <c r="BL228" s="100"/>
      <c r="BM228" s="122"/>
      <c r="BN228" s="290"/>
      <c r="BO228" s="102"/>
      <c r="BP228" s="2185" t="str">
        <f>IF(AQ228&lt;&gt;"",IF(OR(INDEX(WeaponFeatsModsTable,MATCH(AQ228,WeaponFeatsModsList,0),7)=AQ217,INDEX(WeaponFeatsModsTable,MATCH(AQ228,WeaponFeatsModsList,0),7)=""),INDEX(WeaponFeatsModsTable,MATCH(AQ228,WeaponFeatsModsList,0),2)+BP219,""),"")</f>
        <v/>
      </c>
      <c r="BQ228" s="2185"/>
      <c r="BR228" s="2185"/>
      <c r="BS228" s="2185"/>
      <c r="BT228" s="2200" t="str">
        <f>IF(BP228&lt;&gt;"",IF(AND(OR(INDEX(WeaponFeatsModsTable,MATCH(AQ228,WeaponFeatsModsList,0),7)=AQ217,INDEX(WeaponFeatsModsTable,MATCH(AQ228,WeaponFeatsModsList,0),7)=""),INDEX(WeaponFeatsModsTable,MATCH(AQ228,WeaponFeatsModsList,0),8)&lt;&gt;"Yes"),IF(COUNTIF(FeatsCharacterSheet,BT222)&gt;0,BP228+BT216,""),""),"")</f>
        <v/>
      </c>
      <c r="BU228" s="2185"/>
      <c r="BV228" s="2185"/>
      <c r="BW228" s="2201"/>
      <c r="BX228" s="2185" t="str">
        <f>IF(BP228&lt;&gt;"",IF(AND(OR(INDEX(WeaponFeatsModsTable,MATCH(AQ228,WeaponFeatsModsList,0),7)=AQ217,INDEX(WeaponFeatsModsTable,MATCH(AQ228,WeaponFeatsModsList,0),7)=""),INDEX(WeaponFeatsModsTable,MATCH(AQ228,WeaponFeatsModsList,0),8)&lt;&gt;"Yes"),IF(COUNTIF(FeatsCharacterSheet,BX222)&gt;0,BP228+BX216,""),""),"")</f>
        <v/>
      </c>
      <c r="BY228" s="2185"/>
      <c r="BZ228" s="2185"/>
      <c r="CA228" s="2185"/>
      <c r="CB228" s="100"/>
      <c r="CC228" s="122"/>
      <c r="CD228" s="290"/>
      <c r="CE228" s="102"/>
      <c r="CF228" s="1883"/>
      <c r="CG228" s="1883"/>
      <c r="CH228" s="1883"/>
      <c r="CI228" s="1883"/>
      <c r="CJ228" s="1883"/>
      <c r="CK228" s="1883"/>
      <c r="CL228" s="1883"/>
      <c r="CM228" s="1883"/>
      <c r="CN228" s="1883"/>
      <c r="CO228" s="2207" t="str">
        <f>IF(AQ228&lt;&gt;"",IF(OR(INDEX(WeaponFeatsModsTable,MATCH(AQ228,WeaponFeatsModsList,0),7)=$AQ$217,INDEX(WeaponFeatsModsTable,MATCH(AQ228,WeaponFeatsModsList,0),7)=""),Weapons!BC$78+INDEX(WeaponFeatsModsTable,MATCH(AQ228,WeaponFeatsModsList,0),5)&amp;"d"&amp;Weapons!BC$79&amp;Weapons!BC$123&amp;"+"&amp;Weapons!BC$116+DH228+IF(AND(LEFT(AQ228,12)="Power Attack",$AQ$219="Two-Handed",$AQ$217="Melee"),INDEX(WeaponFeatsModsTable,MATCH(AQ228,WeaponFeatsModsList,0),4),INDEX(WeaponFeatsModsTable,MATCH(AQ228,WeaponFeatsModsList,0),3)),""),"")</f>
        <v/>
      </c>
      <c r="CP228" s="2207"/>
      <c r="CQ228" s="2207"/>
      <c r="CR228" s="2207"/>
      <c r="CS228" s="2207"/>
      <c r="CT228" s="2207"/>
      <c r="CU228" s="2207"/>
      <c r="CV228" s="2207"/>
      <c r="CW228" s="2207"/>
      <c r="CX228" s="2207"/>
      <c r="CY228" s="2207"/>
      <c r="CZ228" s="2207"/>
      <c r="DA228" s="2207"/>
      <c r="DB228" s="2207"/>
      <c r="DC228" s="2207"/>
      <c r="DD228" s="2207"/>
      <c r="DE228" s="2207"/>
      <c r="DF228" s="2207"/>
      <c r="DG228" s="656"/>
      <c r="DH228" s="974">
        <f>IF(AND(COUNTIF(Weapons!BC$56:BC$60,"Pulse Charger"),AQ217="Ranged"),INDEX(WeaponFeatsModsTable,MATCH(AQ228,WeaponFeatsModsList,0),5),0)</f>
        <v>0</v>
      </c>
      <c r="DI228" s="910"/>
      <c r="DJ228" s="910"/>
      <c r="DK228" s="112"/>
      <c r="DL228" s="118"/>
      <c r="DM228" s="910"/>
      <c r="DN228" s="910"/>
      <c r="DO228" s="910"/>
      <c r="DP228" s="910"/>
      <c r="DQ228" s="910"/>
      <c r="DR228" s="910"/>
      <c r="DS228" s="910"/>
      <c r="DT228" s="910"/>
      <c r="DU228" s="910"/>
      <c r="DV228" s="910"/>
      <c r="DW228" s="910"/>
      <c r="DX228" s="910"/>
      <c r="DY228" s="910"/>
      <c r="DZ228" s="910"/>
      <c r="EA228" s="910"/>
      <c r="EB228" s="910"/>
      <c r="EC228" s="910"/>
      <c r="ED228" s="910"/>
      <c r="EE228" s="910"/>
      <c r="EF228" s="910"/>
      <c r="EG228" s="910"/>
      <c r="EH228" s="910"/>
      <c r="EI228" s="910"/>
      <c r="EJ228" s="910"/>
      <c r="EK228" s="910"/>
      <c r="EL228" s="910"/>
      <c r="EM228" s="910"/>
      <c r="EN228" s="910"/>
      <c r="EO228" s="910"/>
      <c r="EP228" s="910"/>
      <c r="EQ228" s="910"/>
      <c r="ER228" s="910"/>
      <c r="ES228" s="910"/>
      <c r="ET228" s="910"/>
      <c r="EU228" s="910"/>
      <c r="EV228" s="910"/>
      <c r="EW228" s="910"/>
      <c r="EX228" s="910"/>
      <c r="EY228" s="910"/>
      <c r="EZ228" s="910"/>
      <c r="FA228" s="910"/>
      <c r="FB228" s="910"/>
      <c r="FC228" s="910"/>
      <c r="FD228" s="910"/>
      <c r="FE228" s="910"/>
      <c r="FF228" s="910"/>
      <c r="FG228" s="910"/>
      <c r="FH228" s="910"/>
      <c r="FI228" s="910"/>
      <c r="FJ228" s="910"/>
      <c r="FK228" s="910"/>
      <c r="FL228" s="1020" t="str">
        <f>IF(AND(AQ228&lt;&gt;"",BP228&lt;&gt;""),AQ217&amp;" "&amp;LOWER(J219)&amp;" "&amp;IF(BP228&lt;0,"","+")&amp;BP228&amp;" ("&amp;CO228&amp;IF(Weapons!BC$82&lt;&gt;"20","/"&amp;Weapons!BC$82,"")&amp;IF(Weapons!BC$83&lt;&gt;2,"/×"&amp;Weapons!BC$83,"")&amp;") with "&amp;AQ228,"")</f>
        <v/>
      </c>
      <c r="FM228" s="1019" t="str">
        <f t="shared" si="5"/>
        <v/>
      </c>
    </row>
    <row r="229" spans="1:169" ht="9" customHeight="1" thickTop="1">
      <c r="A229" s="910"/>
      <c r="B229" s="910"/>
      <c r="C229" s="112"/>
      <c r="D229" s="2183"/>
      <c r="E229" s="2184"/>
      <c r="F229" s="2184"/>
      <c r="G229" s="102"/>
      <c r="H229" s="2138"/>
      <c r="I229" s="2138"/>
      <c r="J229" s="2138"/>
      <c r="K229" s="2138"/>
      <c r="L229" s="2187" t="str">
        <f>Weapons!BC$23</f>
        <v/>
      </c>
      <c r="M229" s="2187"/>
      <c r="N229" s="2187"/>
      <c r="O229" s="2187"/>
      <c r="P229" s="2187"/>
      <c r="Q229" s="2187"/>
      <c r="R229" s="2187"/>
      <c r="S229" s="2187"/>
      <c r="T229" s="2187"/>
      <c r="U229" s="2187"/>
      <c r="V229" s="100"/>
      <c r="W229" s="910"/>
      <c r="X229" s="910"/>
      <c r="Y229" s="102"/>
      <c r="Z229" s="2138"/>
      <c r="AA229" s="2138"/>
      <c r="AB229" s="2138"/>
      <c r="AC229" s="2138"/>
      <c r="AD229" s="2187" t="str">
        <f>IF(J219="","",IF(Weapons!BF$22&lt;&gt;"",Weapons!BC240,Weapons!BC$82&amp;"/×"&amp;Weapons!BC$83))</f>
        <v/>
      </c>
      <c r="AE229" s="2187"/>
      <c r="AF229" s="2187"/>
      <c r="AG229" s="2187"/>
      <c r="AH229" s="2187"/>
      <c r="AI229" s="2187"/>
      <c r="AJ229" s="2187"/>
      <c r="AK229" s="2187"/>
      <c r="AL229" s="2187"/>
      <c r="AM229" s="100"/>
      <c r="AN229" s="910"/>
      <c r="AO229" s="910"/>
      <c r="AP229" s="647"/>
      <c r="AQ229" s="2191"/>
      <c r="AR229" s="2191"/>
      <c r="AS229" s="2191"/>
      <c r="AT229" s="2191"/>
      <c r="AU229" s="2191"/>
      <c r="AV229" s="2191"/>
      <c r="AW229" s="2191"/>
      <c r="AX229" s="2191"/>
      <c r="AY229" s="2191"/>
      <c r="AZ229" s="2191"/>
      <c r="BA229" s="2191"/>
      <c r="BB229" s="2191"/>
      <c r="BC229" s="2191"/>
      <c r="BD229" s="2191"/>
      <c r="BE229" s="2191"/>
      <c r="BF229" s="2191"/>
      <c r="BG229" s="2191"/>
      <c r="BH229" s="2191"/>
      <c r="BI229" s="2191"/>
      <c r="BJ229" s="2191"/>
      <c r="BK229" s="2191"/>
      <c r="BL229" s="100"/>
      <c r="BM229" s="111"/>
      <c r="BN229" s="111"/>
      <c r="BO229" s="647"/>
      <c r="BP229" s="2185"/>
      <c r="BQ229" s="2185"/>
      <c r="BR229" s="2185"/>
      <c r="BS229" s="2185"/>
      <c r="BT229" s="2200"/>
      <c r="BU229" s="2185"/>
      <c r="BV229" s="2185"/>
      <c r="BW229" s="2201"/>
      <c r="BX229" s="2185"/>
      <c r="BY229" s="2185"/>
      <c r="BZ229" s="2185"/>
      <c r="CA229" s="2185"/>
      <c r="CB229" s="100"/>
      <c r="CC229" s="111"/>
      <c r="CD229" s="111"/>
      <c r="CE229" s="102"/>
      <c r="CF229" s="1883"/>
      <c r="CG229" s="1883"/>
      <c r="CH229" s="1883"/>
      <c r="CI229" s="1883"/>
      <c r="CJ229" s="1883"/>
      <c r="CK229" s="1883"/>
      <c r="CL229" s="1883"/>
      <c r="CM229" s="1883"/>
      <c r="CN229" s="1883"/>
      <c r="CO229" s="2207"/>
      <c r="CP229" s="2207"/>
      <c r="CQ229" s="2207"/>
      <c r="CR229" s="2207"/>
      <c r="CS229" s="2207"/>
      <c r="CT229" s="2207"/>
      <c r="CU229" s="2207"/>
      <c r="CV229" s="2207"/>
      <c r="CW229" s="2207"/>
      <c r="CX229" s="2207"/>
      <c r="CY229" s="2207"/>
      <c r="CZ229" s="2207"/>
      <c r="DA229" s="2207"/>
      <c r="DB229" s="2207"/>
      <c r="DC229" s="2207"/>
      <c r="DD229" s="2207"/>
      <c r="DE229" s="2207"/>
      <c r="DF229" s="2207"/>
      <c r="DG229" s="656"/>
      <c r="DI229" s="910"/>
      <c r="DJ229" s="910"/>
      <c r="DK229" s="112"/>
      <c r="DL229" s="118"/>
      <c r="DM229" s="910"/>
      <c r="DN229" s="910"/>
      <c r="DO229" s="910"/>
      <c r="DP229" s="910"/>
      <c r="DQ229" s="910"/>
      <c r="DR229" s="910"/>
      <c r="DS229" s="910"/>
      <c r="DT229" s="910"/>
      <c r="DU229" s="910"/>
      <c r="DV229" s="910"/>
      <c r="DW229" s="910"/>
      <c r="DX229" s="910"/>
      <c r="DY229" s="910"/>
      <c r="DZ229" s="910"/>
      <c r="EA229" s="910"/>
      <c r="EB229" s="910"/>
      <c r="EC229" s="910"/>
      <c r="ED229" s="910"/>
      <c r="EE229" s="910"/>
      <c r="EF229" s="910"/>
      <c r="EG229" s="910"/>
      <c r="EH229" s="910"/>
      <c r="EI229" s="910"/>
      <c r="EJ229" s="910"/>
      <c r="EK229" s="910"/>
      <c r="EL229" s="910"/>
      <c r="EM229" s="910"/>
      <c r="EN229" s="910"/>
      <c r="EO229" s="910"/>
      <c r="EP229" s="910"/>
      <c r="EQ229" s="910"/>
      <c r="ER229" s="910"/>
      <c r="ES229" s="910"/>
      <c r="ET229" s="910"/>
      <c r="EU229" s="910"/>
      <c r="EV229" s="910"/>
      <c r="EW229" s="910"/>
      <c r="EX229" s="910"/>
      <c r="EY229" s="910"/>
      <c r="EZ229" s="910"/>
      <c r="FA229" s="910"/>
      <c r="FB229" s="910"/>
      <c r="FC229" s="910"/>
      <c r="FD229" s="910"/>
      <c r="FE229" s="910"/>
      <c r="FF229" s="910"/>
      <c r="FG229" s="910"/>
      <c r="FH229" s="910"/>
      <c r="FI229" s="910"/>
      <c r="FJ229" s="910"/>
      <c r="FK229" s="910"/>
      <c r="FL229" s="1020" t="str">
        <f>IF(AND(AQ228&lt;&gt;"",BT228&lt;&gt;""),IF(BT222&lt;&gt;"",AQ217&amp;" "&amp;LOWER(J219)&amp;" "&amp;IF($V228&lt;0,BT228&amp;"/"&amp;BT228,"+"&amp;BT228&amp;"/+"&amp;BT228)&amp;" ("&amp;$AQ228&amp;IF(Weapons!BC$82&lt;&gt;"20","/"&amp;Weapons!BC$82,"")&amp;IF(Weapons!BC$83&lt;&gt;2,"/×"&amp;Weapons!BC$83,"")&amp;") with Double Attack and "&amp;AQ228,""),"")</f>
        <v/>
      </c>
      <c r="FM229" s="1019" t="str">
        <f t="shared" si="5"/>
        <v/>
      </c>
    </row>
    <row r="230" spans="1:169" ht="9" customHeight="1">
      <c r="A230" s="910"/>
      <c r="B230" s="910"/>
      <c r="C230" s="112"/>
      <c r="D230" s="2183"/>
      <c r="E230" s="2184"/>
      <c r="F230" s="2184"/>
      <c r="G230" s="102"/>
      <c r="H230" s="911"/>
      <c r="I230" s="911"/>
      <c r="J230" s="911"/>
      <c r="K230" s="911"/>
      <c r="L230" s="2187"/>
      <c r="M230" s="2187"/>
      <c r="N230" s="2187"/>
      <c r="O230" s="2187"/>
      <c r="P230" s="2187"/>
      <c r="Q230" s="2187"/>
      <c r="R230" s="2187"/>
      <c r="S230" s="2187"/>
      <c r="T230" s="2187"/>
      <c r="U230" s="2187"/>
      <c r="V230" s="100"/>
      <c r="W230" s="910"/>
      <c r="X230" s="910"/>
      <c r="Y230" s="102"/>
      <c r="Z230" s="911"/>
      <c r="AA230" s="911"/>
      <c r="AB230" s="911"/>
      <c r="AC230" s="911"/>
      <c r="AD230" s="2187"/>
      <c r="AE230" s="2187"/>
      <c r="AF230" s="2187"/>
      <c r="AG230" s="2187"/>
      <c r="AH230" s="2187"/>
      <c r="AI230" s="2187"/>
      <c r="AJ230" s="2187"/>
      <c r="AK230" s="2187"/>
      <c r="AL230" s="2187"/>
      <c r="AM230" s="100"/>
      <c r="AN230" s="910"/>
      <c r="AO230" s="910"/>
      <c r="AP230" s="647"/>
      <c r="AQ230" s="2192"/>
      <c r="AR230" s="2192"/>
      <c r="AS230" s="2192"/>
      <c r="AT230" s="2192"/>
      <c r="AU230" s="2192"/>
      <c r="AV230" s="2192"/>
      <c r="AW230" s="2192"/>
      <c r="AX230" s="2192"/>
      <c r="AY230" s="2192"/>
      <c r="AZ230" s="2192"/>
      <c r="BA230" s="2192"/>
      <c r="BB230" s="2192"/>
      <c r="BC230" s="2192"/>
      <c r="BD230" s="2192"/>
      <c r="BE230" s="2192"/>
      <c r="BF230" s="2192"/>
      <c r="BG230" s="2192"/>
      <c r="BH230" s="2192"/>
      <c r="BI230" s="2192"/>
      <c r="BJ230" s="2192"/>
      <c r="BK230" s="2192"/>
      <c r="BL230" s="910"/>
      <c r="BM230" s="647"/>
      <c r="BN230" s="913"/>
      <c r="BO230" s="102"/>
      <c r="BP230" s="2185"/>
      <c r="BQ230" s="2185"/>
      <c r="BR230" s="2185"/>
      <c r="BS230" s="2185"/>
      <c r="BT230" s="2200"/>
      <c r="BU230" s="2185"/>
      <c r="BV230" s="2185"/>
      <c r="BW230" s="2201"/>
      <c r="BX230" s="2185"/>
      <c r="BY230" s="2185"/>
      <c r="BZ230" s="2185"/>
      <c r="CA230" s="2185"/>
      <c r="CB230" s="913"/>
      <c r="CC230" s="102"/>
      <c r="CD230" s="913"/>
      <c r="CE230" s="102"/>
      <c r="CF230" s="910"/>
      <c r="CG230" s="910"/>
      <c r="CH230" s="910"/>
      <c r="CI230" s="910"/>
      <c r="CJ230" s="910"/>
      <c r="CK230" s="910"/>
      <c r="CL230" s="910"/>
      <c r="CM230" s="910"/>
      <c r="CN230" s="910"/>
      <c r="CO230" s="2207"/>
      <c r="CP230" s="2207"/>
      <c r="CQ230" s="2207"/>
      <c r="CR230" s="2207"/>
      <c r="CS230" s="2207"/>
      <c r="CT230" s="2207"/>
      <c r="CU230" s="2207"/>
      <c r="CV230" s="2207"/>
      <c r="CW230" s="2207"/>
      <c r="CX230" s="2207"/>
      <c r="CY230" s="2207"/>
      <c r="CZ230" s="2207"/>
      <c r="DA230" s="2207"/>
      <c r="DB230" s="2207"/>
      <c r="DC230" s="2207"/>
      <c r="DD230" s="2207"/>
      <c r="DE230" s="2207"/>
      <c r="DF230" s="2207"/>
      <c r="DG230" s="656"/>
      <c r="DI230" s="910"/>
      <c r="DJ230" s="910"/>
      <c r="DK230" s="112"/>
      <c r="DL230" s="118"/>
      <c r="DM230" s="910"/>
      <c r="DN230" s="910"/>
      <c r="DO230" s="910"/>
      <c r="DP230" s="910"/>
      <c r="DQ230" s="910"/>
      <c r="DR230" s="910"/>
      <c r="DS230" s="910"/>
      <c r="DT230" s="910"/>
      <c r="DU230" s="910"/>
      <c r="DV230" s="910"/>
      <c r="DW230" s="910"/>
      <c r="DX230" s="910"/>
      <c r="DY230" s="910"/>
      <c r="DZ230" s="910"/>
      <c r="EA230" s="910"/>
      <c r="EB230" s="910"/>
      <c r="EC230" s="910"/>
      <c r="ED230" s="910"/>
      <c r="EE230" s="910"/>
      <c r="EF230" s="910"/>
      <c r="EG230" s="910"/>
      <c r="EH230" s="910"/>
      <c r="EI230" s="910"/>
      <c r="EJ230" s="910"/>
      <c r="EK230" s="910"/>
      <c r="EL230" s="910"/>
      <c r="EM230" s="910"/>
      <c r="EN230" s="910"/>
      <c r="EO230" s="910"/>
      <c r="EP230" s="910"/>
      <c r="EQ230" s="910"/>
      <c r="ER230" s="910"/>
      <c r="ES230" s="910"/>
      <c r="ET230" s="910"/>
      <c r="EU230" s="910"/>
      <c r="EV230" s="910"/>
      <c r="EW230" s="910"/>
      <c r="EX230" s="910"/>
      <c r="EY230" s="910"/>
      <c r="EZ230" s="910"/>
      <c r="FA230" s="910"/>
      <c r="FB230" s="910"/>
      <c r="FC230" s="910"/>
      <c r="FD230" s="910"/>
      <c r="FE230" s="910"/>
      <c r="FF230" s="910"/>
      <c r="FG230" s="910"/>
      <c r="FH230" s="910"/>
      <c r="FI230" s="910"/>
      <c r="FJ230" s="910"/>
      <c r="FK230" s="910"/>
      <c r="FL230" s="1020" t="str">
        <f>IF(AND(AQ228&lt;&gt;"",BX228&lt;&gt;""),IF(BX222&lt;&gt;"",AQ217&amp;" "&amp;LOWER(J219)&amp;" "&amp;IF($Z228&lt;0,$Z228&amp;"/"&amp;$Z228&amp;"/"&amp;$Z228,"+"&amp;$Z228&amp;"/+"&amp;$Z228&amp;"/+"&amp;$Z228)&amp;" ("&amp;$AQ228&amp;IF(Weapons!BC$82&lt;&gt;"20","/"&amp;Weapons!BC$82,"")&amp;IF(Weapons!BC$83&lt;&gt;2,"/×"&amp;Weapons!BC$83,"")&amp;") with Triple Attack and "&amp;AQ228,""),"")</f>
        <v/>
      </c>
      <c r="FM230" s="1019" t="str">
        <f t="shared" si="5"/>
        <v/>
      </c>
    </row>
    <row r="231" spans="1:169" ht="9" customHeight="1" thickBot="1">
      <c r="A231" s="910"/>
      <c r="B231" s="910"/>
      <c r="C231" s="112"/>
      <c r="D231" s="2183"/>
      <c r="E231" s="2184"/>
      <c r="F231" s="2184"/>
      <c r="G231" s="91"/>
      <c r="H231" s="912"/>
      <c r="I231" s="912"/>
      <c r="J231" s="912"/>
      <c r="K231" s="912"/>
      <c r="L231" s="2188"/>
      <c r="M231" s="2188"/>
      <c r="N231" s="2188"/>
      <c r="O231" s="2188"/>
      <c r="P231" s="2188"/>
      <c r="Q231" s="2188"/>
      <c r="R231" s="2188"/>
      <c r="S231" s="2188"/>
      <c r="T231" s="2188"/>
      <c r="U231" s="2188"/>
      <c r="V231" s="93"/>
      <c r="W231" s="910"/>
      <c r="X231" s="910"/>
      <c r="Y231" s="91"/>
      <c r="Z231" s="912"/>
      <c r="AA231" s="912"/>
      <c r="AB231" s="912"/>
      <c r="AC231" s="912"/>
      <c r="AD231" s="2188"/>
      <c r="AE231" s="2188"/>
      <c r="AF231" s="2188"/>
      <c r="AG231" s="2188"/>
      <c r="AH231" s="2188"/>
      <c r="AI231" s="2188"/>
      <c r="AJ231" s="2188"/>
      <c r="AK231" s="2188"/>
      <c r="AL231" s="2188"/>
      <c r="AM231" s="93"/>
      <c r="AN231" s="910"/>
      <c r="AO231" s="910"/>
      <c r="AP231" s="647"/>
      <c r="AQ231" s="2191"/>
      <c r="AR231" s="2191"/>
      <c r="AS231" s="2191"/>
      <c r="AT231" s="2191"/>
      <c r="AU231" s="2191"/>
      <c r="AV231" s="2191"/>
      <c r="AW231" s="2191"/>
      <c r="AX231" s="2191"/>
      <c r="AY231" s="2191"/>
      <c r="AZ231" s="2191"/>
      <c r="BA231" s="2191"/>
      <c r="BB231" s="2191"/>
      <c r="BC231" s="2191"/>
      <c r="BD231" s="2191"/>
      <c r="BE231" s="2191"/>
      <c r="BF231" s="2191"/>
      <c r="BG231" s="2191"/>
      <c r="BH231" s="2191"/>
      <c r="BI231" s="2191"/>
      <c r="BJ231" s="2191"/>
      <c r="BK231" s="2191"/>
      <c r="BL231" s="100"/>
      <c r="BM231" s="122"/>
      <c r="BN231" s="290"/>
      <c r="BO231" s="102"/>
      <c r="BP231" s="2185" t="str">
        <f>IF(AQ231&lt;&gt;"",IF(OR(INDEX(WeaponFeatsModsTable,MATCH(AQ231,WeaponFeatsModsList,0),7)=AQ217,INDEX(WeaponFeatsModsTable,MATCH(AQ231,WeaponFeatsModsList,0),7)=""),INDEX(WeaponFeatsModsTable,MATCH(AQ231,WeaponFeatsModsList,0),2)+BP219,""),"")</f>
        <v/>
      </c>
      <c r="BQ231" s="2185"/>
      <c r="BR231" s="2185"/>
      <c r="BS231" s="2185"/>
      <c r="BT231" s="2200" t="str">
        <f>IF(BP231&lt;&gt;"",IF(AND(OR(INDEX(WeaponFeatsModsTable,MATCH(AQ231,WeaponFeatsModsList,0),7)=AQ217,INDEX(WeaponFeatsModsTable,MATCH(AQ231,WeaponFeatsModsList,0),7)=""),INDEX(WeaponFeatsModsTable,MATCH(AQ231,WeaponFeatsModsList,0),8)&lt;&gt;"Yes"),IF(COUNTIF(FeatsCharacterSheet,BT222)&gt;0,BP231+BT216,""),""),"")</f>
        <v/>
      </c>
      <c r="BU231" s="2185"/>
      <c r="BV231" s="2185"/>
      <c r="BW231" s="2201"/>
      <c r="BX231" s="2185" t="str">
        <f>IF(BP231&lt;&gt;"",IF(AND(OR(INDEX(WeaponFeatsModsTable,MATCH(AQ231,WeaponFeatsModsList,0),7)=AQ217,INDEX(WeaponFeatsModsTable,MATCH(AQ231,WeaponFeatsModsList,0),7)=""),INDEX(WeaponFeatsModsTable,MATCH(AQ231,WeaponFeatsModsList,0),8)&lt;&gt;"Yes"),IF(COUNTIF(FeatsCharacterSheet,BX222)&gt;0,BP231+BX216,""),""),"")</f>
        <v/>
      </c>
      <c r="BY231" s="2185"/>
      <c r="BZ231" s="2185"/>
      <c r="CA231" s="2185"/>
      <c r="CB231" s="100"/>
      <c r="CC231" s="122"/>
      <c r="CD231" s="290"/>
      <c r="CE231" s="102"/>
      <c r="CF231" s="1883"/>
      <c r="CG231" s="1883"/>
      <c r="CH231" s="1883"/>
      <c r="CI231" s="1883"/>
      <c r="CJ231" s="1883"/>
      <c r="CK231" s="1883"/>
      <c r="CL231" s="1883"/>
      <c r="CM231" s="1883"/>
      <c r="CN231" s="1883"/>
      <c r="CO231" s="2207" t="str">
        <f>IF(AQ231&lt;&gt;"",IF(OR(INDEX(WeaponFeatsModsTable,MATCH(AQ231,WeaponFeatsModsList,0),7)=$AQ$217,INDEX(WeaponFeatsModsTable,MATCH(AQ231,WeaponFeatsModsList,0),7)=""),Weapons!BC$78+INDEX(WeaponFeatsModsTable,MATCH(AQ231,WeaponFeatsModsList,0),5)&amp;"d"&amp;Weapons!BC$79&amp;Weapons!BC$123&amp;"+"&amp;Weapons!BC$116+DH231+IF(AND(LEFT(AQ231,12)="Power Attack",$AQ$219="Two-Handed",$AQ$217="Melee"),INDEX(WeaponFeatsModsTable,MATCH(AQ231,WeaponFeatsModsList,0),4),INDEX(WeaponFeatsModsTable,MATCH(AQ231,WeaponFeatsModsList,0),3)),""),"")</f>
        <v/>
      </c>
      <c r="CP231" s="2207"/>
      <c r="CQ231" s="2207"/>
      <c r="CR231" s="2207"/>
      <c r="CS231" s="2207"/>
      <c r="CT231" s="2207"/>
      <c r="CU231" s="2207"/>
      <c r="CV231" s="2207"/>
      <c r="CW231" s="2207"/>
      <c r="CX231" s="2207"/>
      <c r="CY231" s="2207"/>
      <c r="CZ231" s="2207"/>
      <c r="DA231" s="2207"/>
      <c r="DB231" s="2207"/>
      <c r="DC231" s="2207"/>
      <c r="DD231" s="2207"/>
      <c r="DE231" s="2207"/>
      <c r="DF231" s="2207"/>
      <c r="DG231" s="656"/>
      <c r="DH231" s="974">
        <f>IF(AND(COUNTIF(Weapons!BC$56:BC$60,"Pulse Charger"),AQ217="Ranged"),INDEX(WeaponFeatsModsTable,MATCH(AQ231,WeaponFeatsModsList,0),5),0)</f>
        <v>0</v>
      </c>
      <c r="DI231" s="910"/>
      <c r="DJ231" s="910"/>
      <c r="DK231" s="112"/>
      <c r="DL231" s="118"/>
      <c r="DM231" s="910"/>
      <c r="DN231" s="910"/>
      <c r="DO231" s="910"/>
      <c r="DP231" s="910"/>
      <c r="DQ231" s="910"/>
      <c r="DR231" s="910"/>
      <c r="DS231" s="910"/>
      <c r="DT231" s="910"/>
      <c r="DU231" s="910"/>
      <c r="DV231" s="910"/>
      <c r="DW231" s="910"/>
      <c r="DX231" s="910"/>
      <c r="DY231" s="910"/>
      <c r="DZ231" s="910"/>
      <c r="EA231" s="910"/>
      <c r="EB231" s="910"/>
      <c r="EC231" s="910"/>
      <c r="ED231" s="910"/>
      <c r="EE231" s="910"/>
      <c r="EF231" s="910"/>
      <c r="EG231" s="910"/>
      <c r="EH231" s="910"/>
      <c r="EI231" s="910"/>
      <c r="EJ231" s="910"/>
      <c r="EK231" s="910"/>
      <c r="EL231" s="910"/>
      <c r="EM231" s="910"/>
      <c r="EN231" s="910"/>
      <c r="EO231" s="910"/>
      <c r="EP231" s="910"/>
      <c r="EQ231" s="910"/>
      <c r="ER231" s="910"/>
      <c r="ES231" s="910"/>
      <c r="ET231" s="910"/>
      <c r="EU231" s="910"/>
      <c r="EV231" s="910"/>
      <c r="EW231" s="910"/>
      <c r="EX231" s="910"/>
      <c r="EY231" s="910"/>
      <c r="EZ231" s="910"/>
      <c r="FA231" s="910"/>
      <c r="FB231" s="910"/>
      <c r="FC231" s="910"/>
      <c r="FD231" s="910"/>
      <c r="FE231" s="910"/>
      <c r="FF231" s="910"/>
      <c r="FG231" s="910"/>
      <c r="FH231" s="910"/>
      <c r="FI231" s="910"/>
      <c r="FJ231" s="910"/>
      <c r="FK231" s="910"/>
      <c r="FL231" s="1020" t="str">
        <f>IF(AND(AQ231&lt;&gt;"",BP231&lt;&gt;""),AQ217&amp;" "&amp;LOWER(J219)&amp;" "&amp;IF(BP231&lt;0,"","+")&amp;BP231&amp;" ("&amp;CO231&amp;IF(Weapons!BC$82&lt;&gt;"20","/"&amp;Weapons!BC$82,"")&amp;IF(Weapons!BC$83&lt;&gt;2,"/×"&amp;Weapons!BC$83,"")&amp;") with "&amp;AQ231,"")</f>
        <v/>
      </c>
      <c r="FM231" s="1019" t="str">
        <f t="shared" si="5"/>
        <v/>
      </c>
    </row>
    <row r="232" spans="1:169" ht="9" customHeight="1" thickTop="1" thickBot="1">
      <c r="A232" s="910"/>
      <c r="B232" s="910"/>
      <c r="C232" s="112"/>
      <c r="D232" s="2183"/>
      <c r="E232" s="2184"/>
      <c r="F232" s="2184"/>
      <c r="G232" s="118"/>
      <c r="H232" s="118"/>
      <c r="I232" s="105"/>
      <c r="J232" s="913"/>
      <c r="K232" s="913"/>
      <c r="L232" s="913"/>
      <c r="M232" s="913"/>
      <c r="N232" s="653"/>
      <c r="O232" s="653"/>
      <c r="P232" s="653"/>
      <c r="Q232" s="653"/>
      <c r="R232" s="653"/>
      <c r="S232" s="131"/>
      <c r="T232" s="118"/>
      <c r="U232" s="118"/>
      <c r="V232" s="105"/>
      <c r="W232" s="913"/>
      <c r="X232" s="118"/>
      <c r="Y232" s="118"/>
      <c r="Z232" s="118"/>
      <c r="AA232" s="118"/>
      <c r="AB232" s="118"/>
      <c r="AC232" s="118"/>
      <c r="AD232" s="118"/>
      <c r="AE232" s="118"/>
      <c r="AF232" s="118"/>
      <c r="AG232" s="118"/>
      <c r="AH232" s="118"/>
      <c r="AI232" s="118"/>
      <c r="AJ232" s="118"/>
      <c r="AK232" s="118"/>
      <c r="AL232" s="118"/>
      <c r="AM232" s="118"/>
      <c r="AN232" s="118"/>
      <c r="AO232" s="910"/>
      <c r="AP232" s="647"/>
      <c r="AQ232" s="2191"/>
      <c r="AR232" s="2191"/>
      <c r="AS232" s="2191"/>
      <c r="AT232" s="2191"/>
      <c r="AU232" s="2191"/>
      <c r="AV232" s="2191"/>
      <c r="AW232" s="2191"/>
      <c r="AX232" s="2191"/>
      <c r="AY232" s="2191"/>
      <c r="AZ232" s="2191"/>
      <c r="BA232" s="2191"/>
      <c r="BB232" s="2191"/>
      <c r="BC232" s="2191"/>
      <c r="BD232" s="2191"/>
      <c r="BE232" s="2191"/>
      <c r="BF232" s="2191"/>
      <c r="BG232" s="2191"/>
      <c r="BH232" s="2191"/>
      <c r="BI232" s="2191"/>
      <c r="BJ232" s="2191"/>
      <c r="BK232" s="2191"/>
      <c r="BL232" s="100"/>
      <c r="BM232" s="111"/>
      <c r="BN232" s="111"/>
      <c r="BO232" s="647"/>
      <c r="BP232" s="2185"/>
      <c r="BQ232" s="2185"/>
      <c r="BR232" s="2185"/>
      <c r="BS232" s="2185"/>
      <c r="BT232" s="2200"/>
      <c r="BU232" s="2185"/>
      <c r="BV232" s="2185"/>
      <c r="BW232" s="2201"/>
      <c r="BX232" s="2185"/>
      <c r="BY232" s="2185"/>
      <c r="BZ232" s="2185"/>
      <c r="CA232" s="2185"/>
      <c r="CB232" s="100"/>
      <c r="CC232" s="111"/>
      <c r="CD232" s="111"/>
      <c r="CE232" s="102"/>
      <c r="CF232" s="1883"/>
      <c r="CG232" s="1883"/>
      <c r="CH232" s="1883"/>
      <c r="CI232" s="1883"/>
      <c r="CJ232" s="1883"/>
      <c r="CK232" s="1883"/>
      <c r="CL232" s="1883"/>
      <c r="CM232" s="1883"/>
      <c r="CN232" s="1883"/>
      <c r="CO232" s="2207"/>
      <c r="CP232" s="2207"/>
      <c r="CQ232" s="2207"/>
      <c r="CR232" s="2207"/>
      <c r="CS232" s="2207"/>
      <c r="CT232" s="2207"/>
      <c r="CU232" s="2207"/>
      <c r="CV232" s="2207"/>
      <c r="CW232" s="2207"/>
      <c r="CX232" s="2207"/>
      <c r="CY232" s="2207"/>
      <c r="CZ232" s="2207"/>
      <c r="DA232" s="2207"/>
      <c r="DB232" s="2207"/>
      <c r="DC232" s="2207"/>
      <c r="DD232" s="2207"/>
      <c r="DE232" s="2207"/>
      <c r="DF232" s="2207"/>
      <c r="DG232" s="656"/>
      <c r="DI232" s="910"/>
      <c r="DJ232" s="910"/>
      <c r="DK232" s="112"/>
      <c r="DL232" s="118"/>
      <c r="DM232" s="910"/>
      <c r="DN232" s="910"/>
      <c r="DO232" s="910"/>
      <c r="DP232" s="910"/>
      <c r="DQ232" s="910"/>
      <c r="DR232" s="910"/>
      <c r="DS232" s="910"/>
      <c r="DT232" s="910"/>
      <c r="DU232" s="910"/>
      <c r="DV232" s="910"/>
      <c r="DW232" s="910"/>
      <c r="DX232" s="910"/>
      <c r="DY232" s="910"/>
      <c r="DZ232" s="910"/>
      <c r="EA232" s="910"/>
      <c r="EB232" s="910"/>
      <c r="EC232" s="910"/>
      <c r="ED232" s="910"/>
      <c r="EE232" s="910"/>
      <c r="EF232" s="910"/>
      <c r="EG232" s="910"/>
      <c r="EH232" s="910"/>
      <c r="EI232" s="910"/>
      <c r="EJ232" s="910"/>
      <c r="EK232" s="910"/>
      <c r="EL232" s="910"/>
      <c r="EM232" s="910"/>
      <c r="EN232" s="910"/>
      <c r="EO232" s="910"/>
      <c r="EP232" s="910"/>
      <c r="EQ232" s="910"/>
      <c r="ER232" s="910"/>
      <c r="ES232" s="910"/>
      <c r="ET232" s="910"/>
      <c r="EU232" s="910"/>
      <c r="EV232" s="910"/>
      <c r="EW232" s="910"/>
      <c r="EX232" s="910"/>
      <c r="EY232" s="910"/>
      <c r="EZ232" s="910"/>
      <c r="FA232" s="910"/>
      <c r="FB232" s="910"/>
      <c r="FC232" s="910"/>
      <c r="FD232" s="910"/>
      <c r="FE232" s="910"/>
      <c r="FF232" s="910"/>
      <c r="FG232" s="910"/>
      <c r="FH232" s="910"/>
      <c r="FI232" s="910"/>
      <c r="FJ232" s="910"/>
      <c r="FK232" s="910"/>
      <c r="FL232" s="1020" t="str">
        <f>IF(AND(AQ231&lt;&gt;"",BT231&lt;&gt;""),IF(BT222&lt;&gt;"",AQ217&amp;" "&amp;LOWER(J219)&amp;" "&amp;IF($V231&lt;0,BT231&amp;"/"&amp;BT231,"+"&amp;BT231&amp;"/+"&amp;BT231)&amp;" ("&amp;$AQ231&amp;IF(Weapons!BC$82&lt;&gt;"20","/"&amp;Weapons!BC$82,"")&amp;IF(Weapons!BC$83&lt;&gt;2,"/×"&amp;Weapons!BC$83,"")&amp;") with Double Attack and "&amp;AQ231,""),"")</f>
        <v/>
      </c>
      <c r="FM232" s="1019" t="str">
        <f t="shared" si="5"/>
        <v/>
      </c>
    </row>
    <row r="233" spans="1:169" ht="9" customHeight="1" thickTop="1">
      <c r="A233" s="910"/>
      <c r="B233" s="910"/>
      <c r="C233" s="112"/>
      <c r="D233" s="2183"/>
      <c r="E233" s="2184"/>
      <c r="F233" s="2184"/>
      <c r="G233" s="93"/>
      <c r="H233" s="2182" t="str">
        <f>IF(AG234&lt;&gt;"","AMMO","POWER")</f>
        <v>POWER</v>
      </c>
      <c r="I233" s="2182"/>
      <c r="J233" s="2182"/>
      <c r="K233" s="2182"/>
      <c r="L233" s="2182"/>
      <c r="M233" s="2182"/>
      <c r="N233" s="295"/>
      <c r="O233" s="295"/>
      <c r="P233" s="295"/>
      <c r="Q233" s="295"/>
      <c r="R233" s="295"/>
      <c r="S233" s="295"/>
      <c r="T233" s="295"/>
      <c r="U233" s="295"/>
      <c r="V233" s="295"/>
      <c r="W233" s="295"/>
      <c r="X233" s="295"/>
      <c r="Y233" s="295"/>
      <c r="Z233" s="295"/>
      <c r="AA233" s="295"/>
      <c r="AB233" s="295"/>
      <c r="AC233" s="295"/>
      <c r="AD233" s="295"/>
      <c r="AE233" s="295"/>
      <c r="AF233" s="295"/>
      <c r="AG233" s="295"/>
      <c r="AH233" s="295"/>
      <c r="AI233" s="295"/>
      <c r="AJ233" s="295"/>
      <c r="AK233" s="295"/>
      <c r="AL233" s="295"/>
      <c r="AM233" s="113"/>
      <c r="AN233" s="910"/>
      <c r="AO233" s="910"/>
      <c r="AP233" s="647"/>
      <c r="AQ233" s="2192"/>
      <c r="AR233" s="2192"/>
      <c r="AS233" s="2192"/>
      <c r="AT233" s="2192"/>
      <c r="AU233" s="2192"/>
      <c r="AV233" s="2192"/>
      <c r="AW233" s="2192"/>
      <c r="AX233" s="2192"/>
      <c r="AY233" s="2192"/>
      <c r="AZ233" s="2192"/>
      <c r="BA233" s="2192"/>
      <c r="BB233" s="2192"/>
      <c r="BC233" s="2192"/>
      <c r="BD233" s="2192"/>
      <c r="BE233" s="2192"/>
      <c r="BF233" s="2192"/>
      <c r="BG233" s="2192"/>
      <c r="BH233" s="2192"/>
      <c r="BI233" s="2192"/>
      <c r="BJ233" s="2192"/>
      <c r="BK233" s="2192"/>
      <c r="BL233" s="910"/>
      <c r="BM233" s="647"/>
      <c r="BN233" s="913"/>
      <c r="BO233" s="102"/>
      <c r="BP233" s="2185"/>
      <c r="BQ233" s="2185"/>
      <c r="BR233" s="2185"/>
      <c r="BS233" s="2185"/>
      <c r="BT233" s="2200"/>
      <c r="BU233" s="2185"/>
      <c r="BV233" s="2185"/>
      <c r="BW233" s="2201"/>
      <c r="BX233" s="2185"/>
      <c r="BY233" s="2185"/>
      <c r="BZ233" s="2185"/>
      <c r="CA233" s="2185"/>
      <c r="CB233" s="913"/>
      <c r="CC233" s="102"/>
      <c r="CD233" s="913"/>
      <c r="CE233" s="102"/>
      <c r="CF233" s="910"/>
      <c r="CG233" s="910"/>
      <c r="CH233" s="910"/>
      <c r="CI233" s="910"/>
      <c r="CJ233" s="910"/>
      <c r="CK233" s="910"/>
      <c r="CL233" s="910"/>
      <c r="CM233" s="910"/>
      <c r="CN233" s="910"/>
      <c r="CO233" s="2207"/>
      <c r="CP233" s="2207"/>
      <c r="CQ233" s="2207"/>
      <c r="CR233" s="2207"/>
      <c r="CS233" s="2207"/>
      <c r="CT233" s="2207"/>
      <c r="CU233" s="2207"/>
      <c r="CV233" s="2207"/>
      <c r="CW233" s="2207"/>
      <c r="CX233" s="2207"/>
      <c r="CY233" s="2207"/>
      <c r="CZ233" s="2207"/>
      <c r="DA233" s="2207"/>
      <c r="DB233" s="2207"/>
      <c r="DC233" s="2207"/>
      <c r="DD233" s="2207"/>
      <c r="DE233" s="2207"/>
      <c r="DF233" s="2207"/>
      <c r="DG233" s="656"/>
      <c r="DI233" s="910"/>
      <c r="DJ233" s="910"/>
      <c r="DK233" s="112"/>
      <c r="DL233" s="87"/>
      <c r="DM233" s="910"/>
      <c r="DN233" s="910"/>
      <c r="DO233" s="910"/>
      <c r="DP233" s="910"/>
      <c r="DQ233" s="910"/>
      <c r="DR233" s="910"/>
      <c r="DS233" s="910"/>
      <c r="DT233" s="910"/>
      <c r="DU233" s="910"/>
      <c r="DV233" s="910"/>
      <c r="DW233" s="910"/>
      <c r="DX233" s="910"/>
      <c r="DY233" s="910"/>
      <c r="DZ233" s="910"/>
      <c r="EA233" s="910"/>
      <c r="EB233" s="910"/>
      <c r="EC233" s="910"/>
      <c r="ED233" s="910"/>
      <c r="EE233" s="910"/>
      <c r="EF233" s="910"/>
      <c r="EG233" s="910"/>
      <c r="EH233" s="910"/>
      <c r="EI233" s="910"/>
      <c r="EJ233" s="910"/>
      <c r="EK233" s="910"/>
      <c r="EL233" s="910"/>
      <c r="EM233" s="910"/>
      <c r="EN233" s="910"/>
      <c r="EO233" s="910"/>
      <c r="EP233" s="910"/>
      <c r="EQ233" s="910"/>
      <c r="ER233" s="910"/>
      <c r="ES233" s="910"/>
      <c r="ET233" s="910"/>
      <c r="EU233" s="910"/>
      <c r="EV233" s="910"/>
      <c r="EW233" s="910"/>
      <c r="EX233" s="910"/>
      <c r="EY233" s="910"/>
      <c r="EZ233" s="910"/>
      <c r="FA233" s="910"/>
      <c r="FB233" s="910"/>
      <c r="FC233" s="910"/>
      <c r="FD233" s="910"/>
      <c r="FE233" s="910"/>
      <c r="FF233" s="910"/>
      <c r="FG233" s="910"/>
      <c r="FH233" s="910"/>
      <c r="FI233" s="910"/>
      <c r="FJ233" s="910"/>
      <c r="FK233" s="910"/>
      <c r="FL233" s="1020" t="str">
        <f>IF(AND(AQ231&lt;&gt;"",BX231&lt;&gt;""),IF(BX222&lt;&gt;"",AQ217&amp;" "&amp;LOWER(J219)&amp;" "&amp;IF($Z231&lt;0,$Z231&amp;"/"&amp;$Z231&amp;"/"&amp;$Z231,"+"&amp;$Z231&amp;"/+"&amp;$Z231&amp;"/+"&amp;$Z231)&amp;" ("&amp;$AQ231&amp;IF(Weapons!BC$82&lt;&gt;"20","/"&amp;Weapons!BC$82,"")&amp;IF(Weapons!BC$83&lt;&gt;2,"/×"&amp;Weapons!BC$83,"")&amp;") with Triple Attack and "&amp;AQ231,""),"")</f>
        <v/>
      </c>
      <c r="FM233" s="1019" t="str">
        <f t="shared" si="5"/>
        <v/>
      </c>
    </row>
    <row r="234" spans="1:169" ht="9" customHeight="1">
      <c r="A234" s="910"/>
      <c r="B234" s="910"/>
      <c r="C234" s="112"/>
      <c r="D234" s="2183"/>
      <c r="E234" s="2184"/>
      <c r="F234" s="2184"/>
      <c r="G234" s="102"/>
      <c r="H234" s="2180"/>
      <c r="I234" s="2180"/>
      <c r="J234" s="2180"/>
      <c r="K234" s="2180"/>
      <c r="L234" s="2180"/>
      <c r="M234" s="2180"/>
      <c r="N234" s="1875" t="str">
        <f>Weapons!BC$25</f>
        <v/>
      </c>
      <c r="O234" s="1875"/>
      <c r="P234" s="1875"/>
      <c r="Q234" s="1875"/>
      <c r="R234" s="1875"/>
      <c r="S234" s="1875"/>
      <c r="T234" s="1875"/>
      <c r="U234" s="1875"/>
      <c r="V234" s="1875"/>
      <c r="W234" s="1875"/>
      <c r="X234" s="1875"/>
      <c r="Y234" s="1875"/>
      <c r="Z234" s="1875"/>
      <c r="AA234" s="1875"/>
      <c r="AB234" s="1875"/>
      <c r="AC234" s="1875"/>
      <c r="AD234" s="1875"/>
      <c r="AE234" s="1875"/>
      <c r="AF234" s="1875"/>
      <c r="AG234" s="1863" t="str">
        <f>Weapons!BC$26</f>
        <v/>
      </c>
      <c r="AH234" s="1863"/>
      <c r="AI234" s="1863"/>
      <c r="AJ234" s="1863"/>
      <c r="AK234" s="1863"/>
      <c r="AL234" s="1863"/>
      <c r="AM234" s="100"/>
      <c r="AN234" s="910"/>
      <c r="AO234" s="910"/>
      <c r="AP234" s="102"/>
      <c r="AQ234" s="2191"/>
      <c r="AR234" s="2191"/>
      <c r="AS234" s="2191"/>
      <c r="AT234" s="2191"/>
      <c r="AU234" s="2191"/>
      <c r="AV234" s="2191"/>
      <c r="AW234" s="2191"/>
      <c r="AX234" s="2191"/>
      <c r="AY234" s="2191"/>
      <c r="AZ234" s="2191"/>
      <c r="BA234" s="2191"/>
      <c r="BB234" s="2191"/>
      <c r="BC234" s="2191"/>
      <c r="BD234" s="2191"/>
      <c r="BE234" s="2191"/>
      <c r="BF234" s="2191"/>
      <c r="BG234" s="2191"/>
      <c r="BH234" s="2191"/>
      <c r="BI234" s="2191"/>
      <c r="BJ234" s="2191"/>
      <c r="BK234" s="2191"/>
      <c r="BL234" s="910"/>
      <c r="BM234" s="647"/>
      <c r="BN234" s="910"/>
      <c r="BO234" s="102"/>
      <c r="BP234" s="2185" t="str">
        <f>IF(AQ234&lt;&gt;"",IF(OR(INDEX(WeaponFeatsModsTable,MATCH(AQ234,WeaponFeatsModsList,0),7)=AQ217,INDEX(WeaponFeatsModsTable,MATCH(AQ234,WeaponFeatsModsList,0),7)=""),INDEX(WeaponFeatsModsTable,MATCH(AQ234,WeaponFeatsModsList,0),2)+BP219,""),"")</f>
        <v/>
      </c>
      <c r="BQ234" s="2185"/>
      <c r="BR234" s="2185"/>
      <c r="BS234" s="2185"/>
      <c r="BT234" s="2200" t="str">
        <f>IF(BP234&lt;&gt;"",IF(AND(OR(INDEX(WeaponFeatsModsTable,MATCH(AQ234,WeaponFeatsModsList,0),7)=AQ217,INDEX(WeaponFeatsModsTable,MATCH(AQ234,WeaponFeatsModsList,0),7)=""),INDEX(WeaponFeatsModsTable,MATCH(AQ234,WeaponFeatsModsList,0),8)&lt;&gt;"Yes"),IF(COUNTIF(FeatsCharacterSheet,BT222)&gt;0,BP234+BT216,""),""),"")</f>
        <v/>
      </c>
      <c r="BU234" s="2185"/>
      <c r="BV234" s="2185"/>
      <c r="BW234" s="2201"/>
      <c r="BX234" s="2185" t="str">
        <f>IF(BP234&lt;&gt;"",IF(AND(OR(INDEX(WeaponFeatsModsTable,MATCH(AQ234,WeaponFeatsModsList,0),7)=AQ217,INDEX(WeaponFeatsModsTable,MATCH(AQ234,WeaponFeatsModsList,0),7)=""),INDEX(WeaponFeatsModsTable,MATCH(AQ234,WeaponFeatsModsList,0),8)&lt;&gt;"Yes"),IF(COUNTIF(FeatsCharacterSheet,BX222)&gt;0,BP234+BX216,""),""),"")</f>
        <v/>
      </c>
      <c r="BY234" s="2185"/>
      <c r="BZ234" s="2185"/>
      <c r="CA234" s="2185"/>
      <c r="CB234" s="100"/>
      <c r="CC234" s="910"/>
      <c r="CD234" s="913"/>
      <c r="CE234" s="102"/>
      <c r="CF234" s="2209"/>
      <c r="CG234" s="2209"/>
      <c r="CH234" s="2209"/>
      <c r="CI234" s="2209"/>
      <c r="CJ234" s="2209"/>
      <c r="CK234" s="2209"/>
      <c r="CL234" s="2209"/>
      <c r="CM234" s="2209"/>
      <c r="CN234" s="2209"/>
      <c r="CO234" s="2207" t="str">
        <f>IF(AQ234&lt;&gt;"",IF(OR(INDEX(WeaponFeatsModsTable,MATCH(AQ234,WeaponFeatsModsList,0),7)=$AQ$217,INDEX(WeaponFeatsModsTable,MATCH(AQ234,WeaponFeatsModsList,0),7)=""),Weapons!BC$78+INDEX(WeaponFeatsModsTable,MATCH(AQ234,WeaponFeatsModsList,0),5)&amp;"d"&amp;Weapons!BC$79&amp;Weapons!BC$123&amp;"+"&amp;Weapons!BC$116+DH234+IF(AND(LEFT(AQ234,12)="Power Attack",$AQ$219="Two-Handed",$AQ$217="Melee"),INDEX(WeaponFeatsModsTable,MATCH(AQ234,WeaponFeatsModsList,0),4),INDEX(WeaponFeatsModsTable,MATCH(AQ234,WeaponFeatsModsList,0),3)),""),"")</f>
        <v/>
      </c>
      <c r="CP234" s="2207"/>
      <c r="CQ234" s="2207"/>
      <c r="CR234" s="2207"/>
      <c r="CS234" s="2207"/>
      <c r="CT234" s="2207"/>
      <c r="CU234" s="2207"/>
      <c r="CV234" s="2207"/>
      <c r="CW234" s="2207"/>
      <c r="CX234" s="2207"/>
      <c r="CY234" s="2207"/>
      <c r="CZ234" s="2207"/>
      <c r="DA234" s="2207"/>
      <c r="DB234" s="2207"/>
      <c r="DC234" s="2207"/>
      <c r="DD234" s="2207"/>
      <c r="DE234" s="2207"/>
      <c r="DF234" s="2207"/>
      <c r="DG234" s="656"/>
      <c r="DH234" s="974">
        <f>IF(AND(COUNTIF(Weapons!BC$56:BC$60,"Pulse Charger"),AQ217="Ranged"),INDEX(WeaponFeatsModsTable,MATCH(AQ234,WeaponFeatsModsList,0),5),0)</f>
        <v>0</v>
      </c>
      <c r="DI234" s="910"/>
      <c r="DJ234" s="910"/>
      <c r="DK234" s="112"/>
      <c r="DL234" s="109"/>
      <c r="DM234" s="910"/>
      <c r="DN234" s="910"/>
      <c r="DO234" s="910"/>
      <c r="DP234" s="910"/>
      <c r="DQ234" s="910"/>
      <c r="DR234" s="910"/>
      <c r="DS234" s="910"/>
      <c r="DT234" s="910"/>
      <c r="DU234" s="910"/>
      <c r="DV234" s="910"/>
      <c r="DW234" s="910"/>
      <c r="DX234" s="910"/>
      <c r="DY234" s="910"/>
      <c r="DZ234" s="910"/>
      <c r="EA234" s="910"/>
      <c r="EB234" s="910"/>
      <c r="EC234" s="910"/>
      <c r="ED234" s="910"/>
      <c r="EE234" s="910"/>
      <c r="EF234" s="910"/>
      <c r="EG234" s="910"/>
      <c r="EH234" s="910"/>
      <c r="EI234" s="910"/>
      <c r="EJ234" s="910"/>
      <c r="EK234" s="910"/>
      <c r="EL234" s="910"/>
      <c r="EM234" s="910"/>
      <c r="EN234" s="910"/>
      <c r="EO234" s="910"/>
      <c r="EP234" s="910"/>
      <c r="EQ234" s="910"/>
      <c r="ER234" s="910"/>
      <c r="ES234" s="910"/>
      <c r="ET234" s="910"/>
      <c r="EU234" s="910"/>
      <c r="EV234" s="910"/>
      <c r="EW234" s="910"/>
      <c r="EX234" s="910"/>
      <c r="EY234" s="910"/>
      <c r="EZ234" s="910"/>
      <c r="FA234" s="910"/>
      <c r="FB234" s="910"/>
      <c r="FC234" s="910"/>
      <c r="FD234" s="910"/>
      <c r="FE234" s="910"/>
      <c r="FF234" s="910"/>
      <c r="FG234" s="910"/>
      <c r="FH234" s="910"/>
      <c r="FI234" s="910"/>
      <c r="FJ234" s="910"/>
      <c r="FK234" s="910"/>
      <c r="FL234" s="1020" t="str">
        <f>IF(AND(AQ234&lt;&gt;"",BP234&lt;&gt;""),AQ217&amp;" "&amp;LOWER(J219)&amp;" "&amp;IF(BP234&lt;0,"","+")&amp;BP234&amp;" ("&amp;CO234&amp;IF(Weapons!BC$82&lt;&gt;"20","/"&amp;Weapons!BC$82,"")&amp;IF(Weapons!BC$83&lt;&gt;2,"/×"&amp;Weapons!BC$83,"")&amp;") with "&amp;AQ234,"")</f>
        <v/>
      </c>
      <c r="FM234" s="1019" t="str">
        <f t="shared" si="5"/>
        <v/>
      </c>
    </row>
    <row r="235" spans="1:169" ht="9" customHeight="1">
      <c r="A235" s="910"/>
      <c r="B235" s="910"/>
      <c r="C235" s="112"/>
      <c r="D235" s="2183"/>
      <c r="E235" s="2184"/>
      <c r="F235" s="2184"/>
      <c r="G235" s="102"/>
      <c r="H235" s="911"/>
      <c r="I235" s="911"/>
      <c r="J235" s="911"/>
      <c r="K235" s="911"/>
      <c r="L235" s="911"/>
      <c r="M235" s="911"/>
      <c r="N235" s="1875"/>
      <c r="O235" s="1875"/>
      <c r="P235" s="1875"/>
      <c r="Q235" s="1875"/>
      <c r="R235" s="1875"/>
      <c r="S235" s="1875"/>
      <c r="T235" s="1875"/>
      <c r="U235" s="1875"/>
      <c r="V235" s="1875"/>
      <c r="W235" s="1875"/>
      <c r="X235" s="1875"/>
      <c r="Y235" s="1875"/>
      <c r="Z235" s="1875"/>
      <c r="AA235" s="1875"/>
      <c r="AB235" s="1875"/>
      <c r="AC235" s="1875"/>
      <c r="AD235" s="1875"/>
      <c r="AE235" s="1875"/>
      <c r="AF235" s="1875"/>
      <c r="AG235" s="1863"/>
      <c r="AH235" s="1863"/>
      <c r="AI235" s="1863"/>
      <c r="AJ235" s="1863"/>
      <c r="AK235" s="1863"/>
      <c r="AL235" s="1863"/>
      <c r="AM235" s="100"/>
      <c r="AN235" s="910"/>
      <c r="AO235" s="910"/>
      <c r="AP235" s="647"/>
      <c r="AQ235" s="2191"/>
      <c r="AR235" s="2191"/>
      <c r="AS235" s="2191"/>
      <c r="AT235" s="2191"/>
      <c r="AU235" s="2191"/>
      <c r="AV235" s="2191"/>
      <c r="AW235" s="2191"/>
      <c r="AX235" s="2191"/>
      <c r="AY235" s="2191"/>
      <c r="AZ235" s="2191"/>
      <c r="BA235" s="2191"/>
      <c r="BB235" s="2191"/>
      <c r="BC235" s="2191"/>
      <c r="BD235" s="2191"/>
      <c r="BE235" s="2191"/>
      <c r="BF235" s="2191"/>
      <c r="BG235" s="2191"/>
      <c r="BH235" s="2191"/>
      <c r="BI235" s="2191"/>
      <c r="BJ235" s="2191"/>
      <c r="BK235" s="2191"/>
      <c r="BL235" s="100"/>
      <c r="BM235" s="910"/>
      <c r="BN235" s="910"/>
      <c r="BO235" s="647"/>
      <c r="BP235" s="2185"/>
      <c r="BQ235" s="2185"/>
      <c r="BR235" s="2185"/>
      <c r="BS235" s="2185"/>
      <c r="BT235" s="2200"/>
      <c r="BU235" s="2185"/>
      <c r="BV235" s="2185"/>
      <c r="BW235" s="2201"/>
      <c r="BX235" s="2185"/>
      <c r="BY235" s="2185"/>
      <c r="BZ235" s="2185"/>
      <c r="CA235" s="2185"/>
      <c r="CB235" s="100"/>
      <c r="CC235" s="910"/>
      <c r="CD235" s="913"/>
      <c r="CE235" s="102"/>
      <c r="CF235" s="2209"/>
      <c r="CG235" s="2209"/>
      <c r="CH235" s="2209"/>
      <c r="CI235" s="2209"/>
      <c r="CJ235" s="2209"/>
      <c r="CK235" s="2209"/>
      <c r="CL235" s="2209"/>
      <c r="CM235" s="2209"/>
      <c r="CN235" s="2209"/>
      <c r="CO235" s="2207"/>
      <c r="CP235" s="2207"/>
      <c r="CQ235" s="2207"/>
      <c r="CR235" s="2207"/>
      <c r="CS235" s="2207"/>
      <c r="CT235" s="2207"/>
      <c r="CU235" s="2207"/>
      <c r="CV235" s="2207"/>
      <c r="CW235" s="2207"/>
      <c r="CX235" s="2207"/>
      <c r="CY235" s="2207"/>
      <c r="CZ235" s="2207"/>
      <c r="DA235" s="2207"/>
      <c r="DB235" s="2207"/>
      <c r="DC235" s="2207"/>
      <c r="DD235" s="2207"/>
      <c r="DE235" s="2207"/>
      <c r="DF235" s="2207"/>
      <c r="DG235" s="656"/>
      <c r="DI235" s="910"/>
      <c r="DJ235" s="910"/>
      <c r="DK235" s="112"/>
      <c r="DL235" s="109"/>
      <c r="DM235" s="910"/>
      <c r="DN235" s="910"/>
      <c r="DO235" s="910"/>
      <c r="DP235" s="910"/>
      <c r="DQ235" s="910"/>
      <c r="DR235" s="910"/>
      <c r="DS235" s="910"/>
      <c r="DT235" s="910"/>
      <c r="DU235" s="910"/>
      <c r="DV235" s="910"/>
      <c r="DW235" s="910"/>
      <c r="DX235" s="910"/>
      <c r="DY235" s="910"/>
      <c r="DZ235" s="910"/>
      <c r="EA235" s="910"/>
      <c r="EB235" s="910"/>
      <c r="EC235" s="910"/>
      <c r="ED235" s="910"/>
      <c r="EE235" s="910"/>
      <c r="EF235" s="910"/>
      <c r="EG235" s="910"/>
      <c r="EH235" s="910"/>
      <c r="EI235" s="910"/>
      <c r="EJ235" s="910"/>
      <c r="EK235" s="910"/>
      <c r="EL235" s="910"/>
      <c r="EM235" s="910"/>
      <c r="EN235" s="910"/>
      <c r="EO235" s="910"/>
      <c r="EP235" s="910"/>
      <c r="EQ235" s="910"/>
      <c r="ER235" s="910"/>
      <c r="ES235" s="910"/>
      <c r="ET235" s="910"/>
      <c r="EU235" s="910"/>
      <c r="EV235" s="910"/>
      <c r="EW235" s="910"/>
      <c r="EX235" s="910"/>
      <c r="EY235" s="910"/>
      <c r="EZ235" s="910"/>
      <c r="FA235" s="910"/>
      <c r="FB235" s="910"/>
      <c r="FC235" s="910"/>
      <c r="FD235" s="910"/>
      <c r="FE235" s="910"/>
      <c r="FF235" s="910"/>
      <c r="FG235" s="910"/>
      <c r="FH235" s="910"/>
      <c r="FI235" s="910"/>
      <c r="FJ235" s="910"/>
      <c r="FK235" s="910"/>
      <c r="FL235" s="1020" t="str">
        <f>IF(AND(AQ234&lt;&gt;"",BT234&lt;&gt;""),IF(BT222&lt;&gt;"",AQ217&amp;" "&amp;LOWER(J219)&amp;" "&amp;IF($V234&lt;0,BT234&amp;"/"&amp;BT234,"+"&amp;BT234&amp;"/+"&amp;BT234)&amp;" ("&amp;$AQ234&amp;IF(Weapons!BC$82&lt;&gt;"20","/"&amp;Weapons!BC$82,"")&amp;IF(Weapons!BC$83&lt;&gt;2,"/×"&amp;Weapons!BC$83,"")&amp;") with Double Attack and "&amp;AQ234,""),"")</f>
        <v/>
      </c>
      <c r="FM235" s="1019" t="str">
        <f t="shared" si="5"/>
        <v/>
      </c>
    </row>
    <row r="236" spans="1:169" ht="9" customHeight="1" thickBot="1">
      <c r="A236" s="910"/>
      <c r="B236" s="910"/>
      <c r="C236" s="112"/>
      <c r="D236" s="2183"/>
      <c r="E236" s="2184"/>
      <c r="F236" s="2184"/>
      <c r="G236" s="91"/>
      <c r="H236" s="912"/>
      <c r="I236" s="912"/>
      <c r="J236" s="912"/>
      <c r="K236" s="912"/>
      <c r="L236" s="912"/>
      <c r="M236" s="912"/>
      <c r="N236" s="1876"/>
      <c r="O236" s="1876"/>
      <c r="P236" s="1876"/>
      <c r="Q236" s="1876"/>
      <c r="R236" s="1876"/>
      <c r="S236" s="1876"/>
      <c r="T236" s="1876"/>
      <c r="U236" s="1876"/>
      <c r="V236" s="1876"/>
      <c r="W236" s="1876"/>
      <c r="X236" s="1876"/>
      <c r="Y236" s="1876"/>
      <c r="Z236" s="1876"/>
      <c r="AA236" s="1876"/>
      <c r="AB236" s="1876"/>
      <c r="AC236" s="1876"/>
      <c r="AD236" s="1876"/>
      <c r="AE236" s="1876"/>
      <c r="AF236" s="1876"/>
      <c r="AG236" s="1864"/>
      <c r="AH236" s="1864"/>
      <c r="AI236" s="1864"/>
      <c r="AJ236" s="1864"/>
      <c r="AK236" s="1864"/>
      <c r="AL236" s="1864"/>
      <c r="AM236" s="93"/>
      <c r="AN236" s="910"/>
      <c r="AO236" s="910"/>
      <c r="AP236" s="649"/>
      <c r="AQ236" s="2204"/>
      <c r="AR236" s="2204"/>
      <c r="AS236" s="2204"/>
      <c r="AT236" s="2204"/>
      <c r="AU236" s="2204"/>
      <c r="AV236" s="2204"/>
      <c r="AW236" s="2204"/>
      <c r="AX236" s="2204"/>
      <c r="AY236" s="2204"/>
      <c r="AZ236" s="2204"/>
      <c r="BA236" s="2204"/>
      <c r="BB236" s="2204"/>
      <c r="BC236" s="2204"/>
      <c r="BD236" s="2204"/>
      <c r="BE236" s="2204"/>
      <c r="BF236" s="2204"/>
      <c r="BG236" s="2204"/>
      <c r="BH236" s="2204"/>
      <c r="BI236" s="2204"/>
      <c r="BJ236" s="2204"/>
      <c r="BK236" s="2204"/>
      <c r="BL236" s="93"/>
      <c r="BM236" s="910"/>
      <c r="BN236" s="910"/>
      <c r="BO236" s="649"/>
      <c r="BP236" s="2186"/>
      <c r="BQ236" s="2186"/>
      <c r="BR236" s="2186"/>
      <c r="BS236" s="2186"/>
      <c r="BT236" s="2202"/>
      <c r="BU236" s="2186"/>
      <c r="BV236" s="2186"/>
      <c r="BW236" s="2203"/>
      <c r="BX236" s="2186"/>
      <c r="BY236" s="2186"/>
      <c r="BZ236" s="2186"/>
      <c r="CA236" s="2186"/>
      <c r="CB236" s="93"/>
      <c r="CC236" s="910"/>
      <c r="CD236" s="910"/>
      <c r="CE236" s="91"/>
      <c r="CF236" s="713"/>
      <c r="CG236" s="713"/>
      <c r="CH236" s="713"/>
      <c r="CI236" s="713"/>
      <c r="CJ236" s="713"/>
      <c r="CK236" s="713"/>
      <c r="CL236" s="713"/>
      <c r="CM236" s="713"/>
      <c r="CN236" s="713"/>
      <c r="CO236" s="2218"/>
      <c r="CP236" s="2218"/>
      <c r="CQ236" s="2218"/>
      <c r="CR236" s="2218"/>
      <c r="CS236" s="2218"/>
      <c r="CT236" s="2218"/>
      <c r="CU236" s="2218"/>
      <c r="CV236" s="2218"/>
      <c r="CW236" s="2218"/>
      <c r="CX236" s="2218"/>
      <c r="CY236" s="2218"/>
      <c r="CZ236" s="2218"/>
      <c r="DA236" s="2218"/>
      <c r="DB236" s="2218"/>
      <c r="DC236" s="2218"/>
      <c r="DD236" s="2218"/>
      <c r="DE236" s="2218"/>
      <c r="DF236" s="2218"/>
      <c r="DG236" s="93"/>
      <c r="DI236" s="910"/>
      <c r="DJ236" s="910"/>
      <c r="DK236" s="112"/>
      <c r="DL236" s="118"/>
      <c r="DM236" s="910"/>
      <c r="DN236" s="910"/>
      <c r="DO236" s="910"/>
      <c r="DP236" s="910"/>
      <c r="DQ236" s="910"/>
      <c r="DR236" s="910"/>
      <c r="DS236" s="910"/>
      <c r="DT236" s="910"/>
      <c r="DU236" s="910"/>
      <c r="DV236" s="910"/>
      <c r="DW236" s="910"/>
      <c r="DX236" s="910"/>
      <c r="DY236" s="910"/>
      <c r="DZ236" s="910"/>
      <c r="EA236" s="910"/>
      <c r="EB236" s="910"/>
      <c r="EC236" s="910"/>
      <c r="ED236" s="910"/>
      <c r="EE236" s="910"/>
      <c r="EF236" s="910"/>
      <c r="EG236" s="910"/>
      <c r="EH236" s="910"/>
      <c r="EI236" s="910"/>
      <c r="EJ236" s="910"/>
      <c r="EK236" s="910"/>
      <c r="EL236" s="910"/>
      <c r="EM236" s="910"/>
      <c r="EN236" s="910"/>
      <c r="EO236" s="910"/>
      <c r="EP236" s="910"/>
      <c r="EQ236" s="910"/>
      <c r="ER236" s="910"/>
      <c r="ES236" s="910"/>
      <c r="ET236" s="910"/>
      <c r="EU236" s="910"/>
      <c r="EV236" s="910"/>
      <c r="EW236" s="910"/>
      <c r="EX236" s="910"/>
      <c r="EY236" s="910"/>
      <c r="EZ236" s="910"/>
      <c r="FA236" s="910"/>
      <c r="FB236" s="910"/>
      <c r="FC236" s="910"/>
      <c r="FD236" s="910"/>
      <c r="FE236" s="910"/>
      <c r="FF236" s="910"/>
      <c r="FG236" s="910"/>
      <c r="FH236" s="910"/>
      <c r="FI236" s="910"/>
      <c r="FJ236" s="910"/>
      <c r="FK236" s="910"/>
      <c r="FL236" s="1020" t="str">
        <f>IF(AND(AQ234&lt;&gt;"",BX234&lt;&gt;""),IF(BX222&lt;&gt;"",AQ217&amp;" "&amp;LOWER(J219)&amp;" "&amp;IF($Z234&lt;0,$Z234&amp;"/"&amp;$Z234&amp;"/"&amp;$Z234,"+"&amp;$Z234&amp;"/+"&amp;$Z234&amp;"/+"&amp;$Z234)&amp;" ("&amp;$AQ234&amp;IF(Weapons!BC$82&lt;&gt;"20","/"&amp;Weapons!BC$82,"")&amp;IF(Weapons!BC$83&lt;&gt;2,"/×"&amp;Weapons!BC$83,"")&amp;") with Triple Attack and "&amp;AQ234,""),"")</f>
        <v/>
      </c>
      <c r="FM236" s="1019" t="str">
        <f t="shared" si="5"/>
        <v/>
      </c>
    </row>
    <row r="237" spans="1:169" ht="9" customHeight="1" thickTop="1" thickBot="1">
      <c r="A237" s="910"/>
      <c r="B237" s="910"/>
      <c r="C237" s="112"/>
      <c r="D237" s="2183"/>
      <c r="E237" s="2184"/>
      <c r="F237" s="2184"/>
      <c r="G237" s="910"/>
      <c r="H237" s="910"/>
      <c r="I237" s="910"/>
      <c r="J237" s="910"/>
      <c r="K237" s="910"/>
      <c r="L237" s="910"/>
      <c r="M237" s="910"/>
      <c r="N237" s="910"/>
      <c r="O237" s="910"/>
      <c r="P237" s="910"/>
      <c r="Q237" s="910"/>
      <c r="R237" s="910"/>
      <c r="S237" s="910"/>
      <c r="T237" s="910"/>
      <c r="U237" s="910"/>
      <c r="V237" s="910"/>
      <c r="W237" s="910"/>
      <c r="X237" s="910"/>
      <c r="Y237" s="910"/>
      <c r="Z237" s="910"/>
      <c r="AA237" s="910"/>
      <c r="AB237" s="910"/>
      <c r="AC237" s="910"/>
      <c r="AD237" s="910"/>
      <c r="AE237" s="910"/>
      <c r="AF237" s="910"/>
      <c r="AG237" s="910"/>
      <c r="AH237" s="910"/>
      <c r="AI237" s="910"/>
      <c r="AJ237" s="442"/>
      <c r="AK237" s="442"/>
      <c r="AL237" s="442"/>
      <c r="AM237" s="442"/>
      <c r="AN237" s="910"/>
      <c r="AO237" s="910"/>
      <c r="AP237" s="910"/>
      <c r="AQ237" s="910"/>
      <c r="AR237" s="910"/>
      <c r="AS237" s="910"/>
      <c r="AT237" s="910"/>
      <c r="AU237" s="910"/>
      <c r="AV237" s="910"/>
      <c r="AW237" s="910"/>
      <c r="AX237" s="910"/>
      <c r="AY237" s="910"/>
      <c r="AZ237" s="910"/>
      <c r="BA237" s="910"/>
      <c r="BB237" s="910"/>
      <c r="BC237" s="910"/>
      <c r="BD237" s="910"/>
      <c r="BE237" s="910"/>
      <c r="BF237" s="910"/>
      <c r="BG237" s="910"/>
      <c r="BH237" s="910"/>
      <c r="BI237" s="910"/>
      <c r="BJ237" s="910"/>
      <c r="BK237" s="910"/>
      <c r="BL237" s="910"/>
      <c r="BM237" s="910"/>
      <c r="BN237" s="910"/>
      <c r="BO237" s="910"/>
      <c r="BP237" s="910"/>
      <c r="BQ237" s="910"/>
      <c r="BR237" s="910"/>
      <c r="BS237" s="910"/>
      <c r="BT237" s="910"/>
      <c r="BU237" s="910"/>
      <c r="BV237" s="910"/>
      <c r="BW237" s="910"/>
      <c r="BX237" s="910"/>
      <c r="BY237" s="910"/>
      <c r="BZ237" s="910"/>
      <c r="CA237" s="910"/>
      <c r="CB237" s="910"/>
      <c r="CC237" s="910"/>
      <c r="CD237" s="910"/>
      <c r="CE237" s="910"/>
      <c r="CF237" s="910"/>
      <c r="CG237" s="910"/>
      <c r="CH237" s="910"/>
      <c r="CI237" s="910"/>
      <c r="CJ237" s="910"/>
      <c r="CK237" s="910"/>
      <c r="CL237" s="910"/>
      <c r="CM237" s="910"/>
      <c r="CN237" s="910"/>
      <c r="CO237" s="910"/>
      <c r="CP237" s="910"/>
      <c r="CQ237" s="910"/>
      <c r="CR237" s="910"/>
      <c r="CS237" s="910"/>
      <c r="CT237" s="910"/>
      <c r="CU237" s="910"/>
      <c r="CV237" s="910"/>
      <c r="CW237" s="910"/>
      <c r="CX237" s="910"/>
      <c r="CY237" s="910"/>
      <c r="CZ237" s="910"/>
      <c r="DA237" s="910"/>
      <c r="DB237" s="910"/>
      <c r="DC237" s="910"/>
      <c r="DD237" s="910"/>
      <c r="DE237" s="910"/>
      <c r="DF237" s="910"/>
      <c r="DG237" s="910"/>
      <c r="DI237" s="910"/>
      <c r="DJ237" s="910"/>
      <c r="DK237" s="112"/>
      <c r="DL237" s="118"/>
      <c r="DM237" s="910"/>
      <c r="DN237" s="910"/>
      <c r="DO237" s="910"/>
      <c r="DP237" s="910"/>
      <c r="DQ237" s="910"/>
      <c r="DR237" s="910"/>
      <c r="DS237" s="910"/>
      <c r="DT237" s="910"/>
      <c r="DU237" s="910"/>
      <c r="DV237" s="910"/>
      <c r="DW237" s="910"/>
      <c r="DX237" s="910"/>
      <c r="DY237" s="910"/>
      <c r="DZ237" s="910"/>
      <c r="EA237" s="910"/>
      <c r="EB237" s="910"/>
      <c r="EC237" s="910"/>
      <c r="ED237" s="910"/>
      <c r="EE237" s="910"/>
      <c r="EF237" s="910"/>
      <c r="EG237" s="910"/>
      <c r="EH237" s="910"/>
      <c r="EI237" s="910"/>
      <c r="EJ237" s="910"/>
      <c r="EK237" s="910"/>
      <c r="EL237" s="910"/>
      <c r="EM237" s="910"/>
      <c r="EN237" s="910"/>
      <c r="EO237" s="910"/>
      <c r="EP237" s="910"/>
      <c r="EQ237" s="910"/>
      <c r="ER237" s="910"/>
      <c r="ES237" s="910"/>
      <c r="ET237" s="910"/>
      <c r="EU237" s="910"/>
      <c r="EV237" s="910"/>
      <c r="EW237" s="910"/>
      <c r="EX237" s="910"/>
      <c r="EY237" s="910"/>
      <c r="EZ237" s="910"/>
      <c r="FA237" s="910"/>
      <c r="FB237" s="910"/>
      <c r="FC237" s="910"/>
      <c r="FD237" s="910"/>
      <c r="FE237" s="910"/>
      <c r="FF237" s="910"/>
      <c r="FG237" s="910"/>
      <c r="FH237" s="910"/>
      <c r="FI237" s="910"/>
      <c r="FJ237" s="910"/>
      <c r="FK237" s="910"/>
      <c r="FM237" s="1021" t="s">
        <v>195</v>
      </c>
    </row>
    <row r="238" spans="1:169" ht="9" customHeight="1" thickTop="1">
      <c r="A238" s="910"/>
      <c r="B238" s="910"/>
      <c r="C238" s="87"/>
      <c r="D238" s="256"/>
      <c r="E238" s="118"/>
      <c r="F238" s="910"/>
      <c r="G238" s="910"/>
      <c r="H238" s="910"/>
      <c r="I238" s="93"/>
      <c r="J238" s="2182" t="s">
        <v>3614</v>
      </c>
      <c r="K238" s="2182"/>
      <c r="L238" s="2182"/>
      <c r="M238" s="2182"/>
      <c r="N238" s="2182"/>
      <c r="O238" s="2182"/>
      <c r="P238" s="295"/>
      <c r="Q238" s="296"/>
      <c r="R238" s="296"/>
      <c r="S238" s="296"/>
      <c r="T238" s="296"/>
      <c r="U238" s="296"/>
      <c r="V238" s="296"/>
      <c r="W238" s="296"/>
      <c r="X238" s="296"/>
      <c r="Y238" s="296"/>
      <c r="Z238" s="296"/>
      <c r="AA238" s="296"/>
      <c r="AB238" s="296"/>
      <c r="AC238" s="296"/>
      <c r="AD238" s="296"/>
      <c r="AE238" s="296"/>
      <c r="AF238" s="296"/>
      <c r="AG238" s="296"/>
      <c r="AH238" s="296"/>
      <c r="AI238" s="296"/>
      <c r="AJ238" s="296"/>
      <c r="AK238" s="296"/>
      <c r="AL238" s="296"/>
      <c r="AM238" s="296"/>
      <c r="AN238" s="296"/>
      <c r="AO238" s="296"/>
      <c r="AP238" s="296"/>
      <c r="AQ238" s="296"/>
      <c r="AR238" s="296"/>
      <c r="AS238" s="296"/>
      <c r="AT238" s="296"/>
      <c r="AU238" s="296"/>
      <c r="AV238" s="296"/>
      <c r="AW238" s="296"/>
      <c r="AX238" s="296"/>
      <c r="AY238" s="296"/>
      <c r="AZ238" s="296"/>
      <c r="BA238" s="296"/>
      <c r="BB238" s="296"/>
      <c r="BC238" s="296"/>
      <c r="BD238" s="296"/>
      <c r="BE238" s="296"/>
      <c r="BF238" s="296"/>
      <c r="BG238" s="296"/>
      <c r="BH238" s="296"/>
      <c r="BI238" s="296"/>
      <c r="BJ238" s="296"/>
      <c r="BK238" s="296"/>
      <c r="BL238" s="296"/>
      <c r="BM238" s="296"/>
      <c r="BN238" s="296"/>
      <c r="BO238" s="296"/>
      <c r="BP238" s="296"/>
      <c r="BQ238" s="296"/>
      <c r="BR238" s="296"/>
      <c r="BS238" s="296"/>
      <c r="BT238" s="296"/>
      <c r="BU238" s="296"/>
      <c r="BV238" s="296"/>
      <c r="BW238" s="296"/>
      <c r="BX238" s="296"/>
      <c r="BY238" s="296"/>
      <c r="BZ238" s="296"/>
      <c r="CA238" s="296"/>
      <c r="CB238" s="296"/>
      <c r="CC238" s="296"/>
      <c r="CD238" s="296"/>
      <c r="CE238" s="296"/>
      <c r="CF238" s="296"/>
      <c r="CG238" s="296"/>
      <c r="CH238" s="296"/>
      <c r="CI238" s="296"/>
      <c r="CJ238" s="296"/>
      <c r="CK238" s="296"/>
      <c r="CL238" s="296"/>
      <c r="CM238" s="296"/>
      <c r="CN238" s="296"/>
      <c r="CO238" s="296"/>
      <c r="CP238" s="296"/>
      <c r="CQ238" s="296"/>
      <c r="CR238" s="296"/>
      <c r="CS238" s="296"/>
      <c r="CT238" s="296"/>
      <c r="CU238" s="296"/>
      <c r="CV238" s="296"/>
      <c r="CW238" s="296"/>
      <c r="CX238" s="296"/>
      <c r="CY238" s="296"/>
      <c r="CZ238" s="296"/>
      <c r="DA238" s="296"/>
      <c r="DB238" s="296"/>
      <c r="DC238" s="296"/>
      <c r="DD238" s="296"/>
      <c r="DE238" s="296"/>
      <c r="DF238" s="296"/>
      <c r="DG238" s="297"/>
      <c r="DI238" s="910"/>
      <c r="DJ238" s="87"/>
      <c r="DK238" s="292"/>
      <c r="DL238" s="118"/>
      <c r="DM238" s="910"/>
      <c r="DN238" s="910"/>
      <c r="DO238" s="910"/>
      <c r="DP238" s="910"/>
      <c r="DQ238" s="910"/>
      <c r="DR238" s="910"/>
      <c r="DS238" s="910"/>
      <c r="DT238" s="910"/>
      <c r="DU238" s="910"/>
      <c r="DV238" s="910"/>
      <c r="DW238" s="910"/>
      <c r="DX238" s="910"/>
      <c r="DY238" s="910"/>
      <c r="DZ238" s="910"/>
      <c r="EA238" s="910"/>
      <c r="EB238" s="910"/>
      <c r="EC238" s="910"/>
      <c r="ED238" s="910"/>
      <c r="EE238" s="910"/>
      <c r="EF238" s="910"/>
      <c r="EG238" s="910"/>
      <c r="EH238" s="910"/>
      <c r="EI238" s="910"/>
      <c r="EJ238" s="910"/>
      <c r="EK238" s="910"/>
      <c r="EL238" s="910"/>
      <c r="EM238" s="910"/>
      <c r="EN238" s="910"/>
      <c r="EO238" s="910"/>
      <c r="EP238" s="910"/>
      <c r="EQ238" s="910"/>
      <c r="ER238" s="910"/>
      <c r="ES238" s="910"/>
      <c r="ET238" s="910"/>
      <c r="EU238" s="910"/>
      <c r="EV238" s="910"/>
      <c r="EW238" s="910"/>
      <c r="EX238" s="910"/>
      <c r="EY238" s="910"/>
      <c r="EZ238" s="910"/>
      <c r="FA238" s="910"/>
      <c r="FB238" s="910"/>
      <c r="FC238" s="910"/>
      <c r="FD238" s="910"/>
      <c r="FE238" s="910"/>
      <c r="FF238" s="910"/>
      <c r="FG238" s="910"/>
      <c r="FH238" s="910"/>
      <c r="FI238" s="910"/>
      <c r="FJ238" s="910"/>
      <c r="FK238" s="910"/>
    </row>
    <row r="239" spans="1:169" ht="9" customHeight="1" thickBot="1">
      <c r="A239" s="910"/>
      <c r="B239" s="910"/>
      <c r="C239" s="87"/>
      <c r="D239" s="118"/>
      <c r="E239" s="256"/>
      <c r="F239" s="111"/>
      <c r="G239" s="122"/>
      <c r="H239" s="290"/>
      <c r="I239" s="102"/>
      <c r="J239" s="2180"/>
      <c r="K239" s="2180"/>
      <c r="L239" s="2180"/>
      <c r="M239" s="2180"/>
      <c r="N239" s="2180"/>
      <c r="O239" s="2180"/>
      <c r="P239" s="913"/>
      <c r="Q239" s="1922" t="str">
        <f>Weapons!BC$28</f>
        <v/>
      </c>
      <c r="R239" s="1922"/>
      <c r="S239" s="1922"/>
      <c r="T239" s="1922"/>
      <c r="U239" s="1922"/>
      <c r="V239" s="1922"/>
      <c r="W239" s="1922"/>
      <c r="X239" s="1922"/>
      <c r="Y239" s="1922"/>
      <c r="Z239" s="1922"/>
      <c r="AA239" s="1922"/>
      <c r="AB239" s="1922"/>
      <c r="AC239" s="1922"/>
      <c r="AD239" s="1922"/>
      <c r="AE239" s="1922"/>
      <c r="AF239" s="1922"/>
      <c r="AG239" s="1922"/>
      <c r="AH239" s="1922"/>
      <c r="AI239" s="1922"/>
      <c r="AJ239" s="1922"/>
      <c r="AK239" s="1922"/>
      <c r="AL239" s="1922"/>
      <c r="AM239" s="1922"/>
      <c r="AN239" s="1922"/>
      <c r="AO239" s="1922"/>
      <c r="AP239" s="1922"/>
      <c r="AQ239" s="1922"/>
      <c r="AR239" s="1922"/>
      <c r="AS239" s="1922"/>
      <c r="AT239" s="1922"/>
      <c r="AU239" s="1922"/>
      <c r="AV239" s="1922"/>
      <c r="AW239" s="1922"/>
      <c r="AX239" s="1922"/>
      <c r="AY239" s="1922"/>
      <c r="AZ239" s="1922"/>
      <c r="BA239" s="1922"/>
      <c r="BB239" s="1922"/>
      <c r="BC239" s="1922"/>
      <c r="BD239" s="1922"/>
      <c r="BE239" s="1922"/>
      <c r="BF239" s="1922"/>
      <c r="BG239" s="1922"/>
      <c r="BH239" s="1922"/>
      <c r="BI239" s="1922"/>
      <c r="BJ239" s="1922"/>
      <c r="BK239" s="1922"/>
      <c r="BL239" s="1922"/>
      <c r="BM239" s="1922"/>
      <c r="BN239" s="1922"/>
      <c r="BO239" s="1922"/>
      <c r="BP239" s="1922"/>
      <c r="BQ239" s="1922"/>
      <c r="BR239" s="1922"/>
      <c r="BS239" s="1922"/>
      <c r="BT239" s="1922"/>
      <c r="BU239" s="1922"/>
      <c r="BV239" s="1922"/>
      <c r="BW239" s="1922"/>
      <c r="BX239" s="1922"/>
      <c r="BY239" s="1922"/>
      <c r="BZ239" s="1922"/>
      <c r="CA239" s="1922"/>
      <c r="CB239" s="1922"/>
      <c r="CC239" s="1922"/>
      <c r="CD239" s="1922"/>
      <c r="CE239" s="1922"/>
      <c r="CF239" s="1922"/>
      <c r="CG239" s="1922"/>
      <c r="CH239" s="1922"/>
      <c r="CI239" s="1922"/>
      <c r="CJ239" s="1922"/>
      <c r="CK239" s="1922"/>
      <c r="CL239" s="1922"/>
      <c r="CM239" s="1922"/>
      <c r="CN239" s="1922"/>
      <c r="CO239" s="1922"/>
      <c r="CP239" s="1922"/>
      <c r="CQ239" s="1922"/>
      <c r="CR239" s="1922"/>
      <c r="CS239" s="1922"/>
      <c r="CT239" s="1922"/>
      <c r="CU239" s="1922"/>
      <c r="CV239" s="1922"/>
      <c r="CW239" s="1922"/>
      <c r="CX239" s="1922"/>
      <c r="CY239" s="1922"/>
      <c r="CZ239" s="1922"/>
      <c r="DA239" s="1922"/>
      <c r="DB239" s="1922"/>
      <c r="DC239" s="1922"/>
      <c r="DD239" s="1922"/>
      <c r="DE239" s="1922"/>
      <c r="DF239" s="1922"/>
      <c r="DG239" s="300"/>
      <c r="DH239" s="971"/>
      <c r="DI239" s="122"/>
      <c r="DJ239" s="144"/>
      <c r="DK239" s="111"/>
      <c r="DL239" s="910"/>
      <c r="DM239" s="910"/>
      <c r="DN239" s="910"/>
      <c r="DO239" s="910"/>
      <c r="DP239" s="910"/>
      <c r="DQ239" s="910"/>
      <c r="DR239" s="910"/>
      <c r="DS239" s="910"/>
      <c r="DT239" s="910"/>
      <c r="DU239" s="910"/>
      <c r="DV239" s="910"/>
      <c r="DW239" s="910"/>
      <c r="DX239" s="910"/>
      <c r="DY239" s="910"/>
      <c r="DZ239" s="910"/>
      <c r="EA239" s="910"/>
      <c r="EB239" s="910"/>
      <c r="EC239" s="910"/>
      <c r="ED239" s="910"/>
      <c r="EE239" s="910"/>
      <c r="EF239" s="910"/>
      <c r="EG239" s="910"/>
      <c r="EH239" s="910"/>
      <c r="EI239" s="910"/>
      <c r="EJ239" s="910"/>
      <c r="EK239" s="910"/>
      <c r="EL239" s="910"/>
      <c r="EM239" s="910"/>
      <c r="EN239" s="910"/>
      <c r="EO239" s="910"/>
      <c r="EP239" s="910"/>
      <c r="EQ239" s="910"/>
      <c r="ER239" s="910"/>
      <c r="ES239" s="910"/>
      <c r="ET239" s="910"/>
      <c r="EU239" s="910"/>
      <c r="EV239" s="910"/>
      <c r="EW239" s="910"/>
      <c r="EX239" s="910"/>
      <c r="EY239" s="910"/>
      <c r="EZ239" s="910"/>
      <c r="FA239" s="910"/>
      <c r="FB239" s="910"/>
      <c r="FC239" s="910"/>
      <c r="FD239" s="910"/>
      <c r="FE239" s="910"/>
      <c r="FF239" s="910"/>
      <c r="FG239" s="910"/>
      <c r="FH239" s="910"/>
      <c r="FI239" s="910"/>
      <c r="FJ239" s="910"/>
      <c r="FK239" s="910"/>
    </row>
    <row r="240" spans="1:169" ht="9" customHeight="1" thickTop="1">
      <c r="A240" s="910"/>
      <c r="B240" s="910"/>
      <c r="C240" s="87"/>
      <c r="D240" s="118"/>
      <c r="E240" s="118"/>
      <c r="F240" s="293"/>
      <c r="G240" s="111"/>
      <c r="H240" s="111"/>
      <c r="I240" s="102"/>
      <c r="J240" s="105"/>
      <c r="K240" s="105"/>
      <c r="L240" s="105"/>
      <c r="M240" s="105"/>
      <c r="N240" s="596"/>
      <c r="O240" s="596"/>
      <c r="P240" s="596"/>
      <c r="Q240" s="1922"/>
      <c r="R240" s="1922"/>
      <c r="S240" s="1922"/>
      <c r="T240" s="1922"/>
      <c r="U240" s="1922"/>
      <c r="V240" s="1922"/>
      <c r="W240" s="1922"/>
      <c r="X240" s="1922"/>
      <c r="Y240" s="1922"/>
      <c r="Z240" s="1922"/>
      <c r="AA240" s="1922"/>
      <c r="AB240" s="1922"/>
      <c r="AC240" s="1922"/>
      <c r="AD240" s="1922"/>
      <c r="AE240" s="1922"/>
      <c r="AF240" s="1922"/>
      <c r="AG240" s="1922"/>
      <c r="AH240" s="1922"/>
      <c r="AI240" s="1922"/>
      <c r="AJ240" s="1922"/>
      <c r="AK240" s="1922"/>
      <c r="AL240" s="1922"/>
      <c r="AM240" s="1922"/>
      <c r="AN240" s="1922"/>
      <c r="AO240" s="1922"/>
      <c r="AP240" s="1922"/>
      <c r="AQ240" s="1922"/>
      <c r="AR240" s="1922"/>
      <c r="AS240" s="1922"/>
      <c r="AT240" s="1922"/>
      <c r="AU240" s="1922"/>
      <c r="AV240" s="1922"/>
      <c r="AW240" s="1922"/>
      <c r="AX240" s="1922"/>
      <c r="AY240" s="1922"/>
      <c r="AZ240" s="1922"/>
      <c r="BA240" s="1922"/>
      <c r="BB240" s="1922"/>
      <c r="BC240" s="1922"/>
      <c r="BD240" s="1922"/>
      <c r="BE240" s="1922"/>
      <c r="BF240" s="1922"/>
      <c r="BG240" s="1922"/>
      <c r="BH240" s="1922"/>
      <c r="BI240" s="1922"/>
      <c r="BJ240" s="1922"/>
      <c r="BK240" s="1922"/>
      <c r="BL240" s="1922"/>
      <c r="BM240" s="1922"/>
      <c r="BN240" s="1922"/>
      <c r="BO240" s="1922"/>
      <c r="BP240" s="1922"/>
      <c r="BQ240" s="1922"/>
      <c r="BR240" s="1922"/>
      <c r="BS240" s="1922"/>
      <c r="BT240" s="1922"/>
      <c r="BU240" s="1922"/>
      <c r="BV240" s="1922"/>
      <c r="BW240" s="1922"/>
      <c r="BX240" s="1922"/>
      <c r="BY240" s="1922"/>
      <c r="BZ240" s="1922"/>
      <c r="CA240" s="1922"/>
      <c r="CB240" s="1922"/>
      <c r="CC240" s="1922"/>
      <c r="CD240" s="1922"/>
      <c r="CE240" s="1922"/>
      <c r="CF240" s="1922"/>
      <c r="CG240" s="1922"/>
      <c r="CH240" s="1922"/>
      <c r="CI240" s="1922"/>
      <c r="CJ240" s="1922"/>
      <c r="CK240" s="1922"/>
      <c r="CL240" s="1922"/>
      <c r="CM240" s="1922"/>
      <c r="CN240" s="1922"/>
      <c r="CO240" s="1922"/>
      <c r="CP240" s="1922"/>
      <c r="CQ240" s="1922"/>
      <c r="CR240" s="1922"/>
      <c r="CS240" s="1922"/>
      <c r="CT240" s="1922"/>
      <c r="CU240" s="1922"/>
      <c r="CV240" s="1922"/>
      <c r="CW240" s="1922"/>
      <c r="CX240" s="1922"/>
      <c r="CY240" s="1922"/>
      <c r="CZ240" s="1922"/>
      <c r="DA240" s="1922"/>
      <c r="DB240" s="1922"/>
      <c r="DC240" s="1922"/>
      <c r="DD240" s="1922"/>
      <c r="DE240" s="1922"/>
      <c r="DF240" s="1922"/>
      <c r="DG240" s="103"/>
      <c r="DH240" s="970"/>
      <c r="DI240" s="111"/>
      <c r="DJ240" s="910"/>
      <c r="DK240" s="910"/>
      <c r="DL240" s="910"/>
      <c r="DM240" s="910"/>
      <c r="DN240" s="910"/>
      <c r="DO240" s="910"/>
      <c r="DP240" s="910"/>
      <c r="DQ240" s="910"/>
      <c r="DR240" s="910"/>
      <c r="DS240" s="910"/>
      <c r="DT240" s="910"/>
      <c r="DU240" s="910"/>
      <c r="DV240" s="910"/>
      <c r="DW240" s="910"/>
      <c r="DX240" s="910"/>
      <c r="DY240" s="910"/>
      <c r="DZ240" s="910"/>
      <c r="EA240" s="910"/>
      <c r="EB240" s="910"/>
      <c r="EC240" s="910"/>
      <c r="ED240" s="910"/>
      <c r="EE240" s="910"/>
      <c r="EF240" s="910"/>
      <c r="EG240" s="910"/>
      <c r="EH240" s="910"/>
      <c r="EI240" s="910"/>
      <c r="EJ240" s="910"/>
      <c r="EK240" s="910"/>
      <c r="EL240" s="910"/>
      <c r="EM240" s="910"/>
      <c r="EN240" s="910"/>
      <c r="EO240" s="910"/>
      <c r="EP240" s="910"/>
      <c r="EQ240" s="910"/>
      <c r="ER240" s="910"/>
      <c r="ES240" s="910"/>
      <c r="ET240" s="910"/>
      <c r="EU240" s="910"/>
      <c r="EV240" s="910"/>
      <c r="EW240" s="910"/>
      <c r="EX240" s="910"/>
      <c r="EY240" s="910"/>
      <c r="EZ240" s="910"/>
      <c r="FA240" s="910"/>
      <c r="FB240" s="910"/>
      <c r="FC240" s="910"/>
      <c r="FD240" s="910"/>
      <c r="FE240" s="910"/>
      <c r="FF240" s="910"/>
      <c r="FG240" s="910"/>
      <c r="FH240" s="910"/>
      <c r="FI240" s="910"/>
      <c r="FJ240" s="910"/>
      <c r="FK240" s="910"/>
    </row>
    <row r="241" spans="1:167" ht="9" customHeight="1" thickBot="1">
      <c r="A241" s="910"/>
      <c r="B241" s="910"/>
      <c r="C241" s="910"/>
      <c r="D241" s="910"/>
      <c r="E241" s="910"/>
      <c r="F241" s="910"/>
      <c r="G241" s="910"/>
      <c r="H241" s="910"/>
      <c r="I241" s="91"/>
      <c r="J241" s="108"/>
      <c r="K241" s="108"/>
      <c r="L241" s="108"/>
      <c r="M241" s="108"/>
      <c r="N241" s="654"/>
      <c r="O241" s="654"/>
      <c r="P241" s="654"/>
      <c r="Q241" s="1923"/>
      <c r="R241" s="1923"/>
      <c r="S241" s="1923"/>
      <c r="T241" s="1923"/>
      <c r="U241" s="1923"/>
      <c r="V241" s="1923"/>
      <c r="W241" s="1923"/>
      <c r="X241" s="1923"/>
      <c r="Y241" s="1923"/>
      <c r="Z241" s="1923"/>
      <c r="AA241" s="1923"/>
      <c r="AB241" s="1923"/>
      <c r="AC241" s="1923"/>
      <c r="AD241" s="1923"/>
      <c r="AE241" s="1923"/>
      <c r="AF241" s="1923"/>
      <c r="AG241" s="1923"/>
      <c r="AH241" s="1923"/>
      <c r="AI241" s="1923"/>
      <c r="AJ241" s="1923"/>
      <c r="AK241" s="1923"/>
      <c r="AL241" s="1923"/>
      <c r="AM241" s="1923"/>
      <c r="AN241" s="1923"/>
      <c r="AO241" s="1923"/>
      <c r="AP241" s="1923"/>
      <c r="AQ241" s="1923"/>
      <c r="AR241" s="1923"/>
      <c r="AS241" s="1923"/>
      <c r="AT241" s="1923"/>
      <c r="AU241" s="1923"/>
      <c r="AV241" s="1923"/>
      <c r="AW241" s="1923"/>
      <c r="AX241" s="1923"/>
      <c r="AY241" s="1923"/>
      <c r="AZ241" s="1923"/>
      <c r="BA241" s="1923"/>
      <c r="BB241" s="1923"/>
      <c r="BC241" s="1923"/>
      <c r="BD241" s="1923"/>
      <c r="BE241" s="1923"/>
      <c r="BF241" s="1923"/>
      <c r="BG241" s="1923"/>
      <c r="BH241" s="1923"/>
      <c r="BI241" s="1923"/>
      <c r="BJ241" s="1923"/>
      <c r="BK241" s="1923"/>
      <c r="BL241" s="1923"/>
      <c r="BM241" s="1923"/>
      <c r="BN241" s="1923"/>
      <c r="BO241" s="1923"/>
      <c r="BP241" s="1923"/>
      <c r="BQ241" s="1923"/>
      <c r="BR241" s="1923"/>
      <c r="BS241" s="1923"/>
      <c r="BT241" s="1923"/>
      <c r="BU241" s="1923"/>
      <c r="BV241" s="1923"/>
      <c r="BW241" s="1923"/>
      <c r="BX241" s="1923"/>
      <c r="BY241" s="1923"/>
      <c r="BZ241" s="1923"/>
      <c r="CA241" s="1923"/>
      <c r="CB241" s="1923"/>
      <c r="CC241" s="1923"/>
      <c r="CD241" s="1923"/>
      <c r="CE241" s="1923"/>
      <c r="CF241" s="1923"/>
      <c r="CG241" s="1923"/>
      <c r="CH241" s="1923"/>
      <c r="CI241" s="1923"/>
      <c r="CJ241" s="1923"/>
      <c r="CK241" s="1923"/>
      <c r="CL241" s="1923"/>
      <c r="CM241" s="1923"/>
      <c r="CN241" s="1923"/>
      <c r="CO241" s="1923"/>
      <c r="CP241" s="1923"/>
      <c r="CQ241" s="1923"/>
      <c r="CR241" s="1923"/>
      <c r="CS241" s="1923"/>
      <c r="CT241" s="1923"/>
      <c r="CU241" s="1923"/>
      <c r="CV241" s="1923"/>
      <c r="CW241" s="1923"/>
      <c r="CX241" s="1923"/>
      <c r="CY241" s="1923"/>
      <c r="CZ241" s="1923"/>
      <c r="DA241" s="1923"/>
      <c r="DB241" s="1923"/>
      <c r="DC241" s="1923"/>
      <c r="DD241" s="1923"/>
      <c r="DE241" s="1923"/>
      <c r="DF241" s="1923"/>
      <c r="DG241" s="90"/>
      <c r="DI241" s="910"/>
      <c r="DJ241" s="910"/>
      <c r="DK241" s="910"/>
      <c r="DL241" s="910"/>
      <c r="DM241" s="910"/>
      <c r="DN241" s="910"/>
      <c r="DO241" s="910"/>
      <c r="DP241" s="910"/>
      <c r="DQ241" s="910"/>
      <c r="DR241" s="910"/>
      <c r="DS241" s="910"/>
      <c r="DT241" s="910"/>
      <c r="DU241" s="910"/>
      <c r="DV241" s="910"/>
      <c r="DW241" s="910"/>
      <c r="DX241" s="910"/>
      <c r="DY241" s="910"/>
      <c r="DZ241" s="910"/>
      <c r="EA241" s="910"/>
      <c r="EB241" s="910"/>
      <c r="EC241" s="910"/>
      <c r="ED241" s="910"/>
      <c r="EE241" s="910"/>
      <c r="EF241" s="910"/>
      <c r="EG241" s="910"/>
      <c r="EH241" s="910"/>
      <c r="EI241" s="910"/>
      <c r="EJ241" s="910"/>
      <c r="EK241" s="910"/>
      <c r="EL241" s="910"/>
      <c r="EM241" s="910"/>
      <c r="EN241" s="910"/>
      <c r="EO241" s="910"/>
      <c r="EP241" s="910"/>
      <c r="EQ241" s="910"/>
      <c r="ER241" s="910"/>
      <c r="ES241" s="910"/>
      <c r="ET241" s="910"/>
      <c r="EU241" s="910"/>
      <c r="EV241" s="910"/>
      <c r="EW241" s="910"/>
      <c r="EX241" s="910"/>
      <c r="EY241" s="910"/>
      <c r="EZ241" s="910"/>
      <c r="FA241" s="910"/>
      <c r="FB241" s="910"/>
      <c r="FC241" s="910"/>
      <c r="FD241" s="910"/>
      <c r="FE241" s="910"/>
      <c r="FF241" s="910"/>
      <c r="FG241" s="910"/>
      <c r="FH241" s="910"/>
      <c r="FI241" s="910"/>
      <c r="FJ241" s="910"/>
      <c r="FK241" s="910"/>
    </row>
    <row r="242" spans="1:167" ht="9" customHeight="1" thickTop="1">
      <c r="A242" s="910"/>
      <c r="B242" s="910"/>
      <c r="C242" s="910"/>
      <c r="D242" s="910"/>
      <c r="E242" s="910"/>
      <c r="F242" s="910"/>
      <c r="G242" s="910"/>
      <c r="H242" s="910"/>
      <c r="I242" s="910"/>
      <c r="J242" s="910"/>
      <c r="K242" s="910"/>
      <c r="L242" s="910"/>
      <c r="M242" s="910"/>
      <c r="N242" s="910"/>
      <c r="O242" s="910"/>
      <c r="P242" s="910"/>
      <c r="Q242" s="910"/>
      <c r="R242" s="910"/>
      <c r="S242" s="910"/>
      <c r="T242" s="910"/>
      <c r="U242" s="910"/>
      <c r="V242" s="910"/>
      <c r="W242" s="910"/>
      <c r="X242" s="910"/>
      <c r="Y242" s="910"/>
      <c r="Z242" s="910"/>
      <c r="AA242" s="910"/>
      <c r="AB242" s="910"/>
      <c r="AC242" s="910"/>
      <c r="AD242" s="910"/>
      <c r="AE242" s="910"/>
      <c r="AF242" s="910"/>
      <c r="AG242" s="910"/>
      <c r="AH242" s="910"/>
      <c r="AI242" s="910"/>
      <c r="AJ242" s="910"/>
      <c r="AK242" s="910"/>
      <c r="AL242" s="910"/>
      <c r="AM242" s="910"/>
      <c r="AN242" s="910"/>
      <c r="AO242" s="913"/>
      <c r="AP242" s="913"/>
      <c r="AQ242" s="913"/>
      <c r="AR242" s="913"/>
      <c r="AS242" s="913"/>
      <c r="AT242" s="442"/>
      <c r="AU242" s="442"/>
      <c r="AV242" s="442"/>
      <c r="AW242" s="442"/>
      <c r="AX242" s="442"/>
      <c r="AY242" s="442"/>
      <c r="AZ242" s="442"/>
      <c r="BA242" s="442"/>
      <c r="BB242" s="442"/>
      <c r="BC242" s="442"/>
      <c r="BD242" s="442"/>
      <c r="BE242" s="442"/>
      <c r="BF242" s="442"/>
      <c r="BG242" s="442"/>
      <c r="BH242" s="442"/>
      <c r="BI242" s="442"/>
      <c r="BJ242" s="442"/>
      <c r="BK242" s="442"/>
      <c r="BL242" s="442"/>
      <c r="BM242" s="442"/>
      <c r="BN242" s="442"/>
      <c r="BO242" s="442"/>
      <c r="BP242" s="442"/>
      <c r="BQ242" s="442"/>
      <c r="BR242" s="442"/>
      <c r="BS242" s="442"/>
      <c r="BT242" s="442"/>
      <c r="BU242" s="442"/>
      <c r="BV242" s="442"/>
      <c r="BW242" s="442"/>
      <c r="BX242" s="442"/>
      <c r="BY242" s="442"/>
      <c r="BZ242" s="442"/>
      <c r="CA242" s="442"/>
      <c r="CB242" s="442"/>
      <c r="CC242" s="442"/>
      <c r="CD242" s="3"/>
      <c r="CE242" s="3"/>
      <c r="CF242" s="3"/>
      <c r="CG242" s="3"/>
      <c r="CH242" s="910"/>
      <c r="CI242" s="910"/>
      <c r="CJ242" s="3"/>
      <c r="CK242" s="910"/>
      <c r="CL242" s="910"/>
      <c r="CM242" s="910"/>
      <c r="CN242" s="3"/>
      <c r="CO242" s="910"/>
      <c r="CP242" s="910"/>
      <c r="CQ242" s="3"/>
      <c r="CR242" s="910"/>
      <c r="CS242" s="910"/>
      <c r="CT242" s="3"/>
      <c r="CU242" s="910"/>
      <c r="CV242" s="910"/>
      <c r="CW242" s="3"/>
      <c r="CX242" s="910"/>
      <c r="CY242" s="910"/>
      <c r="CZ242" s="3"/>
      <c r="DA242" s="910"/>
      <c r="DB242" s="910"/>
      <c r="DC242" s="3"/>
      <c r="DD242" s="3"/>
      <c r="DE242" s="910"/>
      <c r="DF242" s="910"/>
      <c r="DG242" s="910"/>
      <c r="DI242" s="910"/>
      <c r="DJ242" s="910"/>
      <c r="DK242" s="910"/>
      <c r="DL242" s="910"/>
      <c r="DM242" s="910"/>
      <c r="DN242" s="910"/>
      <c r="DO242" s="910"/>
      <c r="DP242" s="910"/>
      <c r="DQ242" s="910"/>
      <c r="DR242" s="910"/>
      <c r="DS242" s="910"/>
      <c r="DT242" s="910"/>
      <c r="DU242" s="910"/>
      <c r="DV242" s="910"/>
      <c r="DW242" s="910"/>
      <c r="DX242" s="910"/>
      <c r="DY242" s="910"/>
      <c r="DZ242" s="910"/>
      <c r="EA242" s="910"/>
      <c r="EB242" s="910"/>
      <c r="EC242" s="910"/>
      <c r="ED242" s="910"/>
      <c r="EE242" s="910"/>
      <c r="EF242" s="910"/>
      <c r="EG242" s="910"/>
      <c r="EH242" s="910"/>
      <c r="EI242" s="910"/>
      <c r="EJ242" s="910"/>
      <c r="EK242" s="910"/>
      <c r="EL242" s="910"/>
      <c r="EM242" s="910"/>
      <c r="EN242" s="910"/>
      <c r="EO242" s="910"/>
      <c r="EP242" s="910"/>
      <c r="EQ242" s="910"/>
      <c r="ER242" s="910"/>
      <c r="ES242" s="910"/>
      <c r="ET242" s="910"/>
      <c r="EU242" s="910"/>
      <c r="EV242" s="910"/>
      <c r="EW242" s="910"/>
      <c r="EX242" s="910"/>
      <c r="EY242" s="910"/>
      <c r="EZ242" s="910"/>
      <c r="FA242" s="910"/>
      <c r="FB242" s="910"/>
      <c r="FC242" s="910"/>
      <c r="FD242" s="910"/>
      <c r="FE242" s="910"/>
      <c r="FF242" s="910"/>
      <c r="FG242" s="910"/>
      <c r="FH242" s="910"/>
      <c r="FI242" s="910"/>
      <c r="FJ242" s="910"/>
      <c r="FK242" s="910"/>
    </row>
    <row r="243" spans="1:167" ht="9" customHeight="1" thickBot="1">
      <c r="A243" s="910"/>
      <c r="B243" s="910"/>
      <c r="C243" s="910"/>
      <c r="D243" s="910"/>
      <c r="E243" s="910"/>
      <c r="F243" s="910"/>
      <c r="G243" s="910"/>
      <c r="H243" s="910"/>
      <c r="I243" s="910"/>
      <c r="J243" s="910"/>
      <c r="K243" s="910"/>
      <c r="L243" s="910"/>
      <c r="M243" s="910"/>
      <c r="N243" s="910"/>
      <c r="O243" s="910"/>
      <c r="P243" s="910"/>
      <c r="Q243" s="910"/>
      <c r="R243" s="910"/>
      <c r="S243" s="910"/>
      <c r="T243" s="910"/>
      <c r="U243" s="910"/>
      <c r="V243" s="910"/>
      <c r="W243" s="910"/>
      <c r="X243" s="910"/>
      <c r="Y243" s="910"/>
      <c r="Z243" s="910"/>
      <c r="AA243" s="910"/>
      <c r="AB243" s="910"/>
      <c r="AC243" s="910"/>
      <c r="AD243" s="910"/>
      <c r="AE243" s="910"/>
      <c r="AF243" s="910"/>
      <c r="AG243" s="910"/>
      <c r="AH243" s="910"/>
      <c r="AI243" s="910"/>
      <c r="AJ243" s="910"/>
      <c r="AK243" s="910"/>
      <c r="AL243" s="910"/>
      <c r="AM243" s="910"/>
      <c r="AN243" s="910"/>
      <c r="AO243" s="910"/>
      <c r="AP243" s="910"/>
      <c r="AQ243" s="910"/>
      <c r="AR243" s="910"/>
      <c r="AS243" s="910"/>
      <c r="AT243" s="910"/>
      <c r="AU243" s="910"/>
      <c r="AV243" s="910"/>
      <c r="AW243" s="910"/>
      <c r="AX243" s="910"/>
      <c r="AY243" s="910"/>
      <c r="AZ243" s="910"/>
      <c r="BA243" s="910"/>
      <c r="BB243" s="910"/>
      <c r="BC243" s="910"/>
      <c r="BD243" s="910"/>
      <c r="BE243" s="910"/>
      <c r="BF243" s="910"/>
      <c r="BG243" s="910"/>
      <c r="BH243" s="910"/>
      <c r="BI243" s="910"/>
      <c r="BJ243" s="910"/>
      <c r="BK243" s="910"/>
      <c r="BL243" s="910"/>
      <c r="BM243" s="910"/>
      <c r="BN243" s="910"/>
      <c r="BO243" s="910"/>
      <c r="BP243" s="910"/>
      <c r="BQ243" s="3"/>
      <c r="BR243" s="3"/>
      <c r="BS243" s="3"/>
      <c r="BT243" s="3"/>
      <c r="BU243" s="3"/>
      <c r="BV243" s="3"/>
      <c r="BW243" s="3"/>
      <c r="BX243" s="3"/>
      <c r="BY243" s="3"/>
      <c r="BZ243" s="3"/>
      <c r="CA243" s="3"/>
      <c r="CB243" s="3"/>
      <c r="CC243" s="3"/>
      <c r="CD243" s="3"/>
      <c r="CE243" s="3"/>
      <c r="CF243" s="3"/>
      <c r="CG243" s="3"/>
      <c r="CH243" s="910"/>
      <c r="CI243" s="910"/>
      <c r="CJ243" s="910"/>
      <c r="CK243" s="910"/>
      <c r="CL243" s="910"/>
      <c r="CM243" s="910"/>
      <c r="CN243" s="910"/>
      <c r="CO243" s="910"/>
      <c r="CP243" s="910"/>
      <c r="CQ243" s="910"/>
      <c r="CR243" s="910"/>
      <c r="CS243" s="910"/>
      <c r="CT243" s="910"/>
      <c r="CU243" s="910"/>
      <c r="CV243" s="910"/>
      <c r="CW243" s="910"/>
      <c r="CX243" s="910"/>
      <c r="CY243" s="910"/>
      <c r="CZ243" s="910"/>
      <c r="DA243" s="910"/>
      <c r="DB243" s="910"/>
      <c r="DC243" s="910"/>
      <c r="DD243" s="910"/>
      <c r="DE243" s="910"/>
      <c r="DF243" s="910"/>
      <c r="DG243" s="910"/>
      <c r="DI243" s="910"/>
      <c r="DJ243" s="910"/>
      <c r="DK243" s="910"/>
      <c r="DL243" s="910"/>
      <c r="DM243" s="910"/>
      <c r="DN243" s="910"/>
      <c r="DO243" s="910"/>
      <c r="DP243" s="910"/>
      <c r="DQ243" s="910"/>
      <c r="DR243" s="910"/>
      <c r="DS243" s="910"/>
      <c r="DT243" s="910"/>
      <c r="DU243" s="910"/>
      <c r="DV243" s="910"/>
      <c r="DW243" s="910"/>
      <c r="DX243" s="910"/>
      <c r="DY243" s="910"/>
      <c r="DZ243" s="910"/>
      <c r="EA243" s="910"/>
      <c r="EB243" s="910"/>
      <c r="EC243" s="910"/>
      <c r="ED243" s="910"/>
      <c r="EE243" s="910"/>
      <c r="EF243" s="910"/>
      <c r="EG243" s="910"/>
      <c r="EH243" s="910"/>
      <c r="EI243" s="910"/>
      <c r="EJ243" s="910"/>
      <c r="EK243" s="910"/>
      <c r="EL243" s="910"/>
      <c r="EM243" s="910"/>
      <c r="EN243" s="910"/>
      <c r="EO243" s="910"/>
      <c r="EP243" s="910"/>
      <c r="EQ243" s="910"/>
      <c r="ER243" s="910"/>
      <c r="ES243" s="910"/>
      <c r="ET243" s="910"/>
      <c r="EU243" s="910"/>
      <c r="EV243" s="910"/>
      <c r="EW243" s="910"/>
      <c r="EX243" s="910"/>
      <c r="EY243" s="910"/>
      <c r="EZ243" s="910"/>
      <c r="FA243" s="910"/>
      <c r="FB243" s="910"/>
      <c r="FC243" s="910"/>
      <c r="FD243" s="910"/>
      <c r="FE243" s="910"/>
      <c r="FF243" s="910"/>
      <c r="FG243" s="910"/>
      <c r="FH243" s="910"/>
      <c r="FI243" s="910"/>
      <c r="FJ243" s="910"/>
      <c r="FK243" s="910"/>
    </row>
    <row r="244" spans="1:167" ht="9" customHeight="1" thickTop="1" thickBot="1">
      <c r="A244" s="910"/>
      <c r="B244" s="910"/>
      <c r="C244" s="910"/>
      <c r="D244" s="93"/>
      <c r="E244" s="2182" t="s">
        <v>5713</v>
      </c>
      <c r="F244" s="2182"/>
      <c r="G244" s="2182"/>
      <c r="H244" s="2182"/>
      <c r="I244" s="2182"/>
      <c r="J244" s="295"/>
      <c r="K244" s="295"/>
      <c r="L244" s="295"/>
      <c r="M244" s="295"/>
      <c r="N244" s="594"/>
      <c r="O244" s="594"/>
      <c r="P244" s="594"/>
      <c r="Q244" s="594"/>
      <c r="R244" s="594"/>
      <c r="S244" s="594"/>
      <c r="T244" s="594"/>
      <c r="U244" s="594"/>
      <c r="V244" s="594"/>
      <c r="W244" s="594"/>
      <c r="X244" s="594"/>
      <c r="Y244" s="594"/>
      <c r="Z244" s="594"/>
      <c r="AA244" s="594"/>
      <c r="AB244" s="594"/>
      <c r="AC244" s="297"/>
      <c r="AD244" s="910"/>
      <c r="AE244" s="910"/>
      <c r="AF244" s="93"/>
      <c r="AG244" s="2193" t="s">
        <v>6133</v>
      </c>
      <c r="AH244" s="2193"/>
      <c r="AI244" s="2193"/>
      <c r="AJ244" s="2193"/>
      <c r="AK244" s="2193"/>
      <c r="AL244" s="2193"/>
      <c r="AM244" s="2193"/>
      <c r="AN244" s="2193"/>
      <c r="AO244" s="1108" t="e">
        <f ca="1">Weapons!$BC$70-Weapons!$BC$69</f>
        <v>#N/A</v>
      </c>
      <c r="AP244" s="592"/>
      <c r="AQ244" s="594"/>
      <c r="AR244" s="594"/>
      <c r="AS244" s="594"/>
      <c r="AT244" s="594"/>
      <c r="AU244" s="594"/>
      <c r="AV244" s="594"/>
      <c r="AW244" s="594"/>
      <c r="AX244" s="297"/>
      <c r="AY244" s="1092"/>
      <c r="AZ244" s="910"/>
      <c r="BA244" s="93"/>
      <c r="BB244" s="2193" t="s">
        <v>4094</v>
      </c>
      <c r="BC244" s="2193"/>
      <c r="BD244" s="2193"/>
      <c r="BE244" s="2193"/>
      <c r="BF244" s="2193"/>
      <c r="BG244" s="2193"/>
      <c r="BH244" s="2193"/>
      <c r="BI244" s="2193"/>
      <c r="BJ244" s="2193"/>
      <c r="BK244" s="2193"/>
      <c r="BL244" s="2193"/>
      <c r="BM244" s="2193"/>
      <c r="BN244" s="2193"/>
      <c r="BO244" s="2193"/>
      <c r="BP244" s="113"/>
      <c r="BQ244" s="145"/>
      <c r="BR244" s="93"/>
      <c r="BS244" s="2193" t="s">
        <v>4100</v>
      </c>
      <c r="BT244" s="2193"/>
      <c r="BU244" s="2193"/>
      <c r="BV244" s="2193"/>
      <c r="BW244" s="2193"/>
      <c r="BX244" s="2193"/>
      <c r="BY244" s="2193"/>
      <c r="BZ244" s="2193"/>
      <c r="CA244" s="2193" t="s">
        <v>4095</v>
      </c>
      <c r="CB244" s="2193"/>
      <c r="CC244" s="2193"/>
      <c r="CD244" s="2193"/>
      <c r="CE244" s="2193"/>
      <c r="CF244" s="2193"/>
      <c r="CG244" s="2193"/>
      <c r="CH244" s="2193"/>
      <c r="CI244" s="2193" t="s">
        <v>4099</v>
      </c>
      <c r="CJ244" s="2193"/>
      <c r="CK244" s="2193"/>
      <c r="CL244" s="2193"/>
      <c r="CM244" s="2193"/>
      <c r="CN244" s="2193"/>
      <c r="CO244" s="2193"/>
      <c r="CP244" s="2193"/>
      <c r="CQ244" s="2193" t="s">
        <v>4098</v>
      </c>
      <c r="CR244" s="2193"/>
      <c r="CS244" s="2193"/>
      <c r="CT244" s="2193"/>
      <c r="CU244" s="2193"/>
      <c r="CV244" s="2193"/>
      <c r="CW244" s="2193"/>
      <c r="CX244" s="2193"/>
      <c r="CY244" s="2193" t="s">
        <v>4097</v>
      </c>
      <c r="CZ244" s="2193"/>
      <c r="DA244" s="2193"/>
      <c r="DB244" s="2193"/>
      <c r="DC244" s="2193"/>
      <c r="DD244" s="2193"/>
      <c r="DE244" s="2193"/>
      <c r="DF244" s="2193"/>
      <c r="DG244" s="113"/>
      <c r="DH244" s="976"/>
      <c r="DI244" s="910"/>
      <c r="DJ244" s="910"/>
      <c r="DK244" s="910"/>
      <c r="DL244" s="910"/>
      <c r="DM244" s="910"/>
      <c r="DN244" s="910"/>
      <c r="DO244" s="910"/>
      <c r="DP244" s="910"/>
      <c r="DQ244" s="910"/>
      <c r="DR244" s="910"/>
      <c r="DS244" s="910"/>
      <c r="DT244" s="910"/>
      <c r="DU244" s="910"/>
      <c r="DV244" s="910"/>
      <c r="DW244" s="910"/>
      <c r="DX244" s="910"/>
      <c r="DY244" s="910"/>
      <c r="DZ244" s="910"/>
      <c r="EA244" s="910"/>
      <c r="EB244" s="910"/>
      <c r="EC244" s="910"/>
      <c r="ED244" s="910"/>
      <c r="EE244" s="910"/>
      <c r="EF244" s="910"/>
      <c r="EG244" s="910"/>
      <c r="EH244" s="910"/>
      <c r="EI244" s="910"/>
      <c r="EJ244" s="910"/>
      <c r="EK244" s="910"/>
      <c r="EL244" s="910"/>
      <c r="EM244" s="910"/>
      <c r="EN244" s="910"/>
      <c r="EO244" s="910"/>
      <c r="EP244" s="910"/>
      <c r="EQ244" s="910"/>
      <c r="ER244" s="910"/>
      <c r="ES244" s="910"/>
      <c r="ET244" s="910"/>
      <c r="EU244" s="910"/>
      <c r="EV244" s="910"/>
      <c r="EW244" s="910"/>
      <c r="EX244" s="910"/>
      <c r="EY244" s="910"/>
      <c r="EZ244" s="910"/>
      <c r="FA244" s="910"/>
      <c r="FB244" s="910"/>
      <c r="FC244" s="910"/>
      <c r="FD244" s="910"/>
      <c r="FE244" s="910"/>
      <c r="FF244" s="910"/>
      <c r="FG244" s="910"/>
      <c r="FH244" s="910"/>
      <c r="FI244" s="910"/>
      <c r="FJ244" s="910"/>
      <c r="FK244" s="910"/>
    </row>
    <row r="245" spans="1:167" ht="9" customHeight="1" thickTop="1">
      <c r="A245" s="910"/>
      <c r="B245" s="910"/>
      <c r="C245" s="910"/>
      <c r="D245" s="102"/>
      <c r="E245" s="2180"/>
      <c r="F245" s="2180"/>
      <c r="G245" s="2180"/>
      <c r="H245" s="2180"/>
      <c r="I245" s="2180"/>
      <c r="J245" s="1867" t="str">
        <f>IF(J219&lt;&gt;"",IF(OR(AND(Weapons!$BC$74="lightsabers",Talents!$M$1110&gt;0),AND(Feats!$M$242&gt;0,COUNTIF(Weapons!$BC$56:$BC$59,"Spring Loaded")&gt;0)),"Free",IF(Feats!$M$170&gt;0,"Free as part of a Standard",IF(Feats!$M$242,"Swift","Move")))&amp;" action","")</f>
        <v/>
      </c>
      <c r="K245" s="1867"/>
      <c r="L245" s="1867"/>
      <c r="M245" s="1867"/>
      <c r="N245" s="1867"/>
      <c r="O245" s="1867"/>
      <c r="P245" s="1867"/>
      <c r="Q245" s="1867"/>
      <c r="R245" s="1867"/>
      <c r="S245" s="1867"/>
      <c r="T245" s="1867"/>
      <c r="U245" s="1867"/>
      <c r="V245" s="1867"/>
      <c r="W245" s="1867"/>
      <c r="X245" s="1867"/>
      <c r="Y245" s="1867"/>
      <c r="Z245" s="1867"/>
      <c r="AA245" s="1867"/>
      <c r="AB245" s="1867"/>
      <c r="AC245" s="300"/>
      <c r="AD245" s="595"/>
      <c r="AE245" s="595"/>
      <c r="AF245" s="102"/>
      <c r="AG245" s="2239"/>
      <c r="AH245" s="2239"/>
      <c r="AI245" s="2239"/>
      <c r="AJ245" s="2239"/>
      <c r="AK245" s="2239"/>
      <c r="AL245" s="2239"/>
      <c r="AM245" s="2239"/>
      <c r="AN245" s="2239"/>
      <c r="AO245" s="2241" t="str">
        <f>IF(J219&lt;&gt;"",IF(AND(NOT(ISERROR(FIND("-5 to Perception and Use Computer checks to detect",Q239,1))),ShowCloakedWeapons),INDEX(ConcealItemTable,MATCH(AO244,ConcealItemList,0),3),INDEX(ConcealItemTable,MATCH(AO244,ConcealItemList,0),2)),"")</f>
        <v/>
      </c>
      <c r="AP245" s="2241"/>
      <c r="AQ245" s="2241"/>
      <c r="AR245" s="2241"/>
      <c r="AS245" s="2241"/>
      <c r="AT245" s="2241"/>
      <c r="AU245" s="2241"/>
      <c r="AV245" s="2241"/>
      <c r="AW245" s="2241"/>
      <c r="AX245" s="300"/>
      <c r="AY245" s="1092"/>
      <c r="AZ245" s="910"/>
      <c r="BA245" s="102"/>
      <c r="BB245" s="2239"/>
      <c r="BC245" s="2239"/>
      <c r="BD245" s="2239"/>
      <c r="BE245" s="2239"/>
      <c r="BF245" s="2239"/>
      <c r="BG245" s="2239"/>
      <c r="BH245" s="2239"/>
      <c r="BI245" s="2239"/>
      <c r="BJ245" s="2239"/>
      <c r="BK245" s="2239"/>
      <c r="BL245" s="2239"/>
      <c r="BM245" s="2239"/>
      <c r="BN245" s="2239"/>
      <c r="BO245" s="2239"/>
      <c r="BP245" s="589"/>
      <c r="BQ245" s="598"/>
      <c r="BR245" s="102"/>
      <c r="BS245" s="2194"/>
      <c r="BT245" s="2194"/>
      <c r="BU245" s="2194"/>
      <c r="BV245" s="2194"/>
      <c r="BW245" s="2194"/>
      <c r="BX245" s="2194"/>
      <c r="BY245" s="2194"/>
      <c r="BZ245" s="2194"/>
      <c r="CA245" s="2194"/>
      <c r="CB245" s="2194"/>
      <c r="CC245" s="2194"/>
      <c r="CD245" s="2194"/>
      <c r="CE245" s="2194"/>
      <c r="CF245" s="2194"/>
      <c r="CG245" s="2194"/>
      <c r="CH245" s="2194"/>
      <c r="CI245" s="2194"/>
      <c r="CJ245" s="2194"/>
      <c r="CK245" s="2194"/>
      <c r="CL245" s="2194"/>
      <c r="CM245" s="2194"/>
      <c r="CN245" s="2194"/>
      <c r="CO245" s="2194"/>
      <c r="CP245" s="2194"/>
      <c r="CQ245" s="2194"/>
      <c r="CR245" s="2194"/>
      <c r="CS245" s="2194"/>
      <c r="CT245" s="2194"/>
      <c r="CU245" s="2194"/>
      <c r="CV245" s="2194"/>
      <c r="CW245" s="2194"/>
      <c r="CX245" s="2194"/>
      <c r="CY245" s="2194"/>
      <c r="CZ245" s="2194"/>
      <c r="DA245" s="2194"/>
      <c r="DB245" s="2194"/>
      <c r="DC245" s="2194"/>
      <c r="DD245" s="2194"/>
      <c r="DE245" s="2194"/>
      <c r="DF245" s="2194"/>
      <c r="DG245" s="910"/>
      <c r="DH245" s="977"/>
      <c r="DI245" s="910"/>
      <c r="DJ245" s="910"/>
      <c r="DK245" s="910"/>
      <c r="DL245" s="910"/>
      <c r="DM245" s="910"/>
      <c r="DN245" s="910"/>
      <c r="DO245" s="910"/>
      <c r="DP245" s="910"/>
      <c r="DQ245" s="910"/>
      <c r="DR245" s="910"/>
      <c r="DS245" s="910"/>
      <c r="DT245" s="910"/>
      <c r="DU245" s="910"/>
      <c r="DV245" s="910"/>
      <c r="DW245" s="910"/>
      <c r="DX245" s="910"/>
      <c r="DY245" s="910"/>
      <c r="DZ245" s="910"/>
      <c r="EA245" s="910"/>
      <c r="EB245" s="910"/>
      <c r="EC245" s="910"/>
      <c r="ED245" s="910"/>
      <c r="EE245" s="910"/>
      <c r="EF245" s="910"/>
      <c r="EG245" s="910"/>
      <c r="EH245" s="910"/>
      <c r="EI245" s="910"/>
      <c r="EJ245" s="910"/>
      <c r="EK245" s="910"/>
      <c r="EL245" s="910"/>
      <c r="EM245" s="910"/>
      <c r="EN245" s="910"/>
      <c r="EO245" s="910"/>
      <c r="EP245" s="910"/>
      <c r="EQ245" s="910"/>
      <c r="ER245" s="910"/>
      <c r="ES245" s="910"/>
      <c r="ET245" s="910"/>
      <c r="EU245" s="910"/>
      <c r="EV245" s="910"/>
      <c r="EW245" s="910"/>
      <c r="EX245" s="910"/>
      <c r="EY245" s="910"/>
      <c r="EZ245" s="910"/>
      <c r="FA245" s="910"/>
      <c r="FB245" s="910"/>
      <c r="FC245" s="910"/>
      <c r="FD245" s="910"/>
      <c r="FE245" s="910"/>
      <c r="FF245" s="910"/>
      <c r="FG245" s="910"/>
      <c r="FH245" s="910"/>
      <c r="FI245" s="910"/>
      <c r="FJ245" s="910"/>
      <c r="FK245" s="910"/>
    </row>
    <row r="246" spans="1:167" ht="9" customHeight="1">
      <c r="A246" s="910"/>
      <c r="B246" s="910"/>
      <c r="C246" s="910"/>
      <c r="D246" s="102"/>
      <c r="E246" s="105"/>
      <c r="F246" s="105"/>
      <c r="G246" s="105"/>
      <c r="H246" s="105"/>
      <c r="I246" s="657"/>
      <c r="J246" s="1867"/>
      <c r="K246" s="1867"/>
      <c r="L246" s="1867"/>
      <c r="M246" s="1867"/>
      <c r="N246" s="1867"/>
      <c r="O246" s="1867"/>
      <c r="P246" s="1867"/>
      <c r="Q246" s="1867"/>
      <c r="R246" s="1867"/>
      <c r="S246" s="1867"/>
      <c r="T246" s="1867"/>
      <c r="U246" s="1867"/>
      <c r="V246" s="1867"/>
      <c r="W246" s="1867"/>
      <c r="X246" s="1867"/>
      <c r="Y246" s="1867"/>
      <c r="Z246" s="1867"/>
      <c r="AA246" s="1867"/>
      <c r="AB246" s="1867"/>
      <c r="AC246" s="103"/>
      <c r="AD246" s="657"/>
      <c r="AE246" s="657"/>
      <c r="AF246" s="102"/>
      <c r="AG246" s="2243" t="s">
        <v>6134</v>
      </c>
      <c r="AH246" s="2243"/>
      <c r="AI246" s="2243"/>
      <c r="AJ246" s="2243"/>
      <c r="AK246" s="2243"/>
      <c r="AL246" s="2243"/>
      <c r="AM246" s="2243"/>
      <c r="AN246" s="2243"/>
      <c r="AO246" s="2241"/>
      <c r="AP246" s="2241"/>
      <c r="AQ246" s="2241"/>
      <c r="AR246" s="2241"/>
      <c r="AS246" s="2241"/>
      <c r="AT246" s="2241"/>
      <c r="AU246" s="2241"/>
      <c r="AV246" s="2241"/>
      <c r="AW246" s="2241"/>
      <c r="AX246" s="103"/>
      <c r="AY246" s="710"/>
      <c r="AZ246" s="910"/>
      <c r="BA246" s="102"/>
      <c r="BB246" s="2206" t="s">
        <v>110</v>
      </c>
      <c r="BC246" s="2206"/>
      <c r="BD246" s="2206"/>
      <c r="BE246" s="2206"/>
      <c r="BF246" s="2206"/>
      <c r="BG246" s="2206"/>
      <c r="BH246" s="2206"/>
      <c r="BI246" s="2206"/>
      <c r="BJ246" s="2206"/>
      <c r="BK246" s="2206"/>
      <c r="BL246" s="2206"/>
      <c r="BM246" s="2206"/>
      <c r="BN246" s="2206"/>
      <c r="BO246" s="2206"/>
      <c r="BP246" s="910"/>
      <c r="BQ246" s="910"/>
      <c r="BR246" s="102"/>
      <c r="BS246" s="2210" t="str">
        <f>IF(CA246&lt;&gt;"","0-1","")</f>
        <v/>
      </c>
      <c r="BT246" s="2210"/>
      <c r="BU246" s="2210"/>
      <c r="BV246" s="2210"/>
      <c r="BW246" s="2210"/>
      <c r="BX246" s="2210"/>
      <c r="BY246" s="2210"/>
      <c r="BZ246" s="2211"/>
      <c r="CA246" s="2229" t="str">
        <f>IF(AND(J219&lt;&gt;"",Weapons!BC$12="Ranged"),"0-"&amp;INDEX(RangeTable,MATCH(Weapons!BC$92,RangeList,0),2),"")</f>
        <v/>
      </c>
      <c r="CB246" s="2210"/>
      <c r="CC246" s="2210"/>
      <c r="CD246" s="2210"/>
      <c r="CE246" s="2210"/>
      <c r="CF246" s="2210"/>
      <c r="CG246" s="2210"/>
      <c r="CH246" s="2211"/>
      <c r="CI246" s="2229" t="str">
        <f>IF(AND(J219&lt;&gt;"",Weapons!BC$12="Ranged"),"0-"&amp;INDEX(RangeTable,MATCH(Weapons!BC$92,RangeList,0),3),"")</f>
        <v/>
      </c>
      <c r="CJ246" s="2210"/>
      <c r="CK246" s="2210"/>
      <c r="CL246" s="2210"/>
      <c r="CM246" s="2210"/>
      <c r="CN246" s="2210"/>
      <c r="CO246" s="2210"/>
      <c r="CP246" s="2211"/>
      <c r="CQ246" s="2229" t="str">
        <f>IF(AND(J219&lt;&gt;"",Weapons!BC$12="Ranged"),"0-"&amp;INDEX(RangeTable,MATCH(Weapons!BC$92,RangeList,0),4),"")</f>
        <v/>
      </c>
      <c r="CR246" s="2210"/>
      <c r="CS246" s="2210"/>
      <c r="CT246" s="2210"/>
      <c r="CU246" s="2210"/>
      <c r="CV246" s="2210"/>
      <c r="CW246" s="2210"/>
      <c r="CX246" s="2211"/>
      <c r="CY246" s="2229" t="str">
        <f>IF(AND(J219&lt;&gt;"",Weapons!BC$12="Ranged"),"0-"&amp;INDEX(RangeTable,MATCH(Weapons!BC$92,RangeList,0),5),"")</f>
        <v/>
      </c>
      <c r="CZ246" s="2210"/>
      <c r="DA246" s="2210"/>
      <c r="DB246" s="2210"/>
      <c r="DC246" s="2210"/>
      <c r="DD246" s="2210"/>
      <c r="DE246" s="2210"/>
      <c r="DF246" s="2210"/>
      <c r="DG246" s="100"/>
      <c r="DH246" s="976"/>
      <c r="DI246" s="910"/>
      <c r="DJ246" s="910"/>
      <c r="DK246" s="910"/>
      <c r="DL246" s="910"/>
      <c r="DM246" s="910"/>
      <c r="DN246" s="910"/>
      <c r="DO246" s="910"/>
      <c r="DP246" s="910"/>
      <c r="DQ246" s="910"/>
      <c r="DR246" s="910"/>
      <c r="DS246" s="910"/>
      <c r="DT246" s="910"/>
      <c r="DU246" s="910"/>
      <c r="DV246" s="910"/>
      <c r="DW246" s="910"/>
      <c r="DX246" s="910"/>
      <c r="DY246" s="910"/>
      <c r="DZ246" s="910"/>
      <c r="EA246" s="910"/>
      <c r="EB246" s="910"/>
      <c r="EC246" s="910"/>
      <c r="ED246" s="910"/>
      <c r="EE246" s="910"/>
      <c r="EF246" s="910"/>
      <c r="EG246" s="910"/>
      <c r="EH246" s="910"/>
      <c r="EI246" s="910"/>
      <c r="EJ246" s="910"/>
      <c r="EK246" s="910"/>
      <c r="EL246" s="910"/>
      <c r="EM246" s="910"/>
      <c r="EN246" s="910"/>
      <c r="EO246" s="910"/>
      <c r="EP246" s="910"/>
      <c r="EQ246" s="910"/>
      <c r="ER246" s="910"/>
      <c r="ES246" s="910"/>
      <c r="ET246" s="910"/>
      <c r="EU246" s="910"/>
      <c r="EV246" s="910"/>
      <c r="EW246" s="910"/>
      <c r="EX246" s="910"/>
      <c r="EY246" s="910"/>
      <c r="EZ246" s="910"/>
      <c r="FA246" s="910"/>
      <c r="FB246" s="910"/>
      <c r="FC246" s="910"/>
      <c r="FD246" s="910"/>
      <c r="FE246" s="910"/>
      <c r="FF246" s="910"/>
      <c r="FG246" s="910"/>
      <c r="FH246" s="910"/>
      <c r="FI246" s="910"/>
      <c r="FJ246" s="910"/>
      <c r="FK246" s="910"/>
    </row>
    <row r="247" spans="1:167" ht="9" customHeight="1" thickBot="1">
      <c r="A247" s="910"/>
      <c r="B247" s="910"/>
      <c r="C247" s="910"/>
      <c r="D247" s="91"/>
      <c r="E247" s="108"/>
      <c r="F247" s="108"/>
      <c r="G247" s="108"/>
      <c r="H247" s="108"/>
      <c r="I247" s="937"/>
      <c r="J247" s="1868"/>
      <c r="K247" s="1868"/>
      <c r="L247" s="1868"/>
      <c r="M247" s="1868"/>
      <c r="N247" s="1868"/>
      <c r="O247" s="1868"/>
      <c r="P247" s="1868"/>
      <c r="Q247" s="1868"/>
      <c r="R247" s="1868"/>
      <c r="S247" s="1868"/>
      <c r="T247" s="1868"/>
      <c r="U247" s="1868"/>
      <c r="V247" s="1868"/>
      <c r="W247" s="1868"/>
      <c r="X247" s="1868"/>
      <c r="Y247" s="1868"/>
      <c r="Z247" s="1868"/>
      <c r="AA247" s="1868"/>
      <c r="AB247" s="1868"/>
      <c r="AC247" s="90"/>
      <c r="AD247" s="657"/>
      <c r="AE247" s="657"/>
      <c r="AF247" s="91"/>
      <c r="AG247" s="2244"/>
      <c r="AH247" s="2244"/>
      <c r="AI247" s="2244"/>
      <c r="AJ247" s="2244"/>
      <c r="AK247" s="2244"/>
      <c r="AL247" s="2244"/>
      <c r="AM247" s="2244"/>
      <c r="AN247" s="2244"/>
      <c r="AO247" s="2242"/>
      <c r="AP247" s="2242"/>
      <c r="AQ247" s="2242"/>
      <c r="AR247" s="2242"/>
      <c r="AS247" s="2242"/>
      <c r="AT247" s="2242"/>
      <c r="AU247" s="2242"/>
      <c r="AV247" s="2242"/>
      <c r="AW247" s="2242"/>
      <c r="AX247" s="90"/>
      <c r="AY247" s="710"/>
      <c r="AZ247" s="910"/>
      <c r="BA247" s="102"/>
      <c r="BB247" s="2206"/>
      <c r="BC247" s="2206"/>
      <c r="BD247" s="2206"/>
      <c r="BE247" s="2206"/>
      <c r="BF247" s="2206"/>
      <c r="BG247" s="2206"/>
      <c r="BH247" s="2206"/>
      <c r="BI247" s="2206"/>
      <c r="BJ247" s="2206"/>
      <c r="BK247" s="2206"/>
      <c r="BL247" s="2206"/>
      <c r="BM247" s="2206"/>
      <c r="BN247" s="2206"/>
      <c r="BO247" s="2206"/>
      <c r="BP247" s="910"/>
      <c r="BQ247" s="910"/>
      <c r="BR247" s="647"/>
      <c r="BS247" s="2212"/>
      <c r="BT247" s="2212"/>
      <c r="BU247" s="2212"/>
      <c r="BV247" s="2212"/>
      <c r="BW247" s="2212"/>
      <c r="BX247" s="2212"/>
      <c r="BY247" s="2212"/>
      <c r="BZ247" s="2213"/>
      <c r="CA247" s="2226"/>
      <c r="CB247" s="2212"/>
      <c r="CC247" s="2212"/>
      <c r="CD247" s="2212"/>
      <c r="CE247" s="2212"/>
      <c r="CF247" s="2212"/>
      <c r="CG247" s="2212"/>
      <c r="CH247" s="2213"/>
      <c r="CI247" s="2226"/>
      <c r="CJ247" s="2212"/>
      <c r="CK247" s="2212"/>
      <c r="CL247" s="2212"/>
      <c r="CM247" s="2212"/>
      <c r="CN247" s="2212"/>
      <c r="CO247" s="2212"/>
      <c r="CP247" s="2213"/>
      <c r="CQ247" s="2226"/>
      <c r="CR247" s="2212"/>
      <c r="CS247" s="2212"/>
      <c r="CT247" s="2212"/>
      <c r="CU247" s="2212"/>
      <c r="CV247" s="2212"/>
      <c r="CW247" s="2212"/>
      <c r="CX247" s="2213"/>
      <c r="CY247" s="2226"/>
      <c r="CZ247" s="2212"/>
      <c r="DA247" s="2212"/>
      <c r="DB247" s="2212"/>
      <c r="DC247" s="2212"/>
      <c r="DD247" s="2212"/>
      <c r="DE247" s="2212"/>
      <c r="DF247" s="2212"/>
      <c r="DG247" s="100"/>
      <c r="DH247" s="976"/>
      <c r="DI247" s="910"/>
      <c r="DJ247" s="910"/>
      <c r="DK247" s="910"/>
      <c r="DL247" s="910"/>
      <c r="DM247" s="910"/>
      <c r="DN247" s="910"/>
      <c r="DO247" s="910"/>
      <c r="DP247" s="910"/>
      <c r="DQ247" s="910"/>
      <c r="DR247" s="910"/>
      <c r="DS247" s="910"/>
      <c r="DT247" s="910"/>
      <c r="DU247" s="910"/>
      <c r="DV247" s="910"/>
      <c r="DW247" s="910"/>
      <c r="DX247" s="910"/>
      <c r="DY247" s="910"/>
      <c r="DZ247" s="910"/>
      <c r="EA247" s="910"/>
      <c r="EB247" s="910"/>
      <c r="EC247" s="910"/>
      <c r="ED247" s="910"/>
      <c r="EE247" s="910"/>
      <c r="EF247" s="910"/>
      <c r="EG247" s="910"/>
      <c r="EH247" s="910"/>
      <c r="EI247" s="910"/>
      <c r="EJ247" s="910"/>
      <c r="EK247" s="910"/>
      <c r="EL247" s="910"/>
      <c r="EM247" s="910"/>
      <c r="EN247" s="910"/>
      <c r="EO247" s="910"/>
      <c r="EP247" s="910"/>
      <c r="EQ247" s="910"/>
      <c r="ER247" s="910"/>
      <c r="ES247" s="910"/>
      <c r="ET247" s="910"/>
      <c r="EU247" s="910"/>
      <c r="EV247" s="910"/>
      <c r="EW247" s="910"/>
      <c r="EX247" s="910"/>
      <c r="EY247" s="910"/>
      <c r="EZ247" s="910"/>
      <c r="FA247" s="910"/>
      <c r="FB247" s="910"/>
      <c r="FC247" s="910"/>
      <c r="FD247" s="910"/>
      <c r="FE247" s="910"/>
      <c r="FF247" s="910"/>
      <c r="FG247" s="910"/>
      <c r="FH247" s="910"/>
      <c r="FI247" s="910"/>
      <c r="FJ247" s="910"/>
      <c r="FK247" s="910"/>
    </row>
    <row r="248" spans="1:167" ht="9" customHeight="1" thickTop="1" thickBot="1">
      <c r="A248" s="910"/>
      <c r="B248" s="910"/>
      <c r="C248" s="910"/>
      <c r="D248" s="910"/>
      <c r="E248" s="910"/>
      <c r="F248" s="910"/>
      <c r="G248" s="910"/>
      <c r="H248" s="910"/>
      <c r="I248" s="910"/>
      <c r="J248" s="105"/>
      <c r="K248" s="105"/>
      <c r="L248" s="105"/>
      <c r="M248" s="105"/>
      <c r="N248" s="105"/>
      <c r="O248" s="657"/>
      <c r="P248" s="657"/>
      <c r="Q248" s="657"/>
      <c r="R248" s="657"/>
      <c r="S248" s="657"/>
      <c r="T248" s="657"/>
      <c r="U248" s="657"/>
      <c r="V248" s="657"/>
      <c r="W248" s="657"/>
      <c r="X248" s="657"/>
      <c r="Y248" s="657"/>
      <c r="Z248" s="657"/>
      <c r="AA248" s="657"/>
      <c r="AB248" s="657"/>
      <c r="AC248" s="657"/>
      <c r="AD248" s="657"/>
      <c r="AE248" s="657"/>
      <c r="AF248" s="657"/>
      <c r="AG248" s="657"/>
      <c r="AH248" s="657"/>
      <c r="AI248" s="301"/>
      <c r="AJ248" s="3"/>
      <c r="AK248" s="1092"/>
      <c r="AL248" s="1092"/>
      <c r="AM248" s="1092"/>
      <c r="AN248" s="1092"/>
      <c r="AO248" s="1092"/>
      <c r="AP248" s="1092"/>
      <c r="AQ248" s="710"/>
      <c r="AR248" s="710"/>
      <c r="AS248" s="710"/>
      <c r="AT248" s="710"/>
      <c r="AU248" s="710"/>
      <c r="AV248" s="710"/>
      <c r="AW248" s="710"/>
      <c r="AX248" s="710"/>
      <c r="AY248" s="710"/>
      <c r="AZ248" s="910"/>
      <c r="BA248" s="102"/>
      <c r="BB248" s="2206"/>
      <c r="BC248" s="2206"/>
      <c r="BD248" s="2206"/>
      <c r="BE248" s="2206"/>
      <c r="BF248" s="2206"/>
      <c r="BG248" s="2206"/>
      <c r="BH248" s="2206"/>
      <c r="BI248" s="2206"/>
      <c r="BJ248" s="2206"/>
      <c r="BK248" s="2206"/>
      <c r="BL248" s="2206"/>
      <c r="BM248" s="2206"/>
      <c r="BN248" s="2206"/>
      <c r="BO248" s="2206"/>
      <c r="BP248" s="910"/>
      <c r="BQ248" s="910"/>
      <c r="BR248" s="102"/>
      <c r="BS248" s="2214"/>
      <c r="BT248" s="2214"/>
      <c r="BU248" s="2214"/>
      <c r="BV248" s="2214"/>
      <c r="BW248" s="2214"/>
      <c r="BX248" s="2214"/>
      <c r="BY248" s="2214"/>
      <c r="BZ248" s="2215"/>
      <c r="CA248" s="2230"/>
      <c r="CB248" s="2214"/>
      <c r="CC248" s="2214"/>
      <c r="CD248" s="2214"/>
      <c r="CE248" s="2214"/>
      <c r="CF248" s="2214"/>
      <c r="CG248" s="2214"/>
      <c r="CH248" s="2215"/>
      <c r="CI248" s="2230"/>
      <c r="CJ248" s="2214"/>
      <c r="CK248" s="2214"/>
      <c r="CL248" s="2214"/>
      <c r="CM248" s="2214"/>
      <c r="CN248" s="2214"/>
      <c r="CO248" s="2214"/>
      <c r="CP248" s="2215"/>
      <c r="CQ248" s="2230"/>
      <c r="CR248" s="2214"/>
      <c r="CS248" s="2214"/>
      <c r="CT248" s="2214"/>
      <c r="CU248" s="2214"/>
      <c r="CV248" s="2214"/>
      <c r="CW248" s="2214"/>
      <c r="CX248" s="2215"/>
      <c r="CY248" s="2230"/>
      <c r="CZ248" s="2214"/>
      <c r="DA248" s="2214"/>
      <c r="DB248" s="2214"/>
      <c r="DC248" s="2214"/>
      <c r="DD248" s="2214"/>
      <c r="DE248" s="2214"/>
      <c r="DF248" s="2214"/>
      <c r="DG248" s="100"/>
      <c r="DH248" s="976"/>
      <c r="DI248" s="910"/>
      <c r="DJ248" s="910"/>
      <c r="DK248" s="910"/>
      <c r="DL248" s="910"/>
      <c r="DM248" s="910"/>
      <c r="DN248" s="910"/>
      <c r="DO248" s="910"/>
      <c r="DP248" s="910"/>
      <c r="DQ248" s="910"/>
      <c r="DR248" s="910"/>
      <c r="DS248" s="910"/>
      <c r="DT248" s="910"/>
      <c r="DU248" s="910"/>
      <c r="DV248" s="910"/>
      <c r="DW248" s="910"/>
      <c r="DX248" s="910"/>
      <c r="DY248" s="910"/>
      <c r="DZ248" s="910"/>
      <c r="EA248" s="910"/>
      <c r="EB248" s="910"/>
      <c r="EC248" s="910"/>
      <c r="ED248" s="910"/>
      <c r="EE248" s="910"/>
      <c r="EF248" s="910"/>
      <c r="EG248" s="910"/>
      <c r="EH248" s="910"/>
      <c r="EI248" s="910"/>
      <c r="EJ248" s="910"/>
      <c r="EK248" s="910"/>
      <c r="EL248" s="910"/>
      <c r="EM248" s="910"/>
      <c r="EN248" s="910"/>
      <c r="EO248" s="910"/>
      <c r="EP248" s="910"/>
      <c r="EQ248" s="910"/>
      <c r="ER248" s="910"/>
      <c r="ES248" s="910"/>
      <c r="ET248" s="910"/>
      <c r="EU248" s="910"/>
      <c r="EV248" s="910"/>
      <c r="EW248" s="910"/>
      <c r="EX248" s="910"/>
      <c r="EY248" s="910"/>
      <c r="EZ248" s="910"/>
      <c r="FA248" s="910"/>
      <c r="FB248" s="910"/>
      <c r="FC248" s="910"/>
      <c r="FD248" s="910"/>
      <c r="FE248" s="910"/>
      <c r="FF248" s="910"/>
      <c r="FG248" s="910"/>
      <c r="FH248" s="910"/>
      <c r="FI248" s="910"/>
      <c r="FJ248" s="910"/>
      <c r="FK248" s="910"/>
    </row>
    <row r="249" spans="1:167" ht="9" customHeight="1" thickTop="1">
      <c r="A249" s="910"/>
      <c r="B249" s="910"/>
      <c r="C249" s="910"/>
      <c r="D249" s="910"/>
      <c r="E249" s="910"/>
      <c r="F249" s="910"/>
      <c r="G249" s="910"/>
      <c r="H249" s="910"/>
      <c r="I249" s="910"/>
      <c r="J249" s="3"/>
      <c r="K249" s="3"/>
      <c r="L249" s="93"/>
      <c r="M249" s="2179" t="s">
        <v>6142</v>
      </c>
      <c r="N249" s="2179"/>
      <c r="O249" s="2179"/>
      <c r="P249" s="2179"/>
      <c r="Q249" s="2179"/>
      <c r="R249" s="2179"/>
      <c r="S249" s="592"/>
      <c r="T249" s="1117">
        <v>1</v>
      </c>
      <c r="U249" s="1117">
        <f>T249+1</f>
        <v>2</v>
      </c>
      <c r="V249" s="1117">
        <f>U249+1</f>
        <v>3</v>
      </c>
      <c r="W249" s="1117">
        <f>V249+1</f>
        <v>4</v>
      </c>
      <c r="X249" s="1117">
        <f>W249+1</f>
        <v>5</v>
      </c>
      <c r="Y249" s="1117" t="s">
        <v>3816</v>
      </c>
      <c r="Z249" s="1117">
        <f>X249+1</f>
        <v>6</v>
      </c>
      <c r="AA249" s="1117">
        <f>Z249+1</f>
        <v>7</v>
      </c>
      <c r="AB249" s="1117">
        <f>AA249+1</f>
        <v>8</v>
      </c>
      <c r="AC249" s="1117">
        <f>AB249+1</f>
        <v>9</v>
      </c>
      <c r="AD249" s="1117">
        <f>AC249+1</f>
        <v>10</v>
      </c>
      <c r="AE249" s="1117" t="s">
        <v>3816</v>
      </c>
      <c r="AF249" s="1117">
        <f>AD249+1</f>
        <v>11</v>
      </c>
      <c r="AG249" s="1117">
        <f>AF249+1</f>
        <v>12</v>
      </c>
      <c r="AH249" s="1117">
        <f>AG249+1</f>
        <v>13</v>
      </c>
      <c r="AI249" s="1117">
        <f>AH249+1</f>
        <v>14</v>
      </c>
      <c r="AJ249" s="1117">
        <f>AI249+1</f>
        <v>15</v>
      </c>
      <c r="AK249" s="1117" t="s">
        <v>3816</v>
      </c>
      <c r="AL249" s="1117">
        <f>AJ249+1</f>
        <v>16</v>
      </c>
      <c r="AM249" s="1117">
        <f>AL249+1</f>
        <v>17</v>
      </c>
      <c r="AN249" s="1117">
        <f>AM249+1</f>
        <v>18</v>
      </c>
      <c r="AO249" s="1117">
        <f>AN249+1</f>
        <v>19</v>
      </c>
      <c r="AP249" s="1117">
        <f>AO249+1</f>
        <v>20</v>
      </c>
      <c r="AQ249" s="1117" t="s">
        <v>3816</v>
      </c>
      <c r="AR249" s="1117">
        <f>AP249+1</f>
        <v>21</v>
      </c>
      <c r="AS249" s="1117">
        <f>AR249+1</f>
        <v>22</v>
      </c>
      <c r="AT249" s="1117">
        <f>AS249+1</f>
        <v>23</v>
      </c>
      <c r="AU249" s="1117">
        <f>AT249+1</f>
        <v>24</v>
      </c>
      <c r="AV249" s="1117">
        <f>AU249+1</f>
        <v>25</v>
      </c>
      <c r="AW249" s="1117"/>
      <c r="AX249" s="297"/>
      <c r="AY249" s="1116"/>
      <c r="AZ249" s="910"/>
      <c r="BA249" s="102"/>
      <c r="BB249" s="2206" t="s">
        <v>4096</v>
      </c>
      <c r="BC249" s="2206"/>
      <c r="BD249" s="2206"/>
      <c r="BE249" s="2206"/>
      <c r="BF249" s="2206"/>
      <c r="BG249" s="2206"/>
      <c r="BH249" s="2206"/>
      <c r="BI249" s="2206"/>
      <c r="BJ249" s="2206"/>
      <c r="BK249" s="2206"/>
      <c r="BL249" s="2206"/>
      <c r="BM249" s="2206"/>
      <c r="BN249" s="2206"/>
      <c r="BO249" s="2206"/>
      <c r="BP249" s="910"/>
      <c r="BQ249" s="910"/>
      <c r="BR249" s="102"/>
      <c r="BS249" s="2219" t="str">
        <f>IF(CA249&lt;&gt;"",IF(AND(INDEX(WeaponTable,MATCH(Weapons!BC$11,WeaponList,0),5)&lt;&gt;"heavy",Feats!$M$361&gt;0),2,""),"")</f>
        <v/>
      </c>
      <c r="BT249" s="2219"/>
      <c r="BU249" s="2219"/>
      <c r="BV249" s="2219"/>
      <c r="BW249" s="2219"/>
      <c r="BX249" s="2219"/>
      <c r="BY249" s="2219"/>
      <c r="BZ249" s="2220"/>
      <c r="CA249" s="2225" t="str">
        <f>IF(AND(AQ217="Ranged",J217&lt;&gt;""),IF(Feats!$M$233&gt;0,1,0),"")</f>
        <v/>
      </c>
      <c r="CB249" s="2219"/>
      <c r="CC249" s="2219"/>
      <c r="CD249" s="2219"/>
      <c r="CE249" s="2219"/>
      <c r="CF249" s="2219"/>
      <c r="CG249" s="2219"/>
      <c r="CH249" s="2220"/>
      <c r="CI249" s="2219" t="str">
        <f>IF(AND(AQ217="Ranged",J219&lt;&gt;""),IF(OR(Weapons!BC$27="Accurate",COUNTIF(Weapons!BC$56:BC$60,"Rangefinder")&gt;0),0,IF(Feats!$M$107&gt;0,0,-2)),"")</f>
        <v/>
      </c>
      <c r="CJ249" s="2219"/>
      <c r="CK249" s="2219"/>
      <c r="CL249" s="2219"/>
      <c r="CM249" s="2219"/>
      <c r="CN249" s="2219"/>
      <c r="CO249" s="2219"/>
      <c r="CP249" s="2220"/>
      <c r="CQ249" s="2225" t="str">
        <f>IF(AND(AQ217="Ranged",J219&lt;&gt;""),IF(Feats!$M$107&gt;0,-2,-5),"")</f>
        <v/>
      </c>
      <c r="CR249" s="2219"/>
      <c r="CS249" s="2219"/>
      <c r="CT249" s="2219"/>
      <c r="CU249" s="2219"/>
      <c r="CV249" s="2219"/>
      <c r="CW249" s="2219"/>
      <c r="CX249" s="2220"/>
      <c r="CY249" s="2231" t="str">
        <f>IF(AND(AQ217="Ranged",J219&lt;&gt;""),IF(Weapons!BC$27="Inaccurate","N/A",IF(Feats!$M$107&gt;0,-5,-10)),"")</f>
        <v/>
      </c>
      <c r="CZ249" s="2232"/>
      <c r="DA249" s="2232"/>
      <c r="DB249" s="2232"/>
      <c r="DC249" s="2232"/>
      <c r="DD249" s="2232"/>
      <c r="DE249" s="2232"/>
      <c r="DF249" s="2232"/>
      <c r="DG249" s="100"/>
      <c r="DH249" s="976"/>
      <c r="DI249" s="910"/>
      <c r="DJ249" s="910"/>
      <c r="DK249" s="910"/>
      <c r="DL249" s="910"/>
      <c r="DM249" s="910"/>
      <c r="DN249" s="910"/>
      <c r="DO249" s="910"/>
      <c r="DP249" s="910"/>
      <c r="DQ249" s="910"/>
      <c r="DR249" s="910"/>
      <c r="DS249" s="910"/>
      <c r="DT249" s="910"/>
      <c r="DU249" s="910"/>
      <c r="DV249" s="910"/>
      <c r="DW249" s="910"/>
      <c r="DX249" s="910"/>
      <c r="DY249" s="910"/>
      <c r="DZ249" s="910"/>
      <c r="EA249" s="910"/>
      <c r="EB249" s="910"/>
      <c r="EC249" s="910"/>
      <c r="ED249" s="910"/>
      <c r="EE249" s="910"/>
      <c r="EF249" s="910"/>
      <c r="EG249" s="910"/>
      <c r="EH249" s="910"/>
      <c r="EI249" s="910"/>
      <c r="EJ249" s="910"/>
      <c r="EK249" s="910"/>
      <c r="EL249" s="910"/>
      <c r="EM249" s="910"/>
      <c r="EN249" s="910"/>
      <c r="EO249" s="910"/>
      <c r="EP249" s="910"/>
      <c r="EQ249" s="910"/>
      <c r="ER249" s="910"/>
      <c r="ES249" s="910"/>
      <c r="ET249" s="910"/>
      <c r="EU249" s="910"/>
      <c r="EV249" s="910"/>
      <c r="EW249" s="910"/>
      <c r="EX249" s="910"/>
      <c r="EY249" s="910"/>
      <c r="EZ249" s="910"/>
      <c r="FA249" s="910"/>
      <c r="FB249" s="910"/>
      <c r="FC249" s="910"/>
      <c r="FD249" s="910"/>
      <c r="FE249" s="910"/>
      <c r="FF249" s="910"/>
      <c r="FG249" s="910"/>
      <c r="FH249" s="910"/>
      <c r="FI249" s="910"/>
      <c r="FJ249" s="910"/>
      <c r="FK249" s="910"/>
    </row>
    <row r="250" spans="1:167" ht="9" customHeight="1">
      <c r="A250" s="910"/>
      <c r="B250" s="910"/>
      <c r="C250" s="910"/>
      <c r="D250" s="910"/>
      <c r="E250" s="910"/>
      <c r="F250" s="910"/>
      <c r="G250" s="910"/>
      <c r="H250" s="910"/>
      <c r="I250" s="910"/>
      <c r="J250" s="105"/>
      <c r="K250" s="913"/>
      <c r="L250" s="102"/>
      <c r="M250" s="2180"/>
      <c r="N250" s="2180"/>
      <c r="O250" s="2180"/>
      <c r="P250" s="2180"/>
      <c r="Q250" s="2180"/>
      <c r="R250" s="2180"/>
      <c r="S250" s="3"/>
      <c r="T250" s="657"/>
      <c r="U250" s="657"/>
      <c r="V250" s="1105"/>
      <c r="W250" s="1105"/>
      <c r="X250" s="1105"/>
      <c r="Y250" s="1105"/>
      <c r="Z250" s="712"/>
      <c r="AA250" s="712"/>
      <c r="AB250" s="595"/>
      <c r="AC250" s="595"/>
      <c r="AD250" s="595"/>
      <c r="AE250" s="595"/>
      <c r="AF250" s="595"/>
      <c r="AG250" s="595"/>
      <c r="AH250" s="595"/>
      <c r="AI250" s="595"/>
      <c r="AJ250" s="595"/>
      <c r="AK250" s="595"/>
      <c r="AL250" s="595"/>
      <c r="AM250" s="595"/>
      <c r="AN250" s="595"/>
      <c r="AO250" s="595"/>
      <c r="AP250" s="595"/>
      <c r="AQ250" s="595"/>
      <c r="AR250" s="595"/>
      <c r="AS250" s="595"/>
      <c r="AT250" s="595"/>
      <c r="AU250" s="595"/>
      <c r="AV250" s="595"/>
      <c r="AW250" s="595"/>
      <c r="AX250" s="300"/>
      <c r="AY250" s="595"/>
      <c r="AZ250" s="910"/>
      <c r="BA250" s="102"/>
      <c r="BB250" s="2206"/>
      <c r="BC250" s="2206"/>
      <c r="BD250" s="2206"/>
      <c r="BE250" s="2206"/>
      <c r="BF250" s="2206"/>
      <c r="BG250" s="2206"/>
      <c r="BH250" s="2206"/>
      <c r="BI250" s="2206"/>
      <c r="BJ250" s="2206"/>
      <c r="BK250" s="2206"/>
      <c r="BL250" s="2206"/>
      <c r="BM250" s="2206"/>
      <c r="BN250" s="2206"/>
      <c r="BO250" s="2206"/>
      <c r="BP250" s="910"/>
      <c r="BQ250" s="910"/>
      <c r="BR250" s="102"/>
      <c r="BS250" s="2221"/>
      <c r="BT250" s="2221"/>
      <c r="BU250" s="2221"/>
      <c r="BV250" s="2221"/>
      <c r="BW250" s="2221"/>
      <c r="BX250" s="2221"/>
      <c r="BY250" s="2221"/>
      <c r="BZ250" s="2222"/>
      <c r="CA250" s="2228"/>
      <c r="CB250" s="2221"/>
      <c r="CC250" s="2221"/>
      <c r="CD250" s="2221"/>
      <c r="CE250" s="2221"/>
      <c r="CF250" s="2221"/>
      <c r="CG250" s="2221"/>
      <c r="CH250" s="2222"/>
      <c r="CI250" s="2221"/>
      <c r="CJ250" s="2221"/>
      <c r="CK250" s="2221"/>
      <c r="CL250" s="2221"/>
      <c r="CM250" s="2221"/>
      <c r="CN250" s="2221"/>
      <c r="CO250" s="2221"/>
      <c r="CP250" s="2222"/>
      <c r="CQ250" s="2228"/>
      <c r="CR250" s="2221"/>
      <c r="CS250" s="2221"/>
      <c r="CT250" s="2221"/>
      <c r="CU250" s="2221"/>
      <c r="CV250" s="2221"/>
      <c r="CW250" s="2221"/>
      <c r="CX250" s="2222"/>
      <c r="CY250" s="2233"/>
      <c r="CZ250" s="2234"/>
      <c r="DA250" s="2234"/>
      <c r="DB250" s="2234"/>
      <c r="DC250" s="2234"/>
      <c r="DD250" s="2234"/>
      <c r="DE250" s="2234"/>
      <c r="DF250" s="2234"/>
      <c r="DG250" s="100"/>
      <c r="DH250" s="976"/>
      <c r="DI250" s="910"/>
      <c r="DJ250" s="910"/>
      <c r="DK250" s="910"/>
      <c r="DL250" s="910"/>
      <c r="DM250" s="910"/>
      <c r="DN250" s="910"/>
      <c r="DO250" s="910"/>
      <c r="DP250" s="910"/>
      <c r="DQ250" s="910"/>
      <c r="DR250" s="910"/>
      <c r="DS250" s="910"/>
      <c r="DT250" s="910"/>
      <c r="DU250" s="910"/>
      <c r="DV250" s="910"/>
      <c r="DW250" s="910"/>
      <c r="DX250" s="910"/>
      <c r="DY250" s="910"/>
      <c r="DZ250" s="910"/>
      <c r="EA250" s="910"/>
      <c r="EB250" s="910"/>
      <c r="EC250" s="910"/>
      <c r="ED250" s="910"/>
      <c r="EE250" s="910"/>
      <c r="EF250" s="910"/>
      <c r="EG250" s="910"/>
      <c r="EH250" s="910"/>
      <c r="EI250" s="910"/>
      <c r="EJ250" s="910"/>
      <c r="EK250" s="910"/>
      <c r="EL250" s="910"/>
      <c r="EM250" s="910"/>
      <c r="EN250" s="910"/>
      <c r="EO250" s="910"/>
      <c r="EP250" s="910"/>
      <c r="EQ250" s="910"/>
      <c r="ER250" s="910"/>
      <c r="ES250" s="910"/>
      <c r="ET250" s="910"/>
      <c r="EU250" s="910"/>
      <c r="EV250" s="910"/>
      <c r="EW250" s="910"/>
      <c r="EX250" s="910"/>
      <c r="EY250" s="910"/>
      <c r="EZ250" s="910"/>
      <c r="FA250" s="910"/>
      <c r="FB250" s="910"/>
      <c r="FC250" s="910"/>
      <c r="FD250" s="910"/>
      <c r="FE250" s="910"/>
      <c r="FF250" s="910"/>
      <c r="FG250" s="910"/>
      <c r="FH250" s="910"/>
      <c r="FI250" s="910"/>
      <c r="FJ250" s="910"/>
      <c r="FK250" s="910"/>
    </row>
    <row r="251" spans="1:167" ht="9" customHeight="1">
      <c r="A251" s="910"/>
      <c r="B251" s="910"/>
      <c r="C251" s="910"/>
      <c r="D251" s="910"/>
      <c r="E251" s="910"/>
      <c r="F251" s="910"/>
      <c r="G251" s="910"/>
      <c r="H251" s="910"/>
      <c r="I251" s="910"/>
      <c r="J251" s="331"/>
      <c r="K251" s="913"/>
      <c r="L251" s="102"/>
      <c r="M251" s="105"/>
      <c r="N251" s="105"/>
      <c r="O251" s="105"/>
      <c r="P251" s="105"/>
      <c r="Q251" s="657"/>
      <c r="R251" s="657"/>
      <c r="S251" s="3"/>
      <c r="T251" s="1105"/>
      <c r="U251" s="657"/>
      <c r="V251" s="657"/>
      <c r="W251" s="657"/>
      <c r="X251" s="657"/>
      <c r="Y251" s="657"/>
      <c r="Z251" s="657"/>
      <c r="AA251" s="657"/>
      <c r="AB251" s="657"/>
      <c r="AC251" s="657"/>
      <c r="AD251" s="657"/>
      <c r="AE251" s="657"/>
      <c r="AF251" s="657"/>
      <c r="AG251" s="657"/>
      <c r="AH251" s="657"/>
      <c r="AI251" s="657"/>
      <c r="AJ251" s="657"/>
      <c r="AK251" s="657"/>
      <c r="AL251" s="657"/>
      <c r="AM251" s="657"/>
      <c r="AN251" s="657"/>
      <c r="AO251" s="596"/>
      <c r="AP251" s="3"/>
      <c r="AQ251" s="3"/>
      <c r="AR251" s="3"/>
      <c r="AS251" s="3"/>
      <c r="AT251" s="3"/>
      <c r="AU251" s="3"/>
      <c r="AV251" s="3"/>
      <c r="AW251" s="3"/>
      <c r="AX251" s="103"/>
      <c r="AY251" s="1104"/>
      <c r="AZ251" s="910"/>
      <c r="BA251" s="102"/>
      <c r="BB251" s="2206"/>
      <c r="BC251" s="2206"/>
      <c r="BD251" s="2206"/>
      <c r="BE251" s="2206"/>
      <c r="BF251" s="2206"/>
      <c r="BG251" s="2206"/>
      <c r="BH251" s="2206"/>
      <c r="BI251" s="2206"/>
      <c r="BJ251" s="2206"/>
      <c r="BK251" s="2206"/>
      <c r="BL251" s="2206"/>
      <c r="BM251" s="2206"/>
      <c r="BN251" s="2206"/>
      <c r="BO251" s="2206"/>
      <c r="BP251" s="910"/>
      <c r="BQ251" s="910"/>
      <c r="BR251" s="102"/>
      <c r="BS251" s="2198"/>
      <c r="BT251" s="2198"/>
      <c r="BU251" s="2198"/>
      <c r="BV251" s="2198"/>
      <c r="BW251" s="2198"/>
      <c r="BX251" s="2198"/>
      <c r="BY251" s="2198"/>
      <c r="BZ251" s="2199"/>
      <c r="CA251" s="2197"/>
      <c r="CB251" s="2198"/>
      <c r="CC251" s="2198"/>
      <c r="CD251" s="2198"/>
      <c r="CE251" s="2198"/>
      <c r="CF251" s="2198"/>
      <c r="CG251" s="2198"/>
      <c r="CH251" s="2199"/>
      <c r="CI251" s="2198"/>
      <c r="CJ251" s="2198"/>
      <c r="CK251" s="2198"/>
      <c r="CL251" s="2198"/>
      <c r="CM251" s="2198"/>
      <c r="CN251" s="2198"/>
      <c r="CO251" s="2198"/>
      <c r="CP251" s="2199"/>
      <c r="CQ251" s="2197"/>
      <c r="CR251" s="2198"/>
      <c r="CS251" s="2198"/>
      <c r="CT251" s="2198"/>
      <c r="CU251" s="2198"/>
      <c r="CV251" s="2198"/>
      <c r="CW251" s="2198"/>
      <c r="CX251" s="2199"/>
      <c r="CY251" s="2235"/>
      <c r="CZ251" s="2236"/>
      <c r="DA251" s="2236"/>
      <c r="DB251" s="2236"/>
      <c r="DC251" s="2236"/>
      <c r="DD251" s="2236"/>
      <c r="DE251" s="2236"/>
      <c r="DF251" s="2236"/>
      <c r="DG251" s="100"/>
      <c r="DH251" s="976"/>
      <c r="DI251" s="910"/>
      <c r="DJ251" s="910"/>
      <c r="DK251" s="910"/>
      <c r="DL251" s="910"/>
      <c r="DM251" s="910"/>
      <c r="DN251" s="910"/>
      <c r="DO251" s="910"/>
      <c r="DP251" s="910"/>
      <c r="DQ251" s="910"/>
      <c r="DR251" s="910"/>
      <c r="DS251" s="910"/>
      <c r="DT251" s="910"/>
      <c r="DU251" s="910"/>
      <c r="DV251" s="910"/>
      <c r="DW251" s="910"/>
      <c r="DX251" s="910"/>
      <c r="DY251" s="910"/>
      <c r="DZ251" s="910"/>
      <c r="EA251" s="910"/>
      <c r="EB251" s="910"/>
      <c r="EC251" s="910"/>
      <c r="ED251" s="910"/>
      <c r="EE251" s="910"/>
      <c r="EF251" s="910"/>
      <c r="EG251" s="910"/>
      <c r="EH251" s="910"/>
      <c r="EI251" s="910"/>
      <c r="EJ251" s="910"/>
      <c r="EK251" s="910"/>
      <c r="EL251" s="910"/>
      <c r="EM251" s="910"/>
      <c r="EN251" s="910"/>
      <c r="EO251" s="910"/>
      <c r="EP251" s="910"/>
      <c r="EQ251" s="910"/>
      <c r="ER251" s="910"/>
      <c r="ES251" s="910"/>
      <c r="ET251" s="910"/>
      <c r="EU251" s="910"/>
      <c r="EV251" s="910"/>
      <c r="EW251" s="910"/>
      <c r="EX251" s="910"/>
      <c r="EY251" s="910"/>
      <c r="EZ251" s="910"/>
      <c r="FA251" s="910"/>
      <c r="FB251" s="910"/>
      <c r="FC251" s="910"/>
      <c r="FD251" s="910"/>
      <c r="FE251" s="910"/>
      <c r="FF251" s="910"/>
      <c r="FG251" s="910"/>
      <c r="FH251" s="910"/>
      <c r="FI251" s="910"/>
      <c r="FJ251" s="910"/>
      <c r="FK251" s="910"/>
    </row>
    <row r="252" spans="1:167" ht="9" customHeight="1">
      <c r="A252" s="910"/>
      <c r="B252" s="910"/>
      <c r="C252" s="910"/>
      <c r="D252" s="910"/>
      <c r="E252" s="910"/>
      <c r="F252" s="910"/>
      <c r="G252" s="910"/>
      <c r="H252" s="910"/>
      <c r="I252" s="910"/>
      <c r="J252" s="331"/>
      <c r="K252" s="105"/>
      <c r="L252" s="102"/>
      <c r="M252" s="105"/>
      <c r="N252" s="105"/>
      <c r="O252" s="105"/>
      <c r="P252" s="105"/>
      <c r="Q252" s="657"/>
      <c r="R252" s="657"/>
      <c r="S252" s="3"/>
      <c r="T252" s="1105"/>
      <c r="U252" s="657"/>
      <c r="V252" s="657"/>
      <c r="W252" s="657"/>
      <c r="X252" s="657"/>
      <c r="Y252" s="657"/>
      <c r="Z252" s="657"/>
      <c r="AA252" s="657"/>
      <c r="AB252" s="657"/>
      <c r="AC252" s="657"/>
      <c r="AD252" s="657"/>
      <c r="AE252" s="657"/>
      <c r="AF252" s="657"/>
      <c r="AG252" s="657"/>
      <c r="AH252" s="657"/>
      <c r="AI252" s="657"/>
      <c r="AJ252" s="657"/>
      <c r="AK252" s="657"/>
      <c r="AL252" s="657"/>
      <c r="AM252" s="657"/>
      <c r="AN252" s="657"/>
      <c r="AO252" s="596"/>
      <c r="AP252" s="3"/>
      <c r="AQ252" s="3"/>
      <c r="AR252" s="3"/>
      <c r="AS252" s="3"/>
      <c r="AT252" s="3"/>
      <c r="AU252" s="3"/>
      <c r="AV252" s="3"/>
      <c r="AW252" s="3"/>
      <c r="AX252" s="300"/>
      <c r="AY252" s="1104"/>
      <c r="AZ252" s="910"/>
      <c r="BA252" s="102"/>
      <c r="BB252" s="2206" t="s">
        <v>3732</v>
      </c>
      <c r="BC252" s="2206"/>
      <c r="BD252" s="2206"/>
      <c r="BE252" s="2206"/>
      <c r="BF252" s="2206"/>
      <c r="BG252" s="2206"/>
      <c r="BH252" s="2206"/>
      <c r="BI252" s="2206"/>
      <c r="BJ252" s="2206"/>
      <c r="BK252" s="2206"/>
      <c r="BL252" s="2206"/>
      <c r="BM252" s="2206"/>
      <c r="BN252" s="2206"/>
      <c r="BO252" s="2206"/>
      <c r="BP252" s="910"/>
      <c r="BQ252" s="910"/>
      <c r="BR252" s="102"/>
      <c r="BS252" s="2210" t="str">
        <f>IF(CA252&lt;&gt;"",IF(AND(INDEX(WeaponTable,MATCH(Weapons!BC$11,WeaponList,0),5)&lt;&gt;"heavy",Feats!$M$361&gt;0),"+1d"&amp;Weapons!BC$79&amp;"+1",""),"")</f>
        <v/>
      </c>
      <c r="BT252" s="2210"/>
      <c r="BU252" s="2210"/>
      <c r="BV252" s="2210"/>
      <c r="BW252" s="2210"/>
      <c r="BX252" s="2210"/>
      <c r="BY252" s="2210"/>
      <c r="BZ252" s="2211"/>
      <c r="CA252" s="2225" t="str">
        <f>IF(CA249&lt;&gt;"",IF(CA249&lt;&gt;0,CA249,""),"")</f>
        <v/>
      </c>
      <c r="CB252" s="2210"/>
      <c r="CC252" s="2210"/>
      <c r="CD252" s="2210"/>
      <c r="CE252" s="2210"/>
      <c r="CF252" s="2210"/>
      <c r="CG252" s="2210"/>
      <c r="CH252" s="2211"/>
      <c r="CI252" s="2210"/>
      <c r="CJ252" s="2210"/>
      <c r="CK252" s="2210"/>
      <c r="CL252" s="2210"/>
      <c r="CM252" s="2210"/>
      <c r="CN252" s="2210"/>
      <c r="CO252" s="2210"/>
      <c r="CP252" s="2211"/>
      <c r="CQ252" s="2229"/>
      <c r="CR252" s="2210"/>
      <c r="CS252" s="2210"/>
      <c r="CT252" s="2210"/>
      <c r="CU252" s="2210"/>
      <c r="CV252" s="2210"/>
      <c r="CW252" s="2210"/>
      <c r="CX252" s="2211"/>
      <c r="CY252" s="2229"/>
      <c r="CZ252" s="2210"/>
      <c r="DA252" s="2210"/>
      <c r="DB252" s="2210"/>
      <c r="DC252" s="2210"/>
      <c r="DD252" s="2210"/>
      <c r="DE252" s="2210"/>
      <c r="DF252" s="2210"/>
      <c r="DG252" s="100"/>
      <c r="DH252" s="976"/>
      <c r="DI252" s="910"/>
      <c r="DJ252" s="910"/>
      <c r="DK252" s="910"/>
      <c r="DL252" s="910"/>
      <c r="DM252" s="910"/>
      <c r="DN252" s="910"/>
      <c r="DO252" s="910"/>
      <c r="DP252" s="910"/>
      <c r="DQ252" s="910"/>
      <c r="DR252" s="910"/>
      <c r="DS252" s="910"/>
      <c r="DT252" s="910"/>
      <c r="DU252" s="910"/>
      <c r="DV252" s="910"/>
      <c r="DW252" s="910"/>
      <c r="DX252" s="910"/>
      <c r="DY252" s="910"/>
      <c r="DZ252" s="910"/>
      <c r="EA252" s="910"/>
      <c r="EB252" s="910"/>
      <c r="EC252" s="910"/>
      <c r="ED252" s="910"/>
      <c r="EE252" s="910"/>
      <c r="EF252" s="910"/>
      <c r="EG252" s="910"/>
      <c r="EH252" s="910"/>
      <c r="EI252" s="910"/>
      <c r="EJ252" s="910"/>
      <c r="EK252" s="910"/>
      <c r="EL252" s="910"/>
      <c r="EM252" s="910"/>
      <c r="EN252" s="910"/>
      <c r="EO252" s="910"/>
      <c r="EP252" s="910"/>
      <c r="EQ252" s="910"/>
      <c r="ER252" s="910"/>
      <c r="ES252" s="910"/>
      <c r="ET252" s="910"/>
      <c r="EU252" s="910"/>
      <c r="EV252" s="910"/>
      <c r="EW252" s="910"/>
      <c r="EX252" s="910"/>
      <c r="EY252" s="910"/>
      <c r="EZ252" s="910"/>
      <c r="FA252" s="910"/>
      <c r="FB252" s="910"/>
      <c r="FC252" s="910"/>
      <c r="FD252" s="910"/>
      <c r="FE252" s="910"/>
      <c r="FF252" s="910"/>
      <c r="FG252" s="910"/>
      <c r="FH252" s="910"/>
      <c r="FI252" s="910"/>
      <c r="FJ252" s="910"/>
      <c r="FK252" s="910"/>
    </row>
    <row r="253" spans="1:167" ht="9" customHeight="1" thickBot="1">
      <c r="A253" s="910"/>
      <c r="B253" s="910"/>
      <c r="C253" s="910"/>
      <c r="D253" s="910"/>
      <c r="E253" s="910"/>
      <c r="F253" s="910"/>
      <c r="G253" s="910"/>
      <c r="H253" s="910"/>
      <c r="I253" s="910"/>
      <c r="J253" s="105"/>
      <c r="K253" s="105"/>
      <c r="L253" s="102"/>
      <c r="M253" s="3"/>
      <c r="N253" s="3"/>
      <c r="O253" s="3"/>
      <c r="P253" s="3"/>
      <c r="Q253" s="3"/>
      <c r="R253" s="105"/>
      <c r="S253" s="3"/>
      <c r="T253" s="1105"/>
      <c r="U253" s="657"/>
      <c r="V253" s="657"/>
      <c r="W253" s="657"/>
      <c r="X253" s="657"/>
      <c r="Y253" s="657"/>
      <c r="Z253" s="657"/>
      <c r="AA253" s="657"/>
      <c r="AB253" s="657"/>
      <c r="AC253" s="657"/>
      <c r="AD253" s="657"/>
      <c r="AE253" s="657"/>
      <c r="AF253" s="657"/>
      <c r="AG253" s="657"/>
      <c r="AH253" s="657"/>
      <c r="AI253" s="657"/>
      <c r="AJ253" s="657"/>
      <c r="AK253" s="657"/>
      <c r="AL253" s="657"/>
      <c r="AM253" s="657"/>
      <c r="AN253" s="657"/>
      <c r="AO253" s="596"/>
      <c r="AP253" s="3"/>
      <c r="AQ253" s="3"/>
      <c r="AR253" s="3"/>
      <c r="AS253" s="3"/>
      <c r="AT253" s="3"/>
      <c r="AU253" s="3"/>
      <c r="AV253" s="3"/>
      <c r="AW253" s="1118"/>
      <c r="AX253" s="103"/>
      <c r="AY253" s="710"/>
      <c r="AZ253" s="910"/>
      <c r="BA253" s="102"/>
      <c r="BB253" s="2206"/>
      <c r="BC253" s="2206"/>
      <c r="BD253" s="2206"/>
      <c r="BE253" s="2206"/>
      <c r="BF253" s="2206"/>
      <c r="BG253" s="2206"/>
      <c r="BH253" s="2206"/>
      <c r="BI253" s="2206"/>
      <c r="BJ253" s="2206"/>
      <c r="BK253" s="2206"/>
      <c r="BL253" s="2206"/>
      <c r="BM253" s="2206"/>
      <c r="BN253" s="2206"/>
      <c r="BO253" s="2206"/>
      <c r="BP253" s="910"/>
      <c r="BQ253" s="108"/>
      <c r="BR253" s="647"/>
      <c r="BS253" s="2212"/>
      <c r="BT253" s="2212"/>
      <c r="BU253" s="2212"/>
      <c r="BV253" s="2212"/>
      <c r="BW253" s="2212"/>
      <c r="BX253" s="2212"/>
      <c r="BY253" s="2212"/>
      <c r="BZ253" s="2213"/>
      <c r="CA253" s="2226"/>
      <c r="CB253" s="2212"/>
      <c r="CC253" s="2212"/>
      <c r="CD253" s="2212"/>
      <c r="CE253" s="2212"/>
      <c r="CF253" s="2212"/>
      <c r="CG253" s="2212"/>
      <c r="CH253" s="2213"/>
      <c r="CI253" s="2212"/>
      <c r="CJ253" s="2212"/>
      <c r="CK253" s="2212"/>
      <c r="CL253" s="2212"/>
      <c r="CM253" s="2212"/>
      <c r="CN253" s="2212"/>
      <c r="CO253" s="2212"/>
      <c r="CP253" s="2213"/>
      <c r="CQ253" s="2226"/>
      <c r="CR253" s="2212"/>
      <c r="CS253" s="2212"/>
      <c r="CT253" s="2212"/>
      <c r="CU253" s="2212"/>
      <c r="CV253" s="2212"/>
      <c r="CW253" s="2212"/>
      <c r="CX253" s="2213"/>
      <c r="CY253" s="2226"/>
      <c r="CZ253" s="2212"/>
      <c r="DA253" s="2212"/>
      <c r="DB253" s="2212"/>
      <c r="DC253" s="2212"/>
      <c r="DD253" s="2212"/>
      <c r="DE253" s="2212"/>
      <c r="DF253" s="2212"/>
      <c r="DG253" s="100"/>
      <c r="DH253" s="976"/>
      <c r="DI253" s="910"/>
      <c r="DJ253" s="910"/>
      <c r="DK253" s="910"/>
      <c r="DL253" s="910"/>
      <c r="DM253" s="910"/>
      <c r="DN253" s="910"/>
      <c r="DO253" s="910"/>
      <c r="DP253" s="910"/>
      <c r="DQ253" s="910"/>
      <c r="DR253" s="910"/>
      <c r="DS253" s="910"/>
      <c r="DT253" s="910"/>
      <c r="DU253" s="910"/>
      <c r="DV253" s="910"/>
      <c r="DW253" s="910"/>
      <c r="DX253" s="910"/>
      <c r="DY253" s="910"/>
      <c r="DZ253" s="910"/>
      <c r="EA253" s="910"/>
      <c r="EB253" s="910"/>
      <c r="EC253" s="910"/>
      <c r="ED253" s="910"/>
      <c r="EE253" s="910"/>
      <c r="EF253" s="910"/>
      <c r="EG253" s="910"/>
      <c r="EH253" s="910"/>
      <c r="EI253" s="910"/>
      <c r="EJ253" s="910"/>
      <c r="EK253" s="910"/>
      <c r="EL253" s="910"/>
      <c r="EM253" s="910"/>
      <c r="EN253" s="910"/>
      <c r="EO253" s="910"/>
      <c r="EP253" s="910"/>
      <c r="EQ253" s="910"/>
      <c r="ER253" s="910"/>
      <c r="ES253" s="910"/>
      <c r="ET253" s="910"/>
      <c r="EU253" s="910"/>
      <c r="EV253" s="910"/>
      <c r="EW253" s="910"/>
      <c r="EX253" s="910"/>
      <c r="EY253" s="910"/>
      <c r="EZ253" s="910"/>
      <c r="FA253" s="910"/>
      <c r="FB253" s="910"/>
      <c r="FC253" s="910"/>
      <c r="FD253" s="910"/>
      <c r="FE253" s="910"/>
      <c r="FF253" s="910"/>
      <c r="FG253" s="910"/>
      <c r="FH253" s="910"/>
      <c r="FI253" s="910"/>
      <c r="FJ253" s="910"/>
      <c r="FK253" s="910"/>
    </row>
    <row r="254" spans="1:167" ht="9" customHeight="1" thickTop="1" thickBot="1">
      <c r="A254" s="910"/>
      <c r="B254" s="910"/>
      <c r="C254" s="910"/>
      <c r="D254" s="910"/>
      <c r="E254" s="910"/>
      <c r="F254" s="910"/>
      <c r="G254" s="910"/>
      <c r="H254" s="910"/>
      <c r="I254" s="910"/>
      <c r="J254" s="910"/>
      <c r="K254" s="910"/>
      <c r="L254" s="91"/>
      <c r="M254" s="713"/>
      <c r="N254" s="713"/>
      <c r="O254" s="713"/>
      <c r="P254" s="713"/>
      <c r="Q254" s="713"/>
      <c r="R254" s="713"/>
      <c r="S254" s="713"/>
      <c r="T254" s="713"/>
      <c r="U254" s="713"/>
      <c r="V254" s="713"/>
      <c r="W254" s="713"/>
      <c r="X254" s="713"/>
      <c r="Y254" s="713"/>
      <c r="Z254" s="713"/>
      <c r="AA254" s="713"/>
      <c r="AB254" s="713"/>
      <c r="AC254" s="713"/>
      <c r="AD254" s="713"/>
      <c r="AE254" s="713"/>
      <c r="AF254" s="713"/>
      <c r="AG254" s="713"/>
      <c r="AH254" s="713"/>
      <c r="AI254" s="713"/>
      <c r="AJ254" s="713"/>
      <c r="AK254" s="713"/>
      <c r="AL254" s="713"/>
      <c r="AM254" s="713"/>
      <c r="AN254" s="713"/>
      <c r="AO254" s="713"/>
      <c r="AP254" s="713"/>
      <c r="AQ254" s="713"/>
      <c r="AR254" s="713"/>
      <c r="AS254" s="713"/>
      <c r="AT254" s="713"/>
      <c r="AU254" s="713"/>
      <c r="AV254" s="713"/>
      <c r="AW254" s="1119"/>
      <c r="AX254" s="90"/>
      <c r="AY254" s="710"/>
      <c r="AZ254" s="710"/>
      <c r="BA254" s="649"/>
      <c r="BB254" s="2240"/>
      <c r="BC254" s="2240"/>
      <c r="BD254" s="2240"/>
      <c r="BE254" s="2240"/>
      <c r="BF254" s="2240"/>
      <c r="BG254" s="2240"/>
      <c r="BH254" s="2240"/>
      <c r="BI254" s="2240"/>
      <c r="BJ254" s="2240"/>
      <c r="BK254" s="2240"/>
      <c r="BL254" s="2240"/>
      <c r="BM254" s="2240"/>
      <c r="BN254" s="2240"/>
      <c r="BO254" s="2240"/>
      <c r="BP254" s="93"/>
      <c r="BQ254" s="910"/>
      <c r="BR254" s="649"/>
      <c r="BS254" s="2223"/>
      <c r="BT254" s="2223"/>
      <c r="BU254" s="2223"/>
      <c r="BV254" s="2223"/>
      <c r="BW254" s="2223"/>
      <c r="BX254" s="2223"/>
      <c r="BY254" s="2223"/>
      <c r="BZ254" s="2224"/>
      <c r="CA254" s="2227"/>
      <c r="CB254" s="2223"/>
      <c r="CC254" s="2223"/>
      <c r="CD254" s="2223"/>
      <c r="CE254" s="2223"/>
      <c r="CF254" s="2223"/>
      <c r="CG254" s="2223"/>
      <c r="CH254" s="2224"/>
      <c r="CI254" s="2223"/>
      <c r="CJ254" s="2223"/>
      <c r="CK254" s="2223"/>
      <c r="CL254" s="2223"/>
      <c r="CM254" s="2223"/>
      <c r="CN254" s="2223"/>
      <c r="CO254" s="2223"/>
      <c r="CP254" s="2224"/>
      <c r="CQ254" s="2227"/>
      <c r="CR254" s="2223"/>
      <c r="CS254" s="2223"/>
      <c r="CT254" s="2223"/>
      <c r="CU254" s="2223"/>
      <c r="CV254" s="2223"/>
      <c r="CW254" s="2223"/>
      <c r="CX254" s="2224"/>
      <c r="CY254" s="2227"/>
      <c r="CZ254" s="2223"/>
      <c r="DA254" s="2223"/>
      <c r="DB254" s="2223"/>
      <c r="DC254" s="2223"/>
      <c r="DD254" s="2223"/>
      <c r="DE254" s="2223"/>
      <c r="DF254" s="2223"/>
      <c r="DG254" s="93"/>
      <c r="DH254" s="976"/>
      <c r="DI254" s="910"/>
      <c r="DJ254" s="910"/>
      <c r="DK254" s="910"/>
      <c r="DL254" s="910"/>
      <c r="DM254" s="910"/>
      <c r="DN254" s="910"/>
      <c r="DO254" s="910"/>
      <c r="DP254" s="910"/>
      <c r="DQ254" s="910"/>
      <c r="DR254" s="910"/>
      <c r="DS254" s="910"/>
      <c r="DT254" s="910"/>
      <c r="DU254" s="910"/>
      <c r="DV254" s="910"/>
      <c r="DW254" s="910"/>
      <c r="DX254" s="910"/>
      <c r="DY254" s="910"/>
      <c r="DZ254" s="910"/>
      <c r="EA254" s="910"/>
      <c r="EB254" s="910"/>
      <c r="EC254" s="910"/>
      <c r="ED254" s="910"/>
      <c r="EE254" s="910"/>
      <c r="EF254" s="910"/>
      <c r="EG254" s="910"/>
      <c r="EH254" s="910"/>
      <c r="EI254" s="910"/>
      <c r="EJ254" s="910"/>
      <c r="EK254" s="910"/>
      <c r="EL254" s="910"/>
      <c r="EM254" s="910"/>
      <c r="EN254" s="910"/>
      <c r="EO254" s="910"/>
      <c r="EP254" s="910"/>
      <c r="EQ254" s="910"/>
      <c r="ER254" s="910"/>
      <c r="ES254" s="910"/>
      <c r="ET254" s="910"/>
      <c r="EU254" s="910"/>
      <c r="EV254" s="910"/>
      <c r="EW254" s="910"/>
      <c r="EX254" s="910"/>
      <c r="EY254" s="910"/>
      <c r="EZ254" s="910"/>
      <c r="FA254" s="910"/>
      <c r="FB254" s="910"/>
      <c r="FC254" s="910"/>
      <c r="FD254" s="910"/>
      <c r="FE254" s="910"/>
      <c r="FF254" s="910"/>
      <c r="FG254" s="910"/>
      <c r="FH254" s="910"/>
      <c r="FI254" s="910"/>
      <c r="FJ254" s="910"/>
      <c r="FK254" s="910"/>
    </row>
    <row r="255" spans="1:167" ht="9" customHeight="1" thickTop="1">
      <c r="A255" s="910"/>
      <c r="B255" s="910"/>
      <c r="C255" s="910"/>
      <c r="D255" s="910"/>
      <c r="E255" s="910"/>
      <c r="F255" s="910"/>
      <c r="G255" s="910"/>
      <c r="H255" s="910"/>
      <c r="I255" s="910"/>
      <c r="J255" s="910"/>
      <c r="K255" s="910"/>
      <c r="L255" s="1104"/>
      <c r="M255" s="1104"/>
      <c r="N255" s="1104"/>
      <c r="O255" s="1104"/>
      <c r="P255" s="1104"/>
      <c r="Q255" s="1104"/>
      <c r="R255" s="1104"/>
      <c r="S255" s="1104"/>
      <c r="T255" s="1104"/>
      <c r="U255" s="1104"/>
      <c r="V255" s="1104"/>
      <c r="W255" s="1104"/>
      <c r="X255" s="1104"/>
      <c r="Y255" s="1104"/>
      <c r="Z255" s="1104"/>
      <c r="AA255" s="1104"/>
      <c r="AB255" s="1104"/>
      <c r="AC255" s="1104"/>
      <c r="AD255" s="1104"/>
      <c r="AE255" s="1104"/>
      <c r="AF255" s="1104"/>
      <c r="AG255" s="1104"/>
      <c r="AH255" s="1104"/>
      <c r="AI255" s="1104"/>
      <c r="AJ255" s="1104"/>
      <c r="AK255" s="1104"/>
      <c r="AL255" s="1104"/>
      <c r="AM255" s="1104"/>
      <c r="AN255" s="1104"/>
      <c r="AO255" s="1104"/>
      <c r="AP255" s="1104"/>
      <c r="AQ255" s="1104"/>
      <c r="AR255" s="1104"/>
      <c r="AS255" s="1104"/>
      <c r="AT255" s="1104"/>
      <c r="AU255" s="1104"/>
      <c r="AV255" s="1104"/>
      <c r="AW255" s="1104"/>
      <c r="AX255" s="1104"/>
      <c r="AY255" s="1104"/>
      <c r="AZ255" s="910"/>
      <c r="BA255" s="910"/>
      <c r="BB255" s="910"/>
      <c r="BC255" s="910"/>
      <c r="BD255" s="910"/>
      <c r="BE255" s="910"/>
      <c r="BF255" s="910"/>
      <c r="BG255" s="910"/>
      <c r="BH255" s="910"/>
      <c r="BI255" s="910"/>
      <c r="BJ255" s="910"/>
      <c r="BK255" s="910"/>
      <c r="BL255" s="910"/>
      <c r="BM255" s="910"/>
      <c r="BN255" s="910"/>
      <c r="BO255" s="910"/>
      <c r="BP255" s="910"/>
      <c r="BQ255" s="910"/>
      <c r="BR255" s="910"/>
      <c r="BS255" s="910"/>
      <c r="BT255" s="910"/>
      <c r="BU255" s="910"/>
      <c r="BV255" s="910"/>
      <c r="BW255" s="910"/>
      <c r="BX255" s="910"/>
      <c r="BY255" s="910"/>
      <c r="BZ255" s="910"/>
      <c r="CA255" s="910"/>
      <c r="CB255" s="910"/>
      <c r="CC255" s="910"/>
      <c r="CD255" s="910"/>
      <c r="CE255" s="910"/>
      <c r="CF255" s="910"/>
      <c r="CG255" s="910"/>
      <c r="CH255" s="910"/>
      <c r="CI255" s="910"/>
      <c r="CJ255" s="910"/>
      <c r="CK255" s="910"/>
      <c r="CL255" s="910"/>
      <c r="CM255" s="910"/>
      <c r="CN255" s="910"/>
      <c r="CO255" s="910"/>
      <c r="CP255" s="910"/>
      <c r="CQ255" s="910"/>
      <c r="CR255" s="910"/>
      <c r="CS255" s="910"/>
      <c r="CT255" s="910"/>
      <c r="CU255" s="910"/>
      <c r="CV255" s="910"/>
      <c r="CW255" s="910"/>
      <c r="CX255" s="910"/>
      <c r="CY255" s="910"/>
      <c r="CZ255" s="910"/>
      <c r="DA255" s="910"/>
      <c r="DB255" s="910"/>
      <c r="DC255" s="910"/>
      <c r="DD255" s="910"/>
      <c r="DE255" s="910"/>
      <c r="DF255" s="910"/>
      <c r="DG255" s="910"/>
      <c r="DI255" s="910"/>
      <c r="DJ255" s="910"/>
      <c r="DK255" s="910"/>
      <c r="DL255" s="910"/>
      <c r="DM255" s="910"/>
      <c r="DN255" s="910"/>
      <c r="DO255" s="910"/>
      <c r="DP255" s="910"/>
      <c r="DQ255" s="910"/>
      <c r="DR255" s="910"/>
      <c r="DS255" s="910"/>
      <c r="DT255" s="910"/>
      <c r="DU255" s="910"/>
      <c r="DV255" s="910"/>
      <c r="DW255" s="910"/>
      <c r="DX255" s="910"/>
      <c r="DY255" s="910"/>
      <c r="DZ255" s="910"/>
      <c r="EA255" s="910"/>
      <c r="EB255" s="910"/>
      <c r="EC255" s="910"/>
      <c r="ED255" s="910"/>
      <c r="EE255" s="910"/>
      <c r="EF255" s="910"/>
      <c r="EG255" s="910"/>
      <c r="EH255" s="910"/>
      <c r="EI255" s="910"/>
      <c r="EJ255" s="910"/>
      <c r="EK255" s="910"/>
      <c r="EL255" s="910"/>
      <c r="EM255" s="910"/>
      <c r="EN255" s="910"/>
      <c r="EO255" s="910"/>
      <c r="EP255" s="910"/>
      <c r="EQ255" s="910"/>
      <c r="ER255" s="910"/>
      <c r="ES255" s="910"/>
      <c r="ET255" s="910"/>
      <c r="EU255" s="910"/>
      <c r="EV255" s="910"/>
      <c r="EW255" s="910"/>
      <c r="EX255" s="910"/>
      <c r="EY255" s="910"/>
      <c r="EZ255" s="910"/>
      <c r="FA255" s="910"/>
      <c r="FB255" s="910"/>
      <c r="FC255" s="910"/>
      <c r="FD255" s="910"/>
      <c r="FE255" s="910"/>
      <c r="FF255" s="910"/>
      <c r="FG255" s="910"/>
      <c r="FH255" s="910"/>
      <c r="FI255" s="910"/>
      <c r="FJ255" s="910"/>
      <c r="FK255" s="910"/>
    </row>
  </sheetData>
  <mergeCells count="524">
    <mergeCell ref="CB1:DK4"/>
    <mergeCell ref="AG202:AN203"/>
    <mergeCell ref="AO203:AW205"/>
    <mergeCell ref="AG204:AN205"/>
    <mergeCell ref="AG244:AN245"/>
    <mergeCell ref="AO245:AW247"/>
    <mergeCell ref="AG246:AN247"/>
    <mergeCell ref="AG34:AN35"/>
    <mergeCell ref="AO35:AW37"/>
    <mergeCell ref="AG36:AN37"/>
    <mergeCell ref="AG76:AN77"/>
    <mergeCell ref="AO77:AW79"/>
    <mergeCell ref="AG78:AN79"/>
    <mergeCell ref="AG108:AL110"/>
    <mergeCell ref="AQ108:BK110"/>
    <mergeCell ref="BB78:BO80"/>
    <mergeCell ref="J93:AL95"/>
    <mergeCell ref="AQ93:BK95"/>
    <mergeCell ref="BB39:BO41"/>
    <mergeCell ref="BB42:BO44"/>
    <mergeCell ref="BB34:BO35"/>
    <mergeCell ref="J238:O239"/>
    <mergeCell ref="Q239:DF241"/>
    <mergeCell ref="H233:M234"/>
    <mergeCell ref="BB210:BO212"/>
    <mergeCell ref="BS210:BZ212"/>
    <mergeCell ref="AG234:AL236"/>
    <mergeCell ref="AQ234:BK236"/>
    <mergeCell ref="BP234:BS236"/>
    <mergeCell ref="BT234:BW236"/>
    <mergeCell ref="BT223:BW224"/>
    <mergeCell ref="BX223:CA224"/>
    <mergeCell ref="L224:AE226"/>
    <mergeCell ref="AQ225:BK227"/>
    <mergeCell ref="BP225:BS227"/>
    <mergeCell ref="BT225:BW227"/>
    <mergeCell ref="J217:Q218"/>
    <mergeCell ref="AQ217:AW218"/>
    <mergeCell ref="J219:AL221"/>
    <mergeCell ref="AQ219:BK221"/>
    <mergeCell ref="N234:AF236"/>
    <mergeCell ref="BT5:BW5"/>
    <mergeCell ref="BX5:CA5"/>
    <mergeCell ref="BT47:BW47"/>
    <mergeCell ref="BT89:BW89"/>
    <mergeCell ref="BT131:BW131"/>
    <mergeCell ref="BT173:BW173"/>
    <mergeCell ref="BT215:BW215"/>
    <mergeCell ref="CY249:DF251"/>
    <mergeCell ref="CF234:CN235"/>
    <mergeCell ref="CO234:DF236"/>
    <mergeCell ref="CY207:DF209"/>
    <mergeCell ref="BX225:CA227"/>
    <mergeCell ref="BX234:CA236"/>
    <mergeCell ref="BP217:BV218"/>
    <mergeCell ref="CF217:CM218"/>
    <mergeCell ref="BP219:BS221"/>
    <mergeCell ref="BT219:BW221"/>
    <mergeCell ref="BX219:CA221"/>
    <mergeCell ref="CF219:CN220"/>
    <mergeCell ref="CF223:CM224"/>
    <mergeCell ref="CA210:CH212"/>
    <mergeCell ref="CI210:CP212"/>
    <mergeCell ref="CQ210:CX212"/>
    <mergeCell ref="CY210:DF212"/>
    <mergeCell ref="BB252:BO254"/>
    <mergeCell ref="BS252:BZ254"/>
    <mergeCell ref="CA252:CH254"/>
    <mergeCell ref="CI252:CP254"/>
    <mergeCell ref="CQ252:CX254"/>
    <mergeCell ref="CY252:DF254"/>
    <mergeCell ref="BB249:BO251"/>
    <mergeCell ref="BS249:BZ251"/>
    <mergeCell ref="CA249:CH251"/>
    <mergeCell ref="CI249:CP251"/>
    <mergeCell ref="CQ249:CX251"/>
    <mergeCell ref="E244:I245"/>
    <mergeCell ref="BB244:BO245"/>
    <mergeCell ref="BS244:BZ245"/>
    <mergeCell ref="CA244:CH245"/>
    <mergeCell ref="CI244:CP245"/>
    <mergeCell ref="CQ244:CX245"/>
    <mergeCell ref="CY244:DF245"/>
    <mergeCell ref="J245:AB247"/>
    <mergeCell ref="BB246:BO248"/>
    <mergeCell ref="BS246:BZ248"/>
    <mergeCell ref="CA246:CH248"/>
    <mergeCell ref="CI246:CP248"/>
    <mergeCell ref="CQ246:CX248"/>
    <mergeCell ref="CY246:DF248"/>
    <mergeCell ref="D222:F237"/>
    <mergeCell ref="BT222:BW222"/>
    <mergeCell ref="BX222:CA222"/>
    <mergeCell ref="H223:K224"/>
    <mergeCell ref="AQ223:BC224"/>
    <mergeCell ref="BP223:BS224"/>
    <mergeCell ref="CF225:CN226"/>
    <mergeCell ref="CO225:DF227"/>
    <mergeCell ref="H228:K229"/>
    <mergeCell ref="Z228:AC229"/>
    <mergeCell ref="AQ228:BK230"/>
    <mergeCell ref="BP228:BS230"/>
    <mergeCell ref="BT228:BW230"/>
    <mergeCell ref="BX228:CA230"/>
    <mergeCell ref="CF228:CN229"/>
    <mergeCell ref="CO228:DF230"/>
    <mergeCell ref="L229:U231"/>
    <mergeCell ref="AD229:AL231"/>
    <mergeCell ref="AQ231:BK233"/>
    <mergeCell ref="BP231:BS233"/>
    <mergeCell ref="BT231:BW233"/>
    <mergeCell ref="BX231:CA233"/>
    <mergeCell ref="CF231:CN232"/>
    <mergeCell ref="CO231:DF233"/>
    <mergeCell ref="CI207:CP209"/>
    <mergeCell ref="CQ207:CX209"/>
    <mergeCell ref="BT216:BW216"/>
    <mergeCell ref="BX216:CA216"/>
    <mergeCell ref="CO219:DF221"/>
    <mergeCell ref="J175:Q176"/>
    <mergeCell ref="AQ175:AW176"/>
    <mergeCell ref="H186:K187"/>
    <mergeCell ref="D180:F195"/>
    <mergeCell ref="BT180:BW180"/>
    <mergeCell ref="BX180:CA180"/>
    <mergeCell ref="H181:K182"/>
    <mergeCell ref="AQ181:BC182"/>
    <mergeCell ref="BP181:BS182"/>
    <mergeCell ref="BT181:BW182"/>
    <mergeCell ref="BX181:CA182"/>
    <mergeCell ref="L182:AE184"/>
    <mergeCell ref="AQ183:BK185"/>
    <mergeCell ref="BP183:BS185"/>
    <mergeCell ref="BT183:BW185"/>
    <mergeCell ref="BX183:CA185"/>
    <mergeCell ref="BT192:BW194"/>
    <mergeCell ref="Z186:AC187"/>
    <mergeCell ref="AQ186:BK188"/>
    <mergeCell ref="BP186:BS188"/>
    <mergeCell ref="BT186:BW188"/>
    <mergeCell ref="BX186:CA188"/>
    <mergeCell ref="BX192:CA194"/>
    <mergeCell ref="J177:AL179"/>
    <mergeCell ref="BP177:BS179"/>
    <mergeCell ref="BT177:BW179"/>
    <mergeCell ref="BX177:CA179"/>
    <mergeCell ref="CF177:CN178"/>
    <mergeCell ref="L187:U189"/>
    <mergeCell ref="AD187:AL189"/>
    <mergeCell ref="AQ189:BK191"/>
    <mergeCell ref="BP189:BS191"/>
    <mergeCell ref="BT189:BW191"/>
    <mergeCell ref="BX189:CA191"/>
    <mergeCell ref="CF189:CN190"/>
    <mergeCell ref="CF181:CM182"/>
    <mergeCell ref="CF183:CN184"/>
    <mergeCell ref="CF186:CN187"/>
    <mergeCell ref="CO189:DF191"/>
    <mergeCell ref="H191:M192"/>
    <mergeCell ref="N192:AF194"/>
    <mergeCell ref="AG192:AL194"/>
    <mergeCell ref="AQ192:BK194"/>
    <mergeCell ref="BP192:BS194"/>
    <mergeCell ref="J196:O197"/>
    <mergeCell ref="Q197:DF199"/>
    <mergeCell ref="J203:AB205"/>
    <mergeCell ref="BB204:BO206"/>
    <mergeCell ref="BS204:BZ206"/>
    <mergeCell ref="CA204:CH206"/>
    <mergeCell ref="CI204:CP206"/>
    <mergeCell ref="CQ204:CX206"/>
    <mergeCell ref="CY204:DF206"/>
    <mergeCell ref="CQ202:CX203"/>
    <mergeCell ref="CY202:DF203"/>
    <mergeCell ref="BB207:BO209"/>
    <mergeCell ref="BS207:BZ209"/>
    <mergeCell ref="CA207:CH209"/>
    <mergeCell ref="E202:I203"/>
    <mergeCell ref="BB202:BO203"/>
    <mergeCell ref="BS202:BZ203"/>
    <mergeCell ref="CA202:CH203"/>
    <mergeCell ref="CI202:CP203"/>
    <mergeCell ref="CY165:DF167"/>
    <mergeCell ref="BB168:BO170"/>
    <mergeCell ref="BS168:BZ170"/>
    <mergeCell ref="CA168:CH170"/>
    <mergeCell ref="CI168:CP170"/>
    <mergeCell ref="CQ168:CX170"/>
    <mergeCell ref="CY168:DF170"/>
    <mergeCell ref="BB165:BO167"/>
    <mergeCell ref="BS165:BZ167"/>
    <mergeCell ref="CA165:CH167"/>
    <mergeCell ref="CI165:CP167"/>
    <mergeCell ref="CQ165:CX167"/>
    <mergeCell ref="BT174:BW174"/>
    <mergeCell ref="BX174:CA174"/>
    <mergeCell ref="BP175:BV176"/>
    <mergeCell ref="CO183:DF185"/>
    <mergeCell ref="CF175:CM176"/>
    <mergeCell ref="CO186:DF188"/>
    <mergeCell ref="CF192:CN193"/>
    <mergeCell ref="CO192:DF194"/>
    <mergeCell ref="CO177:DF179"/>
    <mergeCell ref="AQ177:BK179"/>
    <mergeCell ref="J154:O155"/>
    <mergeCell ref="Q155:DF157"/>
    <mergeCell ref="E160:I161"/>
    <mergeCell ref="BB160:BO161"/>
    <mergeCell ref="BS160:BZ161"/>
    <mergeCell ref="CA160:CH161"/>
    <mergeCell ref="CI160:CP161"/>
    <mergeCell ref="CQ160:CX161"/>
    <mergeCell ref="CY160:DF161"/>
    <mergeCell ref="J161:AB163"/>
    <mergeCell ref="BB162:BO164"/>
    <mergeCell ref="BS162:BZ164"/>
    <mergeCell ref="CA162:CH164"/>
    <mergeCell ref="CI162:CP164"/>
    <mergeCell ref="CQ162:CX164"/>
    <mergeCell ref="CY162:DF164"/>
    <mergeCell ref="AG160:AN161"/>
    <mergeCell ref="AO161:AW163"/>
    <mergeCell ref="AG162:AN163"/>
    <mergeCell ref="CO144:DF146"/>
    <mergeCell ref="L145:U147"/>
    <mergeCell ref="AD145:AL147"/>
    <mergeCell ref="AQ147:BK149"/>
    <mergeCell ref="BP147:BS149"/>
    <mergeCell ref="BT147:BW149"/>
    <mergeCell ref="BX147:CA149"/>
    <mergeCell ref="CF147:CN148"/>
    <mergeCell ref="CO147:DF149"/>
    <mergeCell ref="H149:M150"/>
    <mergeCell ref="N150:AF152"/>
    <mergeCell ref="AG150:AL152"/>
    <mergeCell ref="AQ150:BK152"/>
    <mergeCell ref="BP150:BS152"/>
    <mergeCell ref="BT150:BW152"/>
    <mergeCell ref="BX150:CA152"/>
    <mergeCell ref="CF150:CN151"/>
    <mergeCell ref="CO150:DF152"/>
    <mergeCell ref="CO135:DF137"/>
    <mergeCell ref="D138:F153"/>
    <mergeCell ref="BT138:BW138"/>
    <mergeCell ref="BX138:CA138"/>
    <mergeCell ref="H139:K140"/>
    <mergeCell ref="AQ139:BC140"/>
    <mergeCell ref="BP139:BS140"/>
    <mergeCell ref="BT139:BW140"/>
    <mergeCell ref="BX139:CA140"/>
    <mergeCell ref="CF139:CM140"/>
    <mergeCell ref="L140:AE142"/>
    <mergeCell ref="AQ141:BK143"/>
    <mergeCell ref="BP141:BS143"/>
    <mergeCell ref="BT141:BW143"/>
    <mergeCell ref="BX141:CA143"/>
    <mergeCell ref="CF141:CN142"/>
    <mergeCell ref="CO141:DF143"/>
    <mergeCell ref="H144:K145"/>
    <mergeCell ref="Z144:AC145"/>
    <mergeCell ref="AQ144:BK146"/>
    <mergeCell ref="BP144:BS146"/>
    <mergeCell ref="BT144:BW146"/>
    <mergeCell ref="BX144:CA146"/>
    <mergeCell ref="CF144:CN145"/>
    <mergeCell ref="CF133:CM134"/>
    <mergeCell ref="J135:AL137"/>
    <mergeCell ref="AQ135:BK137"/>
    <mergeCell ref="BP135:BS137"/>
    <mergeCell ref="BT135:BW137"/>
    <mergeCell ref="BX135:CA137"/>
    <mergeCell ref="CF135:CN136"/>
    <mergeCell ref="BT132:BW132"/>
    <mergeCell ref="BX132:CA132"/>
    <mergeCell ref="J133:Q134"/>
    <mergeCell ref="AQ133:AW134"/>
    <mergeCell ref="BP133:BV134"/>
    <mergeCell ref="CY123:DF125"/>
    <mergeCell ref="BB126:BO128"/>
    <mergeCell ref="BS126:BZ128"/>
    <mergeCell ref="CA126:CH128"/>
    <mergeCell ref="CI126:CP128"/>
    <mergeCell ref="CQ126:CX128"/>
    <mergeCell ref="CY126:DF128"/>
    <mergeCell ref="BB123:BO125"/>
    <mergeCell ref="BS123:BZ125"/>
    <mergeCell ref="CA123:CH125"/>
    <mergeCell ref="CI123:CP125"/>
    <mergeCell ref="CQ123:CX125"/>
    <mergeCell ref="E118:I119"/>
    <mergeCell ref="BB118:BO119"/>
    <mergeCell ref="BS118:BZ119"/>
    <mergeCell ref="CA118:CH119"/>
    <mergeCell ref="CI118:CP119"/>
    <mergeCell ref="CQ118:CX119"/>
    <mergeCell ref="CY118:DF119"/>
    <mergeCell ref="J119:AB121"/>
    <mergeCell ref="BB120:BO122"/>
    <mergeCell ref="BS120:BZ122"/>
    <mergeCell ref="CA120:CH122"/>
    <mergeCell ref="CI120:CP122"/>
    <mergeCell ref="CQ120:CX122"/>
    <mergeCell ref="CY120:DF122"/>
    <mergeCell ref="AG118:AN119"/>
    <mergeCell ref="AO119:AW121"/>
    <mergeCell ref="AG120:AN121"/>
    <mergeCell ref="J112:O113"/>
    <mergeCell ref="Q113:DF115"/>
    <mergeCell ref="H97:K98"/>
    <mergeCell ref="AQ97:BC98"/>
    <mergeCell ref="BP97:BS98"/>
    <mergeCell ref="BT97:BW98"/>
    <mergeCell ref="BX97:CA98"/>
    <mergeCell ref="CO99:DF101"/>
    <mergeCell ref="H102:K103"/>
    <mergeCell ref="Z102:AC103"/>
    <mergeCell ref="AQ102:BK104"/>
    <mergeCell ref="BP102:BS104"/>
    <mergeCell ref="BT102:BW104"/>
    <mergeCell ref="BX102:CA104"/>
    <mergeCell ref="CF102:CN103"/>
    <mergeCell ref="CO102:DF104"/>
    <mergeCell ref="L103:U105"/>
    <mergeCell ref="AD103:AL105"/>
    <mergeCell ref="AQ105:BK107"/>
    <mergeCell ref="H107:M108"/>
    <mergeCell ref="N108:AF110"/>
    <mergeCell ref="BP108:BS110"/>
    <mergeCell ref="BT108:BW110"/>
    <mergeCell ref="BX108:CA110"/>
    <mergeCell ref="CY84:DF86"/>
    <mergeCell ref="BT90:BW90"/>
    <mergeCell ref="BX90:CA90"/>
    <mergeCell ref="J91:Q92"/>
    <mergeCell ref="AQ91:AW92"/>
    <mergeCell ref="BP91:BV92"/>
    <mergeCell ref="CF91:CM92"/>
    <mergeCell ref="CO63:DF65"/>
    <mergeCell ref="H65:M66"/>
    <mergeCell ref="N66:AF68"/>
    <mergeCell ref="AG66:AL68"/>
    <mergeCell ref="AQ66:BK68"/>
    <mergeCell ref="BP66:BS68"/>
    <mergeCell ref="BT66:BW68"/>
    <mergeCell ref="BX66:CA68"/>
    <mergeCell ref="CF66:CN67"/>
    <mergeCell ref="CI81:CP83"/>
    <mergeCell ref="CQ81:CX83"/>
    <mergeCell ref="BB84:BO86"/>
    <mergeCell ref="BS84:BZ86"/>
    <mergeCell ref="E76:I77"/>
    <mergeCell ref="J77:AB79"/>
    <mergeCell ref="CA84:CH86"/>
    <mergeCell ref="CA78:CH80"/>
    <mergeCell ref="CO108:DF110"/>
    <mergeCell ref="CO51:DF53"/>
    <mergeCell ref="BT54:BW54"/>
    <mergeCell ref="BX54:CA54"/>
    <mergeCell ref="BB76:BO77"/>
    <mergeCell ref="BS76:BZ77"/>
    <mergeCell ref="CA76:CH77"/>
    <mergeCell ref="CI76:CP77"/>
    <mergeCell ref="CQ76:CX77"/>
    <mergeCell ref="BP105:BS107"/>
    <mergeCell ref="BT105:BW107"/>
    <mergeCell ref="BX105:CA107"/>
    <mergeCell ref="CF105:CN106"/>
    <mergeCell ref="CO105:DF107"/>
    <mergeCell ref="BB81:BO83"/>
    <mergeCell ref="BS81:BZ83"/>
    <mergeCell ref="CA81:CH83"/>
    <mergeCell ref="CI78:CP80"/>
    <mergeCell ref="CQ78:CX80"/>
    <mergeCell ref="CF55:CM56"/>
    <mergeCell ref="AQ57:BK59"/>
    <mergeCell ref="BP57:BS59"/>
    <mergeCell ref="BT57:BW59"/>
    <mergeCell ref="CF63:CN64"/>
    <mergeCell ref="BT48:BW48"/>
    <mergeCell ref="BX48:CA48"/>
    <mergeCell ref="J49:Q50"/>
    <mergeCell ref="AQ49:AW50"/>
    <mergeCell ref="BP49:BV50"/>
    <mergeCell ref="CF49:CM50"/>
    <mergeCell ref="J51:AL53"/>
    <mergeCell ref="AQ51:BK53"/>
    <mergeCell ref="BP51:BS53"/>
    <mergeCell ref="BT51:BW53"/>
    <mergeCell ref="BX51:CA53"/>
    <mergeCell ref="CF51:CN52"/>
    <mergeCell ref="CO57:DF59"/>
    <mergeCell ref="AQ60:BK62"/>
    <mergeCell ref="BP60:BS62"/>
    <mergeCell ref="BT60:BW62"/>
    <mergeCell ref="BX60:CA62"/>
    <mergeCell ref="CO66:DF68"/>
    <mergeCell ref="D54:F69"/>
    <mergeCell ref="H55:K56"/>
    <mergeCell ref="AQ55:BC56"/>
    <mergeCell ref="BP55:BS56"/>
    <mergeCell ref="BT55:BW56"/>
    <mergeCell ref="BX55:CA56"/>
    <mergeCell ref="L56:AE58"/>
    <mergeCell ref="H60:K61"/>
    <mergeCell ref="Z60:AC61"/>
    <mergeCell ref="CF60:CN61"/>
    <mergeCell ref="CO60:DF62"/>
    <mergeCell ref="L61:U63"/>
    <mergeCell ref="AD61:AL63"/>
    <mergeCell ref="AQ63:BK65"/>
    <mergeCell ref="BP63:BS65"/>
    <mergeCell ref="BT63:BW65"/>
    <mergeCell ref="BX63:CA65"/>
    <mergeCell ref="BX57:CA59"/>
    <mergeCell ref="BP93:BS95"/>
    <mergeCell ref="BT93:BW95"/>
    <mergeCell ref="BX93:CA95"/>
    <mergeCell ref="CF93:CN94"/>
    <mergeCell ref="D96:F111"/>
    <mergeCell ref="J70:O71"/>
    <mergeCell ref="Q71:DF73"/>
    <mergeCell ref="CY76:DF77"/>
    <mergeCell ref="CY78:DF80"/>
    <mergeCell ref="CY81:DF83"/>
    <mergeCell ref="CI84:CP86"/>
    <mergeCell ref="CQ84:CX86"/>
    <mergeCell ref="CO93:DF95"/>
    <mergeCell ref="BT96:BW96"/>
    <mergeCell ref="CF97:CM98"/>
    <mergeCell ref="L98:AE100"/>
    <mergeCell ref="AQ99:BK101"/>
    <mergeCell ref="BP99:BS101"/>
    <mergeCell ref="BT99:BW101"/>
    <mergeCell ref="BX99:CA101"/>
    <mergeCell ref="CF99:CN100"/>
    <mergeCell ref="BX96:CA96"/>
    <mergeCell ref="BS78:BZ80"/>
    <mergeCell ref="CF108:CN109"/>
    <mergeCell ref="BS39:BZ41"/>
    <mergeCell ref="BS42:BZ44"/>
    <mergeCell ref="BS34:BZ35"/>
    <mergeCell ref="CA42:CH44"/>
    <mergeCell ref="CA39:CH41"/>
    <mergeCell ref="CA36:CH38"/>
    <mergeCell ref="CA34:CH35"/>
    <mergeCell ref="Q29:DF31"/>
    <mergeCell ref="CQ36:CX38"/>
    <mergeCell ref="CQ39:CX41"/>
    <mergeCell ref="CQ42:CX44"/>
    <mergeCell ref="CI42:CP44"/>
    <mergeCell ref="CY42:DF44"/>
    <mergeCell ref="CY39:DF41"/>
    <mergeCell ref="CY36:DF38"/>
    <mergeCell ref="CI36:CP38"/>
    <mergeCell ref="CI39:CP41"/>
    <mergeCell ref="CY34:DF35"/>
    <mergeCell ref="CQ34:CX35"/>
    <mergeCell ref="CI34:CP35"/>
    <mergeCell ref="CF57:CN58"/>
    <mergeCell ref="J7:Q8"/>
    <mergeCell ref="BP7:BV8"/>
    <mergeCell ref="CF7:CM8"/>
    <mergeCell ref="J9:AL11"/>
    <mergeCell ref="CF9:CN10"/>
    <mergeCell ref="J28:O29"/>
    <mergeCell ref="CO9:DF11"/>
    <mergeCell ref="H13:K14"/>
    <mergeCell ref="H18:K19"/>
    <mergeCell ref="H23:M24"/>
    <mergeCell ref="L14:AE16"/>
    <mergeCell ref="BP18:BS20"/>
    <mergeCell ref="CO24:DF26"/>
    <mergeCell ref="BT18:BW20"/>
    <mergeCell ref="BT21:BW23"/>
    <mergeCell ref="BT24:BW26"/>
    <mergeCell ref="Z18:AC19"/>
    <mergeCell ref="AD19:AL21"/>
    <mergeCell ref="N24:AF26"/>
    <mergeCell ref="AG24:AL26"/>
    <mergeCell ref="CO18:DF20"/>
    <mergeCell ref="CO21:DF23"/>
    <mergeCell ref="BT12:BW12"/>
    <mergeCell ref="BX12:CA12"/>
    <mergeCell ref="AQ18:BK20"/>
    <mergeCell ref="AQ21:BK23"/>
    <mergeCell ref="BP24:BS26"/>
    <mergeCell ref="BB36:BO38"/>
    <mergeCell ref="BX18:CA20"/>
    <mergeCell ref="BX21:CA23"/>
    <mergeCell ref="CO15:DF17"/>
    <mergeCell ref="CF13:CM14"/>
    <mergeCell ref="CF15:CN16"/>
    <mergeCell ref="BT15:BW17"/>
    <mergeCell ref="BX15:CA17"/>
    <mergeCell ref="BT13:BW14"/>
    <mergeCell ref="BX13:CA14"/>
    <mergeCell ref="CF18:CN19"/>
    <mergeCell ref="CF21:CN22"/>
    <mergeCell ref="CF24:CN25"/>
    <mergeCell ref="BS36:BZ38"/>
    <mergeCell ref="M81:R82"/>
    <mergeCell ref="M39:R40"/>
    <mergeCell ref="M123:R124"/>
    <mergeCell ref="M165:R166"/>
    <mergeCell ref="M207:R208"/>
    <mergeCell ref="M249:R250"/>
    <mergeCell ref="BT6:BW6"/>
    <mergeCell ref="BX6:CA6"/>
    <mergeCell ref="E34:I35"/>
    <mergeCell ref="J35:AB37"/>
    <mergeCell ref="D12:F27"/>
    <mergeCell ref="BX24:CA26"/>
    <mergeCell ref="L19:U21"/>
    <mergeCell ref="AQ7:AW8"/>
    <mergeCell ref="AQ9:BK11"/>
    <mergeCell ref="AQ15:BK17"/>
    <mergeCell ref="BP15:BS17"/>
    <mergeCell ref="BP13:BS14"/>
    <mergeCell ref="AQ13:BC14"/>
    <mergeCell ref="BP9:BS11"/>
    <mergeCell ref="BT9:BW11"/>
    <mergeCell ref="BX9:CA11"/>
    <mergeCell ref="BP21:BS23"/>
    <mergeCell ref="AQ24:BK26"/>
  </mergeCells>
  <conditionalFormatting sqref="AR15:BK23 AQ15:AQ24 AQ21:BK26">
    <cfRule type="expression" dxfId="39" priority="39">
      <formula>BP15=""</formula>
    </cfRule>
  </conditionalFormatting>
  <conditionalFormatting sqref="AQ66:BK68 AQ63 AQ57 AQ60">
    <cfRule type="expression" dxfId="38" priority="35">
      <formula>BP57=""</formula>
    </cfRule>
  </conditionalFormatting>
  <conditionalFormatting sqref="AQ99:BK110">
    <cfRule type="expression" dxfId="37" priority="34">
      <formula>BP99=""</formula>
    </cfRule>
  </conditionalFormatting>
  <conditionalFormatting sqref="AQ141:BK152">
    <cfRule type="expression" dxfId="36" priority="33">
      <formula>BP141=""</formula>
    </cfRule>
  </conditionalFormatting>
  <conditionalFormatting sqref="AQ183:BK194">
    <cfRule type="expression" dxfId="35" priority="32">
      <formula>BP183=""</formula>
    </cfRule>
  </conditionalFormatting>
  <conditionalFormatting sqref="AQ225:BK236">
    <cfRule type="expression" dxfId="34" priority="31">
      <formula>BP225=""</formula>
    </cfRule>
  </conditionalFormatting>
  <conditionalFormatting sqref="T82:AV82">
    <cfRule type="expression" dxfId="33" priority="30">
      <formula>AND(T81&lt;=$AG$66,$AG$66&lt;&gt;"")</formula>
    </cfRule>
  </conditionalFormatting>
  <conditionalFormatting sqref="T83:AV83">
    <cfRule type="expression" dxfId="32" priority="28">
      <formula>AND(T81+25&lt;=$AG$66,$AG$66&lt;&gt;"")</formula>
    </cfRule>
  </conditionalFormatting>
  <conditionalFormatting sqref="T84:AV84">
    <cfRule type="expression" dxfId="31" priority="27">
      <formula>AND(T81+50&lt;=$AG$66,$AG$66&lt;&gt;"")</formula>
    </cfRule>
  </conditionalFormatting>
  <conditionalFormatting sqref="T85:AV85">
    <cfRule type="expression" dxfId="30" priority="26">
      <formula>AND(T81+75&lt;=$AG$66,$AG$66&lt;&gt;"")</formula>
    </cfRule>
  </conditionalFormatting>
  <conditionalFormatting sqref="T40:AV40">
    <cfRule type="expression" dxfId="29" priority="25">
      <formula>AND(T39&lt;=$AG$24,$AG$24&lt;&gt;"")</formula>
    </cfRule>
  </conditionalFormatting>
  <conditionalFormatting sqref="T41:AV41">
    <cfRule type="expression" dxfId="28" priority="24">
      <formula>AND(T39+25&lt;=$AG$24,$AG$24&lt;&gt;"")</formula>
    </cfRule>
  </conditionalFormatting>
  <conditionalFormatting sqref="T42:AV42">
    <cfRule type="expression" dxfId="27" priority="23">
      <formula>AND(T39+50&lt;=$AG$24,$AG$24&lt;&gt;"")</formula>
    </cfRule>
  </conditionalFormatting>
  <conditionalFormatting sqref="T43:AV43">
    <cfRule type="expression" dxfId="26" priority="22">
      <formula>AND(T39+75&lt;=$AG$24,$AG$24&lt;&gt;"")</formula>
    </cfRule>
  </conditionalFormatting>
  <conditionalFormatting sqref="T124:AV124">
    <cfRule type="expression" dxfId="25" priority="21">
      <formula>AND(T123&lt;=$AG$108,$AG$108&lt;&gt;"")</formula>
    </cfRule>
  </conditionalFormatting>
  <conditionalFormatting sqref="T125:AV125">
    <cfRule type="expression" dxfId="24" priority="20">
      <formula>AND(T123+25&lt;=$AG$108,$AG$108&lt;&gt;"")</formula>
    </cfRule>
  </conditionalFormatting>
  <conditionalFormatting sqref="T126:AV126">
    <cfRule type="expression" dxfId="23" priority="19">
      <formula>AND(T123+50&lt;=$AG$108,$AG$108&lt;&gt;"")</formula>
    </cfRule>
  </conditionalFormatting>
  <conditionalFormatting sqref="T127:AV127">
    <cfRule type="expression" dxfId="22" priority="18">
      <formula>AND(T123+75&lt;=$AG$108,$AG$108&lt;&gt;"")</formula>
    </cfRule>
  </conditionalFormatting>
  <conditionalFormatting sqref="T166:AV166">
    <cfRule type="expression" dxfId="21" priority="17">
      <formula>AND(T165&lt;=$AG$150,$AG$150&lt;&gt;"")</formula>
    </cfRule>
  </conditionalFormatting>
  <conditionalFormatting sqref="T167:AV167">
    <cfRule type="expression" dxfId="20" priority="16">
      <formula>AND(T165+25&lt;=$AG$150,$AG$150&lt;&gt;"")</formula>
    </cfRule>
  </conditionalFormatting>
  <conditionalFormatting sqref="T168:AV168">
    <cfRule type="expression" dxfId="19" priority="15">
      <formula>AND(T165+50&lt;=$AG$150,$AG$150&lt;&gt;"")</formula>
    </cfRule>
  </conditionalFormatting>
  <conditionalFormatting sqref="T169:AV169">
    <cfRule type="expression" dxfId="18" priority="14">
      <formula>AND(T165+75&lt;=$AG$150,$AG$150&lt;&gt;"")</formula>
    </cfRule>
  </conditionalFormatting>
  <conditionalFormatting sqref="T208:AV208">
    <cfRule type="expression" dxfId="17" priority="13">
      <formula>AND(T207&lt;=$AG$192,$AG$192&lt;&gt;"")</formula>
    </cfRule>
  </conditionalFormatting>
  <conditionalFormatting sqref="T209:AV209">
    <cfRule type="expression" dxfId="16" priority="12">
      <formula>AND(T207+25&lt;=$AG$192,$AG$192&lt;&gt;"")</formula>
    </cfRule>
  </conditionalFormatting>
  <conditionalFormatting sqref="T210:AV210">
    <cfRule type="expression" dxfId="15" priority="11">
      <formula>AND(T207+50&lt;=$AG$192,$AG$192&lt;&gt;"")</formula>
    </cfRule>
  </conditionalFormatting>
  <conditionalFormatting sqref="T211:AV211">
    <cfRule type="expression" dxfId="14" priority="10">
      <formula>AND(T207+75&lt;=$AG$192,$AG$192&lt;&gt;"")</formula>
    </cfRule>
  </conditionalFormatting>
  <conditionalFormatting sqref="T250:AV250">
    <cfRule type="expression" dxfId="13" priority="9">
      <formula>AND(T249&lt;=$AG$234,$AG$234&lt;&gt;"")</formula>
    </cfRule>
  </conditionalFormatting>
  <conditionalFormatting sqref="T251:AV251">
    <cfRule type="expression" dxfId="12" priority="8">
      <formula>AND(T249+25&lt;=$AG$234,$AG$234&lt;&gt;"")</formula>
    </cfRule>
  </conditionalFormatting>
  <conditionalFormatting sqref="T252:AV252">
    <cfRule type="expression" dxfId="11" priority="7">
      <formula>AND(T249+50&lt;=$AG$234,$AG$234&lt;&gt;"")</formula>
    </cfRule>
  </conditionalFormatting>
  <conditionalFormatting sqref="T253:AV253">
    <cfRule type="expression" dxfId="10" priority="6">
      <formula>AND(T249+75&lt;=$AG$234,$AG$234&lt;&gt;"")</formula>
    </cfRule>
  </conditionalFormatting>
  <conditionalFormatting sqref="AQ57 AQ60">
    <cfRule type="expression" dxfId="9" priority="5">
      <formula>BP57=""</formula>
    </cfRule>
  </conditionalFormatting>
  <conditionalFormatting sqref="AQ99:BK104">
    <cfRule type="expression" dxfId="8" priority="4">
      <formula>BP99=""</formula>
    </cfRule>
  </conditionalFormatting>
  <conditionalFormatting sqref="AQ15 AQ18 AQ21">
    <cfRule type="expression" dxfId="7" priority="3">
      <formula>BP15=""</formula>
    </cfRule>
  </conditionalFormatting>
  <conditionalFormatting sqref="AQ15 AQ18">
    <cfRule type="expression" dxfId="6" priority="2">
      <formula>BP15=""</formula>
    </cfRule>
  </conditionalFormatting>
  <conditionalFormatting sqref="AQ21">
    <cfRule type="expression" dxfId="5" priority="1">
      <formula>BP21=""</formula>
    </cfRule>
  </conditionalFormatting>
  <dataValidations count="2">
    <dataValidation type="list" allowBlank="1" showInputMessage="1" showErrorMessage="1" sqref="AQ225:BK236 AQ183:BK194 AQ141:BK152 AQ102:BK110 AQ63 AQ66:BK68 AQ60 AQ24:BK26 AQ18 AQ21" xr:uid="{00000000-0002-0000-1900-000000000000}">
      <formula1>WeaponFeatsModsList</formula1>
    </dataValidation>
    <dataValidation type="list" showInputMessage="1" showErrorMessage="1" sqref="AQ57 AQ99:BK101 AQ15" xr:uid="{00000000-0002-0000-1900-000001000000}">
      <formula1>WeaponFeatsModsList</formula1>
    </dataValidation>
  </dataValidations>
  <pageMargins left="0" right="0" top="0" bottom="0" header="0" footer="0"/>
  <pageSetup paperSize="9"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utton 3">
              <controlPr defaultSize="0" print="0" autoFill="0" autoPict="0" macro="[0]!ClearWeaponCheatSheetFeatTalents">
                <anchor moveWithCells="1" sizeWithCells="1">
                  <from>
                    <xdr:col>2</xdr:col>
                    <xdr:colOff>0</xdr:colOff>
                    <xdr:row>1</xdr:row>
                    <xdr:rowOff>12700</xdr:rowOff>
                  </from>
                  <to>
                    <xdr:col>16</xdr:col>
                    <xdr:colOff>57150</xdr:colOff>
                    <xdr:row>4</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dimension ref="B1:CS167"/>
  <sheetViews>
    <sheetView showGridLines="0" showRowColHeaders="0" zoomScaleNormal="100" workbookViewId="0">
      <selection activeCell="C5" sqref="C5:C166"/>
    </sheetView>
  </sheetViews>
  <sheetFormatPr defaultColWidth="9.1796875" defaultRowHeight="14.5"/>
  <cols>
    <col min="1" max="2" width="2.81640625" style="718" customWidth="1"/>
    <col min="3" max="3" width="86.26953125" style="718" customWidth="1"/>
    <col min="4" max="4" width="13.7265625" style="718" customWidth="1"/>
    <col min="5" max="5" width="9.1796875" style="718" hidden="1" customWidth="1"/>
    <col min="6" max="6" width="33.54296875" style="718" hidden="1" customWidth="1"/>
    <col min="7" max="7" width="26.81640625" style="718" hidden="1" customWidth="1"/>
    <col min="8" max="21" width="9.1796875" style="718" hidden="1" customWidth="1"/>
    <col min="22" max="22" width="27.54296875" style="718" hidden="1" customWidth="1"/>
    <col min="23" max="23" width="23.7265625" style="718" hidden="1" customWidth="1"/>
    <col min="24" max="33" width="9.1796875" style="718" hidden="1" customWidth="1"/>
    <col min="34" max="34" width="21.26953125" style="718" hidden="1" customWidth="1"/>
    <col min="35" max="35" width="5.453125" style="726" hidden="1" customWidth="1"/>
    <col min="36" max="36" width="10.453125" style="726" hidden="1" customWidth="1"/>
    <col min="37" max="37" width="13.54296875" style="726" hidden="1" customWidth="1"/>
    <col min="38" max="39" width="10.453125" style="726" hidden="1" customWidth="1"/>
    <col min="40" max="53" width="9.1796875" style="718" hidden="1" customWidth="1"/>
    <col min="54" max="54" width="22.26953125" style="718" hidden="1" customWidth="1"/>
    <col min="55" max="55" width="88.26953125" style="1506" hidden="1" customWidth="1"/>
    <col min="56" max="56" width="36.7265625" style="1506" hidden="1" customWidth="1"/>
    <col min="57" max="76" width="9.1796875" style="718" hidden="1" customWidth="1"/>
    <col min="77" max="77" width="29.54296875" style="718" hidden="1" customWidth="1"/>
    <col min="78" max="88" width="9.1796875" style="718" hidden="1" customWidth="1"/>
    <col min="89" max="89" width="10.453125" style="718" hidden="1" customWidth="1"/>
    <col min="90" max="90" width="5.81640625" style="718" hidden="1" customWidth="1"/>
    <col min="91" max="91" width="3.453125" style="718" hidden="1" customWidth="1"/>
    <col min="92" max="92" width="3.26953125" style="718" hidden="1" customWidth="1"/>
    <col min="93" max="97" width="9.1796875" style="718" hidden="1" customWidth="1"/>
    <col min="98" max="111" width="9.1796875" style="718" customWidth="1"/>
    <col min="112" max="16384" width="9.1796875" style="718"/>
  </cols>
  <sheetData>
    <row r="1" spans="2:78" ht="15" thickBot="1">
      <c r="F1" s="718" t="b">
        <v>0</v>
      </c>
      <c r="G1" s="1506" t="s">
        <v>7833</v>
      </c>
      <c r="H1" s="1526" t="s">
        <v>7845</v>
      </c>
      <c r="I1" s="1526" t="s">
        <v>7846</v>
      </c>
      <c r="J1" s="1506" t="s">
        <v>7835</v>
      </c>
      <c r="K1" s="1506" t="s">
        <v>7834</v>
      </c>
      <c r="L1" s="1521" t="str">
        <f>IF(Tables,"&lt;TR bgcolor=yellowgreen border=0 width=100%&gt;&lt;TD colspan=3&gt;","")</f>
        <v/>
      </c>
      <c r="M1" s="511" t="str">
        <f>IF(Tables,"&lt;TR bgcolor=white border=0 width=100%&gt;&lt;TD align= left colspan=3&gt;","")</f>
        <v/>
      </c>
      <c r="N1" s="1506" t="str">
        <f>IF(Tables,"&lt;/TD&gt;&lt;/TR&gt;","&lt;BR&gt;")</f>
        <v>&lt;BR&gt;</v>
      </c>
      <c r="O1" s="1522" t="str">
        <f>IF(Tables,"&lt;TR bgcolor=cornflowerblue width=100%&gt;&lt;TD align= left colspan=3&gt;","")</f>
        <v/>
      </c>
      <c r="P1" s="1530" t="str">
        <f>IF(Tables,"&lt;TR bgcolor=gold width=100%&gt;&lt;TD align= left colspan=3&gt;","")</f>
        <v/>
      </c>
      <c r="Q1" s="1523" t="str">
        <f>IF(Tables,"&lt;TR bgcolor=lightgray width=100%&gt;&lt;TD align= left colspan=3&gt;","")</f>
        <v/>
      </c>
      <c r="R1" s="1506" t="str">
        <f>IF(Tables,"&lt;/TD&gt;&lt;/TR&gt;","")</f>
        <v/>
      </c>
      <c r="S1" s="718" t="str">
        <f>IF(Tables,"&lt;Table align=top width=100% cellpadding=3 cellspacing=0&gt;","")</f>
        <v/>
      </c>
      <c r="T1" s="1506" t="str">
        <f>IF(Tables,"&lt;/Table&gt;","")</f>
        <v/>
      </c>
      <c r="U1" s="1523" t="s">
        <v>7837</v>
      </c>
      <c r="V1" s="1523" t="s">
        <v>7838</v>
      </c>
      <c r="W1" s="1506" t="s">
        <v>7836</v>
      </c>
      <c r="X1" s="1523" t="str">
        <f>IF(Tables,"&lt;TR&gt;&lt;TD bgcolor=lightslategray align= left colspan=3&gt;","")</f>
        <v/>
      </c>
      <c r="Y1" s="511" t="s">
        <v>7839</v>
      </c>
      <c r="Z1" s="1506" t="s">
        <v>7840</v>
      </c>
      <c r="AA1" s="718" t="str">
        <f>IF(HTML,"&lt;BR&gt;","
")</f>
        <v xml:space="preserve">
</v>
      </c>
      <c r="AB1" s="1522" t="str">
        <f>IF(Tables,"&lt;TR bgcolor=cornflowerblue width=100%&gt;&lt;TD align= left colspan=2&gt;","")</f>
        <v/>
      </c>
    </row>
    <row r="2" spans="2:78">
      <c r="B2" s="22"/>
      <c r="C2" s="716"/>
      <c r="D2" s="25"/>
      <c r="F2" s="718" t="b">
        <v>0</v>
      </c>
    </row>
    <row r="3" spans="2:78" s="731" customFormat="1" ht="21">
      <c r="B3" s="732"/>
      <c r="C3" s="717" t="str">
        <f>"Stat Block "&amp;IF(NPCType=2," (Squad)",IF(NPCType=3," (Unit)",""))</f>
        <v xml:space="preserve">Stat Block </v>
      </c>
      <c r="D3" s="733"/>
      <c r="F3" s="798" t="str">
        <f>IF(HTML,IF(Tables,"&lt;TR&gt;&lt;TD colspan=2 bgcolor=olivedrab width=66%&gt;&lt;font size=5 color=white&gt;","")&amp;BS&amp;CharacterName&amp;BF&amp;IF(Tables,"&lt;/font&gt;"&amp;TDF&amp;"&lt;TD width=33% bgcolor=olivedrab align=right&gt;&lt;font size=5 color=white&gt;"," ")&amp;BS&amp;"CL "&amp;SUM(G4:J4)&amp;BF&amp;IF(Tables,"&lt;/font&gt;"&amp;TRFF,""),C4)</f>
        <v/>
      </c>
    </row>
    <row r="4" spans="2:78">
      <c r="B4" s="26"/>
      <c r="C4" s="1067" t="str">
        <f>IF(CharacterName&lt;&gt;"",CharacterName&amp;" "&amp;"CL "&amp;SUM(G4:J4),"")</f>
        <v/>
      </c>
      <c r="D4" s="29"/>
      <c r="G4" s="718">
        <f>HeroicLevel</f>
        <v>0</v>
      </c>
      <c r="H4" s="718">
        <f>MAX((COUNTIF(AllLevels,"Beast")-1),0)</f>
        <v>0</v>
      </c>
      <c r="I4" s="1070">
        <f>MAX(INT(COUNTIF(AllLevels,"Nonheroic")/3),0)</f>
        <v>0</v>
      </c>
      <c r="J4" s="718">
        <f>IF(NPCType=2,2,IF(NPCType=3,6,0))</f>
        <v>0</v>
      </c>
    </row>
    <row r="5" spans="2:78">
      <c r="B5" s="26"/>
      <c r="C5" s="1741" t="str">
        <f>IF(NewStatBlock,IF(HTML,HTMLHeader,"")&amp;TAS&amp;IF(Tables,F3,"")&amp;E6&amp;ForcePowersStatBlockDescriptions&amp;TAF&amp;IF(HTML,HTMLFooter,""),TAS&amp;IF(HTML,HTMLHeader,"")&amp;C4&amp;E5&amp;ForcePowersStatBlockDescriptions&amp;TAF&amp;IF(HTML,HTMLFooter,""))</f>
        <v>Add some levels</v>
      </c>
      <c r="D5" s="29"/>
      <c r="E5" s="718" t="str">
        <f>IF(AND(Race&lt;&gt;"",CharacterLevel&gt;0),G7&amp;"
"&amp;IF(ShowStatBlockLines,"──────────────────────────────────
","")&amp;G11&amp;"
"&amp;IF(ShowStatBlockLines,"──────────────────────────────────
","")&amp;G14&amp;"
"&amp;IF(ShowStatBlockLines,"──────────────────────────────────
","")&amp;G27&amp;"
"&amp;G34,"Add some levels")</f>
        <v>Add some levels</v>
      </c>
      <c r="T5" s="718" t="s">
        <v>4119</v>
      </c>
      <c r="W5" s="718" t="str">
        <f ca="1">W6</f>
        <v/>
      </c>
      <c r="AA5" s="718" t="str">
        <f>AA6</f>
        <v/>
      </c>
      <c r="AE5" s="718" t="str">
        <f>AE6</f>
        <v/>
      </c>
      <c r="AF5" s="726" t="str">
        <f ca="1">IF(SpecialActionsList&lt;&gt;"",SpecialActionsList,"")&amp;", "&amp;IF(TalentsSpecialActionsList&lt;&gt;"",TalentsSpecialActionsList,"")&amp;", "</f>
        <v xml:space="preserve">, , </v>
      </c>
      <c r="AM5" s="726" t="str">
        <f ca="1">AM6</f>
        <v/>
      </c>
      <c r="AN5" s="718" t="str">
        <f ca="1">IF(AttackOptionsList&lt;&gt;"",AttackOptionsList,"")&amp;IF(AND(TalentsAttOptionsList&lt;&gt;"",AttackOptionsList&lt;&gt;""),", ","")&amp;TalentsAttOptionsList&amp;", "</f>
        <v xml:space="preserve">, </v>
      </c>
      <c r="AR5" s="726" t="s">
        <v>4122</v>
      </c>
      <c r="AS5" s="726"/>
      <c r="AU5" s="718" t="str">
        <f ca="1">AU6</f>
        <v/>
      </c>
      <c r="AW5" s="896" t="str">
        <f>IF(ForcePowersTaken&lt;&gt;"",ForcePowersTaken,"")&amp;", "</f>
        <v xml:space="preserve">, </v>
      </c>
      <c r="AX5" s="896"/>
      <c r="AY5" s="896"/>
      <c r="AZ5" s="896"/>
      <c r="BA5" s="896" t="s">
        <v>4122</v>
      </c>
      <c r="BB5" s="896"/>
      <c r="BD5" s="1506" t="str">
        <f>BD6</f>
        <v/>
      </c>
      <c r="BE5" s="896"/>
      <c r="BF5" s="896" t="str">
        <f>BF6</f>
        <v/>
      </c>
      <c r="BG5" s="896" t="str">
        <f>IF(ForceTechniquesTaken&lt;&gt;"",ForceTechniquesTaken,"")</f>
        <v/>
      </c>
      <c r="BH5" s="896"/>
      <c r="BI5" s="896"/>
      <c r="BJ5" s="896"/>
      <c r="BK5" s="896" t="s">
        <v>4122</v>
      </c>
      <c r="BL5" s="896"/>
      <c r="BM5" s="896"/>
      <c r="BN5" s="896" t="str">
        <f>BN6</f>
        <v/>
      </c>
      <c r="BO5" s="896" t="str">
        <f>IF(ForceSecretsTaken&lt;&gt;"",ForceSecretsTaken,"")</f>
        <v/>
      </c>
      <c r="BP5" s="896"/>
      <c r="BQ5" s="896"/>
      <c r="BR5" s="896"/>
      <c r="BS5" s="896" t="s">
        <v>4122</v>
      </c>
      <c r="BT5" s="896"/>
      <c r="BU5" s="896"/>
      <c r="BV5" s="896" t="str">
        <f>BV6</f>
        <v/>
      </c>
      <c r="BW5" s="956" t="str">
        <f>IF(EquipmentNameListStatBlock&lt;&gt;"",EquipmentNameListStatBlock,"")</f>
        <v/>
      </c>
      <c r="BX5" s="956"/>
      <c r="BZ5" s="718" t="str">
        <f>BZ6</f>
        <v/>
      </c>
    </row>
    <row r="6" spans="2:78">
      <c r="B6" s="26"/>
      <c r="C6" s="1741"/>
      <c r="D6" s="29"/>
      <c r="E6" s="718" t="str">
        <f>IF(AND(Race&lt;&gt;"",CharacterLevel&gt;0),H7&amp;"
"&amp;H11&amp;"
"&amp;IF(I37&lt;&gt;"",I37&amp;"
","")&amp;IF(I38&lt;&gt;"",I38&amp;"
","")&amp;IF(I39&lt;&gt;"",I39&amp;"
","")&amp;IF(I40&lt;&gt;"",I40&amp;"
","")&amp;IF(I41&lt;&gt;"",I41&amp;"
","")&amp;IF(I42&lt;&gt;"",I42&amp;"
","")&amp;IF(PowerDescriptionsList&lt;&gt;"",PowerDescriptionsList&amp;"
","")&amp;H17,"")</f>
        <v/>
      </c>
      <c r="T6" s="718">
        <v>1</v>
      </c>
      <c r="U6" s="718" t="e">
        <f ca="1">FIND(";",FeatsTakenList,1)</f>
        <v>#VALUE!</v>
      </c>
      <c r="V6" s="718" t="str">
        <f ca="1">IF(NOT(ISERROR(U6)),MID(FeatsTakenList,U5+1,U6-U5-1),"")</f>
        <v/>
      </c>
      <c r="W6" s="718" t="str">
        <f t="shared" ref="W6:W12" ca="1" si="0">IF(V6&lt;&gt;"",V6&amp;IF(W7&lt;&gt;"",", ","")&amp;W7,W7)</f>
        <v/>
      </c>
      <c r="X6" s="718">
        <v>1</v>
      </c>
      <c r="Y6" s="718" t="e">
        <f>FIND(";",TalentsTakenBlankList,1)</f>
        <v>#VALUE!</v>
      </c>
      <c r="Z6" s="718" t="str">
        <f t="shared" ref="Z6:Z34" si="1">IF(NOT(ISERROR(Y6)),MID(TalentsTakenBlankList,Y5+1,Y6-Y5-1),"")</f>
        <v/>
      </c>
      <c r="AA6" s="718" t="str">
        <f t="shared" ref="AA6:AA34" si="2">IF(Z6&lt;&gt;"",Z6&amp;IF(AA7&lt;&gt;"",", ","")&amp;AA7,AA7)</f>
        <v/>
      </c>
      <c r="AB6" s="718">
        <v>1</v>
      </c>
      <c r="AC6" s="718" t="e">
        <f>FIND(";",SpeciesTraitsList,1)</f>
        <v>#VALUE!</v>
      </c>
      <c r="AD6" s="718" t="str">
        <f t="shared" ref="AD6:AD19" si="3">IF(NOT(ISERROR(AC6)),MID(SpeciesTraitsList,AC5+1,AC6-AC5-1),"")</f>
        <v/>
      </c>
      <c r="AE6" s="718" t="str">
        <f>IF(AD6&lt;&gt;"",AD6&amp;IF(AE7&lt;&gt;"",", ","")&amp;AE7,AE7)</f>
        <v/>
      </c>
      <c r="AF6" s="726">
        <v>1</v>
      </c>
      <c r="AG6" s="726">
        <f ca="1">FIND(", ",SpecialOpionsListStatBlock,1)</f>
        <v>1</v>
      </c>
      <c r="AH6" s="726" t="str">
        <f ca="1">IF(NOT(ISERROR(AG6)),MID(SpecialOpionsListStatBlock,AG5+1,AG6-AG5-1),"")</f>
        <v/>
      </c>
      <c r="AJ6" s="743">
        <f ca="1">COUNTIF($AH$6:$AH$25,"&lt;="&amp;AH6)</f>
        <v>0</v>
      </c>
      <c r="AK6" s="726" t="str">
        <f ca="1">AH6</f>
        <v/>
      </c>
      <c r="AL6" s="726" t="str">
        <f ca="1">VLOOKUP(SMALL($AJ$6:$AK$25,ROW()-ROW($AL$5)),$AJ$6:$AK$25,2,FALSE)</f>
        <v/>
      </c>
      <c r="AM6" s="726" t="str">
        <f t="shared" ref="AM6:AM24" ca="1" si="4">IF(AL6&lt;&gt;"",IF(AM7&lt;&gt;"",AL6&amp;", "&amp;AM7,AL6),AM7)</f>
        <v/>
      </c>
      <c r="AN6" s="726">
        <v>1</v>
      </c>
      <c r="AO6" s="726">
        <f ca="1">FIND(", ",AttackOptionsStatBlock,1)</f>
        <v>1</v>
      </c>
      <c r="AP6" s="726" t="str">
        <f ca="1">IF(NOT(ISERROR(AO6)),MID(AttackOptionsStatBlock,AO5+1,AO6-AO5-1),"")</f>
        <v/>
      </c>
      <c r="AR6" s="743">
        <f ca="1">COUNTIF($AP$6:$AP$25,"&lt;="&amp;AP6)</f>
        <v>0</v>
      </c>
      <c r="AS6" s="718" t="str">
        <f ca="1">AP6</f>
        <v/>
      </c>
      <c r="AT6" s="726" t="str">
        <f ca="1">VLOOKUP(SMALL($AR$6:$AR$25,ROW()-ROW($AT$5)),$AR$6:$AS$25,2,FALSE)</f>
        <v/>
      </c>
      <c r="AU6" s="726" t="str">
        <f t="shared" ref="AU6:AU24" ca="1" si="5">IF(AT6&lt;&gt;"",AT6&amp;", "&amp;AU7,AU7)</f>
        <v/>
      </c>
      <c r="AW6" s="896">
        <v>1</v>
      </c>
      <c r="AX6" s="896" t="e">
        <f>FIND(";",ForcePowersTaken,1)</f>
        <v>#VALUE!</v>
      </c>
      <c r="AY6" s="896" t="str">
        <f t="shared" ref="AY6:AY25" si="6">IF(NOT(ISERROR(AX6)),MID(ForcePowersTaken,AX5+1,AX6-AX5-1),"")</f>
        <v/>
      </c>
      <c r="AZ6" s="896"/>
      <c r="BA6" s="743">
        <f>COUNTIF(AY$6:AY$25,"&lt;="&amp;AY6)</f>
        <v>0</v>
      </c>
      <c r="BB6" s="896" t="str">
        <f>AY6</f>
        <v/>
      </c>
      <c r="BC6" s="1506" t="str">
        <f>IF(BB6&lt;&gt;"","&lt;TR&gt;"&amp;TDWThird&amp;WFS&amp;IF(NOT(ISERROR(FIND("(",BB6,1))),IF(MID(BB6,FIND("(",BB6,1)+1,1)="4","qqqq",IF(MID(BB6,FIND("(",BB6,1)+1,1)="3","qqq",IF(MID(BB6,FIND("(",BB6,1)+1,1)="2","qq","q"))),"q")&amp;WFF&amp;" "&amp;IF(NOT(ISERROR(FIND("(",BB6,1))),LEFT(BB6,FIND("(",BB6,1)-1),BB6)&amp;"&lt;/TD&gt;","")</f>
        <v/>
      </c>
      <c r="BD6" s="1506" t="str">
        <f>IF(BC6&lt;&gt;"",BC6&amp;BD7,BD7)</f>
        <v/>
      </c>
      <c r="BE6" s="896" t="str">
        <f>VLOOKUP(SMALL(BA$6:BA$25,ROW()-ROW(BE$5)),BA$6:BB$25,2,FALSE)</f>
        <v/>
      </c>
      <c r="BF6" s="896" t="str">
        <f t="shared" ref="BF6:BF24" si="7">IF(BE6&lt;&gt;"",BE6&amp;", "&amp;BF7,BF7)</f>
        <v/>
      </c>
      <c r="BG6" s="896">
        <v>1</v>
      </c>
      <c r="BH6" s="896" t="e">
        <f>FIND(";",ForceTechniquesTaken,1)</f>
        <v>#VALUE!</v>
      </c>
      <c r="BI6" s="896" t="str">
        <f t="shared" ref="BI6:BI25" si="8">IF(NOT(ISERROR(BH6)),MID(ForceTechniquesTaken,BH5+1,BH6-BH5-1),"")</f>
        <v/>
      </c>
      <c r="BJ6" s="896"/>
      <c r="BK6" s="743">
        <f>COUNTIF(BI$6:BI$25,"&lt;="&amp;BI6)</f>
        <v>0</v>
      </c>
      <c r="BL6" s="896" t="str">
        <f>BI6</f>
        <v/>
      </c>
      <c r="BM6" s="896" t="str">
        <f>VLOOKUP(SMALL(BK$6:BK$25,ROW()-ROW(BM$5)),BK$6:BL$25,2,FALSE)</f>
        <v/>
      </c>
      <c r="BN6" s="896" t="str">
        <f t="shared" ref="BN6:BN24" si="9">IF(BM6&lt;&gt;"",BM6&amp;", "&amp;BN7,BN7)</f>
        <v/>
      </c>
      <c r="BO6" s="896">
        <v>1</v>
      </c>
      <c r="BP6" s="896" t="e">
        <f>FIND(";",ForceSecretsTaken,1)</f>
        <v>#VALUE!</v>
      </c>
      <c r="BQ6" s="896" t="str">
        <f t="shared" ref="BQ6:BQ25" si="10">IF(NOT(ISERROR(BP6)),MID(ForceSecretsTaken,BP5+1,BP6-BP5-1),"")</f>
        <v/>
      </c>
      <c r="BR6" s="896"/>
      <c r="BS6" s="743">
        <f>COUNTIF(BQ$6:BQ$25,"&lt;="&amp;BQ6)</f>
        <v>0</v>
      </c>
      <c r="BT6" s="896" t="str">
        <f>BQ6</f>
        <v/>
      </c>
      <c r="BU6" s="896" t="str">
        <f>VLOOKUP(SMALL(BS$6:BS$25,ROW()-ROW(BU$5)),BS$6:BT$25,2,FALSE)</f>
        <v/>
      </c>
      <c r="BV6" s="896" t="str">
        <f t="shared" ref="BV6:BV24" si="11">IF(BU6&lt;&gt;"",BU6&amp;", "&amp;BV7,BV7)</f>
        <v/>
      </c>
      <c r="BW6" s="956">
        <v>1</v>
      </c>
      <c r="BX6" s="956" t="e">
        <f>FIND(";",EquipmentNameListStatBlock,1)</f>
        <v>#VALUE!</v>
      </c>
      <c r="BY6" s="956" t="str">
        <f t="shared" ref="BY6:BY25" si="12">IF(NOT(ISERROR(BX6)),MID(EquipmentNameListStatBlock,BX5+1,BX6-BX5-1),"")</f>
        <v/>
      </c>
      <c r="BZ6" s="718" t="str">
        <f>IF(BY6&lt;&gt;"",BY6&amp;IF(BZ7&lt;&gt;"",", "&amp;BZ7,""),BZ7)</f>
        <v/>
      </c>
    </row>
    <row r="7" spans="2:78">
      <c r="B7" s="26"/>
      <c r="C7" s="1741"/>
      <c r="D7" s="29"/>
      <c r="G7" s="718" t="e">
        <f ca="1">I7&amp;IF(I8&lt;&gt;"","
"&amp;I8,"")&amp;"
"&amp;I9&amp;"
"&amp;I10</f>
        <v>#N/A</v>
      </c>
      <c r="H7" s="718" t="e">
        <f ca="1">I7&amp;"
"&amp;IF(AND(HTML,Tables),H9,I9)</f>
        <v>#N/A</v>
      </c>
      <c r="I7" s="1506" t="e">
        <f ca="1">K7&amp;IF(AND(K7&lt;&gt;"",HTML),TRF,"")</f>
        <v>#N/A</v>
      </c>
      <c r="K7" s="718" t="e">
        <f ca="1">IF(HTML,IF(AND(NewStatBlock,Tables),"&lt;TR&gt;&lt;TD bgcolor=olivedrab colspan=3 width=100% align=left&gt;&lt;font color=white&gt;","")&amp;BS,"")&amp;OutputSize&amp;" "&amp;Species&amp;" "&amp;LevelsTaken&amp;IF(HTML,BF&amp;IF(AND(NewStatBlock,Tables),"&lt;/font&gt;",""),"")</f>
        <v>#N/A</v>
      </c>
      <c r="T7" s="718">
        <f>T6+1</f>
        <v>2</v>
      </c>
      <c r="U7" s="718" t="e">
        <f ca="1">FIND(";",FeatsTakenList,U6+1)</f>
        <v>#VALUE!</v>
      </c>
      <c r="V7" s="718" t="str">
        <f t="shared" ref="V7:V34" ca="1" si="13">IF(NOT(ISERROR(U7)),MID(FeatsTakenList,U6+1,U7-U6-1),"")</f>
        <v/>
      </c>
      <c r="W7" s="718" t="str">
        <f t="shared" ca="1" si="0"/>
        <v/>
      </c>
      <c r="X7" s="718">
        <f>X6+1</f>
        <v>2</v>
      </c>
      <c r="Y7" s="718" t="e">
        <f t="shared" ref="Y7:Y34" si="14">FIND(";",TalentsTakenBlankList,Y6+1)</f>
        <v>#VALUE!</v>
      </c>
      <c r="Z7" s="718" t="str">
        <f t="shared" si="1"/>
        <v/>
      </c>
      <c r="AA7" s="718" t="str">
        <f t="shared" si="2"/>
        <v/>
      </c>
      <c r="AB7" s="718">
        <f>AB6+1</f>
        <v>2</v>
      </c>
      <c r="AC7" s="718" t="e">
        <f t="shared" ref="AC7:AC19" si="15">FIND(";",SpeciesTraitsList,AC6+1)</f>
        <v>#VALUE!</v>
      </c>
      <c r="AD7" s="718" t="str">
        <f t="shared" si="3"/>
        <v/>
      </c>
      <c r="AE7" s="718" t="str">
        <f>IF(AD7&lt;&gt;"",AD7&amp;IF(AE8&lt;&gt;"",", ","")&amp;AE8,AE8)</f>
        <v/>
      </c>
      <c r="AF7" s="726">
        <f>AF6+1</f>
        <v>2</v>
      </c>
      <c r="AG7" s="726">
        <f t="shared" ref="AG7:AG25" ca="1" si="16">FIND(", ",SpecialOpionsListStatBlock,AG6+1)</f>
        <v>3</v>
      </c>
      <c r="AH7" s="726" t="str">
        <f t="shared" ref="AH7:AH25" ca="1" si="17">IF(NOT(ISERROR(AG7)),MID(SpecialOpionsListStatBlock,AG6+2,AG7-AG6-2),"")</f>
        <v/>
      </c>
      <c r="AJ7" s="743">
        <f t="shared" ref="AJ7:AJ25" ca="1" si="18">COUNTIF($AH$6:$AH$25,"&lt;="&amp;AH7)</f>
        <v>0</v>
      </c>
      <c r="AK7" s="726" t="str">
        <f t="shared" ref="AK7:AK25" ca="1" si="19">AH7</f>
        <v/>
      </c>
      <c r="AL7" s="726" t="str">
        <f t="shared" ref="AL7:AL25" ca="1" si="20">VLOOKUP(SMALL($AJ$6:$AK$25,ROW()-ROW($AL$5)),$AJ$6:$AK$25,2,FALSE)</f>
        <v/>
      </c>
      <c r="AM7" s="726" t="str">
        <f t="shared" ca="1" si="4"/>
        <v/>
      </c>
      <c r="AN7" s="726">
        <f>AN6+1</f>
        <v>2</v>
      </c>
      <c r="AO7" s="726" t="e">
        <f t="shared" ref="AO7:AO25" ca="1" si="21">FIND(", ",AttackOptionsStatBlock,AO6+1)</f>
        <v>#VALUE!</v>
      </c>
      <c r="AP7" s="726" t="str">
        <f t="shared" ref="AP7:AP25" ca="1" si="22">IF(NOT(ISERROR(AO7)),MID(AttackOptionsStatBlock,AO6+2,AO7-AO6-2),"")</f>
        <v/>
      </c>
      <c r="AR7" s="743">
        <f ca="1">COUNTIF($AP$6:$AP$25,"&lt;="&amp;AP7)</f>
        <v>0</v>
      </c>
      <c r="AS7" s="726" t="str">
        <f t="shared" ref="AS7:AS25" ca="1" si="23">AP7</f>
        <v/>
      </c>
      <c r="AT7" s="726" t="str">
        <f t="shared" ref="AT7:AT25" ca="1" si="24">VLOOKUP(SMALL($AR$6:$AR$25,ROW()-ROW($AT$5)),$AR$6:$AS$25,2,FALSE)</f>
        <v/>
      </c>
      <c r="AU7" s="726" t="str">
        <f t="shared" ca="1" si="5"/>
        <v/>
      </c>
      <c r="AW7" s="896">
        <f>AW6+1</f>
        <v>2</v>
      </c>
      <c r="AX7" s="896" t="e">
        <f t="shared" ref="AX7:AX25" si="25">FIND(";",ForcePowersTaken,AX6+1)</f>
        <v>#VALUE!</v>
      </c>
      <c r="AY7" s="896" t="str">
        <f t="shared" si="6"/>
        <v/>
      </c>
      <c r="AZ7" s="896"/>
      <c r="BA7" s="743">
        <f t="shared" ref="BA7:BA25" si="26">COUNTIF(AY$6:AY$25,"&lt;="&amp;AY7)</f>
        <v>0</v>
      </c>
      <c r="BB7" s="896" t="str">
        <f t="shared" ref="BB7:BB25" si="27">AY7</f>
        <v/>
      </c>
      <c r="BC7" s="1506" t="str">
        <f>IF(BB7&lt;&gt;"",TDWThird&amp;WFS&amp;IF(NOT(ISERROR(FIND("(",BB7,1))),IF(MID(BB7,FIND("(",BB7,1)+1,1)="4","qqqq",IF(MID(BB7,FIND("(",BB7,1)+1,1)="3","qqq",IF(MID(BB7,FIND("(",BB7,1)+1,1)="2","qq","q"))),"q")&amp;WFF&amp;" "&amp;IF(NOT(ISERROR(FIND("(",BB7,1))),LEFT(BB7,FIND("(",BB7,1)-1),BB7)&amp;"&lt;/TD&gt;","")</f>
        <v/>
      </c>
      <c r="BD7" s="1506" t="str">
        <f t="shared" ref="BD7:BD26" si="28">IF(BC7&lt;&gt;"",BC7&amp;BD8,BD8)</f>
        <v/>
      </c>
      <c r="BE7" s="896" t="str">
        <f t="shared" ref="BE7:BE25" si="29">VLOOKUP(SMALL(BA$6:BA$25,ROW()-ROW(BE$5)),BA$6:BB$25,2,FALSE)</f>
        <v/>
      </c>
      <c r="BF7" s="896" t="str">
        <f t="shared" si="7"/>
        <v/>
      </c>
      <c r="BG7" s="896">
        <f>BG6+1</f>
        <v>2</v>
      </c>
      <c r="BH7" s="896" t="e">
        <f t="shared" ref="BH7:BH25" si="30">FIND(";",ForceTechniquesTaken,BH6+1)</f>
        <v>#VALUE!</v>
      </c>
      <c r="BI7" s="896" t="str">
        <f t="shared" si="8"/>
        <v/>
      </c>
      <c r="BJ7" s="896"/>
      <c r="BK7" s="743">
        <f t="shared" ref="BK7:BK25" si="31">COUNTIF(BI$6:BI$25,"&lt;="&amp;BI7)</f>
        <v>0</v>
      </c>
      <c r="BL7" s="896" t="str">
        <f t="shared" ref="BL7:BL25" si="32">BI7</f>
        <v/>
      </c>
      <c r="BM7" s="896" t="str">
        <f t="shared" ref="BM7:BM25" si="33">VLOOKUP(SMALL(BK$6:BK$25,ROW()-ROW(BM$5)),BK$6:BL$25,2,FALSE)</f>
        <v/>
      </c>
      <c r="BN7" s="896" t="str">
        <f t="shared" si="9"/>
        <v/>
      </c>
      <c r="BO7" s="896">
        <f>BO6+1</f>
        <v>2</v>
      </c>
      <c r="BP7" s="896" t="e">
        <f t="shared" ref="BP7:BP25" si="34">FIND(";",ForceSecretsTaken,BP6+1)</f>
        <v>#VALUE!</v>
      </c>
      <c r="BQ7" s="896" t="str">
        <f t="shared" si="10"/>
        <v/>
      </c>
      <c r="BR7" s="896"/>
      <c r="BS7" s="743">
        <f t="shared" ref="BS7:BS25" si="35">COUNTIF(BQ$6:BQ$25,"&lt;="&amp;BQ7)</f>
        <v>0</v>
      </c>
      <c r="BT7" s="896" t="str">
        <f t="shared" ref="BT7:BT25" si="36">BQ7</f>
        <v/>
      </c>
      <c r="BU7" s="896" t="str">
        <f t="shared" ref="BU7:BU25" si="37">VLOOKUP(SMALL(BS$6:BS$25,ROW()-ROW(BU$5)),BS$6:BT$25,2,FALSE)</f>
        <v/>
      </c>
      <c r="BV7" s="896" t="str">
        <f t="shared" si="11"/>
        <v/>
      </c>
      <c r="BW7" s="956">
        <f>BW6+1</f>
        <v>2</v>
      </c>
      <c r="BX7" s="956" t="e">
        <f t="shared" ref="BX7:BX25" si="38">FIND(";",EquipmentNameListStatBlock,BX6+1)</f>
        <v>#VALUE!</v>
      </c>
      <c r="BY7" s="956" t="str">
        <f t="shared" si="12"/>
        <v/>
      </c>
      <c r="BZ7" s="956" t="str">
        <f t="shared" ref="BZ7:BZ25" si="39">IF(BY7&lt;&gt;"",BY7&amp;IF(BZ8&lt;&gt;"",", "&amp;BZ8,""),BZ8)</f>
        <v/>
      </c>
    </row>
    <row r="8" spans="2:78">
      <c r="B8" s="26"/>
      <c r="C8" s="1741"/>
      <c r="D8" s="29"/>
      <c r="I8" s="718" t="str">
        <f>IF(HTML,TRW,"")&amp;K8&amp;L8&amp;M8&amp;IF(HTML,TRF,"")</f>
        <v/>
      </c>
      <c r="K8" s="718" t="str">
        <f>IF(DestinyPoints&gt;0,IF(HTML,BS&amp;"Destiny "&amp;BF&amp;DestinyPoints&amp;"; ","Destiny "&amp;DestinyPoints&amp;"; "),"")</f>
        <v/>
      </c>
      <c r="L8" s="718" t="str">
        <f>IF(ForcePoints&gt;0,IF(HTML,BS,"")&amp;"Force "&amp;IF(HTML,BF,"")&amp;ForcePoints&amp;IF(Feats!M306&gt;0,", Strong in the Force","")&amp;IF(M8&lt;&gt;"","; ",""),"")</f>
        <v/>
      </c>
      <c r="M8" s="718" t="str">
        <f>IF(DSP&gt;0,IF(HTML,BS,"")&amp;"Dark Side "&amp;IF(HTML,BF,"")&amp;DSP,"")</f>
        <v/>
      </c>
      <c r="T8" s="718">
        <f t="shared" ref="T8:T34" si="40">T7+1</f>
        <v>3</v>
      </c>
      <c r="U8" s="718" t="e">
        <f t="shared" ref="U8:U34" ca="1" si="41">FIND(";",FeatsTakenList,U7+1)</f>
        <v>#VALUE!</v>
      </c>
      <c r="V8" s="718" t="str">
        <f ca="1">IF(NOT(ISERROR(U8)),MID(FeatsTakenList,U7+1,U8-U7-1),"")</f>
        <v/>
      </c>
      <c r="W8" s="718" t="str">
        <f t="shared" ca="1" si="0"/>
        <v/>
      </c>
      <c r="X8" s="718">
        <f t="shared" ref="X8:X34" si="42">X7+1</f>
        <v>3</v>
      </c>
      <c r="Y8" s="718" t="e">
        <f t="shared" si="14"/>
        <v>#VALUE!</v>
      </c>
      <c r="Z8" s="718" t="str">
        <f t="shared" si="1"/>
        <v/>
      </c>
      <c r="AA8" s="718" t="str">
        <f t="shared" si="2"/>
        <v/>
      </c>
      <c r="AB8" s="718">
        <f t="shared" ref="AB8:AB19" si="43">AB7+1</f>
        <v>3</v>
      </c>
      <c r="AC8" s="718" t="e">
        <f t="shared" si="15"/>
        <v>#VALUE!</v>
      </c>
      <c r="AD8" s="718" t="str">
        <f t="shared" si="3"/>
        <v/>
      </c>
      <c r="AE8" s="718" t="str">
        <f t="shared" ref="AE8:AE19" si="44">IF(AD8&lt;&gt;"",AD8&amp;IF(AE9&lt;&gt;"",", ","")&amp;AE9,AE9)</f>
        <v/>
      </c>
      <c r="AF8" s="726">
        <f t="shared" ref="AF8:AF25" si="45">AF7+1</f>
        <v>3</v>
      </c>
      <c r="AG8" s="726" t="e">
        <f t="shared" ca="1" si="16"/>
        <v>#VALUE!</v>
      </c>
      <c r="AH8" s="726" t="str">
        <f t="shared" ca="1" si="17"/>
        <v/>
      </c>
      <c r="AJ8" s="743">
        <f t="shared" ca="1" si="18"/>
        <v>0</v>
      </c>
      <c r="AK8" s="726" t="str">
        <f t="shared" ca="1" si="19"/>
        <v/>
      </c>
      <c r="AL8" s="726" t="str">
        <f t="shared" ca="1" si="20"/>
        <v/>
      </c>
      <c r="AM8" s="726" t="str">
        <f t="shared" ca="1" si="4"/>
        <v/>
      </c>
      <c r="AN8" s="726">
        <f t="shared" ref="AN8:AN25" si="46">AN7+1</f>
        <v>3</v>
      </c>
      <c r="AO8" s="726" t="e">
        <f t="shared" ca="1" si="21"/>
        <v>#VALUE!</v>
      </c>
      <c r="AP8" s="726" t="str">
        <f t="shared" ca="1" si="22"/>
        <v/>
      </c>
      <c r="AR8" s="743">
        <f ca="1">COUNTIF($AP$6:$AP$25,"&lt;="&amp;AP8)</f>
        <v>0</v>
      </c>
      <c r="AS8" s="726" t="str">
        <f t="shared" ca="1" si="23"/>
        <v/>
      </c>
      <c r="AT8" s="726" t="str">
        <f t="shared" ca="1" si="24"/>
        <v/>
      </c>
      <c r="AU8" s="726" t="str">
        <f t="shared" ca="1" si="5"/>
        <v/>
      </c>
      <c r="AW8" s="896">
        <f t="shared" ref="AW8:AW25" si="47">AW7+1</f>
        <v>3</v>
      </c>
      <c r="AX8" s="896" t="e">
        <f t="shared" si="25"/>
        <v>#VALUE!</v>
      </c>
      <c r="AY8" s="896" t="str">
        <f t="shared" si="6"/>
        <v/>
      </c>
      <c r="AZ8" s="896"/>
      <c r="BA8" s="743">
        <f t="shared" si="26"/>
        <v>0</v>
      </c>
      <c r="BB8" s="896" t="str">
        <f t="shared" si="27"/>
        <v/>
      </c>
      <c r="BC8" s="1506" t="str">
        <f>IF(BB6&lt;&gt;"",IF(BB8&lt;&gt;"",TDWThird&amp;WFS&amp;IF(NOT(ISERROR(FIND("(",BB8,1))),IF(MID(BB8,FIND("(",BB8,1)+1,1)="4","qqqq",IF(MID(BB8,FIND("(",BB8,1)+1,1)="3","qqq",IF(MID(BB8,FIND("(",BB8,1)+1,1)="2","qq","q"))),"q")&amp;WFF&amp;" "&amp;IF(NOT(ISERROR(FIND("(",BB8,1))),LEFT(BB8,FIND("(",BB8,1)-1),BB8)&amp;"&lt;/TD&gt;","")&amp;"&lt;/TR&gt;","")</f>
        <v/>
      </c>
      <c r="BD8" s="1506" t="str">
        <f t="shared" si="28"/>
        <v/>
      </c>
      <c r="BE8" s="896" t="str">
        <f t="shared" si="29"/>
        <v/>
      </c>
      <c r="BF8" s="896" t="str">
        <f t="shared" si="7"/>
        <v/>
      </c>
      <c r="BG8" s="896">
        <f t="shared" ref="BG8:BG25" si="48">BG7+1</f>
        <v>3</v>
      </c>
      <c r="BH8" s="896" t="e">
        <f t="shared" si="30"/>
        <v>#VALUE!</v>
      </c>
      <c r="BI8" s="896" t="str">
        <f t="shared" si="8"/>
        <v/>
      </c>
      <c r="BJ8" s="896"/>
      <c r="BK8" s="743">
        <f t="shared" si="31"/>
        <v>0</v>
      </c>
      <c r="BL8" s="896" t="str">
        <f t="shared" si="32"/>
        <v/>
      </c>
      <c r="BM8" s="896" t="str">
        <f t="shared" si="33"/>
        <v/>
      </c>
      <c r="BN8" s="896" t="str">
        <f t="shared" si="9"/>
        <v/>
      </c>
      <c r="BO8" s="896">
        <f t="shared" ref="BO8:BO25" si="49">BO7+1</f>
        <v>3</v>
      </c>
      <c r="BP8" s="896" t="e">
        <f t="shared" si="34"/>
        <v>#VALUE!</v>
      </c>
      <c r="BQ8" s="896" t="str">
        <f t="shared" si="10"/>
        <v/>
      </c>
      <c r="BR8" s="896"/>
      <c r="BS8" s="743">
        <f t="shared" si="35"/>
        <v>0</v>
      </c>
      <c r="BT8" s="896" t="str">
        <f t="shared" si="36"/>
        <v/>
      </c>
      <c r="BU8" s="896" t="str">
        <f t="shared" si="37"/>
        <v/>
      </c>
      <c r="BV8" s="896" t="str">
        <f t="shared" si="11"/>
        <v/>
      </c>
      <c r="BW8" s="956">
        <f t="shared" ref="BW8:BW25" si="50">BW7+1</f>
        <v>3</v>
      </c>
      <c r="BX8" s="1070" t="e">
        <f t="shared" si="38"/>
        <v>#VALUE!</v>
      </c>
      <c r="BY8" s="1070" t="str">
        <f t="shared" si="12"/>
        <v/>
      </c>
      <c r="BZ8" s="956" t="str">
        <f t="shared" si="39"/>
        <v/>
      </c>
    </row>
    <row r="9" spans="2:78">
      <c r="B9" s="26"/>
      <c r="C9" s="1741"/>
      <c r="D9" s="29"/>
      <c r="H9" s="718" t="str">
        <f ca="1">P9&amp;Q9</f>
        <v>&lt;TR width=100%&gt;&lt;TD width=33% bgcolor=white align=left&gt;&lt;strong&gt;Init &lt;/strong&gt;+0&lt;/TD&gt;&lt;TD colspan=2 bgcolor=white align=left&gt;&lt;strong&gt;Senses &lt;/strong&gt;Perception +0</v>
      </c>
      <c r="I9" s="1506" t="str">
        <f t="shared" ref="I9:I16" ca="1" si="51">IF(AND(K9&lt;&gt;"",HTML),TRW,"")&amp;K9&amp;IF(AND(K9&lt;&gt;"",HTML),TRF,"")</f>
        <v>Init +0; Senses Perception +0</v>
      </c>
      <c r="K9" s="718" t="str">
        <f ca="1">IF(HTML,BS,"")&amp;"Init "&amp;IF(HTML,BF,"")&amp;IF(Talents!M37&gt;0,"Use the Force "&amp;IF(UsetheForce&lt;0,UsetheForce,"+"&amp;UsetheForce),IF(Initiative&lt;0,Initiative,"+"&amp;Initiative))&amp;M9&amp;"; "&amp;IF(HTML,BS,"")&amp;"Senses "&amp;IF(HTML,BF,"")&amp;N9&amp;O9&amp;L9&amp;IF(Talents!M120&gt;0,"Use the Force "&amp;IF(UsetheForce&lt;0,UsetheForce,"+"&amp;UsetheForce),"Perception "&amp;IF(Perception&lt;0,Perception,"+"&amp;Perception))</f>
        <v>Init +0; Senses Perception +0</v>
      </c>
      <c r="L9" s="718" t="str">
        <f>IF('The Force'!AK59&lt;&gt;"","Improved Sense Surroundings, ","")</f>
        <v/>
      </c>
      <c r="M9" s="718" t="str">
        <f>IF(Talents!M121&gt;0,"(Force Point: can reroll and keep better result)","")</f>
        <v/>
      </c>
      <c r="N9" s="718" t="str">
        <f>IF(OR(NOT(ISERROR(FIND("Darkvision",SpecialQualitiesStatBlock))),NOT(ISERROR(FIND("Subterranean",SpecialQualitiesStatBlock))),NOT(ISERROR(FIND("Darkvision",DroidSystemsOutput))),'Cybernetics and Biotech'!F47&lt;&gt;""),"darkvision, ","")</f>
        <v/>
      </c>
      <c r="O9" s="905" t="str">
        <f>IF(OR(NOT(ISERROR(FIND("Low-Light Vision",SpecialQualitiesStatBlock))),NOT(ISERROR(FIND("low-light vision",ArmorHelmet))),NOT(ISERROR(FIND("helmet package",ArmorHelmet))),NOT(ISERROR(FIND("Arctic",SpecialQualitiesStatBlock)))),"low-light vision, ","")</f>
        <v/>
      </c>
      <c r="P9" s="718" t="str">
        <f ca="1">"&lt;TR width=100%&gt;"&amp;TDWThird&amp;BS&amp;"Init "&amp;BF&amp;IF(Talents!M37&gt;0,"Use the Force "&amp;IF(UsetheForce&lt;0,UsetheForce,"+"&amp;UsetheForce),IF(Initiative&lt;0,Initiative,"+"&amp;Initiative))&amp;M9&amp;TDF</f>
        <v>&lt;TR width=100%&gt;&lt;TD width=33% bgcolor=white align=left&gt;&lt;strong&gt;Init &lt;/strong&gt;+0&lt;/TD&gt;</v>
      </c>
      <c r="Q9" s="718" t="str">
        <f ca="1">"&lt;TD colspan=2 bgcolor=white align=left&gt;"&amp;BS&amp;"Senses "&amp;BF&amp;N9&amp;O9&amp;L9&amp;IF(Talents!M120&gt;0,"Use the Force "&amp;IF(UsetheForce&lt;0,UsetheForce,"+"&amp;UsetheForce),"Perception "&amp;IF(Perception&lt;0,Perception,"+"&amp;Perception))&amp;TRFF</f>
        <v>&lt;TD colspan=2 bgcolor=white align=left&gt;&lt;strong&gt;Senses &lt;/strong&gt;Perception +0</v>
      </c>
      <c r="T9" s="718">
        <f t="shared" si="40"/>
        <v>4</v>
      </c>
      <c r="U9" s="718" t="e">
        <f t="shared" ca="1" si="41"/>
        <v>#VALUE!</v>
      </c>
      <c r="V9" s="718" t="str">
        <f t="shared" ca="1" si="13"/>
        <v/>
      </c>
      <c r="W9" s="718" t="str">
        <f t="shared" ca="1" si="0"/>
        <v/>
      </c>
      <c r="X9" s="718">
        <f t="shared" si="42"/>
        <v>4</v>
      </c>
      <c r="Y9" s="718" t="e">
        <f t="shared" si="14"/>
        <v>#VALUE!</v>
      </c>
      <c r="Z9" s="718" t="str">
        <f t="shared" si="1"/>
        <v/>
      </c>
      <c r="AA9" s="718" t="str">
        <f t="shared" si="2"/>
        <v/>
      </c>
      <c r="AB9" s="718">
        <f t="shared" si="43"/>
        <v>4</v>
      </c>
      <c r="AC9" s="718" t="e">
        <f t="shared" si="15"/>
        <v>#VALUE!</v>
      </c>
      <c r="AD9" s="718" t="str">
        <f t="shared" si="3"/>
        <v/>
      </c>
      <c r="AE9" s="718" t="str">
        <f t="shared" si="44"/>
        <v/>
      </c>
      <c r="AF9" s="726">
        <f t="shared" si="45"/>
        <v>4</v>
      </c>
      <c r="AG9" s="726" t="e">
        <f t="shared" ca="1" si="16"/>
        <v>#VALUE!</v>
      </c>
      <c r="AH9" s="726" t="str">
        <f t="shared" ca="1" si="17"/>
        <v/>
      </c>
      <c r="AJ9" s="743">
        <f t="shared" ca="1" si="18"/>
        <v>0</v>
      </c>
      <c r="AK9" s="726" t="str">
        <f t="shared" ca="1" si="19"/>
        <v/>
      </c>
      <c r="AL9" s="726" t="str">
        <f t="shared" ca="1" si="20"/>
        <v/>
      </c>
      <c r="AM9" s="726" t="str">
        <f t="shared" ca="1" si="4"/>
        <v/>
      </c>
      <c r="AN9" s="726">
        <f t="shared" si="46"/>
        <v>4</v>
      </c>
      <c r="AO9" s="726" t="e">
        <f t="shared" ca="1" si="21"/>
        <v>#VALUE!</v>
      </c>
      <c r="AP9" s="726" t="str">
        <f t="shared" ca="1" si="22"/>
        <v/>
      </c>
      <c r="AR9" s="743">
        <f ca="1">COUNTIF($AP$6:$AP$25,"&lt;="&amp;AP9)</f>
        <v>0</v>
      </c>
      <c r="AS9" s="726" t="str">
        <f t="shared" ca="1" si="23"/>
        <v/>
      </c>
      <c r="AT9" s="726" t="str">
        <f t="shared" ca="1" si="24"/>
        <v/>
      </c>
      <c r="AU9" s="726" t="str">
        <f t="shared" ca="1" si="5"/>
        <v/>
      </c>
      <c r="AW9" s="896">
        <f t="shared" si="47"/>
        <v>4</v>
      </c>
      <c r="AX9" s="896" t="e">
        <f t="shared" si="25"/>
        <v>#VALUE!</v>
      </c>
      <c r="AY9" s="896" t="str">
        <f t="shared" si="6"/>
        <v/>
      </c>
      <c r="AZ9" s="896"/>
      <c r="BA9" s="743">
        <f t="shared" si="26"/>
        <v>0</v>
      </c>
      <c r="BB9" s="896" t="str">
        <f t="shared" si="27"/>
        <v/>
      </c>
      <c r="BC9" s="1526" t="str">
        <f>IF(BB9&lt;&gt;"","&lt;TR&gt;"&amp;TDWThird&amp;WFS&amp;IF(NOT(ISERROR(FIND("(",BB9,1))),IF(MID(BB9,FIND("(",BB9,1)+1,1)="4","qqqq",IF(MID(BB9,FIND("(",BB9,1)+1,1)="3","qqq",IF(MID(BB9,FIND("(",BB9,1)+1,1)="2","qq","q"))),"q")&amp;WFF&amp;" "&amp;IF(NOT(ISERROR(FIND("(",BB9,1))),LEFT(BB9,FIND("(",BB9,1)-1),BB9)&amp;"&lt;/TD&gt;","")</f>
        <v/>
      </c>
      <c r="BD9" s="1506" t="str">
        <f t="shared" si="28"/>
        <v/>
      </c>
      <c r="BE9" s="896" t="str">
        <f t="shared" si="29"/>
        <v/>
      </c>
      <c r="BF9" s="896" t="str">
        <f t="shared" si="7"/>
        <v/>
      </c>
      <c r="BG9" s="896">
        <f t="shared" si="48"/>
        <v>4</v>
      </c>
      <c r="BH9" s="896" t="e">
        <f t="shared" si="30"/>
        <v>#VALUE!</v>
      </c>
      <c r="BI9" s="896" t="str">
        <f t="shared" si="8"/>
        <v/>
      </c>
      <c r="BJ9" s="896"/>
      <c r="BK9" s="743">
        <f t="shared" si="31"/>
        <v>0</v>
      </c>
      <c r="BL9" s="896" t="str">
        <f t="shared" si="32"/>
        <v/>
      </c>
      <c r="BM9" s="896" t="str">
        <f t="shared" si="33"/>
        <v/>
      </c>
      <c r="BN9" s="896" t="str">
        <f t="shared" si="9"/>
        <v/>
      </c>
      <c r="BO9" s="896">
        <f t="shared" si="49"/>
        <v>4</v>
      </c>
      <c r="BP9" s="896" t="e">
        <f t="shared" si="34"/>
        <v>#VALUE!</v>
      </c>
      <c r="BQ9" s="896" t="str">
        <f t="shared" si="10"/>
        <v/>
      </c>
      <c r="BR9" s="896"/>
      <c r="BS9" s="743">
        <f t="shared" si="35"/>
        <v>0</v>
      </c>
      <c r="BT9" s="896" t="str">
        <f t="shared" si="36"/>
        <v/>
      </c>
      <c r="BU9" s="896" t="str">
        <f t="shared" si="37"/>
        <v/>
      </c>
      <c r="BV9" s="896" t="str">
        <f t="shared" si="11"/>
        <v/>
      </c>
      <c r="BW9" s="956">
        <f t="shared" si="50"/>
        <v>4</v>
      </c>
      <c r="BX9" s="1070" t="e">
        <f t="shared" si="38"/>
        <v>#VALUE!</v>
      </c>
      <c r="BY9" s="1070" t="str">
        <f t="shared" si="12"/>
        <v/>
      </c>
      <c r="BZ9" s="956" t="str">
        <f t="shared" si="39"/>
        <v/>
      </c>
    </row>
    <row r="10" spans="2:78">
      <c r="B10" s="26"/>
      <c r="C10" s="1741"/>
      <c r="D10" s="29"/>
      <c r="I10" s="1506" t="str">
        <f t="shared" si="51"/>
        <v xml:space="preserve">Languages </v>
      </c>
      <c r="K10" s="718" t="str">
        <f>IF(HTML,BS,"")&amp;"Languages "&amp;IF(HTML,BF,"")&amp;LanguagesStatBlock</f>
        <v xml:space="preserve">Languages </v>
      </c>
      <c r="T10" s="718">
        <f t="shared" si="40"/>
        <v>5</v>
      </c>
      <c r="U10" s="718" t="e">
        <f t="shared" ca="1" si="41"/>
        <v>#VALUE!</v>
      </c>
      <c r="V10" s="718" t="str">
        <f t="shared" ca="1" si="13"/>
        <v/>
      </c>
      <c r="W10" s="718" t="str">
        <f t="shared" ca="1" si="0"/>
        <v/>
      </c>
      <c r="X10" s="718">
        <f t="shared" si="42"/>
        <v>5</v>
      </c>
      <c r="Y10" s="718" t="e">
        <f t="shared" si="14"/>
        <v>#VALUE!</v>
      </c>
      <c r="Z10" s="718" t="str">
        <f t="shared" si="1"/>
        <v/>
      </c>
      <c r="AA10" s="718" t="str">
        <f t="shared" si="2"/>
        <v/>
      </c>
      <c r="AB10" s="718">
        <f t="shared" si="43"/>
        <v>5</v>
      </c>
      <c r="AC10" s="718" t="e">
        <f t="shared" si="15"/>
        <v>#VALUE!</v>
      </c>
      <c r="AD10" s="718" t="str">
        <f t="shared" si="3"/>
        <v/>
      </c>
      <c r="AE10" s="718" t="str">
        <f t="shared" si="44"/>
        <v/>
      </c>
      <c r="AF10" s="726">
        <f t="shared" si="45"/>
        <v>5</v>
      </c>
      <c r="AG10" s="726" t="e">
        <f t="shared" ca="1" si="16"/>
        <v>#VALUE!</v>
      </c>
      <c r="AH10" s="726" t="str">
        <f t="shared" ca="1" si="17"/>
        <v/>
      </c>
      <c r="AJ10" s="743">
        <f t="shared" ca="1" si="18"/>
        <v>0</v>
      </c>
      <c r="AK10" s="726" t="str">
        <f t="shared" ca="1" si="19"/>
        <v/>
      </c>
      <c r="AL10" s="726" t="str">
        <f t="shared" ca="1" si="20"/>
        <v/>
      </c>
      <c r="AM10" s="726" t="str">
        <f t="shared" ca="1" si="4"/>
        <v/>
      </c>
      <c r="AN10" s="726">
        <f t="shared" si="46"/>
        <v>5</v>
      </c>
      <c r="AO10" s="726" t="e">
        <f t="shared" ca="1" si="21"/>
        <v>#VALUE!</v>
      </c>
      <c r="AP10" s="726" t="str">
        <f t="shared" ca="1" si="22"/>
        <v/>
      </c>
      <c r="AR10" s="743">
        <f ca="1">COUNTIF(AP$6:AP$25,"&lt;="&amp;AP10)</f>
        <v>0</v>
      </c>
      <c r="AS10" s="726" t="str">
        <f t="shared" ca="1" si="23"/>
        <v/>
      </c>
      <c r="AT10" s="726" t="str">
        <f t="shared" ca="1" si="24"/>
        <v/>
      </c>
      <c r="AU10" s="726" t="str">
        <f t="shared" ca="1" si="5"/>
        <v/>
      </c>
      <c r="AW10" s="896">
        <f t="shared" si="47"/>
        <v>5</v>
      </c>
      <c r="AX10" s="896" t="e">
        <f t="shared" si="25"/>
        <v>#VALUE!</v>
      </c>
      <c r="AY10" s="896" t="str">
        <f t="shared" si="6"/>
        <v/>
      </c>
      <c r="AZ10" s="896"/>
      <c r="BA10" s="743">
        <f t="shared" si="26"/>
        <v>0</v>
      </c>
      <c r="BB10" s="896" t="str">
        <f t="shared" si="27"/>
        <v/>
      </c>
      <c r="BC10" s="1526" t="str">
        <f>IF(BB10&lt;&gt;"",TDWThird&amp;WFS&amp;IF(NOT(ISERROR(FIND("(",BB10,1))),IF(MID(BB10,FIND("(",BB10,1)+1,1)="4","qqqq",IF(MID(BB10,FIND("(",BB10,1)+1,1)="3","qqq",IF(MID(BB10,FIND("(",BB10,1)+1,1)="2","qq","q"))),"q")&amp;WFF&amp;" "&amp;IF(NOT(ISERROR(FIND("(",BB10,1))),LEFT(BB10,FIND("(",BB10,1)-1),BB10)&amp;"&lt;/TD&gt;","")</f>
        <v/>
      </c>
      <c r="BD10" s="1506" t="str">
        <f t="shared" si="28"/>
        <v/>
      </c>
      <c r="BE10" s="896" t="str">
        <f t="shared" si="29"/>
        <v/>
      </c>
      <c r="BF10" s="896" t="str">
        <f t="shared" si="7"/>
        <v/>
      </c>
      <c r="BG10" s="896">
        <f t="shared" si="48"/>
        <v>5</v>
      </c>
      <c r="BH10" s="896" t="e">
        <f t="shared" si="30"/>
        <v>#VALUE!</v>
      </c>
      <c r="BI10" s="896" t="str">
        <f t="shared" si="8"/>
        <v/>
      </c>
      <c r="BJ10" s="896"/>
      <c r="BK10" s="743">
        <f t="shared" si="31"/>
        <v>0</v>
      </c>
      <c r="BL10" s="896" t="str">
        <f t="shared" si="32"/>
        <v/>
      </c>
      <c r="BM10" s="896" t="str">
        <f t="shared" si="33"/>
        <v/>
      </c>
      <c r="BN10" s="896" t="str">
        <f t="shared" si="9"/>
        <v/>
      </c>
      <c r="BO10" s="896">
        <f t="shared" si="49"/>
        <v>5</v>
      </c>
      <c r="BP10" s="896" t="e">
        <f t="shared" si="34"/>
        <v>#VALUE!</v>
      </c>
      <c r="BQ10" s="896" t="str">
        <f t="shared" si="10"/>
        <v/>
      </c>
      <c r="BR10" s="896"/>
      <c r="BS10" s="743">
        <f t="shared" si="35"/>
        <v>0</v>
      </c>
      <c r="BT10" s="896" t="str">
        <f t="shared" si="36"/>
        <v/>
      </c>
      <c r="BU10" s="896" t="str">
        <f t="shared" si="37"/>
        <v/>
      </c>
      <c r="BV10" s="896" t="str">
        <f t="shared" si="11"/>
        <v/>
      </c>
      <c r="BW10" s="956">
        <f t="shared" si="50"/>
        <v>5</v>
      </c>
      <c r="BX10" s="1070" t="e">
        <f t="shared" si="38"/>
        <v>#VALUE!</v>
      </c>
      <c r="BY10" s="1070" t="str">
        <f t="shared" si="12"/>
        <v/>
      </c>
      <c r="BZ10" s="956" t="str">
        <f t="shared" si="39"/>
        <v/>
      </c>
    </row>
    <row r="11" spans="2:78">
      <c r="B11" s="26"/>
      <c r="C11" s="1741"/>
      <c r="D11" s="29"/>
      <c r="G11" s="718" t="str">
        <f ca="1">I11&amp;"
"&amp;I12&amp;IF(I13&lt;&gt;"","
"&amp;I13,"")</f>
        <v>Defenses Ref 10 (10 flat-footed), Fort 10, Will 10; 0
hp 0; DR 0; Threshold 10</v>
      </c>
      <c r="H11" s="718" t="e">
        <f ca="1">I12&amp;"
"&amp;IF(Tables,N11,I11)&amp;IF(I13&lt;&gt;"","
"&amp;I13,"")&amp;"
"&amp;I14&amp;IF(I8&lt;&gt;"","
"&amp;I8,"")</f>
        <v>#VALUE!</v>
      </c>
      <c r="I11" s="1506" t="str">
        <f t="shared" ca="1" si="51"/>
        <v>Defenses Ref 10 (10 flat-footed), Fort 10, Will 10; 0</v>
      </c>
      <c r="K11" s="718" t="str">
        <f ca="1">IF(NewStatBlock,"","Defenses ")&amp;IF(HTML,BS,"")&amp;IF(NewStatBlock,"Reflex ","Ref ")&amp;IF(HTML,BF,"")&amp;RefDefense&amp;" ("&amp;RefDefense-MAX(DexMod,0)&amp;" flat-footed"&amp;L11&amp;")"&amp;IF(HTML,BS,"")&amp;IF(NewStatBlock," Fortitude ",IF(HTML,BF,"")&amp;", "&amp;IF(HTML,BS,"")&amp;"Fort ")&amp;IF(HTML,BF,"")&amp;FortDefense&amp;IF(HTML,BS,"")&amp;IF(NewStatBlock," Will ",IF(HTML,BF,"")&amp;", "&amp;IF(HTML,BS,"")&amp;"Will ")&amp;IF(HTML,BF,"")&amp;WillDefense&amp;IF(AND(NewStatBlock=FALSE,OR(DefensesList&lt;&gt;"",TalentsDefensesList&lt;&gt;"")),"; "&amp;IF(DefensesList&lt;&gt;"",DefensesList&amp;IF(TalentsDefensesList&lt;&gt;"",", ",""),"")&amp;IF(TalentsDefensesList&lt;&gt;"",TalentsDefensesList,""),"")&amp;IF(M11&lt;&gt;"","
"&amp;M11,"")</f>
        <v>Defenses Ref 10 (10 flat-footed), Fort 10, Will 10; 0</v>
      </c>
      <c r="L11" s="718" t="str">
        <f>IF(Talents!M68&gt;0,", Lightsaber Defense "&amp;Talents!M68+RefDefense,"")</f>
        <v/>
      </c>
      <c r="M11" s="718" t="str">
        <f>IF(Padawan,"    (Ref "&amp;PadawanRef&amp;" ["&amp;PadawanRef-MAX(DexMod,0)&amp;" flat-footed], Fort "&amp;PadawanFort&amp;", Will "&amp;PadawanWill&amp;" if within 12 squares of master)","")</f>
        <v/>
      </c>
      <c r="N11" s="718" t="str">
        <f>IF(AND(NewStatBlock,Tables,HTML),"&lt;TR&gt;&lt;TD width=25% align=left&gt;&lt;b&gt;Reflex &lt;/b&gt;"&amp;RefDefense&amp;"&lt;/TD&gt;&lt;TD width=25% align=left&gt;&lt;b&gt;Fortitude &lt;/b&gt;"&amp;FortDefense&amp;"&lt;/TD&gt;&lt;TD width=25% align=left&gt;&lt;b&gt;Will &lt;/b&gt;"&amp;WillDefense&amp;"&lt;/TD&gt;&lt;TD width=25%&gt; &lt;/TD&gt;&lt;/TR&gt;","")</f>
        <v/>
      </c>
      <c r="T11" s="718">
        <f t="shared" si="40"/>
        <v>6</v>
      </c>
      <c r="U11" s="718" t="e">
        <f t="shared" ca="1" si="41"/>
        <v>#VALUE!</v>
      </c>
      <c r="V11" s="718" t="str">
        <f t="shared" ca="1" si="13"/>
        <v/>
      </c>
      <c r="W11" s="718" t="str">
        <f t="shared" ca="1" si="0"/>
        <v/>
      </c>
      <c r="X11" s="718">
        <f t="shared" si="42"/>
        <v>6</v>
      </c>
      <c r="Y11" s="718" t="e">
        <f t="shared" si="14"/>
        <v>#VALUE!</v>
      </c>
      <c r="Z11" s="718" t="str">
        <f t="shared" si="1"/>
        <v/>
      </c>
      <c r="AA11" s="718" t="str">
        <f t="shared" si="2"/>
        <v/>
      </c>
      <c r="AB11" s="718">
        <f t="shared" si="43"/>
        <v>6</v>
      </c>
      <c r="AC11" s="718" t="e">
        <f t="shared" si="15"/>
        <v>#VALUE!</v>
      </c>
      <c r="AD11" s="718" t="str">
        <f t="shared" si="3"/>
        <v/>
      </c>
      <c r="AE11" s="718" t="str">
        <f t="shared" si="44"/>
        <v/>
      </c>
      <c r="AF11" s="726">
        <f t="shared" si="45"/>
        <v>6</v>
      </c>
      <c r="AG11" s="726" t="e">
        <f t="shared" ca="1" si="16"/>
        <v>#VALUE!</v>
      </c>
      <c r="AH11" s="726" t="str">
        <f t="shared" ca="1" si="17"/>
        <v/>
      </c>
      <c r="AJ11" s="743">
        <f t="shared" ca="1" si="18"/>
        <v>0</v>
      </c>
      <c r="AK11" s="726" t="str">
        <f t="shared" ca="1" si="19"/>
        <v/>
      </c>
      <c r="AL11" s="726" t="str">
        <f t="shared" ca="1" si="20"/>
        <v/>
      </c>
      <c r="AM11" s="726" t="str">
        <f t="shared" ca="1" si="4"/>
        <v/>
      </c>
      <c r="AN11" s="726">
        <f t="shared" si="46"/>
        <v>6</v>
      </c>
      <c r="AO11" s="726" t="e">
        <f t="shared" ca="1" si="21"/>
        <v>#VALUE!</v>
      </c>
      <c r="AP11" s="726" t="str">
        <f t="shared" ca="1" si="22"/>
        <v/>
      </c>
      <c r="AR11" s="743">
        <f t="shared" ref="AR11:AR25" ca="1" si="52">COUNTIF($AP$6:$AP$25,"&lt;="&amp;AP11)</f>
        <v>0</v>
      </c>
      <c r="AS11" s="726" t="str">
        <f t="shared" ca="1" si="23"/>
        <v/>
      </c>
      <c r="AT11" s="726" t="str">
        <f t="shared" ca="1" si="24"/>
        <v/>
      </c>
      <c r="AU11" s="726" t="str">
        <f t="shared" ca="1" si="5"/>
        <v/>
      </c>
      <c r="AW11" s="896">
        <f t="shared" si="47"/>
        <v>6</v>
      </c>
      <c r="AX11" s="896" t="e">
        <f t="shared" si="25"/>
        <v>#VALUE!</v>
      </c>
      <c r="AY11" s="896" t="str">
        <f t="shared" si="6"/>
        <v/>
      </c>
      <c r="AZ11" s="896"/>
      <c r="BA11" s="743">
        <f t="shared" si="26"/>
        <v>0</v>
      </c>
      <c r="BB11" s="896" t="str">
        <f t="shared" si="27"/>
        <v/>
      </c>
      <c r="BC11" s="1526" t="str">
        <f>IF(BB9&lt;&gt;"",IF(BB11&lt;&gt;"",TDWThird&amp;WFS&amp;IF(NOT(ISERROR(FIND("(",BB11,1))),IF(MID(BB11,FIND("(",BB11,1)+1,1)="4","qqqq",IF(MID(BB11,FIND("(",BB11,1)+1,1)="3","qqq",IF(MID(BB11,FIND("(",BB11,1)+1,1)="2","qq","q"))),"q")&amp;WFF&amp;" "&amp;IF(NOT(ISERROR(FIND("(",BB11,1))),LEFT(BB11,FIND("(",BB11,1)-1),BB11)&amp;"&lt;/TD&gt;","")&amp;"&lt;/TR&gt;","")</f>
        <v/>
      </c>
      <c r="BD11" s="1506" t="str">
        <f t="shared" si="28"/>
        <v/>
      </c>
      <c r="BE11" s="896" t="str">
        <f t="shared" si="29"/>
        <v/>
      </c>
      <c r="BF11" s="896" t="str">
        <f t="shared" si="7"/>
        <v/>
      </c>
      <c r="BG11" s="896">
        <f t="shared" si="48"/>
        <v>6</v>
      </c>
      <c r="BH11" s="896" t="e">
        <f t="shared" si="30"/>
        <v>#VALUE!</v>
      </c>
      <c r="BI11" s="896" t="str">
        <f t="shared" si="8"/>
        <v/>
      </c>
      <c r="BJ11" s="896"/>
      <c r="BK11" s="743">
        <f t="shared" si="31"/>
        <v>0</v>
      </c>
      <c r="BL11" s="896" t="str">
        <f t="shared" si="32"/>
        <v/>
      </c>
      <c r="BM11" s="896" t="str">
        <f t="shared" si="33"/>
        <v/>
      </c>
      <c r="BN11" s="896" t="str">
        <f t="shared" si="9"/>
        <v/>
      </c>
      <c r="BO11" s="896">
        <f t="shared" si="49"/>
        <v>6</v>
      </c>
      <c r="BP11" s="896" t="e">
        <f t="shared" si="34"/>
        <v>#VALUE!</v>
      </c>
      <c r="BQ11" s="896" t="str">
        <f t="shared" si="10"/>
        <v/>
      </c>
      <c r="BR11" s="896"/>
      <c r="BS11" s="743">
        <f t="shared" si="35"/>
        <v>0</v>
      </c>
      <c r="BT11" s="896" t="str">
        <f t="shared" si="36"/>
        <v/>
      </c>
      <c r="BU11" s="896" t="str">
        <f t="shared" si="37"/>
        <v/>
      </c>
      <c r="BV11" s="896" t="str">
        <f t="shared" si="11"/>
        <v/>
      </c>
      <c r="BW11" s="956">
        <f t="shared" si="50"/>
        <v>6</v>
      </c>
      <c r="BX11" s="1070" t="e">
        <f t="shared" si="38"/>
        <v>#VALUE!</v>
      </c>
      <c r="BY11" s="1070" t="str">
        <f t="shared" si="12"/>
        <v/>
      </c>
      <c r="BZ11" s="956" t="str">
        <f t="shared" si="39"/>
        <v/>
      </c>
    </row>
    <row r="12" spans="2:78">
      <c r="B12" s="26"/>
      <c r="C12" s="1741"/>
      <c r="D12" s="29"/>
      <c r="I12" s="1506" t="str">
        <f t="shared" ca="1" si="51"/>
        <v>hp 0; DR 0; Threshold 10</v>
      </c>
      <c r="K12" s="718" t="str">
        <f ca="1">IF(HTML,BS,"")&amp;"hp "&amp;IF(HTML,BF,"")&amp;HitPoints&amp;"; "&amp;IF(DamageReduction&lt;&gt;"",IF(HTML,BS,"")&amp;"DR "&amp;IF(HTML,BF,"")&amp;DamageReduction&amp;"; ","")&amp;IF(N12&lt;&gt;"",N12&amp;"; ","")&amp;IF(HTML,BS,"")&amp;"Threshold "&amp;IF(HTML,BF,"")&amp;DamageThreshold</f>
        <v>hp 0; DR 0; Threshold 10</v>
      </c>
      <c r="N12" s="718" t="str">
        <f>IF(DroidShield&lt;&gt;"",IF(HTML,BS,"")&amp;"SR "&amp;IF(HTML,BF,"")&amp;DroidShield,"")</f>
        <v/>
      </c>
      <c r="T12" s="718">
        <f t="shared" si="40"/>
        <v>7</v>
      </c>
      <c r="U12" s="718" t="e">
        <f t="shared" ca="1" si="41"/>
        <v>#VALUE!</v>
      </c>
      <c r="V12" s="718" t="str">
        <f t="shared" ca="1" si="13"/>
        <v/>
      </c>
      <c r="W12" s="718" t="str">
        <f t="shared" ca="1" si="0"/>
        <v/>
      </c>
      <c r="X12" s="718">
        <f t="shared" si="42"/>
        <v>7</v>
      </c>
      <c r="Y12" s="718" t="e">
        <f t="shared" si="14"/>
        <v>#VALUE!</v>
      </c>
      <c r="Z12" s="718" t="str">
        <f t="shared" si="1"/>
        <v/>
      </c>
      <c r="AA12" s="718" t="str">
        <f t="shared" si="2"/>
        <v/>
      </c>
      <c r="AB12" s="718">
        <f t="shared" si="43"/>
        <v>7</v>
      </c>
      <c r="AC12" s="718" t="e">
        <f t="shared" si="15"/>
        <v>#VALUE!</v>
      </c>
      <c r="AD12" s="718" t="str">
        <f t="shared" si="3"/>
        <v/>
      </c>
      <c r="AE12" s="718" t="str">
        <f t="shared" si="44"/>
        <v/>
      </c>
      <c r="AF12" s="726">
        <f t="shared" si="45"/>
        <v>7</v>
      </c>
      <c r="AG12" s="726" t="e">
        <f t="shared" ca="1" si="16"/>
        <v>#VALUE!</v>
      </c>
      <c r="AH12" s="726" t="str">
        <f t="shared" ca="1" si="17"/>
        <v/>
      </c>
      <c r="AJ12" s="743">
        <f t="shared" ca="1" si="18"/>
        <v>0</v>
      </c>
      <c r="AK12" s="726" t="str">
        <f t="shared" ca="1" si="19"/>
        <v/>
      </c>
      <c r="AL12" s="726" t="str">
        <f t="shared" ca="1" si="20"/>
        <v/>
      </c>
      <c r="AM12" s="726" t="str">
        <f t="shared" ca="1" si="4"/>
        <v/>
      </c>
      <c r="AN12" s="726">
        <f t="shared" si="46"/>
        <v>7</v>
      </c>
      <c r="AO12" s="726" t="e">
        <f t="shared" ca="1" si="21"/>
        <v>#VALUE!</v>
      </c>
      <c r="AP12" s="726" t="str">
        <f t="shared" ca="1" si="22"/>
        <v/>
      </c>
      <c r="AR12" s="743">
        <f t="shared" ca="1" si="52"/>
        <v>0</v>
      </c>
      <c r="AS12" s="726" t="str">
        <f t="shared" ca="1" si="23"/>
        <v/>
      </c>
      <c r="AT12" s="726" t="str">
        <f t="shared" ca="1" si="24"/>
        <v/>
      </c>
      <c r="AU12" s="726" t="str">
        <f t="shared" ca="1" si="5"/>
        <v/>
      </c>
      <c r="AW12" s="896">
        <f t="shared" si="47"/>
        <v>7</v>
      </c>
      <c r="AX12" s="896" t="e">
        <f t="shared" si="25"/>
        <v>#VALUE!</v>
      </c>
      <c r="AY12" s="896" t="str">
        <f t="shared" si="6"/>
        <v/>
      </c>
      <c r="AZ12" s="896"/>
      <c r="BA12" s="743">
        <f t="shared" si="26"/>
        <v>0</v>
      </c>
      <c r="BB12" s="896" t="str">
        <f t="shared" si="27"/>
        <v/>
      </c>
      <c r="BC12" s="1526" t="str">
        <f>IF(BB12&lt;&gt;"","&lt;TR&gt;"&amp;TDWThird&amp;WFS&amp;IF(NOT(ISERROR(FIND("(",BB12,1))),IF(MID(BB12,FIND("(",BB12,1)+1,1)="4","qqqq",IF(MID(BB12,FIND("(",BB12,1)+1,1)="3","qqq",IF(MID(BB12,FIND("(",BB12,1)+1,1)="2","qq","q"))),"q")&amp;WFF&amp;" "&amp;IF(NOT(ISERROR(FIND("(",BB12,1))),LEFT(BB12,FIND("(",BB12,1)-1),BB12)&amp;"&lt;/TD&gt;","")</f>
        <v/>
      </c>
      <c r="BD12" s="1506" t="str">
        <f t="shared" si="28"/>
        <v/>
      </c>
      <c r="BE12" s="896" t="str">
        <f t="shared" si="29"/>
        <v/>
      </c>
      <c r="BF12" s="896" t="str">
        <f t="shared" si="7"/>
        <v/>
      </c>
      <c r="BG12" s="896">
        <f t="shared" si="48"/>
        <v>7</v>
      </c>
      <c r="BH12" s="896" t="e">
        <f t="shared" si="30"/>
        <v>#VALUE!</v>
      </c>
      <c r="BI12" s="896" t="str">
        <f t="shared" si="8"/>
        <v/>
      </c>
      <c r="BJ12" s="896"/>
      <c r="BK12" s="743">
        <f t="shared" si="31"/>
        <v>0</v>
      </c>
      <c r="BL12" s="896" t="str">
        <f t="shared" si="32"/>
        <v/>
      </c>
      <c r="BM12" s="896" t="str">
        <f t="shared" si="33"/>
        <v/>
      </c>
      <c r="BN12" s="896" t="str">
        <f t="shared" si="9"/>
        <v/>
      </c>
      <c r="BO12" s="896">
        <f t="shared" si="49"/>
        <v>7</v>
      </c>
      <c r="BP12" s="896" t="e">
        <f t="shared" si="34"/>
        <v>#VALUE!</v>
      </c>
      <c r="BQ12" s="896" t="str">
        <f t="shared" si="10"/>
        <v/>
      </c>
      <c r="BR12" s="896"/>
      <c r="BS12" s="743">
        <f t="shared" si="35"/>
        <v>0</v>
      </c>
      <c r="BT12" s="896" t="str">
        <f t="shared" si="36"/>
        <v/>
      </c>
      <c r="BU12" s="896" t="str">
        <f t="shared" si="37"/>
        <v/>
      </c>
      <c r="BV12" s="896" t="str">
        <f t="shared" si="11"/>
        <v/>
      </c>
      <c r="BW12" s="956">
        <f t="shared" si="50"/>
        <v>7</v>
      </c>
      <c r="BX12" s="1070" t="e">
        <f t="shared" si="38"/>
        <v>#VALUE!</v>
      </c>
      <c r="BY12" s="1070" t="str">
        <f t="shared" si="12"/>
        <v/>
      </c>
      <c r="BZ12" s="956" t="str">
        <f t="shared" si="39"/>
        <v/>
      </c>
    </row>
    <row r="13" spans="2:78">
      <c r="B13" s="26"/>
      <c r="C13" s="1741"/>
      <c r="D13" s="29"/>
      <c r="I13" s="1506" t="str">
        <f t="shared" ca="1" si="51"/>
        <v/>
      </c>
      <c r="J13" s="896"/>
      <c r="K13" s="896" t="str">
        <f ca="1">IF(OR(L13&lt;&gt;""),"Immune"&amp;L13,"")</f>
        <v/>
      </c>
      <c r="L13" s="1377" t="str">
        <f ca="1">IF(NOT(ISERROR(FIND("Fearless",ClassSpecials,1)))," fear effects"&amp;IF(M13&lt;&gt;"",",",""),"")</f>
        <v/>
      </c>
      <c r="M13" s="1377" t="str">
        <f ca="1">IF(NOT(ISERROR(FIND("Indomitable",ClassSpecials,1)))," mind-affecting","")</f>
        <v/>
      </c>
      <c r="T13" s="718">
        <f t="shared" si="40"/>
        <v>8</v>
      </c>
      <c r="U13" s="718" t="e">
        <f t="shared" ca="1" si="41"/>
        <v>#VALUE!</v>
      </c>
      <c r="V13" s="718" t="str">
        <f t="shared" ca="1" si="13"/>
        <v/>
      </c>
      <c r="W13" s="718" t="str">
        <f ca="1">IF(V13&lt;&gt;"",V13&amp;IF(W14&lt;&gt;"",", ","")&amp;W14,W14)</f>
        <v/>
      </c>
      <c r="X13" s="718">
        <f t="shared" si="42"/>
        <v>8</v>
      </c>
      <c r="Y13" s="718" t="e">
        <f t="shared" si="14"/>
        <v>#VALUE!</v>
      </c>
      <c r="Z13" s="718" t="str">
        <f t="shared" si="1"/>
        <v/>
      </c>
      <c r="AA13" s="718" t="str">
        <f t="shared" si="2"/>
        <v/>
      </c>
      <c r="AB13" s="718">
        <f t="shared" si="43"/>
        <v>8</v>
      </c>
      <c r="AC13" s="718" t="e">
        <f t="shared" si="15"/>
        <v>#VALUE!</v>
      </c>
      <c r="AD13" s="718" t="str">
        <f t="shared" si="3"/>
        <v/>
      </c>
      <c r="AE13" s="718" t="str">
        <f t="shared" si="44"/>
        <v/>
      </c>
      <c r="AF13" s="726">
        <f t="shared" si="45"/>
        <v>8</v>
      </c>
      <c r="AG13" s="726" t="e">
        <f t="shared" ca="1" si="16"/>
        <v>#VALUE!</v>
      </c>
      <c r="AH13" s="726" t="str">
        <f t="shared" ca="1" si="17"/>
        <v/>
      </c>
      <c r="AJ13" s="743">
        <f t="shared" ca="1" si="18"/>
        <v>0</v>
      </c>
      <c r="AK13" s="726" t="str">
        <f t="shared" ca="1" si="19"/>
        <v/>
      </c>
      <c r="AL13" s="726" t="str">
        <f t="shared" ca="1" si="20"/>
        <v/>
      </c>
      <c r="AM13" s="726" t="str">
        <f t="shared" ca="1" si="4"/>
        <v/>
      </c>
      <c r="AN13" s="726">
        <f t="shared" si="46"/>
        <v>8</v>
      </c>
      <c r="AO13" s="726" t="e">
        <f t="shared" ca="1" si="21"/>
        <v>#VALUE!</v>
      </c>
      <c r="AP13" s="726" t="str">
        <f t="shared" ca="1" si="22"/>
        <v/>
      </c>
      <c r="AR13" s="743">
        <f t="shared" ca="1" si="52"/>
        <v>0</v>
      </c>
      <c r="AS13" s="726" t="str">
        <f t="shared" ca="1" si="23"/>
        <v/>
      </c>
      <c r="AT13" s="726" t="str">
        <f t="shared" ca="1" si="24"/>
        <v/>
      </c>
      <c r="AU13" s="726" t="str">
        <f t="shared" ca="1" si="5"/>
        <v/>
      </c>
      <c r="AW13" s="896">
        <f t="shared" si="47"/>
        <v>8</v>
      </c>
      <c r="AX13" s="896" t="e">
        <f t="shared" si="25"/>
        <v>#VALUE!</v>
      </c>
      <c r="AY13" s="896" t="str">
        <f t="shared" si="6"/>
        <v/>
      </c>
      <c r="AZ13" s="896"/>
      <c r="BA13" s="743">
        <f t="shared" si="26"/>
        <v>0</v>
      </c>
      <c r="BB13" s="896" t="str">
        <f t="shared" si="27"/>
        <v/>
      </c>
      <c r="BC13" s="1526" t="str">
        <f>IF(BB13&lt;&gt;"",TDWThird&amp;WFS&amp;IF(NOT(ISERROR(FIND("(",BB13,1))),IF(MID(BB13,FIND("(",BB13,1)+1,1)="4","qqqq",IF(MID(BB13,FIND("(",BB13,1)+1,1)="3","qqq",IF(MID(BB13,FIND("(",BB13,1)+1,1)="2","qq","q"))),"q")&amp;WFF&amp;" "&amp;IF(NOT(ISERROR(FIND("(",BB13,1))),LEFT(BB13,FIND("(",BB13,1)-1),BB13)&amp;"&lt;/TD&gt;","")</f>
        <v/>
      </c>
      <c r="BD13" s="1506" t="str">
        <f t="shared" si="28"/>
        <v/>
      </c>
      <c r="BE13" s="896" t="str">
        <f t="shared" si="29"/>
        <v/>
      </c>
      <c r="BF13" s="896" t="str">
        <f t="shared" si="7"/>
        <v/>
      </c>
      <c r="BG13" s="896">
        <f t="shared" si="48"/>
        <v>8</v>
      </c>
      <c r="BH13" s="896" t="e">
        <f t="shared" si="30"/>
        <v>#VALUE!</v>
      </c>
      <c r="BI13" s="896" t="str">
        <f t="shared" si="8"/>
        <v/>
      </c>
      <c r="BJ13" s="896"/>
      <c r="BK13" s="743">
        <f t="shared" si="31"/>
        <v>0</v>
      </c>
      <c r="BL13" s="896" t="str">
        <f t="shared" si="32"/>
        <v/>
      </c>
      <c r="BM13" s="896" t="str">
        <f t="shared" si="33"/>
        <v/>
      </c>
      <c r="BN13" s="896" t="str">
        <f t="shared" si="9"/>
        <v/>
      </c>
      <c r="BO13" s="896">
        <f t="shared" si="49"/>
        <v>8</v>
      </c>
      <c r="BP13" s="896" t="e">
        <f t="shared" si="34"/>
        <v>#VALUE!</v>
      </c>
      <c r="BQ13" s="896" t="str">
        <f t="shared" si="10"/>
        <v/>
      </c>
      <c r="BR13" s="896"/>
      <c r="BS13" s="743">
        <f t="shared" si="35"/>
        <v>0</v>
      </c>
      <c r="BT13" s="896" t="str">
        <f t="shared" si="36"/>
        <v/>
      </c>
      <c r="BU13" s="896" t="str">
        <f t="shared" si="37"/>
        <v/>
      </c>
      <c r="BV13" s="896" t="str">
        <f t="shared" si="11"/>
        <v/>
      </c>
      <c r="BW13" s="956">
        <f t="shared" si="50"/>
        <v>8</v>
      </c>
      <c r="BX13" s="1070" t="e">
        <f t="shared" si="38"/>
        <v>#VALUE!</v>
      </c>
      <c r="BY13" s="1070" t="str">
        <f t="shared" si="12"/>
        <v/>
      </c>
      <c r="BZ13" s="956" t="str">
        <f t="shared" si="39"/>
        <v/>
      </c>
    </row>
    <row r="14" spans="2:78">
      <c r="B14" s="26"/>
      <c r="C14" s="1741"/>
      <c r="D14" s="29"/>
      <c r="G14" s="718" t="e">
        <f ca="1">I14&amp;IF(I15&lt;&gt;"","
"&amp;I15,"")&amp;"
"&amp;I16&amp;"
"&amp;I17&amp;IF(I18&lt;&gt;"","
"&amp;I18,"")&amp;IF(I19&lt;&gt;"","
"&amp;I19,"")&amp;IF(I20&lt;&gt;"","
"&amp;I20,"")&amp;IF(I21&lt;&gt;"","
"&amp;I21,"")&amp;IF(I22&lt;&gt;"","
"&amp;I22,"")&amp;IF(I23&lt;&gt;"","
"&amp;I23,"")&amp;IF(I24&lt;&gt;"","
"&amp;I24,"")&amp;IF(I25&lt;&gt;"","
"&amp;I25,"")</f>
        <v>#VALUE!</v>
      </c>
      <c r="I14" s="1506" t="e">
        <f t="shared" ca="1" si="51"/>
        <v>#VALUE!</v>
      </c>
      <c r="K14" s="718" t="e">
        <f ca="1">IF(HTML,BS,"")&amp;"Speed "&amp;IF(HTML,BF,"")&amp;IF(NPCType=3,"1 square (starship scale)",IF(ISERROR(FIND("Droid",Race,1)),SpeedOutput,DroidSpeedList)&amp;IF(SpeedList&lt;&gt;"","; "&amp;SpeedList,""))</f>
        <v>#VALUE!</v>
      </c>
      <c r="T14" s="718">
        <f t="shared" si="40"/>
        <v>9</v>
      </c>
      <c r="U14" s="718" t="e">
        <f t="shared" ca="1" si="41"/>
        <v>#VALUE!</v>
      </c>
      <c r="V14" s="718" t="str">
        <f t="shared" ca="1" si="13"/>
        <v/>
      </c>
      <c r="W14" s="718" t="str">
        <f t="shared" ref="W14:W34" ca="1" si="53">IF(V14&lt;&gt;"",V14&amp;IF(W15&lt;&gt;"",", ","")&amp;W15,W15)</f>
        <v/>
      </c>
      <c r="X14" s="718">
        <f t="shared" si="42"/>
        <v>9</v>
      </c>
      <c r="Y14" s="718" t="e">
        <f t="shared" si="14"/>
        <v>#VALUE!</v>
      </c>
      <c r="Z14" s="718" t="str">
        <f t="shared" si="1"/>
        <v/>
      </c>
      <c r="AA14" s="718" t="str">
        <f t="shared" si="2"/>
        <v/>
      </c>
      <c r="AB14" s="718">
        <f t="shared" si="43"/>
        <v>9</v>
      </c>
      <c r="AC14" s="718" t="e">
        <f t="shared" si="15"/>
        <v>#VALUE!</v>
      </c>
      <c r="AD14" s="718" t="str">
        <f t="shared" si="3"/>
        <v/>
      </c>
      <c r="AE14" s="718" t="str">
        <f t="shared" si="44"/>
        <v/>
      </c>
      <c r="AF14" s="726">
        <f t="shared" si="45"/>
        <v>9</v>
      </c>
      <c r="AG14" s="726" t="e">
        <f t="shared" ca="1" si="16"/>
        <v>#VALUE!</v>
      </c>
      <c r="AH14" s="726" t="str">
        <f t="shared" ca="1" si="17"/>
        <v/>
      </c>
      <c r="AJ14" s="743">
        <f t="shared" ca="1" si="18"/>
        <v>0</v>
      </c>
      <c r="AK14" s="726" t="str">
        <f t="shared" ca="1" si="19"/>
        <v/>
      </c>
      <c r="AL14" s="726" t="str">
        <f t="shared" ca="1" si="20"/>
        <v/>
      </c>
      <c r="AM14" s="726" t="str">
        <f t="shared" ca="1" si="4"/>
        <v/>
      </c>
      <c r="AN14" s="726">
        <f t="shared" si="46"/>
        <v>9</v>
      </c>
      <c r="AO14" s="726" t="e">
        <f t="shared" ca="1" si="21"/>
        <v>#VALUE!</v>
      </c>
      <c r="AP14" s="726" t="str">
        <f t="shared" ca="1" si="22"/>
        <v/>
      </c>
      <c r="AR14" s="743">
        <f t="shared" ca="1" si="52"/>
        <v>0</v>
      </c>
      <c r="AS14" s="726" t="str">
        <f t="shared" ca="1" si="23"/>
        <v/>
      </c>
      <c r="AT14" s="726" t="str">
        <f t="shared" ca="1" si="24"/>
        <v/>
      </c>
      <c r="AU14" s="726" t="str">
        <f t="shared" ca="1" si="5"/>
        <v/>
      </c>
      <c r="AW14" s="896">
        <f t="shared" si="47"/>
        <v>9</v>
      </c>
      <c r="AX14" s="896" t="e">
        <f t="shared" si="25"/>
        <v>#VALUE!</v>
      </c>
      <c r="AY14" s="896" t="str">
        <f t="shared" si="6"/>
        <v/>
      </c>
      <c r="AZ14" s="896"/>
      <c r="BA14" s="743">
        <f t="shared" si="26"/>
        <v>0</v>
      </c>
      <c r="BB14" s="896" t="str">
        <f t="shared" si="27"/>
        <v/>
      </c>
      <c r="BC14" s="1526" t="str">
        <f>IF(BB12&lt;&gt;"",IF(BB14&lt;&gt;"",TDWThird&amp;WFS&amp;IF(NOT(ISERROR(FIND("(",BB14,1))),IF(MID(BB14,FIND("(",BB14,1)+1,1)="4","qqqq",IF(MID(BB14,FIND("(",BB14,1)+1,1)="3","qqq",IF(MID(BB14,FIND("(",BB14,1)+1,1)="2","qq","q"))),"q")&amp;WFF&amp;" "&amp;IF(NOT(ISERROR(FIND("(",BB14,1))),LEFT(BB14,FIND("(",BB14,1)-1),BB14)&amp;"&lt;/TD&gt;","")&amp;"&lt;/TR&gt;","")</f>
        <v/>
      </c>
      <c r="BD14" s="1506" t="str">
        <f t="shared" si="28"/>
        <v/>
      </c>
      <c r="BE14" s="896" t="str">
        <f t="shared" si="29"/>
        <v/>
      </c>
      <c r="BF14" s="896" t="str">
        <f t="shared" si="7"/>
        <v/>
      </c>
      <c r="BG14" s="896">
        <f t="shared" si="48"/>
        <v>9</v>
      </c>
      <c r="BH14" s="896" t="e">
        <f t="shared" si="30"/>
        <v>#VALUE!</v>
      </c>
      <c r="BI14" s="896" t="str">
        <f t="shared" si="8"/>
        <v/>
      </c>
      <c r="BJ14" s="896"/>
      <c r="BK14" s="743">
        <f t="shared" si="31"/>
        <v>0</v>
      </c>
      <c r="BL14" s="896" t="str">
        <f t="shared" si="32"/>
        <v/>
      </c>
      <c r="BM14" s="896" t="str">
        <f t="shared" si="33"/>
        <v/>
      </c>
      <c r="BN14" s="896" t="str">
        <f t="shared" si="9"/>
        <v/>
      </c>
      <c r="BO14" s="896">
        <f t="shared" si="49"/>
        <v>9</v>
      </c>
      <c r="BP14" s="896" t="e">
        <f t="shared" si="34"/>
        <v>#VALUE!</v>
      </c>
      <c r="BQ14" s="896" t="str">
        <f t="shared" si="10"/>
        <v/>
      </c>
      <c r="BR14" s="896"/>
      <c r="BS14" s="743">
        <f t="shared" si="35"/>
        <v>0</v>
      </c>
      <c r="BT14" s="896" t="str">
        <f t="shared" si="36"/>
        <v/>
      </c>
      <c r="BU14" s="896" t="str">
        <f t="shared" si="37"/>
        <v/>
      </c>
      <c r="BV14" s="896" t="str">
        <f t="shared" si="11"/>
        <v/>
      </c>
      <c r="BW14" s="956">
        <f t="shared" si="50"/>
        <v>9</v>
      </c>
      <c r="BX14" s="1070" t="e">
        <f t="shared" si="38"/>
        <v>#VALUE!</v>
      </c>
      <c r="BY14" s="1070" t="str">
        <f t="shared" si="12"/>
        <v/>
      </c>
      <c r="BZ14" s="956" t="str">
        <f t="shared" si="39"/>
        <v/>
      </c>
    </row>
    <row r="15" spans="2:78">
      <c r="B15" s="26"/>
      <c r="C15" s="1741"/>
      <c r="D15" s="29"/>
      <c r="E15" s="1529" t="s">
        <v>7842</v>
      </c>
      <c r="I15" s="1506" t="str">
        <f t="shared" si="51"/>
        <v/>
      </c>
      <c r="K15" s="718" t="str">
        <f>IF(MeleeWeaponAttacksStatBlock&lt;&gt;"",IF(NPCType=3,"Melee see below",MeleeWeaponAttacksStatBlock),IF(Race&lt;&gt;"",IF(NPCType=3,"","Melee by weapon "&amp;IF(BAB+StrMod&lt;0,BAB+StrMod,"+"&amp;BAB+StrMod)),""))</f>
        <v/>
      </c>
      <c r="T15" s="718">
        <f t="shared" si="40"/>
        <v>10</v>
      </c>
      <c r="U15" s="718" t="e">
        <f t="shared" ca="1" si="41"/>
        <v>#VALUE!</v>
      </c>
      <c r="V15" s="718" t="str">
        <f t="shared" ca="1" si="13"/>
        <v/>
      </c>
      <c r="W15" s="718" t="str">
        <f t="shared" ca="1" si="53"/>
        <v/>
      </c>
      <c r="X15" s="718">
        <f t="shared" si="42"/>
        <v>10</v>
      </c>
      <c r="Y15" s="718" t="e">
        <f t="shared" si="14"/>
        <v>#VALUE!</v>
      </c>
      <c r="Z15" s="718" t="str">
        <f t="shared" si="1"/>
        <v/>
      </c>
      <c r="AA15" s="718" t="str">
        <f t="shared" si="2"/>
        <v/>
      </c>
      <c r="AB15" s="718">
        <f t="shared" si="43"/>
        <v>10</v>
      </c>
      <c r="AC15" s="718" t="e">
        <f t="shared" si="15"/>
        <v>#VALUE!</v>
      </c>
      <c r="AD15" s="718" t="str">
        <f t="shared" si="3"/>
        <v/>
      </c>
      <c r="AE15" s="718" t="str">
        <f t="shared" si="44"/>
        <v/>
      </c>
      <c r="AF15" s="726">
        <f t="shared" si="45"/>
        <v>10</v>
      </c>
      <c r="AG15" s="726" t="e">
        <f t="shared" ca="1" si="16"/>
        <v>#VALUE!</v>
      </c>
      <c r="AH15" s="726" t="str">
        <f t="shared" ca="1" si="17"/>
        <v/>
      </c>
      <c r="AJ15" s="743">
        <f t="shared" ca="1" si="18"/>
        <v>0</v>
      </c>
      <c r="AK15" s="726" t="str">
        <f t="shared" ca="1" si="19"/>
        <v/>
      </c>
      <c r="AL15" s="726" t="str">
        <f t="shared" ca="1" si="20"/>
        <v/>
      </c>
      <c r="AM15" s="726" t="str">
        <f t="shared" ca="1" si="4"/>
        <v/>
      </c>
      <c r="AN15" s="726">
        <f t="shared" si="46"/>
        <v>10</v>
      </c>
      <c r="AO15" s="726" t="e">
        <f t="shared" ca="1" si="21"/>
        <v>#VALUE!</v>
      </c>
      <c r="AP15" s="726" t="str">
        <f t="shared" ca="1" si="22"/>
        <v/>
      </c>
      <c r="AR15" s="743">
        <f t="shared" ca="1" si="52"/>
        <v>0</v>
      </c>
      <c r="AS15" s="726" t="str">
        <f t="shared" ca="1" si="23"/>
        <v/>
      </c>
      <c r="AT15" s="726" t="str">
        <f t="shared" ca="1" si="24"/>
        <v/>
      </c>
      <c r="AU15" s="726" t="str">
        <f t="shared" ca="1" si="5"/>
        <v/>
      </c>
      <c r="AW15" s="896">
        <f t="shared" si="47"/>
        <v>10</v>
      </c>
      <c r="AX15" s="896" t="e">
        <f t="shared" si="25"/>
        <v>#VALUE!</v>
      </c>
      <c r="AY15" s="896" t="str">
        <f t="shared" si="6"/>
        <v/>
      </c>
      <c r="AZ15" s="896"/>
      <c r="BA15" s="743">
        <f t="shared" si="26"/>
        <v>0</v>
      </c>
      <c r="BB15" s="896" t="str">
        <f t="shared" si="27"/>
        <v/>
      </c>
      <c r="BC15" s="1526" t="str">
        <f>IF(BB15&lt;&gt;"","&lt;TR&gt;"&amp;TDWThird&amp;WFS&amp;IF(NOT(ISERROR(FIND("(",BB15,1))),IF(MID(BB15,FIND("(",BB15,1)+1,1)="4","qqqq",IF(MID(BB15,FIND("(",BB15,1)+1,1)="3","qqq",IF(MID(BB15,FIND("(",BB15,1)+1,1)="2","qq","q"))),"q")&amp;WFF&amp;" "&amp;IF(NOT(ISERROR(FIND("(",BB15,1))),LEFT(BB15,FIND("(",BB15,1)-1),BB15)&amp;"&lt;/TD&gt;","")</f>
        <v/>
      </c>
      <c r="BD15" s="1506" t="str">
        <f t="shared" si="28"/>
        <v/>
      </c>
      <c r="BE15" s="896" t="str">
        <f t="shared" si="29"/>
        <v/>
      </c>
      <c r="BF15" s="896" t="str">
        <f t="shared" si="7"/>
        <v/>
      </c>
      <c r="BG15" s="896">
        <f t="shared" si="48"/>
        <v>10</v>
      </c>
      <c r="BH15" s="896" t="e">
        <f t="shared" si="30"/>
        <v>#VALUE!</v>
      </c>
      <c r="BI15" s="896" t="str">
        <f t="shared" si="8"/>
        <v/>
      </c>
      <c r="BJ15" s="896"/>
      <c r="BK15" s="743">
        <f t="shared" si="31"/>
        <v>0</v>
      </c>
      <c r="BL15" s="896" t="str">
        <f t="shared" si="32"/>
        <v/>
      </c>
      <c r="BM15" s="896" t="str">
        <f t="shared" si="33"/>
        <v/>
      </c>
      <c r="BN15" s="896" t="str">
        <f t="shared" si="9"/>
        <v/>
      </c>
      <c r="BO15" s="896">
        <f t="shared" si="49"/>
        <v>10</v>
      </c>
      <c r="BP15" s="896" t="e">
        <f t="shared" si="34"/>
        <v>#VALUE!</v>
      </c>
      <c r="BQ15" s="896" t="str">
        <f t="shared" si="10"/>
        <v/>
      </c>
      <c r="BR15" s="896"/>
      <c r="BS15" s="743">
        <f t="shared" si="35"/>
        <v>0</v>
      </c>
      <c r="BT15" s="896" t="str">
        <f t="shared" si="36"/>
        <v/>
      </c>
      <c r="BU15" s="896" t="str">
        <f t="shared" si="37"/>
        <v/>
      </c>
      <c r="BV15" s="896" t="str">
        <f t="shared" si="11"/>
        <v/>
      </c>
      <c r="BW15" s="956">
        <f t="shared" si="50"/>
        <v>10</v>
      </c>
      <c r="BX15" s="1070" t="e">
        <f t="shared" si="38"/>
        <v>#VALUE!</v>
      </c>
      <c r="BY15" s="1070" t="str">
        <f t="shared" si="12"/>
        <v/>
      </c>
      <c r="BZ15" s="956" t="str">
        <f t="shared" si="39"/>
        <v/>
      </c>
    </row>
    <row r="16" spans="2:78">
      <c r="B16" s="26"/>
      <c r="C16" s="1741"/>
      <c r="D16" s="29"/>
      <c r="E16" s="1529" t="s">
        <v>7843</v>
      </c>
      <c r="I16" s="1506" t="str">
        <f t="shared" si="51"/>
        <v/>
      </c>
      <c r="K16" s="896" t="str">
        <f>IF(RangedWeaponAttacksStatBlock&lt;&gt;"",IF(NPCType=3,"Ranged see below",RangedWeaponAttacksStatBlock),IF(Race&lt;&gt;"",IF(NPCType=3,"","Ranged by weapon "&amp;IF(BAB+DexMod&lt;0,BAB+DexMod,"+"&amp;BAB+DexMod)),""))</f>
        <v/>
      </c>
      <c r="T16" s="718">
        <f t="shared" si="40"/>
        <v>11</v>
      </c>
      <c r="U16" s="718" t="e">
        <f t="shared" ca="1" si="41"/>
        <v>#VALUE!</v>
      </c>
      <c r="V16" s="718" t="str">
        <f t="shared" ca="1" si="13"/>
        <v/>
      </c>
      <c r="W16" s="718" t="str">
        <f t="shared" ca="1" si="53"/>
        <v/>
      </c>
      <c r="X16" s="718">
        <f t="shared" si="42"/>
        <v>11</v>
      </c>
      <c r="Y16" s="718" t="e">
        <f t="shared" si="14"/>
        <v>#VALUE!</v>
      </c>
      <c r="Z16" s="718" t="str">
        <f t="shared" si="1"/>
        <v/>
      </c>
      <c r="AA16" s="718" t="str">
        <f t="shared" si="2"/>
        <v/>
      </c>
      <c r="AB16" s="718">
        <f t="shared" si="43"/>
        <v>11</v>
      </c>
      <c r="AC16" s="718" t="e">
        <f t="shared" si="15"/>
        <v>#VALUE!</v>
      </c>
      <c r="AD16" s="718" t="str">
        <f t="shared" si="3"/>
        <v/>
      </c>
      <c r="AE16" s="718" t="str">
        <f t="shared" si="44"/>
        <v/>
      </c>
      <c r="AF16" s="726">
        <f t="shared" si="45"/>
        <v>11</v>
      </c>
      <c r="AG16" s="726" t="e">
        <f t="shared" ca="1" si="16"/>
        <v>#VALUE!</v>
      </c>
      <c r="AH16" s="726" t="str">
        <f t="shared" ca="1" si="17"/>
        <v/>
      </c>
      <c r="AJ16" s="743">
        <f t="shared" ca="1" si="18"/>
        <v>0</v>
      </c>
      <c r="AK16" s="726" t="str">
        <f t="shared" ca="1" si="19"/>
        <v/>
      </c>
      <c r="AL16" s="726" t="str">
        <f t="shared" ca="1" si="20"/>
        <v/>
      </c>
      <c r="AM16" s="726" t="str">
        <f t="shared" ca="1" si="4"/>
        <v/>
      </c>
      <c r="AN16" s="726">
        <f t="shared" si="46"/>
        <v>11</v>
      </c>
      <c r="AO16" s="726" t="e">
        <f t="shared" ca="1" si="21"/>
        <v>#VALUE!</v>
      </c>
      <c r="AP16" s="726" t="str">
        <f t="shared" ca="1" si="22"/>
        <v/>
      </c>
      <c r="AR16" s="743">
        <f t="shared" ca="1" si="52"/>
        <v>0</v>
      </c>
      <c r="AS16" s="726" t="str">
        <f t="shared" ca="1" si="23"/>
        <v/>
      </c>
      <c r="AT16" s="726" t="str">
        <f t="shared" ca="1" si="24"/>
        <v/>
      </c>
      <c r="AU16" s="726" t="str">
        <f t="shared" ca="1" si="5"/>
        <v/>
      </c>
      <c r="AW16" s="896">
        <f t="shared" si="47"/>
        <v>11</v>
      </c>
      <c r="AX16" s="896" t="e">
        <f t="shared" si="25"/>
        <v>#VALUE!</v>
      </c>
      <c r="AY16" s="896" t="str">
        <f t="shared" si="6"/>
        <v/>
      </c>
      <c r="AZ16" s="896"/>
      <c r="BA16" s="743">
        <f t="shared" si="26"/>
        <v>0</v>
      </c>
      <c r="BB16" s="896" t="str">
        <f t="shared" si="27"/>
        <v/>
      </c>
      <c r="BC16" s="1526" t="str">
        <f>IF(BB16&lt;&gt;"",TDWThird&amp;WFS&amp;IF(NOT(ISERROR(FIND("(",BB16,1))),IF(MID(BB16,FIND("(",BB16,1)+1,1)="4","qqqq",IF(MID(BB16,FIND("(",BB16,1)+1,1)="3","qqq",IF(MID(BB16,FIND("(",BB16,1)+1,1)="2","qq","q"))),"q")&amp;WFF&amp;" "&amp;IF(NOT(ISERROR(FIND("(",BB16,1))),LEFT(BB16,FIND("(",BB16,1)-1),BB16)&amp;"&lt;/TD&gt;","")</f>
        <v/>
      </c>
      <c r="BD16" s="1506" t="str">
        <f t="shared" si="28"/>
        <v/>
      </c>
      <c r="BE16" s="896" t="str">
        <f t="shared" si="29"/>
        <v/>
      </c>
      <c r="BF16" s="896" t="str">
        <f t="shared" si="7"/>
        <v/>
      </c>
      <c r="BG16" s="896">
        <f t="shared" si="48"/>
        <v>11</v>
      </c>
      <c r="BH16" s="896" t="e">
        <f t="shared" si="30"/>
        <v>#VALUE!</v>
      </c>
      <c r="BI16" s="896" t="str">
        <f t="shared" si="8"/>
        <v/>
      </c>
      <c r="BJ16" s="896"/>
      <c r="BK16" s="743">
        <f t="shared" si="31"/>
        <v>0</v>
      </c>
      <c r="BL16" s="896" t="str">
        <f t="shared" si="32"/>
        <v/>
      </c>
      <c r="BM16" s="896" t="str">
        <f t="shared" si="33"/>
        <v/>
      </c>
      <c r="BN16" s="896" t="str">
        <f t="shared" si="9"/>
        <v/>
      </c>
      <c r="BO16" s="896">
        <f t="shared" si="49"/>
        <v>11</v>
      </c>
      <c r="BP16" s="896" t="e">
        <f t="shared" si="34"/>
        <v>#VALUE!</v>
      </c>
      <c r="BQ16" s="896" t="str">
        <f t="shared" si="10"/>
        <v/>
      </c>
      <c r="BR16" s="896"/>
      <c r="BS16" s="743">
        <f t="shared" si="35"/>
        <v>0</v>
      </c>
      <c r="BT16" s="896" t="str">
        <f t="shared" si="36"/>
        <v/>
      </c>
      <c r="BU16" s="896" t="str">
        <f t="shared" si="37"/>
        <v/>
      </c>
      <c r="BV16" s="896" t="str">
        <f t="shared" si="11"/>
        <v/>
      </c>
      <c r="BW16" s="956">
        <f t="shared" si="50"/>
        <v>11</v>
      </c>
      <c r="BX16" s="1070" t="e">
        <f t="shared" si="38"/>
        <v>#VALUE!</v>
      </c>
      <c r="BY16" s="1070" t="str">
        <f t="shared" si="12"/>
        <v/>
      </c>
      <c r="BZ16" s="956" t="str">
        <f t="shared" si="39"/>
        <v/>
      </c>
    </row>
    <row r="17" spans="2:78">
      <c r="B17" s="26"/>
      <c r="C17" s="1741"/>
      <c r="D17" s="29"/>
      <c r="H17" s="718" t="e">
        <f ca="1">I17&amp;"
"&amp;I31&amp;"
"&amp;I29&amp;"
"&amp;I30&amp;"
"&amp;L27&amp;"
"&amp;M27&amp;"
"&amp;I33</f>
        <v>#N/A</v>
      </c>
      <c r="I17" s="1506" t="e">
        <f>IF(AND(K17&lt;&gt;"",HTML),IF(NewStatBlock,TRGR,TRW),"")&amp;K17&amp;IF(AND(K17&lt;&gt;"",HTML),TRF,"")</f>
        <v>#N/A</v>
      </c>
      <c r="K17" s="718" t="e">
        <f>IF(HTML,BS,"")&amp;"Base Atk "&amp;IF(HTML,BF,"")&amp;"+"&amp;BAB&amp;"; "&amp;IF(HTML,BS,"")&amp;"Grp "&amp;IF(HTML,BF,"")&amp;IF(BAB+L17+MAX(StrMod,DexMod)+IF(Race="Krevaaki",2,0)&lt;0,"","+")&amp;BAB+L17+MAX(StrMod,DexMod)+IF(Race="Krevaaki",2,0)</f>
        <v>#N/A</v>
      </c>
      <c r="L17" s="718" t="e">
        <f>INDEX(SizeTable,IF(NPCType=3,MATCH(INDEX(RaceListTable,RaceIndex,13),SizeAbrList,0),MATCH(OutputSize,SizeList,0)),5)*-1</f>
        <v>#N/A</v>
      </c>
      <c r="T17" s="718">
        <f t="shared" si="40"/>
        <v>12</v>
      </c>
      <c r="U17" s="718" t="e">
        <f t="shared" ca="1" si="41"/>
        <v>#VALUE!</v>
      </c>
      <c r="V17" s="718" t="str">
        <f t="shared" ca="1" si="13"/>
        <v/>
      </c>
      <c r="W17" s="718" t="str">
        <f t="shared" ca="1" si="53"/>
        <v/>
      </c>
      <c r="X17" s="718">
        <f t="shared" si="42"/>
        <v>12</v>
      </c>
      <c r="Y17" s="718" t="e">
        <f t="shared" si="14"/>
        <v>#VALUE!</v>
      </c>
      <c r="Z17" s="718" t="str">
        <f t="shared" si="1"/>
        <v/>
      </c>
      <c r="AA17" s="718" t="str">
        <f t="shared" si="2"/>
        <v/>
      </c>
      <c r="AB17" s="718">
        <f t="shared" si="43"/>
        <v>12</v>
      </c>
      <c r="AC17" s="718" t="e">
        <f t="shared" si="15"/>
        <v>#VALUE!</v>
      </c>
      <c r="AD17" s="718" t="str">
        <f t="shared" si="3"/>
        <v/>
      </c>
      <c r="AE17" s="718" t="str">
        <f t="shared" si="44"/>
        <v/>
      </c>
      <c r="AF17" s="726">
        <f t="shared" si="45"/>
        <v>12</v>
      </c>
      <c r="AG17" s="726" t="e">
        <f t="shared" ca="1" si="16"/>
        <v>#VALUE!</v>
      </c>
      <c r="AH17" s="726" t="str">
        <f t="shared" ca="1" si="17"/>
        <v/>
      </c>
      <c r="AJ17" s="743">
        <f t="shared" ca="1" si="18"/>
        <v>0</v>
      </c>
      <c r="AK17" s="726" t="str">
        <f t="shared" ca="1" si="19"/>
        <v/>
      </c>
      <c r="AL17" s="726" t="str">
        <f t="shared" ca="1" si="20"/>
        <v/>
      </c>
      <c r="AM17" s="726" t="str">
        <f t="shared" ca="1" si="4"/>
        <v/>
      </c>
      <c r="AN17" s="726">
        <f t="shared" si="46"/>
        <v>12</v>
      </c>
      <c r="AO17" s="726" t="e">
        <f t="shared" ca="1" si="21"/>
        <v>#VALUE!</v>
      </c>
      <c r="AP17" s="726" t="str">
        <f t="shared" ca="1" si="22"/>
        <v/>
      </c>
      <c r="AR17" s="743">
        <f t="shared" ca="1" si="52"/>
        <v>0</v>
      </c>
      <c r="AS17" s="726" t="str">
        <f t="shared" ca="1" si="23"/>
        <v/>
      </c>
      <c r="AT17" s="726" t="str">
        <f t="shared" ca="1" si="24"/>
        <v/>
      </c>
      <c r="AU17" s="726" t="str">
        <f t="shared" ca="1" si="5"/>
        <v/>
      </c>
      <c r="AW17" s="896">
        <f t="shared" si="47"/>
        <v>12</v>
      </c>
      <c r="AX17" s="896" t="e">
        <f t="shared" si="25"/>
        <v>#VALUE!</v>
      </c>
      <c r="AY17" s="896" t="str">
        <f t="shared" si="6"/>
        <v/>
      </c>
      <c r="AZ17" s="896"/>
      <c r="BA17" s="743">
        <f t="shared" si="26"/>
        <v>0</v>
      </c>
      <c r="BB17" s="896" t="str">
        <f t="shared" si="27"/>
        <v/>
      </c>
      <c r="BC17" s="1526" t="str">
        <f>IF(BB15&lt;&gt;"",IF(BB17&lt;&gt;"",TDWThird&amp;WFS&amp;IF(NOT(ISERROR(FIND("(",BB17,1))),IF(MID(BB17,FIND("(",BB17,1)+1,1)="4","qqqq",IF(MID(BB17,FIND("(",BB17,1)+1,1)="3","qqq",IF(MID(BB17,FIND("(",BB17,1)+1,1)="2","qq","q"))),"q")&amp;WFF&amp;" "&amp;IF(NOT(ISERROR(FIND("(",BB17,1))),LEFT(BB17,FIND("(",BB17,1)-1),BB17)&amp;"&lt;/TD&gt;","")&amp;"&lt;/TR&gt;","")</f>
        <v/>
      </c>
      <c r="BD17" s="1506" t="str">
        <f t="shared" si="28"/>
        <v/>
      </c>
      <c r="BE17" s="896" t="str">
        <f t="shared" si="29"/>
        <v/>
      </c>
      <c r="BF17" s="896" t="str">
        <f t="shared" si="7"/>
        <v/>
      </c>
      <c r="BG17" s="896">
        <f t="shared" si="48"/>
        <v>12</v>
      </c>
      <c r="BH17" s="896" t="e">
        <f t="shared" si="30"/>
        <v>#VALUE!</v>
      </c>
      <c r="BI17" s="896" t="str">
        <f t="shared" si="8"/>
        <v/>
      </c>
      <c r="BJ17" s="896"/>
      <c r="BK17" s="743">
        <f t="shared" si="31"/>
        <v>0</v>
      </c>
      <c r="BL17" s="896" t="str">
        <f t="shared" si="32"/>
        <v/>
      </c>
      <c r="BM17" s="896" t="str">
        <f t="shared" si="33"/>
        <v/>
      </c>
      <c r="BN17" s="896" t="str">
        <f t="shared" si="9"/>
        <v/>
      </c>
      <c r="BO17" s="896">
        <f t="shared" si="49"/>
        <v>12</v>
      </c>
      <c r="BP17" s="896" t="e">
        <f t="shared" si="34"/>
        <v>#VALUE!</v>
      </c>
      <c r="BQ17" s="896" t="str">
        <f t="shared" si="10"/>
        <v/>
      </c>
      <c r="BR17" s="896"/>
      <c r="BS17" s="743">
        <f t="shared" si="35"/>
        <v>0</v>
      </c>
      <c r="BT17" s="896" t="str">
        <f t="shared" si="36"/>
        <v/>
      </c>
      <c r="BU17" s="896" t="str">
        <f t="shared" si="37"/>
        <v/>
      </c>
      <c r="BV17" s="896" t="str">
        <f t="shared" si="11"/>
        <v/>
      </c>
      <c r="BW17" s="956">
        <f t="shared" si="50"/>
        <v>12</v>
      </c>
      <c r="BX17" s="1070" t="e">
        <f t="shared" si="38"/>
        <v>#VALUE!</v>
      </c>
      <c r="BY17" s="1070" t="str">
        <f t="shared" si="12"/>
        <v/>
      </c>
      <c r="BZ17" s="956" t="str">
        <f t="shared" si="39"/>
        <v/>
      </c>
    </row>
    <row r="18" spans="2:78">
      <c r="B18" s="26"/>
      <c r="C18" s="1741"/>
      <c r="D18" s="29"/>
      <c r="I18" s="1506" t="str">
        <f t="shared" ref="I18:I25" ca="1" si="54">IF(AND(K18&lt;&gt;"",HTML),TRW,"")&amp;K18&amp;IF(AND(K18&lt;&gt;"",HTML),TRF,"")</f>
        <v/>
      </c>
      <c r="K18" s="718" t="str">
        <f ca="1">IF(AttOptionsStatBlock&lt;&gt;"","Atk Options "&amp;AttOptionsStatBlock,"")</f>
        <v/>
      </c>
      <c r="T18" s="718">
        <f t="shared" si="40"/>
        <v>13</v>
      </c>
      <c r="U18" s="718" t="e">
        <f t="shared" ca="1" si="41"/>
        <v>#VALUE!</v>
      </c>
      <c r="V18" s="718" t="str">
        <f t="shared" ca="1" si="13"/>
        <v/>
      </c>
      <c r="W18" s="718" t="str">
        <f t="shared" ca="1" si="53"/>
        <v/>
      </c>
      <c r="X18" s="718">
        <f t="shared" si="42"/>
        <v>13</v>
      </c>
      <c r="Y18" s="718" t="e">
        <f t="shared" si="14"/>
        <v>#VALUE!</v>
      </c>
      <c r="Z18" s="718" t="str">
        <f t="shared" si="1"/>
        <v/>
      </c>
      <c r="AA18" s="718" t="str">
        <f t="shared" si="2"/>
        <v/>
      </c>
      <c r="AB18" s="718">
        <f t="shared" si="43"/>
        <v>13</v>
      </c>
      <c r="AC18" s="718" t="e">
        <f t="shared" si="15"/>
        <v>#VALUE!</v>
      </c>
      <c r="AD18" s="718" t="str">
        <f t="shared" si="3"/>
        <v/>
      </c>
      <c r="AE18" s="718" t="str">
        <f t="shared" si="44"/>
        <v/>
      </c>
      <c r="AF18" s="726">
        <f t="shared" si="45"/>
        <v>13</v>
      </c>
      <c r="AG18" s="726" t="e">
        <f t="shared" ca="1" si="16"/>
        <v>#VALUE!</v>
      </c>
      <c r="AH18" s="726" t="str">
        <f t="shared" ca="1" si="17"/>
        <v/>
      </c>
      <c r="AJ18" s="743">
        <f t="shared" ca="1" si="18"/>
        <v>0</v>
      </c>
      <c r="AK18" s="726" t="str">
        <f t="shared" ca="1" si="19"/>
        <v/>
      </c>
      <c r="AL18" s="726" t="str">
        <f t="shared" ca="1" si="20"/>
        <v/>
      </c>
      <c r="AM18" s="726" t="str">
        <f t="shared" ca="1" si="4"/>
        <v/>
      </c>
      <c r="AN18" s="726">
        <f t="shared" si="46"/>
        <v>13</v>
      </c>
      <c r="AO18" s="726" t="e">
        <f t="shared" ca="1" si="21"/>
        <v>#VALUE!</v>
      </c>
      <c r="AP18" s="726" t="str">
        <f t="shared" ca="1" si="22"/>
        <v/>
      </c>
      <c r="AR18" s="743">
        <f t="shared" ca="1" si="52"/>
        <v>0</v>
      </c>
      <c r="AS18" s="726" t="str">
        <f t="shared" ca="1" si="23"/>
        <v/>
      </c>
      <c r="AT18" s="726" t="str">
        <f t="shared" ca="1" si="24"/>
        <v/>
      </c>
      <c r="AU18" s="726" t="str">
        <f t="shared" ca="1" si="5"/>
        <v/>
      </c>
      <c r="AW18" s="896">
        <f t="shared" si="47"/>
        <v>13</v>
      </c>
      <c r="AX18" s="896" t="e">
        <f t="shared" si="25"/>
        <v>#VALUE!</v>
      </c>
      <c r="AY18" s="896" t="str">
        <f t="shared" si="6"/>
        <v/>
      </c>
      <c r="AZ18" s="896"/>
      <c r="BA18" s="743">
        <f t="shared" si="26"/>
        <v>0</v>
      </c>
      <c r="BB18" s="896" t="str">
        <f t="shared" si="27"/>
        <v/>
      </c>
      <c r="BC18" s="1526" t="str">
        <f>IF(BB18&lt;&gt;"","&lt;TR&gt;"&amp;TDWThird&amp;WFS&amp;IF(NOT(ISERROR(FIND("(",BB18,1))),IF(MID(BB18,FIND("(",BB18,1)+1,1)="4","qqqq",IF(MID(BB18,FIND("(",BB18,1)+1,1)="3","qqq",IF(MID(BB18,FIND("(",BB18,1)+1,1)="2","qq","q"))),"q")&amp;WFF&amp;" "&amp;IF(NOT(ISERROR(FIND("(",BB18,1))),LEFT(BB18,FIND("(",BB18,1)-1),BB18)&amp;"&lt;/TD&gt;","")</f>
        <v/>
      </c>
      <c r="BD18" s="1506" t="str">
        <f t="shared" si="28"/>
        <v/>
      </c>
      <c r="BE18" s="896" t="str">
        <f t="shared" si="29"/>
        <v/>
      </c>
      <c r="BF18" s="896" t="str">
        <f t="shared" si="7"/>
        <v/>
      </c>
      <c r="BG18" s="896">
        <f t="shared" si="48"/>
        <v>13</v>
      </c>
      <c r="BH18" s="896" t="e">
        <f t="shared" si="30"/>
        <v>#VALUE!</v>
      </c>
      <c r="BI18" s="896" t="str">
        <f t="shared" si="8"/>
        <v/>
      </c>
      <c r="BJ18" s="896"/>
      <c r="BK18" s="743">
        <f t="shared" si="31"/>
        <v>0</v>
      </c>
      <c r="BL18" s="896" t="str">
        <f t="shared" si="32"/>
        <v/>
      </c>
      <c r="BM18" s="896" t="str">
        <f t="shared" si="33"/>
        <v/>
      </c>
      <c r="BN18" s="896" t="str">
        <f t="shared" si="9"/>
        <v/>
      </c>
      <c r="BO18" s="896">
        <f t="shared" si="49"/>
        <v>13</v>
      </c>
      <c r="BP18" s="896" t="e">
        <f t="shared" si="34"/>
        <v>#VALUE!</v>
      </c>
      <c r="BQ18" s="896" t="str">
        <f t="shared" si="10"/>
        <v/>
      </c>
      <c r="BR18" s="896"/>
      <c r="BS18" s="743">
        <f t="shared" si="35"/>
        <v>0</v>
      </c>
      <c r="BT18" s="896" t="str">
        <f t="shared" si="36"/>
        <v/>
      </c>
      <c r="BU18" s="896" t="str">
        <f t="shared" si="37"/>
        <v/>
      </c>
      <c r="BV18" s="896" t="str">
        <f t="shared" si="11"/>
        <v/>
      </c>
      <c r="BW18" s="956">
        <f t="shared" si="50"/>
        <v>13</v>
      </c>
      <c r="BX18" s="1070" t="e">
        <f t="shared" si="38"/>
        <v>#VALUE!</v>
      </c>
      <c r="BY18" s="1070" t="str">
        <f t="shared" si="12"/>
        <v/>
      </c>
      <c r="BZ18" s="956" t="str">
        <f t="shared" si="39"/>
        <v/>
      </c>
    </row>
    <row r="19" spans="2:78">
      <c r="B19" s="26"/>
      <c r="C19" s="1741"/>
      <c r="D19" s="29"/>
      <c r="I19" s="1506" t="str">
        <f t="shared" ca="1" si="54"/>
        <v/>
      </c>
      <c r="K19" s="718" t="str">
        <f ca="1">IF(SpecialOptionsStatBlock&lt;&gt;"","Special Actions "&amp;SpecialOptionsStatBlock,"")</f>
        <v/>
      </c>
      <c r="T19" s="718">
        <f t="shared" si="40"/>
        <v>14</v>
      </c>
      <c r="U19" s="718" t="e">
        <f t="shared" ca="1" si="41"/>
        <v>#VALUE!</v>
      </c>
      <c r="V19" s="718" t="str">
        <f t="shared" ca="1" si="13"/>
        <v/>
      </c>
      <c r="W19" s="718" t="str">
        <f t="shared" ca="1" si="53"/>
        <v/>
      </c>
      <c r="X19" s="718">
        <f t="shared" si="42"/>
        <v>14</v>
      </c>
      <c r="Y19" s="718" t="e">
        <f t="shared" si="14"/>
        <v>#VALUE!</v>
      </c>
      <c r="Z19" s="718" t="str">
        <f t="shared" si="1"/>
        <v/>
      </c>
      <c r="AA19" s="718" t="str">
        <f t="shared" si="2"/>
        <v/>
      </c>
      <c r="AB19" s="718">
        <f t="shared" si="43"/>
        <v>14</v>
      </c>
      <c r="AC19" s="718" t="e">
        <f t="shared" si="15"/>
        <v>#VALUE!</v>
      </c>
      <c r="AD19" s="718" t="str">
        <f t="shared" si="3"/>
        <v/>
      </c>
      <c r="AE19" s="718" t="str">
        <f t="shared" si="44"/>
        <v/>
      </c>
      <c r="AF19" s="726">
        <f t="shared" si="45"/>
        <v>14</v>
      </c>
      <c r="AG19" s="726" t="e">
        <f t="shared" ca="1" si="16"/>
        <v>#VALUE!</v>
      </c>
      <c r="AH19" s="726" t="str">
        <f t="shared" ca="1" si="17"/>
        <v/>
      </c>
      <c r="AJ19" s="743">
        <f t="shared" ca="1" si="18"/>
        <v>0</v>
      </c>
      <c r="AK19" s="726" t="str">
        <f t="shared" ca="1" si="19"/>
        <v/>
      </c>
      <c r="AL19" s="726" t="str">
        <f t="shared" ca="1" si="20"/>
        <v/>
      </c>
      <c r="AM19" s="726" t="str">
        <f t="shared" ca="1" si="4"/>
        <v/>
      </c>
      <c r="AN19" s="726">
        <f t="shared" si="46"/>
        <v>14</v>
      </c>
      <c r="AO19" s="726" t="e">
        <f t="shared" ca="1" si="21"/>
        <v>#VALUE!</v>
      </c>
      <c r="AP19" s="726" t="str">
        <f t="shared" ca="1" si="22"/>
        <v/>
      </c>
      <c r="AR19" s="743">
        <f t="shared" ca="1" si="52"/>
        <v>0</v>
      </c>
      <c r="AS19" s="726" t="str">
        <f t="shared" ca="1" si="23"/>
        <v/>
      </c>
      <c r="AT19" s="726" t="str">
        <f t="shared" ca="1" si="24"/>
        <v/>
      </c>
      <c r="AU19" s="726" t="str">
        <f t="shared" ca="1" si="5"/>
        <v/>
      </c>
      <c r="AW19" s="896">
        <f t="shared" si="47"/>
        <v>14</v>
      </c>
      <c r="AX19" s="896" t="e">
        <f t="shared" si="25"/>
        <v>#VALUE!</v>
      </c>
      <c r="AY19" s="896" t="str">
        <f t="shared" si="6"/>
        <v/>
      </c>
      <c r="AZ19" s="896"/>
      <c r="BA19" s="743">
        <f t="shared" si="26"/>
        <v>0</v>
      </c>
      <c r="BB19" s="896" t="str">
        <f t="shared" si="27"/>
        <v/>
      </c>
      <c r="BC19" s="1526" t="str">
        <f>IF(BB19&lt;&gt;"",TDWThird&amp;WFS&amp;IF(NOT(ISERROR(FIND("(",BB19,1))),IF(MID(BB19,FIND("(",BB19,1)+1,1)="4","qqqq",IF(MID(BB19,FIND("(",BB19,1)+1,1)="3","qqq",IF(MID(BB19,FIND("(",BB19,1)+1,1)="2","qq","q"))),"q")&amp;WFF&amp;" "&amp;IF(NOT(ISERROR(FIND("(",BB19,1))),LEFT(BB19,FIND("(",BB19,1)-1),BB19)&amp;"&lt;/TD&gt;","")</f>
        <v/>
      </c>
      <c r="BD19" s="1506" t="str">
        <f t="shared" si="28"/>
        <v/>
      </c>
      <c r="BE19" s="896" t="str">
        <f t="shared" si="29"/>
        <v/>
      </c>
      <c r="BF19" s="896" t="str">
        <f t="shared" si="7"/>
        <v/>
      </c>
      <c r="BG19" s="896">
        <f t="shared" si="48"/>
        <v>14</v>
      </c>
      <c r="BH19" s="896" t="e">
        <f t="shared" si="30"/>
        <v>#VALUE!</v>
      </c>
      <c r="BI19" s="896" t="str">
        <f t="shared" si="8"/>
        <v/>
      </c>
      <c r="BJ19" s="896"/>
      <c r="BK19" s="743">
        <f t="shared" si="31"/>
        <v>0</v>
      </c>
      <c r="BL19" s="896" t="str">
        <f t="shared" si="32"/>
        <v/>
      </c>
      <c r="BM19" s="896" t="str">
        <f t="shared" si="33"/>
        <v/>
      </c>
      <c r="BN19" s="896" t="str">
        <f t="shared" si="9"/>
        <v/>
      </c>
      <c r="BO19" s="896">
        <f t="shared" si="49"/>
        <v>14</v>
      </c>
      <c r="BP19" s="896" t="e">
        <f t="shared" si="34"/>
        <v>#VALUE!</v>
      </c>
      <c r="BQ19" s="896" t="str">
        <f t="shared" si="10"/>
        <v/>
      </c>
      <c r="BR19" s="896"/>
      <c r="BS19" s="743">
        <f t="shared" si="35"/>
        <v>0</v>
      </c>
      <c r="BT19" s="896" t="str">
        <f t="shared" si="36"/>
        <v/>
      </c>
      <c r="BU19" s="896" t="str">
        <f t="shared" si="37"/>
        <v/>
      </c>
      <c r="BV19" s="896" t="str">
        <f t="shared" si="11"/>
        <v/>
      </c>
      <c r="BW19" s="956">
        <f t="shared" si="50"/>
        <v>14</v>
      </c>
      <c r="BX19" s="1070" t="e">
        <f t="shared" si="38"/>
        <v>#VALUE!</v>
      </c>
      <c r="BY19" s="1070" t="str">
        <f t="shared" si="12"/>
        <v/>
      </c>
      <c r="BZ19" s="956" t="str">
        <f t="shared" si="39"/>
        <v/>
      </c>
    </row>
    <row r="20" spans="2:78">
      <c r="B20" s="26"/>
      <c r="C20" s="1741"/>
      <c r="D20" s="29"/>
      <c r="I20" s="1506" t="str">
        <f t="shared" ca="1" si="54"/>
        <v/>
      </c>
      <c r="K20" s="896" t="str">
        <f ca="1">IF(AND(ForceSensitive&gt;0,TUsetheForce&lt;&gt;"",ForcePowersKnownStatBlock&lt;&gt;""),"Force Powers Known (Use the Force +"&amp;UsetheForce&amp;") "&amp;ForcePowersKnownStatBlock,"")</f>
        <v/>
      </c>
      <c r="N20" s="718" t="str">
        <f ca="1">IF(AND(ForceSensitive&gt;0,TUsetheForce&lt;&gt;"",ForcePowersKnownStatBlock&lt;&gt;""),IF(Tables,TRB,"")&amp;IF(HTML,WFS&amp;"u"&amp;WFF&amp;BS,"//")&amp;" Force Powers Known "&amp;IF(HTML,BF,"")&amp;"(Use the Force +"&amp;UsetheForce&amp;") "&amp;IF(HTML,WFS&amp;"v"&amp;WFF&amp;BS,"•")&amp;" Force"&amp;IF(HTML,BF,"")&amp;IF(Tables,"&lt;/TD&gt;&lt;/TR&gt;"&amp;ForcePowersTableLayout,IF(HTML,"&lt;BR&gt;","
")&amp;ForcePowersKnownStatBlock),"")</f>
        <v/>
      </c>
      <c r="T20" s="718">
        <f t="shared" si="40"/>
        <v>15</v>
      </c>
      <c r="U20" s="718" t="e">
        <f t="shared" ca="1" si="41"/>
        <v>#VALUE!</v>
      </c>
      <c r="V20" s="718" t="str">
        <f t="shared" ca="1" si="13"/>
        <v/>
      </c>
      <c r="W20" s="718" t="str">
        <f t="shared" ca="1" si="53"/>
        <v/>
      </c>
      <c r="X20" s="718">
        <f t="shared" si="42"/>
        <v>15</v>
      </c>
      <c r="Y20" s="718" t="e">
        <f t="shared" si="14"/>
        <v>#VALUE!</v>
      </c>
      <c r="Z20" s="718" t="str">
        <f t="shared" si="1"/>
        <v/>
      </c>
      <c r="AA20" s="718" t="str">
        <f t="shared" si="2"/>
        <v/>
      </c>
      <c r="AE20" s="383" t="s">
        <v>195</v>
      </c>
      <c r="AF20" s="726">
        <f t="shared" si="45"/>
        <v>15</v>
      </c>
      <c r="AG20" s="726" t="e">
        <f t="shared" ca="1" si="16"/>
        <v>#VALUE!</v>
      </c>
      <c r="AH20" s="726" t="str">
        <f t="shared" ca="1" si="17"/>
        <v/>
      </c>
      <c r="AJ20" s="743">
        <f t="shared" ca="1" si="18"/>
        <v>0</v>
      </c>
      <c r="AK20" s="726" t="str">
        <f t="shared" ca="1" si="19"/>
        <v/>
      </c>
      <c r="AL20" s="726" t="str">
        <f t="shared" ca="1" si="20"/>
        <v/>
      </c>
      <c r="AM20" s="726" t="str">
        <f t="shared" ca="1" si="4"/>
        <v/>
      </c>
      <c r="AN20" s="726">
        <f t="shared" si="46"/>
        <v>15</v>
      </c>
      <c r="AO20" s="726" t="e">
        <f t="shared" ca="1" si="21"/>
        <v>#VALUE!</v>
      </c>
      <c r="AP20" s="726" t="str">
        <f t="shared" ca="1" si="22"/>
        <v/>
      </c>
      <c r="AR20" s="743">
        <f t="shared" ca="1" si="52"/>
        <v>0</v>
      </c>
      <c r="AS20" s="726" t="str">
        <f t="shared" ca="1" si="23"/>
        <v/>
      </c>
      <c r="AT20" s="726" t="str">
        <f t="shared" ca="1" si="24"/>
        <v/>
      </c>
      <c r="AU20" s="726" t="str">
        <f t="shared" ca="1" si="5"/>
        <v/>
      </c>
      <c r="AW20" s="896">
        <f t="shared" si="47"/>
        <v>15</v>
      </c>
      <c r="AX20" s="896" t="e">
        <f t="shared" si="25"/>
        <v>#VALUE!</v>
      </c>
      <c r="AY20" s="896" t="str">
        <f t="shared" si="6"/>
        <v/>
      </c>
      <c r="AZ20" s="896"/>
      <c r="BA20" s="743">
        <f t="shared" si="26"/>
        <v>0</v>
      </c>
      <c r="BB20" s="896" t="str">
        <f t="shared" si="27"/>
        <v/>
      </c>
      <c r="BC20" s="1526" t="str">
        <f>IF(BB18&lt;&gt;"",IF(BB20&lt;&gt;"",TDWThird&amp;WFS&amp;IF(NOT(ISERROR(FIND("(",BB20,1))),IF(MID(BB20,FIND("(",BB20,1)+1,1)="4","qqqq",IF(MID(BB20,FIND("(",BB20,1)+1,1)="3","qqq",IF(MID(BB20,FIND("(",BB20,1)+1,1)="2","qq","q"))),"q")&amp;WFF&amp;" "&amp;IF(NOT(ISERROR(FIND("(",BB20,1))),LEFT(BB20,FIND("(",BB20,1)-1),BB20)&amp;"&lt;/TD&gt;","")&amp;"&lt;/TR&gt;","")</f>
        <v/>
      </c>
      <c r="BD20" s="1506" t="str">
        <f t="shared" si="28"/>
        <v/>
      </c>
      <c r="BE20" s="896" t="str">
        <f t="shared" si="29"/>
        <v/>
      </c>
      <c r="BF20" s="896" t="str">
        <f t="shared" si="7"/>
        <v/>
      </c>
      <c r="BG20" s="896">
        <f t="shared" si="48"/>
        <v>15</v>
      </c>
      <c r="BH20" s="896" t="e">
        <f t="shared" si="30"/>
        <v>#VALUE!</v>
      </c>
      <c r="BI20" s="896" t="str">
        <f t="shared" si="8"/>
        <v/>
      </c>
      <c r="BJ20" s="896"/>
      <c r="BK20" s="743">
        <f t="shared" si="31"/>
        <v>0</v>
      </c>
      <c r="BL20" s="896" t="str">
        <f t="shared" si="32"/>
        <v/>
      </c>
      <c r="BM20" s="896" t="str">
        <f t="shared" si="33"/>
        <v/>
      </c>
      <c r="BN20" s="896" t="str">
        <f t="shared" si="9"/>
        <v/>
      </c>
      <c r="BO20" s="896">
        <f t="shared" si="49"/>
        <v>15</v>
      </c>
      <c r="BP20" s="896" t="e">
        <f t="shared" si="34"/>
        <v>#VALUE!</v>
      </c>
      <c r="BQ20" s="896" t="str">
        <f t="shared" si="10"/>
        <v/>
      </c>
      <c r="BR20" s="896"/>
      <c r="BS20" s="743">
        <f t="shared" si="35"/>
        <v>0</v>
      </c>
      <c r="BT20" s="896" t="str">
        <f t="shared" si="36"/>
        <v/>
      </c>
      <c r="BU20" s="896" t="str">
        <f t="shared" si="37"/>
        <v/>
      </c>
      <c r="BV20" s="896" t="str">
        <f t="shared" si="11"/>
        <v/>
      </c>
      <c r="BW20" s="956">
        <f t="shared" si="50"/>
        <v>15</v>
      </c>
      <c r="BX20" s="1070" t="e">
        <f t="shared" si="38"/>
        <v>#VALUE!</v>
      </c>
      <c r="BY20" s="1070" t="str">
        <f t="shared" si="12"/>
        <v/>
      </c>
      <c r="BZ20" s="956" t="str">
        <f t="shared" si="39"/>
        <v/>
      </c>
    </row>
    <row r="21" spans="2:78">
      <c r="B21" s="26"/>
      <c r="C21" s="1741"/>
      <c r="D21" s="29"/>
      <c r="I21" s="1506" t="str">
        <f t="shared" ca="1" si="54"/>
        <v/>
      </c>
      <c r="K21" s="896" t="str">
        <f ca="1">IF(AND(ForceSensitive&gt;0,TUsetheForce&lt;&gt;"",ForceSecretsKnownStatBlock&lt;&gt;""),"Force Secrets Known "&amp;ForceSecretsKnownStatBlock,"")</f>
        <v/>
      </c>
      <c r="T21" s="718">
        <f t="shared" si="40"/>
        <v>16</v>
      </c>
      <c r="U21" s="718" t="e">
        <f t="shared" ca="1" si="41"/>
        <v>#VALUE!</v>
      </c>
      <c r="V21" s="718" t="str">
        <f t="shared" ca="1" si="13"/>
        <v/>
      </c>
      <c r="W21" s="718" t="str">
        <f t="shared" ca="1" si="53"/>
        <v/>
      </c>
      <c r="X21" s="718">
        <f t="shared" si="42"/>
        <v>16</v>
      </c>
      <c r="Y21" s="718" t="e">
        <f t="shared" si="14"/>
        <v>#VALUE!</v>
      </c>
      <c r="Z21" s="718" t="str">
        <f t="shared" si="1"/>
        <v/>
      </c>
      <c r="AA21" s="718" t="str">
        <f t="shared" si="2"/>
        <v/>
      </c>
      <c r="AF21" s="726">
        <f t="shared" si="45"/>
        <v>16</v>
      </c>
      <c r="AG21" s="726" t="e">
        <f t="shared" ca="1" si="16"/>
        <v>#VALUE!</v>
      </c>
      <c r="AH21" s="726" t="str">
        <f t="shared" ca="1" si="17"/>
        <v/>
      </c>
      <c r="AJ21" s="743">
        <f t="shared" ca="1" si="18"/>
        <v>0</v>
      </c>
      <c r="AK21" s="726" t="str">
        <f t="shared" ca="1" si="19"/>
        <v/>
      </c>
      <c r="AL21" s="726" t="str">
        <f t="shared" ca="1" si="20"/>
        <v/>
      </c>
      <c r="AM21" s="726" t="str">
        <f t="shared" ca="1" si="4"/>
        <v/>
      </c>
      <c r="AN21" s="726">
        <f t="shared" si="46"/>
        <v>16</v>
      </c>
      <c r="AO21" s="726" t="e">
        <f t="shared" ca="1" si="21"/>
        <v>#VALUE!</v>
      </c>
      <c r="AP21" s="726" t="str">
        <f t="shared" ca="1" si="22"/>
        <v/>
      </c>
      <c r="AR21" s="743">
        <f t="shared" ca="1" si="52"/>
        <v>0</v>
      </c>
      <c r="AS21" s="726" t="str">
        <f t="shared" ca="1" si="23"/>
        <v/>
      </c>
      <c r="AT21" s="726" t="str">
        <f t="shared" ca="1" si="24"/>
        <v/>
      </c>
      <c r="AU21" s="726" t="str">
        <f t="shared" ca="1" si="5"/>
        <v/>
      </c>
      <c r="AW21" s="896">
        <f t="shared" si="47"/>
        <v>16</v>
      </c>
      <c r="AX21" s="896" t="e">
        <f t="shared" si="25"/>
        <v>#VALUE!</v>
      </c>
      <c r="AY21" s="896" t="str">
        <f t="shared" si="6"/>
        <v/>
      </c>
      <c r="AZ21" s="896"/>
      <c r="BA21" s="743">
        <f t="shared" si="26"/>
        <v>0</v>
      </c>
      <c r="BB21" s="896" t="str">
        <f t="shared" si="27"/>
        <v/>
      </c>
      <c r="BC21" s="1526" t="str">
        <f>IF(BB21&lt;&gt;"","&lt;TR&gt;"&amp;TDWThird&amp;WFS&amp;IF(NOT(ISERROR(FIND("(",BB21,1))),IF(MID(BB21,FIND("(",BB21,1)+1,1)="4","qqqq",IF(MID(BB21,FIND("(",BB21,1)+1,1)="3","qqq",IF(MID(BB21,FIND("(",BB21,1)+1,1)="2","qq","q"))),"q")&amp;WFF&amp;" "&amp;IF(NOT(ISERROR(FIND("(",BB21,1))),LEFT(BB21,FIND("(",BB21,1)-1),BB21)&amp;"&lt;/TD&gt;","")</f>
        <v/>
      </c>
      <c r="BD21" s="1506" t="str">
        <f t="shared" si="28"/>
        <v/>
      </c>
      <c r="BE21" s="896" t="str">
        <f t="shared" si="29"/>
        <v/>
      </c>
      <c r="BF21" s="896" t="str">
        <f t="shared" si="7"/>
        <v/>
      </c>
      <c r="BG21" s="896">
        <f t="shared" si="48"/>
        <v>16</v>
      </c>
      <c r="BH21" s="896" t="e">
        <f t="shared" si="30"/>
        <v>#VALUE!</v>
      </c>
      <c r="BI21" s="896" t="str">
        <f t="shared" si="8"/>
        <v/>
      </c>
      <c r="BJ21" s="896"/>
      <c r="BK21" s="743">
        <f t="shared" si="31"/>
        <v>0</v>
      </c>
      <c r="BL21" s="896" t="str">
        <f t="shared" si="32"/>
        <v/>
      </c>
      <c r="BM21" s="896" t="str">
        <f t="shared" si="33"/>
        <v/>
      </c>
      <c r="BN21" s="896" t="str">
        <f t="shared" si="9"/>
        <v/>
      </c>
      <c r="BO21" s="896">
        <f t="shared" si="49"/>
        <v>16</v>
      </c>
      <c r="BP21" s="896" t="e">
        <f t="shared" si="34"/>
        <v>#VALUE!</v>
      </c>
      <c r="BQ21" s="896" t="str">
        <f t="shared" si="10"/>
        <v/>
      </c>
      <c r="BR21" s="896"/>
      <c r="BS21" s="743">
        <f t="shared" si="35"/>
        <v>0</v>
      </c>
      <c r="BT21" s="896" t="str">
        <f t="shared" si="36"/>
        <v/>
      </c>
      <c r="BU21" s="896" t="str">
        <f t="shared" si="37"/>
        <v/>
      </c>
      <c r="BV21" s="896" t="str">
        <f t="shared" si="11"/>
        <v/>
      </c>
      <c r="BW21" s="956">
        <f t="shared" si="50"/>
        <v>16</v>
      </c>
      <c r="BX21" s="1070" t="e">
        <f t="shared" si="38"/>
        <v>#VALUE!</v>
      </c>
      <c r="BY21" s="1070" t="str">
        <f t="shared" si="12"/>
        <v/>
      </c>
      <c r="BZ21" s="956" t="str">
        <f t="shared" si="39"/>
        <v/>
      </c>
    </row>
    <row r="22" spans="2:78">
      <c r="B22" s="26"/>
      <c r="C22" s="1741"/>
      <c r="D22" s="29"/>
      <c r="I22" s="1506" t="str">
        <f t="shared" ca="1" si="54"/>
        <v/>
      </c>
      <c r="K22" s="896" t="str">
        <f ca="1">IF(AND(ForceSensitive&gt;0,TUsetheForce&lt;&gt;"",ForceTechniquesKnownStatBlock&lt;&gt;""),"Force Techniques Known "&amp;ForceTechniquesKnownStatBlock,"")</f>
        <v/>
      </c>
      <c r="T22" s="718">
        <f t="shared" si="40"/>
        <v>17</v>
      </c>
      <c r="U22" s="718" t="e">
        <f t="shared" ca="1" si="41"/>
        <v>#VALUE!</v>
      </c>
      <c r="V22" s="718" t="str">
        <f t="shared" ca="1" si="13"/>
        <v/>
      </c>
      <c r="W22" s="718" t="str">
        <f t="shared" ca="1" si="53"/>
        <v/>
      </c>
      <c r="X22" s="718">
        <f t="shared" si="42"/>
        <v>17</v>
      </c>
      <c r="Y22" s="718" t="e">
        <f t="shared" si="14"/>
        <v>#VALUE!</v>
      </c>
      <c r="Z22" s="718" t="str">
        <f t="shared" si="1"/>
        <v/>
      </c>
      <c r="AA22" s="718" t="str">
        <f t="shared" si="2"/>
        <v/>
      </c>
      <c r="AF22" s="726">
        <f t="shared" si="45"/>
        <v>17</v>
      </c>
      <c r="AG22" s="726" t="e">
        <f t="shared" ca="1" si="16"/>
        <v>#VALUE!</v>
      </c>
      <c r="AH22" s="726" t="str">
        <f t="shared" ca="1" si="17"/>
        <v/>
      </c>
      <c r="AJ22" s="743">
        <f t="shared" ca="1" si="18"/>
        <v>0</v>
      </c>
      <c r="AK22" s="726" t="str">
        <f t="shared" ca="1" si="19"/>
        <v/>
      </c>
      <c r="AL22" s="726" t="str">
        <f t="shared" ca="1" si="20"/>
        <v/>
      </c>
      <c r="AM22" s="726" t="str">
        <f t="shared" ca="1" si="4"/>
        <v/>
      </c>
      <c r="AN22" s="726">
        <f t="shared" si="46"/>
        <v>17</v>
      </c>
      <c r="AO22" s="726" t="e">
        <f t="shared" ca="1" si="21"/>
        <v>#VALUE!</v>
      </c>
      <c r="AP22" s="726" t="str">
        <f t="shared" ca="1" si="22"/>
        <v/>
      </c>
      <c r="AR22" s="743">
        <f t="shared" ca="1" si="52"/>
        <v>0</v>
      </c>
      <c r="AS22" s="726" t="str">
        <f t="shared" ca="1" si="23"/>
        <v/>
      </c>
      <c r="AT22" s="726" t="str">
        <f t="shared" ca="1" si="24"/>
        <v/>
      </c>
      <c r="AU22" s="726" t="str">
        <f t="shared" ca="1" si="5"/>
        <v/>
      </c>
      <c r="AW22" s="896">
        <f t="shared" si="47"/>
        <v>17</v>
      </c>
      <c r="AX22" s="896" t="e">
        <f t="shared" si="25"/>
        <v>#VALUE!</v>
      </c>
      <c r="AY22" s="896" t="str">
        <f t="shared" si="6"/>
        <v/>
      </c>
      <c r="AZ22" s="896"/>
      <c r="BA22" s="743">
        <f t="shared" si="26"/>
        <v>0</v>
      </c>
      <c r="BB22" s="896" t="str">
        <f t="shared" si="27"/>
        <v/>
      </c>
      <c r="BC22" s="1526" t="str">
        <f>IF(BB22&lt;&gt;"",TDWThird&amp;WFS&amp;IF(NOT(ISERROR(FIND("(",BB22,1))),IF(MID(BB22,FIND("(",BB22,1)+1,1)="4","qqqq",IF(MID(BB22,FIND("(",BB22,1)+1,1)="3","qqq",IF(MID(BB22,FIND("(",BB22,1)+1,1)="2","qq","q"))),"q")&amp;WFF&amp;" "&amp;IF(NOT(ISERROR(FIND("(",BB22,1))),LEFT(BB22,FIND("(",BB22,1)-1),BB22)&amp;"&lt;/TD&gt;","")</f>
        <v/>
      </c>
      <c r="BD22" s="1506" t="str">
        <f t="shared" si="28"/>
        <v/>
      </c>
      <c r="BE22" s="896" t="str">
        <f t="shared" si="29"/>
        <v/>
      </c>
      <c r="BF22" s="896" t="str">
        <f t="shared" si="7"/>
        <v/>
      </c>
      <c r="BG22" s="896">
        <f t="shared" si="48"/>
        <v>17</v>
      </c>
      <c r="BH22" s="896" t="e">
        <f t="shared" si="30"/>
        <v>#VALUE!</v>
      </c>
      <c r="BI22" s="896" t="str">
        <f t="shared" si="8"/>
        <v/>
      </c>
      <c r="BJ22" s="896"/>
      <c r="BK22" s="743">
        <f t="shared" si="31"/>
        <v>0</v>
      </c>
      <c r="BL22" s="896" t="str">
        <f t="shared" si="32"/>
        <v/>
      </c>
      <c r="BM22" s="896" t="str">
        <f t="shared" si="33"/>
        <v/>
      </c>
      <c r="BN22" s="896" t="str">
        <f t="shared" si="9"/>
        <v/>
      </c>
      <c r="BO22" s="896">
        <f t="shared" si="49"/>
        <v>17</v>
      </c>
      <c r="BP22" s="896" t="e">
        <f t="shared" si="34"/>
        <v>#VALUE!</v>
      </c>
      <c r="BQ22" s="896" t="str">
        <f t="shared" si="10"/>
        <v/>
      </c>
      <c r="BR22" s="896"/>
      <c r="BS22" s="743">
        <f t="shared" si="35"/>
        <v>0</v>
      </c>
      <c r="BT22" s="896" t="str">
        <f t="shared" si="36"/>
        <v/>
      </c>
      <c r="BU22" s="896" t="str">
        <f t="shared" si="37"/>
        <v/>
      </c>
      <c r="BV22" s="896" t="str">
        <f t="shared" si="11"/>
        <v/>
      </c>
      <c r="BW22" s="956">
        <f t="shared" si="50"/>
        <v>17</v>
      </c>
      <c r="BX22" s="1070" t="e">
        <f t="shared" si="38"/>
        <v>#VALUE!</v>
      </c>
      <c r="BY22" s="1070" t="str">
        <f t="shared" si="12"/>
        <v/>
      </c>
      <c r="BZ22" s="956" t="str">
        <f t="shared" si="39"/>
        <v/>
      </c>
    </row>
    <row r="23" spans="2:78">
      <c r="B23" s="26"/>
      <c r="C23" s="1741"/>
      <c r="D23" s="29"/>
      <c r="I23" s="1506" t="str">
        <f t="shared" ca="1" si="54"/>
        <v/>
      </c>
      <c r="K23" s="1026" t="str">
        <f ca="1">IF(AND(ForceSensitive&gt;0,TUsetheForce&lt;&gt;"",ForceRegimensTaken&lt;&gt;"",Feats!M122&gt;0),"Force Training Regimens Known "&amp;ForceRegimensTaken,"")</f>
        <v/>
      </c>
      <c r="T23" s="718">
        <f t="shared" si="40"/>
        <v>18</v>
      </c>
      <c r="U23" s="718" t="e">
        <f t="shared" ca="1" si="41"/>
        <v>#VALUE!</v>
      </c>
      <c r="V23" s="718" t="str">
        <f t="shared" ca="1" si="13"/>
        <v/>
      </c>
      <c r="W23" s="718" t="str">
        <f t="shared" ca="1" si="53"/>
        <v/>
      </c>
      <c r="X23" s="718">
        <f t="shared" si="42"/>
        <v>18</v>
      </c>
      <c r="Y23" s="718" t="e">
        <f t="shared" si="14"/>
        <v>#VALUE!</v>
      </c>
      <c r="Z23" s="718" t="str">
        <f t="shared" si="1"/>
        <v/>
      </c>
      <c r="AA23" s="718" t="str">
        <f t="shared" si="2"/>
        <v/>
      </c>
      <c r="AF23" s="726">
        <f t="shared" si="45"/>
        <v>18</v>
      </c>
      <c r="AG23" s="726" t="e">
        <f t="shared" ca="1" si="16"/>
        <v>#VALUE!</v>
      </c>
      <c r="AH23" s="726" t="str">
        <f t="shared" ca="1" si="17"/>
        <v/>
      </c>
      <c r="AJ23" s="743">
        <f t="shared" ca="1" si="18"/>
        <v>0</v>
      </c>
      <c r="AK23" s="726" t="str">
        <f t="shared" ca="1" si="19"/>
        <v/>
      </c>
      <c r="AL23" s="726" t="str">
        <f t="shared" ca="1" si="20"/>
        <v/>
      </c>
      <c r="AM23" s="726" t="str">
        <f t="shared" ca="1" si="4"/>
        <v/>
      </c>
      <c r="AN23" s="726">
        <f t="shared" si="46"/>
        <v>18</v>
      </c>
      <c r="AO23" s="726" t="e">
        <f t="shared" ca="1" si="21"/>
        <v>#VALUE!</v>
      </c>
      <c r="AP23" s="726" t="str">
        <f t="shared" ca="1" si="22"/>
        <v/>
      </c>
      <c r="AR23" s="743">
        <f t="shared" ca="1" si="52"/>
        <v>0</v>
      </c>
      <c r="AS23" s="726" t="str">
        <f t="shared" ca="1" si="23"/>
        <v/>
      </c>
      <c r="AT23" s="726" t="str">
        <f ca="1">VLOOKUP(SMALL($AR$6:$AR$25,ROW()-ROW($AT$5)),$AR$6:$AS$25,2,FALSE)</f>
        <v/>
      </c>
      <c r="AU23" s="726" t="str">
        <f t="shared" ca="1" si="5"/>
        <v/>
      </c>
      <c r="AW23" s="896">
        <f t="shared" si="47"/>
        <v>18</v>
      </c>
      <c r="AX23" s="896" t="e">
        <f t="shared" si="25"/>
        <v>#VALUE!</v>
      </c>
      <c r="AY23" s="896" t="str">
        <f t="shared" si="6"/>
        <v/>
      </c>
      <c r="AZ23" s="896"/>
      <c r="BA23" s="743">
        <f t="shared" si="26"/>
        <v>0</v>
      </c>
      <c r="BB23" s="896" t="str">
        <f t="shared" si="27"/>
        <v/>
      </c>
      <c r="BC23" s="1526" t="str">
        <f>IF(BB21&lt;&gt;"",IF(BB23&lt;&gt;"",TDWThird&amp;WFS&amp;IF(NOT(ISERROR(FIND("(",BB23,1))),IF(MID(BB23,FIND("(",BB23,1)+1,1)="4","qqqq",IF(MID(BB23,FIND("(",BB23,1)+1,1)="3","qqq",IF(MID(BB23,FIND("(",BB23,1)+1,1)="2","qq","q"))),"q")&amp;WFF&amp;" "&amp;IF(NOT(ISERROR(FIND("(",BB23,1))),LEFT(BB23,FIND("(",BB23,1)-1),BB23)&amp;"&lt;/TD&gt;","")&amp;"&lt;/TR&gt;","")</f>
        <v/>
      </c>
      <c r="BD23" s="1506" t="str">
        <f t="shared" si="28"/>
        <v/>
      </c>
      <c r="BE23" s="896" t="str">
        <f t="shared" si="29"/>
        <v/>
      </c>
      <c r="BF23" s="896" t="str">
        <f t="shared" si="7"/>
        <v/>
      </c>
      <c r="BG23" s="896">
        <f t="shared" si="48"/>
        <v>18</v>
      </c>
      <c r="BH23" s="896" t="e">
        <f t="shared" si="30"/>
        <v>#VALUE!</v>
      </c>
      <c r="BI23" s="896" t="str">
        <f t="shared" si="8"/>
        <v/>
      </c>
      <c r="BJ23" s="896"/>
      <c r="BK23" s="743">
        <f t="shared" si="31"/>
        <v>0</v>
      </c>
      <c r="BL23" s="896" t="str">
        <f t="shared" si="32"/>
        <v/>
      </c>
      <c r="BM23" s="896" t="str">
        <f t="shared" si="33"/>
        <v/>
      </c>
      <c r="BN23" s="896" t="str">
        <f t="shared" si="9"/>
        <v/>
      </c>
      <c r="BO23" s="896">
        <f t="shared" si="49"/>
        <v>18</v>
      </c>
      <c r="BP23" s="896" t="e">
        <f t="shared" si="34"/>
        <v>#VALUE!</v>
      </c>
      <c r="BQ23" s="896" t="str">
        <f t="shared" si="10"/>
        <v/>
      </c>
      <c r="BR23" s="896"/>
      <c r="BS23" s="743">
        <f t="shared" si="35"/>
        <v>0</v>
      </c>
      <c r="BT23" s="896" t="str">
        <f t="shared" si="36"/>
        <v/>
      </c>
      <c r="BU23" s="896" t="str">
        <f t="shared" si="37"/>
        <v/>
      </c>
      <c r="BV23" s="896" t="str">
        <f t="shared" si="11"/>
        <v/>
      </c>
      <c r="BW23" s="956">
        <f t="shared" si="50"/>
        <v>18</v>
      </c>
      <c r="BX23" s="1070" t="e">
        <f t="shared" si="38"/>
        <v>#VALUE!</v>
      </c>
      <c r="BY23" s="1070" t="str">
        <f t="shared" si="12"/>
        <v/>
      </c>
      <c r="BZ23" s="956" t="str">
        <f t="shared" si="39"/>
        <v/>
      </c>
    </row>
    <row r="24" spans="2:78">
      <c r="B24" s="26"/>
      <c r="C24" s="1741"/>
      <c r="D24" s="29"/>
      <c r="I24" s="1506" t="str">
        <f t="shared" ca="1" si="54"/>
        <v/>
      </c>
      <c r="K24" s="1026" t="str">
        <f ca="1">IF(AND(Feats!M302&gt;0,StarshipManeuversTaken&lt;&gt;""),"Starship Maneuvers Known (Pilot +"&amp;Pilotskill&amp;") "&amp;StarshipManeuversTaken,"")</f>
        <v/>
      </c>
      <c r="T24" s="718">
        <f t="shared" si="40"/>
        <v>19</v>
      </c>
      <c r="U24" s="718" t="e">
        <f t="shared" ca="1" si="41"/>
        <v>#VALUE!</v>
      </c>
      <c r="V24" s="718" t="str">
        <f t="shared" ca="1" si="13"/>
        <v/>
      </c>
      <c r="W24" s="718" t="str">
        <f t="shared" ca="1" si="53"/>
        <v/>
      </c>
      <c r="X24" s="718">
        <f t="shared" si="42"/>
        <v>19</v>
      </c>
      <c r="Y24" s="718" t="e">
        <f t="shared" si="14"/>
        <v>#VALUE!</v>
      </c>
      <c r="Z24" s="718" t="str">
        <f t="shared" si="1"/>
        <v/>
      </c>
      <c r="AA24" s="718" t="str">
        <f t="shared" si="2"/>
        <v/>
      </c>
      <c r="AF24" s="726">
        <f t="shared" si="45"/>
        <v>19</v>
      </c>
      <c r="AG24" s="726" t="e">
        <f t="shared" ca="1" si="16"/>
        <v>#VALUE!</v>
      </c>
      <c r="AH24" s="726" t="str">
        <f t="shared" ca="1" si="17"/>
        <v/>
      </c>
      <c r="AJ24" s="743">
        <f t="shared" ca="1" si="18"/>
        <v>0</v>
      </c>
      <c r="AK24" s="726" t="str">
        <f t="shared" ca="1" si="19"/>
        <v/>
      </c>
      <c r="AL24" s="726" t="str">
        <f t="shared" ca="1" si="20"/>
        <v/>
      </c>
      <c r="AM24" s="726" t="str">
        <f t="shared" ca="1" si="4"/>
        <v/>
      </c>
      <c r="AN24" s="726">
        <f t="shared" si="46"/>
        <v>19</v>
      </c>
      <c r="AO24" s="726" t="e">
        <f t="shared" ca="1" si="21"/>
        <v>#VALUE!</v>
      </c>
      <c r="AP24" s="726" t="str">
        <f t="shared" ca="1" si="22"/>
        <v/>
      </c>
      <c r="AR24" s="743">
        <f t="shared" ca="1" si="52"/>
        <v>0</v>
      </c>
      <c r="AS24" s="726" t="str">
        <f t="shared" ca="1" si="23"/>
        <v/>
      </c>
      <c r="AT24" s="726" t="str">
        <f t="shared" ca="1" si="24"/>
        <v/>
      </c>
      <c r="AU24" s="726" t="str">
        <f t="shared" ca="1" si="5"/>
        <v/>
      </c>
      <c r="AW24" s="896">
        <f t="shared" si="47"/>
        <v>19</v>
      </c>
      <c r="AX24" s="896" t="e">
        <f t="shared" si="25"/>
        <v>#VALUE!</v>
      </c>
      <c r="AY24" s="896" t="str">
        <f t="shared" si="6"/>
        <v/>
      </c>
      <c r="AZ24" s="896"/>
      <c r="BA24" s="743">
        <f t="shared" si="26"/>
        <v>0</v>
      </c>
      <c r="BB24" s="896" t="str">
        <f t="shared" si="27"/>
        <v/>
      </c>
      <c r="BC24" s="1526" t="str">
        <f>IF(BB24&lt;&gt;"","&lt;TR&gt;"&amp;TDWThird&amp;WFS&amp;IF(NOT(ISERROR(FIND("(",BB24,1))),IF(MID(BB24,FIND("(",BB24,1)+1,1)="4","qqqq",IF(MID(BB24,FIND("(",BB24,1)+1,1)="3","qqq",IF(MID(BB24,FIND("(",BB24,1)+1,1)="2","qq","q"))),"q")&amp;WFF&amp;" "&amp;IF(NOT(ISERROR(FIND("(",BB24,1))),LEFT(BB24,FIND("(",BB24,1)-1),BB24)&amp;"&lt;/TD&gt;","")</f>
        <v/>
      </c>
      <c r="BD24" s="1506" t="str">
        <f t="shared" si="28"/>
        <v/>
      </c>
      <c r="BE24" s="896" t="str">
        <f t="shared" si="29"/>
        <v/>
      </c>
      <c r="BF24" s="896" t="str">
        <f t="shared" si="7"/>
        <v/>
      </c>
      <c r="BG24" s="896">
        <f t="shared" si="48"/>
        <v>19</v>
      </c>
      <c r="BH24" s="896" t="e">
        <f t="shared" si="30"/>
        <v>#VALUE!</v>
      </c>
      <c r="BI24" s="896" t="str">
        <f t="shared" si="8"/>
        <v/>
      </c>
      <c r="BJ24" s="896"/>
      <c r="BK24" s="743">
        <f t="shared" si="31"/>
        <v>0</v>
      </c>
      <c r="BL24" s="896" t="str">
        <f t="shared" si="32"/>
        <v/>
      </c>
      <c r="BM24" s="896" t="str">
        <f t="shared" si="33"/>
        <v/>
      </c>
      <c r="BN24" s="896" t="str">
        <f t="shared" si="9"/>
        <v/>
      </c>
      <c r="BO24" s="896">
        <f t="shared" si="49"/>
        <v>19</v>
      </c>
      <c r="BP24" s="896" t="e">
        <f t="shared" si="34"/>
        <v>#VALUE!</v>
      </c>
      <c r="BQ24" s="896" t="str">
        <f t="shared" si="10"/>
        <v/>
      </c>
      <c r="BR24" s="896"/>
      <c r="BS24" s="743">
        <f t="shared" si="35"/>
        <v>0</v>
      </c>
      <c r="BT24" s="896" t="str">
        <f t="shared" si="36"/>
        <v/>
      </c>
      <c r="BU24" s="896" t="str">
        <f t="shared" si="37"/>
        <v/>
      </c>
      <c r="BV24" s="896" t="str">
        <f t="shared" si="11"/>
        <v/>
      </c>
      <c r="BW24" s="956">
        <f t="shared" si="50"/>
        <v>19</v>
      </c>
      <c r="BX24" s="1070" t="e">
        <f t="shared" si="38"/>
        <v>#VALUE!</v>
      </c>
      <c r="BY24" s="1070" t="str">
        <f t="shared" si="12"/>
        <v/>
      </c>
      <c r="BZ24" s="956" t="str">
        <f t="shared" si="39"/>
        <v/>
      </c>
    </row>
    <row r="25" spans="2:78">
      <c r="B25" s="26"/>
      <c r="C25" s="1741"/>
      <c r="D25" s="29"/>
      <c r="I25" s="1506" t="str">
        <f t="shared" ca="1" si="54"/>
        <v/>
      </c>
      <c r="K25" s="1026" t="str">
        <f ca="1">IF(AND(Unleashed&gt;0,UnleashedTaken&lt;&gt;"",ShowUnleasedinStatBlock),"Unleashed "&amp;UnleashedTaken,"")</f>
        <v/>
      </c>
      <c r="T25" s="718">
        <f t="shared" si="40"/>
        <v>20</v>
      </c>
      <c r="U25" s="718" t="e">
        <f t="shared" ca="1" si="41"/>
        <v>#VALUE!</v>
      </c>
      <c r="V25" s="718" t="str">
        <f t="shared" ca="1" si="13"/>
        <v/>
      </c>
      <c r="W25" s="718" t="str">
        <f t="shared" ca="1" si="53"/>
        <v/>
      </c>
      <c r="X25" s="718">
        <f t="shared" si="42"/>
        <v>20</v>
      </c>
      <c r="Y25" s="718" t="e">
        <f t="shared" si="14"/>
        <v>#VALUE!</v>
      </c>
      <c r="Z25" s="718" t="str">
        <f t="shared" si="1"/>
        <v/>
      </c>
      <c r="AA25" s="718" t="str">
        <f t="shared" si="2"/>
        <v/>
      </c>
      <c r="AF25" s="726">
        <f t="shared" si="45"/>
        <v>20</v>
      </c>
      <c r="AG25" s="726" t="e">
        <f t="shared" ca="1" si="16"/>
        <v>#VALUE!</v>
      </c>
      <c r="AH25" s="726" t="str">
        <f t="shared" ca="1" si="17"/>
        <v/>
      </c>
      <c r="AJ25" s="743">
        <f t="shared" ca="1" si="18"/>
        <v>0</v>
      </c>
      <c r="AK25" s="726" t="str">
        <f t="shared" ca="1" si="19"/>
        <v/>
      </c>
      <c r="AL25" s="726" t="str">
        <f t="shared" ca="1" si="20"/>
        <v/>
      </c>
      <c r="AM25" s="726" t="str">
        <f ca="1">IF(AL25&lt;&gt;"",IF(AM26&lt;&gt;"",AL25&amp;", "&amp;AM26,AL25),AM26)</f>
        <v/>
      </c>
      <c r="AN25" s="726">
        <f t="shared" si="46"/>
        <v>20</v>
      </c>
      <c r="AO25" s="726" t="e">
        <f t="shared" ca="1" si="21"/>
        <v>#VALUE!</v>
      </c>
      <c r="AP25" s="726" t="str">
        <f t="shared" ca="1" si="22"/>
        <v/>
      </c>
      <c r="AR25" s="743">
        <f t="shared" ca="1" si="52"/>
        <v>0</v>
      </c>
      <c r="AS25" s="726" t="str">
        <f t="shared" ca="1" si="23"/>
        <v/>
      </c>
      <c r="AT25" s="726" t="str">
        <f t="shared" ca="1" si="24"/>
        <v/>
      </c>
      <c r="AU25" s="718" t="str">
        <f ca="1">IF(AT25&lt;&gt;"",IF(AU26&lt;&gt;"",AT25&amp;", "&amp;AU26,AT25),AU26)</f>
        <v/>
      </c>
      <c r="AW25" s="896">
        <f t="shared" si="47"/>
        <v>20</v>
      </c>
      <c r="AX25" s="896" t="e">
        <f t="shared" si="25"/>
        <v>#VALUE!</v>
      </c>
      <c r="AY25" s="896" t="str">
        <f t="shared" si="6"/>
        <v/>
      </c>
      <c r="AZ25" s="896"/>
      <c r="BA25" s="743">
        <f t="shared" si="26"/>
        <v>0</v>
      </c>
      <c r="BB25" s="896" t="str">
        <f t="shared" si="27"/>
        <v/>
      </c>
      <c r="BC25" s="1526" t="str">
        <f>IF(BB25&lt;&gt;"",TDWThird&amp;WFS&amp;IF(NOT(ISERROR(FIND("(",BB25,1))),IF(MID(BB25,FIND("(",BB25,1)+1,1)="4","qqqq",IF(MID(BB25,FIND("(",BB25,1)+1,1)="3","qqq",IF(MID(BB25,FIND("(",BB25,1)+1,1)="2","qq","q"))),"q")&amp;WFF&amp;" "&amp;IF(NOT(ISERROR(FIND("(",BB25,1))),LEFT(BB25,FIND("(",BB25,1)-1),BB25)&amp;"&lt;/TD&gt;","")</f>
        <v/>
      </c>
      <c r="BD25" s="1506" t="str">
        <f t="shared" si="28"/>
        <v/>
      </c>
      <c r="BE25" s="896" t="str">
        <f t="shared" si="29"/>
        <v/>
      </c>
      <c r="BF25" s="896" t="str">
        <f>IF(BE25&lt;&gt;"",IF(BF26&lt;&gt;"",BE25&amp;", "&amp;BF26,BE25),BF26)</f>
        <v/>
      </c>
      <c r="BG25" s="896">
        <f t="shared" si="48"/>
        <v>20</v>
      </c>
      <c r="BH25" s="896" t="e">
        <f t="shared" si="30"/>
        <v>#VALUE!</v>
      </c>
      <c r="BI25" s="896" t="str">
        <f t="shared" si="8"/>
        <v/>
      </c>
      <c r="BJ25" s="896"/>
      <c r="BK25" s="743">
        <f t="shared" si="31"/>
        <v>0</v>
      </c>
      <c r="BL25" s="896" t="str">
        <f t="shared" si="32"/>
        <v/>
      </c>
      <c r="BM25" s="896" t="str">
        <f t="shared" si="33"/>
        <v/>
      </c>
      <c r="BN25" s="896" t="str">
        <f>IF(BM25&lt;&gt;"",IF(BN26&lt;&gt;"",BM25&amp;", "&amp;BN26,BM25),BN26)</f>
        <v/>
      </c>
      <c r="BO25" s="896">
        <f t="shared" si="49"/>
        <v>20</v>
      </c>
      <c r="BP25" s="896" t="e">
        <f t="shared" si="34"/>
        <v>#VALUE!</v>
      </c>
      <c r="BQ25" s="896" t="str">
        <f t="shared" si="10"/>
        <v/>
      </c>
      <c r="BR25" s="896"/>
      <c r="BS25" s="743">
        <f t="shared" si="35"/>
        <v>0</v>
      </c>
      <c r="BT25" s="896" t="str">
        <f t="shared" si="36"/>
        <v/>
      </c>
      <c r="BU25" s="896" t="str">
        <f t="shared" si="37"/>
        <v/>
      </c>
      <c r="BV25" s="896" t="str">
        <f>IF(BU25&lt;&gt;"",IF(BV26&lt;&gt;"",BU25&amp;", "&amp;BV26,BU25),BV26)</f>
        <v/>
      </c>
      <c r="BW25" s="956">
        <f t="shared" si="50"/>
        <v>20</v>
      </c>
      <c r="BX25" s="1070" t="e">
        <f t="shared" si="38"/>
        <v>#VALUE!</v>
      </c>
      <c r="BY25" s="1070" t="str">
        <f t="shared" si="12"/>
        <v/>
      </c>
      <c r="BZ25" s="956" t="str">
        <f t="shared" si="39"/>
        <v/>
      </c>
    </row>
    <row r="26" spans="2:78">
      <c r="B26" s="26"/>
      <c r="C26" s="1741"/>
      <c r="D26" s="29"/>
      <c r="T26" s="718">
        <f t="shared" si="40"/>
        <v>21</v>
      </c>
      <c r="U26" s="718" t="e">
        <f t="shared" ca="1" si="41"/>
        <v>#VALUE!</v>
      </c>
      <c r="V26" s="718" t="str">
        <f t="shared" ca="1" si="13"/>
        <v/>
      </c>
      <c r="W26" s="718" t="str">
        <f t="shared" ca="1" si="53"/>
        <v/>
      </c>
      <c r="X26" s="718">
        <f t="shared" si="42"/>
        <v>21</v>
      </c>
      <c r="Y26" s="718" t="e">
        <f t="shared" si="14"/>
        <v>#VALUE!</v>
      </c>
      <c r="Z26" s="718" t="str">
        <f t="shared" si="1"/>
        <v/>
      </c>
      <c r="AA26" s="718" t="str">
        <f t="shared" si="2"/>
        <v/>
      </c>
      <c r="AM26" s="383" t="s">
        <v>195</v>
      </c>
      <c r="AN26" s="383"/>
      <c r="AU26" s="383" t="s">
        <v>195</v>
      </c>
      <c r="AW26" s="383"/>
      <c r="AX26" s="896"/>
      <c r="AY26" s="896"/>
      <c r="AZ26" s="896"/>
      <c r="BA26" s="896"/>
      <c r="BB26" s="896"/>
      <c r="BC26" s="1526" t="str">
        <f>IF(BB24&lt;&gt;"",IF(BB26&lt;&gt;"",TDWThird&amp;WFS&amp;IF(NOT(ISERROR(FIND("(",BB26,1))),IF(MID(BB26,FIND("(",BB26,1)+1,1)="4","qqqq",IF(MID(BB26,FIND("(",BB26,1)+1,1)="3","qqq",IF(MID(BB26,FIND("(",BB26,1)+1,1)="2","qq","q"))),"q")&amp;WFF&amp;" "&amp;IF(NOT(ISERROR(FIND("(",BB26,1))),LEFT(BB26,FIND("(",BB26,1)-1),BB26)&amp;"&lt;/TD&gt;","")&amp;"&lt;/TR&gt;","")</f>
        <v/>
      </c>
      <c r="BD26" s="1506" t="str">
        <f t="shared" si="28"/>
        <v/>
      </c>
      <c r="BE26" s="896"/>
      <c r="BF26" s="383" t="s">
        <v>195</v>
      </c>
      <c r="BG26" s="896"/>
      <c r="BN26" s="383" t="s">
        <v>195</v>
      </c>
      <c r="BS26" s="383" t="s">
        <v>195</v>
      </c>
      <c r="BV26" s="383" t="s">
        <v>195</v>
      </c>
      <c r="BZ26" s="383" t="s">
        <v>195</v>
      </c>
    </row>
    <row r="27" spans="2:78">
      <c r="B27" s="26"/>
      <c r="C27" s="1741"/>
      <c r="D27" s="29"/>
      <c r="F27" s="718" t="str">
        <f ca="1">I28&amp;I29&amp;FeatsTakenList</f>
        <v>0</v>
      </c>
      <c r="G27" s="718" t="str">
        <f ca="1">I27&amp;IF(I28&lt;&gt;"","
"&amp;I28,"")&amp;IF(I29&lt;&gt;"","
"&amp;I29,"")&amp;IF(I30&lt;&gt;"","
"&amp;I30,"")&amp;IF(I31&lt;&gt;"","
"&amp;I31,"")&amp;IF(I32&lt;&gt;"","
"&amp;I32,"")&amp;IF(I33&lt;&gt;"","
"&amp;I33,"")&amp;IF(I34&lt;&gt;"","
"&amp;I34,"")</f>
        <v>Abilities Str , Dex , Con , Int , Wis , Cha 
0</v>
      </c>
      <c r="I27" s="1506" t="str">
        <f>IF(AND(K27&lt;&gt;"",HTML),TRGR,"")&amp;K27&amp;IF(AND(K27&lt;&gt;"",HTML),TRF,"")</f>
        <v xml:space="preserve">Abilities Str , Dex , Con , Int , Wis , Cha </v>
      </c>
      <c r="K27" s="718" t="str">
        <f>IF(HTML,BS,"")&amp;"Abilities "&amp;IF(HTML,BF,"")&amp;"Str "&amp;Strength&amp;", Dex "&amp;Dexterity&amp;", Con "&amp;Constitution&amp;", Int "&amp;Intelligence&amp;", Wis "&amp;Wisdom&amp;", Cha "&amp;Charisma</f>
        <v xml:space="preserve">Abilities Str , Dex , Con , Int , Wis , Cha </v>
      </c>
      <c r="L27" s="1506" t="str">
        <f>IF(HTML,"&lt;TR&gt;"&amp;TDS&amp;BS,"")&amp;"Str "&amp;IF(HTML,BF,"")&amp;Strength&amp;IF(HTML,TDF&amp;TDS&amp;BS,"          ")&amp;"Dex "&amp;IF(HTML,BF,"")&amp;Dexterity&amp;IF(HTML,TDF&amp;TDS&amp;BS,"          ")&amp;"Con "&amp;IF(HTML,BF," ")&amp;Constitution&amp;IF(HTML,TRFF,"")</f>
        <v xml:space="preserve">Str           Dex           Con  </v>
      </c>
      <c r="M27" s="1506" t="str">
        <f>IF(HTML,"&lt;TR&gt;"&amp;TDS&amp;BS,"")&amp;"Int "&amp;IF(HTML,BF,"")&amp;Intelligence&amp;IF(HTML,TDF&amp;TDS&amp;BS,"          ")&amp;"Wis "&amp;IF(HTML,BF,"")&amp;Wisdom&amp;IF(HTML,TDF&amp;TDS&amp;BS,"          ")&amp;"Cha "&amp;IF(HTML,BF," ")&amp;Charisma&amp;IF(HTML,TRFF,"")</f>
        <v xml:space="preserve">Int           Wis           Cha  </v>
      </c>
      <c r="T27" s="718">
        <f t="shared" si="40"/>
        <v>22</v>
      </c>
      <c r="U27" s="718" t="e">
        <f t="shared" ca="1" si="41"/>
        <v>#VALUE!</v>
      </c>
      <c r="V27" s="718" t="str">
        <f t="shared" ca="1" si="13"/>
        <v/>
      </c>
      <c r="W27" s="718" t="str">
        <f t="shared" ca="1" si="53"/>
        <v/>
      </c>
      <c r="X27" s="718">
        <f t="shared" si="42"/>
        <v>22</v>
      </c>
      <c r="Y27" s="718" t="e">
        <f t="shared" si="14"/>
        <v>#VALUE!</v>
      </c>
      <c r="Z27" s="718" t="str">
        <f t="shared" si="1"/>
        <v/>
      </c>
      <c r="AA27" s="718" t="str">
        <f t="shared" si="2"/>
        <v/>
      </c>
      <c r="BD27" s="383" t="s">
        <v>195</v>
      </c>
    </row>
    <row r="28" spans="2:78">
      <c r="B28" s="26"/>
      <c r="C28" s="1741"/>
      <c r="D28" s="29"/>
      <c r="I28" s="1506" t="str">
        <f ca="1">IF(AND(K28&lt;&gt;"",HTML),TRGR,"")&amp;K28&amp;IF(AND(K28&lt;&gt;"",HTML),TRF,"")</f>
        <v>0</v>
      </c>
      <c r="K28" s="718">
        <f ca="1">IF(OR(ClassSpecials&lt;&gt;"",SpecialQualitiesStatBlock&lt;&gt;""),IF(HTML,BS,"")&amp;"Special Qualities "&amp;IF(HTML,BF,"")&amp;IF(SpecialQualitiesStatBlock&lt;&gt;"",SpecialQualitiesStatBlock,"")&amp;IF(AND(SpecialQualitiesStatBlock&lt;&gt;"",ClassSpecials&lt;&gt;""),", ","")&amp;IF(ClassSpecials&lt;&gt;"",ClassSpecials,""),G17)</f>
        <v>0</v>
      </c>
      <c r="T28" s="718">
        <f t="shared" si="40"/>
        <v>23</v>
      </c>
      <c r="U28" s="718" t="e">
        <f t="shared" ca="1" si="41"/>
        <v>#VALUE!</v>
      </c>
      <c r="V28" s="718" t="str">
        <f t="shared" ca="1" si="13"/>
        <v/>
      </c>
      <c r="W28" s="718" t="str">
        <f t="shared" ca="1" si="53"/>
        <v/>
      </c>
      <c r="X28" s="718">
        <f t="shared" si="42"/>
        <v>23</v>
      </c>
      <c r="Y28" s="718" t="e">
        <f t="shared" si="14"/>
        <v>#VALUE!</v>
      </c>
      <c r="Z28" s="718" t="str">
        <f t="shared" si="1"/>
        <v/>
      </c>
      <c r="AA28" s="718" t="str">
        <f t="shared" si="2"/>
        <v/>
      </c>
    </row>
    <row r="29" spans="2:78">
      <c r="B29" s="26"/>
      <c r="C29" s="1741"/>
      <c r="D29" s="29"/>
      <c r="I29" s="1506" t="str">
        <f>IF(AND(K29&lt;&gt;"",HTML),TRGR,"")&amp;K29&amp;IF(AND(K29&lt;&gt;"",HTML),TRF,"")</f>
        <v/>
      </c>
      <c r="K29" s="718" t="str">
        <f>IF(TalentsListStatBlock&lt;&gt;"",IF(HTML,BS,"")&amp;"Talents "&amp;IF(HTML,BF,"")&amp;TalentsListStatBlock,"")</f>
        <v/>
      </c>
      <c r="T29" s="718">
        <f t="shared" si="40"/>
        <v>24</v>
      </c>
      <c r="U29" s="718" t="e">
        <f t="shared" ca="1" si="41"/>
        <v>#VALUE!</v>
      </c>
      <c r="V29" s="718" t="str">
        <f t="shared" ca="1" si="13"/>
        <v/>
      </c>
      <c r="W29" s="718" t="str">
        <f t="shared" ca="1" si="53"/>
        <v/>
      </c>
      <c r="X29" s="718">
        <f t="shared" si="42"/>
        <v>24</v>
      </c>
      <c r="Y29" s="718" t="e">
        <f t="shared" si="14"/>
        <v>#VALUE!</v>
      </c>
      <c r="Z29" s="718" t="str">
        <f t="shared" si="1"/>
        <v/>
      </c>
      <c r="AA29" s="718" t="str">
        <f t="shared" si="2"/>
        <v/>
      </c>
    </row>
    <row r="30" spans="2:78">
      <c r="B30" s="26"/>
      <c r="C30" s="1741"/>
      <c r="D30" s="29"/>
      <c r="I30" s="1506" t="str">
        <f ca="1">IF(AND(K30&lt;&gt;"",HTML),TRGR,"")&amp;K30&amp;IF(AND(K30&lt;&gt;"",HTML),TRF,"")</f>
        <v/>
      </c>
      <c r="K30" s="718" t="str">
        <f ca="1">IF(FeatsListStatBlock&lt;&gt;"",IF(HTML,BS,"")&amp;"Feats "&amp;IF(HTML,BF,"")&amp;FeatsListStatBlock,"")</f>
        <v/>
      </c>
      <c r="T30" s="718">
        <f t="shared" si="40"/>
        <v>25</v>
      </c>
      <c r="U30" s="718" t="e">
        <f t="shared" ca="1" si="41"/>
        <v>#VALUE!</v>
      </c>
      <c r="V30" s="718" t="str">
        <f t="shared" ca="1" si="13"/>
        <v/>
      </c>
      <c r="W30" s="718" t="str">
        <f t="shared" ca="1" si="53"/>
        <v/>
      </c>
      <c r="X30" s="718">
        <f t="shared" si="42"/>
        <v>25</v>
      </c>
      <c r="Y30" s="718" t="e">
        <f t="shared" si="14"/>
        <v>#VALUE!</v>
      </c>
      <c r="Z30" s="718" t="str">
        <f t="shared" si="1"/>
        <v/>
      </c>
      <c r="AA30" s="718" t="str">
        <f t="shared" si="2"/>
        <v/>
      </c>
    </row>
    <row r="31" spans="2:78">
      <c r="B31" s="26"/>
      <c r="C31" s="1741"/>
      <c r="D31" s="29"/>
      <c r="I31" s="1506" t="str">
        <f>IF(AND(K31&lt;&gt;"",HTML),TRGR,"")&amp;K31&amp;IF(AND(K31&lt;&gt;"",HTML),TRF,"")</f>
        <v/>
      </c>
      <c r="K31" s="718" t="str">
        <f>IF(SkillListStatBlock&lt;&gt;"",IF(HTML,BS,"")&amp;"Skills "&amp;IF(HTML,BF,"")&amp;SkillListStatBlock,"")</f>
        <v/>
      </c>
      <c r="T31" s="718">
        <f t="shared" si="40"/>
        <v>26</v>
      </c>
      <c r="U31" s="718" t="e">
        <f t="shared" ca="1" si="41"/>
        <v>#VALUE!</v>
      </c>
      <c r="V31" s="718" t="str">
        <f t="shared" ca="1" si="13"/>
        <v/>
      </c>
      <c r="W31" s="718" t="str">
        <f t="shared" ca="1" si="53"/>
        <v/>
      </c>
      <c r="X31" s="718">
        <f t="shared" si="42"/>
        <v>26</v>
      </c>
      <c r="Y31" s="718" t="e">
        <f t="shared" si="14"/>
        <v>#VALUE!</v>
      </c>
      <c r="Z31" s="718" t="str">
        <f t="shared" si="1"/>
        <v/>
      </c>
      <c r="AA31" s="718" t="str">
        <f t="shared" si="2"/>
        <v/>
      </c>
    </row>
    <row r="32" spans="2:78">
      <c r="B32" s="26"/>
      <c r="C32" s="1741"/>
      <c r="D32" s="29"/>
      <c r="I32" s="1506" t="str">
        <f>IF(AND(K32&lt;&gt;"",HTML),TRW,"")&amp;K32&amp;IF(AND(K32&lt;&gt;"",HTML),TRF,"")</f>
        <v/>
      </c>
      <c r="K32" s="718" t="str">
        <f>IF(AND(NOT(ISERROR(FIND("Droid",Race,1))),DroidSystemsOutput&lt;&gt;""),IF(HTML,BS,"")&amp;"Systems "&amp;IF(HTML,BF,"")&amp;DroidSystemsOutput,"")</f>
        <v/>
      </c>
      <c r="T32" s="718">
        <f t="shared" si="40"/>
        <v>27</v>
      </c>
      <c r="U32" s="718" t="e">
        <f t="shared" ca="1" si="41"/>
        <v>#VALUE!</v>
      </c>
      <c r="V32" s="718" t="str">
        <f t="shared" ca="1" si="13"/>
        <v/>
      </c>
      <c r="W32" s="718" t="str">
        <f t="shared" ca="1" si="53"/>
        <v/>
      </c>
      <c r="X32" s="718">
        <f t="shared" si="42"/>
        <v>27</v>
      </c>
      <c r="Y32" s="718" t="e">
        <f t="shared" si="14"/>
        <v>#VALUE!</v>
      </c>
      <c r="Z32" s="718" t="str">
        <f t="shared" si="1"/>
        <v/>
      </c>
      <c r="AA32" s="718" t="str">
        <f t="shared" si="2"/>
        <v/>
      </c>
    </row>
    <row r="33" spans="2:27">
      <c r="B33" s="26"/>
      <c r="C33" s="1741"/>
      <c r="D33" s="29"/>
      <c r="I33" s="1506" t="str">
        <f>IF(AND(K33&lt;&gt;"",HTML),TRW,"")&amp;K33&amp;IF(AND(K33&lt;&gt;"",HTML),TRF,"")</f>
        <v/>
      </c>
      <c r="K33" s="718" t="str">
        <f>IF(PossessionsStatBlock&lt;&gt;"",IF(HTML,BS,"")&amp;IF(NewStatBlock,"Equipment ","Possessions ")&amp;IF(HTML,BF,"")&amp;PossessionsStatBlock&amp;IF(Credits&lt;&gt;"",", "&amp;Credits&amp;" credits",""),"")</f>
        <v/>
      </c>
      <c r="T33" s="718">
        <f t="shared" si="40"/>
        <v>28</v>
      </c>
      <c r="U33" s="718" t="e">
        <f t="shared" ca="1" si="41"/>
        <v>#VALUE!</v>
      </c>
      <c r="V33" s="718" t="str">
        <f t="shared" ca="1" si="13"/>
        <v/>
      </c>
      <c r="W33" s="718" t="str">
        <f t="shared" ca="1" si="53"/>
        <v/>
      </c>
      <c r="X33" s="718">
        <f t="shared" si="42"/>
        <v>28</v>
      </c>
      <c r="Y33" s="718" t="e">
        <f t="shared" si="14"/>
        <v>#VALUE!</v>
      </c>
      <c r="Z33" s="718" t="str">
        <f t="shared" si="1"/>
        <v/>
      </c>
      <c r="AA33" s="718" t="str">
        <f t="shared" si="2"/>
        <v/>
      </c>
    </row>
    <row r="34" spans="2:27">
      <c r="B34" s="26"/>
      <c r="C34" s="1741"/>
      <c r="D34" s="29"/>
      <c r="G34" s="1290"/>
      <c r="I34" s="1506" t="str">
        <f>IF(AND(K34&lt;&gt;"",HTML),TRGR,"")&amp;K34&amp;IF(AND(K34&lt;&gt;"",HTML),TRF,"")</f>
        <v/>
      </c>
      <c r="K34" s="718" t="str">
        <f>IF(DestinyCompleted&lt;&gt;"",DestinyCompleted,"")</f>
        <v/>
      </c>
      <c r="T34" s="718">
        <f t="shared" si="40"/>
        <v>29</v>
      </c>
      <c r="U34" s="718" t="e">
        <f t="shared" ca="1" si="41"/>
        <v>#VALUE!</v>
      </c>
      <c r="V34" s="718" t="str">
        <f t="shared" ca="1" si="13"/>
        <v/>
      </c>
      <c r="W34" s="718" t="str">
        <f t="shared" ca="1" si="53"/>
        <v/>
      </c>
      <c r="X34" s="718">
        <f t="shared" si="42"/>
        <v>29</v>
      </c>
      <c r="Y34" s="718" t="e">
        <f t="shared" si="14"/>
        <v>#VALUE!</v>
      </c>
      <c r="Z34" s="718" t="str">
        <f t="shared" si="1"/>
        <v/>
      </c>
      <c r="AA34" s="718" t="str">
        <f t="shared" si="2"/>
        <v/>
      </c>
    </row>
    <row r="35" spans="2:27">
      <c r="B35" s="26"/>
      <c r="C35" s="1741"/>
      <c r="D35" s="29"/>
      <c r="G35" s="1355" t="str">
        <f>I35&amp;IF(I36&lt;&gt;"","
"&amp;I36,"")</f>
        <v/>
      </c>
      <c r="H35" s="1355"/>
      <c r="I35" s="383" t="s">
        <v>195</v>
      </c>
      <c r="K35" s="718" t="str">
        <f>IF(AND(Weapon1&lt;&gt;"",NPCType=3),Weapon1&amp;"
   Atk "&amp;IF(Weapons!E8&lt;0,"","+")&amp;Weapons!E8&amp;IF(NOT(ISERROR(FIND("A",Weapons!E24,1)))," ("&amp;IF(Weapons!E8-5&lt;0,"","+")&amp;Weapons!E8-5&amp;" autofire), ",", ")&amp;"Dmg ("&amp;Weapons!E9&amp;")×2","")</f>
        <v/>
      </c>
      <c r="W35" s="383" t="s">
        <v>195</v>
      </c>
      <c r="AA35" s="383" t="s">
        <v>195</v>
      </c>
    </row>
    <row r="36" spans="2:27">
      <c r="B36" s="26"/>
      <c r="C36" s="1741"/>
      <c r="D36" s="29"/>
    </row>
    <row r="37" spans="2:27">
      <c r="B37" s="26"/>
      <c r="C37" s="1741"/>
      <c r="D37" s="29"/>
      <c r="I37" s="718" t="str">
        <f>IF(Weapons!E$129&lt;&gt;"",Weapons!E$129,"")</f>
        <v/>
      </c>
    </row>
    <row r="38" spans="2:27">
      <c r="B38" s="26"/>
      <c r="C38" s="1741"/>
      <c r="D38" s="29"/>
      <c r="I38" s="718" t="str">
        <f>IF(Weapons!O$129&lt;&gt;"",Weapons!O$129,"")</f>
        <v/>
      </c>
    </row>
    <row r="39" spans="2:27">
      <c r="B39" s="26"/>
      <c r="C39" s="1741"/>
      <c r="D39" s="29"/>
      <c r="I39" s="1526" t="str">
        <f>IF(Weapons!Y$129&lt;&gt;"",Weapons!Y$129,"")</f>
        <v/>
      </c>
    </row>
    <row r="40" spans="2:27">
      <c r="B40" s="26"/>
      <c r="C40" s="1741"/>
      <c r="D40" s="29"/>
      <c r="I40" s="1526" t="str">
        <f>IF(Weapons!AI$129&lt;&gt;"",Weapons!AI$129,"")</f>
        <v/>
      </c>
    </row>
    <row r="41" spans="2:27">
      <c r="B41" s="26"/>
      <c r="C41" s="1741"/>
      <c r="D41" s="29"/>
      <c r="I41" s="1526" t="str">
        <f>IF(Weapons!AS$129&lt;&gt;"",Weapons!AS$129,"")</f>
        <v/>
      </c>
    </row>
    <row r="42" spans="2:27">
      <c r="B42" s="26"/>
      <c r="C42" s="1741"/>
      <c r="D42" s="29"/>
      <c r="I42" s="1526" t="str">
        <f>IF(Weapons!BC$129&lt;&gt;"",Weapons!BC$129,"")</f>
        <v/>
      </c>
    </row>
    <row r="43" spans="2:27">
      <c r="B43" s="26"/>
      <c r="C43" s="1741"/>
      <c r="D43" s="29"/>
    </row>
    <row r="44" spans="2:27">
      <c r="B44" s="26"/>
      <c r="C44" s="1741"/>
      <c r="D44" s="29"/>
    </row>
    <row r="45" spans="2:27">
      <c r="B45" s="26"/>
      <c r="C45" s="1741"/>
      <c r="D45" s="29"/>
    </row>
    <row r="46" spans="2:27">
      <c r="B46" s="26"/>
      <c r="C46" s="1741"/>
      <c r="D46" s="29"/>
    </row>
    <row r="47" spans="2:27">
      <c r="B47" s="26"/>
      <c r="C47" s="1741"/>
      <c r="D47" s="29"/>
    </row>
    <row r="48" spans="2:27">
      <c r="B48" s="26"/>
      <c r="C48" s="1741"/>
      <c r="D48" s="29"/>
    </row>
    <row r="49" spans="2:4">
      <c r="B49" s="26"/>
      <c r="C49" s="1741"/>
      <c r="D49" s="29"/>
    </row>
    <row r="50" spans="2:4" s="1526" customFormat="1">
      <c r="B50" s="1327"/>
      <c r="C50" s="1741"/>
      <c r="D50" s="29"/>
    </row>
    <row r="51" spans="2:4" s="1526" customFormat="1">
      <c r="B51" s="1327"/>
      <c r="C51" s="1741"/>
      <c r="D51" s="29"/>
    </row>
    <row r="52" spans="2:4" s="1526" customFormat="1">
      <c r="B52" s="1327"/>
      <c r="C52" s="1741"/>
      <c r="D52" s="29"/>
    </row>
    <row r="53" spans="2:4" s="1526" customFormat="1">
      <c r="B53" s="1327"/>
      <c r="C53" s="1741"/>
      <c r="D53" s="29"/>
    </row>
    <row r="54" spans="2:4" s="1526" customFormat="1">
      <c r="B54" s="1327"/>
      <c r="C54" s="1741"/>
      <c r="D54" s="29"/>
    </row>
    <row r="55" spans="2:4" s="1526" customFormat="1">
      <c r="B55" s="1327"/>
      <c r="C55" s="1741"/>
      <c r="D55" s="29"/>
    </row>
    <row r="56" spans="2:4" s="1526" customFormat="1">
      <c r="B56" s="1327"/>
      <c r="C56" s="1741"/>
      <c r="D56" s="29"/>
    </row>
    <row r="57" spans="2:4" s="1526" customFormat="1">
      <c r="B57" s="1327"/>
      <c r="C57" s="1741"/>
      <c r="D57" s="29"/>
    </row>
    <row r="58" spans="2:4" s="1526" customFormat="1">
      <c r="B58" s="1327"/>
      <c r="C58" s="1741"/>
      <c r="D58" s="29"/>
    </row>
    <row r="59" spans="2:4" s="1526" customFormat="1">
      <c r="B59" s="1327"/>
      <c r="C59" s="1741"/>
      <c r="D59" s="29"/>
    </row>
    <row r="60" spans="2:4" s="1526" customFormat="1">
      <c r="B60" s="1327"/>
      <c r="C60" s="1741"/>
      <c r="D60" s="29"/>
    </row>
    <row r="61" spans="2:4" s="1526" customFormat="1">
      <c r="B61" s="1327"/>
      <c r="C61" s="1741"/>
      <c r="D61" s="29"/>
    </row>
    <row r="62" spans="2:4" s="1526" customFormat="1">
      <c r="B62" s="1327"/>
      <c r="C62" s="1741"/>
      <c r="D62" s="29"/>
    </row>
    <row r="63" spans="2:4" s="1526" customFormat="1">
      <c r="B63" s="1327"/>
      <c r="C63" s="1741"/>
      <c r="D63" s="29"/>
    </row>
    <row r="64" spans="2:4" s="1526" customFormat="1">
      <c r="B64" s="1327"/>
      <c r="C64" s="1741"/>
      <c r="D64" s="29"/>
    </row>
    <row r="65" spans="2:4" s="1526" customFormat="1">
      <c r="B65" s="1327"/>
      <c r="C65" s="1741"/>
      <c r="D65" s="29"/>
    </row>
    <row r="66" spans="2:4" s="1526" customFormat="1">
      <c r="B66" s="1327"/>
      <c r="C66" s="1741"/>
      <c r="D66" s="29"/>
    </row>
    <row r="67" spans="2:4" s="1526" customFormat="1">
      <c r="B67" s="1327"/>
      <c r="C67" s="1741"/>
      <c r="D67" s="29"/>
    </row>
    <row r="68" spans="2:4" s="1526" customFormat="1">
      <c r="B68" s="1327"/>
      <c r="C68" s="1741"/>
      <c r="D68" s="29"/>
    </row>
    <row r="69" spans="2:4" s="1526" customFormat="1">
      <c r="B69" s="1327"/>
      <c r="C69" s="1741"/>
      <c r="D69" s="29"/>
    </row>
    <row r="70" spans="2:4" s="1526" customFormat="1">
      <c r="B70" s="1327"/>
      <c r="C70" s="1741"/>
      <c r="D70" s="29"/>
    </row>
    <row r="71" spans="2:4" s="1526" customFormat="1">
      <c r="B71" s="1327"/>
      <c r="C71" s="1741"/>
      <c r="D71" s="29"/>
    </row>
    <row r="72" spans="2:4" s="1526" customFormat="1">
      <c r="B72" s="1327"/>
      <c r="C72" s="1741"/>
      <c r="D72" s="29"/>
    </row>
    <row r="73" spans="2:4" s="1526" customFormat="1">
      <c r="B73" s="1327"/>
      <c r="C73" s="1741"/>
      <c r="D73" s="29"/>
    </row>
    <row r="74" spans="2:4" s="1526" customFormat="1">
      <c r="B74" s="1327"/>
      <c r="C74" s="1741"/>
      <c r="D74" s="29"/>
    </row>
    <row r="75" spans="2:4" s="1526" customFormat="1">
      <c r="B75" s="1327"/>
      <c r="C75" s="1741"/>
      <c r="D75" s="29"/>
    </row>
    <row r="76" spans="2:4" s="1526" customFormat="1">
      <c r="B76" s="1327"/>
      <c r="C76" s="1741"/>
      <c r="D76" s="29"/>
    </row>
    <row r="77" spans="2:4" s="1526" customFormat="1">
      <c r="B77" s="1327"/>
      <c r="C77" s="1741"/>
      <c r="D77" s="29"/>
    </row>
    <row r="78" spans="2:4" s="1526" customFormat="1">
      <c r="B78" s="1327"/>
      <c r="C78" s="1741"/>
      <c r="D78" s="29"/>
    </row>
    <row r="79" spans="2:4" s="1526" customFormat="1">
      <c r="B79" s="1327"/>
      <c r="C79" s="1741"/>
      <c r="D79" s="29"/>
    </row>
    <row r="80" spans="2:4" s="1526" customFormat="1">
      <c r="B80" s="1327"/>
      <c r="C80" s="1741"/>
      <c r="D80" s="29"/>
    </row>
    <row r="81" spans="2:4" s="1526" customFormat="1">
      <c r="B81" s="1327"/>
      <c r="C81" s="1741"/>
      <c r="D81" s="29"/>
    </row>
    <row r="82" spans="2:4" s="1526" customFormat="1">
      <c r="B82" s="1327"/>
      <c r="C82" s="1741"/>
      <c r="D82" s="29"/>
    </row>
    <row r="83" spans="2:4" s="1526" customFormat="1">
      <c r="B83" s="1327"/>
      <c r="C83" s="1741"/>
      <c r="D83" s="29"/>
    </row>
    <row r="84" spans="2:4" s="1526" customFormat="1">
      <c r="B84" s="1327"/>
      <c r="C84" s="1741"/>
      <c r="D84" s="29"/>
    </row>
    <row r="85" spans="2:4" s="1526" customFormat="1">
      <c r="B85" s="1327"/>
      <c r="C85" s="1741"/>
      <c r="D85" s="29"/>
    </row>
    <row r="86" spans="2:4" s="1526" customFormat="1">
      <c r="B86" s="1327"/>
      <c r="C86" s="1741"/>
      <c r="D86" s="29"/>
    </row>
    <row r="87" spans="2:4" s="1526" customFormat="1">
      <c r="B87" s="1327"/>
      <c r="C87" s="1741"/>
      <c r="D87" s="29"/>
    </row>
    <row r="88" spans="2:4" s="1526" customFormat="1">
      <c r="B88" s="1327"/>
      <c r="C88" s="1741"/>
      <c r="D88" s="29"/>
    </row>
    <row r="89" spans="2:4" s="1526" customFormat="1">
      <c r="B89" s="1327"/>
      <c r="C89" s="1741"/>
      <c r="D89" s="29"/>
    </row>
    <row r="90" spans="2:4" s="1526" customFormat="1">
      <c r="B90" s="1327"/>
      <c r="C90" s="1741"/>
      <c r="D90" s="29"/>
    </row>
    <row r="91" spans="2:4" s="1526" customFormat="1">
      <c r="B91" s="1327"/>
      <c r="C91" s="1741"/>
      <c r="D91" s="29"/>
    </row>
    <row r="92" spans="2:4" s="1526" customFormat="1">
      <c r="B92" s="1327"/>
      <c r="C92" s="1741"/>
      <c r="D92" s="29"/>
    </row>
    <row r="93" spans="2:4" s="1526" customFormat="1">
      <c r="B93" s="1327"/>
      <c r="C93" s="1741"/>
      <c r="D93" s="29"/>
    </row>
    <row r="94" spans="2:4" s="1526" customFormat="1">
      <c r="B94" s="1327"/>
      <c r="C94" s="1741"/>
      <c r="D94" s="29"/>
    </row>
    <row r="95" spans="2:4" s="1526" customFormat="1">
      <c r="B95" s="1327"/>
      <c r="C95" s="1741"/>
      <c r="D95" s="29"/>
    </row>
    <row r="96" spans="2:4" s="1526" customFormat="1">
      <c r="B96" s="1327"/>
      <c r="C96" s="1741"/>
      <c r="D96" s="29"/>
    </row>
    <row r="97" spans="2:4" s="1526" customFormat="1">
      <c r="B97" s="1327"/>
      <c r="C97" s="1741"/>
      <c r="D97" s="29"/>
    </row>
    <row r="98" spans="2:4" s="1526" customFormat="1">
      <c r="B98" s="1327"/>
      <c r="C98" s="1741"/>
      <c r="D98" s="29"/>
    </row>
    <row r="99" spans="2:4" s="1526" customFormat="1">
      <c r="B99" s="1327"/>
      <c r="C99" s="1741"/>
      <c r="D99" s="29"/>
    </row>
    <row r="100" spans="2:4" s="1526" customFormat="1">
      <c r="B100" s="1327"/>
      <c r="C100" s="1741"/>
      <c r="D100" s="29"/>
    </row>
    <row r="101" spans="2:4" s="1526" customFormat="1">
      <c r="B101" s="1327"/>
      <c r="C101" s="1741"/>
      <c r="D101" s="29"/>
    </row>
    <row r="102" spans="2:4" s="1526" customFormat="1">
      <c r="B102" s="1327"/>
      <c r="C102" s="1741"/>
      <c r="D102" s="29"/>
    </row>
    <row r="103" spans="2:4" s="1526" customFormat="1">
      <c r="B103" s="1327"/>
      <c r="C103" s="1741"/>
      <c r="D103" s="29"/>
    </row>
    <row r="104" spans="2:4" s="1526" customFormat="1">
      <c r="B104" s="1327"/>
      <c r="C104" s="1741"/>
      <c r="D104" s="29"/>
    </row>
    <row r="105" spans="2:4" s="1526" customFormat="1">
      <c r="B105" s="1327"/>
      <c r="C105" s="1741"/>
      <c r="D105" s="29"/>
    </row>
    <row r="106" spans="2:4" s="1526" customFormat="1">
      <c r="B106" s="1327"/>
      <c r="C106" s="1741"/>
      <c r="D106" s="29"/>
    </row>
    <row r="107" spans="2:4" s="1526" customFormat="1">
      <c r="B107" s="1327"/>
      <c r="C107" s="1741"/>
      <c r="D107" s="29"/>
    </row>
    <row r="108" spans="2:4" s="1526" customFormat="1">
      <c r="B108" s="1327"/>
      <c r="C108" s="1741"/>
      <c r="D108" s="29"/>
    </row>
    <row r="109" spans="2:4" s="1526" customFormat="1">
      <c r="B109" s="1327"/>
      <c r="C109" s="1741"/>
      <c r="D109" s="29"/>
    </row>
    <row r="110" spans="2:4" s="1526" customFormat="1">
      <c r="B110" s="1327"/>
      <c r="C110" s="1741"/>
      <c r="D110" s="29"/>
    </row>
    <row r="111" spans="2:4" s="1526" customFormat="1">
      <c r="B111" s="1327"/>
      <c r="C111" s="1741"/>
      <c r="D111" s="29"/>
    </row>
    <row r="112" spans="2:4" s="1526" customFormat="1">
      <c r="B112" s="1327"/>
      <c r="C112" s="1741"/>
      <c r="D112" s="29"/>
    </row>
    <row r="113" spans="2:4" s="1526" customFormat="1">
      <c r="B113" s="1327"/>
      <c r="C113" s="1741"/>
      <c r="D113" s="29"/>
    </row>
    <row r="114" spans="2:4" s="1526" customFormat="1">
      <c r="B114" s="1327"/>
      <c r="C114" s="1741"/>
      <c r="D114" s="29"/>
    </row>
    <row r="115" spans="2:4" s="1526" customFormat="1">
      <c r="B115" s="1327"/>
      <c r="C115" s="1741"/>
      <c r="D115" s="29"/>
    </row>
    <row r="116" spans="2:4" s="1526" customFormat="1">
      <c r="B116" s="1327"/>
      <c r="C116" s="1741"/>
      <c r="D116" s="29"/>
    </row>
    <row r="117" spans="2:4" s="1526" customFormat="1">
      <c r="B117" s="1327"/>
      <c r="C117" s="1741"/>
      <c r="D117" s="29"/>
    </row>
    <row r="118" spans="2:4" s="1526" customFormat="1">
      <c r="B118" s="1327"/>
      <c r="C118" s="1741"/>
      <c r="D118" s="29"/>
    </row>
    <row r="119" spans="2:4" s="1526" customFormat="1">
      <c r="B119" s="1327"/>
      <c r="C119" s="1741"/>
      <c r="D119" s="29"/>
    </row>
    <row r="120" spans="2:4" s="1526" customFormat="1">
      <c r="B120" s="1327"/>
      <c r="C120" s="1741"/>
      <c r="D120" s="29"/>
    </row>
    <row r="121" spans="2:4" s="1526" customFormat="1">
      <c r="B121" s="1327"/>
      <c r="C121" s="1741"/>
      <c r="D121" s="29"/>
    </row>
    <row r="122" spans="2:4" s="1526" customFormat="1">
      <c r="B122" s="1327"/>
      <c r="C122" s="1741"/>
      <c r="D122" s="29"/>
    </row>
    <row r="123" spans="2:4" s="1526" customFormat="1">
      <c r="B123" s="1327"/>
      <c r="C123" s="1741"/>
      <c r="D123" s="29"/>
    </row>
    <row r="124" spans="2:4" s="1526" customFormat="1">
      <c r="B124" s="1327"/>
      <c r="C124" s="1741"/>
      <c r="D124" s="29"/>
    </row>
    <row r="125" spans="2:4" s="1526" customFormat="1">
      <c r="B125" s="1327"/>
      <c r="C125" s="1741"/>
      <c r="D125" s="29"/>
    </row>
    <row r="126" spans="2:4" s="1526" customFormat="1">
      <c r="B126" s="1327"/>
      <c r="C126" s="1741"/>
      <c r="D126" s="29"/>
    </row>
    <row r="127" spans="2:4" s="1526" customFormat="1">
      <c r="B127" s="1327"/>
      <c r="C127" s="1741"/>
      <c r="D127" s="29"/>
    </row>
    <row r="128" spans="2:4" s="1526" customFormat="1">
      <c r="B128" s="1327"/>
      <c r="C128" s="1741"/>
      <c r="D128" s="29"/>
    </row>
    <row r="129" spans="2:4" s="1526" customFormat="1">
      <c r="B129" s="1327"/>
      <c r="C129" s="1741"/>
      <c r="D129" s="29"/>
    </row>
    <row r="130" spans="2:4" s="1526" customFormat="1">
      <c r="B130" s="1327"/>
      <c r="C130" s="1741"/>
      <c r="D130" s="29"/>
    </row>
    <row r="131" spans="2:4" s="1526" customFormat="1">
      <c r="B131" s="1327"/>
      <c r="C131" s="1741"/>
      <c r="D131" s="29"/>
    </row>
    <row r="132" spans="2:4" s="1526" customFormat="1">
      <c r="B132" s="1327"/>
      <c r="C132" s="1741"/>
      <c r="D132" s="29"/>
    </row>
    <row r="133" spans="2:4" s="1526" customFormat="1">
      <c r="B133" s="1327"/>
      <c r="C133" s="1741"/>
      <c r="D133" s="29"/>
    </row>
    <row r="134" spans="2:4" s="1526" customFormat="1">
      <c r="B134" s="1327"/>
      <c r="C134" s="1741"/>
      <c r="D134" s="29"/>
    </row>
    <row r="135" spans="2:4" s="1526" customFormat="1">
      <c r="B135" s="1327"/>
      <c r="C135" s="1741"/>
      <c r="D135" s="29"/>
    </row>
    <row r="136" spans="2:4" s="1526" customFormat="1">
      <c r="B136" s="1327"/>
      <c r="C136" s="1741"/>
      <c r="D136" s="29"/>
    </row>
    <row r="137" spans="2:4" s="1526" customFormat="1">
      <c r="B137" s="1327"/>
      <c r="C137" s="1741"/>
      <c r="D137" s="29"/>
    </row>
    <row r="138" spans="2:4" s="1526" customFormat="1">
      <c r="B138" s="1327"/>
      <c r="C138" s="1741"/>
      <c r="D138" s="29"/>
    </row>
    <row r="139" spans="2:4" s="1526" customFormat="1">
      <c r="B139" s="1327"/>
      <c r="C139" s="1741"/>
      <c r="D139" s="29"/>
    </row>
    <row r="140" spans="2:4" s="1526" customFormat="1">
      <c r="B140" s="1327"/>
      <c r="C140" s="1741"/>
      <c r="D140" s="29"/>
    </row>
    <row r="141" spans="2:4" s="1526" customFormat="1">
      <c r="B141" s="1327"/>
      <c r="C141" s="1741"/>
      <c r="D141" s="29"/>
    </row>
    <row r="142" spans="2:4" s="1526" customFormat="1">
      <c r="B142" s="1327"/>
      <c r="C142" s="1741"/>
      <c r="D142" s="29"/>
    </row>
    <row r="143" spans="2:4" s="1526" customFormat="1">
      <c r="B143" s="1327"/>
      <c r="C143" s="1741"/>
      <c r="D143" s="29"/>
    </row>
    <row r="144" spans="2:4" s="1526" customFormat="1">
      <c r="B144" s="1327"/>
      <c r="C144" s="1741"/>
      <c r="D144" s="29"/>
    </row>
    <row r="145" spans="2:4" s="1526" customFormat="1">
      <c r="B145" s="1327"/>
      <c r="C145" s="1741"/>
      <c r="D145" s="29"/>
    </row>
    <row r="146" spans="2:4" s="1526" customFormat="1">
      <c r="B146" s="1327"/>
      <c r="C146" s="1741"/>
      <c r="D146" s="29"/>
    </row>
    <row r="147" spans="2:4" s="1526" customFormat="1">
      <c r="B147" s="1327"/>
      <c r="C147" s="1741"/>
      <c r="D147" s="29"/>
    </row>
    <row r="148" spans="2:4" s="1526" customFormat="1">
      <c r="B148" s="1327"/>
      <c r="C148" s="1741"/>
      <c r="D148" s="29"/>
    </row>
    <row r="149" spans="2:4" s="1526" customFormat="1">
      <c r="B149" s="1327"/>
      <c r="C149" s="1741"/>
      <c r="D149" s="29"/>
    </row>
    <row r="150" spans="2:4" s="1526" customFormat="1">
      <c r="B150" s="1327"/>
      <c r="C150" s="1741"/>
      <c r="D150" s="29"/>
    </row>
    <row r="151" spans="2:4" s="1526" customFormat="1">
      <c r="B151" s="1327"/>
      <c r="C151" s="1741"/>
      <c r="D151" s="29"/>
    </row>
    <row r="152" spans="2:4" s="1526" customFormat="1">
      <c r="B152" s="1327"/>
      <c r="C152" s="1741"/>
      <c r="D152" s="29"/>
    </row>
    <row r="153" spans="2:4" s="1526" customFormat="1">
      <c r="B153" s="1327"/>
      <c r="C153" s="1741"/>
      <c r="D153" s="29"/>
    </row>
    <row r="154" spans="2:4" s="1526" customFormat="1">
      <c r="B154" s="1327"/>
      <c r="C154" s="1741"/>
      <c r="D154" s="29"/>
    </row>
    <row r="155" spans="2:4" s="1526" customFormat="1">
      <c r="B155" s="1327"/>
      <c r="C155" s="1741"/>
      <c r="D155" s="29"/>
    </row>
    <row r="156" spans="2:4" s="1526" customFormat="1">
      <c r="B156" s="1327"/>
      <c r="C156" s="1741"/>
      <c r="D156" s="29"/>
    </row>
    <row r="157" spans="2:4" s="1526" customFormat="1">
      <c r="B157" s="1327"/>
      <c r="C157" s="1741"/>
      <c r="D157" s="29"/>
    </row>
    <row r="158" spans="2:4" s="1526" customFormat="1">
      <c r="B158" s="1327"/>
      <c r="C158" s="1741"/>
      <c r="D158" s="29"/>
    </row>
    <row r="159" spans="2:4" s="1526" customFormat="1">
      <c r="B159" s="1327"/>
      <c r="C159" s="1741"/>
      <c r="D159" s="29"/>
    </row>
    <row r="160" spans="2:4" s="1526" customFormat="1">
      <c r="B160" s="1327"/>
      <c r="C160" s="1741"/>
      <c r="D160" s="29"/>
    </row>
    <row r="161" spans="2:4" s="1526" customFormat="1">
      <c r="B161" s="1327"/>
      <c r="C161" s="1741"/>
      <c r="D161" s="29"/>
    </row>
    <row r="162" spans="2:4" s="1526" customFormat="1">
      <c r="B162" s="1327"/>
      <c r="C162" s="1741"/>
      <c r="D162" s="29"/>
    </row>
    <row r="163" spans="2:4" s="1526" customFormat="1">
      <c r="B163" s="1327"/>
      <c r="C163" s="1741"/>
      <c r="D163" s="29"/>
    </row>
    <row r="164" spans="2:4" s="1526" customFormat="1">
      <c r="B164" s="1327"/>
      <c r="C164" s="1741"/>
      <c r="D164" s="29"/>
    </row>
    <row r="165" spans="2:4" s="1526" customFormat="1">
      <c r="B165" s="1327"/>
      <c r="C165" s="1741"/>
      <c r="D165" s="29"/>
    </row>
    <row r="166" spans="2:4">
      <c r="B166" s="26"/>
      <c r="C166" s="1741"/>
      <c r="D166" s="29"/>
    </row>
    <row r="167" spans="2:4" ht="15" thickBot="1">
      <c r="B167" s="32"/>
      <c r="C167" s="719"/>
      <c r="D167" s="35"/>
    </row>
  </sheetData>
  <mergeCells count="1">
    <mergeCell ref="C5:C16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ExportStatBlocktoFile">
                <anchor moveWithCells="1" sizeWithCells="1">
                  <from>
                    <xdr:col>2</xdr:col>
                    <xdr:colOff>3117850</xdr:colOff>
                    <xdr:row>2</xdr:row>
                    <xdr:rowOff>0</xdr:rowOff>
                  </from>
                  <to>
                    <xdr:col>2</xdr:col>
                    <xdr:colOff>3790950</xdr:colOff>
                    <xdr:row>3</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dimension ref="A1:FT88"/>
  <sheetViews>
    <sheetView topLeftCell="A16" zoomScaleNormal="100" workbookViewId="0">
      <selection activeCell="U52" sqref="U52:AB52"/>
    </sheetView>
  </sheetViews>
  <sheetFormatPr defaultColWidth="1.7265625" defaultRowHeight="9" customHeight="1"/>
  <cols>
    <col min="1" max="1" width="3.1796875" style="1140" customWidth="1"/>
    <col min="2" max="2" width="3.54296875" style="1276" customWidth="1"/>
    <col min="3" max="3" width="18.81640625" style="1140" customWidth="1"/>
    <col min="4" max="4" width="1.7265625" style="1140" customWidth="1"/>
    <col min="5" max="11" width="1.7265625" style="1140"/>
    <col min="12" max="12" width="1.7265625" style="1140" customWidth="1"/>
    <col min="13" max="16" width="1.7265625" style="1140"/>
    <col min="17" max="17" width="1.7265625" style="1140" customWidth="1"/>
    <col min="18" max="25" width="1.7265625" style="1140"/>
    <col min="26" max="26" width="1.7265625" style="1140" customWidth="1"/>
    <col min="27" max="30" width="1.7265625" style="1140"/>
    <col min="31" max="32" width="2" style="1140" bestFit="1" customWidth="1"/>
    <col min="33" max="33" width="1.7265625" style="1140" customWidth="1"/>
    <col min="34" max="39" width="1.7265625" style="1140"/>
    <col min="40" max="40" width="1.7265625" style="1140" customWidth="1"/>
    <col min="41" max="41" width="1.7265625" style="1140"/>
    <col min="42" max="42" width="1.81640625" style="1140" customWidth="1"/>
    <col min="43" max="44" width="1.7265625" style="1140"/>
    <col min="45" max="52" width="1.54296875" style="1140" customWidth="1"/>
    <col min="53" max="53" width="1.7265625" style="1140" customWidth="1"/>
    <col min="54" max="54" width="2" style="1140" bestFit="1" customWidth="1"/>
    <col min="55" max="55" width="1.7265625" style="1140" customWidth="1"/>
    <col min="56" max="56" width="2" style="1140" bestFit="1" customWidth="1"/>
    <col min="57" max="57" width="2" style="1140" customWidth="1"/>
    <col min="58" max="82" width="1.7265625" style="1140"/>
    <col min="83" max="83" width="8.453125" style="1140" bestFit="1" customWidth="1"/>
    <col min="84" max="112" width="1.7265625" style="1140"/>
    <col min="113" max="113" width="1.7265625" style="941" customWidth="1"/>
    <col min="114" max="117" width="1.7265625" style="1140"/>
    <col min="118" max="118" width="0" style="1140" hidden="1" customWidth="1"/>
    <col min="119" max="166" width="1.7265625" style="1140" hidden="1" customWidth="1"/>
    <col min="167" max="168" width="0" style="1140" hidden="1" customWidth="1"/>
    <col min="169" max="169" width="14.7265625" style="1017" customWidth="1"/>
    <col min="170" max="170" width="12.7265625" style="1017" customWidth="1"/>
    <col min="171" max="174" width="7.453125" style="1017" customWidth="1"/>
    <col min="175" max="175" width="7.453125" style="1018" customWidth="1"/>
    <col min="176" max="176" width="7.453125" style="1140" customWidth="1"/>
    <col min="177" max="197" width="31.7265625" style="1140" customWidth="1"/>
    <col min="198" max="16384" width="1.7265625" style="1140"/>
  </cols>
  <sheetData>
    <row r="1" spans="4:176" ht="9" customHeight="1">
      <c r="FM1" s="1017" t="s">
        <v>3736</v>
      </c>
      <c r="FN1" s="1017" t="e">
        <f ca="1">FO1&amp;FP1&amp;FQ1&amp;FR1&amp;FS1&amp;FT1</f>
        <v>#N/A</v>
      </c>
      <c r="FO1" s="1017" t="e">
        <f ca="1">IF(AR7&lt;&gt;"",IF(AR7=FM1,WeaponAttacksStatBlock&amp;IF(COUNTIF(FP1:FT1,"")&lt;5,"
",""),""),"")</f>
        <v>#N/A</v>
      </c>
      <c r="FP1" s="1017" t="e">
        <f>IF(#REF!&lt;&gt;"",IF(#REF!=FM1,#REF!&amp;IF(COUNTIF(FQ1:FT1,"")&lt;4,"
",""),""),"")</f>
        <v>#REF!</v>
      </c>
      <c r="FQ1" s="1017" t="e">
        <f>IF(#REF!&lt;&gt;"",IF(#REF!=FM1,#REF!&amp;IF(COUNTIF(FR1:FT1,"")&lt;3,"
",""),""),"")</f>
        <v>#REF!</v>
      </c>
      <c r="FR1" s="1017" t="e">
        <f>IF(#REF!&lt;&gt;"",IF(#REF!=FM1,#REF!&amp;IF(COUNTIF(FS1:FT1,"")&lt;2,"
",""),""),"")</f>
        <v>#REF!</v>
      </c>
      <c r="FS1" s="1017" t="str">
        <f>IF($AR$49&lt;&gt;"",IF($AR$49=FM1,$FN$50&amp;IF(COUNTIF(FT1,"")&lt;1,"
",""),""),"")</f>
        <v/>
      </c>
      <c r="FT1" s="1137" t="str">
        <f>IF($AR$91&lt;&gt;"",IF($AR$91=FM1,$FN$92,""),"")</f>
        <v/>
      </c>
    </row>
    <row r="2" spans="4:176" ht="9" customHeight="1">
      <c r="FM2" s="1017" t="s">
        <v>3735</v>
      </c>
      <c r="FN2" s="1017" t="e">
        <f ca="1">FO2&amp;FP2&amp;FQ2&amp;FR2&amp;FS2&amp;FT2</f>
        <v>#N/A</v>
      </c>
      <c r="FO2" s="1017" t="e">
        <f ca="1">IF($AR$7&lt;&gt;"",IF($AR$7=FM2,WeaponAttacksStatBlock&amp;IF(COUNTIF(FP2:FT2,"")&lt;5,"
",""),""),"")</f>
        <v>#N/A</v>
      </c>
      <c r="FP2" s="1017" t="e">
        <f>IF(#REF!&lt;&gt;"",IF(#REF!=FM2,#REF!&amp;IF(COUNTIF(FQ2:FT2,"")&lt;4,"
",""),""),"")</f>
        <v>#REF!</v>
      </c>
      <c r="FQ2" s="1017" t="e">
        <f>IF(#REF!&lt;&gt;"",IF(#REF!=FM2,#REF!&amp;IF(COUNTIF(FR2:FT2,"")&lt;3,"
",""),""),"")</f>
        <v>#REF!</v>
      </c>
      <c r="FR2" s="1017" t="e">
        <f>IF(#REF!&lt;&gt;"",IF(#REF!=FM2,#REF!&amp;IF(COUNTIF(FS2:FT2,"")&lt;2,"
",""),""),"")</f>
        <v>#REF!</v>
      </c>
      <c r="FS2" s="1017" t="str">
        <f>IF($AR$49&lt;&gt;"",IF($AR$49=FM2,$FN$50&amp;IF(COUNTIF(FT2,"")&lt;1,"
",""),""),"")</f>
        <v/>
      </c>
      <c r="FT2" s="1137" t="str">
        <f>IF($AR$91&lt;&gt;"",IF($AR$91=FM2,$FN$92,""),"")</f>
        <v/>
      </c>
    </row>
    <row r="3" spans="4:176" ht="9" customHeight="1">
      <c r="J3" s="456"/>
      <c r="K3" s="456"/>
      <c r="L3" s="456"/>
      <c r="M3" s="456"/>
      <c r="N3" s="456"/>
      <c r="O3" s="456"/>
      <c r="P3" s="456"/>
      <c r="Q3" s="456"/>
      <c r="R3" s="456"/>
      <c r="S3" s="456"/>
      <c r="T3" s="456"/>
      <c r="U3" s="456"/>
      <c r="V3" s="456"/>
      <c r="W3" s="456"/>
      <c r="X3" s="456"/>
      <c r="Y3" s="456"/>
      <c r="Z3" s="456"/>
      <c r="AA3" s="456"/>
      <c r="AB3" s="456"/>
      <c r="AC3" s="456"/>
    </row>
    <row r="4" spans="4:176" ht="9" customHeight="1">
      <c r="J4" s="456"/>
      <c r="K4" s="456"/>
      <c r="L4" s="456"/>
      <c r="M4" s="456"/>
      <c r="N4" s="456"/>
      <c r="O4" s="456"/>
      <c r="P4" s="456"/>
      <c r="Q4" s="456"/>
      <c r="R4" s="456"/>
      <c r="S4" s="456"/>
      <c r="T4" s="456"/>
      <c r="U4" s="456"/>
      <c r="V4" s="456"/>
      <c r="W4" s="456"/>
      <c r="X4" s="456"/>
      <c r="Y4" s="456"/>
      <c r="Z4" s="456"/>
      <c r="AA4" s="456"/>
      <c r="AB4" s="456"/>
      <c r="AC4" s="456"/>
    </row>
    <row r="5" spans="4:176" ht="9" customHeight="1">
      <c r="BU5" s="2256">
        <f ca="1">IF(NOT(ISERROR(FIND(INDEX(MultiattackProficiencyTable,MATCH(INDEX(WeaponTable,MATCH(Weapons!E$11,WeaponList,0),5),MultiattackProficiencyType,0),1),TalentsTakenList,1))),INDEX(MultiattackProficiencyTable,MATCH(INDEX(WeaponTable,MATCH(Weapons!E$11,WeaponList,0),5),MultiattackProficiencyType,0),2),0)</f>
        <v>0</v>
      </c>
      <c r="BV5" s="2256"/>
      <c r="BW5" s="2256"/>
      <c r="BX5" s="2256"/>
      <c r="BY5" s="2256"/>
      <c r="BZ5" s="2256"/>
      <c r="CA5" s="2256"/>
      <c r="CB5" s="2256"/>
    </row>
    <row r="6" spans="4:176" ht="9" customHeight="1" thickBot="1">
      <c r="BU6" s="2257" t="e">
        <f ca="1">MIN(IF(INDEX(WeaponTable,MATCH(Weapons!E$11,WeaponList,0),4)&lt;&gt;"EWP",BU5,IF(NOT(ISERROR(FIND(Lists!$CC$8,TalentsTakenList,1))),Lists!$CD$8,0))-5,0)</f>
        <v>#N/A</v>
      </c>
      <c r="BV6" s="2257"/>
      <c r="BW6" s="2257"/>
      <c r="BX6" s="2257"/>
      <c r="BY6" s="2257" t="e">
        <f ca="1">MIN(IF(INDEX(WeaponTable,MATCH(Weapons!E$11,WeaponList,0),4)&lt;&gt;"EWP",BU5,IF(NOT(ISERROR(FIND(Lists!$CC$8,TalentsTakenList,1))),Lists!$CD$8,0))-10,0)</f>
        <v>#N/A</v>
      </c>
      <c r="BZ6" s="2257"/>
      <c r="CA6" s="2257"/>
      <c r="CB6" s="2257"/>
    </row>
    <row r="7" spans="4:176" ht="9" customHeight="1" thickTop="1" thickBot="1">
      <c r="D7" s="87"/>
      <c r="E7" s="109"/>
      <c r="F7" s="1141"/>
      <c r="G7" s="1141"/>
      <c r="H7" s="1141"/>
      <c r="I7" s="1141"/>
      <c r="J7" s="93"/>
      <c r="K7" s="2182" t="s">
        <v>3611</v>
      </c>
      <c r="L7" s="2182"/>
      <c r="M7" s="2182"/>
      <c r="N7" s="2182"/>
      <c r="O7" s="2182"/>
      <c r="P7" s="2182"/>
      <c r="Q7" s="2182"/>
      <c r="R7" s="2182"/>
      <c r="S7" s="113"/>
      <c r="T7" s="87"/>
      <c r="W7" s="87"/>
      <c r="X7" s="87"/>
      <c r="Y7" s="87"/>
      <c r="Z7" s="87"/>
      <c r="AA7" s="87"/>
      <c r="AB7" s="87"/>
      <c r="AC7" s="87"/>
      <c r="AD7" s="87"/>
      <c r="AE7" s="87"/>
      <c r="AF7" s="87"/>
      <c r="AG7" s="87"/>
      <c r="AH7" s="87"/>
      <c r="AI7" s="87"/>
      <c r="AJ7" s="87"/>
      <c r="AK7" s="87"/>
      <c r="AL7" s="87"/>
      <c r="AM7" s="87"/>
      <c r="AN7" s="87"/>
      <c r="AO7" s="1141"/>
      <c r="AP7" s="1141"/>
      <c r="AQ7" s="93"/>
      <c r="AR7" s="2179" t="e">
        <f ca="1">IF(H8&lt;&gt;"",INDIRECT(ADDRESS(12,H8,1,TRUE,"Weapons")),"")</f>
        <v>#N/A</v>
      </c>
      <c r="AS7" s="2179"/>
      <c r="AT7" s="2179"/>
      <c r="AU7" s="2179"/>
      <c r="AV7" s="2179"/>
      <c r="AW7" s="2179"/>
      <c r="AX7" s="2179"/>
      <c r="AY7" s="113"/>
      <c r="AZ7" s="145"/>
      <c r="BA7" s="145"/>
      <c r="BB7" s="145"/>
      <c r="BC7" s="145"/>
      <c r="BD7" s="145"/>
      <c r="BE7" s="145"/>
      <c r="BF7" s="145"/>
      <c r="BG7" s="145"/>
      <c r="BH7" s="145"/>
      <c r="BI7" s="145"/>
      <c r="BJ7" s="145"/>
      <c r="BK7" s="145"/>
      <c r="BL7" s="145"/>
      <c r="BM7" s="1141"/>
      <c r="BN7" s="1141"/>
      <c r="BO7" s="1141"/>
      <c r="BP7" s="93"/>
      <c r="BQ7" s="2179" t="s">
        <v>3783</v>
      </c>
      <c r="BR7" s="2179"/>
      <c r="BS7" s="2179"/>
      <c r="BT7" s="2179"/>
      <c r="BU7" s="2179"/>
      <c r="BV7" s="2179"/>
      <c r="BW7" s="2179"/>
      <c r="BX7" s="113"/>
      <c r="BY7" s="145"/>
      <c r="BZ7" s="109"/>
      <c r="CA7" s="109"/>
      <c r="CB7" s="87"/>
      <c r="CC7" s="1141"/>
      <c r="CD7" s="1141"/>
      <c r="CE7" s="1141"/>
      <c r="CF7" s="93"/>
      <c r="CG7" s="2182" t="s">
        <v>3612</v>
      </c>
      <c r="CH7" s="2208"/>
      <c r="CI7" s="2208"/>
      <c r="CJ7" s="2208"/>
      <c r="CK7" s="2208"/>
      <c r="CL7" s="2208"/>
      <c r="CM7" s="2208"/>
      <c r="CN7" s="2208"/>
      <c r="CO7" s="113"/>
      <c r="CP7" s="87"/>
      <c r="CQ7" s="87"/>
      <c r="CR7" s="87"/>
      <c r="CS7" s="87"/>
      <c r="CT7" s="87"/>
      <c r="CU7" s="87"/>
      <c r="CV7" s="87"/>
      <c r="CW7" s="87"/>
      <c r="CX7" s="87"/>
      <c r="CY7" s="87"/>
      <c r="CZ7" s="87"/>
      <c r="DA7" s="87"/>
      <c r="DB7" s="87"/>
      <c r="DC7" s="87"/>
      <c r="DD7" s="87"/>
      <c r="DE7" s="87"/>
      <c r="DF7" s="87"/>
      <c r="DG7" s="87"/>
      <c r="DH7" s="87"/>
      <c r="DI7" s="969"/>
      <c r="DJ7" s="87"/>
      <c r="DK7" s="87"/>
      <c r="DL7" s="87"/>
      <c r="DM7" s="87"/>
    </row>
    <row r="8" spans="4:176" ht="9" customHeight="1" thickTop="1">
      <c r="D8" s="87"/>
      <c r="E8" s="109"/>
      <c r="F8" s="1141"/>
      <c r="G8" s="1141"/>
      <c r="H8" s="2239" t="e">
        <f>IF(K9&lt;&gt;"",INDEX(WeaponCheatSheetTable,MATCH(K9,WeaponCheatSheetList,0),2),"")</f>
        <v>#N/A</v>
      </c>
      <c r="I8" s="2253"/>
      <c r="J8" s="102"/>
      <c r="K8" s="2180"/>
      <c r="L8" s="2180"/>
      <c r="M8" s="2180"/>
      <c r="N8" s="2180"/>
      <c r="O8" s="2180"/>
      <c r="P8" s="2180"/>
      <c r="Q8" s="2180"/>
      <c r="R8" s="2180"/>
      <c r="S8" s="589"/>
      <c r="T8" s="588"/>
      <c r="U8" s="592"/>
      <c r="V8" s="592"/>
      <c r="W8" s="593"/>
      <c r="X8" s="593"/>
      <c r="Y8" s="593"/>
      <c r="Z8" s="588"/>
      <c r="AA8" s="588"/>
      <c r="AB8" s="588"/>
      <c r="AC8" s="588"/>
      <c r="AD8" s="588"/>
      <c r="AE8" s="588"/>
      <c r="AF8" s="588"/>
      <c r="AG8" s="588"/>
      <c r="AH8" s="588"/>
      <c r="AI8" s="588"/>
      <c r="AJ8" s="588"/>
      <c r="AK8" s="588"/>
      <c r="AL8" s="588"/>
      <c r="AM8" s="588"/>
      <c r="AN8" s="113"/>
      <c r="AO8" s="1141"/>
      <c r="AP8" s="1141"/>
      <c r="AQ8" s="102"/>
      <c r="AR8" s="2180"/>
      <c r="AS8" s="2180"/>
      <c r="AT8" s="2180"/>
      <c r="AU8" s="2180"/>
      <c r="AV8" s="2180"/>
      <c r="AW8" s="2180"/>
      <c r="AX8" s="2180"/>
      <c r="AY8" s="589"/>
      <c r="AZ8" s="598"/>
      <c r="BA8" s="598"/>
      <c r="BB8" s="598"/>
      <c r="BC8" s="598"/>
      <c r="BD8" s="598"/>
      <c r="BE8" s="598"/>
      <c r="BF8" s="598"/>
      <c r="BG8" s="598"/>
      <c r="BH8" s="598"/>
      <c r="BI8" s="598"/>
      <c r="BJ8" s="598"/>
      <c r="BK8" s="598"/>
      <c r="BL8" s="598"/>
      <c r="BM8" s="113"/>
      <c r="BN8" s="1141"/>
      <c r="BO8" s="1141"/>
      <c r="BP8" s="102"/>
      <c r="BQ8" s="2180"/>
      <c r="BR8" s="2180"/>
      <c r="BS8" s="2180"/>
      <c r="BT8" s="2180"/>
      <c r="BU8" s="2180"/>
      <c r="BV8" s="2180"/>
      <c r="BW8" s="2180"/>
      <c r="BX8" s="589"/>
      <c r="BY8" s="598"/>
      <c r="BZ8" s="598"/>
      <c r="CA8" s="598"/>
      <c r="CB8" s="598"/>
      <c r="CC8" s="113"/>
      <c r="CD8" s="1141"/>
      <c r="CE8" s="1141"/>
      <c r="CF8" s="102"/>
      <c r="CG8" s="2138"/>
      <c r="CH8" s="2138"/>
      <c r="CI8" s="2138"/>
      <c r="CJ8" s="2138"/>
      <c r="CK8" s="2138"/>
      <c r="CL8" s="2138"/>
      <c r="CM8" s="2138"/>
      <c r="CN8" s="2138"/>
      <c r="CO8" s="589"/>
      <c r="CP8" s="599"/>
      <c r="CQ8" s="599"/>
      <c r="CR8" s="599"/>
      <c r="CS8" s="599"/>
      <c r="CT8" s="599"/>
      <c r="CU8" s="599"/>
      <c r="CV8" s="599"/>
      <c r="CW8" s="599"/>
      <c r="CX8" s="599"/>
      <c r="CY8" s="599"/>
      <c r="CZ8" s="599"/>
      <c r="DA8" s="599"/>
      <c r="DB8" s="599"/>
      <c r="DC8" s="599"/>
      <c r="DD8" s="599"/>
      <c r="DE8" s="599"/>
      <c r="DF8" s="599"/>
      <c r="DG8" s="599"/>
      <c r="DH8" s="113"/>
      <c r="DI8" s="970"/>
      <c r="DJ8" s="111"/>
      <c r="DK8" s="111"/>
      <c r="DL8" s="87"/>
      <c r="DM8" s="87"/>
      <c r="FN8" s="1019" t="e">
        <f ca="1">FN9</f>
        <v>#N/A</v>
      </c>
    </row>
    <row r="9" spans="4:176" ht="9" customHeight="1" thickBot="1">
      <c r="D9" s="87"/>
      <c r="E9" s="87"/>
      <c r="F9" s="111"/>
      <c r="G9" s="111"/>
      <c r="H9" s="2254"/>
      <c r="I9" s="2255"/>
      <c r="J9" s="102"/>
      <c r="K9" s="1879" t="s">
        <v>1618</v>
      </c>
      <c r="L9" s="1879"/>
      <c r="M9" s="1879"/>
      <c r="N9" s="1879"/>
      <c r="O9" s="1879"/>
      <c r="P9" s="1879"/>
      <c r="Q9" s="1879"/>
      <c r="R9" s="1879"/>
      <c r="S9" s="1879"/>
      <c r="T9" s="1879"/>
      <c r="U9" s="1879"/>
      <c r="V9" s="1879"/>
      <c r="W9" s="1879"/>
      <c r="X9" s="1879"/>
      <c r="Y9" s="1879"/>
      <c r="Z9" s="1879"/>
      <c r="AA9" s="1879"/>
      <c r="AB9" s="1879"/>
      <c r="AC9" s="1879"/>
      <c r="AD9" s="1879"/>
      <c r="AE9" s="1879"/>
      <c r="AF9" s="1879"/>
      <c r="AG9" s="1879"/>
      <c r="AH9" s="1879"/>
      <c r="AI9" s="1879"/>
      <c r="AJ9" s="1879"/>
      <c r="AK9" s="1879"/>
      <c r="AL9" s="1879"/>
      <c r="AM9" s="1879"/>
      <c r="AN9" s="646"/>
      <c r="AO9" s="122"/>
      <c r="AP9" s="290"/>
      <c r="AQ9" s="102"/>
      <c r="AR9" s="2189" t="e">
        <f ca="1">IF(H8&lt;&gt;"",IF(INDIRECT(ADDRESS(16,H8,1,TRUE,"Weapons"))&lt;&gt;"",INDIRECT(ADDRESS(16,H8,1,TRUE,"Weapons")),INDIRECT(ADDRESS(15,H8,1,TRUE,"Weapons"))),"")</f>
        <v>#N/A</v>
      </c>
      <c r="AS9" s="2189"/>
      <c r="AT9" s="2189"/>
      <c r="AU9" s="2189"/>
      <c r="AV9" s="2189"/>
      <c r="AW9" s="2189"/>
      <c r="AX9" s="2189"/>
      <c r="AY9" s="2189"/>
      <c r="AZ9" s="2189"/>
      <c r="BA9" s="2189"/>
      <c r="BB9" s="2189"/>
      <c r="BC9" s="2189"/>
      <c r="BD9" s="2189"/>
      <c r="BE9" s="2189"/>
      <c r="BF9" s="2189"/>
      <c r="BG9" s="2189"/>
      <c r="BH9" s="2189"/>
      <c r="BI9" s="2189"/>
      <c r="BJ9" s="2189"/>
      <c r="BK9" s="2189"/>
      <c r="BL9" s="2189"/>
      <c r="BM9" s="100"/>
      <c r="BN9" s="122"/>
      <c r="BO9" s="290"/>
      <c r="BP9" s="102"/>
      <c r="BQ9" s="2195" t="e">
        <f ca="1">IF(H8&lt;&gt;"",INDIRECT(ADDRESS(8,H8,1,TRUE,"Weapons")),"")</f>
        <v>#N/A</v>
      </c>
      <c r="BR9" s="2195"/>
      <c r="BS9" s="2195"/>
      <c r="BT9" s="2195"/>
      <c r="BU9" s="2197" t="e">
        <f ca="1">IF(BQ9&lt;&gt;"",IF(COUNTIF(FeatsCharacterSheet,BU12)&gt;0,BQ9+BU6,""),"")</f>
        <v>#N/A</v>
      </c>
      <c r="BV9" s="2198"/>
      <c r="BW9" s="2198"/>
      <c r="BX9" s="2199"/>
      <c r="BY9" s="2198" t="e">
        <f ca="1">IF(BQ9&lt;&gt;"",IF(COUNTIF(FeatsCharacterSheet,BY12)&gt;0,BQ9+BY6,""),"")</f>
        <v>#N/A</v>
      </c>
      <c r="BZ9" s="2198"/>
      <c r="CA9" s="2198"/>
      <c r="CB9" s="2198"/>
      <c r="CC9" s="100"/>
      <c r="CD9" s="122"/>
      <c r="CE9" s="290"/>
      <c r="CF9" s="102"/>
      <c r="CG9" s="1883"/>
      <c r="CH9" s="1883"/>
      <c r="CI9" s="1883"/>
      <c r="CJ9" s="1883"/>
      <c r="CK9" s="1883"/>
      <c r="CL9" s="1883"/>
      <c r="CM9" s="1883"/>
      <c r="CN9" s="1883"/>
      <c r="CO9" s="1883"/>
      <c r="CP9" s="1924" t="e">
        <f ca="1">IF(H8&lt;&gt;"",INDIRECT(ADDRESS(9,H8,1,TRUE,"Weapons")),"")</f>
        <v>#N/A</v>
      </c>
      <c r="CQ9" s="1924"/>
      <c r="CR9" s="1924"/>
      <c r="CS9" s="1924"/>
      <c r="CT9" s="1924"/>
      <c r="CU9" s="1924"/>
      <c r="CV9" s="1924"/>
      <c r="CW9" s="1924"/>
      <c r="CX9" s="1924"/>
      <c r="CY9" s="1924"/>
      <c r="CZ9" s="1924"/>
      <c r="DA9" s="1924"/>
      <c r="DB9" s="1924"/>
      <c r="DC9" s="1924"/>
      <c r="DD9" s="1924"/>
      <c r="DE9" s="1924"/>
      <c r="DF9" s="1924"/>
      <c r="DG9" s="1924"/>
      <c r="DH9" s="656"/>
      <c r="DI9" s="971"/>
      <c r="DJ9" s="122"/>
      <c r="DK9" s="118"/>
      <c r="DL9" s="109"/>
      <c r="DM9" s="109"/>
      <c r="FM9" s="1020" t="e">
        <f ca="1">AR7&amp;" "&amp;LOWER(K9)&amp;" "&amp;IF(BQ9&lt;0,"","+")&amp;BQ9&amp;" ("&amp;CP9&amp;IF(Weapons!E$82&lt;&gt;"20","/"&amp;Weapons!E$82,"")&amp;IF(Weapons!E$83&lt;&gt;2,"/×"&amp;Weapons!E$83,"")&amp;")"</f>
        <v>#N/A</v>
      </c>
      <c r="FN9" s="1019" t="e">
        <f ca="1">IF(FM9&lt;&gt;"",FM9&amp;IF(FN10&lt;&gt;"","
"&amp;FN10,""),FN10)</f>
        <v>#N/A</v>
      </c>
    </row>
    <row r="10" spans="4:176" ht="9" customHeight="1" thickTop="1">
      <c r="D10" s="87"/>
      <c r="E10" s="87"/>
      <c r="F10" s="292"/>
      <c r="G10" s="293"/>
      <c r="H10" s="111" t="e">
        <f>IF(K9&lt;&gt;"",INDEX(WeaponCheatSheetTable,MATCH(K9,WeaponCheatSheetList,0),3),"")</f>
        <v>#N/A</v>
      </c>
      <c r="I10" s="111"/>
      <c r="J10" s="102"/>
      <c r="K10" s="1879"/>
      <c r="L10" s="1879"/>
      <c r="M10" s="1879"/>
      <c r="N10" s="1879"/>
      <c r="O10" s="1879"/>
      <c r="P10" s="1879"/>
      <c r="Q10" s="1879"/>
      <c r="R10" s="1879"/>
      <c r="S10" s="1879"/>
      <c r="T10" s="1879"/>
      <c r="U10" s="1879"/>
      <c r="V10" s="1879"/>
      <c r="W10" s="1879"/>
      <c r="X10" s="1879"/>
      <c r="Y10" s="1879"/>
      <c r="Z10" s="1879"/>
      <c r="AA10" s="1879"/>
      <c r="AB10" s="1879"/>
      <c r="AC10" s="1879"/>
      <c r="AD10" s="1879"/>
      <c r="AE10" s="1879"/>
      <c r="AF10" s="1879"/>
      <c r="AG10" s="1879"/>
      <c r="AH10" s="1879"/>
      <c r="AI10" s="1879"/>
      <c r="AJ10" s="1879"/>
      <c r="AK10" s="1879"/>
      <c r="AL10" s="1879"/>
      <c r="AM10" s="1879"/>
      <c r="AN10" s="646"/>
      <c r="AO10" s="111"/>
      <c r="AP10" s="111"/>
      <c r="AQ10" s="647"/>
      <c r="AR10" s="2189"/>
      <c r="AS10" s="2189"/>
      <c r="AT10" s="2189"/>
      <c r="AU10" s="2189"/>
      <c r="AV10" s="2189"/>
      <c r="AW10" s="2189"/>
      <c r="AX10" s="2189"/>
      <c r="AY10" s="2189"/>
      <c r="AZ10" s="2189"/>
      <c r="BA10" s="2189"/>
      <c r="BB10" s="2189"/>
      <c r="BC10" s="2189"/>
      <c r="BD10" s="2189"/>
      <c r="BE10" s="2189"/>
      <c r="BF10" s="2189"/>
      <c r="BG10" s="2189"/>
      <c r="BH10" s="2189"/>
      <c r="BI10" s="2189"/>
      <c r="BJ10" s="2189"/>
      <c r="BK10" s="2189"/>
      <c r="BL10" s="2189"/>
      <c r="BM10" s="100"/>
      <c r="BN10" s="111"/>
      <c r="BO10" s="111"/>
      <c r="BP10" s="647"/>
      <c r="BQ10" s="2195"/>
      <c r="BR10" s="2195"/>
      <c r="BS10" s="2195"/>
      <c r="BT10" s="2195"/>
      <c r="BU10" s="2200"/>
      <c r="BV10" s="2185"/>
      <c r="BW10" s="2185"/>
      <c r="BX10" s="2201"/>
      <c r="BY10" s="2185"/>
      <c r="BZ10" s="2185"/>
      <c r="CA10" s="2185"/>
      <c r="CB10" s="2185"/>
      <c r="CC10" s="100"/>
      <c r="CD10" s="111"/>
      <c r="CE10" s="111"/>
      <c r="CF10" s="102"/>
      <c r="CG10" s="1883"/>
      <c r="CH10" s="1883"/>
      <c r="CI10" s="1883"/>
      <c r="CJ10" s="1883"/>
      <c r="CK10" s="1883"/>
      <c r="CL10" s="1883"/>
      <c r="CM10" s="1883"/>
      <c r="CN10" s="1883"/>
      <c r="CO10" s="1883"/>
      <c r="CP10" s="1924"/>
      <c r="CQ10" s="1924"/>
      <c r="CR10" s="1924"/>
      <c r="CS10" s="1924"/>
      <c r="CT10" s="1924"/>
      <c r="CU10" s="1924"/>
      <c r="CV10" s="1924"/>
      <c r="CW10" s="1924"/>
      <c r="CX10" s="1924"/>
      <c r="CY10" s="1924"/>
      <c r="CZ10" s="1924"/>
      <c r="DA10" s="1924"/>
      <c r="DB10" s="1924"/>
      <c r="DC10" s="1924"/>
      <c r="DD10" s="1924"/>
      <c r="DE10" s="1924"/>
      <c r="DF10" s="1924"/>
      <c r="DG10" s="1924"/>
      <c r="DH10" s="656"/>
      <c r="DI10" s="970"/>
      <c r="DJ10" s="111"/>
      <c r="DK10" s="256"/>
      <c r="DL10" s="109"/>
      <c r="DM10" s="109"/>
      <c r="FM10" s="1020" t="e">
        <f ca="1">IF(AND(BU12&lt;&gt;"",BU9&lt;&gt;""),AR7&amp;" "&amp;LOWER(K9)&amp;" "&amp;IF(BU9&lt;0,BU9&amp;"/"&amp;BU9,"+"&amp;BU9&amp;"/+"&amp;BU9)&amp;" ("&amp;CP9&amp;IF(Weapons!E$82&lt;&gt;"20","/"&amp;Weapons!E$82,"")&amp;IF(Weapons!E$83&lt;&gt;2,"/×"&amp;Weapons!E$83,"")&amp;") with Double Attack","")</f>
        <v>#N/A</v>
      </c>
      <c r="FN10" s="1019" t="e">
        <f t="shared" ref="FN10:FN41" ca="1" si="0">IF(FM10&lt;&gt;"",FM10&amp;IF(FN11&lt;&gt;"","
"&amp;FN11,""),FN11)</f>
        <v>#N/A</v>
      </c>
    </row>
    <row r="11" spans="4:176" ht="9" customHeight="1" thickBot="1">
      <c r="D11" s="87"/>
      <c r="E11" s="144"/>
      <c r="F11" s="111"/>
      <c r="G11" s="111"/>
      <c r="H11" s="111"/>
      <c r="I11" s="111"/>
      <c r="J11" s="91"/>
      <c r="K11" s="1880"/>
      <c r="L11" s="1880"/>
      <c r="M11" s="1880"/>
      <c r="N11" s="1880"/>
      <c r="O11" s="1880"/>
      <c r="P11" s="1880"/>
      <c r="Q11" s="1880"/>
      <c r="R11" s="1880"/>
      <c r="S11" s="1880"/>
      <c r="T11" s="1880"/>
      <c r="U11" s="1880"/>
      <c r="V11" s="1880"/>
      <c r="W11" s="1880"/>
      <c r="X11" s="1880"/>
      <c r="Y11" s="1880"/>
      <c r="Z11" s="1880"/>
      <c r="AA11" s="1880"/>
      <c r="AB11" s="1880"/>
      <c r="AC11" s="1880"/>
      <c r="AD11" s="1880"/>
      <c r="AE11" s="1880"/>
      <c r="AF11" s="1880"/>
      <c r="AG11" s="1880"/>
      <c r="AH11" s="1880"/>
      <c r="AI11" s="1880"/>
      <c r="AJ11" s="1880"/>
      <c r="AK11" s="1880"/>
      <c r="AL11" s="1880"/>
      <c r="AM11" s="1880"/>
      <c r="AN11" s="648"/>
      <c r="AO11" s="1141"/>
      <c r="AP11" s="1141"/>
      <c r="AQ11" s="649"/>
      <c r="AR11" s="2190"/>
      <c r="AS11" s="2190"/>
      <c r="AT11" s="2190"/>
      <c r="AU11" s="2190"/>
      <c r="AV11" s="2190"/>
      <c r="AW11" s="2190"/>
      <c r="AX11" s="2190"/>
      <c r="AY11" s="2190"/>
      <c r="AZ11" s="2190"/>
      <c r="BA11" s="2190"/>
      <c r="BB11" s="2190"/>
      <c r="BC11" s="2190"/>
      <c r="BD11" s="2190"/>
      <c r="BE11" s="2190"/>
      <c r="BF11" s="2190"/>
      <c r="BG11" s="2190"/>
      <c r="BH11" s="2190"/>
      <c r="BI11" s="2190"/>
      <c r="BJ11" s="2190"/>
      <c r="BK11" s="2190"/>
      <c r="BL11" s="2190"/>
      <c r="BM11" s="93"/>
      <c r="BN11" s="1141"/>
      <c r="BO11" s="1141"/>
      <c r="BP11" s="649"/>
      <c r="BQ11" s="2196"/>
      <c r="BR11" s="2196"/>
      <c r="BS11" s="2196"/>
      <c r="BT11" s="2196"/>
      <c r="BU11" s="2202"/>
      <c r="BV11" s="2186"/>
      <c r="BW11" s="2186"/>
      <c r="BX11" s="2203"/>
      <c r="BY11" s="2186"/>
      <c r="BZ11" s="2186"/>
      <c r="CA11" s="2186"/>
      <c r="CB11" s="2186"/>
      <c r="CC11" s="93"/>
      <c r="CD11" s="1141"/>
      <c r="CE11" s="1141"/>
      <c r="CF11" s="91"/>
      <c r="CG11" s="655"/>
      <c r="CH11" s="655"/>
      <c r="CI11" s="655"/>
      <c r="CJ11" s="655"/>
      <c r="CK11" s="655"/>
      <c r="CL11" s="655"/>
      <c r="CM11" s="655"/>
      <c r="CN11" s="655"/>
      <c r="CO11" s="655"/>
      <c r="CP11" s="1925"/>
      <c r="CQ11" s="1925"/>
      <c r="CR11" s="1925"/>
      <c r="CS11" s="1925"/>
      <c r="CT11" s="1925"/>
      <c r="CU11" s="1925"/>
      <c r="CV11" s="1925"/>
      <c r="CW11" s="1925"/>
      <c r="CX11" s="1925"/>
      <c r="CY11" s="1925"/>
      <c r="CZ11" s="1925"/>
      <c r="DA11" s="1925"/>
      <c r="DB11" s="1925"/>
      <c r="DC11" s="1925"/>
      <c r="DD11" s="1925"/>
      <c r="DE11" s="1925"/>
      <c r="DF11" s="1925"/>
      <c r="DG11" s="1925"/>
      <c r="DH11" s="93"/>
      <c r="DI11" s="972"/>
      <c r="DJ11" s="118"/>
      <c r="DK11" s="118"/>
      <c r="DL11" s="256"/>
      <c r="DM11" s="109"/>
      <c r="FM11" s="1020" t="e">
        <f ca="1">IF(AND($BY$12&lt;&gt;"",BY9&lt;&gt;""),AR7&amp;" "&amp;LOWER(K9)&amp;" "&amp;IF(BY9&lt;0,BY9&amp;"/"&amp;BY9&amp;"/"&amp;BY9,"+"&amp;BY9&amp;"/+"&amp;BY9&amp;"/+"&amp;BY9)&amp;" ("&amp;CP9&amp;IF(Weapons!E$82&lt;&gt;"20","/"&amp;Weapons!E$82,"")&amp;IF(Weapons!E$83&lt;&gt;2,"/×"&amp;Weapons!E$83,"")&amp;") with Triple Attack","")</f>
        <v>#N/A</v>
      </c>
      <c r="FN11" s="1019" t="e">
        <f t="shared" ca="1" si="0"/>
        <v>#N/A</v>
      </c>
    </row>
    <row r="12" spans="4:176" ht="9" customHeight="1" thickTop="1" thickBot="1">
      <c r="D12" s="112"/>
      <c r="E12" s="2183" t="e">
        <f ca="1">IF(H8&lt;&gt;"",IF(INDIRECT(ADDRESS(61,H8,1,TRUE,"Weapons"))&lt;&gt;"","MOUNTED",""),"")</f>
        <v>#N/A</v>
      </c>
      <c r="F12" s="2184"/>
      <c r="G12" s="2184"/>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BJ12" s="596"/>
      <c r="BK12" s="596"/>
      <c r="BL12" s="596"/>
      <c r="BO12" s="1141"/>
      <c r="BP12" s="1141"/>
      <c r="BQ12" s="1141"/>
      <c r="BR12" s="1141"/>
      <c r="BS12" s="1141"/>
      <c r="BT12" s="1141"/>
      <c r="BU12" s="2205" t="e">
        <f ca="1">"Double Attack ("&amp;INDEX(WeaponTable,MATCH(Weapons!E$11,WeaponList,0),5)&amp;")"</f>
        <v>#N/A</v>
      </c>
      <c r="BV12" s="2205"/>
      <c r="BW12" s="2205"/>
      <c r="BX12" s="2205"/>
      <c r="BY12" s="2205" t="e">
        <f ca="1">"Triple Attack ("&amp;INDEX(WeaponTable,MATCH(Weapons!E$11,WeaponList,0),5)&amp;")"</f>
        <v>#N/A</v>
      </c>
      <c r="BZ12" s="2205"/>
      <c r="CA12" s="2205"/>
      <c r="CB12" s="2205"/>
      <c r="CC12" s="1141"/>
      <c r="CD12" s="1141"/>
      <c r="CE12" s="1141"/>
      <c r="CF12" s="1141"/>
      <c r="CG12" s="1141"/>
      <c r="CH12" s="1141"/>
      <c r="CI12" s="1141"/>
      <c r="CJ12" s="1141"/>
      <c r="CK12" s="1141"/>
      <c r="CL12" s="1141"/>
      <c r="CM12" s="1141"/>
      <c r="CN12" s="1141"/>
      <c r="CO12" s="1141"/>
      <c r="CP12" s="1141"/>
      <c r="CQ12" s="1141"/>
      <c r="CR12" s="1141"/>
      <c r="CS12" s="1141"/>
      <c r="CT12" s="1141"/>
      <c r="CU12" s="1141"/>
      <c r="CV12" s="1141"/>
      <c r="CW12" s="1141"/>
      <c r="CX12" s="1141"/>
      <c r="CY12" s="1141"/>
      <c r="CZ12" s="1141"/>
      <c r="DA12" s="1141"/>
      <c r="DB12" s="1141"/>
      <c r="DC12" s="1141"/>
      <c r="DD12" s="1141"/>
      <c r="DE12" s="1141"/>
      <c r="DF12" s="1141"/>
      <c r="DG12" s="1141"/>
      <c r="DH12" s="1141"/>
      <c r="DI12" s="973"/>
      <c r="DJ12" s="596"/>
      <c r="DK12" s="596"/>
      <c r="DL12" s="112"/>
      <c r="DM12" s="87"/>
      <c r="FM12" s="1020"/>
      <c r="FN12" s="1019" t="str">
        <f t="shared" si="0"/>
        <v/>
      </c>
    </row>
    <row r="13" spans="4:176" ht="9" customHeight="1" thickTop="1" thickBot="1">
      <c r="D13" s="112"/>
      <c r="E13" s="2183"/>
      <c r="F13" s="2184"/>
      <c r="G13" s="2184"/>
      <c r="H13" s="93"/>
      <c r="I13" s="2182" t="s">
        <v>3613</v>
      </c>
      <c r="J13" s="2182"/>
      <c r="K13" s="2182"/>
      <c r="L13" s="2182"/>
      <c r="M13" s="295"/>
      <c r="N13" s="295"/>
      <c r="O13" s="600"/>
      <c r="P13" s="600"/>
      <c r="Q13" s="594"/>
      <c r="R13" s="594"/>
      <c r="S13" s="594"/>
      <c r="T13" s="594"/>
      <c r="U13" s="594"/>
      <c r="V13" s="594"/>
      <c r="W13" s="594"/>
      <c r="X13" s="594"/>
      <c r="Y13" s="594"/>
      <c r="Z13" s="594"/>
      <c r="AA13" s="594"/>
      <c r="AB13" s="594"/>
      <c r="AC13" s="594"/>
      <c r="AD13" s="594"/>
      <c r="AE13" s="594"/>
      <c r="AF13" s="594"/>
      <c r="AG13" s="297"/>
      <c r="AH13" s="1141"/>
      <c r="AI13" s="1141"/>
      <c r="AQ13" s="93"/>
      <c r="AR13" s="2179" t="s">
        <v>4093</v>
      </c>
      <c r="AS13" s="2179"/>
      <c r="AT13" s="2179"/>
      <c r="AU13" s="2179"/>
      <c r="AV13" s="2179"/>
      <c r="AW13" s="2179"/>
      <c r="AX13" s="2179"/>
      <c r="AY13" s="2179"/>
      <c r="AZ13" s="2179"/>
      <c r="BA13" s="2179"/>
      <c r="BB13" s="2179"/>
      <c r="BC13" s="2179"/>
      <c r="BD13" s="2179"/>
      <c r="BE13" s="113"/>
      <c r="BF13" s="145"/>
      <c r="BG13" s="145"/>
      <c r="BH13" s="145"/>
      <c r="BI13" s="145"/>
      <c r="BJ13" s="145"/>
      <c r="BK13" s="145"/>
      <c r="BL13" s="145"/>
      <c r="BM13" s="1141"/>
      <c r="BN13" s="1141"/>
      <c r="BO13" s="1141"/>
      <c r="BP13" s="93"/>
      <c r="BQ13" s="2193" t="s">
        <v>4092</v>
      </c>
      <c r="BR13" s="2193"/>
      <c r="BS13" s="2193"/>
      <c r="BT13" s="2193"/>
      <c r="BU13" s="2193" t="s">
        <v>4090</v>
      </c>
      <c r="BV13" s="2193"/>
      <c r="BW13" s="2193"/>
      <c r="BX13" s="2193"/>
      <c r="BY13" s="2193" t="s">
        <v>4091</v>
      </c>
      <c r="BZ13" s="2193"/>
      <c r="CA13" s="2193"/>
      <c r="CB13" s="2193"/>
      <c r="CC13" s="113"/>
      <c r="CD13" s="1141"/>
      <c r="CE13" s="1141"/>
      <c r="CF13" s="93"/>
      <c r="CG13" s="2182" t="s">
        <v>3612</v>
      </c>
      <c r="CH13" s="2208"/>
      <c r="CI13" s="2208"/>
      <c r="CJ13" s="2208"/>
      <c r="CK13" s="2208"/>
      <c r="CL13" s="2208"/>
      <c r="CM13" s="2208"/>
      <c r="CN13" s="2208"/>
      <c r="CO13" s="113"/>
      <c r="CP13" s="87"/>
      <c r="CQ13" s="87"/>
      <c r="CR13" s="87"/>
      <c r="CS13" s="87"/>
      <c r="CT13" s="87"/>
      <c r="CU13" s="87"/>
      <c r="CV13" s="87"/>
      <c r="CW13" s="87"/>
      <c r="CX13" s="87"/>
      <c r="CY13" s="87"/>
      <c r="CZ13" s="87"/>
      <c r="DA13" s="87"/>
      <c r="DB13" s="87"/>
      <c r="DC13" s="87"/>
      <c r="DD13" s="87"/>
      <c r="DE13" s="87"/>
      <c r="DF13" s="87"/>
      <c r="DG13" s="87"/>
      <c r="DH13" s="87"/>
      <c r="DL13" s="112"/>
      <c r="DM13" s="87"/>
      <c r="FM13" s="1020"/>
      <c r="FN13" s="1019" t="str">
        <f t="shared" si="0"/>
        <v/>
      </c>
    </row>
    <row r="14" spans="4:176" ht="9" customHeight="1" thickTop="1">
      <c r="D14" s="112"/>
      <c r="E14" s="2183"/>
      <c r="F14" s="2184"/>
      <c r="G14" s="2184"/>
      <c r="H14" s="102"/>
      <c r="I14" s="2180"/>
      <c r="J14" s="2180"/>
      <c r="K14" s="2180"/>
      <c r="L14" s="2180"/>
      <c r="M14" s="2252" t="e">
        <f ca="1">IF(H8&lt;&gt;"",INDIRECT(ADDRESS(34,H8,1,TRUE,"Weapons")),"")</f>
        <v>#N/A</v>
      </c>
      <c r="N14" s="1867"/>
      <c r="O14" s="1867"/>
      <c r="P14" s="1867"/>
      <c r="Q14" s="1867"/>
      <c r="R14" s="1867"/>
      <c r="S14" s="1867"/>
      <c r="T14" s="1867"/>
      <c r="U14" s="1867"/>
      <c r="V14" s="1867"/>
      <c r="W14" s="1867"/>
      <c r="X14" s="1867"/>
      <c r="Y14" s="1867"/>
      <c r="Z14" s="1867"/>
      <c r="AA14" s="1867"/>
      <c r="AB14" s="1867"/>
      <c r="AC14" s="1867"/>
      <c r="AD14" s="1867"/>
      <c r="AE14" s="1867"/>
      <c r="AF14" s="1867"/>
      <c r="AG14" s="300"/>
      <c r="AH14" s="1141"/>
      <c r="AI14" s="1141"/>
      <c r="AQ14" s="102"/>
      <c r="AR14" s="2180"/>
      <c r="AS14" s="2180"/>
      <c r="AT14" s="2180"/>
      <c r="AU14" s="2180"/>
      <c r="AV14" s="2180"/>
      <c r="AW14" s="2180"/>
      <c r="AX14" s="2180"/>
      <c r="AY14" s="2180"/>
      <c r="AZ14" s="2180"/>
      <c r="BA14" s="2180"/>
      <c r="BB14" s="2180"/>
      <c r="BC14" s="2180"/>
      <c r="BD14" s="2180"/>
      <c r="BE14" s="589"/>
      <c r="BF14" s="598"/>
      <c r="BG14" s="598"/>
      <c r="BH14" s="598"/>
      <c r="BI14" s="598"/>
      <c r="BJ14" s="598"/>
      <c r="BK14" s="598"/>
      <c r="BL14" s="598"/>
      <c r="BM14" s="113"/>
      <c r="BN14" s="1141"/>
      <c r="BO14" s="1141"/>
      <c r="BP14" s="102"/>
      <c r="BQ14" s="2194"/>
      <c r="BR14" s="2194"/>
      <c r="BS14" s="2194"/>
      <c r="BT14" s="2194"/>
      <c r="BU14" s="2194"/>
      <c r="BV14" s="2194"/>
      <c r="BW14" s="2194"/>
      <c r="BX14" s="2194"/>
      <c r="BY14" s="2194"/>
      <c r="BZ14" s="2194"/>
      <c r="CA14" s="2194"/>
      <c r="CB14" s="2194"/>
      <c r="CC14" s="1141"/>
      <c r="CD14" s="102"/>
      <c r="CE14" s="1141"/>
      <c r="CF14" s="102"/>
      <c r="CG14" s="2138"/>
      <c r="CH14" s="2138"/>
      <c r="CI14" s="2138"/>
      <c r="CJ14" s="2138"/>
      <c r="CK14" s="2138"/>
      <c r="CL14" s="2138"/>
      <c r="CM14" s="2138"/>
      <c r="CN14" s="2138"/>
      <c r="CO14" s="589"/>
      <c r="CP14" s="599"/>
      <c r="CQ14" s="599"/>
      <c r="CR14" s="599"/>
      <c r="CS14" s="599"/>
      <c r="CT14" s="599"/>
      <c r="CU14" s="599"/>
      <c r="CV14" s="599"/>
      <c r="CW14" s="599"/>
      <c r="CX14" s="599"/>
      <c r="CY14" s="599"/>
      <c r="CZ14" s="599"/>
      <c r="DA14" s="599"/>
      <c r="DB14" s="599"/>
      <c r="DC14" s="599"/>
      <c r="DD14" s="599"/>
      <c r="DE14" s="599"/>
      <c r="DF14" s="599"/>
      <c r="DG14" s="599"/>
      <c r="DH14" s="113"/>
      <c r="DL14" s="112"/>
      <c r="DM14" s="87"/>
      <c r="FM14" s="1020"/>
      <c r="FN14" s="1019" t="str">
        <f t="shared" si="0"/>
        <v/>
      </c>
    </row>
    <row r="15" spans="4:176" ht="9" customHeight="1" thickBot="1">
      <c r="D15" s="112"/>
      <c r="E15" s="2183"/>
      <c r="F15" s="2184"/>
      <c r="G15" s="2184"/>
      <c r="H15" s="102"/>
      <c r="I15" s="2180"/>
      <c r="J15" s="2180"/>
      <c r="K15" s="2180"/>
      <c r="L15" s="2180"/>
      <c r="M15" s="1867"/>
      <c r="N15" s="1867"/>
      <c r="O15" s="1867"/>
      <c r="P15" s="1867"/>
      <c r="Q15" s="1867"/>
      <c r="R15" s="1867"/>
      <c r="S15" s="1867"/>
      <c r="T15" s="1867"/>
      <c r="U15" s="1867"/>
      <c r="V15" s="1867"/>
      <c r="W15" s="1867"/>
      <c r="X15" s="1867"/>
      <c r="Y15" s="1867"/>
      <c r="Z15" s="1867"/>
      <c r="AA15" s="1867"/>
      <c r="AB15" s="1867"/>
      <c r="AC15" s="1867"/>
      <c r="AD15" s="1867"/>
      <c r="AE15" s="1867"/>
      <c r="AF15" s="1867"/>
      <c r="AG15" s="103"/>
      <c r="AH15" s="1141"/>
      <c r="AI15" s="1141"/>
      <c r="AQ15" s="102"/>
      <c r="AR15" s="2191"/>
      <c r="AS15" s="2191"/>
      <c r="AT15" s="2191"/>
      <c r="AU15" s="2191"/>
      <c r="AV15" s="2191"/>
      <c r="AW15" s="2191"/>
      <c r="AX15" s="2191"/>
      <c r="AY15" s="2191"/>
      <c r="AZ15" s="2191"/>
      <c r="BA15" s="2191"/>
      <c r="BB15" s="2191"/>
      <c r="BC15" s="2191"/>
      <c r="BD15" s="2191"/>
      <c r="BE15" s="2191"/>
      <c r="BF15" s="2191"/>
      <c r="BG15" s="2191"/>
      <c r="BH15" s="2191"/>
      <c r="BI15" s="2191"/>
      <c r="BJ15" s="2191"/>
      <c r="BK15" s="2191"/>
      <c r="BL15" s="2191"/>
      <c r="BM15" s="100"/>
      <c r="BN15" s="122"/>
      <c r="BO15" s="290"/>
      <c r="BP15" s="102"/>
      <c r="BQ15" s="2185" t="str">
        <f>IF(AR15&lt;&gt;"",IF(OR(INDEX(WeaponFeatsModsTable,MATCH(AR15,WeaponFeatsModsList,0),7)=AR7,INDEX(WeaponFeatsModsTable,MATCH(AR15,WeaponFeatsModsList,0),7)=""),INDEX(WeaponFeatsModsTable,MATCH(AR15,WeaponFeatsModsList,0),2)+BQ9,""),"")</f>
        <v/>
      </c>
      <c r="BR15" s="2185"/>
      <c r="BS15" s="2185"/>
      <c r="BT15" s="2185"/>
      <c r="BU15" s="2200" t="str">
        <f>IF(BQ15&lt;&gt;"",IF(AND(OR(INDEX(WeaponFeatsModsTable,MATCH(AR15,WeaponFeatsModsList,0),7)=AR7,INDEX(WeaponFeatsModsTable,MATCH(AR15,WeaponFeatsModsList,0),7)=""),INDEX(WeaponFeatsModsTable,MATCH(AR15,WeaponFeatsModsList,0),8)&lt;&gt;"Yes"),IF(COUNTIF(FeatsCharacterSheet,BU12)&gt;0,BQ15+BU6,""),""),"")</f>
        <v/>
      </c>
      <c r="BV15" s="2185"/>
      <c r="BW15" s="2185"/>
      <c r="BX15" s="2201"/>
      <c r="BY15" s="2185" t="str">
        <f>IF(BQ15&lt;&gt;"",IF(AND(OR(INDEX(WeaponFeatsModsTable,MATCH(AR15,WeaponFeatsModsList,0),7)=AR7,INDEX(WeaponFeatsModsTable,MATCH(AR15,WeaponFeatsModsList,0),7)=""),INDEX(WeaponFeatsModsTable,MATCH(AR15,WeaponFeatsModsList,0),8)&lt;&gt;"Yes"),IF(COUNTIF(FeatsCharacterSheet,BY12)&gt;0,BQ15+BY6,""),""),"")</f>
        <v/>
      </c>
      <c r="BZ15" s="2185"/>
      <c r="CA15" s="2185"/>
      <c r="CB15" s="2185"/>
      <c r="CC15" s="100"/>
      <c r="CD15" s="122"/>
      <c r="CE15" s="290"/>
      <c r="CF15" s="102"/>
      <c r="CG15" s="1883"/>
      <c r="CH15" s="1883"/>
      <c r="CI15" s="1883"/>
      <c r="CJ15" s="1883"/>
      <c r="CK15" s="1883"/>
      <c r="CL15" s="1883"/>
      <c r="CM15" s="1883"/>
      <c r="CN15" s="1883"/>
      <c r="CO15" s="1883"/>
      <c r="CP15" s="2207" t="str">
        <f>IF(AR15&lt;&gt;"",IF(OR(INDEX(WeaponFeatsModsTable,MATCH(AR15,WeaponFeatsModsList,0),7)=AR7,INDEX(WeaponFeatsModsTable,MATCH(AR15,WeaponFeatsModsList,0),7)=""),Weapons!E$78+INDEX(WeaponFeatsModsTable,MATCH(AR15,WeaponFeatsModsList,0),5)&amp;"d"&amp;Weapons!E$79&amp;Weapons!E$123&amp;"+"&amp;Weapons!E$116+DI15+IF(AND(LEFT(AR15,12)="Power Attack",AR9="Two-Handed",AR7="Melee"),INDEX(WeaponFeatsModsTable,MATCH(AR15,WeaponFeatsModsList,0),4),INDEX(WeaponFeatsModsTable,MATCH(AR15,WeaponFeatsModsList,0),3)),""),"")</f>
        <v/>
      </c>
      <c r="CQ15" s="2207"/>
      <c r="CR15" s="2207"/>
      <c r="CS15" s="2207"/>
      <c r="CT15" s="2207"/>
      <c r="CU15" s="2207"/>
      <c r="CV15" s="2207"/>
      <c r="CW15" s="2207"/>
      <c r="CX15" s="2207"/>
      <c r="CY15" s="2207"/>
      <c r="CZ15" s="2207"/>
      <c r="DA15" s="2207"/>
      <c r="DB15" s="2207"/>
      <c r="DC15" s="2207"/>
      <c r="DD15" s="2207"/>
      <c r="DE15" s="2207"/>
      <c r="DF15" s="2207"/>
      <c r="DG15" s="2207"/>
      <c r="DH15" s="656"/>
      <c r="DI15" s="974" t="e">
        <f ca="1">IF(AND(COUNTIF(Weapons!E$56:E$60,"Pulse Charger"),AR7="Ranged"),INDEX(WeaponFeatsModsTable,MATCH(AR15,WeaponFeatsModsList,0),5),0)</f>
        <v>#N/A</v>
      </c>
      <c r="DJ15" s="966"/>
      <c r="DK15" s="966"/>
      <c r="DL15" s="967"/>
      <c r="DM15" s="109"/>
      <c r="FM15" s="1020" t="str">
        <f>IF(AND(AR15&lt;&gt;"",BQ15&lt;&gt;""),AR7&amp;" "&amp;LOWER(K9)&amp;" "&amp;IF(BQ15&lt;0,"","+")&amp;BQ15&amp;" ("&amp;CP15&amp;IF(Weapons!E$82&lt;&gt;"20","/"&amp;Weapons!E$82,"")&amp;IF(Weapons!E$83&lt;&gt;2,"/×"&amp;Weapons!E$83,"")&amp;") with "&amp;AR15,"")</f>
        <v/>
      </c>
      <c r="FN15" s="1019" t="str">
        <f t="shared" si="0"/>
        <v/>
      </c>
    </row>
    <row r="16" spans="4:176" ht="9" customHeight="1" thickTop="1" thickBot="1">
      <c r="D16" s="112"/>
      <c r="E16" s="2183"/>
      <c r="F16" s="2184"/>
      <c r="G16" s="2184"/>
      <c r="H16" s="91"/>
      <c r="I16" s="108"/>
      <c r="J16" s="108"/>
      <c r="K16" s="108"/>
      <c r="L16" s="108"/>
      <c r="M16" s="1868"/>
      <c r="N16" s="1868"/>
      <c r="O16" s="1868"/>
      <c r="P16" s="1868"/>
      <c r="Q16" s="1868"/>
      <c r="R16" s="1868"/>
      <c r="S16" s="1868"/>
      <c r="T16" s="1868"/>
      <c r="U16" s="1868"/>
      <c r="V16" s="1868"/>
      <c r="W16" s="1868"/>
      <c r="X16" s="1868"/>
      <c r="Y16" s="1868"/>
      <c r="Z16" s="1868"/>
      <c r="AA16" s="1868"/>
      <c r="AB16" s="1868"/>
      <c r="AC16" s="1868"/>
      <c r="AD16" s="1868"/>
      <c r="AE16" s="1868"/>
      <c r="AF16" s="1868"/>
      <c r="AG16" s="90"/>
      <c r="AH16" s="1141"/>
      <c r="AI16" s="1141"/>
      <c r="AQ16" s="647"/>
      <c r="AR16" s="2191"/>
      <c r="AS16" s="2191"/>
      <c r="AT16" s="2191"/>
      <c r="AU16" s="2191"/>
      <c r="AV16" s="2191"/>
      <c r="AW16" s="2191"/>
      <c r="AX16" s="2191"/>
      <c r="AY16" s="2191"/>
      <c r="AZ16" s="2191"/>
      <c r="BA16" s="2191"/>
      <c r="BB16" s="2191"/>
      <c r="BC16" s="2191"/>
      <c r="BD16" s="2191"/>
      <c r="BE16" s="2191"/>
      <c r="BF16" s="2191"/>
      <c r="BG16" s="2191"/>
      <c r="BH16" s="2191"/>
      <c r="BI16" s="2191"/>
      <c r="BJ16" s="2191"/>
      <c r="BK16" s="2191"/>
      <c r="BL16" s="2191"/>
      <c r="BM16" s="100"/>
      <c r="BN16" s="111"/>
      <c r="BO16" s="111"/>
      <c r="BP16" s="647"/>
      <c r="BQ16" s="2185"/>
      <c r="BR16" s="2185"/>
      <c r="BS16" s="2185"/>
      <c r="BT16" s="2185"/>
      <c r="BU16" s="2200"/>
      <c r="BV16" s="2185"/>
      <c r="BW16" s="2185"/>
      <c r="BX16" s="2201"/>
      <c r="BY16" s="2185"/>
      <c r="BZ16" s="2185"/>
      <c r="CA16" s="2185"/>
      <c r="CB16" s="2185"/>
      <c r="CC16" s="100"/>
      <c r="CD16" s="111"/>
      <c r="CE16" s="111"/>
      <c r="CF16" s="102"/>
      <c r="CG16" s="1883"/>
      <c r="CH16" s="1883"/>
      <c r="CI16" s="1883"/>
      <c r="CJ16" s="1883"/>
      <c r="CK16" s="1883"/>
      <c r="CL16" s="1883"/>
      <c r="CM16" s="1883"/>
      <c r="CN16" s="1883"/>
      <c r="CO16" s="1883"/>
      <c r="CP16" s="2207"/>
      <c r="CQ16" s="2207"/>
      <c r="CR16" s="2207"/>
      <c r="CS16" s="2207"/>
      <c r="CT16" s="2207"/>
      <c r="CU16" s="2207"/>
      <c r="CV16" s="2207"/>
      <c r="CW16" s="2207"/>
      <c r="CX16" s="2207"/>
      <c r="CY16" s="2207"/>
      <c r="CZ16" s="2207"/>
      <c r="DA16" s="2207"/>
      <c r="DB16" s="2207"/>
      <c r="DC16" s="2207"/>
      <c r="DD16" s="2207"/>
      <c r="DE16" s="2207"/>
      <c r="DF16" s="2207"/>
      <c r="DG16" s="2207"/>
      <c r="DH16" s="656"/>
      <c r="DI16" s="974"/>
      <c r="DJ16" s="966"/>
      <c r="DK16" s="966"/>
      <c r="DL16" s="967"/>
      <c r="DM16" s="109"/>
      <c r="FM16" s="1020" t="str">
        <f>IF(AND(AR15&lt;&gt;"",BU15&lt;&gt;""),IF(BU12&lt;&gt;"",AR7&amp;" "&amp;LOWER(K9)&amp;" "&amp;IF(BU15&lt;0,BU15&amp;"/"&amp;BU15,"+"&amp;BU15&amp;"/+"&amp;BU15)&amp;" ("&amp;$CP15&amp;IF(Weapons!E$82&lt;&gt;"20","/"&amp;Weapons!E$82,"")&amp;IF(Weapons!E$83&lt;&gt;2,"/×"&amp;Weapons!E$83,"")&amp;") with Double Attack and "&amp;AR15,""),"")</f>
        <v/>
      </c>
      <c r="FN16" s="1019" t="str">
        <f t="shared" si="0"/>
        <v/>
      </c>
    </row>
    <row r="17" spans="3:175" s="1017" customFormat="1" ht="9" customHeight="1" thickTop="1" thickBot="1">
      <c r="C17" s="1140"/>
      <c r="D17" s="112"/>
      <c r="E17" s="2183"/>
      <c r="F17" s="2184"/>
      <c r="G17" s="2184"/>
      <c r="H17" s="1141"/>
      <c r="I17" s="1141"/>
      <c r="J17" s="1141"/>
      <c r="K17" s="1141"/>
      <c r="L17" s="1141"/>
      <c r="M17" s="1141"/>
      <c r="N17" s="1141"/>
      <c r="O17" s="1141"/>
      <c r="P17" s="589"/>
      <c r="Q17" s="589"/>
      <c r="R17" s="589"/>
      <c r="S17" s="589"/>
      <c r="T17" s="589"/>
      <c r="U17" s="589"/>
      <c r="V17" s="589"/>
      <c r="W17" s="589"/>
      <c r="X17" s="589"/>
      <c r="Y17" s="589"/>
      <c r="Z17" s="589"/>
      <c r="AA17" s="589"/>
      <c r="AB17" s="589"/>
      <c r="AC17" s="589"/>
      <c r="AD17" s="589"/>
      <c r="AE17" s="589"/>
      <c r="AF17" s="589"/>
      <c r="AG17" s="589"/>
      <c r="AH17" s="589"/>
      <c r="AI17" s="131"/>
      <c r="AJ17" s="1140"/>
      <c r="AK17" s="1140"/>
      <c r="AL17" s="1140"/>
      <c r="AM17" s="1140"/>
      <c r="AN17" s="1140"/>
      <c r="AO17" s="1140"/>
      <c r="AP17" s="1140"/>
      <c r="AQ17" s="647"/>
      <c r="AR17" s="2192"/>
      <c r="AS17" s="2192"/>
      <c r="AT17" s="2192"/>
      <c r="AU17" s="2192"/>
      <c r="AV17" s="2192"/>
      <c r="AW17" s="2192"/>
      <c r="AX17" s="2192"/>
      <c r="AY17" s="2192"/>
      <c r="AZ17" s="2192"/>
      <c r="BA17" s="2192"/>
      <c r="BB17" s="2192"/>
      <c r="BC17" s="2192"/>
      <c r="BD17" s="2192"/>
      <c r="BE17" s="2192"/>
      <c r="BF17" s="2192"/>
      <c r="BG17" s="2192"/>
      <c r="BH17" s="2192"/>
      <c r="BI17" s="2192"/>
      <c r="BJ17" s="2192"/>
      <c r="BK17" s="2192"/>
      <c r="BL17" s="2192"/>
      <c r="BM17" s="1140"/>
      <c r="BN17" s="647"/>
      <c r="BO17" s="1141"/>
      <c r="BP17" s="102"/>
      <c r="BQ17" s="2185"/>
      <c r="BR17" s="2185"/>
      <c r="BS17" s="2185"/>
      <c r="BT17" s="2185"/>
      <c r="BU17" s="2200"/>
      <c r="BV17" s="2185"/>
      <c r="BW17" s="2185"/>
      <c r="BX17" s="2201"/>
      <c r="BY17" s="2185"/>
      <c r="BZ17" s="2185"/>
      <c r="CA17" s="2185"/>
      <c r="CB17" s="2185"/>
      <c r="CC17" s="1141"/>
      <c r="CD17" s="102"/>
      <c r="CE17" s="1141"/>
      <c r="CF17" s="102"/>
      <c r="CG17" s="1140"/>
      <c r="CH17" s="1140"/>
      <c r="CI17" s="1140"/>
      <c r="CJ17" s="1140"/>
      <c r="CK17" s="1140"/>
      <c r="CL17" s="1140"/>
      <c r="CM17" s="1140"/>
      <c r="CN17" s="1140"/>
      <c r="CO17" s="1140"/>
      <c r="CP17" s="2207"/>
      <c r="CQ17" s="2207"/>
      <c r="CR17" s="2207"/>
      <c r="CS17" s="2207"/>
      <c r="CT17" s="2207"/>
      <c r="CU17" s="2207"/>
      <c r="CV17" s="2207"/>
      <c r="CW17" s="2207"/>
      <c r="CX17" s="2207"/>
      <c r="CY17" s="2207"/>
      <c r="CZ17" s="2207"/>
      <c r="DA17" s="2207"/>
      <c r="DB17" s="2207"/>
      <c r="DC17" s="2207"/>
      <c r="DD17" s="2207"/>
      <c r="DE17" s="2207"/>
      <c r="DF17" s="2207"/>
      <c r="DG17" s="2207"/>
      <c r="DH17" s="656"/>
      <c r="DI17" s="974"/>
      <c r="DJ17" s="966"/>
      <c r="DK17" s="966"/>
      <c r="DL17" s="967"/>
      <c r="DM17" s="118"/>
      <c r="DN17" s="1140"/>
      <c r="DO17" s="1140"/>
      <c r="DP17" s="1140"/>
      <c r="DQ17" s="1140"/>
      <c r="DR17" s="1140"/>
      <c r="DS17" s="1140"/>
      <c r="DT17" s="1140"/>
      <c r="DU17" s="1140"/>
      <c r="DV17" s="1140"/>
      <c r="DW17" s="1140"/>
      <c r="DX17" s="1140"/>
      <c r="DY17" s="1140"/>
      <c r="DZ17" s="1140"/>
      <c r="EA17" s="1140"/>
      <c r="EB17" s="1140"/>
      <c r="EC17" s="1140"/>
      <c r="ED17" s="1140"/>
      <c r="EE17" s="1140"/>
      <c r="EF17" s="1140"/>
      <c r="EG17" s="1140"/>
      <c r="EH17" s="1140"/>
      <c r="EI17" s="1140"/>
      <c r="EJ17" s="1140"/>
      <c r="EK17" s="1140"/>
      <c r="EL17" s="1140"/>
      <c r="EM17" s="1140"/>
      <c r="EN17" s="1140"/>
      <c r="EO17" s="1140"/>
      <c r="EP17" s="1140"/>
      <c r="EQ17" s="1140"/>
      <c r="ER17" s="1140"/>
      <c r="ES17" s="1140"/>
      <c r="ET17" s="1140"/>
      <c r="EU17" s="1140"/>
      <c r="EV17" s="1140"/>
      <c r="EW17" s="1140"/>
      <c r="EX17" s="1140"/>
      <c r="EY17" s="1140"/>
      <c r="EZ17" s="1140"/>
      <c r="FA17" s="1140"/>
      <c r="FB17" s="1140"/>
      <c r="FC17" s="1140"/>
      <c r="FD17" s="1140"/>
      <c r="FE17" s="1140"/>
      <c r="FF17" s="1140"/>
      <c r="FG17" s="1140"/>
      <c r="FH17" s="1140"/>
      <c r="FI17" s="1140"/>
      <c r="FJ17" s="1140"/>
      <c r="FK17" s="1140"/>
      <c r="FL17" s="1140"/>
      <c r="FM17" s="1020" t="str">
        <f>IF(AND(AR15&lt;&gt;"",BY15&lt;&gt;""),IF(BY12&lt;&gt;"",AR7&amp;" "&amp;LOWER(K9)&amp;" "&amp;IF($BY15&lt;0,$BY15&amp;"/"&amp;$BY15&amp;"/"&amp;$BY15,"+"&amp;$BY15&amp;"/+"&amp;$BY15&amp;"/+"&amp;$BY15)&amp;" ("&amp;$CP15&amp;IF(Weapons!E$82&lt;&gt;"20","/"&amp;Weapons!E$82,"")&amp;IF(Weapons!E$83&lt;&gt;2,"/×"&amp;Weapons!E$83,"")&amp;") with Triple Attack and "&amp;AR15,""),"")</f>
        <v/>
      </c>
      <c r="FN17" s="1019" t="str">
        <f t="shared" si="0"/>
        <v/>
      </c>
      <c r="FS17" s="1018"/>
    </row>
    <row r="18" spans="3:175" s="1017" customFormat="1" ht="9" customHeight="1" thickTop="1" thickBot="1">
      <c r="C18" s="1140"/>
      <c r="D18" s="112"/>
      <c r="E18" s="2183"/>
      <c r="F18" s="2184"/>
      <c r="G18" s="2184"/>
      <c r="H18" s="93"/>
      <c r="I18" s="2182" t="s">
        <v>4051</v>
      </c>
      <c r="J18" s="2208"/>
      <c r="K18" s="2208"/>
      <c r="L18" s="2208"/>
      <c r="M18" s="295"/>
      <c r="N18" s="295"/>
      <c r="O18" s="295"/>
      <c r="P18" s="295"/>
      <c r="Q18" s="295"/>
      <c r="R18" s="295"/>
      <c r="S18" s="295"/>
      <c r="T18" s="295"/>
      <c r="U18" s="295"/>
      <c r="V18" s="295"/>
      <c r="W18" s="113"/>
      <c r="X18" s="1140"/>
      <c r="Y18" s="1140"/>
      <c r="Z18" s="93"/>
      <c r="AA18" s="2182" t="s">
        <v>4089</v>
      </c>
      <c r="AB18" s="2208"/>
      <c r="AC18" s="2208"/>
      <c r="AD18" s="2208"/>
      <c r="AE18" s="295"/>
      <c r="AF18" s="295"/>
      <c r="AG18" s="295"/>
      <c r="AH18" s="295"/>
      <c r="AI18" s="295"/>
      <c r="AJ18" s="295"/>
      <c r="AK18" s="295"/>
      <c r="AL18" s="295"/>
      <c r="AM18" s="295"/>
      <c r="AN18" s="113"/>
      <c r="AO18" s="1140"/>
      <c r="AP18" s="1140"/>
      <c r="AQ18" s="647"/>
      <c r="AR18" s="2191"/>
      <c r="AS18" s="2191"/>
      <c r="AT18" s="2191"/>
      <c r="AU18" s="2191"/>
      <c r="AV18" s="2191"/>
      <c r="AW18" s="2191"/>
      <c r="AX18" s="2191"/>
      <c r="AY18" s="2191"/>
      <c r="AZ18" s="2191"/>
      <c r="BA18" s="2191"/>
      <c r="BB18" s="2191"/>
      <c r="BC18" s="2191"/>
      <c r="BD18" s="2191"/>
      <c r="BE18" s="2191"/>
      <c r="BF18" s="2191"/>
      <c r="BG18" s="2191"/>
      <c r="BH18" s="2191"/>
      <c r="BI18" s="2191"/>
      <c r="BJ18" s="2191"/>
      <c r="BK18" s="2191"/>
      <c r="BL18" s="2191"/>
      <c r="BM18" s="100"/>
      <c r="BN18" s="122"/>
      <c r="BO18" s="290"/>
      <c r="BP18" s="102"/>
      <c r="BQ18" s="2185" t="str">
        <f>IF(AR18&lt;&gt;"",IF(OR(INDEX(WeaponFeatsModsTable,MATCH(AR18,WeaponFeatsModsList,0),7)=AR7,INDEX(WeaponFeatsModsTable,MATCH(AR18,WeaponFeatsModsList,0),7)=""),INDEX(WeaponFeatsModsTable,MATCH(AR18,WeaponFeatsModsList,0),2)+BQ9,""),"")</f>
        <v/>
      </c>
      <c r="BR18" s="2185"/>
      <c r="BS18" s="2185"/>
      <c r="BT18" s="2185"/>
      <c r="BU18" s="2200" t="str">
        <f>IF(BQ18&lt;&gt;"",IF(AND(OR(INDEX(WeaponFeatsModsTable,MATCH(AR18,WeaponFeatsModsList,0),7)=AR7,INDEX(WeaponFeatsModsTable,MATCH(AR18,WeaponFeatsModsList,0),7)=""),INDEX(WeaponFeatsModsTable,MATCH(AR18,WeaponFeatsModsList,0),8)&lt;&gt;"Yes"),IF(COUNTIF(FeatsCharacterSheet,BU12)&gt;0,BQ18+BU6,""),""),"")</f>
        <v/>
      </c>
      <c r="BV18" s="2185"/>
      <c r="BW18" s="2185"/>
      <c r="BX18" s="2201"/>
      <c r="BY18" s="2185" t="str">
        <f>IF(BQ18&lt;&gt;"",IF(AND(OR(INDEX(WeaponFeatsModsTable,MATCH(AR18,WeaponFeatsModsList,0),7)=AR7,INDEX(WeaponFeatsModsTable,MATCH(AR18,WeaponFeatsModsList,0),7)=""),INDEX(WeaponFeatsModsTable,MATCH(AR18,WeaponFeatsModsList,0),8)&lt;&gt;"Yes"),IF(COUNTIF(FeatsCharacterSheet,BY12)&gt;0,BQ18+BY6,""),""),"")</f>
        <v/>
      </c>
      <c r="BZ18" s="2185"/>
      <c r="CA18" s="2185"/>
      <c r="CB18" s="2185"/>
      <c r="CC18" s="100"/>
      <c r="CD18" s="122"/>
      <c r="CE18" s="290"/>
      <c r="CF18" s="102"/>
      <c r="CG18" s="1883"/>
      <c r="CH18" s="1883"/>
      <c r="CI18" s="1883"/>
      <c r="CJ18" s="1883"/>
      <c r="CK18" s="1883"/>
      <c r="CL18" s="1883"/>
      <c r="CM18" s="1883"/>
      <c r="CN18" s="1883"/>
      <c r="CO18" s="1883"/>
      <c r="CP18" s="2207" t="str">
        <f>IF(AR18&lt;&gt;"",IF(OR(INDEX(WeaponFeatsModsTable,MATCH(AR18,WeaponFeatsModsList,0),7)=AR7,INDEX(WeaponFeatsModsTable,MATCH(AR18,WeaponFeatsModsList,0),7)=""),Weapons!E$78+INDEX(WeaponFeatsModsTable,MATCH(AR18,WeaponFeatsModsList,0),5)&amp;"d"&amp;Weapons!E$79&amp;Weapons!E$123&amp;"+"&amp;Weapons!E$116+DI18+IF(AND(LEFT(AR18,12)="Power Attack",AR9="Two-Handed",AR7="Melee"),INDEX(WeaponFeatsModsTable,MATCH(AR18,WeaponFeatsModsList,0),4),INDEX(WeaponFeatsModsTable,MATCH(AR18,WeaponFeatsModsList,0),3)),""),"")</f>
        <v/>
      </c>
      <c r="CQ18" s="2207"/>
      <c r="CR18" s="2207"/>
      <c r="CS18" s="2207"/>
      <c r="CT18" s="2207"/>
      <c r="CU18" s="2207"/>
      <c r="CV18" s="2207"/>
      <c r="CW18" s="2207"/>
      <c r="CX18" s="2207"/>
      <c r="CY18" s="2207"/>
      <c r="CZ18" s="2207"/>
      <c r="DA18" s="2207"/>
      <c r="DB18" s="2207"/>
      <c r="DC18" s="2207"/>
      <c r="DD18" s="2207"/>
      <c r="DE18" s="2207"/>
      <c r="DF18" s="2207"/>
      <c r="DG18" s="2207"/>
      <c r="DH18" s="656"/>
      <c r="DI18" s="974" t="e">
        <f ca="1">IF(AND(COUNTIF(Weapons!E$56:E$60,"Pulse Charger"),AR7="Ranged"),INDEX(WeaponFeatsModsTable,MATCH(AR18,WeaponFeatsModsList,0),5),0)</f>
        <v>#N/A</v>
      </c>
      <c r="DJ18" s="597"/>
      <c r="DK18" s="597"/>
      <c r="DL18" s="968"/>
      <c r="DM18" s="118"/>
      <c r="DN18" s="1140"/>
      <c r="DO18" s="1140"/>
      <c r="DP18" s="1140"/>
      <c r="DQ18" s="1140"/>
      <c r="DR18" s="1140"/>
      <c r="DS18" s="1140"/>
      <c r="DT18" s="1140"/>
      <c r="DU18" s="1140"/>
      <c r="DV18" s="1140"/>
      <c r="DW18" s="1140"/>
      <c r="DX18" s="1140"/>
      <c r="DY18" s="1140"/>
      <c r="DZ18" s="1140"/>
      <c r="EA18" s="1140"/>
      <c r="EB18" s="1140"/>
      <c r="EC18" s="1140"/>
      <c r="ED18" s="1140"/>
      <c r="EE18" s="1140"/>
      <c r="EF18" s="1140"/>
      <c r="EG18" s="1140"/>
      <c r="EH18" s="1140"/>
      <c r="EI18" s="1140"/>
      <c r="EJ18" s="1140"/>
      <c r="EK18" s="1140"/>
      <c r="EL18" s="1140"/>
      <c r="EM18" s="1140"/>
      <c r="EN18" s="1140"/>
      <c r="EO18" s="1140"/>
      <c r="EP18" s="1140"/>
      <c r="EQ18" s="1140"/>
      <c r="ER18" s="1140"/>
      <c r="ES18" s="1140"/>
      <c r="ET18" s="1140"/>
      <c r="EU18" s="1140"/>
      <c r="EV18" s="1140"/>
      <c r="EW18" s="1140"/>
      <c r="EX18" s="1140"/>
      <c r="EY18" s="1140"/>
      <c r="EZ18" s="1140"/>
      <c r="FA18" s="1140"/>
      <c r="FB18" s="1140"/>
      <c r="FC18" s="1140"/>
      <c r="FD18" s="1140"/>
      <c r="FE18" s="1140"/>
      <c r="FF18" s="1140"/>
      <c r="FG18" s="1140"/>
      <c r="FH18" s="1140"/>
      <c r="FI18" s="1140"/>
      <c r="FJ18" s="1140"/>
      <c r="FK18" s="1140"/>
      <c r="FL18" s="1140"/>
      <c r="FM18" s="1020" t="str">
        <f>IF(AND(AR18&lt;&gt;"",BQ18&lt;&gt;""),AR7&amp;" "&amp;LOWER(K9)&amp;" "&amp;IF(BQ18&lt;0,"","+")&amp;BQ18&amp;" ("&amp;CP18&amp;IF(Weapons!E$82&lt;&gt;"20","/"&amp;Weapons!E$82,"")&amp;IF(Weapons!E$83&lt;&gt;2,"/×"&amp;Weapons!E$83,"")&amp;") with "&amp;AR18,"")</f>
        <v/>
      </c>
      <c r="FN18" s="1019" t="str">
        <f t="shared" si="0"/>
        <v/>
      </c>
      <c r="FS18" s="1018"/>
    </row>
    <row r="19" spans="3:175" s="1017" customFormat="1" ht="9" customHeight="1" thickTop="1">
      <c r="C19" s="1140"/>
      <c r="D19" s="112"/>
      <c r="E19" s="2183"/>
      <c r="F19" s="2184"/>
      <c r="G19" s="2184"/>
      <c r="H19" s="102"/>
      <c r="I19" s="2138"/>
      <c r="J19" s="2138"/>
      <c r="K19" s="2138"/>
      <c r="L19" s="2138"/>
      <c r="M19" s="2187" t="e">
        <f ca="1">IF(H8&lt;&gt;"",INDIRECT(ADDRESS(23,H8,1,TRUE,"Weapons")),"")</f>
        <v>#N/A</v>
      </c>
      <c r="N19" s="2187"/>
      <c r="O19" s="2187"/>
      <c r="P19" s="2187"/>
      <c r="Q19" s="2187"/>
      <c r="R19" s="2187"/>
      <c r="S19" s="2187"/>
      <c r="T19" s="2187"/>
      <c r="U19" s="2187"/>
      <c r="V19" s="2187"/>
      <c r="W19" s="100"/>
      <c r="X19" s="1140"/>
      <c r="Y19" s="1140"/>
      <c r="Z19" s="102"/>
      <c r="AA19" s="2138"/>
      <c r="AB19" s="2138"/>
      <c r="AC19" s="2138"/>
      <c r="AD19" s="2138"/>
      <c r="AE19" s="2187" t="e">
        <f ca="1">IF(K9="","",IF(INDIRECT(ADDRESS(22,H8+3,1,TRUE,"Weapons"))&lt;&gt;"",INDIRECT(ADDRESS(22,H8+3,1,TRUE,"Weapons")),INDIRECT(ADDRESS(82,H8,1,TRUE,"Weapons"))&amp;"/×"&amp;INDIRECT(ADDRESS(83,H8,1,TRUE,"Weapons"))))</f>
        <v>#N/A</v>
      </c>
      <c r="AF19" s="2187"/>
      <c r="AG19" s="2187"/>
      <c r="AH19" s="2187"/>
      <c r="AI19" s="2187"/>
      <c r="AJ19" s="2187"/>
      <c r="AK19" s="2187"/>
      <c r="AL19" s="2187"/>
      <c r="AM19" s="2187"/>
      <c r="AN19" s="100"/>
      <c r="AO19" s="1140"/>
      <c r="AP19" s="1140"/>
      <c r="AQ19" s="647"/>
      <c r="AR19" s="2191"/>
      <c r="AS19" s="2191"/>
      <c r="AT19" s="2191"/>
      <c r="AU19" s="2191"/>
      <c r="AV19" s="2191"/>
      <c r="AW19" s="2191"/>
      <c r="AX19" s="2191"/>
      <c r="AY19" s="2191"/>
      <c r="AZ19" s="2191"/>
      <c r="BA19" s="2191"/>
      <c r="BB19" s="2191"/>
      <c r="BC19" s="2191"/>
      <c r="BD19" s="2191"/>
      <c r="BE19" s="2191"/>
      <c r="BF19" s="2191"/>
      <c r="BG19" s="2191"/>
      <c r="BH19" s="2191"/>
      <c r="BI19" s="2191"/>
      <c r="BJ19" s="2191"/>
      <c r="BK19" s="2191"/>
      <c r="BL19" s="2191"/>
      <c r="BM19" s="100"/>
      <c r="BN19" s="111"/>
      <c r="BO19" s="111"/>
      <c r="BP19" s="647"/>
      <c r="BQ19" s="2185"/>
      <c r="BR19" s="2185"/>
      <c r="BS19" s="2185"/>
      <c r="BT19" s="2185"/>
      <c r="BU19" s="2200"/>
      <c r="BV19" s="2185"/>
      <c r="BW19" s="2185"/>
      <c r="BX19" s="2201"/>
      <c r="BY19" s="2185"/>
      <c r="BZ19" s="2185"/>
      <c r="CA19" s="2185"/>
      <c r="CB19" s="2185"/>
      <c r="CC19" s="100"/>
      <c r="CD19" s="111"/>
      <c r="CE19" s="111"/>
      <c r="CF19" s="102"/>
      <c r="CG19" s="1883"/>
      <c r="CH19" s="1883"/>
      <c r="CI19" s="1883"/>
      <c r="CJ19" s="1883"/>
      <c r="CK19" s="1883"/>
      <c r="CL19" s="1883"/>
      <c r="CM19" s="1883"/>
      <c r="CN19" s="1883"/>
      <c r="CO19" s="1883"/>
      <c r="CP19" s="2207"/>
      <c r="CQ19" s="2207"/>
      <c r="CR19" s="2207"/>
      <c r="CS19" s="2207"/>
      <c r="CT19" s="2207"/>
      <c r="CU19" s="2207"/>
      <c r="CV19" s="2207"/>
      <c r="CW19" s="2207"/>
      <c r="CX19" s="2207"/>
      <c r="CY19" s="2207"/>
      <c r="CZ19" s="2207"/>
      <c r="DA19" s="2207"/>
      <c r="DB19" s="2207"/>
      <c r="DC19" s="2207"/>
      <c r="DD19" s="2207"/>
      <c r="DE19" s="2207"/>
      <c r="DF19" s="2207"/>
      <c r="DG19" s="2207"/>
      <c r="DH19" s="656"/>
      <c r="DI19" s="975"/>
      <c r="DJ19" s="597"/>
      <c r="DK19" s="597"/>
      <c r="DL19" s="968"/>
      <c r="DM19" s="118"/>
      <c r="DN19" s="1140"/>
      <c r="DO19" s="1140"/>
      <c r="DP19" s="1140"/>
      <c r="DQ19" s="1140"/>
      <c r="DR19" s="1140"/>
      <c r="DS19" s="1140"/>
      <c r="DT19" s="1140"/>
      <c r="DU19" s="1140"/>
      <c r="DV19" s="1140"/>
      <c r="DW19" s="1140"/>
      <c r="DX19" s="1140"/>
      <c r="DY19" s="1140"/>
      <c r="DZ19" s="1140"/>
      <c r="EA19" s="1140"/>
      <c r="EB19" s="1140"/>
      <c r="EC19" s="1140"/>
      <c r="ED19" s="1140"/>
      <c r="EE19" s="1140"/>
      <c r="EF19" s="1140"/>
      <c r="EG19" s="1140"/>
      <c r="EH19" s="1140"/>
      <c r="EI19" s="1140"/>
      <c r="EJ19" s="1140"/>
      <c r="EK19" s="1140"/>
      <c r="EL19" s="1140"/>
      <c r="EM19" s="1140"/>
      <c r="EN19" s="1140"/>
      <c r="EO19" s="1140"/>
      <c r="EP19" s="1140"/>
      <c r="EQ19" s="1140"/>
      <c r="ER19" s="1140"/>
      <c r="ES19" s="1140"/>
      <c r="ET19" s="1140"/>
      <c r="EU19" s="1140"/>
      <c r="EV19" s="1140"/>
      <c r="EW19" s="1140"/>
      <c r="EX19" s="1140"/>
      <c r="EY19" s="1140"/>
      <c r="EZ19" s="1140"/>
      <c r="FA19" s="1140"/>
      <c r="FB19" s="1140"/>
      <c r="FC19" s="1140"/>
      <c r="FD19" s="1140"/>
      <c r="FE19" s="1140"/>
      <c r="FF19" s="1140"/>
      <c r="FG19" s="1140"/>
      <c r="FH19" s="1140"/>
      <c r="FI19" s="1140"/>
      <c r="FJ19" s="1140"/>
      <c r="FK19" s="1140"/>
      <c r="FL19" s="1140"/>
      <c r="FM19" s="1020" t="str">
        <f>IF(AND(AR18&lt;&gt;"",BU18&lt;&gt;""),IF(BU12&lt;&gt;"",AR7&amp;" "&amp;LOWER(K9)&amp;" "&amp;IF($BU18&lt;0,BU18&amp;"/"&amp;BU18,"+"&amp;BU18&amp;"/+"&amp;BU18)&amp;" ("&amp;$CP18&amp;IF(Weapons!E$82&lt;&gt;"20","/"&amp;Weapons!E$82,"")&amp;IF(Weapons!E$83&lt;&gt;2,"/×"&amp;Weapons!E$83,"")&amp;") with Double Attack and "&amp;AR18,""),"")</f>
        <v/>
      </c>
      <c r="FN19" s="1019" t="str">
        <f t="shared" si="0"/>
        <v/>
      </c>
      <c r="FS19" s="1018"/>
    </row>
    <row r="20" spans="3:175" s="1017" customFormat="1" ht="9" customHeight="1">
      <c r="C20" s="1140"/>
      <c r="D20" s="112"/>
      <c r="E20" s="2183"/>
      <c r="F20" s="2184"/>
      <c r="G20" s="2184"/>
      <c r="H20" s="102"/>
      <c r="I20" s="1138"/>
      <c r="J20" s="1138"/>
      <c r="K20" s="1138"/>
      <c r="L20" s="1138"/>
      <c r="M20" s="2187"/>
      <c r="N20" s="2187"/>
      <c r="O20" s="2187"/>
      <c r="P20" s="2187"/>
      <c r="Q20" s="2187"/>
      <c r="R20" s="2187"/>
      <c r="S20" s="2187"/>
      <c r="T20" s="2187"/>
      <c r="U20" s="2187"/>
      <c r="V20" s="2187"/>
      <c r="W20" s="100"/>
      <c r="X20" s="1140"/>
      <c r="Y20" s="1140"/>
      <c r="Z20" s="102"/>
      <c r="AA20" s="1138"/>
      <c r="AB20" s="1138"/>
      <c r="AC20" s="1138"/>
      <c r="AD20" s="1138"/>
      <c r="AE20" s="2187"/>
      <c r="AF20" s="2187"/>
      <c r="AG20" s="2187"/>
      <c r="AH20" s="2187"/>
      <c r="AI20" s="2187"/>
      <c r="AJ20" s="2187"/>
      <c r="AK20" s="2187"/>
      <c r="AL20" s="2187"/>
      <c r="AM20" s="2187"/>
      <c r="AN20" s="100"/>
      <c r="AO20" s="1140"/>
      <c r="AP20" s="1140"/>
      <c r="AQ20" s="647"/>
      <c r="AR20" s="2192"/>
      <c r="AS20" s="2192"/>
      <c r="AT20" s="2192"/>
      <c r="AU20" s="2192"/>
      <c r="AV20" s="2192"/>
      <c r="AW20" s="2192"/>
      <c r="AX20" s="2192"/>
      <c r="AY20" s="2192"/>
      <c r="AZ20" s="2192"/>
      <c r="BA20" s="2192"/>
      <c r="BB20" s="2192"/>
      <c r="BC20" s="2192"/>
      <c r="BD20" s="2192"/>
      <c r="BE20" s="2192"/>
      <c r="BF20" s="2192"/>
      <c r="BG20" s="2192"/>
      <c r="BH20" s="2192"/>
      <c r="BI20" s="2192"/>
      <c r="BJ20" s="2192"/>
      <c r="BK20" s="2192"/>
      <c r="BL20" s="2192"/>
      <c r="BM20" s="1140"/>
      <c r="BN20" s="647"/>
      <c r="BO20" s="1141"/>
      <c r="BP20" s="102"/>
      <c r="BQ20" s="2185"/>
      <c r="BR20" s="2185"/>
      <c r="BS20" s="2185"/>
      <c r="BT20" s="2185"/>
      <c r="BU20" s="2200"/>
      <c r="BV20" s="2185"/>
      <c r="BW20" s="2185"/>
      <c r="BX20" s="2201"/>
      <c r="BY20" s="2185"/>
      <c r="BZ20" s="2185"/>
      <c r="CA20" s="2185"/>
      <c r="CB20" s="2185"/>
      <c r="CC20" s="1141"/>
      <c r="CD20" s="102"/>
      <c r="CE20" s="1141"/>
      <c r="CF20" s="102"/>
      <c r="CG20" s="1140"/>
      <c r="CH20" s="1140"/>
      <c r="CI20" s="1140"/>
      <c r="CJ20" s="1140"/>
      <c r="CK20" s="1140"/>
      <c r="CL20" s="1140"/>
      <c r="CM20" s="1140"/>
      <c r="CN20" s="1140"/>
      <c r="CO20" s="1140"/>
      <c r="CP20" s="2207"/>
      <c r="CQ20" s="2207"/>
      <c r="CR20" s="2207"/>
      <c r="CS20" s="2207"/>
      <c r="CT20" s="2207"/>
      <c r="CU20" s="2207"/>
      <c r="CV20" s="2207"/>
      <c r="CW20" s="2207"/>
      <c r="CX20" s="2207"/>
      <c r="CY20" s="2207"/>
      <c r="CZ20" s="2207"/>
      <c r="DA20" s="2207"/>
      <c r="DB20" s="2207"/>
      <c r="DC20" s="2207"/>
      <c r="DD20" s="2207"/>
      <c r="DE20" s="2207"/>
      <c r="DF20" s="2207"/>
      <c r="DG20" s="2207"/>
      <c r="DH20" s="656"/>
      <c r="DI20" s="975"/>
      <c r="DJ20" s="597"/>
      <c r="DK20" s="597"/>
      <c r="DL20" s="968"/>
      <c r="DM20" s="118"/>
      <c r="DN20" s="1140"/>
      <c r="DO20" s="1140"/>
      <c r="DP20" s="1140"/>
      <c r="DQ20" s="1140"/>
      <c r="DR20" s="1140"/>
      <c r="DS20" s="1140"/>
      <c r="DT20" s="1140"/>
      <c r="DU20" s="1140"/>
      <c r="DV20" s="1140"/>
      <c r="DW20" s="1140"/>
      <c r="DX20" s="1140"/>
      <c r="DY20" s="1140"/>
      <c r="DZ20" s="1140"/>
      <c r="EA20" s="1140"/>
      <c r="EB20" s="1140"/>
      <c r="EC20" s="1140"/>
      <c r="ED20" s="1140"/>
      <c r="EE20" s="1140"/>
      <c r="EF20" s="1140"/>
      <c r="EG20" s="1140"/>
      <c r="EH20" s="1140"/>
      <c r="EI20" s="1140"/>
      <c r="EJ20" s="1140"/>
      <c r="EK20" s="1140"/>
      <c r="EL20" s="1140"/>
      <c r="EM20" s="1140"/>
      <c r="EN20" s="1140"/>
      <c r="EO20" s="1140"/>
      <c r="EP20" s="1140"/>
      <c r="EQ20" s="1140"/>
      <c r="ER20" s="1140"/>
      <c r="ES20" s="1140"/>
      <c r="ET20" s="1140"/>
      <c r="EU20" s="1140"/>
      <c r="EV20" s="1140"/>
      <c r="EW20" s="1140"/>
      <c r="EX20" s="1140"/>
      <c r="EY20" s="1140"/>
      <c r="EZ20" s="1140"/>
      <c r="FA20" s="1140"/>
      <c r="FB20" s="1140"/>
      <c r="FC20" s="1140"/>
      <c r="FD20" s="1140"/>
      <c r="FE20" s="1140"/>
      <c r="FF20" s="1140"/>
      <c r="FG20" s="1140"/>
      <c r="FH20" s="1140"/>
      <c r="FI20" s="1140"/>
      <c r="FJ20" s="1140"/>
      <c r="FK20" s="1140"/>
      <c r="FL20" s="1140"/>
      <c r="FM20" s="1020" t="str">
        <f>IF(AND(AR18&lt;&gt;"",BY18&lt;&gt;""),IF(BY12&lt;&gt;"",AR7&amp;" "&amp;LOWER(K9)&amp;" "&amp;IF($BY18&lt;0,$BY18&amp;"/"&amp;$BY18&amp;"/"&amp;$BY18,"+"&amp;$BY18&amp;"/+"&amp;$BY18&amp;"/+"&amp;$BY18)&amp;" ("&amp;$CP18&amp;IF(Weapons!E$82&lt;&gt;"20","/"&amp;Weapons!E$82,"")&amp;IF(Weapons!E$83&lt;&gt;2,"/×"&amp;Weapons!E$83,"")&amp;") with Triple Attack and "&amp;AR18,""),"")</f>
        <v/>
      </c>
      <c r="FN20" s="1019" t="str">
        <f t="shared" si="0"/>
        <v/>
      </c>
      <c r="FO20" s="1019"/>
      <c r="FS20" s="1018"/>
    </row>
    <row r="21" spans="3:175" s="1017" customFormat="1" ht="9" customHeight="1" thickBot="1">
      <c r="C21" s="1140"/>
      <c r="D21" s="112"/>
      <c r="E21" s="2183"/>
      <c r="F21" s="2184"/>
      <c r="G21" s="2184"/>
      <c r="H21" s="91"/>
      <c r="I21" s="1139"/>
      <c r="J21" s="1139"/>
      <c r="K21" s="1139"/>
      <c r="L21" s="1139"/>
      <c r="M21" s="2188"/>
      <c r="N21" s="2188"/>
      <c r="O21" s="2188"/>
      <c r="P21" s="2188"/>
      <c r="Q21" s="2188"/>
      <c r="R21" s="2188"/>
      <c r="S21" s="2188"/>
      <c r="T21" s="2188"/>
      <c r="U21" s="2188"/>
      <c r="V21" s="2188"/>
      <c r="W21" s="93"/>
      <c r="X21" s="1140"/>
      <c r="Y21" s="1140"/>
      <c r="Z21" s="91"/>
      <c r="AA21" s="1139"/>
      <c r="AB21" s="1139"/>
      <c r="AC21" s="1139"/>
      <c r="AD21" s="1139"/>
      <c r="AE21" s="2188"/>
      <c r="AF21" s="2188"/>
      <c r="AG21" s="2188"/>
      <c r="AH21" s="2188"/>
      <c r="AI21" s="2188"/>
      <c r="AJ21" s="2188"/>
      <c r="AK21" s="2188"/>
      <c r="AL21" s="2188"/>
      <c r="AM21" s="2188"/>
      <c r="AN21" s="93"/>
      <c r="AO21" s="1140"/>
      <c r="AP21" s="1140"/>
      <c r="AQ21" s="647"/>
      <c r="AR21" s="2191"/>
      <c r="AS21" s="2191"/>
      <c r="AT21" s="2191"/>
      <c r="AU21" s="2191"/>
      <c r="AV21" s="2191"/>
      <c r="AW21" s="2191"/>
      <c r="AX21" s="2191"/>
      <c r="AY21" s="2191"/>
      <c r="AZ21" s="2191"/>
      <c r="BA21" s="2191"/>
      <c r="BB21" s="2191"/>
      <c r="BC21" s="2191"/>
      <c r="BD21" s="2191"/>
      <c r="BE21" s="2191"/>
      <c r="BF21" s="2191"/>
      <c r="BG21" s="2191"/>
      <c r="BH21" s="2191"/>
      <c r="BI21" s="2191"/>
      <c r="BJ21" s="2191"/>
      <c r="BK21" s="2191"/>
      <c r="BL21" s="2191"/>
      <c r="BM21" s="100"/>
      <c r="BN21" s="122"/>
      <c r="BO21" s="290"/>
      <c r="BP21" s="102"/>
      <c r="BQ21" s="2185" t="str">
        <f>IF(AR21&lt;&gt;"",IF(OR(INDEX(WeaponFeatsModsTable,MATCH(AR21,WeaponFeatsModsList,0),7)=AR7,INDEX(WeaponFeatsModsTable,MATCH(AR21,WeaponFeatsModsList,0),7)=""),INDEX(WeaponFeatsModsTable,MATCH(AR21,WeaponFeatsModsList,0),2)+BQ9,""),"")</f>
        <v/>
      </c>
      <c r="BR21" s="2185"/>
      <c r="BS21" s="2185"/>
      <c r="BT21" s="2185"/>
      <c r="BU21" s="2200" t="str">
        <f>IF(BQ21&lt;&gt;"",IF(AND(OR(INDEX(WeaponFeatsModsTable,MATCH(AR21,WeaponFeatsModsList,0),7)=AR7,INDEX(WeaponFeatsModsTable,MATCH(AR21,WeaponFeatsModsList,0),7)=""),INDEX(WeaponFeatsModsTable,MATCH(AR21,WeaponFeatsModsList,0),8)&lt;&gt;"Yes"),IF(COUNTIF(FeatsCharacterSheet,BU12)&gt;0,BQ21+BU6,""),""),"")</f>
        <v/>
      </c>
      <c r="BV21" s="2185"/>
      <c r="BW21" s="2185"/>
      <c r="BX21" s="2201"/>
      <c r="BY21" s="2185" t="str">
        <f>IF(BQ21&lt;&gt;"",IF(AND(OR(INDEX(WeaponFeatsModsTable,MATCH(AR21,WeaponFeatsModsList,0),7)=AR7,INDEX(WeaponFeatsModsTable,MATCH(AR21,WeaponFeatsModsList,0),7)=""),INDEX(WeaponFeatsModsTable,MATCH(AR21,WeaponFeatsModsList,0),8)&lt;&gt;"Yes"),IF(COUNTIF(FeatsCharacterSheet,BY12)&gt;0,BQ21+BY6,""),""),"")</f>
        <v/>
      </c>
      <c r="BZ21" s="2185"/>
      <c r="CA21" s="2185"/>
      <c r="CB21" s="2185"/>
      <c r="CC21" s="100"/>
      <c r="CD21" s="122"/>
      <c r="CE21" s="290"/>
      <c r="CF21" s="102"/>
      <c r="CG21" s="1883"/>
      <c r="CH21" s="1883"/>
      <c r="CI21" s="1883"/>
      <c r="CJ21" s="1883"/>
      <c r="CK21" s="1883"/>
      <c r="CL21" s="1883"/>
      <c r="CM21" s="1883"/>
      <c r="CN21" s="1883"/>
      <c r="CO21" s="1883"/>
      <c r="CP21" s="2207" t="str">
        <f>IF(AR21&lt;&gt;"",IF(OR(INDEX(WeaponFeatsModsTable,MATCH(AR21,WeaponFeatsModsList,0),7)=AR7,INDEX(WeaponFeatsModsTable,MATCH(AR21,WeaponFeatsModsList,0),7)=""),Weapons!E$78+INDEX(WeaponFeatsModsTable,MATCH(AR21,WeaponFeatsModsList,0),5)&amp;"d"&amp;Weapons!E$79&amp;Weapons!E$123&amp;"+"&amp;Weapons!E$116+DI21+IF(AND(LEFT(AR21,12)="Power Attack",AR9="Two-Handed",AR7="Melee"),INDEX(WeaponFeatsModsTable,MATCH(AR21,WeaponFeatsModsList,0),4),INDEX(WeaponFeatsModsTable,MATCH(AR21,WeaponFeatsModsList,0),3)),""),"")</f>
        <v/>
      </c>
      <c r="CQ21" s="2207"/>
      <c r="CR21" s="2207"/>
      <c r="CS21" s="2207"/>
      <c r="CT21" s="2207"/>
      <c r="CU21" s="2207"/>
      <c r="CV21" s="2207"/>
      <c r="CW21" s="2207"/>
      <c r="CX21" s="2207"/>
      <c r="CY21" s="2207"/>
      <c r="CZ21" s="2207"/>
      <c r="DA21" s="2207"/>
      <c r="DB21" s="2207"/>
      <c r="DC21" s="2207"/>
      <c r="DD21" s="2207"/>
      <c r="DE21" s="2207"/>
      <c r="DF21" s="2207"/>
      <c r="DG21" s="2207"/>
      <c r="DH21" s="656"/>
      <c r="DI21" s="974" t="e">
        <f ca="1">IF(AND(COUNTIF(Weapons!E$56:E$60,"Pulse Charger"),AR7="Ranged"),INDEX(WeaponFeatsModsTable,MATCH(AR21,WeaponFeatsModsList,0),5),0)</f>
        <v>#N/A</v>
      </c>
      <c r="DJ21" s="1140"/>
      <c r="DK21" s="1140"/>
      <c r="DL21" s="112"/>
      <c r="DM21" s="118"/>
      <c r="DN21" s="1140"/>
      <c r="DO21" s="1140"/>
      <c r="DP21" s="1140"/>
      <c r="DQ21" s="1140"/>
      <c r="DR21" s="1140"/>
      <c r="DS21" s="1140"/>
      <c r="DT21" s="1140"/>
      <c r="DU21" s="1140"/>
      <c r="DV21" s="1140"/>
      <c r="DW21" s="1140"/>
      <c r="DX21" s="1140"/>
      <c r="DY21" s="1140"/>
      <c r="DZ21" s="1140"/>
      <c r="EA21" s="1140"/>
      <c r="EB21" s="1140"/>
      <c r="EC21" s="1140"/>
      <c r="ED21" s="1140"/>
      <c r="EE21" s="1140"/>
      <c r="EF21" s="1140"/>
      <c r="EG21" s="1140"/>
      <c r="EH21" s="1140"/>
      <c r="EI21" s="1140"/>
      <c r="EJ21" s="1140"/>
      <c r="EK21" s="1140"/>
      <c r="EL21" s="1140"/>
      <c r="EM21" s="1140"/>
      <c r="EN21" s="1140"/>
      <c r="EO21" s="1140"/>
      <c r="EP21" s="1140"/>
      <c r="EQ21" s="1140"/>
      <c r="ER21" s="1140"/>
      <c r="ES21" s="1140"/>
      <c r="ET21" s="1140"/>
      <c r="EU21" s="1140"/>
      <c r="EV21" s="1140"/>
      <c r="EW21" s="1140"/>
      <c r="EX21" s="1140"/>
      <c r="EY21" s="1140"/>
      <c r="EZ21" s="1140"/>
      <c r="FA21" s="1140"/>
      <c r="FB21" s="1140"/>
      <c r="FC21" s="1140"/>
      <c r="FD21" s="1140"/>
      <c r="FE21" s="1140"/>
      <c r="FF21" s="1140"/>
      <c r="FG21" s="1140"/>
      <c r="FH21" s="1140"/>
      <c r="FI21" s="1140"/>
      <c r="FJ21" s="1140"/>
      <c r="FK21" s="1140"/>
      <c r="FL21" s="1140"/>
      <c r="FM21" s="1020" t="str">
        <f>IF(AND(AR21&lt;&gt;"",BQ21&lt;&gt;""),AR7&amp;" "&amp;LOWER(K9)&amp;" "&amp;IF(BQ21&lt;0,"","+")&amp;BQ21&amp;" ("&amp;CP21&amp;IF(Weapons!E$82&lt;&gt;"20","/"&amp;Weapons!E$82,"")&amp;IF(Weapons!E$83&lt;&gt;2,"/×"&amp;Weapons!E$83,"")&amp;") with "&amp;AR21,"")</f>
        <v/>
      </c>
      <c r="FN21" s="1019" t="str">
        <f t="shared" si="0"/>
        <v/>
      </c>
      <c r="FO21" s="1019"/>
      <c r="FS21" s="1018"/>
    </row>
    <row r="22" spans="3:175" s="1017" customFormat="1" ht="9" customHeight="1" thickTop="1" thickBot="1">
      <c r="C22" s="1140"/>
      <c r="D22" s="112"/>
      <c r="E22" s="2183"/>
      <c r="F22" s="2184"/>
      <c r="G22" s="2184"/>
      <c r="H22" s="118"/>
      <c r="I22" s="118"/>
      <c r="J22" s="105"/>
      <c r="K22" s="1141"/>
      <c r="L22" s="1141"/>
      <c r="M22" s="1141"/>
      <c r="N22" s="1141"/>
      <c r="O22" s="653"/>
      <c r="P22" s="653"/>
      <c r="Q22" s="653"/>
      <c r="R22" s="653"/>
      <c r="S22" s="653"/>
      <c r="T22" s="131"/>
      <c r="U22" s="118"/>
      <c r="V22" s="118"/>
      <c r="W22" s="105"/>
      <c r="X22" s="1141"/>
      <c r="Y22" s="118"/>
      <c r="Z22" s="118"/>
      <c r="AA22" s="118"/>
      <c r="AB22" s="118"/>
      <c r="AC22" s="118"/>
      <c r="AD22" s="118"/>
      <c r="AE22" s="118"/>
      <c r="AF22" s="118"/>
      <c r="AG22" s="118"/>
      <c r="AH22" s="118"/>
      <c r="AI22" s="118"/>
      <c r="AJ22" s="118"/>
      <c r="AK22" s="118"/>
      <c r="AL22" s="118"/>
      <c r="AM22" s="118"/>
      <c r="AN22" s="118"/>
      <c r="AO22" s="118"/>
      <c r="AP22" s="1140"/>
      <c r="AQ22" s="647"/>
      <c r="AR22" s="2191"/>
      <c r="AS22" s="2191"/>
      <c r="AT22" s="2191"/>
      <c r="AU22" s="2191"/>
      <c r="AV22" s="2191"/>
      <c r="AW22" s="2191"/>
      <c r="AX22" s="2191"/>
      <c r="AY22" s="2191"/>
      <c r="AZ22" s="2191"/>
      <c r="BA22" s="2191"/>
      <c r="BB22" s="2191"/>
      <c r="BC22" s="2191"/>
      <c r="BD22" s="2191"/>
      <c r="BE22" s="2191"/>
      <c r="BF22" s="2191"/>
      <c r="BG22" s="2191"/>
      <c r="BH22" s="2191"/>
      <c r="BI22" s="2191"/>
      <c r="BJ22" s="2191"/>
      <c r="BK22" s="2191"/>
      <c r="BL22" s="2191"/>
      <c r="BM22" s="100"/>
      <c r="BN22" s="111"/>
      <c r="BO22" s="111"/>
      <c r="BP22" s="647"/>
      <c r="BQ22" s="2185"/>
      <c r="BR22" s="2185"/>
      <c r="BS22" s="2185"/>
      <c r="BT22" s="2185"/>
      <c r="BU22" s="2200"/>
      <c r="BV22" s="2185"/>
      <c r="BW22" s="2185"/>
      <c r="BX22" s="2201"/>
      <c r="BY22" s="2185"/>
      <c r="BZ22" s="2185"/>
      <c r="CA22" s="2185"/>
      <c r="CB22" s="2185"/>
      <c r="CC22" s="100"/>
      <c r="CD22" s="111"/>
      <c r="CE22" s="111"/>
      <c r="CF22" s="102"/>
      <c r="CG22" s="1883"/>
      <c r="CH22" s="1883"/>
      <c r="CI22" s="1883"/>
      <c r="CJ22" s="1883"/>
      <c r="CK22" s="1883"/>
      <c r="CL22" s="1883"/>
      <c r="CM22" s="1883"/>
      <c r="CN22" s="1883"/>
      <c r="CO22" s="1883"/>
      <c r="CP22" s="2207"/>
      <c r="CQ22" s="2207"/>
      <c r="CR22" s="2207"/>
      <c r="CS22" s="2207"/>
      <c r="CT22" s="2207"/>
      <c r="CU22" s="2207"/>
      <c r="CV22" s="2207"/>
      <c r="CW22" s="2207"/>
      <c r="CX22" s="2207"/>
      <c r="CY22" s="2207"/>
      <c r="CZ22" s="2207"/>
      <c r="DA22" s="2207"/>
      <c r="DB22" s="2207"/>
      <c r="DC22" s="2207"/>
      <c r="DD22" s="2207"/>
      <c r="DE22" s="2207"/>
      <c r="DF22" s="2207"/>
      <c r="DG22" s="2207"/>
      <c r="DH22" s="656"/>
      <c r="DI22" s="941"/>
      <c r="DJ22" s="1140"/>
      <c r="DK22" s="1140"/>
      <c r="DL22" s="112"/>
      <c r="DM22" s="118"/>
      <c r="DN22" s="1140"/>
      <c r="DO22" s="1140"/>
      <c r="DP22" s="1140"/>
      <c r="DQ22" s="1140"/>
      <c r="DR22" s="1140"/>
      <c r="DS22" s="1140"/>
      <c r="DT22" s="1140"/>
      <c r="DU22" s="1140"/>
      <c r="DV22" s="1140"/>
      <c r="DW22" s="1140"/>
      <c r="DX22" s="1140"/>
      <c r="DY22" s="1140"/>
      <c r="DZ22" s="1140"/>
      <c r="EA22" s="1140"/>
      <c r="EB22" s="1140"/>
      <c r="EC22" s="1140"/>
      <c r="ED22" s="1140"/>
      <c r="EE22" s="1140"/>
      <c r="EF22" s="1140"/>
      <c r="EG22" s="1140"/>
      <c r="EH22" s="1140"/>
      <c r="EI22" s="1140"/>
      <c r="EJ22" s="1140"/>
      <c r="EK22" s="1140"/>
      <c r="EL22" s="1140"/>
      <c r="EM22" s="1140"/>
      <c r="EN22" s="1140"/>
      <c r="EO22" s="1140"/>
      <c r="EP22" s="1140"/>
      <c r="EQ22" s="1140"/>
      <c r="ER22" s="1140"/>
      <c r="ES22" s="1140"/>
      <c r="ET22" s="1140"/>
      <c r="EU22" s="1140"/>
      <c r="EV22" s="1140"/>
      <c r="EW22" s="1140"/>
      <c r="EX22" s="1140"/>
      <c r="EY22" s="1140"/>
      <c r="EZ22" s="1140"/>
      <c r="FA22" s="1140"/>
      <c r="FB22" s="1140"/>
      <c r="FC22" s="1140"/>
      <c r="FD22" s="1140"/>
      <c r="FE22" s="1140"/>
      <c r="FF22" s="1140"/>
      <c r="FG22" s="1140"/>
      <c r="FH22" s="1140"/>
      <c r="FI22" s="1140"/>
      <c r="FJ22" s="1140"/>
      <c r="FK22" s="1140"/>
      <c r="FL22" s="1140"/>
      <c r="FM22" s="1020" t="str">
        <f>IF(AND(AR21&lt;&gt;"",BU21&lt;&gt;""),IF(BU12&lt;&gt;"",AR7&amp;" "&amp;LOWER(K9)&amp;" "&amp;IF($BU21&lt;0,BU21&amp;"/"&amp;BU21,"+"&amp;BU21&amp;"/+"&amp;BU21)&amp;" ("&amp;$CP21&amp;IF(Weapons!E$82&lt;&gt;"20","/"&amp;Weapons!E$82,"")&amp;IF(Weapons!E$83&lt;&gt;2,"/×"&amp;Weapons!E$83,"")&amp;") with Double Attack and "&amp;AR21,""),"")</f>
        <v/>
      </c>
      <c r="FN22" s="1019" t="str">
        <f t="shared" si="0"/>
        <v/>
      </c>
      <c r="FO22" s="1019"/>
      <c r="FS22" s="1018"/>
    </row>
    <row r="23" spans="3:175" s="1017" customFormat="1" ht="9" customHeight="1" thickTop="1">
      <c r="C23" s="1140"/>
      <c r="D23" s="112"/>
      <c r="E23" s="2183"/>
      <c r="F23" s="2184"/>
      <c r="G23" s="2184"/>
      <c r="H23" s="93"/>
      <c r="I23" s="2182" t="e">
        <f ca="1">IF(AH24&lt;&gt;"","AMMO","POWER")</f>
        <v>#N/A</v>
      </c>
      <c r="J23" s="2182"/>
      <c r="K23" s="2182"/>
      <c r="L23" s="2182"/>
      <c r="M23" s="2182"/>
      <c r="N23" s="2182"/>
      <c r="O23" s="295"/>
      <c r="P23" s="295"/>
      <c r="Q23" s="295"/>
      <c r="R23" s="295"/>
      <c r="S23" s="295"/>
      <c r="T23" s="295"/>
      <c r="U23" s="295"/>
      <c r="V23" s="295"/>
      <c r="W23" s="295"/>
      <c r="X23" s="295"/>
      <c r="Y23" s="295"/>
      <c r="Z23" s="295"/>
      <c r="AA23" s="295"/>
      <c r="AB23" s="295"/>
      <c r="AC23" s="295"/>
      <c r="AD23" s="295"/>
      <c r="AE23" s="295"/>
      <c r="AF23" s="295"/>
      <c r="AG23" s="295"/>
      <c r="AH23" s="295"/>
      <c r="AI23" s="295"/>
      <c r="AJ23" s="295"/>
      <c r="AK23" s="295"/>
      <c r="AL23" s="295"/>
      <c r="AM23" s="295"/>
      <c r="AN23" s="113"/>
      <c r="AO23" s="1140"/>
      <c r="AP23" s="1140"/>
      <c r="AQ23" s="647"/>
      <c r="AR23" s="2192"/>
      <c r="AS23" s="2192"/>
      <c r="AT23" s="2192"/>
      <c r="AU23" s="2192"/>
      <c r="AV23" s="2192"/>
      <c r="AW23" s="2192"/>
      <c r="AX23" s="2192"/>
      <c r="AY23" s="2192"/>
      <c r="AZ23" s="2192"/>
      <c r="BA23" s="2192"/>
      <c r="BB23" s="2192"/>
      <c r="BC23" s="2192"/>
      <c r="BD23" s="2192"/>
      <c r="BE23" s="2192"/>
      <c r="BF23" s="2192"/>
      <c r="BG23" s="2192"/>
      <c r="BH23" s="2192"/>
      <c r="BI23" s="2192"/>
      <c r="BJ23" s="2192"/>
      <c r="BK23" s="2192"/>
      <c r="BL23" s="2192"/>
      <c r="BM23" s="1140"/>
      <c r="BN23" s="647"/>
      <c r="BO23" s="1141"/>
      <c r="BP23" s="102"/>
      <c r="BQ23" s="2185"/>
      <c r="BR23" s="2185"/>
      <c r="BS23" s="2185"/>
      <c r="BT23" s="2185"/>
      <c r="BU23" s="2200"/>
      <c r="BV23" s="2185"/>
      <c r="BW23" s="2185"/>
      <c r="BX23" s="2201"/>
      <c r="BY23" s="2185"/>
      <c r="BZ23" s="2185"/>
      <c r="CA23" s="2185"/>
      <c r="CB23" s="2185"/>
      <c r="CC23" s="1141"/>
      <c r="CD23" s="102"/>
      <c r="CE23" s="1141"/>
      <c r="CF23" s="102"/>
      <c r="CG23" s="1140"/>
      <c r="CH23" s="1140"/>
      <c r="CI23" s="1140"/>
      <c r="CJ23" s="1140"/>
      <c r="CK23" s="1140"/>
      <c r="CL23" s="1140"/>
      <c r="CM23" s="1140"/>
      <c r="CN23" s="1140"/>
      <c r="CO23" s="1140"/>
      <c r="CP23" s="2207"/>
      <c r="CQ23" s="2207"/>
      <c r="CR23" s="2207"/>
      <c r="CS23" s="2207"/>
      <c r="CT23" s="2207"/>
      <c r="CU23" s="2207"/>
      <c r="CV23" s="2207"/>
      <c r="CW23" s="2207"/>
      <c r="CX23" s="2207"/>
      <c r="CY23" s="2207"/>
      <c r="CZ23" s="2207"/>
      <c r="DA23" s="2207"/>
      <c r="DB23" s="2207"/>
      <c r="DC23" s="2207"/>
      <c r="DD23" s="2207"/>
      <c r="DE23" s="2207"/>
      <c r="DF23" s="2207"/>
      <c r="DG23" s="2207"/>
      <c r="DH23" s="656"/>
      <c r="DI23" s="941"/>
      <c r="DJ23" s="1140"/>
      <c r="DK23" s="1140"/>
      <c r="DL23" s="112"/>
      <c r="DM23" s="87"/>
      <c r="DN23" s="1140"/>
      <c r="DO23" s="1140"/>
      <c r="DP23" s="1140"/>
      <c r="DQ23" s="1140"/>
      <c r="DR23" s="1140"/>
      <c r="DS23" s="1140"/>
      <c r="DT23" s="1140"/>
      <c r="DU23" s="1140"/>
      <c r="DV23" s="1140"/>
      <c r="DW23" s="1140"/>
      <c r="DX23" s="1140"/>
      <c r="DY23" s="1140"/>
      <c r="DZ23" s="1140"/>
      <c r="EA23" s="1140"/>
      <c r="EB23" s="1140"/>
      <c r="EC23" s="1140"/>
      <c r="ED23" s="1140"/>
      <c r="EE23" s="1140"/>
      <c r="EF23" s="1140"/>
      <c r="EG23" s="1140"/>
      <c r="EH23" s="1140"/>
      <c r="EI23" s="1140"/>
      <c r="EJ23" s="1140"/>
      <c r="EK23" s="1140"/>
      <c r="EL23" s="1140"/>
      <c r="EM23" s="1140"/>
      <c r="EN23" s="1140"/>
      <c r="EO23" s="1140"/>
      <c r="EP23" s="1140"/>
      <c r="EQ23" s="1140"/>
      <c r="ER23" s="1140"/>
      <c r="ES23" s="1140"/>
      <c r="ET23" s="1140"/>
      <c r="EU23" s="1140"/>
      <c r="EV23" s="1140"/>
      <c r="EW23" s="1140"/>
      <c r="EX23" s="1140"/>
      <c r="EY23" s="1140"/>
      <c r="EZ23" s="1140"/>
      <c r="FA23" s="1140"/>
      <c r="FB23" s="1140"/>
      <c r="FC23" s="1140"/>
      <c r="FD23" s="1140"/>
      <c r="FE23" s="1140"/>
      <c r="FF23" s="1140"/>
      <c r="FG23" s="1140"/>
      <c r="FH23" s="1140"/>
      <c r="FI23" s="1140"/>
      <c r="FJ23" s="1140"/>
      <c r="FK23" s="1140"/>
      <c r="FL23" s="1140"/>
      <c r="FM23" s="1020" t="str">
        <f>IF(AND(AR21&lt;&gt;"",BY21&lt;&gt;""),IF(BY12&lt;&gt;"",AR7&amp;" "&amp;LOWER(K9)&amp;" "&amp;IF($BY21&lt;0,$BY21&amp;"/"&amp;$BY21&amp;"/"&amp;$BY21,"+"&amp;$BY21&amp;"/+"&amp;$BY21&amp;"/+"&amp;$BY21)&amp;" ("&amp;$CP21&amp;IF(Weapons!E$82&lt;&gt;"20","/"&amp;Weapons!E$82,"")&amp;IF(Weapons!E$83&lt;&gt;2,"/×"&amp;Weapons!E$83,"")&amp;") with Triple Attack and "&amp;AR21,""),"")</f>
        <v/>
      </c>
      <c r="FN23" s="1019" t="str">
        <f t="shared" si="0"/>
        <v/>
      </c>
      <c r="FO23" s="1019"/>
      <c r="FS23" s="1018"/>
    </row>
    <row r="24" spans="3:175" s="1017" customFormat="1" ht="9" customHeight="1">
      <c r="C24" s="1140"/>
      <c r="D24" s="112"/>
      <c r="E24" s="2183"/>
      <c r="F24" s="2184"/>
      <c r="G24" s="2184"/>
      <c r="H24" s="102"/>
      <c r="I24" s="2180"/>
      <c r="J24" s="2180"/>
      <c r="K24" s="2180"/>
      <c r="L24" s="2180"/>
      <c r="M24" s="2180"/>
      <c r="N24" s="2180"/>
      <c r="O24" s="1875" t="e">
        <f ca="1">IF(H8&lt;&gt;"",INDIRECT(ADDRESS(25,H8,1,TRUE,"Weapons")),"")</f>
        <v>#N/A</v>
      </c>
      <c r="P24" s="1875"/>
      <c r="Q24" s="1875"/>
      <c r="R24" s="1875"/>
      <c r="S24" s="1875"/>
      <c r="T24" s="1875"/>
      <c r="U24" s="1875"/>
      <c r="V24" s="1875"/>
      <c r="W24" s="1875"/>
      <c r="X24" s="1875"/>
      <c r="Y24" s="1875"/>
      <c r="Z24" s="1875"/>
      <c r="AA24" s="1875"/>
      <c r="AB24" s="1875"/>
      <c r="AC24" s="1875"/>
      <c r="AD24" s="1875"/>
      <c r="AE24" s="1875"/>
      <c r="AF24" s="1875"/>
      <c r="AG24" s="1875"/>
      <c r="AH24" s="1863" t="e">
        <f ca="1">IF(H8&lt;&gt;"",INDIRECT(ADDRESS(26,H8,1,TRUE,"Weapons")),"")</f>
        <v>#N/A</v>
      </c>
      <c r="AI24" s="1863"/>
      <c r="AJ24" s="1863"/>
      <c r="AK24" s="1863"/>
      <c r="AL24" s="1863"/>
      <c r="AM24" s="1863"/>
      <c r="AN24" s="100"/>
      <c r="AO24" s="1140"/>
      <c r="AP24" s="1140"/>
      <c r="AQ24" s="102"/>
      <c r="AR24" s="2191"/>
      <c r="AS24" s="2191"/>
      <c r="AT24" s="2191"/>
      <c r="AU24" s="2191"/>
      <c r="AV24" s="2191"/>
      <c r="AW24" s="2191"/>
      <c r="AX24" s="2191"/>
      <c r="AY24" s="2191"/>
      <c r="AZ24" s="2191"/>
      <c r="BA24" s="2191"/>
      <c r="BB24" s="2191"/>
      <c r="BC24" s="2191"/>
      <c r="BD24" s="2191"/>
      <c r="BE24" s="2191"/>
      <c r="BF24" s="2191"/>
      <c r="BG24" s="2191"/>
      <c r="BH24" s="2191"/>
      <c r="BI24" s="2191"/>
      <c r="BJ24" s="2191"/>
      <c r="BK24" s="2191"/>
      <c r="BL24" s="2191"/>
      <c r="BM24" s="1140"/>
      <c r="BN24" s="647"/>
      <c r="BO24" s="1140"/>
      <c r="BP24" s="102"/>
      <c r="BQ24" s="2185" t="str">
        <f>IF(AR24&lt;&gt;"",IF(OR(INDEX(WeaponFeatsModsTable,MATCH(AR24,WeaponFeatsModsList,0),7)=AR7,INDEX(WeaponFeatsModsTable,MATCH(AR24,WeaponFeatsModsList,0),7)=""),INDEX(WeaponFeatsModsTable,MATCH(AR24,WeaponFeatsModsList,0),2)+BQ9,""),"")</f>
        <v/>
      </c>
      <c r="BR24" s="2185"/>
      <c r="BS24" s="2185"/>
      <c r="BT24" s="2185"/>
      <c r="BU24" s="2200" t="str">
        <f>IF(BQ24&lt;&gt;"",IF(AND(OR(INDEX(WeaponFeatsModsTable,MATCH(AR24,WeaponFeatsModsList,0),7)=AR7,INDEX(WeaponFeatsModsTable,MATCH(AR24,WeaponFeatsModsList,0),7)=""),INDEX(WeaponFeatsModsTable,MATCH(AR24,WeaponFeatsModsList,0),8)&lt;&gt;"Yes"),IF(COUNTIF(FeatsCharacterSheet,BU12)&gt;0,BQ24+BU6,""),""),"")</f>
        <v/>
      </c>
      <c r="BV24" s="2185"/>
      <c r="BW24" s="2185"/>
      <c r="BX24" s="2201"/>
      <c r="BY24" s="2185" t="str">
        <f>IF(BQ24&lt;&gt;"",IF(AND(OR(INDEX(WeaponFeatsModsTable,MATCH(AR24,WeaponFeatsModsList,0),7)=AR7,INDEX(WeaponFeatsModsTable,MATCH(AR24,WeaponFeatsModsList,0),7)=""),INDEX(WeaponFeatsModsTable,MATCH(AR24,WeaponFeatsModsList,0),8)&lt;&gt;"Yes"),IF(COUNTIF(FeatsCharacterSheet,BY12)&gt;0,BQ24+BY6,""),""),"")</f>
        <v/>
      </c>
      <c r="BZ24" s="2185"/>
      <c r="CA24" s="2185"/>
      <c r="CB24" s="2185"/>
      <c r="CC24" s="100"/>
      <c r="CD24" s="1140"/>
      <c r="CE24" s="1141"/>
      <c r="CF24" s="102"/>
      <c r="CG24" s="2209"/>
      <c r="CH24" s="2209"/>
      <c r="CI24" s="2209"/>
      <c r="CJ24" s="2209"/>
      <c r="CK24" s="2209"/>
      <c r="CL24" s="2209"/>
      <c r="CM24" s="2209"/>
      <c r="CN24" s="2209"/>
      <c r="CO24" s="2209"/>
      <c r="CP24" s="2207" t="str">
        <f>IF(AR24&lt;&gt;"",IF(OR(INDEX(WeaponFeatsModsTable,MATCH(AR24,WeaponFeatsModsList,0),7)=AR7,INDEX(WeaponFeatsModsTable,MATCH(AR24,WeaponFeatsModsList,0),7)=""),Weapons!E$78+INDEX(WeaponFeatsModsTable,MATCH(AR24,WeaponFeatsModsList,0),5)&amp;"d"&amp;Weapons!E$79&amp;Weapons!E$123&amp;"+"&amp;Weapons!E$116+DI24+IF(AND(LEFT(AR24,12)="Power Attack",AR9="Two-Handed",AR7="Melee"),INDEX(WeaponFeatsModsTable,MATCH(AR24,WeaponFeatsModsList,0),4),INDEX(WeaponFeatsModsTable,MATCH(AR24,WeaponFeatsModsList,0),3)),""),"")</f>
        <v/>
      </c>
      <c r="CQ24" s="2207"/>
      <c r="CR24" s="2207"/>
      <c r="CS24" s="2207"/>
      <c r="CT24" s="2207"/>
      <c r="CU24" s="2207"/>
      <c r="CV24" s="2207"/>
      <c r="CW24" s="2207"/>
      <c r="CX24" s="2207"/>
      <c r="CY24" s="2207"/>
      <c r="CZ24" s="2207"/>
      <c r="DA24" s="2207"/>
      <c r="DB24" s="2207"/>
      <c r="DC24" s="2207"/>
      <c r="DD24" s="2207"/>
      <c r="DE24" s="2207"/>
      <c r="DF24" s="2207"/>
      <c r="DG24" s="2207"/>
      <c r="DH24" s="656"/>
      <c r="DI24" s="974" t="e">
        <f ca="1">IF(AND(COUNTIF(Weapons!E$56:E$60,"Pulse Charger"),AR7="Ranged"),INDEX(WeaponFeatsModsTable,MATCH(AR24,WeaponFeatsModsList,0),5),0)</f>
        <v>#N/A</v>
      </c>
      <c r="DJ24" s="1140"/>
      <c r="DK24" s="1140"/>
      <c r="DL24" s="112"/>
      <c r="DM24" s="109"/>
      <c r="DN24" s="1140"/>
      <c r="DO24" s="1140"/>
      <c r="DP24" s="1140"/>
      <c r="DQ24" s="1140"/>
      <c r="DR24" s="1140"/>
      <c r="DS24" s="1140"/>
      <c r="DT24" s="1140"/>
      <c r="DU24" s="1140"/>
      <c r="DV24" s="1140"/>
      <c r="DW24" s="1140"/>
      <c r="DX24" s="1140"/>
      <c r="DY24" s="1140"/>
      <c r="DZ24" s="1140"/>
      <c r="EA24" s="1140"/>
      <c r="EB24" s="1140"/>
      <c r="EC24" s="1140"/>
      <c r="ED24" s="1140"/>
      <c r="EE24" s="1140"/>
      <c r="EF24" s="1140"/>
      <c r="EG24" s="1140"/>
      <c r="EH24" s="1140"/>
      <c r="EI24" s="1140"/>
      <c r="EJ24" s="1140"/>
      <c r="EK24" s="1140"/>
      <c r="EL24" s="1140"/>
      <c r="EM24" s="1140"/>
      <c r="EN24" s="1140"/>
      <c r="EO24" s="1140"/>
      <c r="EP24" s="1140"/>
      <c r="EQ24" s="1140"/>
      <c r="ER24" s="1140"/>
      <c r="ES24" s="1140"/>
      <c r="ET24" s="1140"/>
      <c r="EU24" s="1140"/>
      <c r="EV24" s="1140"/>
      <c r="EW24" s="1140"/>
      <c r="EX24" s="1140"/>
      <c r="EY24" s="1140"/>
      <c r="EZ24" s="1140"/>
      <c r="FA24" s="1140"/>
      <c r="FB24" s="1140"/>
      <c r="FC24" s="1140"/>
      <c r="FD24" s="1140"/>
      <c r="FE24" s="1140"/>
      <c r="FF24" s="1140"/>
      <c r="FG24" s="1140"/>
      <c r="FH24" s="1140"/>
      <c r="FI24" s="1140"/>
      <c r="FJ24" s="1140"/>
      <c r="FK24" s="1140"/>
      <c r="FL24" s="1140"/>
      <c r="FM24" s="1020" t="str">
        <f>IF(AND(AR24&lt;&gt;"",BQ24&lt;&gt;""),AR7&amp;" "&amp;LOWER(K9)&amp;" "&amp;IF(BQ24&lt;0,"","+")&amp;BQ24&amp;" ("&amp;CP24&amp;IF(Weapons!E$82&lt;&gt;"20","/"&amp;Weapons!E$82,"")&amp;IF(Weapons!E$83&lt;&gt;2,"/×"&amp;Weapons!E$83,"")&amp;") with "&amp;AR24,"")</f>
        <v/>
      </c>
      <c r="FN24" s="1019" t="str">
        <f t="shared" si="0"/>
        <v/>
      </c>
      <c r="FO24" s="1019"/>
      <c r="FS24" s="1018"/>
    </row>
    <row r="25" spans="3:175" s="1017" customFormat="1" ht="9" customHeight="1">
      <c r="C25" s="1140"/>
      <c r="D25" s="112"/>
      <c r="E25" s="2183"/>
      <c r="F25" s="2184"/>
      <c r="G25" s="2184"/>
      <c r="H25" s="102"/>
      <c r="I25" s="1138"/>
      <c r="J25" s="1138"/>
      <c r="K25" s="1138"/>
      <c r="L25" s="1138"/>
      <c r="M25" s="1138"/>
      <c r="N25" s="1138"/>
      <c r="O25" s="1875"/>
      <c r="P25" s="1875"/>
      <c r="Q25" s="1875"/>
      <c r="R25" s="1875"/>
      <c r="S25" s="1875"/>
      <c r="T25" s="1875"/>
      <c r="U25" s="1875"/>
      <c r="V25" s="1875"/>
      <c r="W25" s="1875"/>
      <c r="X25" s="1875"/>
      <c r="Y25" s="1875"/>
      <c r="Z25" s="1875"/>
      <c r="AA25" s="1875"/>
      <c r="AB25" s="1875"/>
      <c r="AC25" s="1875"/>
      <c r="AD25" s="1875"/>
      <c r="AE25" s="1875"/>
      <c r="AF25" s="1875"/>
      <c r="AG25" s="1875"/>
      <c r="AH25" s="1863"/>
      <c r="AI25" s="1863"/>
      <c r="AJ25" s="1863"/>
      <c r="AK25" s="1863"/>
      <c r="AL25" s="1863"/>
      <c r="AM25" s="1863"/>
      <c r="AN25" s="100"/>
      <c r="AO25" s="1140"/>
      <c r="AP25" s="1140"/>
      <c r="AQ25" s="647"/>
      <c r="AR25" s="2191"/>
      <c r="AS25" s="2191"/>
      <c r="AT25" s="2191"/>
      <c r="AU25" s="2191"/>
      <c r="AV25" s="2191"/>
      <c r="AW25" s="2191"/>
      <c r="AX25" s="2191"/>
      <c r="AY25" s="2191"/>
      <c r="AZ25" s="2191"/>
      <c r="BA25" s="2191"/>
      <c r="BB25" s="2191"/>
      <c r="BC25" s="2191"/>
      <c r="BD25" s="2191"/>
      <c r="BE25" s="2191"/>
      <c r="BF25" s="2191"/>
      <c r="BG25" s="2191"/>
      <c r="BH25" s="2191"/>
      <c r="BI25" s="2191"/>
      <c r="BJ25" s="2191"/>
      <c r="BK25" s="2191"/>
      <c r="BL25" s="2191"/>
      <c r="BM25" s="100"/>
      <c r="BN25" s="1140"/>
      <c r="BO25" s="1140"/>
      <c r="BP25" s="647"/>
      <c r="BQ25" s="2185"/>
      <c r="BR25" s="2185"/>
      <c r="BS25" s="2185"/>
      <c r="BT25" s="2185"/>
      <c r="BU25" s="2200"/>
      <c r="BV25" s="2185"/>
      <c r="BW25" s="2185"/>
      <c r="BX25" s="2201"/>
      <c r="BY25" s="2185"/>
      <c r="BZ25" s="2185"/>
      <c r="CA25" s="2185"/>
      <c r="CB25" s="2185"/>
      <c r="CC25" s="100"/>
      <c r="CD25" s="1140"/>
      <c r="CE25" s="1141"/>
      <c r="CF25" s="102"/>
      <c r="CG25" s="2209"/>
      <c r="CH25" s="2209"/>
      <c r="CI25" s="2209"/>
      <c r="CJ25" s="2209"/>
      <c r="CK25" s="2209"/>
      <c r="CL25" s="2209"/>
      <c r="CM25" s="2209"/>
      <c r="CN25" s="2209"/>
      <c r="CO25" s="2209"/>
      <c r="CP25" s="2207"/>
      <c r="CQ25" s="2207"/>
      <c r="CR25" s="2207"/>
      <c r="CS25" s="2207"/>
      <c r="CT25" s="2207"/>
      <c r="CU25" s="2207"/>
      <c r="CV25" s="2207"/>
      <c r="CW25" s="2207"/>
      <c r="CX25" s="2207"/>
      <c r="CY25" s="2207"/>
      <c r="CZ25" s="2207"/>
      <c r="DA25" s="2207"/>
      <c r="DB25" s="2207"/>
      <c r="DC25" s="2207"/>
      <c r="DD25" s="2207"/>
      <c r="DE25" s="2207"/>
      <c r="DF25" s="2207"/>
      <c r="DG25" s="2207"/>
      <c r="DH25" s="656"/>
      <c r="DI25" s="941"/>
      <c r="DJ25" s="1140"/>
      <c r="DK25" s="1140"/>
      <c r="DL25" s="112"/>
      <c r="DM25" s="109"/>
      <c r="DN25" s="1140"/>
      <c r="DO25" s="1140"/>
      <c r="DP25" s="1140"/>
      <c r="DQ25" s="1140"/>
      <c r="DR25" s="1140"/>
      <c r="DS25" s="1140"/>
      <c r="DT25" s="1140"/>
      <c r="DU25" s="1140"/>
      <c r="DV25" s="1140"/>
      <c r="DW25" s="1140"/>
      <c r="DX25" s="1140"/>
      <c r="DY25" s="1140"/>
      <c r="DZ25" s="1140"/>
      <c r="EA25" s="1140"/>
      <c r="EB25" s="1140"/>
      <c r="EC25" s="1140"/>
      <c r="ED25" s="1140"/>
      <c r="EE25" s="1140"/>
      <c r="EF25" s="1140"/>
      <c r="EG25" s="1140"/>
      <c r="EH25" s="1140"/>
      <c r="EI25" s="1140"/>
      <c r="EJ25" s="1140"/>
      <c r="EK25" s="1140"/>
      <c r="EL25" s="1140"/>
      <c r="EM25" s="1140"/>
      <c r="EN25" s="1140"/>
      <c r="EO25" s="1140"/>
      <c r="EP25" s="1140"/>
      <c r="EQ25" s="1140"/>
      <c r="ER25" s="1140"/>
      <c r="ES25" s="1140"/>
      <c r="ET25" s="1140"/>
      <c r="EU25" s="1140"/>
      <c r="EV25" s="1140"/>
      <c r="EW25" s="1140"/>
      <c r="EX25" s="1140"/>
      <c r="EY25" s="1140"/>
      <c r="EZ25" s="1140"/>
      <c r="FA25" s="1140"/>
      <c r="FB25" s="1140"/>
      <c r="FC25" s="1140"/>
      <c r="FD25" s="1140"/>
      <c r="FE25" s="1140"/>
      <c r="FF25" s="1140"/>
      <c r="FG25" s="1140"/>
      <c r="FH25" s="1140"/>
      <c r="FI25" s="1140"/>
      <c r="FJ25" s="1140"/>
      <c r="FK25" s="1140"/>
      <c r="FL25" s="1140"/>
      <c r="FM25" s="1020" t="str">
        <f>IF(AND(AR24&lt;&gt;"",BU24&lt;&gt;""),IF(BU12&lt;&gt;"",AR7&amp;" "&amp;LOWER(K9)&amp;" "&amp;IF($BU24&lt;0,BU24&amp;"/"&amp;BU24,"+"&amp;BU24&amp;"/+"&amp;BU24)&amp;" ("&amp;$CP24&amp;IF(Weapons!E$82&lt;&gt;"20","/"&amp;Weapons!E$82,"")&amp;IF(Weapons!E$83&lt;&gt;2,"/×"&amp;Weapons!E$83,"")&amp;") with Double Attack and "&amp;AR24,""),"")</f>
        <v/>
      </c>
      <c r="FN25" s="1019" t="str">
        <f t="shared" si="0"/>
        <v/>
      </c>
      <c r="FO25" s="1019"/>
      <c r="FS25" s="1018"/>
    </row>
    <row r="26" spans="3:175" s="1017" customFormat="1" ht="9" customHeight="1" thickBot="1">
      <c r="C26" s="1140"/>
      <c r="D26" s="112"/>
      <c r="E26" s="2183"/>
      <c r="F26" s="2184"/>
      <c r="G26" s="2184"/>
      <c r="H26" s="91"/>
      <c r="I26" s="1139"/>
      <c r="J26" s="1139"/>
      <c r="K26" s="1139"/>
      <c r="L26" s="1139"/>
      <c r="M26" s="1139"/>
      <c r="N26" s="1139"/>
      <c r="O26" s="1876"/>
      <c r="P26" s="1876"/>
      <c r="Q26" s="1876"/>
      <c r="R26" s="1876"/>
      <c r="S26" s="1876"/>
      <c r="T26" s="1876"/>
      <c r="U26" s="1876"/>
      <c r="V26" s="1876"/>
      <c r="W26" s="1876"/>
      <c r="X26" s="1876"/>
      <c r="Y26" s="1876"/>
      <c r="Z26" s="1876"/>
      <c r="AA26" s="1876"/>
      <c r="AB26" s="1876"/>
      <c r="AC26" s="1876"/>
      <c r="AD26" s="1876"/>
      <c r="AE26" s="1876"/>
      <c r="AF26" s="1876"/>
      <c r="AG26" s="1876"/>
      <c r="AH26" s="1864"/>
      <c r="AI26" s="1864"/>
      <c r="AJ26" s="1864"/>
      <c r="AK26" s="1864"/>
      <c r="AL26" s="1864"/>
      <c r="AM26" s="1864"/>
      <c r="AN26" s="93"/>
      <c r="AO26" s="1140"/>
      <c r="AP26" s="1140"/>
      <c r="AQ26" s="649"/>
      <c r="AR26" s="2204"/>
      <c r="AS26" s="2204"/>
      <c r="AT26" s="2204"/>
      <c r="AU26" s="2204"/>
      <c r="AV26" s="2204"/>
      <c r="AW26" s="2204"/>
      <c r="AX26" s="2204"/>
      <c r="AY26" s="2204"/>
      <c r="AZ26" s="2204"/>
      <c r="BA26" s="2204"/>
      <c r="BB26" s="2204"/>
      <c r="BC26" s="2204"/>
      <c r="BD26" s="2204"/>
      <c r="BE26" s="2204"/>
      <c r="BF26" s="2204"/>
      <c r="BG26" s="2204"/>
      <c r="BH26" s="2204"/>
      <c r="BI26" s="2204"/>
      <c r="BJ26" s="2204"/>
      <c r="BK26" s="2204"/>
      <c r="BL26" s="2204"/>
      <c r="BM26" s="93"/>
      <c r="BN26" s="1140"/>
      <c r="BO26" s="1140"/>
      <c r="BP26" s="649"/>
      <c r="BQ26" s="2186"/>
      <c r="BR26" s="2186"/>
      <c r="BS26" s="2186"/>
      <c r="BT26" s="2186"/>
      <c r="BU26" s="2202"/>
      <c r="BV26" s="2186"/>
      <c r="BW26" s="2186"/>
      <c r="BX26" s="2203"/>
      <c r="BY26" s="2186"/>
      <c r="BZ26" s="2186"/>
      <c r="CA26" s="2186"/>
      <c r="CB26" s="2186"/>
      <c r="CC26" s="93"/>
      <c r="CD26" s="1140"/>
      <c r="CE26" s="1140"/>
      <c r="CF26" s="91"/>
      <c r="CG26" s="713"/>
      <c r="CH26" s="713"/>
      <c r="CI26" s="713"/>
      <c r="CJ26" s="713"/>
      <c r="CK26" s="713"/>
      <c r="CL26" s="713"/>
      <c r="CM26" s="713"/>
      <c r="CN26" s="713"/>
      <c r="CO26" s="713"/>
      <c r="CP26" s="2218"/>
      <c r="CQ26" s="2218"/>
      <c r="CR26" s="2218"/>
      <c r="CS26" s="2218"/>
      <c r="CT26" s="2218"/>
      <c r="CU26" s="2218"/>
      <c r="CV26" s="2218"/>
      <c r="CW26" s="2218"/>
      <c r="CX26" s="2218"/>
      <c r="CY26" s="2218"/>
      <c r="CZ26" s="2218"/>
      <c r="DA26" s="2218"/>
      <c r="DB26" s="2218"/>
      <c r="DC26" s="2218"/>
      <c r="DD26" s="2218"/>
      <c r="DE26" s="2218"/>
      <c r="DF26" s="2218"/>
      <c r="DG26" s="2218"/>
      <c r="DH26" s="93"/>
      <c r="DI26" s="941"/>
      <c r="DJ26" s="1140"/>
      <c r="DK26" s="1140"/>
      <c r="DL26" s="112"/>
      <c r="DM26" s="118"/>
      <c r="DN26" s="1140"/>
      <c r="DO26" s="1140"/>
      <c r="DP26" s="1140"/>
      <c r="DQ26" s="1140"/>
      <c r="DR26" s="1140"/>
      <c r="DS26" s="1140"/>
      <c r="DT26" s="1140"/>
      <c r="DU26" s="1140"/>
      <c r="DV26" s="1140"/>
      <c r="DW26" s="1140"/>
      <c r="DX26" s="1140"/>
      <c r="DY26" s="1140"/>
      <c r="DZ26" s="1140"/>
      <c r="EA26" s="1140"/>
      <c r="EB26" s="1140"/>
      <c r="EC26" s="1140"/>
      <c r="ED26" s="1140"/>
      <c r="EE26" s="1140"/>
      <c r="EF26" s="1140"/>
      <c r="EG26" s="1140"/>
      <c r="EH26" s="1140"/>
      <c r="EI26" s="1140"/>
      <c r="EJ26" s="1140"/>
      <c r="EK26" s="1140"/>
      <c r="EL26" s="1140"/>
      <c r="EM26" s="1140"/>
      <c r="EN26" s="1140"/>
      <c r="EO26" s="1140"/>
      <c r="EP26" s="1140"/>
      <c r="EQ26" s="1140"/>
      <c r="ER26" s="1140"/>
      <c r="ES26" s="1140"/>
      <c r="ET26" s="1140"/>
      <c r="EU26" s="1140"/>
      <c r="EV26" s="1140"/>
      <c r="EW26" s="1140"/>
      <c r="EX26" s="1140"/>
      <c r="EY26" s="1140"/>
      <c r="EZ26" s="1140"/>
      <c r="FA26" s="1140"/>
      <c r="FB26" s="1140"/>
      <c r="FC26" s="1140"/>
      <c r="FD26" s="1140"/>
      <c r="FE26" s="1140"/>
      <c r="FF26" s="1140"/>
      <c r="FG26" s="1140"/>
      <c r="FH26" s="1140"/>
      <c r="FI26" s="1140"/>
      <c r="FJ26" s="1140"/>
      <c r="FK26" s="1140"/>
      <c r="FL26" s="1140"/>
      <c r="FM26" s="1020" t="str">
        <f>IF(AND(AR24&lt;&gt;"",BY24&lt;&gt;""),IF(BY12&lt;&gt;"",AR7&amp;" "&amp;LOWER(K9)&amp;" "&amp;IF($BY24&lt;0,$BY24&amp;"/"&amp;$BY24&amp;"/"&amp;$BY24,"+"&amp;$BY24&amp;"/+"&amp;$BY24&amp;"/+"&amp;$BY24)&amp;" ("&amp;$CP24&amp;IF(Weapons!E$82&lt;&gt;"20","/"&amp;Weapons!E$82,"")&amp;IF(Weapons!E$83&lt;&gt;2,"/×"&amp;Weapons!E$83,"")&amp;") with Triple Attack and "&amp;AR24,""),"")</f>
        <v/>
      </c>
      <c r="FN26" s="1019" t="str">
        <f t="shared" si="0"/>
        <v/>
      </c>
      <c r="FO26" s="1019"/>
      <c r="FS26" s="1018"/>
    </row>
    <row r="27" spans="3:175" s="1017" customFormat="1" ht="9" customHeight="1" thickTop="1" thickBot="1">
      <c r="C27" s="1140"/>
      <c r="D27" s="112"/>
      <c r="E27" s="2183"/>
      <c r="F27" s="2184"/>
      <c r="G27" s="2184"/>
      <c r="H27" s="1140"/>
      <c r="I27" s="1140"/>
      <c r="J27" s="1140"/>
      <c r="K27" s="1140"/>
      <c r="L27" s="1140"/>
      <c r="M27" s="1140"/>
      <c r="N27" s="1140"/>
      <c r="O27" s="1140"/>
      <c r="P27" s="1140"/>
      <c r="Q27" s="1140"/>
      <c r="R27" s="1140"/>
      <c r="S27" s="1140"/>
      <c r="T27" s="1140"/>
      <c r="U27" s="1140"/>
      <c r="V27" s="1140"/>
      <c r="W27" s="1140"/>
      <c r="X27" s="1140"/>
      <c r="Y27" s="1140"/>
      <c r="Z27" s="1140"/>
      <c r="AA27" s="1140"/>
      <c r="AB27" s="1140"/>
      <c r="AC27" s="1140"/>
      <c r="AD27" s="1140"/>
      <c r="AE27" s="1140"/>
      <c r="AF27" s="1140"/>
      <c r="AG27" s="1140"/>
      <c r="AH27" s="1140"/>
      <c r="AI27" s="1140"/>
      <c r="AJ27" s="1140"/>
      <c r="AK27" s="442"/>
      <c r="AL27" s="442"/>
      <c r="AM27" s="442"/>
      <c r="AN27" s="442"/>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c r="CL27" s="1140"/>
      <c r="CM27" s="1140"/>
      <c r="CN27" s="1140"/>
      <c r="CO27" s="1140"/>
      <c r="CP27" s="1140"/>
      <c r="CQ27" s="1140"/>
      <c r="CR27" s="1140"/>
      <c r="CS27" s="1140"/>
      <c r="CT27" s="1140"/>
      <c r="CU27" s="1140"/>
      <c r="CV27" s="1140"/>
      <c r="CW27" s="1140"/>
      <c r="CX27" s="1140"/>
      <c r="CY27" s="1140"/>
      <c r="CZ27" s="1140"/>
      <c r="DA27" s="1140"/>
      <c r="DB27" s="1140"/>
      <c r="DC27" s="1140"/>
      <c r="DD27" s="1140"/>
      <c r="DE27" s="1140"/>
      <c r="DF27" s="1140"/>
      <c r="DG27" s="1140"/>
      <c r="DH27" s="1140"/>
      <c r="DI27" s="941"/>
      <c r="DJ27" s="1140"/>
      <c r="DK27" s="1140"/>
      <c r="DL27" s="112"/>
      <c r="DM27" s="118"/>
      <c r="DN27" s="1140"/>
      <c r="DO27" s="1140"/>
      <c r="DP27" s="1140"/>
      <c r="DQ27" s="1140"/>
      <c r="DR27" s="1140"/>
      <c r="DS27" s="1140"/>
      <c r="DT27" s="1140"/>
      <c r="DU27" s="1140"/>
      <c r="DV27" s="1140"/>
      <c r="DW27" s="1140"/>
      <c r="DX27" s="1140"/>
      <c r="DY27" s="1140"/>
      <c r="DZ27" s="1140"/>
      <c r="EA27" s="1140"/>
      <c r="EB27" s="1140"/>
      <c r="EC27" s="1140"/>
      <c r="ED27" s="1140"/>
      <c r="EE27" s="1140"/>
      <c r="EF27" s="1140"/>
      <c r="EG27" s="1140"/>
      <c r="EH27" s="1140"/>
      <c r="EI27" s="1140"/>
      <c r="EJ27" s="1140"/>
      <c r="EK27" s="1140"/>
      <c r="EL27" s="1140"/>
      <c r="EM27" s="1140"/>
      <c r="EN27" s="1140"/>
      <c r="EO27" s="1140"/>
      <c r="EP27" s="1140"/>
      <c r="EQ27" s="1140"/>
      <c r="ER27" s="1140"/>
      <c r="ES27" s="1140"/>
      <c r="ET27" s="1140"/>
      <c r="EU27" s="1140"/>
      <c r="EV27" s="1140"/>
      <c r="EW27" s="1140"/>
      <c r="EX27" s="1140"/>
      <c r="EY27" s="1140"/>
      <c r="EZ27" s="1140"/>
      <c r="FA27" s="1140"/>
      <c r="FB27" s="1140"/>
      <c r="FC27" s="1140"/>
      <c r="FD27" s="1140"/>
      <c r="FE27" s="1140"/>
      <c r="FF27" s="1140"/>
      <c r="FG27" s="1140"/>
      <c r="FH27" s="1140"/>
      <c r="FI27" s="1140"/>
      <c r="FJ27" s="1140"/>
      <c r="FK27" s="1140"/>
      <c r="FL27" s="1140"/>
      <c r="FM27" s="1019" t="str">
        <f>IF(Weapons!E$16="Dual Wield",IF(Weapons!O$16="Dual Wield",IF(AND(FM9&lt;&gt;"",#REF!&lt;&gt;""),FM9&amp;" and "&amp;RIGHT(#REF!,IF(Weapons!E$12="Melee",LEN(#REF!)-6,LEN(#REF!)-7)),""),""),"")</f>
        <v/>
      </c>
      <c r="FN27" s="1019" t="str">
        <f t="shared" si="0"/>
        <v/>
      </c>
      <c r="FO27" s="1019"/>
      <c r="FS27" s="1018"/>
    </row>
    <row r="28" spans="3:175" s="1017" customFormat="1" ht="9" customHeight="1" thickTop="1">
      <c r="C28" s="1140"/>
      <c r="D28" s="87"/>
      <c r="E28" s="256"/>
      <c r="F28" s="118"/>
      <c r="G28" s="1140"/>
      <c r="H28" s="1140"/>
      <c r="I28" s="1140"/>
      <c r="J28" s="93"/>
      <c r="K28" s="2182" t="s">
        <v>3614</v>
      </c>
      <c r="L28" s="2182"/>
      <c r="M28" s="2182"/>
      <c r="N28" s="2182"/>
      <c r="O28" s="2182"/>
      <c r="P28" s="2182"/>
      <c r="Q28" s="295"/>
      <c r="R28" s="296"/>
      <c r="S28" s="296"/>
      <c r="T28" s="296"/>
      <c r="U28" s="296"/>
      <c r="V28" s="296"/>
      <c r="W28" s="296"/>
      <c r="X28" s="296"/>
      <c r="Y28" s="296"/>
      <c r="Z28" s="296"/>
      <c r="AA28" s="296"/>
      <c r="AB28" s="296"/>
      <c r="AC28" s="296"/>
      <c r="AD28" s="296"/>
      <c r="AE28" s="296"/>
      <c r="AF28" s="296"/>
      <c r="AG28" s="296"/>
      <c r="AH28" s="296"/>
      <c r="AI28" s="296"/>
      <c r="AJ28" s="296"/>
      <c r="AK28" s="296"/>
      <c r="AL28" s="296"/>
      <c r="AM28" s="296"/>
      <c r="AN28" s="296"/>
      <c r="AO28" s="296"/>
      <c r="AP28" s="296"/>
      <c r="AQ28" s="296"/>
      <c r="AR28" s="296"/>
      <c r="AS28" s="296"/>
      <c r="AT28" s="296"/>
      <c r="AU28" s="296"/>
      <c r="AV28" s="296"/>
      <c r="AW28" s="296"/>
      <c r="AX28" s="296"/>
      <c r="AY28" s="296"/>
      <c r="AZ28" s="296"/>
      <c r="BA28" s="296"/>
      <c r="BB28" s="296"/>
      <c r="BC28" s="296"/>
      <c r="BD28" s="296"/>
      <c r="BE28" s="296"/>
      <c r="BF28" s="296"/>
      <c r="BG28" s="296"/>
      <c r="BH28" s="296"/>
      <c r="BI28" s="296"/>
      <c r="BJ28" s="296"/>
      <c r="BK28" s="296"/>
      <c r="BL28" s="296"/>
      <c r="BM28" s="296"/>
      <c r="BN28" s="296"/>
      <c r="BO28" s="296"/>
      <c r="BP28" s="296"/>
      <c r="BQ28" s="296"/>
      <c r="BR28" s="296"/>
      <c r="BS28" s="296"/>
      <c r="BT28" s="296"/>
      <c r="BU28" s="296"/>
      <c r="BV28" s="296"/>
      <c r="BW28" s="296"/>
      <c r="BX28" s="296"/>
      <c r="BY28" s="296"/>
      <c r="BZ28" s="296"/>
      <c r="CA28" s="296"/>
      <c r="CB28" s="296"/>
      <c r="CC28" s="296"/>
      <c r="CD28" s="296"/>
      <c r="CE28" s="296"/>
      <c r="CF28" s="296"/>
      <c r="CG28" s="296"/>
      <c r="CH28" s="296"/>
      <c r="CI28" s="296"/>
      <c r="CJ28" s="296"/>
      <c r="CK28" s="296"/>
      <c r="CL28" s="296"/>
      <c r="CM28" s="296"/>
      <c r="CN28" s="296"/>
      <c r="CO28" s="296"/>
      <c r="CP28" s="296"/>
      <c r="CQ28" s="296"/>
      <c r="CR28" s="296"/>
      <c r="CS28" s="296"/>
      <c r="CT28" s="296"/>
      <c r="CU28" s="296"/>
      <c r="CV28" s="296"/>
      <c r="CW28" s="296"/>
      <c r="CX28" s="296"/>
      <c r="CY28" s="296"/>
      <c r="CZ28" s="296"/>
      <c r="DA28" s="296"/>
      <c r="DB28" s="296"/>
      <c r="DC28" s="296"/>
      <c r="DD28" s="296"/>
      <c r="DE28" s="296"/>
      <c r="DF28" s="296"/>
      <c r="DG28" s="296"/>
      <c r="DH28" s="297"/>
      <c r="DI28" s="941"/>
      <c r="DJ28" s="1140"/>
      <c r="DK28" s="87"/>
      <c r="DL28" s="292"/>
      <c r="DM28" s="118"/>
      <c r="DN28" s="1140"/>
      <c r="DO28" s="1140"/>
      <c r="DP28" s="1140"/>
      <c r="DQ28" s="1140"/>
      <c r="DR28" s="1140"/>
      <c r="DS28" s="1140"/>
      <c r="DT28" s="1140"/>
      <c r="DU28" s="1140"/>
      <c r="DV28" s="1140"/>
      <c r="DW28" s="1140"/>
      <c r="DX28" s="1140"/>
      <c r="DY28" s="1140"/>
      <c r="DZ28" s="1140"/>
      <c r="EA28" s="1140"/>
      <c r="EB28" s="1140"/>
      <c r="EC28" s="1140"/>
      <c r="ED28" s="1140"/>
      <c r="EE28" s="1140"/>
      <c r="EF28" s="1140"/>
      <c r="EG28" s="1140"/>
      <c r="EH28" s="1140"/>
      <c r="EI28" s="1140"/>
      <c r="EJ28" s="1140"/>
      <c r="EK28" s="1140"/>
      <c r="EL28" s="1140"/>
      <c r="EM28" s="1140"/>
      <c r="EN28" s="1140"/>
      <c r="EO28" s="1140"/>
      <c r="EP28" s="1140"/>
      <c r="EQ28" s="1140"/>
      <c r="ER28" s="1140"/>
      <c r="ES28" s="1140"/>
      <c r="ET28" s="1140"/>
      <c r="EU28" s="1140"/>
      <c r="EV28" s="1140"/>
      <c r="EW28" s="1140"/>
      <c r="EX28" s="1140"/>
      <c r="EY28" s="1140"/>
      <c r="EZ28" s="1140"/>
      <c r="FA28" s="1140"/>
      <c r="FB28" s="1140"/>
      <c r="FC28" s="1140"/>
      <c r="FD28" s="1140"/>
      <c r="FE28" s="1140"/>
      <c r="FF28" s="1140"/>
      <c r="FG28" s="1140"/>
      <c r="FH28" s="1140"/>
      <c r="FI28" s="1140"/>
      <c r="FJ28" s="1140"/>
      <c r="FK28" s="1140"/>
      <c r="FL28" s="1140"/>
      <c r="FM28" s="1019" t="str">
        <f>IF(Weapons!E$16="Dual Wield",IF(Weapons!O$16="Dual Wield",IF(AND(FM10&lt;&gt;"",#REF!&lt;&gt;""),FM10&amp;" and "&amp;RIGHT(#REF!,IF(Weapons!E$12="Melee",LEN(#REF!)-6,LEN(#REF!)-7)),""),""),"")</f>
        <v/>
      </c>
      <c r="FN28" s="1019" t="str">
        <f t="shared" si="0"/>
        <v/>
      </c>
      <c r="FO28" s="1019"/>
      <c r="FS28" s="1018"/>
    </row>
    <row r="29" spans="3:175" s="1017" customFormat="1" ht="9" customHeight="1" thickBot="1">
      <c r="C29" s="1140"/>
      <c r="D29" s="87"/>
      <c r="E29" s="118"/>
      <c r="F29" s="256"/>
      <c r="G29" s="111"/>
      <c r="H29" s="122"/>
      <c r="I29" s="290"/>
      <c r="J29" s="102"/>
      <c r="K29" s="2180"/>
      <c r="L29" s="2180"/>
      <c r="M29" s="2180"/>
      <c r="N29" s="2180"/>
      <c r="O29" s="2180"/>
      <c r="P29" s="2180"/>
      <c r="Q29" s="1141"/>
      <c r="R29" s="1922" t="e">
        <f ca="1">IF(H8&lt;&gt;"",INDIRECT(ADDRESS(28,H8,1,TRUE,"Weapons")),"")</f>
        <v>#N/A</v>
      </c>
      <c r="S29" s="1922"/>
      <c r="T29" s="1922"/>
      <c r="U29" s="1922"/>
      <c r="V29" s="1922"/>
      <c r="W29" s="1922"/>
      <c r="X29" s="1922"/>
      <c r="Y29" s="1922"/>
      <c r="Z29" s="1922"/>
      <c r="AA29" s="1922"/>
      <c r="AB29" s="1922"/>
      <c r="AC29" s="1922"/>
      <c r="AD29" s="1922"/>
      <c r="AE29" s="1922"/>
      <c r="AF29" s="1922"/>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922"/>
      <c r="BG29" s="1922"/>
      <c r="BH29" s="1922"/>
      <c r="BI29" s="1922"/>
      <c r="BJ29" s="1922"/>
      <c r="BK29" s="1922"/>
      <c r="BL29" s="1922"/>
      <c r="BM29" s="1922"/>
      <c r="BN29" s="1922"/>
      <c r="BO29" s="1922"/>
      <c r="BP29" s="1922"/>
      <c r="BQ29" s="1922"/>
      <c r="BR29" s="1922"/>
      <c r="BS29" s="1922"/>
      <c r="BT29" s="1922"/>
      <c r="BU29" s="1922"/>
      <c r="BV29" s="1922"/>
      <c r="BW29" s="1922"/>
      <c r="BX29" s="1922"/>
      <c r="BY29" s="1922"/>
      <c r="BZ29" s="1922"/>
      <c r="CA29" s="1922"/>
      <c r="CB29" s="1922"/>
      <c r="CC29" s="1922"/>
      <c r="CD29" s="1922"/>
      <c r="CE29" s="1922"/>
      <c r="CF29" s="1922"/>
      <c r="CG29" s="1922"/>
      <c r="CH29" s="1922"/>
      <c r="CI29" s="1922"/>
      <c r="CJ29" s="1922"/>
      <c r="CK29" s="1922"/>
      <c r="CL29" s="1922"/>
      <c r="CM29" s="1922"/>
      <c r="CN29" s="1922"/>
      <c r="CO29" s="1922"/>
      <c r="CP29" s="1922"/>
      <c r="CQ29" s="1922"/>
      <c r="CR29" s="1922"/>
      <c r="CS29" s="1922"/>
      <c r="CT29" s="1922"/>
      <c r="CU29" s="1922"/>
      <c r="CV29" s="1922"/>
      <c r="CW29" s="1922"/>
      <c r="CX29" s="1922"/>
      <c r="CY29" s="1922"/>
      <c r="CZ29" s="1922"/>
      <c r="DA29" s="1922"/>
      <c r="DB29" s="1922"/>
      <c r="DC29" s="1922"/>
      <c r="DD29" s="1922"/>
      <c r="DE29" s="1922"/>
      <c r="DF29" s="1922"/>
      <c r="DG29" s="1922"/>
      <c r="DH29" s="300"/>
      <c r="DI29" s="971"/>
      <c r="DJ29" s="122"/>
      <c r="DK29" s="144"/>
      <c r="DL29" s="111"/>
      <c r="DM29" s="1140"/>
      <c r="DN29" s="1140"/>
      <c r="DO29" s="1140"/>
      <c r="DP29" s="1140"/>
      <c r="DQ29" s="1140"/>
      <c r="DR29" s="1140"/>
      <c r="DS29" s="1140"/>
      <c r="DT29" s="1140"/>
      <c r="DU29" s="1140"/>
      <c r="DV29" s="1140"/>
      <c r="DW29" s="1140"/>
      <c r="DX29" s="1140"/>
      <c r="DY29" s="1140"/>
      <c r="DZ29" s="1140"/>
      <c r="EA29" s="1140"/>
      <c r="EB29" s="1140"/>
      <c r="EC29" s="1140"/>
      <c r="ED29" s="1140"/>
      <c r="EE29" s="1140"/>
      <c r="EF29" s="1140"/>
      <c r="EG29" s="1140"/>
      <c r="EH29" s="1140"/>
      <c r="EI29" s="1140"/>
      <c r="EJ29" s="1140"/>
      <c r="EK29" s="1140"/>
      <c r="EL29" s="1140"/>
      <c r="EM29" s="1140"/>
      <c r="EN29" s="1140"/>
      <c r="EO29" s="1140"/>
      <c r="EP29" s="1140"/>
      <c r="EQ29" s="1140"/>
      <c r="ER29" s="1140"/>
      <c r="ES29" s="1140"/>
      <c r="ET29" s="1140"/>
      <c r="EU29" s="1140"/>
      <c r="EV29" s="1140"/>
      <c r="EW29" s="1140"/>
      <c r="EX29" s="1140"/>
      <c r="EY29" s="1140"/>
      <c r="EZ29" s="1140"/>
      <c r="FA29" s="1140"/>
      <c r="FB29" s="1140"/>
      <c r="FC29" s="1140"/>
      <c r="FD29" s="1140"/>
      <c r="FE29" s="1140"/>
      <c r="FF29" s="1140"/>
      <c r="FG29" s="1140"/>
      <c r="FH29" s="1140"/>
      <c r="FI29" s="1140"/>
      <c r="FJ29" s="1140"/>
      <c r="FK29" s="1140"/>
      <c r="FL29" s="1140"/>
      <c r="FM29" s="1019" t="str">
        <f>IF(Weapons!E$16="Dual Wield",IF(Weapons!O$16="Dual Wield",IF(AND(FM11&lt;&gt;"",#REF!&lt;&gt;""),FM11&amp;" and "&amp;RIGHT(#REF!,IF(Weapons!E$12="Melee",LEN(#REF!)-6,LEN(#REF!)-7)),""),""),"")</f>
        <v/>
      </c>
      <c r="FN29" s="1019" t="str">
        <f t="shared" si="0"/>
        <v/>
      </c>
      <c r="FO29" s="1019"/>
      <c r="FS29" s="1018"/>
    </row>
    <row r="30" spans="3:175" s="1017" customFormat="1" ht="9" customHeight="1" thickTop="1">
      <c r="C30" s="1140"/>
      <c r="D30" s="87"/>
      <c r="E30" s="118"/>
      <c r="F30" s="118"/>
      <c r="G30" s="293"/>
      <c r="H30" s="111"/>
      <c r="I30" s="111"/>
      <c r="J30" s="102"/>
      <c r="K30" s="105"/>
      <c r="L30" s="105"/>
      <c r="M30" s="105"/>
      <c r="N30" s="105"/>
      <c r="O30" s="596"/>
      <c r="P30" s="596"/>
      <c r="Q30" s="596"/>
      <c r="R30" s="1922"/>
      <c r="S30" s="1922"/>
      <c r="T30" s="1922"/>
      <c r="U30" s="1922"/>
      <c r="V30" s="1922"/>
      <c r="W30" s="1922"/>
      <c r="X30" s="1922"/>
      <c r="Y30" s="1922"/>
      <c r="Z30" s="1922"/>
      <c r="AA30" s="1922"/>
      <c r="AB30" s="1922"/>
      <c r="AC30" s="1922"/>
      <c r="AD30" s="1922"/>
      <c r="AE30" s="1922"/>
      <c r="AF30" s="1922"/>
      <c r="AG30" s="1922"/>
      <c r="AH30" s="1922"/>
      <c r="AI30" s="1922"/>
      <c r="AJ30" s="1922"/>
      <c r="AK30" s="1922"/>
      <c r="AL30" s="1922"/>
      <c r="AM30" s="1922"/>
      <c r="AN30" s="1922"/>
      <c r="AO30" s="1922"/>
      <c r="AP30" s="1922"/>
      <c r="AQ30" s="1922"/>
      <c r="AR30" s="1922"/>
      <c r="AS30" s="1922"/>
      <c r="AT30" s="1922"/>
      <c r="AU30" s="1922"/>
      <c r="AV30" s="1922"/>
      <c r="AW30" s="1922"/>
      <c r="AX30" s="1922"/>
      <c r="AY30" s="1922"/>
      <c r="AZ30" s="1922"/>
      <c r="BA30" s="1922"/>
      <c r="BB30" s="1922"/>
      <c r="BC30" s="1922"/>
      <c r="BD30" s="1922"/>
      <c r="BE30" s="1922"/>
      <c r="BF30" s="1922"/>
      <c r="BG30" s="1922"/>
      <c r="BH30" s="1922"/>
      <c r="BI30" s="1922"/>
      <c r="BJ30" s="1922"/>
      <c r="BK30" s="1922"/>
      <c r="BL30" s="1922"/>
      <c r="BM30" s="1922"/>
      <c r="BN30" s="1922"/>
      <c r="BO30" s="1922"/>
      <c r="BP30" s="1922"/>
      <c r="BQ30" s="1922"/>
      <c r="BR30" s="1922"/>
      <c r="BS30" s="1922"/>
      <c r="BT30" s="1922"/>
      <c r="BU30" s="1922"/>
      <c r="BV30" s="1922"/>
      <c r="BW30" s="1922"/>
      <c r="BX30" s="1922"/>
      <c r="BY30" s="1922"/>
      <c r="BZ30" s="1922"/>
      <c r="CA30" s="1922"/>
      <c r="CB30" s="1922"/>
      <c r="CC30" s="1922"/>
      <c r="CD30" s="1922"/>
      <c r="CE30" s="1922"/>
      <c r="CF30" s="1922"/>
      <c r="CG30" s="1922"/>
      <c r="CH30" s="1922"/>
      <c r="CI30" s="1922"/>
      <c r="CJ30" s="1922"/>
      <c r="CK30" s="1922"/>
      <c r="CL30" s="1922"/>
      <c r="CM30" s="1922"/>
      <c r="CN30" s="1922"/>
      <c r="CO30" s="1922"/>
      <c r="CP30" s="1922"/>
      <c r="CQ30" s="1922"/>
      <c r="CR30" s="1922"/>
      <c r="CS30" s="1922"/>
      <c r="CT30" s="1922"/>
      <c r="CU30" s="1922"/>
      <c r="CV30" s="1922"/>
      <c r="CW30" s="1922"/>
      <c r="CX30" s="1922"/>
      <c r="CY30" s="1922"/>
      <c r="CZ30" s="1922"/>
      <c r="DA30" s="1922"/>
      <c r="DB30" s="1922"/>
      <c r="DC30" s="1922"/>
      <c r="DD30" s="1922"/>
      <c r="DE30" s="1922"/>
      <c r="DF30" s="1922"/>
      <c r="DG30" s="1922"/>
      <c r="DH30" s="103"/>
      <c r="DI30" s="970"/>
      <c r="DJ30" s="111"/>
      <c r="DK30" s="1140"/>
      <c r="DL30" s="1140"/>
      <c r="DM30" s="1140"/>
      <c r="DN30" s="1140"/>
      <c r="DO30" s="1140"/>
      <c r="DP30" s="1140"/>
      <c r="DQ30" s="1140"/>
      <c r="DR30" s="1140"/>
      <c r="DS30" s="1140"/>
      <c r="DT30" s="1140"/>
      <c r="DU30" s="1140"/>
      <c r="DV30" s="1140"/>
      <c r="DW30" s="1140"/>
      <c r="DX30" s="1140"/>
      <c r="DY30" s="1140"/>
      <c r="DZ30" s="1140"/>
      <c r="EA30" s="1140"/>
      <c r="EB30" s="1140"/>
      <c r="EC30" s="1140"/>
      <c r="ED30" s="1140"/>
      <c r="EE30" s="1140"/>
      <c r="EF30" s="1140"/>
      <c r="EG30" s="1140"/>
      <c r="EH30" s="1140"/>
      <c r="EI30" s="1140"/>
      <c r="EJ30" s="1140"/>
      <c r="EK30" s="1140"/>
      <c r="EL30" s="1140"/>
      <c r="EM30" s="1140"/>
      <c r="EN30" s="1140"/>
      <c r="EO30" s="1140"/>
      <c r="EP30" s="1140"/>
      <c r="EQ30" s="1140"/>
      <c r="ER30" s="1140"/>
      <c r="ES30" s="1140"/>
      <c r="ET30" s="1140"/>
      <c r="EU30" s="1140"/>
      <c r="EV30" s="1140"/>
      <c r="EW30" s="1140"/>
      <c r="EX30" s="1140"/>
      <c r="EY30" s="1140"/>
      <c r="EZ30" s="1140"/>
      <c r="FA30" s="1140"/>
      <c r="FB30" s="1140"/>
      <c r="FC30" s="1140"/>
      <c r="FD30" s="1140"/>
      <c r="FE30" s="1140"/>
      <c r="FF30" s="1140"/>
      <c r="FG30" s="1140"/>
      <c r="FH30" s="1140"/>
      <c r="FI30" s="1140"/>
      <c r="FJ30" s="1140"/>
      <c r="FK30" s="1140"/>
      <c r="FL30" s="1140"/>
      <c r="FM30" s="1019" t="str">
        <f>IF(Weapons!E$16="Dual Wield",IF(Weapons!O$16="Dual Wield",IF(AND(FM12&lt;&gt;"",#REF!&lt;&gt;""),FM12&amp;" and "&amp;RIGHT(#REF!,IF(Weapons!E$12="Melee",LEN(#REF!)-6,LEN(#REF!)-7)),""),""),"")</f>
        <v/>
      </c>
      <c r="FN30" s="1019" t="str">
        <f t="shared" si="0"/>
        <v/>
      </c>
      <c r="FO30" s="1019"/>
      <c r="FS30" s="1018"/>
    </row>
    <row r="31" spans="3:175" s="1017" customFormat="1" ht="9" customHeight="1" thickBot="1">
      <c r="C31" s="1140"/>
      <c r="D31" s="1140"/>
      <c r="E31" s="1140"/>
      <c r="F31" s="1140"/>
      <c r="G31" s="1140"/>
      <c r="H31" s="1140"/>
      <c r="I31" s="1140"/>
      <c r="J31" s="91"/>
      <c r="K31" s="108"/>
      <c r="L31" s="108"/>
      <c r="M31" s="108"/>
      <c r="N31" s="108"/>
      <c r="O31" s="654"/>
      <c r="P31" s="654"/>
      <c r="Q31" s="654"/>
      <c r="R31" s="1923"/>
      <c r="S31" s="1923"/>
      <c r="T31" s="1923"/>
      <c r="U31" s="1923"/>
      <c r="V31" s="1923"/>
      <c r="W31" s="1923"/>
      <c r="X31" s="1923"/>
      <c r="Y31" s="1923"/>
      <c r="Z31" s="1923"/>
      <c r="AA31" s="1923"/>
      <c r="AB31" s="1923"/>
      <c r="AC31" s="1923"/>
      <c r="AD31" s="1923"/>
      <c r="AE31" s="1923"/>
      <c r="AF31" s="1923"/>
      <c r="AG31" s="1923"/>
      <c r="AH31" s="1923"/>
      <c r="AI31" s="1923"/>
      <c r="AJ31" s="1923"/>
      <c r="AK31" s="1923"/>
      <c r="AL31" s="1923"/>
      <c r="AM31" s="1923"/>
      <c r="AN31" s="1923"/>
      <c r="AO31" s="1923"/>
      <c r="AP31" s="1923"/>
      <c r="AQ31" s="1923"/>
      <c r="AR31" s="1923"/>
      <c r="AS31" s="1923"/>
      <c r="AT31" s="1923"/>
      <c r="AU31" s="1923"/>
      <c r="AV31" s="1923"/>
      <c r="AW31" s="1923"/>
      <c r="AX31" s="1923"/>
      <c r="AY31" s="1923"/>
      <c r="AZ31" s="1923"/>
      <c r="BA31" s="1923"/>
      <c r="BB31" s="1923"/>
      <c r="BC31" s="1923"/>
      <c r="BD31" s="1923"/>
      <c r="BE31" s="1923"/>
      <c r="BF31" s="1923"/>
      <c r="BG31" s="1923"/>
      <c r="BH31" s="1923"/>
      <c r="BI31" s="1923"/>
      <c r="BJ31" s="1923"/>
      <c r="BK31" s="1923"/>
      <c r="BL31" s="1923"/>
      <c r="BM31" s="1923"/>
      <c r="BN31" s="1923"/>
      <c r="BO31" s="1923"/>
      <c r="BP31" s="1923"/>
      <c r="BQ31" s="1923"/>
      <c r="BR31" s="1923"/>
      <c r="BS31" s="1923"/>
      <c r="BT31" s="1923"/>
      <c r="BU31" s="1923"/>
      <c r="BV31" s="1923"/>
      <c r="BW31" s="1923"/>
      <c r="BX31" s="1923"/>
      <c r="BY31" s="1923"/>
      <c r="BZ31" s="1923"/>
      <c r="CA31" s="1923"/>
      <c r="CB31" s="1923"/>
      <c r="CC31" s="1923"/>
      <c r="CD31" s="1923"/>
      <c r="CE31" s="1923"/>
      <c r="CF31" s="1923"/>
      <c r="CG31" s="1923"/>
      <c r="CH31" s="1923"/>
      <c r="CI31" s="1923"/>
      <c r="CJ31" s="1923"/>
      <c r="CK31" s="1923"/>
      <c r="CL31" s="1923"/>
      <c r="CM31" s="1923"/>
      <c r="CN31" s="1923"/>
      <c r="CO31" s="1923"/>
      <c r="CP31" s="1923"/>
      <c r="CQ31" s="1923"/>
      <c r="CR31" s="1923"/>
      <c r="CS31" s="1923"/>
      <c r="CT31" s="1923"/>
      <c r="CU31" s="1923"/>
      <c r="CV31" s="1923"/>
      <c r="CW31" s="1923"/>
      <c r="CX31" s="1923"/>
      <c r="CY31" s="1923"/>
      <c r="CZ31" s="1923"/>
      <c r="DA31" s="1923"/>
      <c r="DB31" s="1923"/>
      <c r="DC31" s="1923"/>
      <c r="DD31" s="1923"/>
      <c r="DE31" s="1923"/>
      <c r="DF31" s="1923"/>
      <c r="DG31" s="1923"/>
      <c r="DH31" s="90"/>
      <c r="DI31" s="941"/>
      <c r="DJ31" s="1140"/>
      <c r="DK31" s="1140"/>
      <c r="DL31" s="1140"/>
      <c r="DM31" s="1140"/>
      <c r="DN31" s="1140"/>
      <c r="DO31" s="1140"/>
      <c r="DP31" s="1140"/>
      <c r="DQ31" s="1140"/>
      <c r="DR31" s="1140"/>
      <c r="DS31" s="1140"/>
      <c r="DT31" s="1140"/>
      <c r="DU31" s="1140"/>
      <c r="DV31" s="1140"/>
      <c r="DW31" s="1140"/>
      <c r="DX31" s="1140"/>
      <c r="DY31" s="1140"/>
      <c r="DZ31" s="1140"/>
      <c r="EA31" s="1140"/>
      <c r="EB31" s="1140"/>
      <c r="EC31" s="1140"/>
      <c r="ED31" s="1140"/>
      <c r="EE31" s="1140"/>
      <c r="EF31" s="1140"/>
      <c r="EG31" s="1140"/>
      <c r="EH31" s="1140"/>
      <c r="EI31" s="1140"/>
      <c r="EJ31" s="1140"/>
      <c r="EK31" s="1140"/>
      <c r="EL31" s="1140"/>
      <c r="EM31" s="1140"/>
      <c r="EN31" s="1140"/>
      <c r="EO31" s="1140"/>
      <c r="EP31" s="1140"/>
      <c r="EQ31" s="1140"/>
      <c r="ER31" s="1140"/>
      <c r="ES31" s="1140"/>
      <c r="ET31" s="1140"/>
      <c r="EU31" s="1140"/>
      <c r="EV31" s="1140"/>
      <c r="EW31" s="1140"/>
      <c r="EX31" s="1140"/>
      <c r="EY31" s="1140"/>
      <c r="EZ31" s="1140"/>
      <c r="FA31" s="1140"/>
      <c r="FB31" s="1140"/>
      <c r="FC31" s="1140"/>
      <c r="FD31" s="1140"/>
      <c r="FE31" s="1140"/>
      <c r="FF31" s="1140"/>
      <c r="FG31" s="1140"/>
      <c r="FH31" s="1140"/>
      <c r="FI31" s="1140"/>
      <c r="FJ31" s="1140"/>
      <c r="FK31" s="1140"/>
      <c r="FL31" s="1140"/>
      <c r="FM31" s="1019" t="str">
        <f>IF(Weapons!E$16="Dual Wield",IF(Weapons!O$16="Dual Wield",IF(AND(FM13&lt;&gt;"",#REF!&lt;&gt;""),FM13&amp;" and "&amp;RIGHT(#REF!,IF(Weapons!E$12="Melee",LEN(#REF!)-6,LEN(#REF!)-7)),""),""),"")</f>
        <v/>
      </c>
      <c r="FN31" s="1019" t="str">
        <f t="shared" si="0"/>
        <v/>
      </c>
      <c r="FO31" s="1019"/>
      <c r="FS31" s="1018"/>
    </row>
    <row r="32" spans="3:175" s="1017" customFormat="1" ht="9" customHeight="1" thickTop="1">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1"/>
      <c r="AQ32" s="1141"/>
      <c r="AR32" s="1141"/>
      <c r="AS32" s="1141"/>
      <c r="AT32" s="1141"/>
      <c r="AU32" s="442"/>
      <c r="AV32" s="442"/>
      <c r="AW32" s="442"/>
      <c r="AX32" s="442"/>
      <c r="AY32" s="442"/>
      <c r="AZ32" s="442"/>
      <c r="BA32" s="442"/>
      <c r="BB32" s="442"/>
      <c r="BC32" s="442"/>
      <c r="BD32" s="442"/>
      <c r="BE32" s="442"/>
      <c r="BF32" s="442"/>
      <c r="BG32" s="442"/>
      <c r="BH32" s="442"/>
      <c r="BI32" s="442"/>
      <c r="BJ32" s="442"/>
      <c r="BK32" s="442"/>
      <c r="BL32" s="442"/>
      <c r="BM32" s="442"/>
      <c r="BN32" s="442"/>
      <c r="BO32" s="442"/>
      <c r="BP32" s="442"/>
      <c r="BQ32" s="442"/>
      <c r="BR32" s="442"/>
      <c r="BS32" s="442"/>
      <c r="BT32" s="442"/>
      <c r="BU32" s="442"/>
      <c r="BV32" s="442"/>
      <c r="BW32" s="442"/>
      <c r="BX32" s="442"/>
      <c r="BY32" s="442"/>
      <c r="BZ32" s="442"/>
      <c r="CA32" s="442"/>
      <c r="CB32" s="442"/>
      <c r="CC32" s="442"/>
      <c r="CD32" s="442"/>
      <c r="CE32" s="3"/>
      <c r="CF32" s="3"/>
      <c r="CG32" s="3"/>
      <c r="CH32" s="3"/>
      <c r="CI32" s="1140"/>
      <c r="CJ32" s="1140"/>
      <c r="CK32" s="3"/>
      <c r="CL32" s="1140"/>
      <c r="CM32" s="1140"/>
      <c r="CN32" s="1140"/>
      <c r="CO32" s="3"/>
      <c r="CP32" s="1140"/>
      <c r="CQ32" s="1140"/>
      <c r="CR32" s="3"/>
      <c r="CS32" s="1140"/>
      <c r="CT32" s="1140"/>
      <c r="CU32" s="3"/>
      <c r="CV32" s="1140"/>
      <c r="CW32" s="1140"/>
      <c r="CX32" s="3"/>
      <c r="CY32" s="1140"/>
      <c r="CZ32" s="1140"/>
      <c r="DA32" s="3"/>
      <c r="DB32" s="1140"/>
      <c r="DC32" s="1140"/>
      <c r="DD32" s="3"/>
      <c r="DE32" s="3"/>
      <c r="DF32" s="1140"/>
      <c r="DG32" s="1140"/>
      <c r="DH32" s="1140"/>
      <c r="DI32" s="941"/>
      <c r="DJ32" s="1140"/>
      <c r="DK32" s="1140"/>
      <c r="DL32" s="1140"/>
      <c r="DM32" s="1140"/>
      <c r="DN32" s="1140"/>
      <c r="DO32" s="1140"/>
      <c r="DP32" s="1140"/>
      <c r="DQ32" s="1140"/>
      <c r="DR32" s="1140"/>
      <c r="DS32" s="1140"/>
      <c r="DT32" s="1140"/>
      <c r="DU32" s="1140"/>
      <c r="DV32" s="1140"/>
      <c r="DW32" s="1140"/>
      <c r="DX32" s="1140"/>
      <c r="DY32" s="1140"/>
      <c r="DZ32" s="1140"/>
      <c r="EA32" s="1140"/>
      <c r="EB32" s="1140"/>
      <c r="EC32" s="1140"/>
      <c r="ED32" s="1140"/>
      <c r="EE32" s="1140"/>
      <c r="EF32" s="1140"/>
      <c r="EG32" s="1140"/>
      <c r="EH32" s="1140"/>
      <c r="EI32" s="1140"/>
      <c r="EJ32" s="1140"/>
      <c r="EK32" s="1140"/>
      <c r="EL32" s="1140"/>
      <c r="EM32" s="1140"/>
      <c r="EN32" s="1140"/>
      <c r="EO32" s="1140"/>
      <c r="EP32" s="1140"/>
      <c r="EQ32" s="1140"/>
      <c r="ER32" s="1140"/>
      <c r="ES32" s="1140"/>
      <c r="ET32" s="1140"/>
      <c r="EU32" s="1140"/>
      <c r="EV32" s="1140"/>
      <c r="EW32" s="1140"/>
      <c r="EX32" s="1140"/>
      <c r="EY32" s="1140"/>
      <c r="EZ32" s="1140"/>
      <c r="FA32" s="1140"/>
      <c r="FB32" s="1140"/>
      <c r="FC32" s="1140"/>
      <c r="FD32" s="1140"/>
      <c r="FE32" s="1140"/>
      <c r="FF32" s="1140"/>
      <c r="FG32" s="1140"/>
      <c r="FH32" s="1140"/>
      <c r="FI32" s="1140"/>
      <c r="FJ32" s="1140"/>
      <c r="FK32" s="1140"/>
      <c r="FL32" s="1140"/>
      <c r="FM32" s="1019" t="str">
        <f>IF(Weapons!E$16="Dual Wield",IF(Weapons!O$16="Dual Wield",IF(AND(FM14&lt;&gt;"",#REF!&lt;&gt;""),FM14&amp;" and "&amp;RIGHT(#REF!,IF(Weapons!E$12="Melee",LEN(#REF!)-6,LEN(#REF!)-7)),""),""),"")</f>
        <v/>
      </c>
      <c r="FN32" s="1019" t="str">
        <f t="shared" si="0"/>
        <v/>
      </c>
      <c r="FO32" s="1019"/>
      <c r="FS32" s="1018"/>
    </row>
    <row r="33" spans="1:176" s="1017" customFormat="1" ht="9" customHeight="1" thickBot="1">
      <c r="A33" s="1140"/>
      <c r="B33" s="1276"/>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05"/>
      <c r="AN33" s="105"/>
      <c r="AO33" s="105"/>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3"/>
      <c r="BS33" s="3"/>
      <c r="BT33" s="3"/>
      <c r="BU33" s="3"/>
      <c r="BV33" s="3"/>
      <c r="BW33" s="3"/>
      <c r="BX33" s="3"/>
      <c r="BY33" s="3"/>
      <c r="BZ33" s="3"/>
      <c r="CA33" s="3"/>
      <c r="CB33" s="3"/>
      <c r="CC33" s="3"/>
      <c r="CD33" s="3"/>
      <c r="CE33" s="3"/>
      <c r="CF33" s="3"/>
      <c r="CG33" s="3"/>
      <c r="CH33" s="3"/>
      <c r="CI33" s="1140"/>
      <c r="CJ33" s="1140"/>
      <c r="CK33" s="1140"/>
      <c r="CL33" s="1140"/>
      <c r="CM33" s="1140"/>
      <c r="CN33" s="1140"/>
      <c r="CO33" s="1140"/>
      <c r="CP33" s="1140"/>
      <c r="CQ33" s="1140"/>
      <c r="CR33" s="1140"/>
      <c r="CS33" s="1140"/>
      <c r="CT33" s="1140"/>
      <c r="CU33" s="1140"/>
      <c r="CV33" s="1140"/>
      <c r="CW33" s="1140"/>
      <c r="CX33" s="1140"/>
      <c r="CY33" s="1140"/>
      <c r="CZ33" s="1140"/>
      <c r="DA33" s="1140"/>
      <c r="DB33" s="1140"/>
      <c r="DC33" s="1140"/>
      <c r="DD33" s="1140"/>
      <c r="DE33" s="1140"/>
      <c r="DF33" s="1140"/>
      <c r="DG33" s="1140"/>
      <c r="DH33" s="1140"/>
      <c r="DI33" s="941"/>
      <c r="DJ33" s="1140"/>
      <c r="DK33" s="1140"/>
      <c r="DL33" s="1140"/>
      <c r="DM33" s="1140"/>
      <c r="DN33" s="1140"/>
      <c r="DO33" s="1140"/>
      <c r="DP33" s="1140"/>
      <c r="DQ33" s="1140"/>
      <c r="DR33" s="1140"/>
      <c r="DS33" s="1140"/>
      <c r="DT33" s="1140"/>
      <c r="DU33" s="1140"/>
      <c r="DV33" s="1140"/>
      <c r="DW33" s="1140"/>
      <c r="DX33" s="1140"/>
      <c r="DY33" s="1140"/>
      <c r="DZ33" s="1140"/>
      <c r="EA33" s="1140"/>
      <c r="EB33" s="1140"/>
      <c r="EC33" s="1140"/>
      <c r="ED33" s="1140"/>
      <c r="EE33" s="1140"/>
      <c r="EF33" s="1140"/>
      <c r="EG33" s="1140"/>
      <c r="EH33" s="1140"/>
      <c r="EI33" s="1140"/>
      <c r="EJ33" s="1140"/>
      <c r="EK33" s="1140"/>
      <c r="EL33" s="1140"/>
      <c r="EM33" s="1140"/>
      <c r="EN33" s="1140"/>
      <c r="EO33" s="1140"/>
      <c r="EP33" s="1140"/>
      <c r="EQ33" s="1140"/>
      <c r="ER33" s="1140"/>
      <c r="ES33" s="1140"/>
      <c r="ET33" s="1140"/>
      <c r="EU33" s="1140"/>
      <c r="EV33" s="1140"/>
      <c r="EW33" s="1140"/>
      <c r="EX33" s="1140"/>
      <c r="EY33" s="1140"/>
      <c r="EZ33" s="1140"/>
      <c r="FA33" s="1140"/>
      <c r="FB33" s="1140"/>
      <c r="FC33" s="1140"/>
      <c r="FD33" s="1140"/>
      <c r="FE33" s="1140"/>
      <c r="FF33" s="1140"/>
      <c r="FG33" s="1140"/>
      <c r="FH33" s="1140"/>
      <c r="FI33" s="1140"/>
      <c r="FJ33" s="1140"/>
      <c r="FK33" s="1140"/>
      <c r="FL33" s="1140"/>
      <c r="FM33" s="1019" t="str">
        <f>IF(Weapons!E$16="Dual Wield",IF(Weapons!O$16="Dual Wield",IF(AND(FM15&lt;&gt;"",#REF!&lt;&gt;""),FM15&amp;" and "&amp;RIGHT(#REF!,IF(Weapons!E$12="Melee",LEN(#REF!)-6,LEN(#REF!)-7)),""),""),"")</f>
        <v/>
      </c>
      <c r="FN33" s="1019" t="str">
        <f t="shared" si="0"/>
        <v/>
      </c>
      <c r="FO33" s="1019"/>
      <c r="FS33" s="1018"/>
      <c r="FT33" s="1140"/>
    </row>
    <row r="34" spans="1:176" s="1017" customFormat="1" ht="9" customHeight="1" thickTop="1" thickBot="1">
      <c r="A34" s="1140"/>
      <c r="B34" s="1276"/>
      <c r="C34" s="1140"/>
      <c r="D34" s="1140"/>
      <c r="E34" s="93"/>
      <c r="F34" s="2182" t="s">
        <v>5713</v>
      </c>
      <c r="G34" s="2182"/>
      <c r="H34" s="2182"/>
      <c r="I34" s="2182"/>
      <c r="J34" s="2182"/>
      <c r="K34" s="295"/>
      <c r="L34" s="295"/>
      <c r="M34" s="295"/>
      <c r="N34" s="295"/>
      <c r="O34" s="594"/>
      <c r="P34" s="594"/>
      <c r="Q34" s="594"/>
      <c r="R34" s="594"/>
      <c r="S34" s="594"/>
      <c r="T34" s="594"/>
      <c r="U34" s="594"/>
      <c r="V34" s="594"/>
      <c r="W34" s="594"/>
      <c r="X34" s="594"/>
      <c r="Y34" s="594"/>
      <c r="Z34" s="594"/>
      <c r="AA34" s="594"/>
      <c r="AB34" s="594"/>
      <c r="AC34" s="594"/>
      <c r="AD34" s="297"/>
      <c r="AE34" s="1140"/>
      <c r="AF34" s="1140"/>
      <c r="AG34" s="93"/>
      <c r="AH34" s="2193" t="s">
        <v>6133</v>
      </c>
      <c r="AI34" s="2193"/>
      <c r="AJ34" s="2193"/>
      <c r="AK34" s="2193"/>
      <c r="AL34" s="2193"/>
      <c r="AM34" s="2193"/>
      <c r="AN34" s="2193"/>
      <c r="AO34" s="2193"/>
      <c r="AP34" s="1108" t="e">
        <f ca="1">INDIRECT(ADDRESS(70,H8,1,TRUE,"Weapons"))-INDIRECT(ADDRESS(69,H8,1,TRUE,"Weapons"))</f>
        <v>#N/A</v>
      </c>
      <c r="AQ34" s="592"/>
      <c r="AR34" s="594"/>
      <c r="AS34" s="594"/>
      <c r="AT34" s="594"/>
      <c r="AU34" s="594"/>
      <c r="AV34" s="594"/>
      <c r="AW34" s="594"/>
      <c r="AX34" s="594"/>
      <c r="AY34" s="297"/>
      <c r="AZ34" s="3"/>
      <c r="BA34" s="1140"/>
      <c r="BB34" s="93"/>
      <c r="BC34" s="2193" t="s">
        <v>4094</v>
      </c>
      <c r="BD34" s="2193"/>
      <c r="BE34" s="2193"/>
      <c r="BF34" s="2193"/>
      <c r="BG34" s="2193"/>
      <c r="BH34" s="2193"/>
      <c r="BI34" s="2193"/>
      <c r="BJ34" s="2193"/>
      <c r="BK34" s="2193"/>
      <c r="BL34" s="2193"/>
      <c r="BM34" s="2193"/>
      <c r="BN34" s="2193"/>
      <c r="BO34" s="2193"/>
      <c r="BP34" s="2193"/>
      <c r="BQ34" s="113"/>
      <c r="BR34" s="145"/>
      <c r="BS34" s="93"/>
      <c r="BT34" s="2193" t="s">
        <v>4100</v>
      </c>
      <c r="BU34" s="2193"/>
      <c r="BV34" s="2193"/>
      <c r="BW34" s="2193"/>
      <c r="BX34" s="2193"/>
      <c r="BY34" s="2193"/>
      <c r="BZ34" s="2193"/>
      <c r="CA34" s="2193"/>
      <c r="CB34" s="2193" t="s">
        <v>4095</v>
      </c>
      <c r="CC34" s="2193"/>
      <c r="CD34" s="2193"/>
      <c r="CE34" s="2193"/>
      <c r="CF34" s="2193"/>
      <c r="CG34" s="2193"/>
      <c r="CH34" s="2193"/>
      <c r="CI34" s="2193"/>
      <c r="CJ34" s="2193" t="s">
        <v>4099</v>
      </c>
      <c r="CK34" s="2193"/>
      <c r="CL34" s="2193"/>
      <c r="CM34" s="2193"/>
      <c r="CN34" s="2193"/>
      <c r="CO34" s="2193"/>
      <c r="CP34" s="2193"/>
      <c r="CQ34" s="2193"/>
      <c r="CR34" s="2193" t="s">
        <v>4098</v>
      </c>
      <c r="CS34" s="2193"/>
      <c r="CT34" s="2193"/>
      <c r="CU34" s="2193"/>
      <c r="CV34" s="2193"/>
      <c r="CW34" s="2193"/>
      <c r="CX34" s="2193"/>
      <c r="CY34" s="2193"/>
      <c r="CZ34" s="2193" t="s">
        <v>4097</v>
      </c>
      <c r="DA34" s="2193"/>
      <c r="DB34" s="2193"/>
      <c r="DC34" s="2193"/>
      <c r="DD34" s="2193"/>
      <c r="DE34" s="2193"/>
      <c r="DF34" s="2193"/>
      <c r="DG34" s="2193"/>
      <c r="DH34" s="113"/>
      <c r="DI34" s="976"/>
      <c r="DJ34" s="1140"/>
      <c r="DK34" s="1140"/>
      <c r="DL34" s="1140"/>
      <c r="DM34" s="1140"/>
      <c r="DN34" s="1140"/>
      <c r="DO34" s="1140"/>
      <c r="DP34" s="1140"/>
      <c r="DQ34" s="1140"/>
      <c r="DR34" s="1140"/>
      <c r="DS34" s="1140"/>
      <c r="DT34" s="1140"/>
      <c r="DU34" s="1140"/>
      <c r="DV34" s="1140"/>
      <c r="DW34" s="1140"/>
      <c r="DX34" s="1140"/>
      <c r="DY34" s="1140"/>
      <c r="DZ34" s="1140"/>
      <c r="EA34" s="1140"/>
      <c r="EB34" s="1140"/>
      <c r="EC34" s="1140"/>
      <c r="ED34" s="1140"/>
      <c r="EE34" s="1140"/>
      <c r="EF34" s="1140"/>
      <c r="EG34" s="1140"/>
      <c r="EH34" s="1140"/>
      <c r="EI34" s="1140"/>
      <c r="EJ34" s="1140"/>
      <c r="EK34" s="1140"/>
      <c r="EL34" s="1140"/>
      <c r="EM34" s="1140"/>
      <c r="EN34" s="1140"/>
      <c r="EO34" s="1140"/>
      <c r="EP34" s="1140"/>
      <c r="EQ34" s="1140"/>
      <c r="ER34" s="1140"/>
      <c r="ES34" s="1140"/>
      <c r="ET34" s="1140"/>
      <c r="EU34" s="1140"/>
      <c r="EV34" s="1140"/>
      <c r="EW34" s="1140"/>
      <c r="EX34" s="1140"/>
      <c r="EY34" s="1140"/>
      <c r="EZ34" s="1140"/>
      <c r="FA34" s="1140"/>
      <c r="FB34" s="1140"/>
      <c r="FC34" s="1140"/>
      <c r="FD34" s="1140"/>
      <c r="FE34" s="1140"/>
      <c r="FF34" s="1140"/>
      <c r="FG34" s="1140"/>
      <c r="FH34" s="1140"/>
      <c r="FI34" s="1140"/>
      <c r="FJ34" s="1140"/>
      <c r="FK34" s="1140"/>
      <c r="FL34" s="1140"/>
      <c r="FM34" s="1019" t="str">
        <f>IF(Weapons!E$16="Dual Wield",IF(Weapons!O$16="Dual Wield",IF(AND(FM16&lt;&gt;"",#REF!&lt;&gt;""),FM16&amp;" and "&amp;RIGHT(#REF!,IF(Weapons!E$12="Melee",LEN(#REF!)-6,LEN(#REF!)-7)),""),""),"")</f>
        <v/>
      </c>
      <c r="FN34" s="1019" t="str">
        <f t="shared" si="0"/>
        <v/>
      </c>
      <c r="FO34" s="1019"/>
      <c r="FS34" s="1018"/>
      <c r="FT34" s="1140"/>
    </row>
    <row r="35" spans="1:176" s="1017" customFormat="1" ht="9" customHeight="1" thickTop="1">
      <c r="A35" s="1140"/>
      <c r="B35" s="1276"/>
      <c r="C35" s="1140"/>
      <c r="D35" s="1140"/>
      <c r="E35" s="102"/>
      <c r="F35" s="2180"/>
      <c r="G35" s="2180"/>
      <c r="H35" s="2180"/>
      <c r="I35" s="2180"/>
      <c r="J35" s="2180"/>
      <c r="K35" s="1867" t="e">
        <f ca="1">IF(K9&lt;&gt;"",IF(OR(AND(INDIRECT(ADDRESS(74,H8,1,TRUE,"Weapons"))="lightsabers",Talents!$M$1110&gt;0),AND(Feats!$M$242&gt;0,COUNTIF(INDIRECT(H10),"Spring Loaded")&gt;0)),"Free",IF(Feats!$M$170&gt;0,"Free as part of a Standard",IF(Feats!$M$242,"Swift","Move")))&amp;" action","")</f>
        <v>#N/A</v>
      </c>
      <c r="L35" s="1867"/>
      <c r="M35" s="1867"/>
      <c r="N35" s="1867"/>
      <c r="O35" s="1867"/>
      <c r="P35" s="1867"/>
      <c r="Q35" s="1867"/>
      <c r="R35" s="1867"/>
      <c r="S35" s="1867"/>
      <c r="T35" s="1867"/>
      <c r="U35" s="1867"/>
      <c r="V35" s="1867"/>
      <c r="W35" s="1867"/>
      <c r="X35" s="1867"/>
      <c r="Y35" s="1867"/>
      <c r="Z35" s="1867"/>
      <c r="AA35" s="1867"/>
      <c r="AB35" s="1867"/>
      <c r="AC35" s="1867"/>
      <c r="AD35" s="300"/>
      <c r="AE35" s="595"/>
      <c r="AF35" s="1140"/>
      <c r="AG35" s="102"/>
      <c r="AH35" s="2239"/>
      <c r="AI35" s="2239"/>
      <c r="AJ35" s="2239"/>
      <c r="AK35" s="2239"/>
      <c r="AL35" s="2239"/>
      <c r="AM35" s="2239"/>
      <c r="AN35" s="2239"/>
      <c r="AO35" s="2239"/>
      <c r="AP35" s="2241" t="e">
        <f ca="1">IF(K9&lt;&gt;"",IF(AND(NOT(ISERROR(FIND("-5 to Perception and Use Computer checks to detect",R29,1))),ShowCloakedWeapons),INDEX(ConcealItemTable,MATCH(AP34,ConcealItemList,0),3),INDEX(ConcealItemTable,MATCH(AP34,ConcealItemList,0),2)),"")</f>
        <v>#N/A</v>
      </c>
      <c r="AQ35" s="2241"/>
      <c r="AR35" s="2241"/>
      <c r="AS35" s="2241"/>
      <c r="AT35" s="2241"/>
      <c r="AU35" s="2241"/>
      <c r="AV35" s="2241"/>
      <c r="AW35" s="2241"/>
      <c r="AX35" s="2241"/>
      <c r="AY35" s="300"/>
      <c r="AZ35" s="595"/>
      <c r="BA35" s="1140"/>
      <c r="BB35" s="102"/>
      <c r="BC35" s="2239"/>
      <c r="BD35" s="2239"/>
      <c r="BE35" s="2239"/>
      <c r="BF35" s="2239"/>
      <c r="BG35" s="2239"/>
      <c r="BH35" s="2239"/>
      <c r="BI35" s="2239"/>
      <c r="BJ35" s="2239"/>
      <c r="BK35" s="2239"/>
      <c r="BL35" s="2239"/>
      <c r="BM35" s="2239"/>
      <c r="BN35" s="2239"/>
      <c r="BO35" s="2239"/>
      <c r="BP35" s="2239"/>
      <c r="BQ35" s="589"/>
      <c r="BR35" s="598"/>
      <c r="BS35" s="102"/>
      <c r="BT35" s="2194"/>
      <c r="BU35" s="2194"/>
      <c r="BV35" s="2194"/>
      <c r="BW35" s="2194"/>
      <c r="BX35" s="2194"/>
      <c r="BY35" s="2194"/>
      <c r="BZ35" s="2194"/>
      <c r="CA35" s="2194"/>
      <c r="CB35" s="2194"/>
      <c r="CC35" s="2194"/>
      <c r="CD35" s="2194"/>
      <c r="CE35" s="2194"/>
      <c r="CF35" s="2194"/>
      <c r="CG35" s="2194"/>
      <c r="CH35" s="2194"/>
      <c r="CI35" s="2194"/>
      <c r="CJ35" s="2194"/>
      <c r="CK35" s="2194"/>
      <c r="CL35" s="2194"/>
      <c r="CM35" s="2194"/>
      <c r="CN35" s="2194"/>
      <c r="CO35" s="2194"/>
      <c r="CP35" s="2194"/>
      <c r="CQ35" s="2194"/>
      <c r="CR35" s="2194"/>
      <c r="CS35" s="2194"/>
      <c r="CT35" s="2194"/>
      <c r="CU35" s="2194"/>
      <c r="CV35" s="2194"/>
      <c r="CW35" s="2194"/>
      <c r="CX35" s="2194"/>
      <c r="CY35" s="2194"/>
      <c r="CZ35" s="2194"/>
      <c r="DA35" s="2194"/>
      <c r="DB35" s="2194"/>
      <c r="DC35" s="2194"/>
      <c r="DD35" s="2194"/>
      <c r="DE35" s="2194"/>
      <c r="DF35" s="2194"/>
      <c r="DG35" s="2194"/>
      <c r="DH35" s="1140"/>
      <c r="DI35" s="977"/>
      <c r="DJ35" s="1140"/>
      <c r="DK35" s="1140"/>
      <c r="DL35" s="1140"/>
      <c r="DM35" s="1140"/>
      <c r="DN35" s="1140"/>
      <c r="DO35" s="1140"/>
      <c r="DP35" s="1140"/>
      <c r="DQ35" s="1140"/>
      <c r="DR35" s="1140"/>
      <c r="DS35" s="1140"/>
      <c r="DT35" s="1140"/>
      <c r="DU35" s="1140"/>
      <c r="DV35" s="1140"/>
      <c r="DW35" s="1140"/>
      <c r="DX35" s="1140"/>
      <c r="DY35" s="1140"/>
      <c r="DZ35" s="1140"/>
      <c r="EA35" s="1140"/>
      <c r="EB35" s="1140"/>
      <c r="EC35" s="1140"/>
      <c r="ED35" s="1140"/>
      <c r="EE35" s="1140"/>
      <c r="EF35" s="1140"/>
      <c r="EG35" s="1140"/>
      <c r="EH35" s="1140"/>
      <c r="EI35" s="1140"/>
      <c r="EJ35" s="1140"/>
      <c r="EK35" s="1140"/>
      <c r="EL35" s="1140"/>
      <c r="EM35" s="1140"/>
      <c r="EN35" s="1140"/>
      <c r="EO35" s="1140"/>
      <c r="EP35" s="1140"/>
      <c r="EQ35" s="1140"/>
      <c r="ER35" s="1140"/>
      <c r="ES35" s="1140"/>
      <c r="ET35" s="1140"/>
      <c r="EU35" s="1140"/>
      <c r="EV35" s="1140"/>
      <c r="EW35" s="1140"/>
      <c r="EX35" s="1140"/>
      <c r="EY35" s="1140"/>
      <c r="EZ35" s="1140"/>
      <c r="FA35" s="1140"/>
      <c r="FB35" s="1140"/>
      <c r="FC35" s="1140"/>
      <c r="FD35" s="1140"/>
      <c r="FE35" s="1140"/>
      <c r="FF35" s="1140"/>
      <c r="FG35" s="1140"/>
      <c r="FH35" s="1140"/>
      <c r="FI35" s="1140"/>
      <c r="FJ35" s="1140"/>
      <c r="FK35" s="1140"/>
      <c r="FL35" s="1140"/>
      <c r="FM35" s="1019" t="str">
        <f>IF(Weapons!E$16="Dual Wield",IF(Weapons!O$16="Dual Wield",IF(AND(FM17&lt;&gt;"",#REF!&lt;&gt;""),FM17&amp;" and "&amp;RIGHT(#REF!,IF(Weapons!E$12="Melee",LEN(#REF!)-6,LEN(#REF!)-7)),""),""),"")</f>
        <v/>
      </c>
      <c r="FN35" s="1019" t="str">
        <f t="shared" si="0"/>
        <v/>
      </c>
      <c r="FO35" s="1019"/>
      <c r="FS35" s="1018"/>
      <c r="FT35" s="1140"/>
    </row>
    <row r="36" spans="1:176" s="1017" customFormat="1" ht="9" customHeight="1">
      <c r="A36" s="1140"/>
      <c r="B36" s="1276"/>
      <c r="C36" s="1140"/>
      <c r="D36" s="1140"/>
      <c r="E36" s="102"/>
      <c r="F36" s="105"/>
      <c r="G36" s="105"/>
      <c r="H36" s="105"/>
      <c r="I36" s="105"/>
      <c r="J36" s="657"/>
      <c r="K36" s="1867"/>
      <c r="L36" s="1867"/>
      <c r="M36" s="1867"/>
      <c r="N36" s="1867"/>
      <c r="O36" s="1867"/>
      <c r="P36" s="1867"/>
      <c r="Q36" s="1867"/>
      <c r="R36" s="1867"/>
      <c r="S36" s="1867"/>
      <c r="T36" s="1867"/>
      <c r="U36" s="1867"/>
      <c r="V36" s="1867"/>
      <c r="W36" s="1867"/>
      <c r="X36" s="1867"/>
      <c r="Y36" s="1867"/>
      <c r="Z36" s="1867"/>
      <c r="AA36" s="1867"/>
      <c r="AB36" s="1867"/>
      <c r="AC36" s="1867"/>
      <c r="AD36" s="103"/>
      <c r="AE36" s="657"/>
      <c r="AF36" s="1140"/>
      <c r="AG36" s="102"/>
      <c r="AH36" s="2243" t="s">
        <v>6134</v>
      </c>
      <c r="AI36" s="2243"/>
      <c r="AJ36" s="2243"/>
      <c r="AK36" s="2243"/>
      <c r="AL36" s="2243"/>
      <c r="AM36" s="2243"/>
      <c r="AN36" s="2243"/>
      <c r="AO36" s="2243"/>
      <c r="AP36" s="2241"/>
      <c r="AQ36" s="2241"/>
      <c r="AR36" s="2241"/>
      <c r="AS36" s="2241"/>
      <c r="AT36" s="2241"/>
      <c r="AU36" s="2241"/>
      <c r="AV36" s="2241"/>
      <c r="AW36" s="2241"/>
      <c r="AX36" s="2241"/>
      <c r="AY36" s="103"/>
      <c r="AZ36" s="657"/>
      <c r="BA36" s="1140"/>
      <c r="BB36" s="102"/>
      <c r="BC36" s="2206" t="s">
        <v>110</v>
      </c>
      <c r="BD36" s="2206"/>
      <c r="BE36" s="2206"/>
      <c r="BF36" s="2206"/>
      <c r="BG36" s="2206"/>
      <c r="BH36" s="2206"/>
      <c r="BI36" s="2206"/>
      <c r="BJ36" s="2206"/>
      <c r="BK36" s="2206"/>
      <c r="BL36" s="2206"/>
      <c r="BM36" s="2206"/>
      <c r="BN36" s="2206"/>
      <c r="BO36" s="2206"/>
      <c r="BP36" s="2206"/>
      <c r="BQ36" s="1140"/>
      <c r="BR36" s="1140"/>
      <c r="BS36" s="102"/>
      <c r="BT36" s="2210" t="str">
        <f>IF(CB36&lt;&gt;"","0-1","")</f>
        <v/>
      </c>
      <c r="BU36" s="2210"/>
      <c r="BV36" s="2210"/>
      <c r="BW36" s="2210"/>
      <c r="BX36" s="2210"/>
      <c r="BY36" s="2210"/>
      <c r="BZ36" s="2210"/>
      <c r="CA36" s="2211"/>
      <c r="CB36" s="2229" t="str">
        <f>IF(AND(K9&lt;&gt;"",Weapons!E$12="Ranged"),"0-"&amp;INDEX(RangeTable,MATCH(Weapons!E$92,RangeList,0),2),"")</f>
        <v/>
      </c>
      <c r="CC36" s="2210"/>
      <c r="CD36" s="2210"/>
      <c r="CE36" s="2210"/>
      <c r="CF36" s="2210"/>
      <c r="CG36" s="2210"/>
      <c r="CH36" s="2210"/>
      <c r="CI36" s="2211"/>
      <c r="CJ36" s="2229" t="str">
        <f>IF(AND(K9&lt;&gt;"",Weapons!E$12="Ranged"),"0-"&amp;INDEX(RangeTable,MATCH(Weapons!E$92,RangeList,0),3),"")</f>
        <v/>
      </c>
      <c r="CK36" s="2210"/>
      <c r="CL36" s="2210"/>
      <c r="CM36" s="2210"/>
      <c r="CN36" s="2210"/>
      <c r="CO36" s="2210"/>
      <c r="CP36" s="2210"/>
      <c r="CQ36" s="2211"/>
      <c r="CR36" s="2229" t="str">
        <f>IF(AND(K9&lt;&gt;"",Weapons!E$12="Ranged"),"0-"&amp;INDEX(RangeTable,MATCH(Weapons!E$92,RangeList,0),4),"")</f>
        <v/>
      </c>
      <c r="CS36" s="2210"/>
      <c r="CT36" s="2210"/>
      <c r="CU36" s="2210"/>
      <c r="CV36" s="2210"/>
      <c r="CW36" s="2210"/>
      <c r="CX36" s="2210"/>
      <c r="CY36" s="2211"/>
      <c r="CZ36" s="2229" t="str">
        <f>IF(AND(K9&lt;&gt;"",Weapons!E$12="Ranged"),"0-"&amp;INDEX(RangeTable,MATCH(Weapons!E$92,RangeList,0),5),"")</f>
        <v/>
      </c>
      <c r="DA36" s="2210"/>
      <c r="DB36" s="2210"/>
      <c r="DC36" s="2210"/>
      <c r="DD36" s="2210"/>
      <c r="DE36" s="2210"/>
      <c r="DF36" s="2210"/>
      <c r="DG36" s="2210"/>
      <c r="DH36" s="100"/>
      <c r="DI36" s="976"/>
      <c r="DJ36" s="1140"/>
      <c r="DK36" s="1140"/>
      <c r="DL36" s="1140"/>
      <c r="DM36" s="1140"/>
      <c r="DN36" s="1140"/>
      <c r="DO36" s="1140"/>
      <c r="DP36" s="1140"/>
      <c r="DQ36" s="1140"/>
      <c r="DR36" s="1140"/>
      <c r="DS36" s="1140"/>
      <c r="DT36" s="1140"/>
      <c r="DU36" s="1140"/>
      <c r="DV36" s="1140"/>
      <c r="DW36" s="1140"/>
      <c r="DX36" s="1140"/>
      <c r="DY36" s="1140"/>
      <c r="DZ36" s="1140"/>
      <c r="EA36" s="1140"/>
      <c r="EB36" s="1140"/>
      <c r="EC36" s="1140"/>
      <c r="ED36" s="1140"/>
      <c r="EE36" s="1140"/>
      <c r="EF36" s="1140"/>
      <c r="EG36" s="1140"/>
      <c r="EH36" s="1140"/>
      <c r="EI36" s="1140"/>
      <c r="EJ36" s="1140"/>
      <c r="EK36" s="1140"/>
      <c r="EL36" s="1140"/>
      <c r="EM36" s="1140"/>
      <c r="EN36" s="1140"/>
      <c r="EO36" s="1140"/>
      <c r="EP36" s="1140"/>
      <c r="EQ36" s="1140"/>
      <c r="ER36" s="1140"/>
      <c r="ES36" s="1140"/>
      <c r="ET36" s="1140"/>
      <c r="EU36" s="1140"/>
      <c r="EV36" s="1140"/>
      <c r="EW36" s="1140"/>
      <c r="EX36" s="1140"/>
      <c r="EY36" s="1140"/>
      <c r="EZ36" s="1140"/>
      <c r="FA36" s="1140"/>
      <c r="FB36" s="1140"/>
      <c r="FC36" s="1140"/>
      <c r="FD36" s="1140"/>
      <c r="FE36" s="1140"/>
      <c r="FF36" s="1140"/>
      <c r="FG36" s="1140"/>
      <c r="FH36" s="1140"/>
      <c r="FI36" s="1140"/>
      <c r="FJ36" s="1140"/>
      <c r="FK36" s="1140"/>
      <c r="FL36" s="1140"/>
      <c r="FM36" s="1019" t="str">
        <f>IF(Weapons!E$16="Dual Wield",IF(Weapons!O$16="Dual Wield",IF(AND(FM18&lt;&gt;"",#REF!&lt;&gt;""),FM18&amp;" and "&amp;RIGHT(#REF!,IF(Weapons!E$12="Melee",LEN(#REF!)-6,LEN(#REF!)-7)),""),""),"")</f>
        <v/>
      </c>
      <c r="FN36" s="1019" t="str">
        <f t="shared" si="0"/>
        <v/>
      </c>
      <c r="FO36" s="1019"/>
      <c r="FS36" s="1018"/>
      <c r="FT36" s="1140"/>
    </row>
    <row r="37" spans="1:176" s="1017" customFormat="1" ht="9" customHeight="1" thickBot="1">
      <c r="A37" s="1140"/>
      <c r="B37" s="1276"/>
      <c r="C37" s="1140"/>
      <c r="D37" s="1140"/>
      <c r="E37" s="91"/>
      <c r="F37" s="108"/>
      <c r="G37" s="108"/>
      <c r="H37" s="108"/>
      <c r="I37" s="108"/>
      <c r="J37" s="937"/>
      <c r="K37" s="1868"/>
      <c r="L37" s="1868"/>
      <c r="M37" s="1868"/>
      <c r="N37" s="1868"/>
      <c r="O37" s="1868"/>
      <c r="P37" s="1868"/>
      <c r="Q37" s="1868"/>
      <c r="R37" s="1868"/>
      <c r="S37" s="1868"/>
      <c r="T37" s="1868"/>
      <c r="U37" s="1868"/>
      <c r="V37" s="1868"/>
      <c r="W37" s="1868"/>
      <c r="X37" s="1868"/>
      <c r="Y37" s="1868"/>
      <c r="Z37" s="1868"/>
      <c r="AA37" s="1868"/>
      <c r="AB37" s="1868"/>
      <c r="AC37" s="1868"/>
      <c r="AD37" s="90"/>
      <c r="AE37" s="657"/>
      <c r="AF37" s="1140"/>
      <c r="AG37" s="91"/>
      <c r="AH37" s="2244"/>
      <c r="AI37" s="2244"/>
      <c r="AJ37" s="2244"/>
      <c r="AK37" s="2244"/>
      <c r="AL37" s="2244"/>
      <c r="AM37" s="2244"/>
      <c r="AN37" s="2244"/>
      <c r="AO37" s="2244"/>
      <c r="AP37" s="2242"/>
      <c r="AQ37" s="2242"/>
      <c r="AR37" s="2242"/>
      <c r="AS37" s="2242"/>
      <c r="AT37" s="2242"/>
      <c r="AU37" s="2242"/>
      <c r="AV37" s="2242"/>
      <c r="AW37" s="2242"/>
      <c r="AX37" s="2242"/>
      <c r="AY37" s="90"/>
      <c r="AZ37" s="657"/>
      <c r="BA37" s="1140"/>
      <c r="BB37" s="102"/>
      <c r="BC37" s="2206"/>
      <c r="BD37" s="2206"/>
      <c r="BE37" s="2206"/>
      <c r="BF37" s="2206"/>
      <c r="BG37" s="2206"/>
      <c r="BH37" s="2206"/>
      <c r="BI37" s="2206"/>
      <c r="BJ37" s="2206"/>
      <c r="BK37" s="2206"/>
      <c r="BL37" s="2206"/>
      <c r="BM37" s="2206"/>
      <c r="BN37" s="2206"/>
      <c r="BO37" s="2206"/>
      <c r="BP37" s="2206"/>
      <c r="BQ37" s="1140"/>
      <c r="BR37" s="1140"/>
      <c r="BS37" s="647"/>
      <c r="BT37" s="2212"/>
      <c r="BU37" s="2212"/>
      <c r="BV37" s="2212"/>
      <c r="BW37" s="2212"/>
      <c r="BX37" s="2212"/>
      <c r="BY37" s="2212"/>
      <c r="BZ37" s="2212"/>
      <c r="CA37" s="2213"/>
      <c r="CB37" s="2226"/>
      <c r="CC37" s="2212"/>
      <c r="CD37" s="2212"/>
      <c r="CE37" s="2212"/>
      <c r="CF37" s="2212"/>
      <c r="CG37" s="2212"/>
      <c r="CH37" s="2212"/>
      <c r="CI37" s="2213"/>
      <c r="CJ37" s="2226"/>
      <c r="CK37" s="2212"/>
      <c r="CL37" s="2212"/>
      <c r="CM37" s="2212"/>
      <c r="CN37" s="2212"/>
      <c r="CO37" s="2212"/>
      <c r="CP37" s="2212"/>
      <c r="CQ37" s="2213"/>
      <c r="CR37" s="2226"/>
      <c r="CS37" s="2212"/>
      <c r="CT37" s="2212"/>
      <c r="CU37" s="2212"/>
      <c r="CV37" s="2212"/>
      <c r="CW37" s="2212"/>
      <c r="CX37" s="2212"/>
      <c r="CY37" s="2213"/>
      <c r="CZ37" s="2226"/>
      <c r="DA37" s="2212"/>
      <c r="DB37" s="2212"/>
      <c r="DC37" s="2212"/>
      <c r="DD37" s="2212"/>
      <c r="DE37" s="2212"/>
      <c r="DF37" s="2212"/>
      <c r="DG37" s="2212"/>
      <c r="DH37" s="100"/>
      <c r="DI37" s="976"/>
      <c r="DJ37" s="1140"/>
      <c r="DK37" s="1140"/>
      <c r="DL37" s="1140"/>
      <c r="DM37" s="1140"/>
      <c r="DN37" s="1140"/>
      <c r="DO37" s="1140"/>
      <c r="DP37" s="1140"/>
      <c r="DQ37" s="1140"/>
      <c r="DR37" s="1140"/>
      <c r="DS37" s="1140"/>
      <c r="DT37" s="1140"/>
      <c r="DU37" s="1140"/>
      <c r="DV37" s="1140"/>
      <c r="DW37" s="1140"/>
      <c r="DX37" s="1140"/>
      <c r="DY37" s="1140"/>
      <c r="DZ37" s="1140"/>
      <c r="EA37" s="1140"/>
      <c r="EB37" s="1140"/>
      <c r="EC37" s="1140"/>
      <c r="ED37" s="1140"/>
      <c r="EE37" s="1140"/>
      <c r="EF37" s="1140"/>
      <c r="EG37" s="1140"/>
      <c r="EH37" s="1140"/>
      <c r="EI37" s="1140"/>
      <c r="EJ37" s="1140"/>
      <c r="EK37" s="1140"/>
      <c r="EL37" s="1140"/>
      <c r="EM37" s="1140"/>
      <c r="EN37" s="1140"/>
      <c r="EO37" s="1140"/>
      <c r="EP37" s="1140"/>
      <c r="EQ37" s="1140"/>
      <c r="ER37" s="1140"/>
      <c r="ES37" s="1140"/>
      <c r="ET37" s="1140"/>
      <c r="EU37" s="1140"/>
      <c r="EV37" s="1140"/>
      <c r="EW37" s="1140"/>
      <c r="EX37" s="1140"/>
      <c r="EY37" s="1140"/>
      <c r="EZ37" s="1140"/>
      <c r="FA37" s="1140"/>
      <c r="FB37" s="1140"/>
      <c r="FC37" s="1140"/>
      <c r="FD37" s="1140"/>
      <c r="FE37" s="1140"/>
      <c r="FF37" s="1140"/>
      <c r="FG37" s="1140"/>
      <c r="FH37" s="1140"/>
      <c r="FI37" s="1140"/>
      <c r="FJ37" s="1140"/>
      <c r="FK37" s="1140"/>
      <c r="FL37" s="1140"/>
      <c r="FM37" s="1019" t="str">
        <f>IF(Weapons!E$16="Dual Wield",IF(Weapons!O$16="Dual Wield",IF(AND(FM19&lt;&gt;"",#REF!&lt;&gt;""),FM19&amp;" and "&amp;RIGHT(#REF!,IF(Weapons!E$12="Melee",LEN(#REF!)-6,LEN(#REF!)-7)),""),""),"")</f>
        <v/>
      </c>
      <c r="FN37" s="1019" t="str">
        <f t="shared" si="0"/>
        <v/>
      </c>
      <c r="FO37" s="1019"/>
      <c r="FS37" s="1018"/>
      <c r="FT37" s="1140"/>
    </row>
    <row r="38" spans="1:176" s="1017" customFormat="1" ht="9" customHeight="1" thickTop="1" thickBot="1">
      <c r="A38" s="1140"/>
      <c r="B38" s="1276"/>
      <c r="C38" s="1140"/>
      <c r="D38" s="1140"/>
      <c r="E38" s="1140"/>
      <c r="F38" s="1140"/>
      <c r="G38" s="1140"/>
      <c r="H38" s="1140"/>
      <c r="I38" s="1140"/>
      <c r="J38" s="1140"/>
      <c r="K38" s="105"/>
      <c r="L38" s="105"/>
      <c r="M38" s="105"/>
      <c r="N38" s="105"/>
      <c r="O38" s="105"/>
      <c r="P38" s="657"/>
      <c r="Q38" s="657"/>
      <c r="R38" s="657"/>
      <c r="S38" s="657"/>
      <c r="T38" s="657"/>
      <c r="U38" s="657"/>
      <c r="V38" s="657"/>
      <c r="W38" s="657"/>
      <c r="X38" s="657"/>
      <c r="Y38" s="657"/>
      <c r="Z38" s="657"/>
      <c r="AA38" s="657"/>
      <c r="AB38" s="657"/>
      <c r="AC38" s="657"/>
      <c r="AD38" s="657"/>
      <c r="AE38" s="657"/>
      <c r="AF38" s="657"/>
      <c r="AG38" s="657"/>
      <c r="AH38" s="657"/>
      <c r="AI38" s="657"/>
      <c r="AJ38" s="301"/>
      <c r="AK38" s="3"/>
      <c r="AL38" s="1140"/>
      <c r="AM38" s="301"/>
      <c r="AN38" s="3"/>
      <c r="AO38" s="1140"/>
      <c r="AP38" s="1140"/>
      <c r="AQ38" s="1140"/>
      <c r="AR38" s="657"/>
      <c r="AS38" s="657"/>
      <c r="AT38" s="657"/>
      <c r="AU38" s="657"/>
      <c r="AV38" s="657"/>
      <c r="AW38" s="657"/>
      <c r="AX38" s="657"/>
      <c r="AY38" s="657"/>
      <c r="AZ38" s="657"/>
      <c r="BA38" s="1140"/>
      <c r="BB38" s="102"/>
      <c r="BC38" s="2206"/>
      <c r="BD38" s="2206"/>
      <c r="BE38" s="2206"/>
      <c r="BF38" s="2206"/>
      <c r="BG38" s="2206"/>
      <c r="BH38" s="2206"/>
      <c r="BI38" s="2206"/>
      <c r="BJ38" s="2206"/>
      <c r="BK38" s="2206"/>
      <c r="BL38" s="2206"/>
      <c r="BM38" s="2206"/>
      <c r="BN38" s="2206"/>
      <c r="BO38" s="2206"/>
      <c r="BP38" s="2206"/>
      <c r="BQ38" s="1140"/>
      <c r="BR38" s="1140"/>
      <c r="BS38" s="102"/>
      <c r="BT38" s="2214"/>
      <c r="BU38" s="2214"/>
      <c r="BV38" s="2214"/>
      <c r="BW38" s="2214"/>
      <c r="BX38" s="2214"/>
      <c r="BY38" s="2214"/>
      <c r="BZ38" s="2214"/>
      <c r="CA38" s="2215"/>
      <c r="CB38" s="2230"/>
      <c r="CC38" s="2214"/>
      <c r="CD38" s="2214"/>
      <c r="CE38" s="2214"/>
      <c r="CF38" s="2214"/>
      <c r="CG38" s="2214"/>
      <c r="CH38" s="2214"/>
      <c r="CI38" s="2215"/>
      <c r="CJ38" s="2230"/>
      <c r="CK38" s="2214"/>
      <c r="CL38" s="2214"/>
      <c r="CM38" s="2214"/>
      <c r="CN38" s="2214"/>
      <c r="CO38" s="2214"/>
      <c r="CP38" s="2214"/>
      <c r="CQ38" s="2215"/>
      <c r="CR38" s="2230"/>
      <c r="CS38" s="2214"/>
      <c r="CT38" s="2214"/>
      <c r="CU38" s="2214"/>
      <c r="CV38" s="2214"/>
      <c r="CW38" s="2214"/>
      <c r="CX38" s="2214"/>
      <c r="CY38" s="2215"/>
      <c r="CZ38" s="2230"/>
      <c r="DA38" s="2214"/>
      <c r="DB38" s="2214"/>
      <c r="DC38" s="2214"/>
      <c r="DD38" s="2214"/>
      <c r="DE38" s="2214"/>
      <c r="DF38" s="2214"/>
      <c r="DG38" s="2214"/>
      <c r="DH38" s="100"/>
      <c r="DI38" s="976"/>
      <c r="DJ38" s="1140"/>
      <c r="DK38" s="1140"/>
      <c r="DL38" s="1140"/>
      <c r="DM38" s="1140"/>
      <c r="DN38" s="1140"/>
      <c r="DO38" s="1140"/>
      <c r="DP38" s="1140"/>
      <c r="DQ38" s="1140"/>
      <c r="DR38" s="1140"/>
      <c r="DS38" s="1140"/>
      <c r="DT38" s="1140"/>
      <c r="DU38" s="1140"/>
      <c r="DV38" s="1140"/>
      <c r="DW38" s="1140"/>
      <c r="DX38" s="1140"/>
      <c r="DY38" s="1140"/>
      <c r="DZ38" s="1140"/>
      <c r="EA38" s="1140"/>
      <c r="EB38" s="1140"/>
      <c r="EC38" s="1140"/>
      <c r="ED38" s="1140"/>
      <c r="EE38" s="1140"/>
      <c r="EF38" s="1140"/>
      <c r="EG38" s="1140"/>
      <c r="EH38" s="1140"/>
      <c r="EI38" s="1140"/>
      <c r="EJ38" s="1140"/>
      <c r="EK38" s="1140"/>
      <c r="EL38" s="1140"/>
      <c r="EM38" s="1140"/>
      <c r="EN38" s="1140"/>
      <c r="EO38" s="1140"/>
      <c r="EP38" s="1140"/>
      <c r="EQ38" s="1140"/>
      <c r="ER38" s="1140"/>
      <c r="ES38" s="1140"/>
      <c r="ET38" s="1140"/>
      <c r="EU38" s="1140"/>
      <c r="EV38" s="1140"/>
      <c r="EW38" s="1140"/>
      <c r="EX38" s="1140"/>
      <c r="EY38" s="1140"/>
      <c r="EZ38" s="1140"/>
      <c r="FA38" s="1140"/>
      <c r="FB38" s="1140"/>
      <c r="FC38" s="1140"/>
      <c r="FD38" s="1140"/>
      <c r="FE38" s="1140"/>
      <c r="FF38" s="1140"/>
      <c r="FG38" s="1140"/>
      <c r="FH38" s="1140"/>
      <c r="FI38" s="1140"/>
      <c r="FJ38" s="1140"/>
      <c r="FK38" s="1140"/>
      <c r="FL38" s="1140"/>
      <c r="FM38" s="1019" t="str">
        <f>IF(Weapons!E$16="Dual Wield",IF(Weapons!O$16="Dual Wield",IF(AND(FM20&lt;&gt;"",#REF!&lt;&gt;""),FM20&amp;" and "&amp;RIGHT(#REF!,IF(Weapons!E$12="Melee",LEN(#REF!)-6,LEN(#REF!)-7)),""),""),"")</f>
        <v/>
      </c>
      <c r="FN38" s="1019" t="str">
        <f t="shared" si="0"/>
        <v/>
      </c>
      <c r="FO38" s="1019"/>
      <c r="FS38" s="1018"/>
      <c r="FT38" s="1140"/>
    </row>
    <row r="39" spans="1:176" s="1017" customFormat="1" ht="9" customHeight="1" thickTop="1">
      <c r="A39" s="1140"/>
      <c r="B39" s="1276"/>
      <c r="C39" s="1140"/>
      <c r="D39" s="1140"/>
      <c r="E39" s="105"/>
      <c r="F39" s="1141"/>
      <c r="G39" s="1141"/>
      <c r="H39" s="1141"/>
      <c r="I39" s="1141"/>
      <c r="J39" s="1141"/>
      <c r="K39" s="1141"/>
      <c r="L39" s="1141"/>
      <c r="M39" s="93"/>
      <c r="N39" s="2179" t="s">
        <v>6142</v>
      </c>
      <c r="O39" s="2179"/>
      <c r="P39" s="2179"/>
      <c r="Q39" s="2179"/>
      <c r="R39" s="2179"/>
      <c r="S39" s="2179"/>
      <c r="T39" s="592"/>
      <c r="U39" s="1117">
        <v>1</v>
      </c>
      <c r="V39" s="1117">
        <f>U39+1</f>
        <v>2</v>
      </c>
      <c r="W39" s="1117">
        <f>V39+1</f>
        <v>3</v>
      </c>
      <c r="X39" s="1117">
        <f>W39+1</f>
        <v>4</v>
      </c>
      <c r="Y39" s="1117">
        <f>X39+1</f>
        <v>5</v>
      </c>
      <c r="Z39" s="1117" t="s">
        <v>3816</v>
      </c>
      <c r="AA39" s="1117">
        <f>Y39+1</f>
        <v>6</v>
      </c>
      <c r="AB39" s="1117">
        <f>AA39+1</f>
        <v>7</v>
      </c>
      <c r="AC39" s="1117">
        <f>AB39+1</f>
        <v>8</v>
      </c>
      <c r="AD39" s="1117">
        <f>AC39+1</f>
        <v>9</v>
      </c>
      <c r="AE39" s="1117">
        <f>AD39+1</f>
        <v>10</v>
      </c>
      <c r="AF39" s="1117" t="s">
        <v>3816</v>
      </c>
      <c r="AG39" s="1117">
        <f>AE39+1</f>
        <v>11</v>
      </c>
      <c r="AH39" s="1117">
        <f>AG39+1</f>
        <v>12</v>
      </c>
      <c r="AI39" s="1117">
        <f>AH39+1</f>
        <v>13</v>
      </c>
      <c r="AJ39" s="1117">
        <f>AI39+1</f>
        <v>14</v>
      </c>
      <c r="AK39" s="1117">
        <f>AJ39+1</f>
        <v>15</v>
      </c>
      <c r="AL39" s="1117" t="s">
        <v>3816</v>
      </c>
      <c r="AM39" s="1117">
        <f>AK39+1</f>
        <v>16</v>
      </c>
      <c r="AN39" s="1117">
        <f>AM39+1</f>
        <v>17</v>
      </c>
      <c r="AO39" s="1117">
        <f>AN39+1</f>
        <v>18</v>
      </c>
      <c r="AP39" s="1117">
        <f>AO39+1</f>
        <v>19</v>
      </c>
      <c r="AQ39" s="1117">
        <f>AP39+1</f>
        <v>20</v>
      </c>
      <c r="AR39" s="1117" t="s">
        <v>3816</v>
      </c>
      <c r="AS39" s="1117">
        <f>AQ39+1</f>
        <v>21</v>
      </c>
      <c r="AT39" s="1117">
        <f>AS39+1</f>
        <v>22</v>
      </c>
      <c r="AU39" s="1117">
        <f>AT39+1</f>
        <v>23</v>
      </c>
      <c r="AV39" s="1117">
        <f>AU39+1</f>
        <v>24</v>
      </c>
      <c r="AW39" s="1117">
        <f>AV39+1</f>
        <v>25</v>
      </c>
      <c r="AX39" s="1117"/>
      <c r="AY39" s="297"/>
      <c r="AZ39" s="1116"/>
      <c r="BA39" s="1140"/>
      <c r="BB39" s="102"/>
      <c r="BC39" s="2206" t="s">
        <v>4096</v>
      </c>
      <c r="BD39" s="2206"/>
      <c r="BE39" s="2206"/>
      <c r="BF39" s="2206"/>
      <c r="BG39" s="2206"/>
      <c r="BH39" s="2206"/>
      <c r="BI39" s="2206"/>
      <c r="BJ39" s="2206"/>
      <c r="BK39" s="2206"/>
      <c r="BL39" s="2206"/>
      <c r="BM39" s="2206"/>
      <c r="BN39" s="2206"/>
      <c r="BO39" s="2206"/>
      <c r="BP39" s="2206"/>
      <c r="BQ39" s="1140"/>
      <c r="BR39" s="1140"/>
      <c r="BS39" s="102"/>
      <c r="BT39" s="2219" t="e">
        <f ca="1">IF(CB39&lt;&gt;"",IF(AND(INDEX(WeaponTable,MATCH(Weapons!E$11,WeaponList,0),5)&lt;&gt;"heavy",Feats!$M$361&gt;0),2,""),"")</f>
        <v>#N/A</v>
      </c>
      <c r="BU39" s="2219"/>
      <c r="BV39" s="2219"/>
      <c r="BW39" s="2219"/>
      <c r="BX39" s="2219"/>
      <c r="BY39" s="2219"/>
      <c r="BZ39" s="2219"/>
      <c r="CA39" s="2220"/>
      <c r="CB39" s="2225" t="e">
        <f ca="1">IF(AND(AR7="Ranged",K7&lt;&gt;""),IF(Feats!$M$233&gt;0,1,0),"")</f>
        <v>#N/A</v>
      </c>
      <c r="CC39" s="2219"/>
      <c r="CD39" s="2219"/>
      <c r="CE39" s="2219"/>
      <c r="CF39" s="2219"/>
      <c r="CG39" s="2219"/>
      <c r="CH39" s="2219"/>
      <c r="CI39" s="2220"/>
      <c r="CJ39" s="2219" t="e">
        <f ca="1">IF(AND(AR7="Ranged",K9&lt;&gt;""),IF(OR(Weapons!E$27="Accurate",COUNTIF(Weapons!E$56:E$60,"Rangefinder")&gt;0),0,IF(Feats!$M$107&gt;0,0,-2)),"")</f>
        <v>#N/A</v>
      </c>
      <c r="CK39" s="2219"/>
      <c r="CL39" s="2219"/>
      <c r="CM39" s="2219"/>
      <c r="CN39" s="2219"/>
      <c r="CO39" s="2219"/>
      <c r="CP39" s="2219"/>
      <c r="CQ39" s="2220"/>
      <c r="CR39" s="2225" t="e">
        <f ca="1">IF(AND(AR7="Ranged",K9&lt;&gt;""),IF(Feats!$M$107&gt;0,-2,-5),"")</f>
        <v>#N/A</v>
      </c>
      <c r="CS39" s="2219"/>
      <c r="CT39" s="2219"/>
      <c r="CU39" s="2219"/>
      <c r="CV39" s="2219"/>
      <c r="CW39" s="2219"/>
      <c r="CX39" s="2219"/>
      <c r="CY39" s="2220"/>
      <c r="CZ39" s="2231" t="e">
        <f ca="1">IF(AND(AR7="Ranged",K9&lt;&gt;""),IF(Weapons!E$27="Inaccurate","N/A",IF(Feats!$M$107&gt;0,-5,-10)),"")</f>
        <v>#N/A</v>
      </c>
      <c r="DA39" s="2232"/>
      <c r="DB39" s="2232"/>
      <c r="DC39" s="2232"/>
      <c r="DD39" s="2232"/>
      <c r="DE39" s="2232"/>
      <c r="DF39" s="2232"/>
      <c r="DG39" s="2232"/>
      <c r="DH39" s="100"/>
      <c r="DI39" s="976"/>
      <c r="DJ39" s="1140"/>
      <c r="DK39" s="1140"/>
      <c r="DL39" s="1140"/>
      <c r="DM39" s="1140"/>
      <c r="DN39" s="1140"/>
      <c r="DO39" s="1140"/>
      <c r="DP39" s="1140"/>
      <c r="DQ39" s="1140"/>
      <c r="DR39" s="1140"/>
      <c r="DS39" s="1140"/>
      <c r="DT39" s="1140"/>
      <c r="DU39" s="1140"/>
      <c r="DV39" s="1140"/>
      <c r="DW39" s="1140"/>
      <c r="DX39" s="1140"/>
      <c r="DY39" s="1140"/>
      <c r="DZ39" s="1140"/>
      <c r="EA39" s="1140"/>
      <c r="EB39" s="1140"/>
      <c r="EC39" s="1140"/>
      <c r="ED39" s="1140"/>
      <c r="EE39" s="1140"/>
      <c r="EF39" s="1140"/>
      <c r="EG39" s="1140"/>
      <c r="EH39" s="1140"/>
      <c r="EI39" s="1140"/>
      <c r="EJ39" s="1140"/>
      <c r="EK39" s="1140"/>
      <c r="EL39" s="1140"/>
      <c r="EM39" s="1140"/>
      <c r="EN39" s="1140"/>
      <c r="EO39" s="1140"/>
      <c r="EP39" s="1140"/>
      <c r="EQ39" s="1140"/>
      <c r="ER39" s="1140"/>
      <c r="ES39" s="1140"/>
      <c r="ET39" s="1140"/>
      <c r="EU39" s="1140"/>
      <c r="EV39" s="1140"/>
      <c r="EW39" s="1140"/>
      <c r="EX39" s="1140"/>
      <c r="EY39" s="1140"/>
      <c r="EZ39" s="1140"/>
      <c r="FA39" s="1140"/>
      <c r="FB39" s="1140"/>
      <c r="FC39" s="1140"/>
      <c r="FD39" s="1140"/>
      <c r="FE39" s="1140"/>
      <c r="FF39" s="1140"/>
      <c r="FG39" s="1140"/>
      <c r="FH39" s="1140"/>
      <c r="FI39" s="1140"/>
      <c r="FJ39" s="1140"/>
      <c r="FK39" s="1140"/>
      <c r="FL39" s="1140"/>
      <c r="FM39" s="1019" t="str">
        <f>IF(Weapons!E$16="Dual Wield",IF(Weapons!O$16="Dual Wield",IF(AND(FM21&lt;&gt;"",#REF!&lt;&gt;""),FM21&amp;" and "&amp;RIGHT(#REF!,IF(Weapons!E$12="Melee",LEN(#REF!)-6,LEN(#REF!)-7)),""),""),"")</f>
        <v/>
      </c>
      <c r="FN39" s="1019" t="str">
        <f t="shared" si="0"/>
        <v/>
      </c>
      <c r="FO39" s="1019"/>
      <c r="FS39" s="1018"/>
      <c r="FT39" s="1140"/>
    </row>
    <row r="40" spans="1:176" s="1017" customFormat="1" ht="9" customHeight="1">
      <c r="A40" s="1140"/>
      <c r="B40" s="1276"/>
      <c r="C40" s="1140"/>
      <c r="D40" s="1140"/>
      <c r="E40" s="331"/>
      <c r="F40" s="1141"/>
      <c r="G40" s="1141"/>
      <c r="H40" s="1141"/>
      <c r="I40" s="1141"/>
      <c r="J40" s="1141"/>
      <c r="K40" s="1141"/>
      <c r="L40" s="657"/>
      <c r="M40" s="102"/>
      <c r="N40" s="2180"/>
      <c r="O40" s="2180"/>
      <c r="P40" s="2180"/>
      <c r="Q40" s="2180"/>
      <c r="R40" s="2180"/>
      <c r="S40" s="2180"/>
      <c r="T40" s="3"/>
      <c r="U40" s="657"/>
      <c r="V40" s="657"/>
      <c r="W40" s="1141"/>
      <c r="X40" s="1141"/>
      <c r="Y40" s="1141"/>
      <c r="Z40" s="1141"/>
      <c r="AA40" s="712"/>
      <c r="AB40" s="712"/>
      <c r="AC40" s="595"/>
      <c r="AD40" s="595"/>
      <c r="AE40" s="595"/>
      <c r="AF40" s="595"/>
      <c r="AG40" s="595"/>
      <c r="AH40" s="595"/>
      <c r="AI40" s="595"/>
      <c r="AJ40" s="595"/>
      <c r="AK40" s="595"/>
      <c r="AL40" s="595"/>
      <c r="AM40" s="595"/>
      <c r="AN40" s="595"/>
      <c r="AO40" s="595"/>
      <c r="AP40" s="595"/>
      <c r="AQ40" s="595"/>
      <c r="AR40" s="595"/>
      <c r="AS40" s="595"/>
      <c r="AT40" s="595"/>
      <c r="AU40" s="595"/>
      <c r="AV40" s="595"/>
      <c r="AW40" s="595"/>
      <c r="AX40" s="595"/>
      <c r="AY40" s="300"/>
      <c r="AZ40" s="595"/>
      <c r="BA40" s="1140"/>
      <c r="BB40" s="102"/>
      <c r="BC40" s="2206"/>
      <c r="BD40" s="2206"/>
      <c r="BE40" s="2206"/>
      <c r="BF40" s="2206"/>
      <c r="BG40" s="2206"/>
      <c r="BH40" s="2206"/>
      <c r="BI40" s="2206"/>
      <c r="BJ40" s="2206"/>
      <c r="BK40" s="2206"/>
      <c r="BL40" s="2206"/>
      <c r="BM40" s="2206"/>
      <c r="BN40" s="2206"/>
      <c r="BO40" s="2206"/>
      <c r="BP40" s="2206"/>
      <c r="BQ40" s="1140"/>
      <c r="BR40" s="1140"/>
      <c r="BS40" s="102"/>
      <c r="BT40" s="2221"/>
      <c r="BU40" s="2221"/>
      <c r="BV40" s="2221"/>
      <c r="BW40" s="2221"/>
      <c r="BX40" s="2221"/>
      <c r="BY40" s="2221"/>
      <c r="BZ40" s="2221"/>
      <c r="CA40" s="2222"/>
      <c r="CB40" s="2228"/>
      <c r="CC40" s="2221"/>
      <c r="CD40" s="2221"/>
      <c r="CE40" s="2221"/>
      <c r="CF40" s="2221"/>
      <c r="CG40" s="2221"/>
      <c r="CH40" s="2221"/>
      <c r="CI40" s="2222"/>
      <c r="CJ40" s="2221"/>
      <c r="CK40" s="2221"/>
      <c r="CL40" s="2221"/>
      <c r="CM40" s="2221"/>
      <c r="CN40" s="2221"/>
      <c r="CO40" s="2221"/>
      <c r="CP40" s="2221"/>
      <c r="CQ40" s="2222"/>
      <c r="CR40" s="2228"/>
      <c r="CS40" s="2221"/>
      <c r="CT40" s="2221"/>
      <c r="CU40" s="2221"/>
      <c r="CV40" s="2221"/>
      <c r="CW40" s="2221"/>
      <c r="CX40" s="2221"/>
      <c r="CY40" s="2222"/>
      <c r="CZ40" s="2233"/>
      <c r="DA40" s="2234"/>
      <c r="DB40" s="2234"/>
      <c r="DC40" s="2234"/>
      <c r="DD40" s="2234"/>
      <c r="DE40" s="2234"/>
      <c r="DF40" s="2234"/>
      <c r="DG40" s="2234"/>
      <c r="DH40" s="100"/>
      <c r="DI40" s="976"/>
      <c r="DJ40" s="1140"/>
      <c r="DK40" s="1140"/>
      <c r="DL40" s="1140"/>
      <c r="DM40" s="1140"/>
      <c r="DN40" s="1140"/>
      <c r="DO40" s="1140"/>
      <c r="DP40" s="1140"/>
      <c r="DQ40" s="1140"/>
      <c r="DR40" s="1140"/>
      <c r="DS40" s="1140"/>
      <c r="DT40" s="1140"/>
      <c r="DU40" s="1140"/>
      <c r="DV40" s="1140"/>
      <c r="DW40" s="1140"/>
      <c r="DX40" s="1140"/>
      <c r="DY40" s="1140"/>
      <c r="DZ40" s="1140"/>
      <c r="EA40" s="1140"/>
      <c r="EB40" s="1140"/>
      <c r="EC40" s="1140"/>
      <c r="ED40" s="1140"/>
      <c r="EE40" s="1140"/>
      <c r="EF40" s="1140"/>
      <c r="EG40" s="1140"/>
      <c r="EH40" s="1140"/>
      <c r="EI40" s="1140"/>
      <c r="EJ40" s="1140"/>
      <c r="EK40" s="1140"/>
      <c r="EL40" s="1140"/>
      <c r="EM40" s="1140"/>
      <c r="EN40" s="1140"/>
      <c r="EO40" s="1140"/>
      <c r="EP40" s="1140"/>
      <c r="EQ40" s="1140"/>
      <c r="ER40" s="1140"/>
      <c r="ES40" s="1140"/>
      <c r="ET40" s="1140"/>
      <c r="EU40" s="1140"/>
      <c r="EV40" s="1140"/>
      <c r="EW40" s="1140"/>
      <c r="EX40" s="1140"/>
      <c r="EY40" s="1140"/>
      <c r="EZ40" s="1140"/>
      <c r="FA40" s="1140"/>
      <c r="FB40" s="1140"/>
      <c r="FC40" s="1140"/>
      <c r="FD40" s="1140"/>
      <c r="FE40" s="1140"/>
      <c r="FF40" s="1140"/>
      <c r="FG40" s="1140"/>
      <c r="FH40" s="1140"/>
      <c r="FI40" s="1140"/>
      <c r="FJ40" s="1140"/>
      <c r="FK40" s="1140"/>
      <c r="FL40" s="1140"/>
      <c r="FM40" s="1019" t="str">
        <f>IF(Weapons!E$16="Dual Wield",IF(Weapons!O$16="Dual Wield",IF(AND(FM22&lt;&gt;"",#REF!&lt;&gt;""),FM22&amp;" and "&amp;RIGHT(#REF!,IF(Weapons!E$12="Melee",LEN(#REF!)-6,LEN(#REF!)-7)),""),""),"")</f>
        <v/>
      </c>
      <c r="FN40" s="1019" t="str">
        <f t="shared" si="0"/>
        <v/>
      </c>
      <c r="FO40" s="1019"/>
      <c r="FS40" s="1018"/>
      <c r="FT40" s="1140"/>
    </row>
    <row r="41" spans="1:176" s="1017" customFormat="1" ht="9" customHeight="1">
      <c r="A41" s="1140"/>
      <c r="B41" s="1276"/>
      <c r="C41" s="1140"/>
      <c r="D41" s="1140"/>
      <c r="E41" s="331"/>
      <c r="F41" s="105"/>
      <c r="G41" s="105"/>
      <c r="H41" s="105"/>
      <c r="I41" s="105"/>
      <c r="J41" s="657"/>
      <c r="K41" s="657"/>
      <c r="L41" s="657"/>
      <c r="M41" s="102"/>
      <c r="N41" s="105"/>
      <c r="O41" s="105"/>
      <c r="P41" s="105"/>
      <c r="Q41" s="105"/>
      <c r="R41" s="657"/>
      <c r="S41" s="657"/>
      <c r="T41" s="3"/>
      <c r="U41" s="1141"/>
      <c r="V41" s="657"/>
      <c r="W41" s="657"/>
      <c r="X41" s="657"/>
      <c r="Y41" s="657"/>
      <c r="Z41" s="657"/>
      <c r="AA41" s="657"/>
      <c r="AB41" s="657"/>
      <c r="AC41" s="657"/>
      <c r="AD41" s="657"/>
      <c r="AE41" s="657"/>
      <c r="AF41" s="657"/>
      <c r="AG41" s="657"/>
      <c r="AH41" s="657"/>
      <c r="AI41" s="657"/>
      <c r="AJ41" s="657"/>
      <c r="AK41" s="657"/>
      <c r="AL41" s="657"/>
      <c r="AM41" s="657"/>
      <c r="AN41" s="657"/>
      <c r="AO41" s="657"/>
      <c r="AP41" s="596"/>
      <c r="AQ41" s="3"/>
      <c r="AR41" s="3"/>
      <c r="AS41" s="3"/>
      <c r="AT41" s="3"/>
      <c r="AU41" s="3"/>
      <c r="AV41" s="3"/>
      <c r="AW41" s="3"/>
      <c r="AX41" s="3"/>
      <c r="AY41" s="103"/>
      <c r="AZ41" s="1140"/>
      <c r="BA41" s="1140"/>
      <c r="BB41" s="102"/>
      <c r="BC41" s="2206"/>
      <c r="BD41" s="2206"/>
      <c r="BE41" s="2206"/>
      <c r="BF41" s="2206"/>
      <c r="BG41" s="2206"/>
      <c r="BH41" s="2206"/>
      <c r="BI41" s="2206"/>
      <c r="BJ41" s="2206"/>
      <c r="BK41" s="2206"/>
      <c r="BL41" s="2206"/>
      <c r="BM41" s="2206"/>
      <c r="BN41" s="2206"/>
      <c r="BO41" s="2206"/>
      <c r="BP41" s="2206"/>
      <c r="BQ41" s="1140"/>
      <c r="BR41" s="1140"/>
      <c r="BS41" s="102"/>
      <c r="BT41" s="2198"/>
      <c r="BU41" s="2198"/>
      <c r="BV41" s="2198"/>
      <c r="BW41" s="2198"/>
      <c r="BX41" s="2198"/>
      <c r="BY41" s="2198"/>
      <c r="BZ41" s="2198"/>
      <c r="CA41" s="2199"/>
      <c r="CB41" s="2197"/>
      <c r="CC41" s="2198"/>
      <c r="CD41" s="2198"/>
      <c r="CE41" s="2198"/>
      <c r="CF41" s="2198"/>
      <c r="CG41" s="2198"/>
      <c r="CH41" s="2198"/>
      <c r="CI41" s="2199"/>
      <c r="CJ41" s="2198"/>
      <c r="CK41" s="2198"/>
      <c r="CL41" s="2198"/>
      <c r="CM41" s="2198"/>
      <c r="CN41" s="2198"/>
      <c r="CO41" s="2198"/>
      <c r="CP41" s="2198"/>
      <c r="CQ41" s="2199"/>
      <c r="CR41" s="2197"/>
      <c r="CS41" s="2198"/>
      <c r="CT41" s="2198"/>
      <c r="CU41" s="2198"/>
      <c r="CV41" s="2198"/>
      <c r="CW41" s="2198"/>
      <c r="CX41" s="2198"/>
      <c r="CY41" s="2199"/>
      <c r="CZ41" s="2235"/>
      <c r="DA41" s="2236"/>
      <c r="DB41" s="2236"/>
      <c r="DC41" s="2236"/>
      <c r="DD41" s="2236"/>
      <c r="DE41" s="2236"/>
      <c r="DF41" s="2236"/>
      <c r="DG41" s="2236"/>
      <c r="DH41" s="100"/>
      <c r="DI41" s="976"/>
      <c r="DJ41" s="1140"/>
      <c r="DK41" s="1140"/>
      <c r="DL41" s="1140"/>
      <c r="DM41" s="1140"/>
      <c r="DN41" s="1140"/>
      <c r="DO41" s="1140"/>
      <c r="DP41" s="1140"/>
      <c r="DQ41" s="1140"/>
      <c r="DR41" s="1140"/>
      <c r="DS41" s="1140"/>
      <c r="DT41" s="1140"/>
      <c r="DU41" s="1140"/>
      <c r="DV41" s="1140"/>
      <c r="DW41" s="1140"/>
      <c r="DX41" s="1140"/>
      <c r="DY41" s="1140"/>
      <c r="DZ41" s="1140"/>
      <c r="EA41" s="1140"/>
      <c r="EB41" s="1140"/>
      <c r="EC41" s="1140"/>
      <c r="ED41" s="1140"/>
      <c r="EE41" s="1140"/>
      <c r="EF41" s="1140"/>
      <c r="EG41" s="1140"/>
      <c r="EH41" s="1140"/>
      <c r="EI41" s="1140"/>
      <c r="EJ41" s="1140"/>
      <c r="EK41" s="1140"/>
      <c r="EL41" s="1140"/>
      <c r="EM41" s="1140"/>
      <c r="EN41" s="1140"/>
      <c r="EO41" s="1140"/>
      <c r="EP41" s="1140"/>
      <c r="EQ41" s="1140"/>
      <c r="ER41" s="1140"/>
      <c r="ES41" s="1140"/>
      <c r="ET41" s="1140"/>
      <c r="EU41" s="1140"/>
      <c r="EV41" s="1140"/>
      <c r="EW41" s="1140"/>
      <c r="EX41" s="1140"/>
      <c r="EY41" s="1140"/>
      <c r="EZ41" s="1140"/>
      <c r="FA41" s="1140"/>
      <c r="FB41" s="1140"/>
      <c r="FC41" s="1140"/>
      <c r="FD41" s="1140"/>
      <c r="FE41" s="1140"/>
      <c r="FF41" s="1140"/>
      <c r="FG41" s="1140"/>
      <c r="FH41" s="1140"/>
      <c r="FI41" s="1140"/>
      <c r="FJ41" s="1140"/>
      <c r="FK41" s="1140"/>
      <c r="FL41" s="1140"/>
      <c r="FM41" s="1019" t="str">
        <f>IF(Weapons!E$16="Dual Wield",IF(Weapons!O$16="Dual Wield",IF(AND(FM23&lt;&gt;"",#REF!&lt;&gt;""),FM23&amp;" and "&amp;RIGHT(#REF!,IF(Weapons!E$12="Melee",LEN(#REF!)-6,LEN(#REF!)-7)),""),""),"")</f>
        <v/>
      </c>
      <c r="FN41" s="1019" t="str">
        <f t="shared" si="0"/>
        <v/>
      </c>
      <c r="FO41" s="1019"/>
      <c r="FS41" s="1018"/>
      <c r="FT41" s="1140"/>
    </row>
    <row r="42" spans="1:176" s="1017" customFormat="1" ht="9" customHeight="1">
      <c r="A42" s="1140"/>
      <c r="B42" s="1276"/>
      <c r="C42" s="1140"/>
      <c r="D42" s="1140"/>
      <c r="E42" s="331"/>
      <c r="F42" s="105"/>
      <c r="G42" s="105"/>
      <c r="H42" s="105"/>
      <c r="I42" s="105"/>
      <c r="J42" s="657"/>
      <c r="K42" s="657"/>
      <c r="L42" s="657"/>
      <c r="M42" s="102"/>
      <c r="N42" s="105"/>
      <c r="O42" s="105"/>
      <c r="P42" s="105"/>
      <c r="Q42" s="105"/>
      <c r="R42" s="657"/>
      <c r="S42" s="657"/>
      <c r="T42" s="3"/>
      <c r="U42" s="1141"/>
      <c r="V42" s="657"/>
      <c r="W42" s="657"/>
      <c r="X42" s="657"/>
      <c r="Y42" s="657"/>
      <c r="Z42" s="657"/>
      <c r="AA42" s="657"/>
      <c r="AB42" s="657"/>
      <c r="AC42" s="657"/>
      <c r="AD42" s="657"/>
      <c r="AE42" s="657"/>
      <c r="AF42" s="657"/>
      <c r="AG42" s="657"/>
      <c r="AH42" s="657"/>
      <c r="AI42" s="657"/>
      <c r="AJ42" s="657"/>
      <c r="AK42" s="657"/>
      <c r="AL42" s="657"/>
      <c r="AM42" s="657"/>
      <c r="AN42" s="657"/>
      <c r="AO42" s="657"/>
      <c r="AP42" s="596"/>
      <c r="AQ42" s="3"/>
      <c r="AR42" s="3"/>
      <c r="AS42" s="3"/>
      <c r="AT42" s="3"/>
      <c r="AU42" s="3"/>
      <c r="AV42" s="3"/>
      <c r="AW42" s="3"/>
      <c r="AX42" s="3"/>
      <c r="AY42" s="300"/>
      <c r="AZ42" s="1140"/>
      <c r="BA42" s="1140"/>
      <c r="BB42" s="102"/>
      <c r="BC42" s="2206" t="s">
        <v>3732</v>
      </c>
      <c r="BD42" s="2206"/>
      <c r="BE42" s="2206"/>
      <c r="BF42" s="2206"/>
      <c r="BG42" s="2206"/>
      <c r="BH42" s="2206"/>
      <c r="BI42" s="2206"/>
      <c r="BJ42" s="2206"/>
      <c r="BK42" s="2206"/>
      <c r="BL42" s="2206"/>
      <c r="BM42" s="2206"/>
      <c r="BN42" s="2206"/>
      <c r="BO42" s="2206"/>
      <c r="BP42" s="2206"/>
      <c r="BQ42" s="1140"/>
      <c r="BR42" s="1140"/>
      <c r="BS42" s="102"/>
      <c r="BT42" s="2210" t="e">
        <f ca="1">IF(CB42&lt;&gt;"",IF(AND(INDEX(WeaponTable,MATCH(Weapons!E$11,WeaponList,0),5)&lt;&gt;"heavy",Feats!$M$361&gt;0),"+1d"&amp;Weapons!E$79&amp;"+1",""),"")</f>
        <v>#N/A</v>
      </c>
      <c r="BU42" s="2210"/>
      <c r="BV42" s="2210"/>
      <c r="BW42" s="2210"/>
      <c r="BX42" s="2210"/>
      <c r="BY42" s="2210"/>
      <c r="BZ42" s="2210"/>
      <c r="CA42" s="2211"/>
      <c r="CB42" s="2225" t="e">
        <f ca="1">IF(CB39&lt;&gt;"",IF(CB39&lt;&gt;0,CB39,""),"")</f>
        <v>#N/A</v>
      </c>
      <c r="CC42" s="2210"/>
      <c r="CD42" s="2210"/>
      <c r="CE42" s="2210"/>
      <c r="CF42" s="2210"/>
      <c r="CG42" s="2210"/>
      <c r="CH42" s="2210"/>
      <c r="CI42" s="2211"/>
      <c r="CJ42" s="2210"/>
      <c r="CK42" s="2210"/>
      <c r="CL42" s="2210"/>
      <c r="CM42" s="2210"/>
      <c r="CN42" s="2210"/>
      <c r="CO42" s="2210"/>
      <c r="CP42" s="2210"/>
      <c r="CQ42" s="2211"/>
      <c r="CR42" s="2229"/>
      <c r="CS42" s="2210"/>
      <c r="CT42" s="2210"/>
      <c r="CU42" s="2210"/>
      <c r="CV42" s="2210"/>
      <c r="CW42" s="2210"/>
      <c r="CX42" s="2210"/>
      <c r="CY42" s="2211"/>
      <c r="CZ42" s="2229"/>
      <c r="DA42" s="2210"/>
      <c r="DB42" s="2210"/>
      <c r="DC42" s="2210"/>
      <c r="DD42" s="2210"/>
      <c r="DE42" s="2210"/>
      <c r="DF42" s="2210"/>
      <c r="DG42" s="2210"/>
      <c r="DH42" s="100"/>
      <c r="DI42" s="976"/>
      <c r="DJ42" s="1140"/>
      <c r="DK42" s="1140"/>
      <c r="DL42" s="1140"/>
      <c r="DM42" s="1140"/>
      <c r="DN42" s="1140"/>
      <c r="DO42" s="1140"/>
      <c r="DP42" s="1140"/>
      <c r="DQ42" s="1140"/>
      <c r="DR42" s="1140"/>
      <c r="DS42" s="1140"/>
      <c r="DT42" s="1140"/>
      <c r="DU42" s="1140"/>
      <c r="DV42" s="1140"/>
      <c r="DW42" s="1140"/>
      <c r="DX42" s="1140"/>
      <c r="DY42" s="1140"/>
      <c r="DZ42" s="1140"/>
      <c r="EA42" s="1140"/>
      <c r="EB42" s="1140"/>
      <c r="EC42" s="1140"/>
      <c r="ED42" s="1140"/>
      <c r="EE42" s="1140"/>
      <c r="EF42" s="1140"/>
      <c r="EG42" s="1140"/>
      <c r="EH42" s="1140"/>
      <c r="EI42" s="1140"/>
      <c r="EJ42" s="1140"/>
      <c r="EK42" s="1140"/>
      <c r="EL42" s="1140"/>
      <c r="EM42" s="1140"/>
      <c r="EN42" s="1140"/>
      <c r="EO42" s="1140"/>
      <c r="EP42" s="1140"/>
      <c r="EQ42" s="1140"/>
      <c r="ER42" s="1140"/>
      <c r="ES42" s="1140"/>
      <c r="ET42" s="1140"/>
      <c r="EU42" s="1140"/>
      <c r="EV42" s="1140"/>
      <c r="EW42" s="1140"/>
      <c r="EX42" s="1140"/>
      <c r="EY42" s="1140"/>
      <c r="EZ42" s="1140"/>
      <c r="FA42" s="1140"/>
      <c r="FB42" s="1140"/>
      <c r="FC42" s="1140"/>
      <c r="FD42" s="1140"/>
      <c r="FE42" s="1140"/>
      <c r="FF42" s="1140"/>
      <c r="FG42" s="1140"/>
      <c r="FH42" s="1140"/>
      <c r="FI42" s="1140"/>
      <c r="FJ42" s="1140"/>
      <c r="FK42" s="1140"/>
      <c r="FL42" s="1140"/>
      <c r="FM42" s="1019"/>
      <c r="FN42" s="1022" t="s">
        <v>195</v>
      </c>
      <c r="FO42" s="1019"/>
      <c r="FS42" s="1018"/>
      <c r="FT42" s="1140"/>
    </row>
    <row r="43" spans="1:176" s="1017" customFormat="1" ht="9" customHeight="1" thickBot="1">
      <c r="A43" s="1140"/>
      <c r="B43" s="1276"/>
      <c r="C43" s="1140"/>
      <c r="D43" s="1140"/>
      <c r="E43" s="331"/>
      <c r="F43" s="3"/>
      <c r="G43" s="1140"/>
      <c r="H43" s="1140"/>
      <c r="I43" s="1140"/>
      <c r="J43" s="1140"/>
      <c r="K43" s="105"/>
      <c r="L43" s="105"/>
      <c r="M43" s="102"/>
      <c r="N43" s="3"/>
      <c r="O43" s="3"/>
      <c r="P43" s="3"/>
      <c r="Q43" s="3"/>
      <c r="R43" s="3"/>
      <c r="S43" s="105"/>
      <c r="T43" s="3"/>
      <c r="U43" s="1141"/>
      <c r="V43" s="657"/>
      <c r="W43" s="657"/>
      <c r="X43" s="657"/>
      <c r="Y43" s="657"/>
      <c r="Z43" s="657"/>
      <c r="AA43" s="657"/>
      <c r="AB43" s="657"/>
      <c r="AC43" s="657"/>
      <c r="AD43" s="657"/>
      <c r="AE43" s="657"/>
      <c r="AF43" s="657"/>
      <c r="AG43" s="657"/>
      <c r="AH43" s="657"/>
      <c r="AI43" s="657"/>
      <c r="AJ43" s="657"/>
      <c r="AK43" s="657"/>
      <c r="AL43" s="657"/>
      <c r="AM43" s="657"/>
      <c r="AN43" s="657"/>
      <c r="AO43" s="657"/>
      <c r="AP43" s="596"/>
      <c r="AQ43" s="3"/>
      <c r="AR43" s="3"/>
      <c r="AS43" s="3"/>
      <c r="AT43" s="3"/>
      <c r="AU43" s="3"/>
      <c r="AV43" s="3"/>
      <c r="AW43" s="3"/>
      <c r="AX43" s="1118"/>
      <c r="AY43" s="103"/>
      <c r="AZ43" s="710"/>
      <c r="BA43" s="1140"/>
      <c r="BB43" s="102"/>
      <c r="BC43" s="2206"/>
      <c r="BD43" s="2206"/>
      <c r="BE43" s="2206"/>
      <c r="BF43" s="2206"/>
      <c r="BG43" s="2206"/>
      <c r="BH43" s="2206"/>
      <c r="BI43" s="2206"/>
      <c r="BJ43" s="2206"/>
      <c r="BK43" s="2206"/>
      <c r="BL43" s="2206"/>
      <c r="BM43" s="2206"/>
      <c r="BN43" s="2206"/>
      <c r="BO43" s="2206"/>
      <c r="BP43" s="2206"/>
      <c r="BQ43" s="1140"/>
      <c r="BR43" s="108"/>
      <c r="BS43" s="647"/>
      <c r="BT43" s="2212"/>
      <c r="BU43" s="2212"/>
      <c r="BV43" s="2212"/>
      <c r="BW43" s="2212"/>
      <c r="BX43" s="2212"/>
      <c r="BY43" s="2212"/>
      <c r="BZ43" s="2212"/>
      <c r="CA43" s="2213"/>
      <c r="CB43" s="2226"/>
      <c r="CC43" s="2212"/>
      <c r="CD43" s="2212"/>
      <c r="CE43" s="2212"/>
      <c r="CF43" s="2212"/>
      <c r="CG43" s="2212"/>
      <c r="CH43" s="2212"/>
      <c r="CI43" s="2213"/>
      <c r="CJ43" s="2212"/>
      <c r="CK43" s="2212"/>
      <c r="CL43" s="2212"/>
      <c r="CM43" s="2212"/>
      <c r="CN43" s="2212"/>
      <c r="CO43" s="2212"/>
      <c r="CP43" s="2212"/>
      <c r="CQ43" s="2213"/>
      <c r="CR43" s="2226"/>
      <c r="CS43" s="2212"/>
      <c r="CT43" s="2212"/>
      <c r="CU43" s="2212"/>
      <c r="CV43" s="2212"/>
      <c r="CW43" s="2212"/>
      <c r="CX43" s="2212"/>
      <c r="CY43" s="2213"/>
      <c r="CZ43" s="2226"/>
      <c r="DA43" s="2212"/>
      <c r="DB43" s="2212"/>
      <c r="DC43" s="2212"/>
      <c r="DD43" s="2212"/>
      <c r="DE43" s="2212"/>
      <c r="DF43" s="2212"/>
      <c r="DG43" s="2212"/>
      <c r="DH43" s="100"/>
      <c r="DI43" s="976"/>
      <c r="DJ43" s="1140"/>
      <c r="DK43" s="1140"/>
      <c r="DL43" s="1140"/>
      <c r="DM43" s="1140"/>
      <c r="DN43" s="1140"/>
      <c r="DO43" s="1140"/>
      <c r="DP43" s="1140"/>
      <c r="DQ43" s="1140"/>
      <c r="DR43" s="1140"/>
      <c r="DS43" s="1140"/>
      <c r="DT43" s="1140"/>
      <c r="DU43" s="1140"/>
      <c r="DV43" s="1140"/>
      <c r="DW43" s="1140"/>
      <c r="DX43" s="1140"/>
      <c r="DY43" s="1140"/>
      <c r="DZ43" s="1140"/>
      <c r="EA43" s="1140"/>
      <c r="EB43" s="1140"/>
      <c r="EC43" s="1140"/>
      <c r="ED43" s="1140"/>
      <c r="EE43" s="1140"/>
      <c r="EF43" s="1140"/>
      <c r="EG43" s="1140"/>
      <c r="EH43" s="1140"/>
      <c r="EI43" s="1140"/>
      <c r="EJ43" s="1140"/>
      <c r="EK43" s="1140"/>
      <c r="EL43" s="1140"/>
      <c r="EM43" s="1140"/>
      <c r="EN43" s="1140"/>
      <c r="EO43" s="1140"/>
      <c r="EP43" s="1140"/>
      <c r="EQ43" s="1140"/>
      <c r="ER43" s="1140"/>
      <c r="ES43" s="1140"/>
      <c r="ET43" s="1140"/>
      <c r="EU43" s="1140"/>
      <c r="EV43" s="1140"/>
      <c r="EW43" s="1140"/>
      <c r="EX43" s="1140"/>
      <c r="EY43" s="1140"/>
      <c r="EZ43" s="1140"/>
      <c r="FA43" s="1140"/>
      <c r="FB43" s="1140"/>
      <c r="FC43" s="1140"/>
      <c r="FD43" s="1140"/>
      <c r="FE43" s="1140"/>
      <c r="FF43" s="1140"/>
      <c r="FG43" s="1140"/>
      <c r="FH43" s="1140"/>
      <c r="FI43" s="1140"/>
      <c r="FJ43" s="1140"/>
      <c r="FK43" s="1140"/>
      <c r="FL43" s="1140"/>
      <c r="FM43" s="1019"/>
      <c r="FN43" s="1019"/>
      <c r="FO43" s="1019"/>
      <c r="FS43" s="1018"/>
      <c r="FT43" s="1140"/>
    </row>
    <row r="44" spans="1:176" s="1017" customFormat="1" ht="9" customHeight="1" thickTop="1" thickBot="1">
      <c r="A44" s="1140"/>
      <c r="B44" s="1276"/>
      <c r="C44" s="1140"/>
      <c r="D44" s="1140"/>
      <c r="E44" s="105"/>
      <c r="F44" s="3"/>
      <c r="G44" s="1140"/>
      <c r="H44" s="1140"/>
      <c r="I44" s="1140"/>
      <c r="J44" s="1140"/>
      <c r="K44" s="1140"/>
      <c r="L44" s="1140"/>
      <c r="M44" s="91"/>
      <c r="N44" s="713"/>
      <c r="O44" s="713"/>
      <c r="P44" s="713"/>
      <c r="Q44" s="713"/>
      <c r="R44" s="713"/>
      <c r="S44" s="713"/>
      <c r="T44" s="713"/>
      <c r="U44" s="713"/>
      <c r="V44" s="713"/>
      <c r="W44" s="713"/>
      <c r="X44" s="713"/>
      <c r="Y44" s="713"/>
      <c r="Z44" s="713"/>
      <c r="AA44" s="713"/>
      <c r="AB44" s="713"/>
      <c r="AC44" s="713"/>
      <c r="AD44" s="713"/>
      <c r="AE44" s="713"/>
      <c r="AF44" s="713"/>
      <c r="AG44" s="713"/>
      <c r="AH44" s="713"/>
      <c r="AI44" s="713"/>
      <c r="AJ44" s="713"/>
      <c r="AK44" s="713"/>
      <c r="AL44" s="713"/>
      <c r="AM44" s="713"/>
      <c r="AN44" s="713"/>
      <c r="AO44" s="713"/>
      <c r="AP44" s="713"/>
      <c r="AQ44" s="713"/>
      <c r="AR44" s="713"/>
      <c r="AS44" s="713"/>
      <c r="AT44" s="713"/>
      <c r="AU44" s="713"/>
      <c r="AV44" s="713"/>
      <c r="AW44" s="713"/>
      <c r="AX44" s="1119"/>
      <c r="AY44" s="90"/>
      <c r="AZ44" s="710"/>
      <c r="BA44" s="710"/>
      <c r="BB44" s="649"/>
      <c r="BC44" s="2240"/>
      <c r="BD44" s="2240"/>
      <c r="BE44" s="2240"/>
      <c r="BF44" s="2240"/>
      <c r="BG44" s="2240"/>
      <c r="BH44" s="2240"/>
      <c r="BI44" s="2240"/>
      <c r="BJ44" s="2240"/>
      <c r="BK44" s="2240"/>
      <c r="BL44" s="2240"/>
      <c r="BM44" s="2240"/>
      <c r="BN44" s="2240"/>
      <c r="BO44" s="2240"/>
      <c r="BP44" s="2240"/>
      <c r="BQ44" s="93"/>
      <c r="BR44" s="1140"/>
      <c r="BS44" s="649"/>
      <c r="BT44" s="2223"/>
      <c r="BU44" s="2223"/>
      <c r="BV44" s="2223"/>
      <c r="BW44" s="2223"/>
      <c r="BX44" s="2223"/>
      <c r="BY44" s="2223"/>
      <c r="BZ44" s="2223"/>
      <c r="CA44" s="2224"/>
      <c r="CB44" s="2227"/>
      <c r="CC44" s="2223"/>
      <c r="CD44" s="2223"/>
      <c r="CE44" s="2223"/>
      <c r="CF44" s="2223"/>
      <c r="CG44" s="2223"/>
      <c r="CH44" s="2223"/>
      <c r="CI44" s="2224"/>
      <c r="CJ44" s="2223"/>
      <c r="CK44" s="2223"/>
      <c r="CL44" s="2223"/>
      <c r="CM44" s="2223"/>
      <c r="CN44" s="2223"/>
      <c r="CO44" s="2223"/>
      <c r="CP44" s="2223"/>
      <c r="CQ44" s="2224"/>
      <c r="CR44" s="2227"/>
      <c r="CS44" s="2223"/>
      <c r="CT44" s="2223"/>
      <c r="CU44" s="2223"/>
      <c r="CV44" s="2223"/>
      <c r="CW44" s="2223"/>
      <c r="CX44" s="2223"/>
      <c r="CY44" s="2224"/>
      <c r="CZ44" s="2227"/>
      <c r="DA44" s="2223"/>
      <c r="DB44" s="2223"/>
      <c r="DC44" s="2223"/>
      <c r="DD44" s="2223"/>
      <c r="DE44" s="2223"/>
      <c r="DF44" s="2223"/>
      <c r="DG44" s="2223"/>
      <c r="DH44" s="93"/>
      <c r="DI44" s="976"/>
      <c r="DJ44" s="1140"/>
      <c r="DK44" s="1140"/>
      <c r="DL44" s="1140"/>
      <c r="DM44" s="1140"/>
      <c r="DN44" s="1140"/>
      <c r="DO44" s="1140"/>
      <c r="DP44" s="1140"/>
      <c r="DQ44" s="1140"/>
      <c r="DR44" s="1140"/>
      <c r="DS44" s="1140"/>
      <c r="DT44" s="1140"/>
      <c r="DU44" s="1140"/>
      <c r="DV44" s="1140"/>
      <c r="DW44" s="1140"/>
      <c r="DX44" s="1140"/>
      <c r="DY44" s="1140"/>
      <c r="DZ44" s="1140"/>
      <c r="EA44" s="1140"/>
      <c r="EB44" s="1140"/>
      <c r="EC44" s="1140"/>
      <c r="ED44" s="1140"/>
      <c r="EE44" s="1140"/>
      <c r="EF44" s="1140"/>
      <c r="EG44" s="1140"/>
      <c r="EH44" s="1140"/>
      <c r="EI44" s="1140"/>
      <c r="EJ44" s="1140"/>
      <c r="EK44" s="1140"/>
      <c r="EL44" s="1140"/>
      <c r="EM44" s="1140"/>
      <c r="EN44" s="1140"/>
      <c r="EO44" s="1140"/>
      <c r="EP44" s="1140"/>
      <c r="EQ44" s="1140"/>
      <c r="ER44" s="1140"/>
      <c r="ES44" s="1140"/>
      <c r="ET44" s="1140"/>
      <c r="EU44" s="1140"/>
      <c r="EV44" s="1140"/>
      <c r="EW44" s="1140"/>
      <c r="EX44" s="1140"/>
      <c r="EY44" s="1140"/>
      <c r="EZ44" s="1140"/>
      <c r="FA44" s="1140"/>
      <c r="FB44" s="1140"/>
      <c r="FC44" s="1140"/>
      <c r="FD44" s="1140"/>
      <c r="FE44" s="1140"/>
      <c r="FF44" s="1140"/>
      <c r="FG44" s="1140"/>
      <c r="FH44" s="1140"/>
      <c r="FI44" s="1140"/>
      <c r="FJ44" s="1140"/>
      <c r="FK44" s="1140"/>
      <c r="FL44" s="1140"/>
      <c r="FM44" s="1019"/>
      <c r="FN44" s="1019"/>
      <c r="FO44" s="1019"/>
      <c r="FS44" s="1018"/>
      <c r="FT44" s="1140"/>
    </row>
    <row r="45" spans="1:176" s="1017" customFormat="1" ht="9" customHeight="1" thickTop="1">
      <c r="A45" s="1140"/>
      <c r="B45" s="1276"/>
      <c r="C45" s="1140"/>
      <c r="D45" s="1140"/>
      <c r="E45" s="3"/>
      <c r="F45" s="3"/>
      <c r="G45" s="3"/>
      <c r="H45" s="3"/>
      <c r="I45" s="3"/>
      <c r="J45" s="3"/>
      <c r="K45" s="3"/>
      <c r="L45" s="3"/>
      <c r="M45" s="1140"/>
      <c r="N45" s="1140"/>
      <c r="O45" s="1140"/>
      <c r="P45" s="1140"/>
      <c r="Q45" s="1140"/>
      <c r="R45" s="1140"/>
      <c r="S45" s="1140"/>
      <c r="T45" s="1140"/>
      <c r="U45" s="1140"/>
      <c r="V45" s="1140"/>
      <c r="W45" s="1140"/>
      <c r="X45" s="1140"/>
      <c r="Y45" s="1140"/>
      <c r="Z45" s="1140"/>
      <c r="AA45" s="1140"/>
      <c r="AB45" s="1140"/>
      <c r="AC45" s="1140"/>
      <c r="AD45" s="1140"/>
      <c r="AE45" s="1140"/>
      <c r="AF45" s="1140"/>
      <c r="AG45" s="1140"/>
      <c r="AH45" s="1140"/>
      <c r="AI45" s="1140"/>
      <c r="AJ45" s="1140"/>
      <c r="AK45" s="1140"/>
      <c r="AL45" s="1140"/>
      <c r="AM45" s="1140"/>
      <c r="AN45" s="1140"/>
      <c r="AO45" s="1140"/>
      <c r="AP45" s="1140"/>
      <c r="AQ45" s="1140"/>
      <c r="AR45" s="1140"/>
      <c r="AS45" s="1140"/>
      <c r="AT45" s="1140"/>
      <c r="AU45" s="1140"/>
      <c r="AV45" s="1140"/>
      <c r="AW45" s="1140"/>
      <c r="AX45" s="1140"/>
      <c r="AY45" s="1140"/>
      <c r="AZ45" s="1140"/>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976"/>
      <c r="DJ45" s="3"/>
      <c r="DK45" s="3"/>
      <c r="DL45" s="1140"/>
      <c r="DM45" s="1140"/>
      <c r="DN45" s="1140"/>
      <c r="DO45" s="1140"/>
      <c r="DP45" s="1140"/>
      <c r="DQ45" s="1140"/>
      <c r="DR45" s="1140"/>
      <c r="DS45" s="1140"/>
      <c r="DT45" s="1140"/>
      <c r="DU45" s="1140"/>
      <c r="DV45" s="1140"/>
      <c r="DW45" s="1140"/>
      <c r="DX45" s="1140"/>
      <c r="DY45" s="1140"/>
      <c r="DZ45" s="1140"/>
      <c r="EA45" s="1140"/>
      <c r="EB45" s="1140"/>
      <c r="EC45" s="1140"/>
      <c r="ED45" s="1140"/>
      <c r="EE45" s="1140"/>
      <c r="EF45" s="1140"/>
      <c r="EG45" s="1140"/>
      <c r="EH45" s="1140"/>
      <c r="EI45" s="1140"/>
      <c r="EJ45" s="1140"/>
      <c r="EK45" s="1140"/>
      <c r="EL45" s="1140"/>
      <c r="EM45" s="1140"/>
      <c r="EN45" s="1140"/>
      <c r="EO45" s="1140"/>
      <c r="EP45" s="1140"/>
      <c r="EQ45" s="1140"/>
      <c r="ER45" s="1140"/>
      <c r="ES45" s="1140"/>
      <c r="ET45" s="1140"/>
      <c r="EU45" s="1140"/>
      <c r="EV45" s="1140"/>
      <c r="EW45" s="1140"/>
      <c r="EX45" s="1140"/>
      <c r="EY45" s="1140"/>
      <c r="EZ45" s="1140"/>
      <c r="FA45" s="1140"/>
      <c r="FB45" s="1140"/>
      <c r="FC45" s="1140"/>
      <c r="FD45" s="1140"/>
      <c r="FE45" s="1140"/>
      <c r="FF45" s="1140"/>
      <c r="FG45" s="1140"/>
      <c r="FH45" s="1140"/>
      <c r="FI45" s="1140"/>
      <c r="FJ45" s="1140"/>
      <c r="FK45" s="1140"/>
      <c r="FL45" s="1140"/>
      <c r="FM45" s="1019"/>
      <c r="FN45" s="1019"/>
      <c r="FO45" s="1019"/>
      <c r="FS45" s="1018"/>
      <c r="FT45" s="1140"/>
    </row>
    <row r="46" spans="1:176" s="1017" customFormat="1" ht="9" customHeight="1" thickBot="1">
      <c r="A46" s="1140"/>
      <c r="B46" s="1276"/>
      <c r="C46" s="1140"/>
      <c r="D46" s="1140"/>
      <c r="E46" s="942"/>
      <c r="F46" s="942"/>
      <c r="G46" s="942"/>
      <c r="H46" s="942"/>
      <c r="I46" s="942"/>
      <c r="J46" s="942"/>
      <c r="K46" s="942"/>
      <c r="L46" s="942"/>
      <c r="M46" s="942"/>
      <c r="N46" s="942"/>
      <c r="O46" s="942"/>
      <c r="P46" s="942"/>
      <c r="Q46" s="942"/>
      <c r="R46" s="942"/>
      <c r="S46" s="942"/>
      <c r="T46" s="942"/>
      <c r="U46" s="942"/>
      <c r="V46" s="942"/>
      <c r="W46" s="942"/>
      <c r="X46" s="942"/>
      <c r="Y46" s="942"/>
      <c r="Z46" s="942"/>
      <c r="AA46" s="942"/>
      <c r="AB46" s="942"/>
      <c r="AC46" s="942"/>
      <c r="AD46" s="942"/>
      <c r="AE46" s="942"/>
      <c r="AF46" s="942"/>
      <c r="AG46" s="942"/>
      <c r="AH46" s="942"/>
      <c r="AI46" s="942"/>
      <c r="AJ46" s="942"/>
      <c r="AK46" s="942"/>
      <c r="AL46" s="942"/>
      <c r="AM46" s="942"/>
      <c r="AN46" s="942"/>
      <c r="AO46" s="942"/>
      <c r="AP46" s="942"/>
      <c r="AQ46" s="942"/>
      <c r="AR46" s="942"/>
      <c r="AS46" s="942"/>
      <c r="AT46" s="942"/>
      <c r="AU46" s="942"/>
      <c r="AV46" s="942"/>
      <c r="AW46" s="942"/>
      <c r="AX46" s="942"/>
      <c r="AY46" s="942"/>
      <c r="AZ46" s="942"/>
      <c r="BA46" s="942"/>
      <c r="BB46" s="942"/>
      <c r="BC46" s="942"/>
      <c r="BD46" s="942"/>
      <c r="BE46" s="942"/>
      <c r="BF46" s="942"/>
      <c r="BG46" s="942"/>
      <c r="BH46" s="942"/>
      <c r="BI46" s="942"/>
      <c r="BJ46" s="942"/>
      <c r="BK46" s="942"/>
      <c r="BL46" s="942"/>
      <c r="BM46" s="942"/>
      <c r="BN46" s="942"/>
      <c r="BO46" s="942"/>
      <c r="BP46" s="942"/>
      <c r="BQ46" s="942"/>
      <c r="BR46" s="942"/>
      <c r="BS46" s="942"/>
      <c r="BT46" s="942"/>
      <c r="BU46" s="942"/>
      <c r="BV46" s="942"/>
      <c r="BW46" s="942"/>
      <c r="BX46" s="942"/>
      <c r="BY46" s="942"/>
      <c r="BZ46" s="942"/>
      <c r="CA46" s="942"/>
      <c r="CB46" s="942"/>
      <c r="CC46" s="942"/>
      <c r="CD46" s="942"/>
      <c r="CE46" s="942"/>
      <c r="CF46" s="942"/>
      <c r="CG46" s="942"/>
      <c r="CH46" s="942"/>
      <c r="CI46" s="942"/>
      <c r="CJ46" s="942"/>
      <c r="CK46" s="942"/>
      <c r="CL46" s="942"/>
      <c r="CM46" s="942"/>
      <c r="CN46" s="942"/>
      <c r="CO46" s="942"/>
      <c r="CP46" s="942"/>
      <c r="CQ46" s="942"/>
      <c r="CR46" s="942"/>
      <c r="CS46" s="942"/>
      <c r="CT46" s="942"/>
      <c r="CU46" s="942"/>
      <c r="CV46" s="942"/>
      <c r="CW46" s="942"/>
      <c r="CX46" s="942"/>
      <c r="CY46" s="942"/>
      <c r="CZ46" s="942"/>
      <c r="DA46" s="942"/>
      <c r="DB46" s="942"/>
      <c r="DC46" s="942"/>
      <c r="DD46" s="942"/>
      <c r="DE46" s="942"/>
      <c r="DF46" s="942"/>
      <c r="DG46" s="942"/>
      <c r="DH46" s="942"/>
      <c r="DI46" s="978"/>
      <c r="DJ46" s="942"/>
      <c r="DK46" s="942"/>
      <c r="DL46" s="942"/>
      <c r="DM46" s="1140"/>
      <c r="DN46" s="1140"/>
      <c r="DO46" s="1140"/>
      <c r="DP46" s="1140"/>
      <c r="DQ46" s="1140"/>
      <c r="DR46" s="1140"/>
      <c r="DS46" s="1140"/>
      <c r="DT46" s="1140"/>
      <c r="DU46" s="1140"/>
      <c r="DV46" s="1140"/>
      <c r="DW46" s="1140"/>
      <c r="DX46" s="1140"/>
      <c r="DY46" s="1140"/>
      <c r="DZ46" s="1140"/>
      <c r="EA46" s="1140"/>
      <c r="EB46" s="1140"/>
      <c r="EC46" s="1140"/>
      <c r="ED46" s="1140"/>
      <c r="EE46" s="1140"/>
      <c r="EF46" s="1140"/>
      <c r="EG46" s="1140"/>
      <c r="EH46" s="1140"/>
      <c r="EI46" s="1140"/>
      <c r="EJ46" s="1140"/>
      <c r="EK46" s="1140"/>
      <c r="EL46" s="1140"/>
      <c r="EM46" s="1140"/>
      <c r="EN46" s="1140"/>
      <c r="EO46" s="1140"/>
      <c r="EP46" s="1140"/>
      <c r="EQ46" s="1140"/>
      <c r="ER46" s="1140"/>
      <c r="ES46" s="1140"/>
      <c r="ET46" s="1140"/>
      <c r="EU46" s="1140"/>
      <c r="EV46" s="1140"/>
      <c r="EW46" s="1140"/>
      <c r="EX46" s="1140"/>
      <c r="EY46" s="1140"/>
      <c r="EZ46" s="1140"/>
      <c r="FA46" s="1140"/>
      <c r="FB46" s="1140"/>
      <c r="FC46" s="1140"/>
      <c r="FD46" s="1140"/>
      <c r="FE46" s="1140"/>
      <c r="FF46" s="1140"/>
      <c r="FG46" s="1140"/>
      <c r="FH46" s="1140"/>
      <c r="FI46" s="1140"/>
      <c r="FJ46" s="1140"/>
      <c r="FK46" s="1140"/>
      <c r="FL46" s="1140"/>
      <c r="FM46" s="1019"/>
      <c r="FN46" s="1019"/>
      <c r="FO46" s="1019"/>
      <c r="FS46" s="1018"/>
      <c r="FT46" s="1140"/>
    </row>
    <row r="49" spans="1:83" ht="18" customHeight="1">
      <c r="A49" s="1140" t="e">
        <f>IF(D49&lt;&gt;"",INDEX(WeaponCheatSheetTable,MATCH(D49,WeaponCheatSheetList,0),2),"")</f>
        <v>#N/A</v>
      </c>
      <c r="B49" s="1140" t="e">
        <f>IF(D49&lt;&gt;"",INDEX(WeaponCheatSheetTable,MATCH(D49,WeaponCheatSheetList,0),3),"")</f>
        <v>#N/A</v>
      </c>
      <c r="C49" s="1276" t="s">
        <v>4185</v>
      </c>
      <c r="D49" s="2251" t="s">
        <v>1618</v>
      </c>
      <c r="E49" s="2251"/>
      <c r="F49" s="2251"/>
      <c r="G49" s="2251"/>
      <c r="H49" s="2251"/>
      <c r="I49" s="2251"/>
      <c r="J49" s="2251"/>
      <c r="K49" s="2251"/>
      <c r="L49" s="2251"/>
      <c r="M49" s="2251"/>
      <c r="N49" s="2251"/>
      <c r="O49" s="2251"/>
      <c r="P49" s="2251"/>
      <c r="Q49" s="2251"/>
      <c r="R49" s="2251"/>
      <c r="S49" s="2251"/>
      <c r="T49" s="2251"/>
      <c r="U49" s="2251"/>
      <c r="V49" s="2251"/>
      <c r="W49" s="2251"/>
      <c r="X49" s="2251"/>
      <c r="Y49" s="2251"/>
      <c r="Z49" s="2251"/>
      <c r="AA49" s="2251"/>
      <c r="AB49" s="2251"/>
      <c r="AC49" s="2251"/>
      <c r="AD49" s="2251"/>
      <c r="AE49" s="1286"/>
      <c r="AF49" s="1286"/>
      <c r="AZ49" s="2250" t="s">
        <v>3720</v>
      </c>
      <c r="BA49" s="2250"/>
      <c r="BB49" s="2250"/>
      <c r="BC49" s="2250"/>
      <c r="BD49" s="2250"/>
      <c r="BF49" s="2248" t="e">
        <f ca="1">IF(A49&lt;&gt;"",INDIRECT(ADDRESS(8,A49,1,TRUE,"Weapons")),"")</f>
        <v>#N/A</v>
      </c>
      <c r="BG49" s="2248"/>
      <c r="BH49" s="2248"/>
      <c r="BI49" s="2248" t="e">
        <f ca="1">IF(A49&lt;&gt;"",IF(INDIRECT(ADDRESS(127,A49,1,TRUE,"Weapons"))&lt;&gt;"",INDIRECT(ADDRESS(127,A49,1,TRUE,"Weapons"))+BF49,""),"")</f>
        <v>#N/A</v>
      </c>
      <c r="BJ49" s="2248"/>
      <c r="BK49" s="2248"/>
      <c r="BL49" s="2248" t="e">
        <f ca="1">IF(A49&lt;&gt;"",IF(INDIRECT(ADDRESS(128,A49,1,TRUE,"Weapons"))&lt;&gt;"",INDIRECT(ADDRESS(128,A49,1,TRUE,"Weapons"))+BF49,""),"")</f>
        <v>#N/A</v>
      </c>
      <c r="BM49" s="2248"/>
      <c r="BN49" s="2248"/>
    </row>
    <row r="50" spans="1:83" ht="18" customHeight="1">
      <c r="A50" s="1276" t="e">
        <f>IF(D50&lt;&gt;"",INDEX(WeaponCheatSheetTable,MATCH(D50,WeaponCheatSheetList,0),2),"")</f>
        <v>#N/A</v>
      </c>
      <c r="B50" s="1276" t="e">
        <f>IF(D50&lt;&gt;"",INDEX(WeaponCheatSheetTable,MATCH(D50,WeaponCheatSheetList,0),3),"")</f>
        <v>#N/A</v>
      </c>
      <c r="C50" s="1276" t="s">
        <v>6187</v>
      </c>
      <c r="D50" s="2251" t="s">
        <v>1618</v>
      </c>
      <c r="E50" s="2251"/>
      <c r="F50" s="2251"/>
      <c r="G50" s="2251"/>
      <c r="H50" s="2251"/>
      <c r="I50" s="2251"/>
      <c r="J50" s="2251"/>
      <c r="K50" s="2251"/>
      <c r="L50" s="2251"/>
      <c r="M50" s="2251"/>
      <c r="N50" s="2251"/>
      <c r="O50" s="2251"/>
      <c r="P50" s="2251"/>
      <c r="Q50" s="2251"/>
      <c r="R50" s="2251"/>
      <c r="S50" s="2251"/>
      <c r="T50" s="2251"/>
      <c r="U50" s="2251"/>
      <c r="V50" s="2251"/>
      <c r="W50" s="2251"/>
      <c r="X50" s="2251"/>
      <c r="Y50" s="2251"/>
      <c r="Z50" s="2251"/>
      <c r="AA50" s="2251"/>
      <c r="AB50" s="2251"/>
      <c r="AC50" s="2251"/>
      <c r="AD50" s="2251"/>
      <c r="AE50" s="1286" t="e">
        <f ca="1">IF(D50&lt;&gt;"",IF(INDIRECT(ADDRESS(16,A50,1,TRUE,"Weapons"))="Dual Wield",1,0),0)</f>
        <v>#N/A</v>
      </c>
      <c r="AF50" s="1286" t="e">
        <f ca="1">IF(D51="Dual Wield",1,0)</f>
        <v>#N/A</v>
      </c>
      <c r="AG50" s="1286"/>
      <c r="AI50" s="1286"/>
      <c r="AJ50" s="1286"/>
    </row>
    <row r="51" spans="1:83" ht="18" customHeight="1">
      <c r="C51" s="613" t="e">
        <f ca="1">IF(A49&lt;&gt;"",INDIRECT(ADDRESS(12,A49,1,TRUE,"Weapons")),"")</f>
        <v>#N/A</v>
      </c>
      <c r="D51" s="2248" t="e">
        <f ca="1">IF(A49&lt;&gt;"",IF(INDIRECT(ADDRESS(16,A49,1,TRUE,"Weapons"))&lt;&gt;"",INDIRECT(ADDRESS(16,A49,1,TRUE,"Weapons")),INDIRECT(ADDRESS(15,A49,1,TRUE,"Weapons"))),"")</f>
        <v>#N/A</v>
      </c>
      <c r="E51" s="2248"/>
      <c r="F51" s="2248"/>
      <c r="G51" s="2248"/>
      <c r="H51" s="2248"/>
      <c r="I51" s="2248"/>
      <c r="J51" s="2248"/>
      <c r="K51" s="2248"/>
      <c r="L51" s="2248"/>
      <c r="M51" s="2248"/>
      <c r="N51" s="2248"/>
      <c r="O51" s="2248"/>
      <c r="P51" s="2248"/>
      <c r="Q51" s="1283"/>
      <c r="R51" s="1283"/>
      <c r="S51" s="1283"/>
      <c r="T51" s="1283"/>
      <c r="U51" s="1283"/>
      <c r="V51" s="1283"/>
      <c r="W51" s="1283"/>
      <c r="X51" s="1283"/>
      <c r="Y51" s="1283"/>
      <c r="Z51" s="1283"/>
      <c r="AA51" s="1283"/>
      <c r="AB51" s="1283"/>
      <c r="AC51" s="1283"/>
      <c r="AD51" s="1283"/>
      <c r="AE51" s="1286"/>
      <c r="AF51" s="1286"/>
      <c r="AG51" s="1286"/>
    </row>
    <row r="52" spans="1:83" ht="18" customHeight="1">
      <c r="C52" s="613" t="s">
        <v>48</v>
      </c>
      <c r="D52" s="2248" t="e">
        <f ca="1">IF(A49&lt;&gt;"",INDIRECT(ADDRESS(34,A49,1,TRUE,"Weapons")),"")</f>
        <v>#N/A</v>
      </c>
      <c r="E52" s="2248"/>
      <c r="F52" s="2248"/>
      <c r="G52" s="2248"/>
      <c r="H52" s="2248"/>
      <c r="I52" s="2248"/>
      <c r="J52" s="2248"/>
      <c r="K52" s="2248"/>
      <c r="L52" s="2248"/>
      <c r="M52" s="2248"/>
      <c r="N52" s="2248"/>
      <c r="O52" s="2248"/>
      <c r="P52" s="2248"/>
      <c r="Q52" s="1284" t="s">
        <v>3601</v>
      </c>
      <c r="R52" s="1284"/>
      <c r="S52" s="1284"/>
      <c r="T52" s="1284"/>
      <c r="U52" s="2249" t="s">
        <v>2265</v>
      </c>
      <c r="V52" s="2249"/>
      <c r="W52" s="2249"/>
      <c r="X52" s="2249"/>
      <c r="Y52" s="2249"/>
      <c r="Z52" s="2249"/>
      <c r="AA52" s="2249"/>
      <c r="AB52" s="2249"/>
      <c r="AC52" s="2249"/>
      <c r="AD52" s="2249"/>
      <c r="AE52" s="2249"/>
      <c r="AF52" s="2249"/>
      <c r="AG52" s="2249"/>
      <c r="AH52" s="2249"/>
      <c r="AI52" s="2249"/>
      <c r="AJ52" s="2249"/>
      <c r="AK52" s="2249"/>
      <c r="AL52" s="2249"/>
      <c r="AM52" s="2249"/>
      <c r="AN52" s="2249"/>
      <c r="AO52" s="2249"/>
      <c r="AP52" s="2249"/>
      <c r="AQ52" s="2249"/>
      <c r="AR52" s="2249"/>
      <c r="AS52" s="2249"/>
      <c r="AT52" s="2249"/>
      <c r="AU52" s="2249"/>
      <c r="AV52" s="2249"/>
      <c r="AW52" s="2249"/>
      <c r="AX52" s="2249"/>
      <c r="AY52" s="2249"/>
      <c r="AZ52" s="2249"/>
      <c r="BA52" s="1284" t="e">
        <f ca="1">IF(U52&lt;&gt;"",IF(OR(INDEX(WeaponFeatsModsTable,MATCH(U52,WeaponFeatsModsList,0),7)=C51,INDEX(WeaponFeatsModsTable,MATCH(U52,WeaponFeatsModsList,0),7)=""),INDEX(WeaponFeatsModsTable,MATCH(U52,WeaponFeatsModsList,0),2),0),0)+IF(AC52&lt;&gt;"",IF(OR(INDEX(WeaponFeatsModsTable,MATCH(AC52,WeaponFeatsModsList,0),7)=C51,INDEX(WeaponFeatsModsTable,MATCH(AC52,WeaponFeatsModsList,0),7)=""),INDEX(WeaponFeatsModsTable,MATCH(AC52,WeaponFeatsModsList,0),2),0),0)+IF(AK52&lt;&gt;"",IF(OR(INDEX(WeaponFeatsModsTable,MATCH(AK52,WeaponFeatsModsList,0),7)=C51,INDEX(WeaponFeatsModsTable,MATCH(AK52,WeaponFeatsModsList,0),7)=""),INDEX(WeaponFeatsModsTable,MATCH(AK52,WeaponFeatsModsList,0),2),0),0)+IF(AS52&lt;&gt;"",IF(OR(INDEX(WeaponFeatsModsTable,MATCH(AS52,WeaponFeatsModsList,0),7)=C51,INDEX(WeaponFeatsModsTable,MATCH(AS52,WeaponFeatsModsList,0),7)=""),INDEX(WeaponFeatsModsTable,MATCH(AS52,WeaponFeatsModsList,0),2),0),0)</f>
        <v>#N/A</v>
      </c>
      <c r="BB52" s="1284" t="e">
        <f ca="1">IF(U52&lt;&gt;"",IF(OR(INDEX(WeaponFeatsModsTable,MATCH(U52,WeaponFeatsModsList,0),7)=C51,INDEX(WeaponFeatsModsTable,MATCH(U52,WeaponFeatsModsList,0),7)=""),INDEX(WeaponFeatsModsTable,MATCH(U52,WeaponFeatsModsList,0),3),0),0)+IF(AC52&lt;&gt;"",IF(OR(INDEX(WeaponFeatsModsTable,MATCH(AC52,WeaponFeatsModsList,0),7)=C51,INDEX(WeaponFeatsModsTable,MATCH(AC52,WeaponFeatsModsList,0),7)=""),INDEX(WeaponFeatsModsTable,MATCH(AC52,WeaponFeatsModsList,0),3),0),0)+IF(AK52&lt;&gt;"",IF(OR(INDEX(WeaponFeatsModsTable,MATCH(AK52,WeaponFeatsModsList,0),7)=C51,INDEX(WeaponFeatsModsTable,MATCH(AK52,WeaponFeatsModsList,0),7)=""),INDEX(WeaponFeatsModsTable,MATCH(AK52,WeaponFeatsModsList,0),3),0),0)+IF(AS52&lt;&gt;"",IF(OR(INDEX(WeaponFeatsModsTable,MATCH(AS52,WeaponFeatsModsList,0),7)=C51,INDEX(WeaponFeatsModsTable,MATCH(AS52,WeaponFeatsModsList,0),7)=""),INDEX(WeaponFeatsModsTable,MATCH(AS52,WeaponFeatsModsList,0),3),0),0)</f>
        <v>#N/A</v>
      </c>
      <c r="BC52" s="1284" t="e">
        <f ca="1">IF(U52&lt;&gt;"",IF(OR(INDEX(WeaponFeatsModsTable,MATCH(U52,WeaponFeatsModsList,0),7)=C51,INDEX(WeaponFeatsModsTable,MATCH(U52,WeaponFeatsModsList,0),7)=""),INDEX(WeaponFeatsModsTable,MATCH(U52,WeaponFeatsModsList,0),4),0),0)+IF(AC52&lt;&gt;"",IF(OR(INDEX(WeaponFeatsModsTable,MATCH(AC52,WeaponFeatsModsList,0),7)=C51,INDEX(WeaponFeatsModsTable,MATCH(AC52,WeaponFeatsModsList,0),7)=""),INDEX(WeaponFeatsModsTable,MATCH(AC52,WeaponFeatsModsList,0),4),0),0)+IF(AK52&lt;&gt;"",IF(OR(INDEX(WeaponFeatsModsTable,MATCH(AK52,WeaponFeatsModsList,0),7)=C51,INDEX(WeaponFeatsModsTable,MATCH(AK52,WeaponFeatsModsList,0),7)=""),INDEX(WeaponFeatsModsTable,MATCH(AK52,WeaponFeatsModsList,0),4),0),0)+IF(AS52&lt;&gt;"",IF(OR(INDEX(WeaponFeatsModsTable,MATCH(AS52,WeaponFeatsModsList,0),7)=C51,INDEX(WeaponFeatsModsTable,MATCH(AS52,WeaponFeatsModsList,0),7)=""),INDEX(WeaponFeatsModsTable,MATCH(AS52,WeaponFeatsModsList,0),4),0),0)</f>
        <v>#N/A</v>
      </c>
      <c r="BD52" s="1284" t="e">
        <f ca="1">IF(U52&lt;&gt;"",IF(OR(INDEX(WeaponFeatsModsTable,MATCH(U52,WeaponFeatsModsList,0),7)=C51,INDEX(WeaponFeatsModsTable,MATCH(U52,WeaponFeatsModsList,0),7)=""),INDEX(WeaponFeatsModsTable,MATCH(U52,WeaponFeatsModsList,0),5),0),0)+IF(AC52&lt;&gt;"",IF(OR(INDEX(WeaponFeatsModsTable,MATCH(AC52,WeaponFeatsModsList,0),7)=C51,INDEX(WeaponFeatsModsTable,MATCH(AC52,WeaponFeatsModsList,0),7)=""),INDEX(WeaponFeatsModsTable,MATCH(AC52,WeaponFeatsModsList,0),5),0),0)+IF(AK52&lt;&gt;"",IF(OR(INDEX(WeaponFeatsModsTable,MATCH(AK52,WeaponFeatsModsList,0),7)=C51,INDEX(WeaponFeatsModsTable,MATCH(AK52,WeaponFeatsModsList,0),7)=""),INDEX(WeaponFeatsModsTable,MATCH(AK52,WeaponFeatsModsList,0),5),0),0)+IF(AS52&lt;&gt;"",IF(OR(INDEX(WeaponFeatsModsTable,MATCH(AS52,WeaponFeatsModsList,0),7)=C51,INDEX(WeaponFeatsModsTable,MATCH(AS52,WeaponFeatsModsList,0),7)=""),INDEX(WeaponFeatsModsTable,MATCH(AS52,WeaponFeatsModsList,0),5),0),0)</f>
        <v>#N/A</v>
      </c>
      <c r="BE52" s="1140">
        <f>IF(U52&lt;&gt;"",IF(INDEX(WeaponFeatsModsTable,MATCH(U52,WeaponFeatsModsList,0),8)="Yes",1,0),IF(AC52&lt;&gt;"",IF(INDEX(WeaponFeatsModsTable,MATCH(AC52,WeaponFeatsModsList,0),8)="Yes",1,0),IF(AK52&lt;&gt;"",IF(INDEX(WeaponFeatsModsTable,MATCH(AK52,WeaponFeatsModsList,0),8)="Yes",1,0),IF(AS52&lt;&gt;"",IF(INDEX(WeaponFeatsModsTable,MATCH(AS52,WeaponFeatsModsList,0),8)="Yes",1,0)))))</f>
        <v>1</v>
      </c>
      <c r="BF52" s="2248" t="e">
        <f ca="1">IF(OR(U52&lt;&gt;"",AC52&lt;&gt;"",AK52&lt;&gt;"",AS52&lt;&gt;""),BA52+INDIRECT(ADDRESS(8,A49,1,TRUE,"Weapons"))+IF(AND(COUNTIF(U52:AZ52,"Careful Shot")&gt;0,COUNTIF(INDIRECT(ADDRESS(56,A49,1,TRUE,"Weapons")):INDIRECT(ADDRESS(59,A49,1,TRUE,"Weapons")),"Double Trigger")&gt;0),1,0),"")</f>
        <v>#N/A</v>
      </c>
      <c r="BG52" s="2248"/>
      <c r="BH52" s="2248"/>
      <c r="BI52" s="2248" t="e">
        <f ca="1">IF(AND(INDIRECT(ADDRESS(127,A49,1,TRUE,"Weapons"))&lt;&gt;"",OR(U52&lt;&gt;"",AC52&lt;&gt;"",AK52&lt;&gt;"",AS52&lt;&gt;"")),BA52+INDIRECT(ADDRESS(8,A49,1,TRUE,"Weapons"))+INDIRECT(ADDRESS(127,A49,1,TRUE,"Weapons")),"")</f>
        <v>#N/A</v>
      </c>
      <c r="BJ52" s="2248"/>
      <c r="BK52" s="2248"/>
      <c r="BL52" s="2248" t="e">
        <f ca="1">IF(AND(INDIRECT(ADDRESS(128,A49,1,TRUE,"Weapons"))&lt;&gt;"",OR(U52&lt;&gt;"",AC52&lt;&gt;"",AK52&lt;&gt;"",AS52&lt;&gt;"")),BA52+INDIRECT(ADDRESS(8,A49,1,TRUE,"Weapons"))+INDIRECT(ADDRESS(128,A49,1,TRUE,"Weapons")),"")</f>
        <v>#N/A</v>
      </c>
      <c r="BM52" s="2248"/>
      <c r="BN52" s="2248"/>
      <c r="BO52" s="2248" t="e">
        <f ca="1">IF(OR(U52&lt;&gt;"",AC52&lt;&gt;"",AK52&lt;&gt;"",AS52&lt;&gt;""),INDIRECT(ADDRESS(78,A49,1,TRUE,"Weapons"))+BD52&amp;"d"&amp;INDIRECT(ADDRESS(79,A49,1,TRUE,"Weapons"))&amp;"+"&amp;INDIRECT(ADDRESS(116,A49,1,TRUE,"Weapons"))+BB52+IF(D51="Two-Handed",INT(BC52/2),0)&amp;INDIRECT(ADDRESS(123,A49,1,TRUE,"Weapons")),"")</f>
        <v>#N/A</v>
      </c>
      <c r="BP52" s="2248"/>
      <c r="BQ52" s="2248"/>
      <c r="BR52" s="2248"/>
      <c r="BS52" s="2248"/>
      <c r="BT52" s="2248"/>
      <c r="BU52" s="2248"/>
      <c r="BV52" s="2248"/>
      <c r="BW52" s="2248"/>
      <c r="BX52" s="2248"/>
      <c r="BY52" s="2248"/>
      <c r="BZ52" s="2248"/>
      <c r="CA52" s="2248"/>
      <c r="CB52" s="2248"/>
      <c r="CC52" s="2248"/>
      <c r="CD52" s="2248"/>
      <c r="CE52" s="1140" t="e">
        <f ca="1">IF(OR(U52&lt;&gt;"",AC52&lt;&gt;"",AK52&lt;&gt;"",AS52&lt;&gt;""),C$51&amp;" "&amp;D49&amp;" "&amp;IF(BF52&gt;=0,"+","")&amp;BF52&amp;" ("&amp;BO52&amp;IF(INDIRECT(ADDRESS(82,A49,1,TRUE,"Weapons"))&lt;&gt;"20","/"&amp;INDIRECT(ADDRESS(82,A49,1,TRUE,"Weapons")),"")&amp;IF(INDIRECT(ADDRESS(83,A49,1,TRUE,"Weapons"))&lt;&gt;2,"/×"&amp;INDIRECT(ADDRESS(83,A49,1,TRUE,"Weapons")),"")&amp;")"&amp;IF(U52&lt;&gt;""," with "&amp;U52,"")&amp;IF(AC52&lt;&gt;""," and "&amp;AC52,"")&amp;IF(AK52&lt;&gt;""," and "&amp;AK52,"")&amp;IF(AS52&lt;&gt;""," and "&amp;AS52,""),"")</f>
        <v>#N/A</v>
      </c>
    </row>
    <row r="53" spans="1:83" ht="18" customHeight="1">
      <c r="C53" s="613" t="s">
        <v>115</v>
      </c>
      <c r="D53" s="2248" t="e">
        <f ca="1">IF(A49&lt;&gt;"",INDIRECT(ADDRESS(23,A49,1,TRUE,"Weapons")),"")</f>
        <v>#N/A</v>
      </c>
      <c r="E53" s="2248"/>
      <c r="F53" s="2248"/>
      <c r="G53" s="2248"/>
      <c r="H53" s="2248"/>
      <c r="I53" s="2248"/>
      <c r="J53" s="2248"/>
      <c r="K53" s="2248"/>
      <c r="L53" s="2248"/>
      <c r="M53" s="2248"/>
      <c r="N53" s="2248"/>
      <c r="O53" s="2248"/>
      <c r="P53" s="2248"/>
      <c r="Q53" s="1284"/>
      <c r="R53" s="1284"/>
      <c r="S53" s="1284"/>
      <c r="T53" s="1284"/>
      <c r="U53" s="1284"/>
      <c r="V53" s="1284"/>
      <c r="W53" s="1284"/>
      <c r="X53" s="1284"/>
      <c r="Y53" s="1284"/>
      <c r="Z53" s="1284"/>
      <c r="AA53" s="1284"/>
      <c r="AB53" s="1284"/>
      <c r="AC53" s="1284"/>
      <c r="AD53" s="1284"/>
      <c r="CE53" s="1140" t="e">
        <f ca="1">IF(AND(BI52&lt;&gt;"",OR(U52&lt;&gt;"",AC52&lt;&gt;"",AK52&lt;&gt;"",AS52&lt;&gt;"")),C$51&amp;" "&amp;D49&amp;" "&amp;IF(BI52&gt;=0,"+","")&amp;BI52&amp;"/"&amp;IF(BI52&gt;=0,"+","")&amp;BI52&amp;" ("&amp;BO52&amp;IF(INDIRECT(ADDRESS(82,A49,1,TRUE,"Weapons"))&lt;&gt;"20","/"&amp;INDIRECT(ADDRESS(82,A49,1,TRUE,"Weapons")),"")&amp;IF(INDIRECT(ADDRESS(83,A49,1,TRUE,"Weapons"))&lt;&gt;2,"/×"&amp;INDIRECT(ADDRESS(83,A49,1,TRUE,"Weapons")),"")&amp;")"&amp;IF(U52&lt;&gt;""," with Double Attack and "&amp;U52,"")&amp;IF(AC52&lt;&gt;""," and "&amp;AC52,"")&amp;IF(AK52&lt;&gt;""," and "&amp;AK52,"")&amp;IF(AS52&lt;&gt;""," and "&amp;AS52,""),"")</f>
        <v>#N/A</v>
      </c>
    </row>
    <row r="54" spans="1:83" ht="18" customHeight="1">
      <c r="C54" s="613" t="s">
        <v>4052</v>
      </c>
      <c r="D54" s="2248" t="e">
        <f ca="1">IF(D49="","",IF(INDIRECT(ADDRESS(22,A49+3,1,TRUE,"Weapons"))&lt;&gt;"",INDIRECT(ADDRESS(22,A49+3,1,TRUE,"Weapons")),INDIRECT(ADDRESS(82,A49,1,TRUE,"Weapons"))&amp;"/×"&amp;INDIRECT(ADDRESS(83,A49,1,TRUE,"Weapons"))))</f>
        <v>#N/A</v>
      </c>
      <c r="E54" s="2248"/>
      <c r="F54" s="2248"/>
      <c r="G54" s="2248"/>
      <c r="H54" s="2248"/>
      <c r="I54" s="2248"/>
      <c r="J54" s="2248"/>
      <c r="K54" s="2248"/>
      <c r="L54" s="2248"/>
      <c r="M54" s="2248"/>
      <c r="N54" s="2248"/>
      <c r="O54" s="2248"/>
      <c r="P54" s="2248"/>
      <c r="Q54" s="1284"/>
      <c r="R54" s="1284"/>
      <c r="S54" s="1284"/>
      <c r="T54" s="1284"/>
      <c r="U54" s="1284"/>
      <c r="V54" s="1284"/>
      <c r="W54" s="1284"/>
      <c r="X54" s="1284"/>
      <c r="Y54" s="1284"/>
      <c r="Z54" s="1284"/>
      <c r="AA54" s="1284"/>
      <c r="AB54" s="1284"/>
      <c r="AC54" s="1284"/>
      <c r="AD54" s="1284"/>
      <c r="CE54" s="1140" t="e">
        <f ca="1">IF(AND(BL52&lt;&gt;"",OR(U52&lt;&gt;"",AC52&lt;&gt;"",AK52&lt;&gt;"",AS52&lt;&gt;"")),C$51&amp;" "&amp;D49&amp;" "&amp;IF(BL52&gt;=0,"+","")&amp;BL52&amp;"/"&amp;IF(BL52&gt;=0,"+","")&amp;BL52&amp;"/"&amp;IF(BL52&gt;=0,"+","")&amp;BL52&amp;" ("&amp;BO52&amp;IF(INDIRECT(ADDRESS(82,A49,1,TRUE,"Weapons"))&lt;&gt;"20","/"&amp;INDIRECT(ADDRESS(82,A49,1,TRUE,"Weapons")),"")&amp;IF(INDIRECT(ADDRESS(83,A49,1,TRUE,"Weapons"))&lt;&gt;2,"/×"&amp;INDIRECT(ADDRESS(83,A49,1,TRUE,"Weapons")),"")&amp;")"&amp;IF(U52&lt;&gt;""," with Triple Attack and "&amp;U52,"")&amp;IF(AC52&lt;&gt;""," and "&amp;AC52,"")&amp;IF(AK52&lt;&gt;""," and "&amp;AK52,"")&amp;IF(AS52&lt;&gt;""," and "&amp;AS52,""),"")</f>
        <v>#N/A</v>
      </c>
    </row>
    <row r="55" spans="1:83" ht="18" customHeight="1">
      <c r="C55" s="613" t="s">
        <v>6194</v>
      </c>
      <c r="D55" s="2248" t="e">
        <f ca="1">IF(A49&lt;&gt;"",INDIRECT(ADDRESS(25,A49,1,TRUE,"Weapons")),"")</f>
        <v>#N/A</v>
      </c>
      <c r="E55" s="2248"/>
      <c r="F55" s="2248"/>
      <c r="G55" s="2248"/>
      <c r="H55" s="2248"/>
      <c r="I55" s="2248"/>
      <c r="J55" s="2248"/>
      <c r="K55" s="2248"/>
      <c r="L55" s="2248"/>
      <c r="M55" s="2248"/>
      <c r="N55" s="2248"/>
      <c r="O55" s="2248"/>
      <c r="P55" s="2248"/>
      <c r="Q55" s="1284"/>
      <c r="R55" s="1284"/>
      <c r="S55" s="1284"/>
      <c r="T55" s="1284"/>
      <c r="U55" s="1284"/>
      <c r="V55" s="1284"/>
      <c r="W55" s="1284"/>
      <c r="X55" s="1284"/>
      <c r="Y55" s="1284"/>
      <c r="Z55" s="1284"/>
      <c r="AA55" s="1284"/>
      <c r="AB55" s="1284"/>
      <c r="AC55" s="1284"/>
      <c r="AD55" s="1284"/>
    </row>
    <row r="56" spans="1:83" ht="18" customHeight="1">
      <c r="C56" s="613" t="s">
        <v>6193</v>
      </c>
      <c r="D56" s="2248" t="e">
        <f ca="1">IF(A50&lt;&gt;"",INDIRECT(ADDRESS(25,A50,1,TRUE,"Weapons")),"")</f>
        <v>#N/A</v>
      </c>
      <c r="E56" s="2248"/>
      <c r="F56" s="2248"/>
      <c r="G56" s="2248"/>
      <c r="H56" s="2248"/>
      <c r="I56" s="2248"/>
      <c r="J56" s="2248"/>
      <c r="K56" s="2248"/>
      <c r="L56" s="2248"/>
      <c r="M56" s="2248"/>
      <c r="N56" s="2248"/>
      <c r="O56" s="2248"/>
      <c r="P56" s="2248"/>
    </row>
    <row r="57" spans="1:83" ht="18" customHeight="1">
      <c r="C57" s="613" t="s">
        <v>6191</v>
      </c>
      <c r="D57" s="2248" t="e">
        <f ca="1">IF(D49&lt;&gt;"",IF(OR(AND(INDIRECT(ADDRESS(74,A49,1,TRUE,"Weapons"))="lightsabers",Talents!$M$1110&gt;0),AND(Feats!$M$242&gt;0,COUNTIF(INDIRECT(B49),"Spring Loaded")&gt;0)),"Free",IF(Feats!$M$170&gt;0,"Free as part of a Standard",IF(Feats!$M$242,"Swift","Move")))&amp;" action","")</f>
        <v>#N/A</v>
      </c>
      <c r="E57" s="2248"/>
      <c r="F57" s="2248"/>
      <c r="G57" s="2248"/>
      <c r="H57" s="2248"/>
      <c r="I57" s="2248"/>
      <c r="J57" s="2248"/>
      <c r="K57" s="2248"/>
      <c r="L57" s="2248"/>
      <c r="M57" s="2248"/>
      <c r="N57" s="2248"/>
      <c r="O57" s="2248"/>
      <c r="P57" s="2248"/>
      <c r="Q57" s="1284"/>
      <c r="R57" s="1284"/>
      <c r="S57" s="1284"/>
      <c r="T57" s="1284"/>
      <c r="U57" s="1284"/>
      <c r="V57" s="1284"/>
      <c r="W57" s="1284"/>
      <c r="X57" s="1284"/>
      <c r="Y57" s="1284"/>
      <c r="Z57" s="1284"/>
      <c r="AA57" s="1284"/>
      <c r="AB57" s="1284"/>
      <c r="AC57" s="1284"/>
      <c r="AD57" s="1284"/>
    </row>
    <row r="58" spans="1:83" ht="18" customHeight="1">
      <c r="C58" s="613" t="s">
        <v>6192</v>
      </c>
      <c r="D58" s="2248" t="e">
        <f ca="1">IF(D49&lt;&gt;"",IF(AND(NOT(ISERROR(FIND("-5 to Perception and Use Computer checks to detect",R29,1))),ShowCloakedWeapons),INDEX(ConcealItemTable,MATCH(AP34,ConcealItemList,0),3),INDEX(ConcealItemTable,MATCH(AP34,ConcealItemList,0),2)),"")</f>
        <v>#N/A</v>
      </c>
      <c r="E58" s="2248"/>
      <c r="F58" s="2248"/>
      <c r="G58" s="2248"/>
      <c r="H58" s="2248"/>
      <c r="I58" s="2248"/>
      <c r="J58" s="2248"/>
      <c r="K58" s="2248"/>
      <c r="L58" s="2248"/>
      <c r="M58" s="2248"/>
      <c r="N58" s="2248"/>
      <c r="O58" s="2248"/>
      <c r="P58" s="2248"/>
      <c r="Q58" s="1284"/>
      <c r="R58" s="1284"/>
      <c r="S58" s="1284"/>
      <c r="T58" s="1284"/>
      <c r="U58" s="1284"/>
      <c r="V58" s="1284"/>
      <c r="W58" s="1284"/>
      <c r="X58" s="1284"/>
      <c r="Y58" s="1284"/>
      <c r="Z58" s="1284"/>
      <c r="AA58" s="1284"/>
      <c r="AB58" s="1284"/>
      <c r="AC58" s="1284"/>
      <c r="AD58" s="1284"/>
    </row>
    <row r="59" spans="1:83" ht="18" customHeight="1"/>
    <row r="60" spans="1:83" ht="18" customHeight="1"/>
    <row r="61" spans="1:83" ht="18" customHeight="1"/>
    <row r="62" spans="1:83" ht="18" customHeight="1"/>
    <row r="63" spans="1:83" ht="18" customHeight="1"/>
    <row r="64" spans="1:83" ht="18" customHeight="1"/>
    <row r="65" ht="18" customHeight="1"/>
    <row r="66" ht="18" customHeight="1"/>
    <row r="67" ht="15.65" customHeight="1"/>
    <row r="68" ht="15.65" customHeight="1"/>
    <row r="69" ht="15.65" customHeight="1"/>
    <row r="70" ht="15.65" customHeight="1"/>
    <row r="71" ht="15.65" customHeight="1"/>
    <row r="72" ht="15.65" customHeight="1"/>
    <row r="73" ht="15.65" customHeight="1"/>
    <row r="74" ht="15.65" customHeight="1"/>
    <row r="75" ht="15.65" customHeight="1"/>
    <row r="76" ht="15.65" customHeight="1"/>
    <row r="77" ht="15.65" customHeight="1"/>
    <row r="78" ht="15.65" customHeight="1"/>
    <row r="79" ht="15.65" customHeight="1"/>
    <row r="80" ht="15.65" customHeight="1"/>
    <row r="81" ht="15.65" customHeight="1"/>
    <row r="82" ht="15.65" customHeight="1"/>
    <row r="83" ht="15.65" customHeight="1"/>
    <row r="84" ht="15.65" customHeight="1"/>
    <row r="85" ht="15.65" customHeight="1"/>
    <row r="86" ht="15.65" customHeight="1"/>
    <row r="87" ht="15.65" customHeight="1"/>
    <row r="88" ht="15.65" customHeight="1"/>
  </sheetData>
  <mergeCells count="111">
    <mergeCell ref="D56:P56"/>
    <mergeCell ref="CP9:DG11"/>
    <mergeCell ref="H8:I9"/>
    <mergeCell ref="BU5:BX5"/>
    <mergeCell ref="BY5:CB5"/>
    <mergeCell ref="BU6:BX6"/>
    <mergeCell ref="BY6:CB6"/>
    <mergeCell ref="K7:R8"/>
    <mergeCell ref="AR7:AX8"/>
    <mergeCell ref="BQ7:BW8"/>
    <mergeCell ref="CG7:CN8"/>
    <mergeCell ref="K9:AM11"/>
    <mergeCell ref="AR9:BL11"/>
    <mergeCell ref="BQ9:BT11"/>
    <mergeCell ref="BU9:BX11"/>
    <mergeCell ref="BY9:CB11"/>
    <mergeCell ref="CG9:CO10"/>
    <mergeCell ref="K35:AC37"/>
    <mergeCell ref="K28:P29"/>
    <mergeCell ref="CZ34:DG35"/>
    <mergeCell ref="R29:DG31"/>
    <mergeCell ref="BY15:CB17"/>
    <mergeCell ref="AE19:AM21"/>
    <mergeCell ref="AR21:BL23"/>
    <mergeCell ref="BQ21:BT23"/>
    <mergeCell ref="BU21:BX23"/>
    <mergeCell ref="BY21:CB23"/>
    <mergeCell ref="AR15:BL17"/>
    <mergeCell ref="BQ15:BT17"/>
    <mergeCell ref="BU15:BX17"/>
    <mergeCell ref="CP24:DG26"/>
    <mergeCell ref="I13:L15"/>
    <mergeCell ref="I23:N24"/>
    <mergeCell ref="O24:AG26"/>
    <mergeCell ref="AH24:AM26"/>
    <mergeCell ref="AR24:BL26"/>
    <mergeCell ref="BQ24:BT26"/>
    <mergeCell ref="CG21:CO22"/>
    <mergeCell ref="CP21:DG23"/>
    <mergeCell ref="CR42:CY44"/>
    <mergeCell ref="E12:G27"/>
    <mergeCell ref="BU12:BX12"/>
    <mergeCell ref="BY12:CB12"/>
    <mergeCell ref="AR13:BD14"/>
    <mergeCell ref="BQ13:BT14"/>
    <mergeCell ref="BU13:BX14"/>
    <mergeCell ref="BY13:CB14"/>
    <mergeCell ref="CG13:CN14"/>
    <mergeCell ref="CP15:DG17"/>
    <mergeCell ref="I18:L19"/>
    <mergeCell ref="AA18:AD19"/>
    <mergeCell ref="AR18:BL20"/>
    <mergeCell ref="BQ18:BT20"/>
    <mergeCell ref="BU18:BX20"/>
    <mergeCell ref="CG15:CO16"/>
    <mergeCell ref="BY18:CB20"/>
    <mergeCell ref="CG18:CO19"/>
    <mergeCell ref="CP18:DG20"/>
    <mergeCell ref="M19:V21"/>
    <mergeCell ref="M14:AF16"/>
    <mergeCell ref="BU24:BX26"/>
    <mergeCell ref="BY24:CB26"/>
    <mergeCell ref="CG24:CO25"/>
    <mergeCell ref="BC42:BP44"/>
    <mergeCell ref="N39:S40"/>
    <mergeCell ref="BC39:BP41"/>
    <mergeCell ref="CZ42:DG44"/>
    <mergeCell ref="CJ36:CQ38"/>
    <mergeCell ref="CR36:CY38"/>
    <mergeCell ref="CZ36:DG38"/>
    <mergeCell ref="CJ39:CQ41"/>
    <mergeCell ref="CR39:CY41"/>
    <mergeCell ref="CZ39:DG41"/>
    <mergeCell ref="AP35:AX37"/>
    <mergeCell ref="AH36:AO37"/>
    <mergeCell ref="BC36:BP38"/>
    <mergeCell ref="BT42:CA44"/>
    <mergeCell ref="CB42:CI44"/>
    <mergeCell ref="BT39:CA41"/>
    <mergeCell ref="CB39:CI41"/>
    <mergeCell ref="BT34:CA35"/>
    <mergeCell ref="CB34:CI35"/>
    <mergeCell ref="CJ34:CQ35"/>
    <mergeCell ref="CR34:CY35"/>
    <mergeCell ref="BT36:CA38"/>
    <mergeCell ref="CB36:CI38"/>
    <mergeCell ref="CJ42:CQ44"/>
    <mergeCell ref="D55:P55"/>
    <mergeCell ref="D57:P57"/>
    <mergeCell ref="D58:P58"/>
    <mergeCell ref="U52:AB52"/>
    <mergeCell ref="AZ49:BD49"/>
    <mergeCell ref="BF49:BH49"/>
    <mergeCell ref="BF52:BH52"/>
    <mergeCell ref="F34:J35"/>
    <mergeCell ref="AH34:AO35"/>
    <mergeCell ref="BC34:BP35"/>
    <mergeCell ref="BO52:CD52"/>
    <mergeCell ref="BI52:BK52"/>
    <mergeCell ref="BL52:BN52"/>
    <mergeCell ref="AC52:AJ52"/>
    <mergeCell ref="AK52:AR52"/>
    <mergeCell ref="AS52:AZ52"/>
    <mergeCell ref="D52:P52"/>
    <mergeCell ref="D53:P53"/>
    <mergeCell ref="D54:P54"/>
    <mergeCell ref="D51:P51"/>
    <mergeCell ref="D49:AD49"/>
    <mergeCell ref="D50:AD50"/>
    <mergeCell ref="BI49:BK49"/>
    <mergeCell ref="BL49:BN49"/>
  </mergeCells>
  <conditionalFormatting sqref="AR15:BL26">
    <cfRule type="expression" dxfId="4" priority="45">
      <formula>BQ15=""</formula>
    </cfRule>
  </conditionalFormatting>
  <conditionalFormatting sqref="U40:AW40">
    <cfRule type="expression" dxfId="3" priority="35">
      <formula>AND(U39&lt;=$AH$24,$AH$24&lt;&gt;"")</formula>
    </cfRule>
  </conditionalFormatting>
  <conditionalFormatting sqref="U41:AW41">
    <cfRule type="expression" dxfId="2" priority="34">
      <formula>AND(U39+25&lt;=$AH$24,$AH$24&lt;&gt;"")</formula>
    </cfRule>
  </conditionalFormatting>
  <conditionalFormatting sqref="U42:AW42">
    <cfRule type="expression" dxfId="1" priority="33">
      <formula>AND(U39+50&lt;=$AH$24,$AH$24&lt;&gt;"")</formula>
    </cfRule>
  </conditionalFormatting>
  <conditionalFormatting sqref="U43:AW43">
    <cfRule type="expression" dxfId="0" priority="32">
      <formula>AND(U39+75&lt;=$AH$24,$AH$24&lt;&gt;"")</formula>
    </cfRule>
  </conditionalFormatting>
  <dataValidations count="3">
    <dataValidation type="list" showInputMessage="1" showErrorMessage="1" sqref="AR15:BL17" xr:uid="{00000000-0002-0000-1B00-000000000000}">
      <formula1>WeaponFeatsModsList</formula1>
    </dataValidation>
    <dataValidation type="list" allowBlank="1" showInputMessage="1" showErrorMessage="1" sqref="AR18:BL26 U52:AZ52" xr:uid="{00000000-0002-0000-1B00-000001000000}">
      <formula1>WeaponFeatsModsList</formula1>
    </dataValidation>
    <dataValidation type="list" allowBlank="1" showInputMessage="1" showErrorMessage="1" sqref="K9:AM11 Q51:AD51 D49:D50" xr:uid="{00000000-0002-0000-1B00-000002000000}">
      <formula1>WeaponCheatSheetList</formula1>
    </dataValidation>
  </dataValidations>
  <pageMargins left="0" right="0" top="0" bottom="0" header="0" footer="0"/>
  <pageSetup paperSize="9" scale="50"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B1:AK451"/>
  <sheetViews>
    <sheetView topLeftCell="A4" zoomScaleNormal="100" workbookViewId="0">
      <selection activeCell="H15" sqref="H15"/>
    </sheetView>
  </sheetViews>
  <sheetFormatPr defaultColWidth="9.1796875" defaultRowHeight="14.5"/>
  <cols>
    <col min="1" max="1" width="3" style="543" customWidth="1"/>
    <col min="2" max="2" width="10.54296875" style="668" customWidth="1"/>
    <col min="3" max="3" width="15.7265625" style="543" customWidth="1"/>
    <col min="4" max="4" width="11.54296875" style="543" customWidth="1"/>
    <col min="5" max="5" width="9" style="552" customWidth="1"/>
    <col min="6" max="6" width="9.1796875" style="543"/>
    <col min="7" max="7" width="4.54296875" style="552" customWidth="1"/>
    <col min="8" max="8" width="4.54296875" style="543" customWidth="1"/>
    <col min="9" max="9" width="9.1796875" style="552"/>
    <col min="10" max="10" width="9.1796875" style="543"/>
    <col min="11" max="11" width="4.7265625" style="552" customWidth="1"/>
    <col min="12" max="12" width="3.1796875" style="552" customWidth="1"/>
    <col min="13" max="13" width="14" style="543" customWidth="1"/>
    <col min="14" max="14" width="5.54296875" style="552" customWidth="1"/>
    <col min="15" max="15" width="15.1796875" style="543" customWidth="1"/>
    <col min="16" max="16" width="12.7265625" style="543" customWidth="1"/>
    <col min="17" max="17" width="8.54296875" style="543" customWidth="1"/>
    <col min="18" max="19" width="3" style="543" customWidth="1"/>
    <col min="20" max="20" width="3.453125" style="552" hidden="1" customWidth="1"/>
    <col min="21" max="21" width="8.54296875" style="552" hidden="1" customWidth="1"/>
    <col min="22" max="22" width="15.453125" style="552" hidden="1" customWidth="1"/>
    <col min="23" max="23" width="3.7265625" style="552" hidden="1" customWidth="1"/>
    <col min="24" max="24" width="3.7265625" style="552" customWidth="1"/>
    <col min="25" max="32" width="9.1796875" style="543" customWidth="1"/>
    <col min="33" max="33" width="12.453125" style="543" customWidth="1"/>
    <col min="34" max="41" width="9.1796875" style="543" customWidth="1"/>
    <col min="42" max="16384" width="9.1796875" style="543"/>
  </cols>
  <sheetData>
    <row r="1" spans="2:37" ht="15" thickBot="1">
      <c r="AH1" s="543" t="str">
        <f>AH2</f>
        <v>Blaster cannon;</v>
      </c>
      <c r="AI1" s="543" t="str">
        <f ca="1">AI2</f>
        <v>18;</v>
      </c>
      <c r="AJ1" s="543" t="str">
        <f>AJ2</f>
        <v>1;</v>
      </c>
    </row>
    <row r="2" spans="2:37">
      <c r="B2" s="669"/>
      <c r="C2" s="544"/>
      <c r="D2" s="544"/>
      <c r="E2" s="550"/>
      <c r="F2" s="544"/>
      <c r="G2" s="550"/>
      <c r="H2" s="544"/>
      <c r="I2" s="550"/>
      <c r="J2" s="544"/>
      <c r="K2" s="550"/>
      <c r="L2" s="550"/>
      <c r="M2" s="544"/>
      <c r="N2" s="550"/>
      <c r="O2" s="544"/>
      <c r="P2" s="544"/>
      <c r="Q2" s="544"/>
      <c r="R2" s="25"/>
      <c r="Y2" s="630" t="s">
        <v>4042</v>
      </c>
      <c r="AG2" s="543" t="str">
        <f>IF(WeaponName1&lt;&gt;"",WeaponName1,"")</f>
        <v>Blaster cannon</v>
      </c>
      <c r="AH2" s="673" t="str">
        <f>IF(AG2&lt;&gt;"",AG2&amp;";"&amp;AH3,AH3)</f>
        <v>Blaster cannon;</v>
      </c>
      <c r="AI2" s="642" t="str">
        <f ca="1">IF(AG2&lt;&gt;"",D20&amp;";"&amp;AI3,AI3)</f>
        <v>18;</v>
      </c>
      <c r="AJ2" s="642" t="str">
        <f>IF(AG2&lt;&gt;"",IF(AG2&lt;&gt;"",AK2&amp;";"&amp;AJ3),AJ3)</f>
        <v>1;</v>
      </c>
      <c r="AK2" s="543">
        <v>1</v>
      </c>
    </row>
    <row r="3" spans="2:37" ht="21.25" customHeight="1">
      <c r="B3" s="539"/>
      <c r="C3" s="693" t="s">
        <v>109</v>
      </c>
      <c r="D3" s="546"/>
      <c r="E3" s="551"/>
      <c r="F3" s="546"/>
      <c r="G3" s="551"/>
      <c r="H3" s="546"/>
      <c r="I3" s="551"/>
      <c r="J3" s="546"/>
      <c r="K3" s="551"/>
      <c r="L3" s="551"/>
      <c r="M3" s="546"/>
      <c r="N3" s="551"/>
      <c r="O3" s="546"/>
      <c r="P3" s="2258">
        <f ca="1">Q7</f>
        <v>3000</v>
      </c>
      <c r="Q3" s="2258"/>
      <c r="R3" s="29"/>
      <c r="AG3" s="642" t="str">
        <f>IF(WeaponName2&lt;&gt;"",WeaponName2,"")</f>
        <v/>
      </c>
      <c r="AH3" s="673" t="str">
        <f>IF(AG3&lt;&gt;"",AG3&amp;";"&amp;AH4,AH4)</f>
        <v/>
      </c>
      <c r="AI3" s="642" t="str">
        <f>IF(AG3&lt;&gt;"",D39&amp;";"&amp;AI4,AI4)</f>
        <v/>
      </c>
      <c r="AJ3" s="642" t="str">
        <f>IF(AG3&lt;&gt;"",1&amp;";"&amp;AJ4,AJ4)</f>
        <v/>
      </c>
      <c r="AK3" s="543">
        <v>1</v>
      </c>
    </row>
    <row r="4" spans="2:37" ht="15" thickBot="1">
      <c r="B4" s="670"/>
      <c r="C4" s="542"/>
      <c r="D4" s="542"/>
      <c r="E4" s="553"/>
      <c r="F4" s="542"/>
      <c r="G4" s="553"/>
      <c r="H4" s="542"/>
      <c r="I4" s="553"/>
      <c r="J4" s="542"/>
      <c r="K4" s="553"/>
      <c r="L4" s="553"/>
      <c r="M4" s="542"/>
      <c r="N4" s="553"/>
      <c r="O4" s="542"/>
      <c r="P4" s="542"/>
      <c r="Q4" s="542"/>
      <c r="R4" s="35"/>
      <c r="AG4" s="642" t="str">
        <f>IF(WeaponName3&lt;&gt;"",WeaponName3,"")</f>
        <v/>
      </c>
      <c r="AH4" s="673" t="str">
        <f>IF(AG4&lt;&gt;"",AG4&amp;";"&amp;AH5,AH5)</f>
        <v/>
      </c>
      <c r="AI4" s="642" t="str">
        <f>IF(AG4&lt;&gt;"",D58&amp;";"&amp;AI5,AI5)</f>
        <v/>
      </c>
      <c r="AJ4" s="642" t="str">
        <f>IF(AG4&lt;&gt;"",1&amp;";"&amp;AJ5,AJ5)</f>
        <v/>
      </c>
      <c r="AK4" s="543">
        <v>1</v>
      </c>
    </row>
    <row r="5" spans="2:37" ht="15" thickBot="1">
      <c r="AG5" s="642" t="str">
        <f>IF(WeaponName4&lt;&gt;"",WeaponName4,"")</f>
        <v/>
      </c>
      <c r="AH5" s="673" t="str">
        <f>IF(AG5&lt;&gt;"",AG5&amp;";"&amp;AH6,AH6)</f>
        <v/>
      </c>
      <c r="AI5" s="642" t="str">
        <f>IF(AG5&lt;&gt;"",D77&amp;";"&amp;AI6,AI6)</f>
        <v/>
      </c>
      <c r="AJ5" s="642" t="str">
        <f>IF(AG5&lt;&gt;"",1&amp;";"&amp;AJ6,AJ6)</f>
        <v/>
      </c>
      <c r="AK5" s="543">
        <v>1</v>
      </c>
    </row>
    <row r="6" spans="2:37">
      <c r="B6" s="669"/>
      <c r="C6" s="628"/>
      <c r="D6" s="628"/>
      <c r="E6" s="628"/>
      <c r="F6" s="628"/>
      <c r="G6" s="628"/>
      <c r="H6" s="628"/>
      <c r="I6" s="628"/>
      <c r="J6" s="628"/>
      <c r="K6" s="628"/>
      <c r="L6" s="628"/>
      <c r="M6" s="628"/>
      <c r="N6" s="628"/>
      <c r="O6" s="628"/>
      <c r="P6" s="628"/>
      <c r="Q6" s="628"/>
      <c r="R6" s="25"/>
      <c r="T6" s="22"/>
      <c r="U6" s="550"/>
      <c r="V6" s="550"/>
      <c r="W6" s="25"/>
      <c r="Y6" s="630"/>
      <c r="Z6" s="630" t="s">
        <v>3772</v>
      </c>
      <c r="AA6" s="630" t="s">
        <v>3773</v>
      </c>
      <c r="AH6" s="383" t="s">
        <v>195</v>
      </c>
      <c r="AI6" s="383" t="s">
        <v>195</v>
      </c>
      <c r="AJ6" s="383" t="s">
        <v>195</v>
      </c>
    </row>
    <row r="7" spans="2:37" ht="21">
      <c r="B7" s="539"/>
      <c r="C7" s="631" t="s">
        <v>109</v>
      </c>
      <c r="D7" s="75"/>
      <c r="E7" s="75"/>
      <c r="F7" s="75"/>
      <c r="G7" s="75"/>
      <c r="H7" s="75"/>
      <c r="I7" s="75"/>
      <c r="J7" s="75"/>
      <c r="K7" s="75"/>
      <c r="L7" s="75"/>
      <c r="M7" s="49" t="s">
        <v>3736</v>
      </c>
      <c r="N7" s="568" t="e">
        <f>BAB+StrMod</f>
        <v>#VALUE!</v>
      </c>
      <c r="O7" s="49" t="s">
        <v>3735</v>
      </c>
      <c r="P7" s="568" t="e">
        <f>BAB+DexMod</f>
        <v>#VALUE!</v>
      </c>
      <c r="Q7" s="605">
        <f ca="1">B13</f>
        <v>3000</v>
      </c>
      <c r="R7" s="29"/>
      <c r="T7" s="26"/>
      <c r="U7" s="2260" t="s">
        <v>3774</v>
      </c>
      <c r="V7" s="2260"/>
      <c r="W7" s="29"/>
      <c r="Y7" s="630" t="s">
        <v>1979</v>
      </c>
      <c r="Z7" s="543">
        <v>1</v>
      </c>
      <c r="AA7" s="630" t="e">
        <f ca="1">INDEX(SizeTable,MATCH(INDEX(RaceListTable,RaceIndex,13),SizeAbrList,0),4)</f>
        <v>#N/A</v>
      </c>
    </row>
    <row r="8" spans="2:37">
      <c r="B8" s="705"/>
      <c r="C8" s="629"/>
      <c r="D8" s="629"/>
      <c r="E8" s="629"/>
      <c r="F8" s="629"/>
      <c r="G8" s="629"/>
      <c r="H8" s="629"/>
      <c r="I8" s="629"/>
      <c r="J8" s="629"/>
      <c r="K8" s="629"/>
      <c r="L8" s="629"/>
      <c r="M8" s="629"/>
      <c r="N8" s="629"/>
      <c r="O8" s="629"/>
      <c r="P8" s="629"/>
      <c r="Q8" s="629"/>
      <c r="R8" s="29"/>
      <c r="T8" s="26"/>
      <c r="U8" s="2259"/>
      <c r="V8" s="2259"/>
      <c r="W8" s="29"/>
    </row>
    <row r="9" spans="2:37">
      <c r="B9" s="705"/>
      <c r="C9" s="49" t="s">
        <v>3775</v>
      </c>
      <c r="D9" s="1775" t="s">
        <v>650</v>
      </c>
      <c r="E9" s="1775"/>
      <c r="F9" s="1775"/>
      <c r="G9" s="1775"/>
      <c r="H9" s="1775"/>
      <c r="I9" s="574"/>
      <c r="J9" s="75"/>
      <c r="K9" s="75"/>
      <c r="L9" s="75"/>
      <c r="M9" s="571" t="s">
        <v>3720</v>
      </c>
      <c r="N9" s="578" t="e">
        <f ca="1">IF(D9&lt;&gt;"",B24+IF(D10="Melee",IF(AND(OR(H12="Light",INDEX(WeaponTable,MATCH(D9,WeaponList,0),5)="lightsabers"),Feats!M343&gt;0),BaseMeleeAttack+DexMod,BaseMeleeAttack),BaseRangedAttack)+D24,"")</f>
        <v>#VALUE!</v>
      </c>
      <c r="O9" s="49" t="s">
        <v>3721</v>
      </c>
      <c r="P9" s="572" t="str">
        <f ca="1">IF(AND(D17&lt;&gt;"",D9&lt;&gt;""),D17&amp;"+"&amp;B25,"")</f>
        <v>3d12+0</v>
      </c>
      <c r="Q9" s="75"/>
      <c r="R9" s="29"/>
      <c r="T9" s="26"/>
      <c r="U9" s="549" t="s">
        <v>9</v>
      </c>
      <c r="V9" s="554"/>
      <c r="W9" s="29"/>
      <c r="Y9" s="694" t="s">
        <v>4085</v>
      </c>
    </row>
    <row r="10" spans="2:37">
      <c r="B10" s="744" t="e">
        <f ca="1">INDEX(SizeTable,MATCH(INDEX(RaceListTable,RaceIndex,13),SizeAbrList,0),3)</f>
        <v>#N/A</v>
      </c>
      <c r="C10" s="629"/>
      <c r="D10" s="629" t="str">
        <f ca="1">IF(D9&lt;&gt;"",IF(INDEX(WeaponTable,MATCH(D9,WeaponList,0),3)="M","Melee","Ranged"),"")</f>
        <v>Ranged</v>
      </c>
      <c r="E10" s="629"/>
      <c r="F10" s="629"/>
      <c r="G10" s="629"/>
      <c r="H10" s="629"/>
      <c r="I10" s="629"/>
      <c r="J10" s="629"/>
      <c r="K10" s="629"/>
      <c r="L10" s="629"/>
      <c r="M10" s="629"/>
      <c r="N10" s="629"/>
      <c r="O10" s="629"/>
      <c r="P10" s="629"/>
      <c r="Q10" s="629"/>
      <c r="R10" s="29"/>
      <c r="T10" s="26"/>
      <c r="U10" s="549"/>
      <c r="V10" s="554"/>
      <c r="W10" s="29"/>
      <c r="Y10" s="564" t="e">
        <f ca="1">IF(OR(H12="",H12="Too Large to Use",H12=" Light"),"","Two-Handed")</f>
        <v>#N/A</v>
      </c>
    </row>
    <row r="11" spans="2:37">
      <c r="B11" s="744" t="str">
        <f ca="1">IF(D9&lt;&gt;"",IF(INDEX(WeaponTable,MATCH(D9,WeaponList,0),4)="EWP","Exotic Weapon Proficiency","Weapon Proficiency"),"")</f>
        <v>Weapon Proficiency</v>
      </c>
      <c r="C11" s="49" t="s">
        <v>112</v>
      </c>
      <c r="D11" s="75" t="str">
        <f ca="1">IF(D9&lt;&gt;"",B11&amp;" ("&amp;INDEX(WeaponTable,MATCH(D9,WeaponList,0),5)&amp;")","")</f>
        <v>Weapon Proficiency (heavy)</v>
      </c>
      <c r="E11" s="75"/>
      <c r="F11" s="75"/>
      <c r="G11" s="75"/>
      <c r="H11" s="75"/>
      <c r="I11" s="75"/>
      <c r="J11" s="75"/>
      <c r="K11" s="534" t="str">
        <f ca="1">INDEX(WeaponTable,MATCH(D9,WeaponList,0),5)</f>
        <v>heavy</v>
      </c>
      <c r="L11" s="745">
        <f ca="1">IF(ISERROR(FIND("Weapon Focus ("&amp;INDEX(WeaponTable,MATCH(D9,WeaponList,0),5)&amp;")",FeatsTakenList,1)),0,1)+IF(ISERROR(FIND("Greater Weapon Focus ("&amp;INDEX(WeaponTable,MATCH(D9,WeaponList,0),5)&amp;")",TalentsTakenBlankList,1)),0,1)</f>
        <v>0</v>
      </c>
      <c r="M11" s="49" t="s">
        <v>3734</v>
      </c>
      <c r="N11" s="49"/>
      <c r="O11" s="49" t="s">
        <v>3731</v>
      </c>
      <c r="P11" s="75"/>
      <c r="Q11" s="49" t="s">
        <v>74</v>
      </c>
      <c r="R11" s="29"/>
      <c r="T11" s="26"/>
      <c r="U11" s="549"/>
      <c r="V11" s="554"/>
      <c r="W11" s="29"/>
      <c r="Y11" s="564" t="e">
        <f ca="1">IF(OR(H12="",H12="Two-Handed",H12="Too Large to Use"),"","One-Handed")</f>
        <v>#N/A</v>
      </c>
    </row>
    <row r="12" spans="2:37">
      <c r="B12" s="744">
        <f ca="1">INDEX(SizeTable,MATCH(INDEX(WeaponTable,MATCH(D9,WeaponList,0),6),SizeAbrList,0),3)+IF(COUNTIF(O19:P22,"Miniaturized")&gt;0,-1,0)</f>
        <v>6</v>
      </c>
      <c r="C12" s="627" t="s">
        <v>11</v>
      </c>
      <c r="D12" s="629" t="str">
        <f ca="1">IF(D9&lt;&gt;"",INDEX(SizeTable,MATCH(B12,SizeNumber,0),2),"")</f>
        <v>Large</v>
      </c>
      <c r="E12" s="751">
        <f ca="1">IF(AND(D10="Melee",H13="Two-Handed"),2,1)</f>
        <v>1</v>
      </c>
      <c r="F12" s="2267" t="s">
        <v>3776</v>
      </c>
      <c r="G12" s="2267"/>
      <c r="H12" s="629" t="e">
        <f ca="1">IF(D9&lt;&gt;"",IF(B10-B12=-1,"Two-Handed",IF(B10-B12&lt;-1,"Too Large to Use",IF(B10-B12=0,"One-Handed"," Light"))),"")</f>
        <v>#N/A</v>
      </c>
      <c r="I12" s="629"/>
      <c r="J12" s="629"/>
      <c r="K12" s="629"/>
      <c r="L12" s="629"/>
      <c r="M12" s="627" t="s">
        <v>2401</v>
      </c>
      <c r="N12" s="512">
        <f>IF(O12&lt;&gt;"",INDEX(TechSpecialistWeaponsTable,MATCH(O12,TechSpecialistWeaponsList,0),2),0)</f>
        <v>0</v>
      </c>
      <c r="O12" s="1740"/>
      <c r="P12" s="1740"/>
      <c r="Q12" s="77" t="str">
        <f>IF(O12&lt;&gt;"",IF(LEFT(O12,14)&lt;&gt;"Selective Fire","Valid",IF(AND(LEFT(O12,14)="Selective Fire",D11&lt;&gt;"Simple",D10&lt;&gt;"Melee"),"Valid","Invalid")),"")</f>
        <v/>
      </c>
      <c r="R12" s="29"/>
      <c r="T12" s="26"/>
      <c r="U12" s="549" t="s">
        <v>11</v>
      </c>
      <c r="V12" s="554"/>
      <c r="W12" s="29"/>
    </row>
    <row r="13" spans="2:37">
      <c r="B13" s="744">
        <f ca="1">IF(D9&lt;&gt;"",INDEX(WeaponTable,MATCH(D9,WeaponList,0),25)+SUM(N12:N22),0)</f>
        <v>3000</v>
      </c>
      <c r="C13" s="627" t="s">
        <v>3691</v>
      </c>
      <c r="D13" s="525" t="str">
        <f ca="1">IF(D9&lt;&gt;"",TEXT(B13,"#,### cr")&amp;IF(INDEX(WeaponTable,MATCH(D9,WeaponList,0),15)="Rare"," ("&amp;TEXT(B13*2,"#,### cr)"),""),"")</f>
        <v>3,000 cr</v>
      </c>
      <c r="E13" s="752"/>
      <c r="F13" s="2266" t="s">
        <v>3777</v>
      </c>
      <c r="G13" s="2266"/>
      <c r="H13" s="2268"/>
      <c r="I13" s="2268"/>
      <c r="J13" s="2268"/>
      <c r="K13" s="638"/>
      <c r="L13" s="638"/>
      <c r="M13" s="627" t="s">
        <v>2499</v>
      </c>
      <c r="N13" s="512">
        <f>IF(O13&lt;&gt;"",INDEX(SuperiorTechWeaponsTable,MATCH(O13,SuperiorTechWeaponsList,0),2),0)</f>
        <v>0</v>
      </c>
      <c r="O13" s="1740"/>
      <c r="P13" s="1740"/>
      <c r="Q13" s="634" t="str">
        <f>IF(O13&lt;&gt;"",IF(OR(LEFT(O13,14)&lt;&gt;"Superior Range",LEFT(O13,17)&lt;&gt;"Superior Capacity"),"Valid",IF(AND(OR(LEFT(O13,14)="Superior Range",LEFT(O13,17)="Superior Capacity"),D12&lt;&gt;"Simple",D11&lt;&gt;"Melee"),"Valid","Invalid")),"")</f>
        <v/>
      </c>
      <c r="R13" s="29"/>
      <c r="T13" s="26"/>
      <c r="U13" s="549" t="s">
        <v>3691</v>
      </c>
      <c r="V13" s="554"/>
      <c r="W13" s="29"/>
      <c r="Y13" s="552" t="s">
        <v>3743</v>
      </c>
    </row>
    <row r="14" spans="2:37">
      <c r="B14" s="744"/>
      <c r="C14" s="562" t="s">
        <v>3681</v>
      </c>
      <c r="D14" s="525">
        <f ca="1">IF(D9&lt;&gt;"",IF(INDEX(WeaponTable,MATCH(D9,WeaponList,0),14)&lt;&gt;"C",INDEX(AvailabilityTable,MATCH(INDEX(WeaponTable,MATCH(D9,WeaponList,0),14),AvailList,0),3)*INDEX(WeaponTable,MATCH(D9,WeaponList,0),25),"None"),"")</f>
        <v>600</v>
      </c>
      <c r="E14" s="753"/>
      <c r="F14" s="2266" t="s">
        <v>4052</v>
      </c>
      <c r="G14" s="2266"/>
      <c r="H14" s="638" t="str">
        <f ca="1">IF(D9&lt;&gt;"",20&amp;"/"&amp;"×"&amp;IF(OR(INDEX(WeaponTable,MATCH(D9,WeaponList,0),5)=Feats!D330,INDEX(WeaponTable,MATCH(D9,WeaponList,0),5)=Feats!D329),3,2),"")</f>
        <v>20/×2</v>
      </c>
      <c r="I14" s="638"/>
      <c r="J14" s="638"/>
      <c r="K14" s="638"/>
      <c r="L14" s="638"/>
      <c r="M14" s="627" t="s">
        <v>3750</v>
      </c>
      <c r="N14" s="512">
        <f>IF(O14&lt;&gt;"",MAX(INDEX(WeaponTemplateTable,MATCH(O14,WeaponTemplateList,0),3)*INDEX(WeaponTable,MATCH(D9,WeaponList,0),25),INDEX(WeaponTemplateTable,MATCH(O14,WeaponTemplateList,0),4)),0)</f>
        <v>0</v>
      </c>
      <c r="O14" s="1740"/>
      <c r="P14" s="1740"/>
      <c r="Q14" s="634" t="str">
        <f>IF(O14&lt;&gt;"",IF(COUNTIF(Y14:Z14,"Invalid")&lt;1,IF(COUNTIF(AA14:AC14,"")=3,"Valid",IF(COUNTIF(AA14:AC14,"Valid")&gt;0,"Valid","Invalid"))),"")</f>
        <v/>
      </c>
      <c r="R14" s="29"/>
      <c r="T14" s="26"/>
      <c r="U14" s="549"/>
      <c r="V14" s="554"/>
      <c r="W14" s="29"/>
      <c r="Y14" s="543" t="e">
        <f>IF(INDEX(WeaponTemplateTable,MATCH(O14,WeaponTemplateList,0),5)&lt;&gt;"",IF(D10=INDEX(WeaponTemplateTable,MATCH(O14,WeaponTemplateList,0),5),"Valid","Invalid"),"")</f>
        <v>#N/A</v>
      </c>
      <c r="Z14" s="552" t="e">
        <f>IF(INDEX(WeaponTemplateTable,MATCH(O14,WeaponTemplateList,0),6)&lt;&gt;"",IF(INDEX(WeaponTable,MATCH(D9,WeaponList,0),5)=INDEX(WeaponTemplateTable,MATCH(O14,WeaponTemplateList,0),6),"Valid","Invalid"),"")</f>
        <v>#N/A</v>
      </c>
      <c r="AA14" s="552" t="e">
        <f>IF(INDEX(WeaponTemplateTable,MATCH(O14,WeaponTemplateList,0),7)&lt;&gt;"",IF(INDEX(WeaponTable,MATCH(D9,WeaponList,0),13)=INDEX(WeaponTemplateTable,MATCH(O14,WeaponTemplateList,0),7),"Valid","Invalid"),"")</f>
        <v>#N/A</v>
      </c>
      <c r="AB14" s="552" t="e">
        <f>IF(INDEX(WeaponTemplateTable,MATCH(O14,WeaponTemplateList,0),8)&lt;&gt;"",IF(D21=INDEX(WeaponTemplateTable,MATCH(O14,WeaponTemplateList,0),8),"Valid","Invalid"),"")</f>
        <v>#N/A</v>
      </c>
      <c r="AC14" s="552" t="e">
        <f>IF(INDEX(WeaponTemplateTable,MATCH(O14,WeaponTemplateList,0),9)&lt;&gt;"",IF(INDEX(WeaponTable,MATCH(D9,WeaponList,0),9)&lt;&gt;"","Valid","Invalid"),"")</f>
        <v>#N/A</v>
      </c>
    </row>
    <row r="15" spans="2:37">
      <c r="B15" s="744"/>
      <c r="C15" s="562" t="s">
        <v>3682</v>
      </c>
      <c r="D15" s="525" t="str">
        <f ca="1">IF(D22&lt;&gt;"",IF(AND(B13&lt;&gt;"",INDEX(WeaponTable,MATCH(D9,WeaponList,0),14)&lt;&gt;"C"),TEXT(INDEX(AvailabilityTable,MATCH(INDEX(WeaponTable,MATCH(D9,WeaponList,0),14),AvailList,0),4)*B13,"#,##0")&amp;" cr"&amp;IF(INDEX(WeaponTable,MATCH(D9,WeaponList,0),15)="Rare"," ("&amp;TEXT(INDEX(AvailabilityTable,MATCH(INDEX(WeaponTable,MATCH(D9,WeaponList,0),14),AvailList,0),4)*B13*2,"#,##0")&amp;" cr)",""),""),"")</f>
        <v>12,000 cr</v>
      </c>
      <c r="E15" s="753"/>
      <c r="F15" s="2265"/>
      <c r="G15" s="2265"/>
      <c r="H15" s="638"/>
      <c r="I15" s="638"/>
      <c r="J15" s="638"/>
      <c r="K15" s="638"/>
      <c r="L15" s="638"/>
      <c r="M15" s="629"/>
      <c r="N15" s="512"/>
      <c r="O15" s="1740"/>
      <c r="P15" s="1740"/>
      <c r="Q15" s="634" t="str">
        <f>IF(O15&lt;&gt;"",IF(COUNTIF(Y15:Z15,"Invalid")&lt;1,IF(COUNTIF(AA15:AC15,"")=3,"Valid",IF(COUNTIF(AA15:AC15,"Valid")&gt;0,"Valid","Invalid"))),"")</f>
        <v/>
      </c>
      <c r="R15" s="29"/>
      <c r="S15" s="552"/>
      <c r="T15" s="26"/>
      <c r="U15" s="549"/>
      <c r="V15" s="554"/>
      <c r="W15" s="29"/>
      <c r="Y15" s="552" t="e">
        <f>IF(INDEX(WeaponTemplateTable,MATCH(O15,WeaponTemplateList,0),5)&lt;&gt;"",IF(D10=INDEX(WeaponTemplateTable,MATCH(O15,WeaponTemplateList,0),5),"Valid","Invalid"),"")</f>
        <v>#N/A</v>
      </c>
      <c r="Z15" s="552" t="e">
        <f>IF(INDEX(WeaponTemplateTable,MATCH(O15,WeaponTemplateList,0),6)&lt;&gt;"",IF(INDEX(WeaponTable,MATCH(D9,WeaponList,0),5)=INDEX(WeaponTemplateTable,MATCH(O15,WeaponTemplateList,0),6),"Valid","Invalid"),"")</f>
        <v>#N/A</v>
      </c>
      <c r="AA15" s="552" t="e">
        <f>IF(INDEX(WeaponTemplateTable,MATCH(O15,WeaponTemplateList,0),7)&lt;&gt;"",IF(INDEX(WeaponTable,MATCH(D9,WeaponList,0),13)=INDEX(WeaponTemplateTable,MATCH(O15,WeaponTemplateList,0),7),"Valid","Invalid"),"")</f>
        <v>#N/A</v>
      </c>
      <c r="AB15" s="552" t="e">
        <f>IF(INDEX(WeaponTemplateTable,MATCH(O15,WeaponTemplateList,0),8)&lt;&gt;"",IF(D21=INDEX(WeaponTemplateTable,MATCH(O15,WeaponTemplateList,0),8),"Valid","Invalid"),"")</f>
        <v>#N/A</v>
      </c>
      <c r="AC15" s="552" t="e">
        <f>IF(INDEX(WeaponTemplateTable,MATCH(O15,WeaponTemplateList,0),9)&lt;&gt;"",IF(INDEX(WeaponTable,MATCH(D9,WeaponList,0),9)&lt;&gt;"","Valid","Invalid"),"")</f>
        <v>#N/A</v>
      </c>
    </row>
    <row r="16" spans="2:37">
      <c r="B16" s="744"/>
      <c r="C16" s="562" t="s">
        <v>3683</v>
      </c>
      <c r="D16" s="525">
        <f ca="1">IF(D13&lt;&gt;"",B13/2,"")</f>
        <v>1500</v>
      </c>
      <c r="E16" s="753"/>
      <c r="F16" s="2265"/>
      <c r="G16" s="2265"/>
      <c r="H16" s="638"/>
      <c r="I16" s="638"/>
      <c r="J16" s="638"/>
      <c r="K16" s="638"/>
      <c r="L16" s="638"/>
      <c r="M16" s="627" t="s">
        <v>552</v>
      </c>
      <c r="N16" s="512"/>
      <c r="O16" s="1740"/>
      <c r="P16" s="1740"/>
      <c r="Q16" s="634" t="str">
        <f>IF(AND(D9&lt;&gt;"",O16&lt;&gt;""),IF(D10&lt;&gt;"Melee","Invalid",IF((ISERROR(FIND(O16,TalentsTakenList,1))),"Invalid","Valid")),"")</f>
        <v/>
      </c>
      <c r="R16" s="29"/>
      <c r="T16" s="26"/>
      <c r="U16" s="549" t="s">
        <v>3772</v>
      </c>
      <c r="V16" s="554"/>
      <c r="W16" s="29"/>
    </row>
    <row r="17" spans="2:31" s="552" customFormat="1">
      <c r="B17" s="744">
        <f ca="1">INDEX(WeaponTable,MATCH(D9,WeaponList,0),17)+IF(AND(D10="Melee",COUNTIF(O16:P17,"Empower Weapon")),1,0)+IF(AND(OR(O14="Bothan",O15="Bothan"),D21="Energy (ion)"),1,0)+IF(AND(OR(O14="Bothan",O15="Bothan"),INDEX(WeaponTable,MATCH(D9,WeaponList,0),9)&lt;&gt;""),-1,0)</f>
        <v>3</v>
      </c>
      <c r="C17" s="567" t="s">
        <v>3721</v>
      </c>
      <c r="D17" s="525" t="str">
        <f ca="1">IF(D9&lt;&gt;"",IF(B17&lt;&gt;0,B17&amp;"d"&amp;B18&amp;IF(AND(COUNTIF(O19:P22,"Ion Charger")&gt;0,D10="Melee"),"+2d6 ion",""),""),"")</f>
        <v>3d12</v>
      </c>
      <c r="E17" s="753"/>
      <c r="F17" s="2266" t="str">
        <f ca="1">IF(H17&lt;&gt;"",IF(H18="","Power","Ammo"),"")</f>
        <v>Ammo</v>
      </c>
      <c r="G17" s="2266"/>
      <c r="H17" s="637" t="str">
        <f ca="1">IF(D9&lt;&gt;"",IF(INDEX(WeaponTable,MATCH(D9,WeaponList,0),27)&lt;&gt;"",INDEX(WeaponTable,MATCH(D9,WeaponList,0),27),""),"")</f>
        <v>Power Pack</v>
      </c>
      <c r="I17" s="629"/>
      <c r="J17" s="638"/>
      <c r="K17" s="638"/>
      <c r="L17" s="638"/>
      <c r="M17" s="627"/>
      <c r="N17" s="512"/>
      <c r="O17" s="1740"/>
      <c r="P17" s="1740"/>
      <c r="Q17" s="634" t="str">
        <f>IF(AND(D9&lt;&gt;"",O17&lt;&gt;""),IF(D10&lt;&gt;"Melee","Invalid",IF((ISERROR(FIND(O17,TalentsTakenList,1))),"Invalid","Valid")),"")</f>
        <v/>
      </c>
      <c r="R17" s="29"/>
      <c r="T17" s="26"/>
      <c r="U17" s="549" t="s">
        <v>3773</v>
      </c>
      <c r="V17" s="554"/>
      <c r="W17" s="29"/>
      <c r="Y17" s="552" t="s">
        <v>3756</v>
      </c>
    </row>
    <row r="18" spans="2:31">
      <c r="B18" s="744">
        <f ca="1">INDEX(DieSizeTable,MATCH(INDEX(DieSizeTable,MATCH(INDEX(WeaponTable,MATCH(D9,WeaponList,0),18),DieSizeList,0),1)+IF(COUNTIF(O14:P15,"Rakatan")&gt;0,1,0)-IF(O18="Damage",1,0)-IF(AND(D10="Melee",COUNTIF(O19:P22,"Miniaturized")&gt;0),1,0)-IF(AND(D10="Melee",COUNTIF(O19:P22,"Adegan Mephite Crystal")&gt;0),1,0),DieSizeNumberList,0),2)</f>
        <v>12</v>
      </c>
      <c r="C18" s="627" t="s">
        <v>115</v>
      </c>
      <c r="D18" s="538" t="str">
        <f ca="1">IF(D9&lt;&gt;"",IF(O18&lt;&gt;"Stun Setting",IF(INDEX(WeaponTable,MATCH(D9,WeaponList,0),9)&lt;&gt;"",INDEX(WeaponTable,MATCH(D9,WeaponList,0),9),"")&amp;IF(AND(OR(O14="Bothan",O15="Bothan"),INDEX(WeaponTable,MATCH(D9,WeaponList,0),9)&lt;&gt;"")," ("&amp;B17+2&amp;"d"&amp;B18&amp;")",IF(AND(D10="Melee",OR(COUNTIF(O19:P22,"Tremor Cell")&gt;0,COUNTIF(O19:P22,"Bondar Crystal")&gt;0)),"Yes","")),""),"")</f>
        <v/>
      </c>
      <c r="E18" s="751"/>
      <c r="F18" s="2266" t="str">
        <f ca="1">IF(H18&lt;&gt;"","Charges","")</f>
        <v>Charges</v>
      </c>
      <c r="G18" s="2266"/>
      <c r="H18" s="637">
        <f ca="1">IF(D9&lt;&gt;"",IF(INDEX(WeaponTable,MATCH(D9,WeaponList,0),28)&lt;&gt;"",INDEX(WeaponTable,MATCH(D9,WeaponList,0),28)*IF(AND(D10="Ranged",COUNTIF(O19:P22,"Improved Energy Cell")&gt;0),2,1),""),"")</f>
        <v>10</v>
      </c>
      <c r="I18" s="629"/>
      <c r="J18" s="638"/>
      <c r="K18" s="638"/>
      <c r="L18" s="638"/>
      <c r="M18" s="627" t="s">
        <v>3752</v>
      </c>
      <c r="N18" s="512"/>
      <c r="O18" s="1740" t="s">
        <v>3754</v>
      </c>
      <c r="P18" s="1740"/>
      <c r="Q18" s="634" t="str">
        <f ca="1">IF(AND(O18&lt;&gt;"",D9&lt;&gt;""),IF(COUNTIF(Y18:AC18,"Valid")&gt;0,"Valid","Invalid"),"")</f>
        <v>Invalid</v>
      </c>
      <c r="R18" s="576"/>
      <c r="T18" s="26"/>
      <c r="U18" s="549" t="s">
        <v>115</v>
      </c>
      <c r="V18" s="554"/>
      <c r="W18" s="29"/>
      <c r="Y18" s="543" t="str">
        <f ca="1">IF(O18="Autofire",IF(AND(B19&lt;&gt;"",B20&lt;&gt;""),"Valid","Invalid"),"")</f>
        <v>Invalid</v>
      </c>
      <c r="Z18" s="543" t="str">
        <f>IF(O18="Damage","Valid","")</f>
        <v/>
      </c>
      <c r="AA18" s="543" t="str">
        <f>IF(O18="Design",IF(INDEX(WeaponTable,MATCH(D9,WeaponList,0),4)&lt;&gt;"EWP","Valid","Invalid"),"")</f>
        <v/>
      </c>
      <c r="AC18" s="543" t="str">
        <f>IF(O18="Stun Setting",IF(INDEX(WeaponTable,MATCH(D9,WeaponList,0),9)&lt;&gt;"","Valid","Invalid"),"")</f>
        <v/>
      </c>
      <c r="AD18" s="564" t="s">
        <v>3782</v>
      </c>
    </row>
    <row r="19" spans="2:31">
      <c r="B19" s="744" t="str">
        <f ca="1">IF(INDEX(WeaponTable,MATCH(D9,WeaponList,0),11)&lt;&gt;"",INDEX(WeaponTable,MATCH(D9,WeaponList,0),11),IF(AND(LEFT(O12,14)="Selective Fire",Q12&lt;&gt;"Invalid",INDEX(WeaponTable,MATCH(D9,WeaponList,0),11)="",INDEX(WeaponTable,MATCH(D9,WeaponList,0),12)&lt;&gt;""),"S",IF(AND(COUNTIF(O19:P22,"Sniper Switch")&gt;0,D10="Ranged",INDEX(WeaponTable,MATCH(D9,WeaponList,0),12)="A"),"S","")))</f>
        <v>S</v>
      </c>
      <c r="C19" s="627" t="str">
        <f ca="1">IF(D9&lt;&gt;"",IF(INDEX(WeaponTable,MATCH(D9,WeaponList,0),3)&lt;&gt;"M","Rate of Fire",""),"")</f>
        <v>Rate of Fire</v>
      </c>
      <c r="D19" s="538" t="str">
        <f ca="1">IF(AND(D9&lt;&gt;"",D10="Ranged"),B19&amp;IF(AND(B19&lt;&gt;"",B20&lt;&gt;""),", ","")&amp;B20,"")</f>
        <v>S</v>
      </c>
      <c r="E19" s="751"/>
      <c r="F19" s="1811" t="str">
        <f ca="1">IF(H19&lt;&gt;"","Accuracy","")</f>
        <v>Accuracy</v>
      </c>
      <c r="G19" s="1811"/>
      <c r="H19" s="629" t="str">
        <f ca="1">IF(D9&lt;&gt;"",IF(INDEX(WeaponTable,MATCH(D9,WeaponList,0),23)="In","Inaccurate",IF(INDEX(WeaponTable,MATCH(D9,WeaponList,0),23)="Acc","Accurate","")),"")</f>
        <v>Inaccurate</v>
      </c>
      <c r="I19" s="629"/>
      <c r="J19" s="638"/>
      <c r="K19" s="638"/>
      <c r="L19" s="638"/>
      <c r="M19" s="627" t="s">
        <v>3751</v>
      </c>
      <c r="N19" s="512" t="str">
        <f>IF(O19&lt;&gt;"",INDEX(WeaponAccessoriesTable,MATCH(O19,WeaponAccessoriesList,0),3)+IF(O19="Bayonet Ring",INDEX(WeaponTable,MATCH(D9,WeaponList,0),25),0),"")</f>
        <v/>
      </c>
      <c r="O19" s="1740"/>
      <c r="P19" s="1740"/>
      <c r="Q19" s="634" t="str">
        <f>IF(O19&lt;&gt;"",IF(COUNTIF(Y19:AB19,"invalid")&lt;1,"Valid","Invalid"),"")</f>
        <v/>
      </c>
      <c r="R19" s="576">
        <f>IF(O19&lt;&gt;"",INDEX(WeaponAccessoriesTable,MATCH(O19,WeaponAccessoriesList,0),4),0)</f>
        <v>0</v>
      </c>
      <c r="T19" s="26"/>
      <c r="U19" s="563" t="s">
        <v>3781</v>
      </c>
      <c r="V19" s="554"/>
      <c r="W19" s="29"/>
      <c r="Y19" s="552" t="e">
        <f>IF(INDEX(WeaponAccessoriesTable,MATCH(O19,WeaponAccessoriesList,0),5)&lt;&gt;"",IF(D10=INDEX(WeaponAccessoriesTable,MATCH(O19,WeaponAccessoriesList,0),5),"Valid","Invalid"),"")</f>
        <v>#N/A</v>
      </c>
      <c r="Z19" s="552" t="e">
        <f>IF(INDEX(WeaponAccessoriesTable,MATCH(O19,WeaponAccessoriesList,0),6)&lt;&gt;"",IF(INDEX(WeaponTable,MATCH(D9,WeaponList,0),27)=INDEX(WeaponAccessoriesTable,MATCH(O19,WeaponAccessoriesList,0),6),"Valid","Invalid"),"")</f>
        <v>#N/A</v>
      </c>
      <c r="AA19" s="543" t="e">
        <f>IF(INDEX(WeaponAccessoriesTable,MATCH(O19,WeaponAccessoriesList,0),7)&lt;&gt;"",IF(ISERROR(FIND(INDEX(WeaponAccessoriesTable,MATCH(O19,WeaponAccessoriesList,0),7),D21,1)),"Invalid","Valid"),"")</f>
        <v>#N/A</v>
      </c>
      <c r="AB19" s="552" t="e">
        <f>IF(INDEX(WeaponAccessoriesTable,MATCH(O19,WeaponAccessoriesList,0),5)&lt;&gt;"",IF(INDEX(WeaponTable,MATCH(D9,WeaponList,0),5)&lt;&gt;INDEX(WeaponAccessoriesTable,MATCH(O19,WeaponAccessoriesList,0),5),"Valid","Invalid"),"")</f>
        <v>#N/A</v>
      </c>
      <c r="AD19" s="564" t="str">
        <f>IF(O19&lt;&gt;"",IF(INDEX(WeaponAccessoriesTable,MATCH(O19,WeaponAccessoriesList,0),9)&lt;&gt;"",INDEX(WeaponAccessoriesTable,MATCH(O19,WeaponAccessoriesList,0),9),""),"")</f>
        <v/>
      </c>
      <c r="AE19" s="543" t="str">
        <f>IF(AD19&lt;&gt;"",AD19&amp;IF(AE20&lt;&gt;"","; "&amp;AE20,""),AE20)</f>
        <v>+1 to attack; Deals one less die size damage</v>
      </c>
    </row>
    <row r="20" spans="2:31" ht="15" customHeight="1">
      <c r="B20" s="744" t="str">
        <f ca="1">IF(INDEX(WeaponTable,MATCH(D9,WeaponList,0),12)&lt;&gt;"",INDEX(WeaponTable,MATCH(D9,WeaponList,0),12),IF(AND(LEFT(O12,14)="Selective Fire",Q12&lt;&gt;"Invalid",INDEX(WeaponTable,MATCH(D9,WeaponList,0),12)="",INDEX(WeaponTable,MATCH(D9,WeaponList,0),11)&lt;&gt;""),"A",IF(AND(COUNTIF(O19:P22,"Rapid Recycler")&gt;0,D10="Ranged",INDEX(WeaponTable,MATCH(D9,WeaponList,0),11)="S"),"A","")))</f>
        <v/>
      </c>
      <c r="C20" s="627" t="s">
        <v>106</v>
      </c>
      <c r="D20" s="528">
        <f ca="1">IF(D9&lt;&gt;"",E20,"")</f>
        <v>18</v>
      </c>
      <c r="E20" s="754">
        <f ca="1">INDEX(WeaponTable,MATCH(D9,WeaponList,0),26)*IF(COUNTIF(O19:P22,"Neutronium Reinforcement")&gt;0,2,1)</f>
        <v>18</v>
      </c>
      <c r="F20" s="2266" t="str">
        <f ca="1">IF(H20&lt;&gt;"","Special","")</f>
        <v>Special</v>
      </c>
      <c r="G20" s="2266"/>
      <c r="H20" s="2263" t="str">
        <f ca="1">IF(D9&lt;&gt;"",IF(INDEX(WeaponTable,MATCH(D9,WeaponList,0),16)&lt;&gt;"",INDEX(WeaponTable,MATCH(D9,WeaponList,0),16)&amp;IF(AE19&lt;&gt;"","; "&amp;AE19,""),IF(AE19&lt;&gt;"",AE19,"")),"")</f>
        <v>Area effect; +1 to attack; Deals one less die size damage</v>
      </c>
      <c r="I20" s="2263"/>
      <c r="J20" s="2263"/>
      <c r="K20" s="2263"/>
      <c r="L20" s="638"/>
      <c r="M20" s="627"/>
      <c r="N20" s="512">
        <f>IF(O20&lt;&gt;"",INDEX(WeaponAccessoriesTable,MATCH(O20,WeaponAccessoriesList,0),3)+IF(O20="Bayonet Ring",INDEX(WeaponTable,MATCH(D9,WeaponList,0),25),0),"")</f>
        <v>0</v>
      </c>
      <c r="O20" s="1740" t="s">
        <v>3787</v>
      </c>
      <c r="P20" s="1740"/>
      <c r="Q20" s="634" t="str">
        <f ca="1">IF(O20&lt;&gt;"",IF(COUNTIF(Y20:AB20,"invalid")&lt;1,"Valid","Invalid"),"")</f>
        <v>Invalid</v>
      </c>
      <c r="R20" s="576">
        <f>IF(O20&lt;&gt;"",INDEX(WeaponAccessoriesTable,MATCH(O20,WeaponAccessoriesList,0),4),0)</f>
        <v>0</v>
      </c>
      <c r="S20" s="552"/>
      <c r="T20" s="26"/>
      <c r="U20" s="549" t="s">
        <v>106</v>
      </c>
      <c r="V20" s="554"/>
      <c r="W20" s="29"/>
      <c r="Y20" s="552" t="str">
        <f ca="1">IF(INDEX(WeaponAccessoriesTable,MATCH(O20,WeaponAccessoriesList,0),5)&lt;&gt;"",IF(D10=INDEX(WeaponAccessoriesTable,MATCH(O20,WeaponAccessoriesList,0),5),"Valid","Invalid"),"")</f>
        <v>Invalid</v>
      </c>
      <c r="Z20" s="552" t="str">
        <f ca="1">IF(INDEX(WeaponAccessoriesTable,MATCH(O20,WeaponAccessoriesList,0),6)&lt;&gt;"",IF(INDEX(WeaponTable,MATCH(D9,WeaponList,0),27)=INDEX(WeaponAccessoriesTable,MATCH(O20,WeaponAccessoriesList,0),6),"Valid","Invalid"),"")</f>
        <v>Invalid</v>
      </c>
      <c r="AA20" s="552" t="str">
        <f>IF(INDEX(WeaponAccessoriesTable,MATCH(O20,WeaponAccessoriesList,0),7)&lt;&gt;"",IF(ISERROR(FIND(INDEX(WeaponAccessoriesTable,MATCH(O20,WeaponAccessoriesList,0),7),D21,1)),"Invalid","Valid"),"")</f>
        <v/>
      </c>
      <c r="AB20" s="552" t="str">
        <f ca="1">IF(INDEX(WeaponAccessoriesTable,MATCH(O20,WeaponAccessoriesList,0),5)&lt;&gt;"",IF(INDEX(WeaponTable,MATCH(D9,WeaponList,0),5)&lt;&gt;INDEX(WeaponAccessoriesTable,MATCH(O20,WeaponAccessoriesList,0),5),"Valid","Invalid"),"")</f>
        <v>Valid</v>
      </c>
      <c r="AD20" s="564" t="str">
        <f>IF(O20&lt;&gt;"",IF(INDEX(WeaponAccessoriesTable,MATCH(O20,WeaponAccessoriesList,0),9)&lt;&gt;"",INDEX(WeaponAccessoriesTable,MATCH(O20,WeaponAccessoriesList,0),9),""),"")</f>
        <v>+1 to attack; Deals one less die size damage</v>
      </c>
      <c r="AE20" s="564" t="str">
        <f>IF(AD20&lt;&gt;"",AD20&amp;IF(AE21&lt;&gt;"","; "&amp;AE21,""),AE21)</f>
        <v>+1 to attack; Deals one less die size damage</v>
      </c>
    </row>
    <row r="21" spans="2:31">
      <c r="B21" s="744"/>
      <c r="C21" s="627" t="s">
        <v>48</v>
      </c>
      <c r="D21" s="528" t="str">
        <f ca="1">IF(D9&lt;&gt;"",INDEX(WeaponTable,MATCH(D9,WeaponList,0),13)&amp;IF(AND(O14="Arkanian",Q14="Valid")," and Fire",""),"")</f>
        <v>Energy</v>
      </c>
      <c r="E21" s="755"/>
      <c r="F21" s="638"/>
      <c r="G21" s="638"/>
      <c r="H21" s="2263"/>
      <c r="I21" s="2263"/>
      <c r="J21" s="2263"/>
      <c r="K21" s="2263"/>
      <c r="L21" s="638"/>
      <c r="M21" s="629"/>
      <c r="N21" s="512" t="str">
        <f>IF(O21&lt;&gt;"",INDEX(WeaponAccessoriesTable,MATCH(O21,WeaponAccessoriesList,0),3)+IF(O21="Bayonet Ring",INDEX(WeaponTable,MATCH(D9,WeaponList,0),25),0),"")</f>
        <v/>
      </c>
      <c r="O21" s="1740"/>
      <c r="P21" s="1740"/>
      <c r="Q21" s="634" t="str">
        <f>IF(O21&lt;&gt;"",IF(COUNTIF(Y21:AB21,"invalid")&lt;1,"Valid","Invalid"),"")</f>
        <v/>
      </c>
      <c r="R21" s="576">
        <f>IF(O21&lt;&gt;"",INDEX(WeaponAccessoriesTable,MATCH(O21,WeaponAccessoriesList,0),4),0)</f>
        <v>0</v>
      </c>
      <c r="S21" s="552"/>
      <c r="T21" s="26"/>
      <c r="U21" s="549" t="s">
        <v>48</v>
      </c>
      <c r="V21" s="554"/>
      <c r="W21" s="29"/>
      <c r="Y21" s="552" t="e">
        <f>IF(INDEX(WeaponAccessoriesTable,MATCH(O21,WeaponAccessoriesList,0),5)&lt;&gt;"",IF(D10=INDEX(WeaponAccessoriesTable,MATCH(O21,WeaponAccessoriesList,0),5),"Valid","Invalid"),"")</f>
        <v>#N/A</v>
      </c>
      <c r="Z21" s="552" t="e">
        <f>IF(INDEX(WeaponAccessoriesTable,MATCH(O21,WeaponAccessoriesList,0),6)&lt;&gt;"",IF(INDEX(WeaponTable,MATCH(D9,WeaponList,0),27)=INDEX(WeaponAccessoriesTable,MATCH(O21,WeaponAccessoriesList,0),6),"Valid","Invalid"),"")</f>
        <v>#N/A</v>
      </c>
      <c r="AA21" s="552" t="e">
        <f>IF(INDEX(WeaponAccessoriesTable,MATCH(O21,WeaponAccessoriesList,0),7)&lt;&gt;"",IF(ISERROR(FIND(INDEX(WeaponAccessoriesTable,MATCH(O21,WeaponAccessoriesList,0),7),D21,1)),"Invalid","Valid"),"")</f>
        <v>#N/A</v>
      </c>
      <c r="AB21" s="552" t="e">
        <f>IF(INDEX(WeaponAccessoriesTable,MATCH(O21,WeaponAccessoriesList,0),5)&lt;&gt;"",IF(INDEX(WeaponTable,MATCH(D9,WeaponList,0),5)&lt;&gt;INDEX(WeaponAccessoriesTable,MATCH(O21,WeaponAccessoriesList,0),5),"Valid","Invalid"),"")</f>
        <v>#N/A</v>
      </c>
      <c r="AD21" s="564" t="str">
        <f>IF(O21&lt;&gt;"",IF(INDEX(WeaponAccessoriesTable,MATCH(O21,WeaponAccessoriesList,0),9)&lt;&gt;"",INDEX(WeaponAccessoriesTable,MATCH(O21,WeaponAccessoriesList,0),9),""),"")</f>
        <v/>
      </c>
      <c r="AE21" s="564" t="str">
        <f>IF(AD21&lt;&gt;"",AD21&amp;IF(AE22&lt;&gt;"","; "&amp;AE22,""),AE22)</f>
        <v/>
      </c>
    </row>
    <row r="22" spans="2:31">
      <c r="B22" s="744"/>
      <c r="C22" s="627" t="s">
        <v>104</v>
      </c>
      <c r="D22" s="528" t="str">
        <f ca="1">IF(D9&lt;&gt;"",INDEX(AvailabilityTable,MATCH(INDEX(WeaponTable,MATCH(D9,WeaponList,0),14),AvailList,0),2)&amp;IF(AND(INDEX(WeaponTable,MATCH(D9,WeaponList,0),14)&lt;&gt;"",INDEX(WeaponTable,MATCH(D9,WeaponList,0),15)&lt;&gt;""),", "&amp;INDEX(WeaponTable,MATCH(D9,WeaponList,0),15),INDEX(WeaponTable,MATCH(D9,WeaponList,0),15)),"")</f>
        <v>Military</v>
      </c>
      <c r="E22" s="584"/>
      <c r="F22" s="741"/>
      <c r="G22" s="638"/>
      <c r="H22" s="2263"/>
      <c r="I22" s="2263"/>
      <c r="J22" s="2263"/>
      <c r="K22" s="2263"/>
      <c r="L22" s="638"/>
      <c r="M22" s="629"/>
      <c r="N22" s="512" t="str">
        <f>IF(O22&lt;&gt;"",INDEX(WeaponAccessoriesTable,MATCH(O22,WeaponAccessoriesList,0),3)+IF(O22="Bayonet Ring",INDEX(WeaponTable,MATCH(D9,WeaponList,0),25),0),"")</f>
        <v/>
      </c>
      <c r="O22" s="1740"/>
      <c r="P22" s="1740"/>
      <c r="Q22" s="634" t="str">
        <f>IF(O22&lt;&gt;"",IF(COUNTIF(Y22:AB22,"invalid")&lt;1,"Valid","Invalid"),"")</f>
        <v/>
      </c>
      <c r="R22" s="576">
        <f>IF(O22&lt;&gt;"",INDEX(WeaponAccessoriesTable,MATCH(O22,WeaponAccessoriesList,0),4),0)</f>
        <v>0</v>
      </c>
      <c r="S22" s="552"/>
      <c r="T22" s="26"/>
      <c r="U22" s="563" t="s">
        <v>117</v>
      </c>
      <c r="V22" s="554"/>
      <c r="W22" s="29"/>
      <c r="Y22" s="552" t="e">
        <f>IF(INDEX(WeaponAccessoriesTable,MATCH(O22,WeaponAccessoriesList,0),5)&lt;&gt;"",IF(D10=INDEX(WeaponAccessoriesTable,MATCH(O22,WeaponAccessoriesList,0),5),"Valid","Invalid"),"")</f>
        <v>#N/A</v>
      </c>
      <c r="Z22" s="552" t="e">
        <f>IF(INDEX(WeaponAccessoriesTable,MATCH(O22,WeaponAccessoriesList,0),6)&lt;&gt;"",IF(INDEX(WeaponTable,MATCH(D9,WeaponList,0),27)=INDEX(WeaponAccessoriesTable,MATCH(O22,WeaponAccessoriesList,0),6),"Valid","Invalid"),"")</f>
        <v>#N/A</v>
      </c>
      <c r="AA22" s="552" t="e">
        <f>IF(INDEX(WeaponAccessoriesTable,MATCH(O22,WeaponAccessoriesList,0),7)&lt;&gt;"",IF(ISERROR(FIND(INDEX(WeaponAccessoriesTable,MATCH(O22,WeaponAccessoriesList,0),7),D21,1)),"Invalid","Valid"),"")</f>
        <v>#N/A</v>
      </c>
      <c r="AB22" s="552" t="e">
        <f>IF(INDEX(WeaponAccessoriesTable,MATCH(O22,WeaponAccessoriesList,0),5)&lt;&gt;"",IF(INDEX(WeaponTable,MATCH(D9,WeaponList,0),5)&lt;&gt;INDEX(WeaponAccessoriesTable,MATCH(O22,WeaponAccessoriesList,0),5),"Valid","Invalid"),"")</f>
        <v>#N/A</v>
      </c>
      <c r="AD22" s="564" t="str">
        <f>IF(O22&lt;&gt;"",IF(INDEX(WeaponAccessoriesTable,MATCH(O22,WeaponAccessoriesList,0),9)&lt;&gt;"",INDEX(WeaponAccessoriesTable,MATCH(O22,WeaponAccessoriesList,0),9),""),"")</f>
        <v/>
      </c>
      <c r="AE22" s="564" t="str">
        <f>IF(AD22&lt;&gt;"",AD22&amp;IF(AE23&lt;&gt;"","; "&amp;AE23,""),AE23)</f>
        <v/>
      </c>
    </row>
    <row r="23" spans="2:31">
      <c r="B23" s="744"/>
      <c r="C23" s="49"/>
      <c r="D23" s="75"/>
      <c r="E23" s="577"/>
      <c r="F23" s="577"/>
      <c r="G23" s="577"/>
      <c r="H23" s="2264"/>
      <c r="I23" s="2264"/>
      <c r="J23" s="2264"/>
      <c r="K23" s="2264"/>
      <c r="L23" s="577"/>
      <c r="M23" s="49" t="s">
        <v>4014</v>
      </c>
      <c r="N23" s="75" t="str">
        <f>IF(O23&lt;&gt;"",INDEX(EquipmentTable,MATCH(O23,EquipmentList,0),3),"")</f>
        <v/>
      </c>
      <c r="O23" s="1740"/>
      <c r="P23" s="1740"/>
      <c r="Q23" s="635" t="str">
        <f>IF(O23&lt;&gt;"",IF(COUNTIF(O19:P22,"Dual Gear")&gt;0,"Valid","Invalid"),"")</f>
        <v/>
      </c>
      <c r="R23" s="29"/>
      <c r="T23" s="26"/>
      <c r="U23" s="551"/>
      <c r="V23" s="551"/>
      <c r="W23" s="29"/>
      <c r="AD23" s="579" t="str">
        <f>IF(Q23="Valid",O23,"")</f>
        <v/>
      </c>
      <c r="AE23" s="579" t="str">
        <f>IF(AD23&lt;&gt;"",AD23&amp;IF(AE24&lt;&gt;"","; "&amp;AE24,""),AE24)</f>
        <v/>
      </c>
    </row>
    <row r="24" spans="2:31">
      <c r="B24" s="744">
        <f ca="1">IF(D9&lt;&gt;"",IF(OR(Bioimplant=4,COUNTIF('Character Sheet 2'!CB171:FP225,D11)&gt;0),0,-5)+IF(H13="Dual Wield",IF(DualWeap1&gt;0,-5,IF(DualWeap2&gt;0,-2,IF(DualWeap3&gt;0,0,-10))),0),"")</f>
        <v>-5</v>
      </c>
      <c r="C24" s="627" t="s">
        <v>3733</v>
      </c>
      <c r="D24" s="526">
        <f ca="1">IF(D9&lt;&gt;"",MAX(IF(LEFT(O12,17)="Improved Accuracy",1,0),IF(LEFT(O13,17)="Superior Accuracy",2,0))+IF(AND(D10="Ranged",COUNTIF(O19:P22,"Pulse Charger")&gt;0),-1,0)+IF(C26&lt;&gt;0,C26,0)+L11,"")</f>
        <v>0</v>
      </c>
      <c r="E24" s="741" t="str">
        <f ca="1">IF(AND(D9&lt;&gt;"",D10="Ranged"),IF(AND(K25&lt;&gt;"",M25&lt;&gt;""),IF(M25="Folded","pistols","rifles"),INDEX(WeaponTable,MATCH(D9,WeaponList,0),30)),"")</f>
        <v>heavy</v>
      </c>
      <c r="F24" s="636" t="str">
        <f ca="1">IF(AND(D10&lt;&gt;"Melee",D9&lt;&gt;""),"Point","")</f>
        <v>Point</v>
      </c>
      <c r="G24" s="2269" t="str">
        <f ca="1">IF(AND(D10&lt;&gt;"Melee",D9&lt;&gt;""),"Short","")</f>
        <v>Short</v>
      </c>
      <c r="H24" s="2269"/>
      <c r="I24" s="636" t="str">
        <f ca="1">IF(AND(D10&lt;&gt;"Melee",D9&lt;&gt;""),"Medium","")</f>
        <v>Medium</v>
      </c>
      <c r="J24" s="636" t="str">
        <f ca="1">IF(AND(D10&lt;&gt;"Melee",D9&lt;&gt;""),"Long","")</f>
        <v>Long</v>
      </c>
      <c r="K24" s="636"/>
      <c r="L24" s="636"/>
      <c r="M24" s="629"/>
      <c r="N24" s="629"/>
      <c r="O24" s="627" t="s">
        <v>3768</v>
      </c>
      <c r="P24" s="562">
        <f ca="1">IF(D9&lt;&gt;"",INDEX(WeaponObjectTable,MATCH(INDEX(WeaponTable,MATCH(D9,WeaponList,0),6),WeaponObjectList,0),2)+IF(AND(D10="Melee",D11&lt;&gt;"Weapon Proficiency (lightsabers)",COUNTIF(O19:P22,"Neutronium Reinforcement")&gt;0),5,0)+IF(AND(D10="Melee",D11&lt;&gt;"Weapon Proficiency (lightsabers)",COUNTIF(O19:P22,"Durasteel Bonding")&gt;0),5,0)+IF(COUNTIF(O19:P22,"Silverplate")&gt;0,2,0),"")</f>
        <v>10</v>
      </c>
      <c r="Q24" s="636" t="s">
        <v>88</v>
      </c>
      <c r="R24" s="29"/>
      <c r="T24" s="26"/>
      <c r="U24" s="551"/>
      <c r="V24" s="551"/>
      <c r="W24" s="29"/>
      <c r="AE24" s="383" t="s">
        <v>195</v>
      </c>
    </row>
    <row r="25" spans="2:31">
      <c r="B25" s="744">
        <f ca="1">IF(D10="Melee",IF(AND(INDEX(WeaponTable,MATCH(D9,WeaponList,0),5)="lightsabers",Talents!M1153&gt;0),DexMod,StrMod)*E12,0)+D25+INT(CharacterLevel/2)</f>
        <v>0</v>
      </c>
      <c r="C25" s="627" t="s">
        <v>3732</v>
      </c>
      <c r="D25" s="526">
        <f ca="1">IF(D9&lt;&gt;"",MAX(IF(LEFT(O12,15)="Improved Damage",2,0),IF(LEFT(O13,15)="Superior Damage",5,0))+IF(AND(D10="Ranged",COUNTIF(O19:P22,"Pulse Charger")&gt;0),B17,0)+IF(INDEX(WeaponTable,MATCH(D9,WeaponList,0),19)&lt;&gt;"",INDEX(WeaponTable,MATCH(D9,WeaponList,0),19),0)+IF(AND(D10="Ranged",COUNTIF(O19:P22,"Improved Energy Cell")&gt;0,LEFT(O12,15)="Improved Damage"),1,0)+IF(D26&lt;&gt;0,D26,0)+B26,"")</f>
        <v>0</v>
      </c>
      <c r="E25" s="573" t="str">
        <f ca="1">IF(AND(D10&lt;&gt;"Melee",D9&lt;&gt;""),"Range","")</f>
        <v>Range</v>
      </c>
      <c r="F25" s="634" t="str">
        <f ca="1">IF(AND(D9&lt;&gt;"",D10="Ranged"),"0-"&amp;INDEX(RangeTable,MATCH(E24,RangeList,0),2),"")</f>
        <v>0-50</v>
      </c>
      <c r="G25" s="2259" t="str">
        <f ca="1">IF(AND(D9&lt;&gt;"",D10="Ranged"),INDEX(RangeTable,MATCH(E24,RangeList,0),2)&amp;"-"&amp;INDEX(RangeTable,MATCH(E24,RangeList,0),3),"")</f>
        <v>50-100</v>
      </c>
      <c r="H25" s="2259"/>
      <c r="I25" s="634" t="str">
        <f ca="1">IF(AND(D9&lt;&gt;"",D10="Ranged"),INDEX(RangeTable,MATCH(E24,RangeList,0),3)&amp;"-"&amp;INDEX(RangeTable,MATCH(E24,RangeList,0),4),"")</f>
        <v>100-250</v>
      </c>
      <c r="J25" s="634" t="str">
        <f ca="1">IF(AND(D9&lt;&gt;"",D10="Ranged"),INDEX(RangeTable,MATCH(E24,RangeList,0),4)&amp;"-"&amp;INDEX(RangeTable,MATCH(E24,RangeList,0),5),"")</f>
        <v>250-500</v>
      </c>
      <c r="K25" s="1805" t="str">
        <f ca="1">IF(D9&lt;&gt;"",IF(OR(COUNTIF(O19:P22,"Retractable Stock")&gt;0,INDEX(WeaponTable,MATCH(D9,WeaponList,0),24)=TRUE),"Stock",""),"")</f>
        <v/>
      </c>
      <c r="L25" s="1805"/>
      <c r="M25" s="562"/>
      <c r="N25" s="629"/>
      <c r="O25" s="627" t="s">
        <v>3769</v>
      </c>
      <c r="P25" s="562">
        <f ca="1">IF(D9&lt;&gt;"",INDEX(WeaponObjectTable,MATCH(INDEX(WeaponTable,MATCH(D9,WeaponList,0),6),WeaponObjectList,0),3)+IF(AND(D10="Melee",D11&lt;&gt;"Weapon Proficiency (lightsabers)",COUNTIF(O19:P22,"Neutronium Reinforcement")&gt;0),10,0),"")</f>
        <v>10</v>
      </c>
      <c r="Q25" s="2261" t="str">
        <f>IF(D9&lt;&gt;"",SUM(R19:R22)&amp;"/"&amp;1+IF(O18&lt;&gt;"",1,0),"")</f>
        <v>0/2</v>
      </c>
      <c r="R25" s="29"/>
      <c r="T25" s="26"/>
      <c r="U25" s="551"/>
      <c r="V25" s="551"/>
      <c r="W25" s="29"/>
    </row>
    <row r="26" spans="2:31">
      <c r="B26" s="744">
        <f ca="1">IF(OR(COUNTIF(O19:P22,"Sigil Crystal")&gt;0,COUNTIF(O19:P22,"Nextor Crystal")&gt;0,COUNTIF(O19:P22,"Daminia Crystal")&gt;0,COUNTIF(O19:P22,"Sapith Crystal")&gt;0),2,0)+IF(ISERROR(FIND("Weapon Specialization ("&amp;INDEX(WeaponTable,MATCH(D9,WeaponList,0),5)&amp;")",TalentsTakenBlankList,1)),0,2)+IF(ISERROR(FIND("Greater Weapon Specialization ("&amp;INDEX(WeaponTable,MATCH(D9,WeaponList,0),5)&amp;")",TalentsTakenBlankList,1)),0,2)</f>
        <v>0</v>
      </c>
      <c r="C26" s="534">
        <f ca="1">IF(AND(INDEX(WeaponTable,MATCH(D9,WeaponList,0),5),CharacterLevel&gt;=7,OR(COUNTIF(O19:P22,"Ilum Crystal")&gt;0,COUNTIF(O19:P22, "Adegan Kathracite Crystal")&gt;0,COUNTIF(O19:P22,"Standard Synthetic Crystal")&gt;0)),1,0)</f>
        <v>0</v>
      </c>
      <c r="D26" s="577">
        <f ca="1">IF(AND(INDEX(WeaponTable,MATCH(D9,WeaponList,0),5),CharacterLevel&gt;=7,OR(COUNTIF(O19:P22,"Daminia Crystal")&gt;0,COUNTIF(O19:P22, "Nextor Crystal")&gt;0,COUNTIF(O19:P22,"Sapith Crystal")&gt;0,COUNTIF(O19:P22,"Sigil Crystal")&gt;0)),2,0)</f>
        <v>0</v>
      </c>
      <c r="E26" s="49" t="str">
        <f ca="1">IF(AND(D10&lt;&gt;"Melee",D9&lt;&gt;""),"Modifier","")</f>
        <v>Modifier</v>
      </c>
      <c r="F26" s="711">
        <f ca="1">IF(AND(D10&lt;&gt;"Melee",D9&lt;&gt;""),IF(Feats!M233&gt;0,1,0),"")</f>
        <v>0</v>
      </c>
      <c r="G26" s="2270">
        <f ca="1">IF(AND(D10&lt;&gt;"Melee",D9&lt;&gt;""),IF(OR(H19="Accurate",COUNTIF(O19:O22,"Rangefinder")&gt;0),0,-2),"")</f>
        <v>-2</v>
      </c>
      <c r="H26" s="2270"/>
      <c r="I26" s="711">
        <f ca="1">IF(AND(D10&lt;&gt;"Melee",D9&lt;&gt;""),-5,"")</f>
        <v>-5</v>
      </c>
      <c r="J26" s="711" t="str">
        <f ca="1">IF(AND(D10&lt;&gt;"Melee",D9&lt;&gt;""),IF(H19="Inaccurate","N/A",-10),"")</f>
        <v>N/A</v>
      </c>
      <c r="K26" s="635"/>
      <c r="L26" s="635"/>
      <c r="M26" s="75"/>
      <c r="N26" s="75"/>
      <c r="O26" s="49" t="s">
        <v>3770</v>
      </c>
      <c r="P26" s="583">
        <f ca="1">IF(D9&lt;&gt;"",INDEX(WeaponObjectTable,MATCH(INDEX(WeaponTable,MATCH(D9,WeaponList,0),6),WeaponObjectList,0),4),"")</f>
        <v>17</v>
      </c>
      <c r="Q26" s="2262"/>
      <c r="R26" s="29"/>
      <c r="T26" s="26"/>
      <c r="U26" s="75"/>
      <c r="V26" s="75"/>
      <c r="W26" s="29"/>
    </row>
    <row r="27" spans="2:31" s="552" customFormat="1">
      <c r="B27" s="705"/>
      <c r="C27" s="629"/>
      <c r="D27" s="629"/>
      <c r="E27" s="629"/>
      <c r="F27" s="629"/>
      <c r="G27" s="629"/>
      <c r="H27" s="629"/>
      <c r="I27" s="629"/>
      <c r="J27" s="629"/>
      <c r="K27" s="629"/>
      <c r="L27" s="629"/>
      <c r="M27" s="629"/>
      <c r="N27" s="629"/>
      <c r="O27" s="629"/>
      <c r="P27" s="629"/>
      <c r="Q27" s="629"/>
      <c r="R27" s="29"/>
      <c r="T27" s="26"/>
      <c r="U27" s="2259"/>
      <c r="V27" s="2259"/>
      <c r="W27" s="29"/>
    </row>
    <row r="28" spans="2:31" s="630" customFormat="1">
      <c r="B28" s="539"/>
      <c r="C28" s="49" t="s">
        <v>4053</v>
      </c>
      <c r="D28" s="1775"/>
      <c r="E28" s="1775"/>
      <c r="F28" s="1775"/>
      <c r="G28" s="1775"/>
      <c r="H28" s="1775"/>
      <c r="I28" s="574"/>
      <c r="J28" s="75"/>
      <c r="K28" s="75"/>
      <c r="L28" s="75"/>
      <c r="M28" s="571" t="s">
        <v>3720</v>
      </c>
      <c r="N28" s="578" t="str">
        <f>IF(D28&lt;&gt;"",B43+IF(D29="Melee",IF(AND(OR(H31="Light",INDEX(WeaponTable,MATCH(D28,WeaponList,0),5)="lightsabers"),Feats!M364&gt;0),BaseMeleeAttack-StrMod+DexMod,BaseMeleeAttack),BaseRangedAttack)+D43,"")</f>
        <v/>
      </c>
      <c r="O28" s="49" t="s">
        <v>3721</v>
      </c>
      <c r="P28" s="572" t="str">
        <f>IF(AND(D36&lt;&gt;"",D28&lt;&gt;""),D36&amp;"+"&amp;IF(D29="Melee",IF(AND(INDEX(WeaponTable,MATCH(D28,WeaponList,0),5)="lightsabers",Talents!M1153&gt;0),DexMod,StrMod)*E31,0)+D44+INT(CharacterLevel/2),"")</f>
        <v/>
      </c>
      <c r="Q28" s="75"/>
      <c r="R28" s="29"/>
      <c r="T28" s="26"/>
      <c r="U28" s="627" t="s">
        <v>9</v>
      </c>
      <c r="V28" s="633"/>
      <c r="W28" s="29"/>
    </row>
    <row r="29" spans="2:31" s="630" customFormat="1">
      <c r="B29" s="575" t="e">
        <f ca="1">INDEX(SizeTable,MATCH(INDEX(RaceListTable,RaceIndex,13),SizeAbrList,0),3)</f>
        <v>#N/A</v>
      </c>
      <c r="C29" s="629"/>
      <c r="D29" s="629" t="str">
        <f>IF(D28&lt;&gt;"",IF(INDEX(WeaponTable,MATCH(D28,WeaponList,0),3)="M","Melee","Ranged"),"")</f>
        <v/>
      </c>
      <c r="E29" s="629"/>
      <c r="F29" s="629"/>
      <c r="G29" s="629"/>
      <c r="H29" s="629"/>
      <c r="I29" s="629"/>
      <c r="J29" s="629"/>
      <c r="K29" s="629"/>
      <c r="L29" s="629"/>
      <c r="M29" s="629"/>
      <c r="N29" s="629"/>
      <c r="O29" s="629"/>
      <c r="P29" s="629"/>
      <c r="Q29" s="629"/>
      <c r="R29" s="29"/>
      <c r="T29" s="26"/>
      <c r="U29" s="627"/>
      <c r="V29" s="633"/>
      <c r="W29" s="29"/>
      <c r="Y29" s="630" t="str">
        <f>IF(OR(H31="",H31="Too Large to Use",H31=" Light"),"","Two-Handed")</f>
        <v/>
      </c>
    </row>
    <row r="30" spans="2:31" s="630" customFormat="1">
      <c r="B30" s="575" t="str">
        <f>IF(D28&lt;&gt;"",IF(INDEX(WeaponTable,MATCH(D28,WeaponList,0),4)="EWP","Exotic Weapon Proficiency","Weapon Proficiency"),"")</f>
        <v/>
      </c>
      <c r="C30" s="49" t="s">
        <v>112</v>
      </c>
      <c r="D30" s="75" t="str">
        <f>IF(D28&lt;&gt;"",B30&amp;" ("&amp;INDEX(WeaponTable,MATCH(D28,WeaponList,0),5)&amp;")","")</f>
        <v/>
      </c>
      <c r="E30" s="75"/>
      <c r="F30" s="75"/>
      <c r="G30" s="75"/>
      <c r="H30" s="75"/>
      <c r="I30" s="75"/>
      <c r="J30" s="75"/>
      <c r="K30" s="75"/>
      <c r="L30" s="75"/>
      <c r="M30" s="49" t="s">
        <v>3734</v>
      </c>
      <c r="N30" s="49"/>
      <c r="O30" s="49" t="s">
        <v>3731</v>
      </c>
      <c r="P30" s="75"/>
      <c r="Q30" s="49" t="s">
        <v>74</v>
      </c>
      <c r="R30" s="29"/>
      <c r="T30" s="26"/>
      <c r="U30" s="627"/>
      <c r="V30" s="633"/>
      <c r="W30" s="29"/>
      <c r="Y30" s="630" t="str">
        <f>IF(OR(H31="",H31="Two-Handed",H31="T0o Large to Use"),"","One-Handed")</f>
        <v/>
      </c>
    </row>
    <row r="31" spans="2:31" s="630" customFormat="1">
      <c r="B31" s="575" t="e">
        <f ca="1">INDEX(SizeTable,MATCH(INDEX(WeaponTable,MATCH(D28,WeaponList,0),6),SizeAbrList,0),3)+IF(COUNTIF(O38:P41,"Miniaturized")&gt;0,-1,0)</f>
        <v>#N/A</v>
      </c>
      <c r="C31" s="627" t="s">
        <v>11</v>
      </c>
      <c r="D31" s="629" t="str">
        <f>IF(D28&lt;&gt;"",INDEX(SizeTable,MATCH(B31,SizeNumber,0),2),"")</f>
        <v/>
      </c>
      <c r="E31" s="586">
        <f>IF(AND(D29="Melee",H32="Two-Handed"),2,1)</f>
        <v>1</v>
      </c>
      <c r="F31" s="2267" t="s">
        <v>3776</v>
      </c>
      <c r="G31" s="2267"/>
      <c r="H31" s="629" t="str">
        <f>IF(D28&lt;&gt;"",IF(B29-B31=-1,"Two-Handed",IF(B29-B31&lt;-1,"Too Large to Use",IF(B29-B31=0,"One-Handed"," Light"))),"")</f>
        <v/>
      </c>
      <c r="I31" s="629"/>
      <c r="J31" s="629"/>
      <c r="K31" s="629"/>
      <c r="L31" s="629"/>
      <c r="M31" s="627" t="s">
        <v>2401</v>
      </c>
      <c r="N31" s="512">
        <f>IF(O31&lt;&gt;"",INDEX(TechSpecialistWeaponsTable,MATCH(O31,TechSpecialistWeaponsList,0),2),0)</f>
        <v>0</v>
      </c>
      <c r="O31" s="1740"/>
      <c r="P31" s="1740"/>
      <c r="Q31" s="77" t="str">
        <f>IF(O31&lt;&gt;"",IF(LEFT(O31,14)&lt;&gt;"Selective Fire","Valid",IF(AND(LEFT(O31,14)="Selective Fire",D30&lt;&gt;"Simple",D29&lt;&gt;"Melee"),"Valid","Invalid")),"")</f>
        <v/>
      </c>
      <c r="R31" s="756"/>
      <c r="T31" s="26"/>
      <c r="U31" s="627" t="s">
        <v>11</v>
      </c>
      <c r="V31" s="633"/>
      <c r="W31" s="29"/>
    </row>
    <row r="32" spans="2:31" s="630" customFormat="1">
      <c r="B32" s="575">
        <f>IF(D28&lt;&gt;"",INDEX(WeaponTable,MATCH(D28,WeaponList,0),25)+SUM(N31:N41),0)</f>
        <v>0</v>
      </c>
      <c r="C32" s="627" t="s">
        <v>3691</v>
      </c>
      <c r="D32" s="525" t="str">
        <f>IF(D28&lt;&gt;"",TEXT(B32,"#,### cr")&amp;IF(INDEX(WeaponTable,MATCH(D28,WeaponList,0),15)="Rare"," ("&amp;TEXT(B32*2,"#,### cr)"),""),"")</f>
        <v/>
      </c>
      <c r="E32" s="629"/>
      <c r="F32" s="2266" t="s">
        <v>3777</v>
      </c>
      <c r="G32" s="2266"/>
      <c r="H32" s="2268"/>
      <c r="I32" s="2268"/>
      <c r="J32" s="2268"/>
      <c r="K32" s="638"/>
      <c r="L32" s="638"/>
      <c r="M32" s="627" t="s">
        <v>2499</v>
      </c>
      <c r="N32" s="512">
        <f>IF(O32&lt;&gt;"",INDEX(SuperiorTechWeaponsTable,MATCH(O32,SuperiorTechWeaponsList,0),2),0)</f>
        <v>0</v>
      </c>
      <c r="O32" s="1740"/>
      <c r="P32" s="1740"/>
      <c r="Q32" s="634" t="str">
        <f>IF(O32&lt;&gt;"",IF(OR(LEFT(O32,14)&lt;&gt;"Superior Range",LEFT(O32,17)&lt;&gt;"Superior Capacity"),"Valid",IF(AND(OR(LEFT(O32,14)="Superior Range",LEFT(O32,17)="Superior Capacity"),D31&lt;&gt;"Simple",D30&lt;&gt;"Melee"),"Valid","Invalid")),"")</f>
        <v/>
      </c>
      <c r="R32" s="756"/>
      <c r="T32" s="26"/>
      <c r="U32" s="627" t="s">
        <v>3691</v>
      </c>
      <c r="V32" s="633"/>
      <c r="W32" s="29"/>
      <c r="Y32" s="630" t="s">
        <v>3743</v>
      </c>
    </row>
    <row r="33" spans="2:31" s="630" customFormat="1">
      <c r="B33" s="575"/>
      <c r="C33" s="562" t="s">
        <v>3681</v>
      </c>
      <c r="D33" s="525" t="str">
        <f>IF(D28&lt;&gt;"",IF(INDEX(WeaponTable,MATCH(D28,WeaponList,0),14)&lt;&gt;"C",INDEX(AvailabilityTable,MATCH(INDEX(WeaponTable,MATCH(D28,WeaponList,0),14),AvailList,0),3)*INDEX(WeaponTable,MATCH(D28,WeaponList,0),25),"None"),"")</f>
        <v/>
      </c>
      <c r="E33" s="587"/>
      <c r="F33" s="2266" t="s">
        <v>4052</v>
      </c>
      <c r="G33" s="2266"/>
      <c r="H33" s="638" t="str">
        <f>IF(WeaponName2&lt;&gt;"",20&amp;"/"&amp;"×"&amp;IF(OR(INDEX(WeaponTable,MATCH(WeaponName2,WeaponList,0),5)=Feats!D330,INDEX(WeaponTable,MATCH(WeaponName2,WeaponList,0),5)=Feats!D329),3,2),"")</f>
        <v/>
      </c>
      <c r="I33" s="638"/>
      <c r="J33" s="638"/>
      <c r="K33" s="638"/>
      <c r="L33" s="638"/>
      <c r="M33" s="627" t="s">
        <v>3750</v>
      </c>
      <c r="N33" s="512">
        <f>IF(O33&lt;&gt;"",MAX(INDEX(WeaponTemplateTable,MATCH(O33,WeaponTemplateList,0),3)*INDEX(WeaponTable,MATCH(D28,WeaponList,0),25),INDEX(WeaponTemplateTable,MATCH(O33,WeaponTemplateList,0),4)),0)</f>
        <v>0</v>
      </c>
      <c r="O33" s="1740"/>
      <c r="P33" s="1740"/>
      <c r="Q33" s="634" t="str">
        <f>IF(O33&lt;&gt;"",IF(COUNTIF(Y33:Z33,"Invalid")&lt;1,IF(COUNTIF(AA33:AC33,"")=3,"Valid",IF(COUNTIF(AA33:AC33,"Valid")&gt;0,"Valid","Invalid"))),"")</f>
        <v/>
      </c>
      <c r="R33" s="756"/>
      <c r="T33" s="26"/>
      <c r="U33" s="627"/>
      <c r="V33" s="633"/>
      <c r="W33" s="29"/>
      <c r="Y33" s="630" t="e">
        <f>IF(INDEX(WeaponTemplateTable,MATCH(O33,WeaponTemplateList,0),5)&lt;&gt;"",IF(D29=INDEX(WeaponTemplateTable,MATCH(O33,WeaponTemplateList,0),5),"Valid","Invalid"),"")</f>
        <v>#N/A</v>
      </c>
      <c r="Z33" s="630" t="e">
        <f>IF(INDEX(WeaponTemplateTable,MATCH(O33,WeaponTemplateList,0),6)&lt;&gt;"",IF(INDEX(WeaponTable,MATCH(D28,WeaponList,0),5)=INDEX(WeaponTemplateTable,MATCH(O33,WeaponTemplateList,0),6),"Valid","Invalid"),"")</f>
        <v>#N/A</v>
      </c>
      <c r="AA33" s="630" t="e">
        <f>IF(INDEX(WeaponTemplateTable,MATCH(O33,WeaponTemplateList,0),7)&lt;&gt;"",IF(INDEX(WeaponTable,MATCH(D28,WeaponList,0),13)=INDEX(WeaponTemplateTable,MATCH(O33,WeaponTemplateList,0),7),"Valid","Invalid"),"")</f>
        <v>#N/A</v>
      </c>
      <c r="AB33" s="630" t="e">
        <f>IF(INDEX(WeaponTemplateTable,MATCH(O33,WeaponTemplateList,0),8)&lt;&gt;"",IF(D40=INDEX(WeaponTemplateTable,MATCH(O33,WeaponTemplateList,0),8),"Valid","Invalid"),"")</f>
        <v>#N/A</v>
      </c>
      <c r="AC33" s="630" t="e">
        <f>IF(INDEX(WeaponTemplateTable,MATCH(O33,WeaponTemplateList,0),9)&lt;&gt;"",IF(INDEX(WeaponTable,MATCH(D28,WeaponList,0),9)&lt;&gt;"","Valid","Invalid"),"")</f>
        <v>#N/A</v>
      </c>
    </row>
    <row r="34" spans="2:31" s="630" customFormat="1">
      <c r="B34" s="575"/>
      <c r="C34" s="562" t="s">
        <v>3682</v>
      </c>
      <c r="D34" s="525" t="str">
        <f>IF(D41&lt;&gt;"",IF(AND(B32&lt;&gt;"",INDEX(WeaponTable,MATCH(D28,WeaponList,0),14)&lt;&gt;"C"),TEXT(INDEX(AvailabilityTable,MATCH(INDEX(WeaponTable,MATCH(D28,WeaponList,0),14),AvailList,0),4)*B32,"#,##0")&amp;" cr"&amp;IF(INDEX(WeaponTable,MATCH(D28,WeaponList,0),15)="Rare"," ("&amp;TEXT(INDEX(AvailabilityTable,MATCH(INDEX(WeaponTable,MATCH(D28,WeaponList,0),14),AvailList,0),4)*B32*2,"#,##0")&amp;" cr)",""),""),"")</f>
        <v/>
      </c>
      <c r="E34" s="587"/>
      <c r="F34" s="2265"/>
      <c r="G34" s="2265"/>
      <c r="H34" s="638"/>
      <c r="I34" s="638"/>
      <c r="J34" s="638"/>
      <c r="K34" s="638"/>
      <c r="L34" s="638"/>
      <c r="M34" s="629"/>
      <c r="N34" s="512"/>
      <c r="O34" s="1740"/>
      <c r="P34" s="1740"/>
      <c r="Q34" s="634" t="str">
        <f>IF(O34&lt;&gt;"",IF(COUNTIF(Y34:Z34,"Invalid")&lt;1,IF(COUNTIF(AA34:AC34,"")=3,"Valid",IF(COUNTIF(AA34:AC34,"Valid")&gt;0,"Valid","Invalid"))),"")</f>
        <v/>
      </c>
      <c r="R34" s="756"/>
      <c r="T34" s="26"/>
      <c r="U34" s="627"/>
      <c r="V34" s="633"/>
      <c r="W34" s="29"/>
      <c r="Y34" s="630" t="e">
        <f>IF(INDEX(WeaponTemplateTable,MATCH(O34,WeaponTemplateList,0),5)&lt;&gt;"",IF(D29=INDEX(WeaponTemplateTable,MATCH(O34,WeaponTemplateList,0),5),"Valid","Invalid"),"")</f>
        <v>#N/A</v>
      </c>
      <c r="Z34" s="630" t="e">
        <f>IF(INDEX(WeaponTemplateTable,MATCH(O34,WeaponTemplateList,0),6)&lt;&gt;"",IF(INDEX(WeaponTable,MATCH(D28,WeaponList,0),5)=INDEX(WeaponTemplateTable,MATCH(O34,WeaponTemplateList,0),6),"Valid","Invalid"),"")</f>
        <v>#N/A</v>
      </c>
      <c r="AA34" s="630" t="e">
        <f>IF(INDEX(WeaponTemplateTable,MATCH(O34,WeaponTemplateList,0),7)&lt;&gt;"",IF(INDEX(WeaponTable,MATCH(D28,WeaponList,0),13)=INDEX(WeaponTemplateTable,MATCH(O34,WeaponTemplateList,0),7),"Valid","Invalid"),"")</f>
        <v>#N/A</v>
      </c>
      <c r="AB34" s="630" t="e">
        <f>IF(INDEX(WeaponTemplateTable,MATCH(O34,WeaponTemplateList,0),8)&lt;&gt;"",IF(D40=INDEX(WeaponTemplateTable,MATCH(O34,WeaponTemplateList,0),8),"Valid","Invalid"),"")</f>
        <v>#N/A</v>
      </c>
      <c r="AC34" s="630" t="e">
        <f>IF(INDEX(WeaponTemplateTable,MATCH(O34,WeaponTemplateList,0),9)&lt;&gt;"",IF(INDEX(WeaponTable,MATCH(D28,WeaponList,0),9)&lt;&gt;"","Valid","Invalid"),"")</f>
        <v>#N/A</v>
      </c>
    </row>
    <row r="35" spans="2:31" s="630" customFormat="1">
      <c r="B35" s="575"/>
      <c r="C35" s="562" t="s">
        <v>3683</v>
      </c>
      <c r="D35" s="525" t="str">
        <f>IF(D32&lt;&gt;"",B32/2,"")</f>
        <v/>
      </c>
      <c r="E35" s="587"/>
      <c r="F35" s="2265"/>
      <c r="G35" s="2265"/>
      <c r="H35" s="638"/>
      <c r="I35" s="638"/>
      <c r="J35" s="638"/>
      <c r="K35" s="638"/>
      <c r="L35" s="638"/>
      <c r="M35" s="627" t="s">
        <v>552</v>
      </c>
      <c r="N35" s="512"/>
      <c r="O35" s="1740"/>
      <c r="P35" s="1740"/>
      <c r="Q35" s="634" t="str">
        <f>IF(AND(D28&lt;&gt;"",O35&lt;&gt;""),IF(D29&lt;&gt;"Melee","Invalid",IF((ISERROR(FIND(O35,TalentsTakenList,1))),"Invalid","Valid")),"")</f>
        <v/>
      </c>
      <c r="R35" s="756"/>
      <c r="T35" s="26"/>
      <c r="U35" s="627" t="s">
        <v>3772</v>
      </c>
      <c r="V35" s="633"/>
      <c r="W35" s="29"/>
    </row>
    <row r="36" spans="2:31" s="630" customFormat="1">
      <c r="B36" s="575" t="e">
        <f ca="1">INDEX(WeaponTable,MATCH(D28,WeaponList,0),17)+IF(AND(D29="Melee",COUNTIF(O35:P36,"Empower Weapon")),1,0)+IF(AND(OR(O33="Bothan",O34="Bothan"),D40="Energy (ion)"),1,0)+IF(AND(OR(O33="Bothan",O34="Bothan"),INDEX(WeaponTable,MATCH(D28,WeaponList,0),9)&lt;&gt;""),-1,0)</f>
        <v>#N/A</v>
      </c>
      <c r="C36" s="567" t="s">
        <v>3721</v>
      </c>
      <c r="D36" s="525" t="str">
        <f>IF(D28&lt;&gt;"",IF(B36&lt;&gt;0,B36&amp;"d"&amp;B37&amp;IF(AND(COUNTIF(O38:P41,"Ion Charger")&gt;0,D29="Melee"),"+2d6 ion",""),""),"")</f>
        <v/>
      </c>
      <c r="E36" s="587"/>
      <c r="F36" s="2266" t="str">
        <f>IF(H36&lt;&gt;"",IF(H37="","Power","Ammo"),"")</f>
        <v/>
      </c>
      <c r="G36" s="2266"/>
      <c r="H36" s="637" t="str">
        <f>IF(D28&lt;&gt;"",IF(INDEX(WeaponTable,MATCH(D28,WeaponList,0),27)&lt;&gt;"",INDEX(WeaponTable,MATCH(D28,WeaponList,0),27),""),"")</f>
        <v/>
      </c>
      <c r="I36" s="629"/>
      <c r="J36" s="638"/>
      <c r="K36" s="638"/>
      <c r="L36" s="638"/>
      <c r="M36" s="627"/>
      <c r="N36" s="512"/>
      <c r="O36" s="1740"/>
      <c r="P36" s="1740"/>
      <c r="Q36" s="634" t="str">
        <f>IF(AND(D28&lt;&gt;"",O36&lt;&gt;""),IF(D29&lt;&gt;"Melee","Invalid",IF((ISERROR(FIND(O36,TalentsTakenList,1))),"Invalid","Valid")),"")</f>
        <v/>
      </c>
      <c r="R36" s="756"/>
      <c r="T36" s="26"/>
      <c r="U36" s="627" t="s">
        <v>3773</v>
      </c>
      <c r="V36" s="633"/>
      <c r="W36" s="29"/>
      <c r="Y36" s="630" t="s">
        <v>3756</v>
      </c>
    </row>
    <row r="37" spans="2:31" s="630" customFormat="1">
      <c r="B37" s="575" t="e">
        <f ca="1">INDEX(DieSizeTable,MATCH(INDEX(DieSizeTable,MATCH(INDEX(WeaponTable,MATCH(D28,WeaponList,0),18),DieSizeList,0),1)+IF(COUNTIF(O33:P34,"Rakatan")&gt;0,1,0)-IF(O37="Damage",1,0)-IF(AND(D29="Melee",COUNTIF(O38:P41,"Miniaturized")&gt;0),1,0)-IF(AND(D29="Melee",COUNTIF(O38:P41,"Adegan Mephite Crystal")&gt;0),1,0),DieSizeNumberList,0),2)</f>
        <v>#N/A</v>
      </c>
      <c r="C37" s="627" t="s">
        <v>115</v>
      </c>
      <c r="D37" s="538" t="str">
        <f>IF(D28&lt;&gt;"",IF(O37&lt;&gt;"Stun Setting",IF(INDEX(WeaponTable,MATCH(D28,WeaponList,0),9)&lt;&gt;"",INDEX(WeaponTable,MATCH(D28,WeaponList,0),9),"")&amp;IF(AND(OR(O33="Bothan",O34="Bothan"),INDEX(WeaponTable,MATCH(D28,WeaponList,0),9)&lt;&gt;"")," ("&amp;B36+2&amp;"d"&amp;B37&amp;")",IF(AND(D29="Melee",OR(COUNTIF(O38:P41,"Tremor Cell")&gt;0,COUNTIF(O38:P41,"Bondar Crystal")&gt;0)),"Yes","")),""),"")</f>
        <v/>
      </c>
      <c r="E37" s="586"/>
      <c r="F37" s="2266" t="str">
        <f>IF(H37&lt;&gt;"","Charges","")</f>
        <v/>
      </c>
      <c r="G37" s="2266"/>
      <c r="H37" s="637" t="str">
        <f>IF(D28&lt;&gt;"",IF(INDEX(WeaponTable,MATCH(D28,WeaponList,0),28)&lt;&gt;"",INDEX(WeaponTable,MATCH(D28,WeaponList,0),28)*IF(AND(D29="Ranged",COUNTIF(O38:P41,"Improved Energy Cell")&gt;0),2,1),""),"")</f>
        <v/>
      </c>
      <c r="I37" s="629"/>
      <c r="J37" s="638"/>
      <c r="K37" s="638"/>
      <c r="L37" s="638"/>
      <c r="M37" s="627" t="s">
        <v>3752</v>
      </c>
      <c r="N37" s="512"/>
      <c r="O37" s="1740"/>
      <c r="P37" s="1740"/>
      <c r="Q37" s="634" t="str">
        <f>IF(AND(O37&lt;&gt;"",D28&lt;&gt;""),IF(COUNTIF(Y37:AC37,"Valid")&gt;0,"Valid","Invalid"),"")</f>
        <v/>
      </c>
      <c r="R37" s="756"/>
      <c r="T37" s="26"/>
      <c r="U37" s="627" t="s">
        <v>115</v>
      </c>
      <c r="V37" s="633"/>
      <c r="W37" s="29"/>
      <c r="Y37" s="630" t="str">
        <f>IF(O37="Autofire",IF(AND(B38&lt;&gt;"",B39&lt;&gt;""),"Valid","Invalid"),"")</f>
        <v/>
      </c>
      <c r="Z37" s="630" t="str">
        <f>IF(O37="Damage","Valid","")</f>
        <v/>
      </c>
      <c r="AA37" s="630" t="str">
        <f>IF(O37="Design",IF(INDEX(WeaponTable,MATCH(D28,WeaponList,0),4)&lt;&gt;"EWP","Valid","Invalid"),"")</f>
        <v/>
      </c>
      <c r="AC37" s="630" t="str">
        <f>IF(O37="Stun Setting",IF(INDEX(WeaponTable,MATCH(D28,WeaponList,0),9)&lt;&gt;"","Valid","Invalid"),"")</f>
        <v/>
      </c>
      <c r="AD37" s="630" t="s">
        <v>3782</v>
      </c>
    </row>
    <row r="38" spans="2:31" s="630" customFormat="1">
      <c r="B38" s="575" t="e">
        <f ca="1">IF(INDEX(WeaponTable,MATCH(D28,WeaponList,0),11)&lt;&gt;"",INDEX(WeaponTable,MATCH(D28,WeaponList,0),11),IF(AND(LEFT(O31,14)="Selective Fire",Q31&lt;&gt;"Invalid",INDEX(WeaponTable,MATCH(D28,WeaponList,0),11)="",INDEX(WeaponTable,MATCH(D28,WeaponList,0),12)&lt;&gt;""),"S",IF(AND(COUNTIF(O38:P41,"Sniper Switch")&gt;0,D29="Ranged",INDEX(WeaponTable,MATCH(D28,WeaponList,0),12)="A"),"S","")))</f>
        <v>#N/A</v>
      </c>
      <c r="C38" s="627" t="str">
        <f>IF(D28&lt;&gt;"",IF(INDEX(WeaponTable,MATCH(D28,WeaponList,0),3)&lt;&gt;"M","Rate of Fire",""),"")</f>
        <v/>
      </c>
      <c r="D38" s="538" t="str">
        <f>IF(AND(D28&lt;&gt;"",D29="Ranged"),B38&amp;IF(AND(B38&lt;&gt;"",B39&lt;&gt;""),", ","")&amp;B39,"")</f>
        <v/>
      </c>
      <c r="E38" s="586"/>
      <c r="F38" s="1811" t="str">
        <f>IF(H38&lt;&gt;"","Accuracy","")</f>
        <v/>
      </c>
      <c r="G38" s="1811"/>
      <c r="H38" s="629" t="str">
        <f>IF(D28&lt;&gt;"",IF(INDEX(WeaponTable,MATCH(D28,WeaponList,0),23)="In","Inaccurate",IF(INDEX(WeaponTable,MATCH(D28,WeaponList,0),23)="Acc","Accurate","")),"")</f>
        <v/>
      </c>
      <c r="I38" s="629"/>
      <c r="J38" s="638"/>
      <c r="K38" s="638"/>
      <c r="L38" s="638"/>
      <c r="M38" s="627" t="s">
        <v>3751</v>
      </c>
      <c r="N38" s="638" t="str">
        <f>IF(O38&lt;&gt;"",INDEX(WeaponAccessoriesTable,MATCH(O38,WeaponAccessoriesList,0),3)+IF(O38="Bayonet Ring",INDEX(WeaponTable,MATCH(D28,WeaponList,0),25),0),"")</f>
        <v/>
      </c>
      <c r="O38" s="1740"/>
      <c r="P38" s="1740"/>
      <c r="Q38" s="634" t="str">
        <f>IF(O38&lt;&gt;"",IF(COUNTIF(Y38:AB38,"invalid")&lt;1,"Valid","Invalid"),"")</f>
        <v/>
      </c>
      <c r="R38" s="756">
        <f>IF(O38&lt;&gt;"",INDEX(WeaponAccessoriesTable,MATCH(O38,WeaponAccessoriesList,0),4),0)</f>
        <v>0</v>
      </c>
      <c r="T38" s="26"/>
      <c r="U38" s="627" t="s">
        <v>3781</v>
      </c>
      <c r="V38" s="633"/>
      <c r="W38" s="29"/>
      <c r="Y38" s="630" t="e">
        <f>IF(INDEX(WeaponAccessoriesTable,MATCH(O38,WeaponAccessoriesList,0),5)&lt;&gt;"",IF(D29=INDEX(WeaponAccessoriesTable,MATCH(O38,WeaponAccessoriesList,0),5),"Valid","Invalid"),"")</f>
        <v>#N/A</v>
      </c>
      <c r="Z38" s="630" t="e">
        <f>IF(INDEX(WeaponAccessoriesTable,MATCH(O38,WeaponAccessoriesList,0),6)&lt;&gt;"",IF(INDEX(WeaponTable,MATCH(D28,WeaponList,0),27)=INDEX(WeaponAccessoriesTable,MATCH(O38,WeaponAccessoriesList,0),6),"Valid","Invalid"),"")</f>
        <v>#N/A</v>
      </c>
      <c r="AA38" s="630" t="e">
        <f>IF(INDEX(WeaponAccessoriesTable,MATCH(O38,WeaponAccessoriesList,0),7)&lt;&gt;"",IF(ISERROR(FIND(INDEX(WeaponAccessoriesTable,MATCH(O38,WeaponAccessoriesList,0),7),D40,1)),"Invalid","Valid"),"")</f>
        <v>#N/A</v>
      </c>
      <c r="AB38" s="630" t="e">
        <f>IF(INDEX(WeaponAccessoriesTable,MATCH(O38,WeaponAccessoriesList,0),5)&lt;&gt;"",IF(INDEX(WeaponTable,MATCH(D28,WeaponList,0),5)&lt;&gt;INDEX(WeaponAccessoriesTable,MATCH(O38,WeaponAccessoriesList,0),5),"Valid","Invalid"),"")</f>
        <v>#N/A</v>
      </c>
      <c r="AD38" s="630" t="str">
        <f>IF(O38&lt;&gt;"",IF(INDEX(WeaponAccessoriesTable,MATCH(O38,WeaponAccessoriesList,0),9)&lt;&gt;"",INDEX(WeaponAccessoriesTable,MATCH(O38,WeaponAccessoriesList,0),9),""),"")</f>
        <v/>
      </c>
      <c r="AE38" s="630" t="str">
        <f>IF(AD38&lt;&gt;"",AD38&amp;IF(AE39&lt;&gt;"","; "&amp;AE39,""),AE39)</f>
        <v/>
      </c>
    </row>
    <row r="39" spans="2:31" s="630" customFormat="1" ht="15" customHeight="1">
      <c r="B39" s="575" t="e">
        <f ca="1">IF(INDEX(WeaponTable,MATCH(D28,WeaponList,0),12)&lt;&gt;"",INDEX(WeaponTable,MATCH(D28,WeaponList,0),12),IF(AND(LEFT(O31,14)="Selective Fire",Q31&lt;&gt;"Invalid",INDEX(WeaponTable,MATCH(D28,WeaponList,0),12)="",INDEX(WeaponTable,MATCH(D28,WeaponList,0),11)&lt;&gt;""),"A",IF(AND(COUNTIF(O38:P41,"Rapid Recycler")&gt;0,D29="Ranged",INDEX(WeaponTable,MATCH(D28,WeaponList,0),11)="S"),"A","")))</f>
        <v>#N/A</v>
      </c>
      <c r="C39" s="627" t="s">
        <v>106</v>
      </c>
      <c r="D39" s="528" t="str">
        <f>IF(D28&lt;&gt;"",E39,"")</f>
        <v/>
      </c>
      <c r="E39" s="585" t="e">
        <f ca="1">INDEX(WeaponTable,MATCH(D28,WeaponList,0),26)*IF(COUNTIF(O38:P41,"Neutronium Reinforcement")&gt;0,2,1)</f>
        <v>#N/A</v>
      </c>
      <c r="F39" s="2266" t="str">
        <f>IF(H39&lt;&gt;"","Special","")</f>
        <v/>
      </c>
      <c r="G39" s="2266"/>
      <c r="H39" s="2263" t="str">
        <f>IF(D28&lt;&gt;"",IF(INDEX(WeaponTable,MATCH(D28,WeaponList,0),16)&lt;&gt;"",INDEX(WeaponTable,MATCH(D28,WeaponList,0),16)&amp;IF(AE38&lt;&gt;"","; "&amp;AE38,""),IF(AE38&lt;&gt;"",AE38,"")),"")</f>
        <v/>
      </c>
      <c r="I39" s="2263"/>
      <c r="J39" s="2263"/>
      <c r="K39" s="2263"/>
      <c r="L39" s="638"/>
      <c r="M39" s="627"/>
      <c r="N39" s="638" t="str">
        <f>IF(O39&lt;&gt;"",INDEX(WeaponAccessoriesTable,MATCH(O39,WeaponAccessoriesList,0),3)+IF(O39="Bayonet Ring",INDEX(WeaponTable,MATCH(D28,WeaponList,0),25),0),"")</f>
        <v/>
      </c>
      <c r="O39" s="1740"/>
      <c r="P39" s="1740"/>
      <c r="Q39" s="634" t="str">
        <f>IF(O39&lt;&gt;"",IF(COUNTIF(Y39:AB39,"invalid")&lt;1,"Valid","Invalid"),"")</f>
        <v/>
      </c>
      <c r="R39" s="756">
        <f>IF(O39&lt;&gt;"",INDEX(WeaponAccessoriesTable,MATCH(O39,WeaponAccessoriesList,0),4),0)</f>
        <v>0</v>
      </c>
      <c r="T39" s="26"/>
      <c r="U39" s="627" t="s">
        <v>106</v>
      </c>
      <c r="V39" s="633"/>
      <c r="W39" s="29"/>
      <c r="Y39" s="630" t="e">
        <f>IF(INDEX(WeaponAccessoriesTable,MATCH(O39,WeaponAccessoriesList,0),5)&lt;&gt;"",IF(D29=INDEX(WeaponAccessoriesTable,MATCH(O39,WeaponAccessoriesList,0),5),"Valid","Invalid"),"")</f>
        <v>#N/A</v>
      </c>
      <c r="Z39" s="630" t="e">
        <f>IF(INDEX(WeaponAccessoriesTable,MATCH(O39,WeaponAccessoriesList,0),6)&lt;&gt;"",IF(INDEX(WeaponTable,MATCH(D28,WeaponList,0),27)=INDEX(WeaponAccessoriesTable,MATCH(O39,WeaponAccessoriesList,0),6),"Valid","Invalid"),"")</f>
        <v>#N/A</v>
      </c>
      <c r="AA39" s="630" t="e">
        <f>IF(INDEX(WeaponAccessoriesTable,MATCH(O39,WeaponAccessoriesList,0),7)&lt;&gt;"",IF(ISERROR(FIND(INDEX(WeaponAccessoriesTable,MATCH(O39,WeaponAccessoriesList,0),7),D40,1)),"Invalid","Valid"),"")</f>
        <v>#N/A</v>
      </c>
      <c r="AB39" s="630" t="e">
        <f>IF(INDEX(WeaponAccessoriesTable,MATCH(O39,WeaponAccessoriesList,0),5)&lt;&gt;"",IF(INDEX(WeaponTable,MATCH(D28,WeaponList,0),5)&lt;&gt;INDEX(WeaponAccessoriesTable,MATCH(O39,WeaponAccessoriesList,0),5),"Valid","Invalid"),"")</f>
        <v>#N/A</v>
      </c>
      <c r="AD39" s="630" t="str">
        <f>IF(O39&lt;&gt;"",IF(INDEX(WeaponAccessoriesTable,MATCH(O39,WeaponAccessoriesList,0),9)&lt;&gt;"",INDEX(WeaponAccessoriesTable,MATCH(O39,WeaponAccessoriesList,0),9),""),"")</f>
        <v/>
      </c>
      <c r="AE39" s="630" t="str">
        <f>IF(AD39&lt;&gt;"",AD39&amp;IF(AE40&lt;&gt;"","; "&amp;AE40,""),AE40)</f>
        <v/>
      </c>
    </row>
    <row r="40" spans="2:31" s="630" customFormat="1">
      <c r="B40" s="575"/>
      <c r="C40" s="627" t="s">
        <v>48</v>
      </c>
      <c r="D40" s="528" t="str">
        <f>IF(D28&lt;&gt;"",INDEX(WeaponTable,MATCH(D28,WeaponList,0),13)&amp;IF(AND(O33="Arkanian",Q33="Valid")," and Fire",""),"")</f>
        <v/>
      </c>
      <c r="E40" s="584"/>
      <c r="F40" s="638"/>
      <c r="G40" s="638"/>
      <c r="H40" s="2263"/>
      <c r="I40" s="2263"/>
      <c r="J40" s="2263"/>
      <c r="K40" s="2263"/>
      <c r="L40" s="638"/>
      <c r="M40" s="629"/>
      <c r="N40" s="638" t="str">
        <f>IF(O40&lt;&gt;"",INDEX(WeaponAccessoriesTable,MATCH(O40,WeaponAccessoriesList,0),3)+IF(O40="Bayonet Ring",INDEX(WeaponTable,MATCH(D28,WeaponList,0),25),0),"")</f>
        <v/>
      </c>
      <c r="O40" s="1740"/>
      <c r="P40" s="1740"/>
      <c r="Q40" s="634" t="str">
        <f>IF(O40&lt;&gt;"",IF(COUNTIF(Y40:AB40,"invalid")&lt;1,"Valid","Invalid"),"")</f>
        <v/>
      </c>
      <c r="R40" s="756">
        <f>IF(O40&lt;&gt;"",INDEX(WeaponAccessoriesTable,MATCH(O40,WeaponAccessoriesList,0),4),0)</f>
        <v>0</v>
      </c>
      <c r="T40" s="26"/>
      <c r="U40" s="627" t="s">
        <v>48</v>
      </c>
      <c r="V40" s="633"/>
      <c r="W40" s="29"/>
      <c r="Y40" s="630" t="e">
        <f>IF(INDEX(WeaponAccessoriesTable,MATCH(O40,WeaponAccessoriesList,0),5)&lt;&gt;"",IF(D29=INDEX(WeaponAccessoriesTable,MATCH(O40,WeaponAccessoriesList,0),5),"Valid","Invalid"),"")</f>
        <v>#N/A</v>
      </c>
      <c r="Z40" s="630" t="e">
        <f>IF(INDEX(WeaponAccessoriesTable,MATCH(O40,WeaponAccessoriesList,0),6)&lt;&gt;"",IF(INDEX(WeaponTable,MATCH(D28,WeaponList,0),27)=INDEX(WeaponAccessoriesTable,MATCH(O40,WeaponAccessoriesList,0),6),"Valid","Invalid"),"")</f>
        <v>#N/A</v>
      </c>
      <c r="AA40" s="630" t="e">
        <f>IF(INDEX(WeaponAccessoriesTable,MATCH(O40,WeaponAccessoriesList,0),7)&lt;&gt;"",IF(ISERROR(FIND(INDEX(WeaponAccessoriesTable,MATCH(O40,WeaponAccessoriesList,0),7),D40,1)),"Invalid","Valid"),"")</f>
        <v>#N/A</v>
      </c>
      <c r="AB40" s="630" t="e">
        <f>IF(INDEX(WeaponAccessoriesTable,MATCH(O40,WeaponAccessoriesList,0),5)&lt;&gt;"",IF(INDEX(WeaponTable,MATCH(D28,WeaponList,0),5)&lt;&gt;INDEX(WeaponAccessoriesTable,MATCH(O40,WeaponAccessoriesList,0),5),"Valid","Invalid"),"")</f>
        <v>#N/A</v>
      </c>
      <c r="AD40" s="630" t="str">
        <f>IF(O40&lt;&gt;"",IF(INDEX(WeaponAccessoriesTable,MATCH(O40,WeaponAccessoriesList,0),9)&lt;&gt;"",INDEX(WeaponAccessoriesTable,MATCH(O40,WeaponAccessoriesList,0),9),""),"")</f>
        <v/>
      </c>
      <c r="AE40" s="630" t="str">
        <f>IF(AD40&lt;&gt;"",AD40&amp;IF(AE41&lt;&gt;"","; "&amp;AE41,""),AE41)</f>
        <v/>
      </c>
    </row>
    <row r="41" spans="2:31" s="630" customFormat="1">
      <c r="B41" s="575"/>
      <c r="C41" s="627" t="s">
        <v>104</v>
      </c>
      <c r="D41" s="528" t="str">
        <f>IF(D28&lt;&gt;"",INDEX(AvailabilityTable,MATCH(INDEX(WeaponTable,MATCH(D28,WeaponList,0),14),AvailList,0),2)&amp;IF(AND(INDEX(WeaponTable,MATCH(D28,WeaponList,0),14)&lt;&gt;"",INDEX(WeaponTable,MATCH(D28,WeaponList,0),15)&lt;&gt;""),", "&amp;INDEX(WeaponTable,MATCH(D28,WeaponList,0),15),INDEX(WeaponTable,MATCH(D28,WeaponList,0),15)),"")</f>
        <v/>
      </c>
      <c r="E41" s="584"/>
      <c r="F41" s="638"/>
      <c r="G41" s="638"/>
      <c r="H41" s="2263"/>
      <c r="I41" s="2263"/>
      <c r="J41" s="2263"/>
      <c r="K41" s="2263"/>
      <c r="L41" s="638"/>
      <c r="M41" s="629"/>
      <c r="N41" s="638" t="str">
        <f>IF(O41&lt;&gt;"",INDEX(WeaponAccessoriesTable,MATCH(O41,WeaponAccessoriesList,0),3)+IF(O41="Bayonet Ring",INDEX(WeaponTable,MATCH(D28,WeaponList,0),25),0),"")</f>
        <v/>
      </c>
      <c r="O41" s="1740"/>
      <c r="P41" s="1740"/>
      <c r="Q41" s="634" t="str">
        <f>IF(O41&lt;&gt;"",IF(COUNTIF(Y41:AB41,"invalid")&lt;1,"Valid","Invalid"),"")</f>
        <v/>
      </c>
      <c r="R41" s="756">
        <f>IF(O41&lt;&gt;"",INDEX(WeaponAccessoriesTable,MATCH(O41,WeaponAccessoriesList,0),4),0)</f>
        <v>0</v>
      </c>
      <c r="T41" s="26"/>
      <c r="U41" s="627" t="s">
        <v>117</v>
      </c>
      <c r="V41" s="633"/>
      <c r="W41" s="29"/>
      <c r="Y41" s="630" t="e">
        <f>IF(INDEX(WeaponAccessoriesTable,MATCH(O41,WeaponAccessoriesList,0),5)&lt;&gt;"",IF(D29=INDEX(WeaponAccessoriesTable,MATCH(O41,WeaponAccessoriesList,0),5),"Valid","Invalid"),"")</f>
        <v>#N/A</v>
      </c>
      <c r="Z41" s="630" t="e">
        <f>IF(INDEX(WeaponAccessoriesTable,MATCH(O41,WeaponAccessoriesList,0),6)&lt;&gt;"",IF(INDEX(WeaponTable,MATCH(D28,WeaponList,0),27)=INDEX(WeaponAccessoriesTable,MATCH(O41,WeaponAccessoriesList,0),6),"Valid","Invalid"),"")</f>
        <v>#N/A</v>
      </c>
      <c r="AA41" s="630" t="e">
        <f>IF(INDEX(WeaponAccessoriesTable,MATCH(O41,WeaponAccessoriesList,0),7)&lt;&gt;"",IF(ISERROR(FIND(INDEX(WeaponAccessoriesTable,MATCH(O41,WeaponAccessoriesList,0),7),D40,1)),"Invalid","Valid"),"")</f>
        <v>#N/A</v>
      </c>
      <c r="AB41" s="630" t="e">
        <f>IF(INDEX(WeaponAccessoriesTable,MATCH(O41,WeaponAccessoriesList,0),5)&lt;&gt;"",IF(INDEX(WeaponTable,MATCH(D28,WeaponList,0),5)&lt;&gt;INDEX(WeaponAccessoriesTable,MATCH(O41,WeaponAccessoriesList,0),5),"Valid","Invalid"),"")</f>
        <v>#N/A</v>
      </c>
      <c r="AD41" s="630" t="str">
        <f>IF(O41&lt;&gt;"",IF(INDEX(WeaponAccessoriesTable,MATCH(O41,WeaponAccessoriesList,0),9)&lt;&gt;"",INDEX(WeaponAccessoriesTable,MATCH(O41,WeaponAccessoriesList,0),9),""),"")</f>
        <v/>
      </c>
      <c r="AE41" s="630" t="str">
        <f>IF(AD41&lt;&gt;"",AD41&amp;IF(AE42&lt;&gt;"","; "&amp;AE42,""),AE42)</f>
        <v/>
      </c>
    </row>
    <row r="42" spans="2:31" s="630" customFormat="1">
      <c r="B42" s="575"/>
      <c r="C42" s="49"/>
      <c r="D42" s="75"/>
      <c r="E42" s="577"/>
      <c r="F42" s="75"/>
      <c r="G42" s="577"/>
      <c r="H42" s="2264"/>
      <c r="I42" s="2264"/>
      <c r="J42" s="2264"/>
      <c r="K42" s="2264"/>
      <c r="L42" s="577"/>
      <c r="M42" s="49" t="s">
        <v>4014</v>
      </c>
      <c r="N42" s="75"/>
      <c r="O42" s="1740"/>
      <c r="P42" s="1740"/>
      <c r="Q42" s="635" t="str">
        <f>IF(O42&lt;&gt;"",IF(COUNTIF(O38:P41,"Dual Gear")&gt;0,"Valid","Invalid"),"")</f>
        <v/>
      </c>
      <c r="R42" s="756"/>
      <c r="T42" s="26"/>
      <c r="U42" s="629"/>
      <c r="V42" s="629"/>
      <c r="W42" s="29"/>
      <c r="AD42" s="630" t="str">
        <f>IF(Q42="Valid",O42,"")</f>
        <v/>
      </c>
      <c r="AE42" s="630" t="str">
        <f>IF(AD42&lt;&gt;"",AD42&amp;IF(AE43&lt;&gt;"","; "&amp;AE43,""),AE43)</f>
        <v/>
      </c>
    </row>
    <row r="43" spans="2:31" s="630" customFormat="1">
      <c r="B43" s="575" t="str">
        <f>IF(D28&lt;&gt;"",IF(OR(Bioimplant=4,COUNTIF('Character Sheet 2'!CB171:FP225,D30)&gt;0),0,-5),"")</f>
        <v/>
      </c>
      <c r="C43" s="627" t="s">
        <v>3733</v>
      </c>
      <c r="D43" s="526" t="str">
        <f>IF(D28&lt;&gt;"",MAX(IF(LEFT(O31,17)="Improved Accuracy",1,0),IF(LEFT(O32,17)="Superior Accuracy",2,0))+IF(AND(D29="Ranged",COUNTIF(O38:P41,"Pulse Charger")&gt;0),-1,0)+IF(C45&lt;&gt;0,C45,0),"")</f>
        <v/>
      </c>
      <c r="E43" s="512" t="str">
        <f>IF(AND(D28&lt;&gt;"",D29="Ranged"),IF(AND(K44&lt;&gt;"",M44&lt;&gt;""),IF(M44="Folded","pistols","rifles"),INDEX(WeaponTable,MATCH(D28,WeaponList,0),30)),"")</f>
        <v/>
      </c>
      <c r="F43" s="636" t="str">
        <f>IF(AND(D29&lt;&gt;"Melee",D28&lt;&gt;""),"Point","")</f>
        <v/>
      </c>
      <c r="G43" s="2269" t="str">
        <f>IF(AND(D29&lt;&gt;"Melee",D28&lt;&gt;""),"Short","")</f>
        <v/>
      </c>
      <c r="H43" s="2269"/>
      <c r="I43" s="636" t="str">
        <f>IF(AND(D29&lt;&gt;"Melee",D28&lt;&gt;""),"Medium","")</f>
        <v/>
      </c>
      <c r="J43" s="636" t="str">
        <f>IF(AND(D29&lt;&gt;"Melee",D28&lt;&gt;""),"Long","")</f>
        <v/>
      </c>
      <c r="K43" s="636"/>
      <c r="L43" s="636"/>
      <c r="M43" s="629"/>
      <c r="N43" s="629"/>
      <c r="O43" s="627" t="s">
        <v>3768</v>
      </c>
      <c r="P43" s="562" t="str">
        <f>IF(D28&lt;&gt;"",INDEX(WeaponObjectTable,MATCH(INDEX(WeaponTable,MATCH(D28,WeaponList,0),6),WeaponObjectList,0),2)+IF(AND(D29="Melee",D30&lt;&gt;"Weapon Proficiency (lightsabers)",COUNTIF(O38:P41,"Neutronium Reinforcement")&gt;0),5,0)+IF(AND(D29="Melee",D30&lt;&gt;"Weapon Proficiency (lightsabers)",COUNTIF(O38:P41,"Durasteel Bonding")&gt;0),5,0)+IF(COUNTIF(O38:P41,"Silverplate")&gt;0,2,0),"")</f>
        <v/>
      </c>
      <c r="Q43" s="636" t="s">
        <v>88</v>
      </c>
      <c r="R43" s="29"/>
      <c r="T43" s="26"/>
      <c r="U43" s="629"/>
      <c r="V43" s="629"/>
      <c r="W43" s="29"/>
      <c r="AE43" s="383" t="s">
        <v>195</v>
      </c>
    </row>
    <row r="44" spans="2:31" s="630" customFormat="1">
      <c r="B44" s="575"/>
      <c r="C44" s="627" t="s">
        <v>3732</v>
      </c>
      <c r="D44" s="526" t="str">
        <f>IF(D28&lt;&gt;"",MAX(IF(LEFT(O31,15)="Improved Damage",2,0),IF(LEFT(O32,15)="Superior Damage",5,0))+IF(AND(D29="Ranged",COUNTIF(O38:P41,"Pulse Charger")&gt;0),B36,0)+IF(INDEX(WeaponTable,MATCH(D28,WeaponList,0),19)&lt;&gt;"",INDEX(WeaponTable,MATCH(D28,WeaponList,0),19),0)+IF(AND(D29="Ranged",COUNTIF(O38:P41,"Improved Energy Cell")&gt;0,LEFT(O31,15)="Improved Damage"),1,0)+IF(D45&lt;&gt;0,D45,0),"")</f>
        <v/>
      </c>
      <c r="E44" s="573" t="str">
        <f>IF(AND(D29&lt;&gt;"Melee",D28&lt;&gt;""),"Range","")</f>
        <v/>
      </c>
      <c r="F44" s="634" t="str">
        <f>IF(AND(D28&lt;&gt;"",D29="Ranged"),"0-"&amp;INDEX(RangeTable,MATCH(E43,RangeList,0),2),"")</f>
        <v/>
      </c>
      <c r="G44" s="2259" t="str">
        <f>IF(AND(D28&lt;&gt;"",D29="Ranged"),INDEX(RangeTable,MATCH(E43,RangeList,0),2)&amp;"-"&amp;INDEX(RangeTable,MATCH(E43,RangeList,0),3),"")</f>
        <v/>
      </c>
      <c r="H44" s="2259"/>
      <c r="I44" s="634" t="str">
        <f>IF(AND(D28&lt;&gt;"",D29="Ranged"),INDEX(RangeTable,MATCH(E43,RangeList,0),3)&amp;"-"&amp;INDEX(RangeTable,MATCH(E43,RangeList,0),4),"")</f>
        <v/>
      </c>
      <c r="J44" s="634" t="str">
        <f>IF(AND(D28&lt;&gt;"",D29="Ranged"),INDEX(RangeTable,MATCH(E43,RangeList,0),4)&amp;"-"&amp;INDEX(RangeTable,MATCH(E43,RangeList,0),5),"")</f>
        <v/>
      </c>
      <c r="K44" s="1805" t="str">
        <f>IF(D28&lt;&gt;"",IF(OR(COUNTIF(O38:P41,"Retractable Stock")&gt;0,INDEX(WeaponTable,MATCH(D28,WeaponList,0),24)=TRUE),"Stock",""),"")</f>
        <v/>
      </c>
      <c r="L44" s="1805"/>
      <c r="M44" s="562"/>
      <c r="N44" s="629"/>
      <c r="O44" s="627" t="s">
        <v>3769</v>
      </c>
      <c r="P44" s="562" t="str">
        <f>IF(D28&lt;&gt;"",INDEX(WeaponObjectTable,MATCH(INDEX(WeaponTable,MATCH(D28,WeaponList,0),6),WeaponObjectList,0),3)+IF(AND(D29="Melee",D30&lt;&gt;"Weapon Proficiency (lightsabers)",COUNTIF(O38:P41,"Neutronium Reinforcement")&gt;0),10,0),"")</f>
        <v/>
      </c>
      <c r="Q44" s="2261" t="str">
        <f>IF(D28&lt;&gt;"",SUM(R38:R41)&amp;"/"&amp;1+IF(O37&lt;&gt;"",1,0),"")</f>
        <v/>
      </c>
      <c r="R44" s="29"/>
      <c r="T44" s="26"/>
      <c r="U44" s="629"/>
      <c r="V44" s="629"/>
      <c r="W44" s="29"/>
    </row>
    <row r="45" spans="2:31" s="630" customFormat="1">
      <c r="B45" s="575"/>
      <c r="C45" s="534" t="e">
        <f ca="1">IF(AND(INDEX(WeaponTable,MATCH(D28,WeaponList,0),5),CharacterLevel&gt;=7,OR(COUNTIF(O38:P41,"Ilum Crystal")&gt;0,COUNTIF(O38:P41, "Adegan Kathracite Crystal")&gt;0,COUNTIF(O38:P41,"Standard Synthetic Crystal")&gt;0)),1,0)</f>
        <v>#N/A</v>
      </c>
      <c r="D45" s="534" t="e">
        <f ca="1">IF(AND(INDEX(WeaponTable,MATCH(D28,WeaponList,0),5),CharacterLevel&gt;=7,OR(COUNTIF(O38:P41,"Daminia Crystal")&gt;0,COUNTIF(O38:P41, "Nextor Crystal")&gt;0,COUNTIF(O38:P41,"Sapith Crystal")&gt;0,COUNTIF(O38:P41,"Sigil Crystal")&gt;0)),2,0)</f>
        <v>#N/A</v>
      </c>
      <c r="E45" s="49" t="str">
        <f>IF(AND(D29&lt;&gt;"Melee",D28&lt;&gt;""),"Modifier","")</f>
        <v/>
      </c>
      <c r="F45" s="635" t="str">
        <f>IF(AND(D29&lt;&gt;"Melee",D28&lt;&gt;""),IF(Feats!M271&gt;1,1,0),"")</f>
        <v/>
      </c>
      <c r="G45" s="2271" t="str">
        <f>IF(AND(D29&lt;&gt;"Melee",D28&lt;&gt;""),IF(OR(H38="Accurate",COUNTIF(O38:O41,"Rangefinder")&gt;0),0,-2),"")</f>
        <v/>
      </c>
      <c r="H45" s="2271"/>
      <c r="I45" s="635" t="str">
        <f>IF(AND(D29&lt;&gt;"Melee",D28&lt;&gt;""),-5,"")</f>
        <v/>
      </c>
      <c r="J45" s="635" t="str">
        <f>IF(AND(D29&lt;&gt;"Melee",D28&lt;&gt;""),IF(H38="Inaccurate","N/A",-10),"")</f>
        <v/>
      </c>
      <c r="K45" s="635"/>
      <c r="L45" s="635"/>
      <c r="M45" s="75"/>
      <c r="N45" s="75"/>
      <c r="O45" s="49" t="s">
        <v>3770</v>
      </c>
      <c r="P45" s="583" t="str">
        <f>IF(D28&lt;&gt;"",INDEX(WeaponObjectTable,MATCH(INDEX(WeaponTable,MATCH(D28,WeaponList,0),6),WeaponObjectList,0),4),"")</f>
        <v/>
      </c>
      <c r="Q45" s="2262"/>
      <c r="R45" s="29"/>
      <c r="T45" s="26"/>
      <c r="U45" s="75"/>
      <c r="V45" s="75"/>
      <c r="W45" s="29"/>
    </row>
    <row r="46" spans="2:31" s="630" customFormat="1">
      <c r="B46" s="539"/>
      <c r="C46" s="629"/>
      <c r="D46" s="629"/>
      <c r="E46" s="629"/>
      <c r="F46" s="629"/>
      <c r="G46" s="629"/>
      <c r="H46" s="629"/>
      <c r="I46" s="629"/>
      <c r="J46" s="629"/>
      <c r="K46" s="629"/>
      <c r="L46" s="629"/>
      <c r="M46" s="629"/>
      <c r="N46" s="629"/>
      <c r="O46" s="629"/>
      <c r="P46" s="629"/>
      <c r="Q46" s="629"/>
      <c r="R46" s="29"/>
      <c r="T46" s="26"/>
      <c r="U46" s="2259"/>
      <c r="V46" s="2259"/>
      <c r="W46" s="29"/>
    </row>
    <row r="47" spans="2:31" s="630" customFormat="1">
      <c r="B47" s="539"/>
      <c r="C47" s="49" t="s">
        <v>4054</v>
      </c>
      <c r="D47" s="1775"/>
      <c r="E47" s="1775"/>
      <c r="F47" s="1775"/>
      <c r="G47" s="1775"/>
      <c r="H47" s="1775"/>
      <c r="I47" s="574"/>
      <c r="J47" s="75"/>
      <c r="K47" s="75"/>
      <c r="L47" s="75"/>
      <c r="M47" s="571" t="s">
        <v>3720</v>
      </c>
      <c r="N47" s="578" t="str">
        <f>IF(D47&lt;&gt;"",B62+IF(D48="Melee",IF(AND(OR(H50="Light",INDEX(WeaponTable,MATCH(D47,WeaponList,0),5)="lightsabers"),Feats!M369&gt;0),BaseMeleeAttack-StrMod+DexMod,BaseMeleeAttack),BaseRangedAttack)+D62,"")</f>
        <v/>
      </c>
      <c r="O47" s="49" t="s">
        <v>3721</v>
      </c>
      <c r="P47" s="572" t="str">
        <f>IF(AND(D55&lt;&gt;"",D47&lt;&gt;""),D55&amp;"+"&amp;IF(D48="Melee",IF(AND(INDEX(WeaponTable,MATCH(D47,WeaponList,0),5)="lightsabers",Talents!M1153&gt;0),DexMod,StrMod)*E50,0)+D63+INT(CharacterLevel/2),"")</f>
        <v/>
      </c>
      <c r="Q47" s="75"/>
      <c r="R47" s="29"/>
      <c r="T47" s="26"/>
      <c r="U47" s="627" t="s">
        <v>9</v>
      </c>
      <c r="V47" s="633"/>
      <c r="W47" s="29"/>
    </row>
    <row r="48" spans="2:31" s="630" customFormat="1">
      <c r="B48" s="575" t="e">
        <f ca="1">INDEX(SizeTable,MATCH(INDEX(RaceListTable,RaceIndex,13),SizeAbrList,0),3)</f>
        <v>#N/A</v>
      </c>
      <c r="C48" s="629"/>
      <c r="D48" s="629" t="str">
        <f>IF(D47&lt;&gt;"",IF(INDEX(WeaponTable,MATCH(D47,WeaponList,0),3)="M","Melee","Ranged"),"")</f>
        <v/>
      </c>
      <c r="E48" s="629"/>
      <c r="F48" s="629"/>
      <c r="G48" s="629"/>
      <c r="H48" s="629"/>
      <c r="I48" s="629"/>
      <c r="J48" s="629"/>
      <c r="K48" s="629"/>
      <c r="L48" s="629"/>
      <c r="M48" s="629"/>
      <c r="N48" s="629"/>
      <c r="O48" s="629"/>
      <c r="P48" s="629"/>
      <c r="Q48" s="629"/>
      <c r="R48" s="29"/>
      <c r="T48" s="26"/>
      <c r="U48" s="627"/>
      <c r="V48" s="633"/>
      <c r="W48" s="29"/>
      <c r="Y48" s="630" t="str">
        <f>IF(OR(H50="",H50="Too Large to Use",H50=" Light"),"","Two-Handed")</f>
        <v/>
      </c>
    </row>
    <row r="49" spans="2:31" s="630" customFormat="1">
      <c r="B49" s="575" t="str">
        <f>IF(D47&lt;&gt;"",IF(INDEX(WeaponTable,MATCH(D47,WeaponList,0),4)="EWP","Exotic Weapon Proficiency","Weapon Proficiency"),"")</f>
        <v/>
      </c>
      <c r="C49" s="49" t="s">
        <v>112</v>
      </c>
      <c r="D49" s="75" t="str">
        <f>IF(D47&lt;&gt;"",B49&amp;" ("&amp;INDEX(WeaponTable,MATCH(D47,WeaponList,0),5)&amp;")","")</f>
        <v/>
      </c>
      <c r="E49" s="75"/>
      <c r="F49" s="75"/>
      <c r="G49" s="75"/>
      <c r="H49" s="75"/>
      <c r="I49" s="75"/>
      <c r="J49" s="75"/>
      <c r="K49" s="75"/>
      <c r="L49" s="75"/>
      <c r="M49" s="49" t="s">
        <v>3734</v>
      </c>
      <c r="N49" s="49"/>
      <c r="O49" s="49" t="s">
        <v>3731</v>
      </c>
      <c r="P49" s="75"/>
      <c r="Q49" s="49" t="s">
        <v>74</v>
      </c>
      <c r="R49" s="29"/>
      <c r="T49" s="26"/>
      <c r="U49" s="627"/>
      <c r="V49" s="633"/>
      <c r="W49" s="29"/>
      <c r="Y49" s="630" t="str">
        <f>IF(OR(H50="",H50="Two-Handed",H50="T0o Large to Use"),"","One-Handed")</f>
        <v/>
      </c>
    </row>
    <row r="50" spans="2:31" s="630" customFormat="1">
      <c r="B50" s="575" t="e">
        <f ca="1">INDEX(SizeTable,MATCH(INDEX(WeaponTable,MATCH(D47,WeaponList,0),6),SizeAbrList,0),3)+IF(COUNTIF(O57:P60,"Miniaturized")&gt;0,-1,0)</f>
        <v>#N/A</v>
      </c>
      <c r="C50" s="627" t="s">
        <v>11</v>
      </c>
      <c r="D50" s="629" t="str">
        <f>IF(D47&lt;&gt;"",INDEX(SizeTable,MATCH(B50,SizeNumber,0),2),"")</f>
        <v/>
      </c>
      <c r="E50" s="586">
        <f>IF(AND(D48="Melee",H51="Two-Handed"),2,1)</f>
        <v>1</v>
      </c>
      <c r="F50" s="2267" t="s">
        <v>3776</v>
      </c>
      <c r="G50" s="2267"/>
      <c r="H50" s="629" t="str">
        <f>IF(D47&lt;&gt;"",IF(B48-B50=-1,"Two-Handed",IF(B48-B50&lt;-1,"Too Large to Use",IF(B48-B50=0,"One-Handed"," Light"))),"")</f>
        <v/>
      </c>
      <c r="I50" s="629"/>
      <c r="J50" s="629"/>
      <c r="K50" s="629"/>
      <c r="L50" s="629"/>
      <c r="M50" s="627" t="s">
        <v>2401</v>
      </c>
      <c r="N50" s="512">
        <f>IF(O50&lt;&gt;"",INDEX(TechSpecialistWeaponsTable,MATCH(O50,TechSpecialistWeaponsList,0),2),0)</f>
        <v>0</v>
      </c>
      <c r="O50" s="1740"/>
      <c r="P50" s="1740"/>
      <c r="Q50" s="77" t="str">
        <f>IF(O50&lt;&gt;"",IF(LEFT(O50,14)&lt;&gt;"Selective Fire","Valid",IF(AND(LEFT(O50,14)="Selective Fire",D49&lt;&gt;"Simple",D48&lt;&gt;"Melee"),"Valid","Invalid")),"")</f>
        <v/>
      </c>
      <c r="R50" s="29"/>
      <c r="T50" s="26"/>
      <c r="U50" s="627" t="s">
        <v>11</v>
      </c>
      <c r="V50" s="633"/>
      <c r="W50" s="29"/>
    </row>
    <row r="51" spans="2:31" s="630" customFormat="1">
      <c r="B51" s="575">
        <f>IF(D47&lt;&gt;"",INDEX(WeaponTable,MATCH(D47,WeaponList,0),25)+SUM(N50:N60),0)</f>
        <v>0</v>
      </c>
      <c r="C51" s="627" t="s">
        <v>3691</v>
      </c>
      <c r="D51" s="525" t="str">
        <f>IF(D47&lt;&gt;"",TEXT(B51,"#,### cr")&amp;IF(INDEX(WeaponTable,MATCH(D47,WeaponList,0),15)="Rare"," ("&amp;TEXT(B51*2,"#,### cr)"),""),"")</f>
        <v/>
      </c>
      <c r="E51" s="629"/>
      <c r="F51" s="2266" t="s">
        <v>3777</v>
      </c>
      <c r="G51" s="2266"/>
      <c r="H51" s="2268"/>
      <c r="I51" s="2268"/>
      <c r="J51" s="2268"/>
      <c r="K51" s="638"/>
      <c r="L51" s="638"/>
      <c r="M51" s="627" t="s">
        <v>2499</v>
      </c>
      <c r="N51" s="512">
        <f>IF(O51&lt;&gt;"",INDEX(SuperiorTechWeaponsTable,MATCH(O51,SuperiorTechWeaponsList,0),2),0)</f>
        <v>0</v>
      </c>
      <c r="O51" s="1740"/>
      <c r="P51" s="1740"/>
      <c r="Q51" s="634" t="str">
        <f>IF(O51&lt;&gt;"",IF(OR(LEFT(O51,14)&lt;&gt;"Superior Range",LEFT(O51,17)&lt;&gt;"Superior Capacity"),"Valid",IF(AND(OR(LEFT(O51,14)="Superior Range",LEFT(O51,17)="Superior Capacity"),D50&lt;&gt;"Simple",D49&lt;&gt;"Melee"),"Valid","Invalid")),"")</f>
        <v/>
      </c>
      <c r="R51" s="29"/>
      <c r="T51" s="26"/>
      <c r="U51" s="627" t="s">
        <v>3691</v>
      </c>
      <c r="V51" s="633"/>
      <c r="W51" s="29"/>
      <c r="Y51" s="630" t="s">
        <v>3743</v>
      </c>
    </row>
    <row r="52" spans="2:31" s="630" customFormat="1">
      <c r="B52" s="575"/>
      <c r="C52" s="562" t="s">
        <v>3681</v>
      </c>
      <c r="D52" s="525" t="str">
        <f>IF(D47&lt;&gt;"",IF(INDEX(WeaponTable,MATCH(D47,WeaponList,0),14)&lt;&gt;"C",INDEX(AvailabilityTable,MATCH(INDEX(WeaponTable,MATCH(D47,WeaponList,0),14),AvailList,0),3)*INDEX(WeaponTable,MATCH(D47,WeaponList,0),25),"None"),"")</f>
        <v/>
      </c>
      <c r="E52" s="587"/>
      <c r="F52" s="2266" t="s">
        <v>4052</v>
      </c>
      <c r="G52" s="2266"/>
      <c r="H52" s="638" t="str">
        <f>IF(WeaponName3&lt;&gt;"",20&amp;"/"&amp;"×"&amp;IF(OR(INDEX(WeaponTable,MATCH(WeaponName3,WeaponList,0),5)=Feats!D330,INDEX(WeaponTable,MATCH(WeaponName3,WeaponList,0),5)=Feats!D329),3,2),"")</f>
        <v/>
      </c>
      <c r="I52" s="638"/>
      <c r="J52" s="638"/>
      <c r="K52" s="638"/>
      <c r="L52" s="638"/>
      <c r="M52" s="627" t="s">
        <v>3750</v>
      </c>
      <c r="N52" s="512">
        <f>IF(O52&lt;&gt;"",MAX(INDEX(WeaponTemplateTable,MATCH(O52,WeaponTemplateList,0),3)*INDEX(WeaponTable,MATCH(D47,WeaponList,0),25),INDEX(WeaponTemplateTable,MATCH(O52,WeaponTemplateList,0),4)),0)</f>
        <v>0</v>
      </c>
      <c r="O52" s="1740"/>
      <c r="P52" s="1740"/>
      <c r="Q52" s="634" t="str">
        <f>IF(O52&lt;&gt;"",IF(COUNTIF(Y52:Z52,"Invalid")&lt;1,IF(COUNTIF(AA52:AC52,"")=3,"Valid",IF(COUNTIF(AA52:AC52,"Valid")&gt;0,"Valid","Invalid"))),"")</f>
        <v/>
      </c>
      <c r="R52" s="29"/>
      <c r="T52" s="26"/>
      <c r="U52" s="627"/>
      <c r="V52" s="633"/>
      <c r="W52" s="29"/>
      <c r="Y52" s="630" t="e">
        <f>IF(INDEX(WeaponTemplateTable,MATCH(O52,WeaponTemplateList,0),5)&lt;&gt;"",IF(D48=INDEX(WeaponTemplateTable,MATCH(O52,WeaponTemplateList,0),5),"Valid","Invalid"),"")</f>
        <v>#N/A</v>
      </c>
      <c r="Z52" s="630" t="e">
        <f>IF(INDEX(WeaponTemplateTable,MATCH(O52,WeaponTemplateList,0),6)&lt;&gt;"",IF(INDEX(WeaponTable,MATCH(D47,WeaponList,0),5)=INDEX(WeaponTemplateTable,MATCH(O52,WeaponTemplateList,0),6),"Valid","Invalid"),"")</f>
        <v>#N/A</v>
      </c>
      <c r="AA52" s="630" t="e">
        <f>IF(INDEX(WeaponTemplateTable,MATCH(O52,WeaponTemplateList,0),7)&lt;&gt;"",IF(INDEX(WeaponTable,MATCH(D47,WeaponList,0),13)=INDEX(WeaponTemplateTable,MATCH(O52,WeaponTemplateList,0),7),"Valid","Invalid"),"")</f>
        <v>#N/A</v>
      </c>
      <c r="AB52" s="630" t="e">
        <f>IF(INDEX(WeaponTemplateTable,MATCH(O52,WeaponTemplateList,0),8)&lt;&gt;"",IF(D59=INDEX(WeaponTemplateTable,MATCH(O52,WeaponTemplateList,0),8),"Valid","Invalid"),"")</f>
        <v>#N/A</v>
      </c>
      <c r="AC52" s="630" t="e">
        <f>IF(INDEX(WeaponTemplateTable,MATCH(O52,WeaponTemplateList,0),9)&lt;&gt;"",IF(INDEX(WeaponTable,MATCH(D47,WeaponList,0),9)&lt;&gt;"","Valid","Invalid"),"")</f>
        <v>#N/A</v>
      </c>
    </row>
    <row r="53" spans="2:31" s="630" customFormat="1">
      <c r="B53" s="575"/>
      <c r="C53" s="562" t="s">
        <v>3682</v>
      </c>
      <c r="D53" s="525" t="str">
        <f>IF(D60&lt;&gt;"",IF(AND(B51&lt;&gt;"",INDEX(WeaponTable,MATCH(D47,WeaponList,0),14)&lt;&gt;"C"),TEXT(INDEX(AvailabilityTable,MATCH(INDEX(WeaponTable,MATCH(D47,WeaponList,0),14),AvailList,0),4)*B51,"#,##0")&amp;" cr"&amp;IF(INDEX(WeaponTable,MATCH(D47,WeaponList,0),15)="Rare"," ("&amp;TEXT(INDEX(AvailabilityTable,MATCH(INDEX(WeaponTable,MATCH(D47,WeaponList,0),14),AvailList,0),4)*B51*2,"#,##0")&amp;" cr)",""),""),"")</f>
        <v/>
      </c>
      <c r="E53" s="587"/>
      <c r="F53" s="2265"/>
      <c r="G53" s="2265"/>
      <c r="H53" s="638"/>
      <c r="I53" s="638"/>
      <c r="J53" s="638"/>
      <c r="K53" s="638"/>
      <c r="L53" s="638"/>
      <c r="M53" s="629"/>
      <c r="N53" s="512"/>
      <c r="O53" s="1740"/>
      <c r="P53" s="1740"/>
      <c r="Q53" s="634" t="str">
        <f>IF(O53&lt;&gt;"",IF(COUNTIF(Y53:Z53,"Invalid")&lt;1,IF(COUNTIF(AA53:AC53,"")=3,"Valid",IF(COUNTIF(AA53:AC53,"Valid")&gt;0,"Valid","Invalid"))),"")</f>
        <v/>
      </c>
      <c r="R53" s="29"/>
      <c r="T53" s="26"/>
      <c r="U53" s="627"/>
      <c r="V53" s="633"/>
      <c r="W53" s="29"/>
      <c r="Y53" s="630" t="e">
        <f>IF(INDEX(WeaponTemplateTable,MATCH(O53,WeaponTemplateList,0),5)&lt;&gt;"",IF(D48=INDEX(WeaponTemplateTable,MATCH(O53,WeaponTemplateList,0),5),"Valid","Invalid"),"")</f>
        <v>#N/A</v>
      </c>
      <c r="Z53" s="630" t="e">
        <f>IF(INDEX(WeaponTemplateTable,MATCH(O53,WeaponTemplateList,0),6)&lt;&gt;"",IF(INDEX(WeaponTable,MATCH(D47,WeaponList,0),5)=INDEX(WeaponTemplateTable,MATCH(O53,WeaponTemplateList,0),6),"Valid","Invalid"),"")</f>
        <v>#N/A</v>
      </c>
      <c r="AA53" s="630" t="e">
        <f>IF(INDEX(WeaponTemplateTable,MATCH(O53,WeaponTemplateList,0),7)&lt;&gt;"",IF(INDEX(WeaponTable,MATCH(D47,WeaponList,0),13)=INDEX(WeaponTemplateTable,MATCH(O53,WeaponTemplateList,0),7),"Valid","Invalid"),"")</f>
        <v>#N/A</v>
      </c>
      <c r="AB53" s="630" t="e">
        <f>IF(INDEX(WeaponTemplateTable,MATCH(O53,WeaponTemplateList,0),8)&lt;&gt;"",IF(D59=INDEX(WeaponTemplateTable,MATCH(O53,WeaponTemplateList,0),8),"Valid","Invalid"),"")</f>
        <v>#N/A</v>
      </c>
      <c r="AC53" s="630" t="e">
        <f>IF(INDEX(WeaponTemplateTable,MATCH(O53,WeaponTemplateList,0),9)&lt;&gt;"",IF(INDEX(WeaponTable,MATCH(D47,WeaponList,0),9)&lt;&gt;"","Valid","Invalid"),"")</f>
        <v>#N/A</v>
      </c>
    </row>
    <row r="54" spans="2:31" s="630" customFormat="1">
      <c r="B54" s="575"/>
      <c r="C54" s="562" t="s">
        <v>3683</v>
      </c>
      <c r="D54" s="525" t="str">
        <f>IF(D51&lt;&gt;"",B51/2,"")</f>
        <v/>
      </c>
      <c r="E54" s="587"/>
      <c r="F54" s="2265"/>
      <c r="G54" s="2265"/>
      <c r="H54" s="638"/>
      <c r="I54" s="638"/>
      <c r="J54" s="638"/>
      <c r="K54" s="638"/>
      <c r="L54" s="638"/>
      <c r="M54" s="627" t="s">
        <v>552</v>
      </c>
      <c r="N54" s="512"/>
      <c r="O54" s="1740"/>
      <c r="P54" s="1740"/>
      <c r="Q54" s="634" t="str">
        <f>IF(AND(D47&lt;&gt;"",O54&lt;&gt;""),IF(D48&lt;&gt;"Melee","Invalid",IF((ISERROR(FIND(O54,TalentsTakenList,1))),"Invalid","Valid")),"")</f>
        <v/>
      </c>
      <c r="R54" s="29"/>
      <c r="T54" s="26"/>
      <c r="U54" s="627" t="s">
        <v>3772</v>
      </c>
      <c r="V54" s="633"/>
      <c r="W54" s="29"/>
    </row>
    <row r="55" spans="2:31" s="630" customFormat="1">
      <c r="B55" s="575" t="e">
        <f ca="1">INDEX(WeaponTable,MATCH(D47,WeaponList,0),17)+IF(AND(D48="Melee",COUNTIF(O54:P55,"Empower Weapon")),1,0)+IF(AND(OR(O52="Bothan",O53="Bothan"),D59="Energy (ion)"),1,0)+IF(AND(OR(O52="Bothan",O53="Bothan"),INDEX(WeaponTable,MATCH(D47,WeaponList,0),9)&lt;&gt;""),-1,0)</f>
        <v>#N/A</v>
      </c>
      <c r="C55" s="567" t="s">
        <v>3721</v>
      </c>
      <c r="D55" s="525" t="str">
        <f>IF(D47&lt;&gt;"",IF(B55&lt;&gt;0,B55&amp;"d"&amp;B56&amp;IF(AND(COUNTIF(O57:P60,"Ion Charger")&gt;0,D48="Melee"),"+2d6 ion",""),""),"")</f>
        <v/>
      </c>
      <c r="E55" s="587"/>
      <c r="F55" s="2266" t="str">
        <f>IF(H55&lt;&gt;"",IF(H56="","Power","Ammo"),"")</f>
        <v/>
      </c>
      <c r="G55" s="2266"/>
      <c r="H55" s="637" t="str">
        <f>IF(D47&lt;&gt;"",IF(INDEX(WeaponTable,MATCH(D47,WeaponList,0),27)&lt;&gt;"",INDEX(WeaponTable,MATCH(D47,WeaponList,0),27),""),"")</f>
        <v/>
      </c>
      <c r="I55" s="629"/>
      <c r="J55" s="638"/>
      <c r="K55" s="638"/>
      <c r="L55" s="638"/>
      <c r="M55" s="627"/>
      <c r="N55" s="512"/>
      <c r="O55" s="1740"/>
      <c r="P55" s="1740"/>
      <c r="Q55" s="634" t="str">
        <f>IF(AND(D47&lt;&gt;"",O55&lt;&gt;""),IF(D48&lt;&gt;"Melee","Invalid",IF((ISERROR(FIND(O55,TalentsTakenList,1))),"Invalid","Valid")),"")</f>
        <v/>
      </c>
      <c r="R55" s="29"/>
      <c r="T55" s="26"/>
      <c r="U55" s="627" t="s">
        <v>3773</v>
      </c>
      <c r="V55" s="633"/>
      <c r="W55" s="29"/>
      <c r="Y55" s="630" t="s">
        <v>3756</v>
      </c>
    </row>
    <row r="56" spans="2:31" s="630" customFormat="1">
      <c r="B56" s="575" t="e">
        <f ca="1">INDEX(DieSizeTable,MATCH(INDEX(DieSizeTable,MATCH(INDEX(WeaponTable,MATCH(D47,WeaponList,0),18),DieSizeList,0),1)+IF(COUNTIF(O52:P53,"Rakatan")&gt;0,1,0)-IF(O56="Damage",1,0)-IF(AND(D48="Melee",COUNTIF(O57:P60,"Miniaturized")&gt;0),1,0)-IF(AND(D48="Melee",COUNTIF(O57:P60,"Adegan Mephite Crystal")&gt;0),1,0),DieSizeNumberList,0),2)</f>
        <v>#N/A</v>
      </c>
      <c r="C56" s="627" t="s">
        <v>115</v>
      </c>
      <c r="D56" s="538" t="str">
        <f>IF(D47&lt;&gt;"",IF(O56&lt;&gt;"Stun Setting",IF(INDEX(WeaponTable,MATCH(D47,WeaponList,0),9)&lt;&gt;"",INDEX(WeaponTable,MATCH(D47,WeaponList,0),9),"")&amp;IF(AND(OR(O52="Bothan",O53="Bothan"),INDEX(WeaponTable,MATCH(D47,WeaponList,0),9)&lt;&gt;"")," ("&amp;B55+2&amp;"d"&amp;B56&amp;")",IF(AND(D48="Melee",OR(COUNTIF(O57:P60,"Tremor Cell")&gt;0,COUNTIF(O57:P60,"Bondar Crystal")&gt;0)),"Yes","")),""),"")</f>
        <v/>
      </c>
      <c r="E56" s="586"/>
      <c r="F56" s="2266" t="str">
        <f>IF(H56&lt;&gt;"","Charges","")</f>
        <v/>
      </c>
      <c r="G56" s="2266"/>
      <c r="H56" s="637" t="str">
        <f>IF(D47&lt;&gt;"",IF(INDEX(WeaponTable,MATCH(D47,WeaponList,0),28)&lt;&gt;"",INDEX(WeaponTable,MATCH(D47,WeaponList,0),28)*IF(AND(D48="Ranged",COUNTIF(O57:P60,"Improved Energy Cell")&gt;0),2,1),""),"")</f>
        <v/>
      </c>
      <c r="I56" s="629"/>
      <c r="J56" s="638"/>
      <c r="K56" s="638"/>
      <c r="L56" s="638"/>
      <c r="M56" s="627" t="s">
        <v>3752</v>
      </c>
      <c r="N56" s="512"/>
      <c r="O56" s="1740"/>
      <c r="P56" s="1740"/>
      <c r="Q56" s="634" t="str">
        <f>IF(AND(O56&lt;&gt;"",D47&lt;&gt;""),IF(COUNTIF(Y56:AC56,"Valid")&gt;0,"Valid","Invalid"),"")</f>
        <v/>
      </c>
      <c r="R56" s="576"/>
      <c r="T56" s="26"/>
      <c r="U56" s="627" t="s">
        <v>115</v>
      </c>
      <c r="V56" s="633"/>
      <c r="W56" s="29"/>
      <c r="Y56" s="630" t="str">
        <f>IF(O56="Autofire",IF(AND(B57&lt;&gt;"",B58&lt;&gt;""),"Valid","Invalid"),"")</f>
        <v/>
      </c>
      <c r="Z56" s="630" t="str">
        <f>IF(O56="Damage","Valid","")</f>
        <v/>
      </c>
      <c r="AA56" s="630" t="str">
        <f>IF(O56="Design",IF(INDEX(WeaponTable,MATCH(D47,WeaponList,0),4)&lt;&gt;"EWP","Valid","Invalid"),"")</f>
        <v/>
      </c>
      <c r="AC56" s="630" t="str">
        <f>IF(O56="Stun Setting",IF(INDEX(WeaponTable,MATCH(D47,WeaponList,0),9)&lt;&gt;"","Valid","Invalid"),"")</f>
        <v/>
      </c>
      <c r="AD56" s="630" t="s">
        <v>3782</v>
      </c>
    </row>
    <row r="57" spans="2:31" s="630" customFormat="1">
      <c r="B57" s="575" t="e">
        <f ca="1">IF(INDEX(WeaponTable,MATCH(D47,WeaponList,0),11)&lt;&gt;"",INDEX(WeaponTable,MATCH(D47,WeaponList,0),11),IF(AND(LEFT(O50,14)="Selective Fire",Q50&lt;&gt;"Invalid",INDEX(WeaponTable,MATCH(D47,WeaponList,0),11)="",INDEX(WeaponTable,MATCH(D47,WeaponList,0),12)&lt;&gt;""),"S",IF(AND(COUNTIF(O57:P60,"Sniper Switch")&gt;0,D48="Ranged",INDEX(WeaponTable,MATCH(D47,WeaponList,0),12)="A"),"S","")))</f>
        <v>#N/A</v>
      </c>
      <c r="C57" s="627" t="str">
        <f>IF(D47&lt;&gt;"",IF(INDEX(WeaponTable,MATCH(D47,WeaponList,0),3)&lt;&gt;"M","Rate of Fire",""),"")</f>
        <v/>
      </c>
      <c r="D57" s="538" t="str">
        <f>IF(AND(D47&lt;&gt;"",D48="Ranged"),B57&amp;IF(AND(B57&lt;&gt;"",B58&lt;&gt;""),", ","")&amp;B58,"")</f>
        <v/>
      </c>
      <c r="E57" s="586"/>
      <c r="F57" s="1811" t="str">
        <f>IF(H57&lt;&gt;"","Accuracy","")</f>
        <v/>
      </c>
      <c r="G57" s="1811"/>
      <c r="H57" s="629" t="str">
        <f>IF(D47&lt;&gt;"",IF(INDEX(WeaponTable,MATCH(D47,WeaponList,0),23)="In","Inaccurate",IF(INDEX(WeaponTable,MATCH(D47,WeaponList,0),23)="Acc","Accurate","")),"")</f>
        <v/>
      </c>
      <c r="I57" s="629"/>
      <c r="J57" s="638"/>
      <c r="K57" s="638"/>
      <c r="L57" s="638"/>
      <c r="M57" s="627" t="s">
        <v>3751</v>
      </c>
      <c r="N57" s="638" t="str">
        <f>IF(O57&lt;&gt;"",INDEX(WeaponAccessoriesTable,MATCH(O57,WeaponAccessoriesList,0),3)+IF(O57="Bayonet Ring",INDEX(WeaponTable,MATCH(D47,WeaponList,0),25),0),"")</f>
        <v/>
      </c>
      <c r="O57" s="1740"/>
      <c r="P57" s="1740"/>
      <c r="Q57" s="634" t="str">
        <f>IF(O57&lt;&gt;"",IF(COUNTIF(Y57:AB57,"invalid")&lt;1,"Valid","Invalid"),"")</f>
        <v/>
      </c>
      <c r="R57" s="576">
        <f>IF(O57&lt;&gt;"",INDEX(WeaponAccessoriesTable,MATCH(O57,WeaponAccessoriesList,0),4),0)</f>
        <v>0</v>
      </c>
      <c r="T57" s="26"/>
      <c r="U57" s="627" t="s">
        <v>3781</v>
      </c>
      <c r="V57" s="633"/>
      <c r="W57" s="29"/>
      <c r="Y57" s="630" t="e">
        <f>IF(INDEX(WeaponAccessoriesTable,MATCH(O57,WeaponAccessoriesList,0),5)&lt;&gt;"",IF(D48=INDEX(WeaponAccessoriesTable,MATCH(O57,WeaponAccessoriesList,0),5),"Valid","Invalid"),"")</f>
        <v>#N/A</v>
      </c>
      <c r="Z57" s="630" t="e">
        <f>IF(INDEX(WeaponAccessoriesTable,MATCH(O57,WeaponAccessoriesList,0),6)&lt;&gt;"",IF(INDEX(WeaponTable,MATCH(D47,WeaponList,0),27)=INDEX(WeaponAccessoriesTable,MATCH(O57,WeaponAccessoriesList,0),6),"Valid","Invalid"),"")</f>
        <v>#N/A</v>
      </c>
      <c r="AA57" s="630" t="e">
        <f>IF(INDEX(WeaponAccessoriesTable,MATCH(O57,WeaponAccessoriesList,0),7)&lt;&gt;"",IF(ISERROR(FIND(INDEX(WeaponAccessoriesTable,MATCH(O57,WeaponAccessoriesList,0),7),D59,1)),"Invalid","Valid"),"")</f>
        <v>#N/A</v>
      </c>
      <c r="AB57" s="630" t="e">
        <f>IF(INDEX(WeaponAccessoriesTable,MATCH(O57,WeaponAccessoriesList,0),5)&lt;&gt;"",IF(INDEX(WeaponTable,MATCH(D47,WeaponList,0),5)&lt;&gt;INDEX(WeaponAccessoriesTable,MATCH(O57,WeaponAccessoriesList,0),5),"Valid","Invalid"),"")</f>
        <v>#N/A</v>
      </c>
      <c r="AD57" s="630" t="str">
        <f>IF(O57&lt;&gt;"",IF(INDEX(WeaponAccessoriesTable,MATCH(O57,WeaponAccessoriesList,0),9)&lt;&gt;"",INDEX(WeaponAccessoriesTable,MATCH(O57,WeaponAccessoriesList,0),9),""),"")</f>
        <v/>
      </c>
      <c r="AE57" s="630" t="str">
        <f>IF(AD57&lt;&gt;"",AD57&amp;IF(AE58&lt;&gt;"","; "&amp;AE58,""),AE58)</f>
        <v/>
      </c>
    </row>
    <row r="58" spans="2:31" s="630" customFormat="1" ht="15" customHeight="1">
      <c r="B58" s="575" t="e">
        <f ca="1">IF(INDEX(WeaponTable,MATCH(D47,WeaponList,0),12)&lt;&gt;"",INDEX(WeaponTable,MATCH(D47,WeaponList,0),12),IF(AND(LEFT(O50,14)="Selective Fire",Q50&lt;&gt;"Invalid",INDEX(WeaponTable,MATCH(D47,WeaponList,0),12)="",INDEX(WeaponTable,MATCH(D47,WeaponList,0),11)&lt;&gt;""),"A",IF(AND(COUNTIF(O57:P60,"Rapid Recycler")&gt;0,D48="Ranged",INDEX(WeaponTable,MATCH(D47,WeaponList,0),11)="S"),"A","")))</f>
        <v>#N/A</v>
      </c>
      <c r="C58" s="627" t="s">
        <v>106</v>
      </c>
      <c r="D58" s="528" t="str">
        <f>IF(D47&lt;&gt;"",E58,"")</f>
        <v/>
      </c>
      <c r="E58" s="585" t="e">
        <f ca="1">INDEX(WeaponTable,MATCH(D47,WeaponList,0),26)*IF(COUNTIF(O57:P60,"Neutronium Reinforcement")&gt;0,2,1)</f>
        <v>#N/A</v>
      </c>
      <c r="F58" s="2266" t="str">
        <f>IF(H58&lt;&gt;"","Special","")</f>
        <v/>
      </c>
      <c r="G58" s="2266"/>
      <c r="H58" s="2263" t="str">
        <f>IF(D47&lt;&gt;"",IF(INDEX(WeaponTable,MATCH(D47,WeaponList,0),16)&lt;&gt;"",INDEX(WeaponTable,MATCH(D47,WeaponList,0),16)&amp;IF(AE57&lt;&gt;"","; "&amp;AE57,""),IF(AE57&lt;&gt;"",AE57,"")),"")</f>
        <v/>
      </c>
      <c r="I58" s="2263"/>
      <c r="J58" s="2263"/>
      <c r="K58" s="2263"/>
      <c r="L58" s="638"/>
      <c r="M58" s="627"/>
      <c r="N58" s="638" t="str">
        <f>IF(O58&lt;&gt;"",INDEX(WeaponAccessoriesTable,MATCH(O58,WeaponAccessoriesList,0),3)+IF(O58="Bayonet Ring",INDEX(WeaponTable,MATCH(D47,WeaponList,0),25),0),"")</f>
        <v/>
      </c>
      <c r="O58" s="1740"/>
      <c r="P58" s="1740"/>
      <c r="Q58" s="634" t="str">
        <f>IF(O58&lt;&gt;"",IF(COUNTIF(Y58:AB58,"invalid")&lt;1,"Valid","Invalid"),"")</f>
        <v/>
      </c>
      <c r="R58" s="576">
        <f>IF(O58&lt;&gt;"",INDEX(WeaponAccessoriesTable,MATCH(O58,WeaponAccessoriesList,0),4),0)</f>
        <v>0</v>
      </c>
      <c r="T58" s="26"/>
      <c r="U58" s="627" t="s">
        <v>106</v>
      </c>
      <c r="V58" s="633"/>
      <c r="W58" s="29"/>
      <c r="Y58" s="630" t="e">
        <f>IF(INDEX(WeaponAccessoriesTable,MATCH(O58,WeaponAccessoriesList,0),5)&lt;&gt;"",IF(D48=INDEX(WeaponAccessoriesTable,MATCH(O58,WeaponAccessoriesList,0),5),"Valid","Invalid"),"")</f>
        <v>#N/A</v>
      </c>
      <c r="Z58" s="630" t="e">
        <f>IF(INDEX(WeaponAccessoriesTable,MATCH(O58,WeaponAccessoriesList,0),6)&lt;&gt;"",IF(INDEX(WeaponTable,MATCH(D47,WeaponList,0),27)=INDEX(WeaponAccessoriesTable,MATCH(O58,WeaponAccessoriesList,0),6),"Valid","Invalid"),"")</f>
        <v>#N/A</v>
      </c>
      <c r="AA58" s="630" t="e">
        <f>IF(INDEX(WeaponAccessoriesTable,MATCH(O58,WeaponAccessoriesList,0),7)&lt;&gt;"",IF(ISERROR(FIND(INDEX(WeaponAccessoriesTable,MATCH(O58,WeaponAccessoriesList,0),7),D59,1)),"Invalid","Valid"),"")</f>
        <v>#N/A</v>
      </c>
      <c r="AB58" s="630" t="e">
        <f>IF(INDEX(WeaponAccessoriesTable,MATCH(O58,WeaponAccessoriesList,0),5)&lt;&gt;"",IF(INDEX(WeaponTable,MATCH(D47,WeaponList,0),5)&lt;&gt;INDEX(WeaponAccessoriesTable,MATCH(O58,WeaponAccessoriesList,0),5),"Valid","Invalid"),"")</f>
        <v>#N/A</v>
      </c>
      <c r="AD58" s="630" t="str">
        <f>IF(O58&lt;&gt;"",IF(INDEX(WeaponAccessoriesTable,MATCH(O58,WeaponAccessoriesList,0),9)&lt;&gt;"",INDEX(WeaponAccessoriesTable,MATCH(O58,WeaponAccessoriesList,0),9),""),"")</f>
        <v/>
      </c>
      <c r="AE58" s="630" t="str">
        <f>IF(AD58&lt;&gt;"",AD58&amp;IF(AE59&lt;&gt;"","; "&amp;AE59,""),AE59)</f>
        <v/>
      </c>
    </row>
    <row r="59" spans="2:31" s="630" customFormat="1">
      <c r="B59" s="575"/>
      <c r="C59" s="627" t="s">
        <v>48</v>
      </c>
      <c r="D59" s="528" t="str">
        <f>IF(D47&lt;&gt;"",INDEX(WeaponTable,MATCH(D47,WeaponList,0),13)&amp;IF(AND(O52="Arkanian",Q52="Valid")," and Fire",""),"")</f>
        <v/>
      </c>
      <c r="E59" s="584"/>
      <c r="F59" s="638"/>
      <c r="G59" s="638"/>
      <c r="H59" s="2263"/>
      <c r="I59" s="2263"/>
      <c r="J59" s="2263"/>
      <c r="K59" s="2263"/>
      <c r="L59" s="638"/>
      <c r="M59" s="629"/>
      <c r="N59" s="638" t="str">
        <f>IF(O59&lt;&gt;"",INDEX(WeaponAccessoriesTable,MATCH(O59,WeaponAccessoriesList,0),3)+IF(O59="Bayonet Ring",INDEX(WeaponTable,MATCH(D47,WeaponList,0),25),0),"")</f>
        <v/>
      </c>
      <c r="O59" s="1740"/>
      <c r="P59" s="1740"/>
      <c r="Q59" s="634" t="str">
        <f>IF(O59&lt;&gt;"",IF(COUNTIF(Y59:AB59,"invalid")&lt;1,"Valid","Invalid"),"")</f>
        <v/>
      </c>
      <c r="R59" s="576">
        <f>IF(O59&lt;&gt;"",INDEX(WeaponAccessoriesTable,MATCH(O59,WeaponAccessoriesList,0),4),0)</f>
        <v>0</v>
      </c>
      <c r="T59" s="26"/>
      <c r="U59" s="627" t="s">
        <v>48</v>
      </c>
      <c r="V59" s="633"/>
      <c r="W59" s="29"/>
      <c r="Y59" s="630" t="e">
        <f>IF(INDEX(WeaponAccessoriesTable,MATCH(O59,WeaponAccessoriesList,0),5)&lt;&gt;"",IF(D48=INDEX(WeaponAccessoriesTable,MATCH(O59,WeaponAccessoriesList,0),5),"Valid","Invalid"),"")</f>
        <v>#N/A</v>
      </c>
      <c r="Z59" s="630" t="e">
        <f>IF(INDEX(WeaponAccessoriesTable,MATCH(O59,WeaponAccessoriesList,0),6)&lt;&gt;"",IF(INDEX(WeaponTable,MATCH(D47,WeaponList,0),27)=INDEX(WeaponAccessoriesTable,MATCH(O59,WeaponAccessoriesList,0),6),"Valid","Invalid"),"")</f>
        <v>#N/A</v>
      </c>
      <c r="AA59" s="630" t="e">
        <f>IF(INDEX(WeaponAccessoriesTable,MATCH(O59,WeaponAccessoriesList,0),7)&lt;&gt;"",IF(ISERROR(FIND(INDEX(WeaponAccessoriesTable,MATCH(O59,WeaponAccessoriesList,0),7),D59,1)),"Invalid","Valid"),"")</f>
        <v>#N/A</v>
      </c>
      <c r="AB59" s="630" t="e">
        <f>IF(INDEX(WeaponAccessoriesTable,MATCH(O59,WeaponAccessoriesList,0),5)&lt;&gt;"",IF(INDEX(WeaponTable,MATCH(D47,WeaponList,0),5)&lt;&gt;INDEX(WeaponAccessoriesTable,MATCH(O59,WeaponAccessoriesList,0),5),"Valid","Invalid"),"")</f>
        <v>#N/A</v>
      </c>
      <c r="AD59" s="630" t="str">
        <f>IF(O59&lt;&gt;"",IF(INDEX(WeaponAccessoriesTable,MATCH(O59,WeaponAccessoriesList,0),9)&lt;&gt;"",INDEX(WeaponAccessoriesTable,MATCH(O59,WeaponAccessoriesList,0),9),""),"")</f>
        <v/>
      </c>
      <c r="AE59" s="630" t="str">
        <f>IF(AD59&lt;&gt;"",AD59&amp;IF(AE60&lt;&gt;"","; "&amp;AE60,""),AE60)</f>
        <v/>
      </c>
    </row>
    <row r="60" spans="2:31" s="630" customFormat="1">
      <c r="B60" s="575"/>
      <c r="C60" s="627" t="s">
        <v>104</v>
      </c>
      <c r="D60" s="528" t="str">
        <f>IF(D47&lt;&gt;"",INDEX(AvailabilityTable,MATCH(INDEX(WeaponTable,MATCH(D47,WeaponList,0),14),AvailList,0),2)&amp;IF(AND(INDEX(WeaponTable,MATCH(D47,WeaponList,0),14)&lt;&gt;"",INDEX(WeaponTable,MATCH(D47,WeaponList,0),15)&lt;&gt;""),", "&amp;INDEX(WeaponTable,MATCH(D47,WeaponList,0),15),INDEX(WeaponTable,MATCH(D47,WeaponList,0),15)),"")</f>
        <v/>
      </c>
      <c r="E60" s="584"/>
      <c r="F60" s="638"/>
      <c r="G60" s="638"/>
      <c r="H60" s="2263"/>
      <c r="I60" s="2263"/>
      <c r="J60" s="2263"/>
      <c r="K60" s="2263"/>
      <c r="L60" s="638"/>
      <c r="M60" s="629"/>
      <c r="N60" s="638" t="str">
        <f>IF(O60&lt;&gt;"",INDEX(WeaponAccessoriesTable,MATCH(O60,WeaponAccessoriesList,0),3)+IF(O60="Bayonet Ring",INDEX(WeaponTable,MATCH(D47,WeaponList,0),25),0),"")</f>
        <v/>
      </c>
      <c r="O60" s="1740"/>
      <c r="P60" s="1740"/>
      <c r="Q60" s="634" t="str">
        <f>IF(O60&lt;&gt;"",IF(COUNTIF(Y60:AB60,"invalid")&lt;1,"Valid","Invalid"),"")</f>
        <v/>
      </c>
      <c r="R60" s="576">
        <f>IF(O60&lt;&gt;"",INDEX(WeaponAccessoriesTable,MATCH(O60,WeaponAccessoriesList,0),4),0)</f>
        <v>0</v>
      </c>
      <c r="T60" s="26"/>
      <c r="U60" s="627" t="s">
        <v>117</v>
      </c>
      <c r="V60" s="633"/>
      <c r="W60" s="29"/>
      <c r="Y60" s="630" t="e">
        <f>IF(INDEX(WeaponAccessoriesTable,MATCH(O60,WeaponAccessoriesList,0),5)&lt;&gt;"",IF(D48=INDEX(WeaponAccessoriesTable,MATCH(O60,WeaponAccessoriesList,0),5),"Valid","Invalid"),"")</f>
        <v>#N/A</v>
      </c>
      <c r="Z60" s="630" t="e">
        <f>IF(INDEX(WeaponAccessoriesTable,MATCH(O60,WeaponAccessoriesList,0),6)&lt;&gt;"",IF(INDEX(WeaponTable,MATCH(D47,WeaponList,0),27)=INDEX(WeaponAccessoriesTable,MATCH(O60,WeaponAccessoriesList,0),6),"Valid","Invalid"),"")</f>
        <v>#N/A</v>
      </c>
      <c r="AA60" s="630" t="e">
        <f>IF(INDEX(WeaponAccessoriesTable,MATCH(O60,WeaponAccessoriesList,0),7)&lt;&gt;"",IF(ISERROR(FIND(INDEX(WeaponAccessoriesTable,MATCH(O60,WeaponAccessoriesList,0),7),D59,1)),"Invalid","Valid"),"")</f>
        <v>#N/A</v>
      </c>
      <c r="AB60" s="630" t="e">
        <f>IF(INDEX(WeaponAccessoriesTable,MATCH(O60,WeaponAccessoriesList,0),5)&lt;&gt;"",IF(INDEX(WeaponTable,MATCH(D47,WeaponList,0),5)&lt;&gt;INDEX(WeaponAccessoriesTable,MATCH(O60,WeaponAccessoriesList,0),5),"Valid","Invalid"),"")</f>
        <v>#N/A</v>
      </c>
      <c r="AD60" s="630" t="str">
        <f>IF(O60&lt;&gt;"",IF(INDEX(WeaponAccessoriesTable,MATCH(O60,WeaponAccessoriesList,0),9)&lt;&gt;"",INDEX(WeaponAccessoriesTable,MATCH(O60,WeaponAccessoriesList,0),9),""),"")</f>
        <v/>
      </c>
      <c r="AE60" s="630" t="str">
        <f>IF(AD60&lt;&gt;"",AD60&amp;IF(AE61&lt;&gt;"","; "&amp;AE61,""),AE61)</f>
        <v/>
      </c>
    </row>
    <row r="61" spans="2:31" s="630" customFormat="1">
      <c r="B61" s="575"/>
      <c r="C61" s="49"/>
      <c r="D61" s="75"/>
      <c r="E61" s="577"/>
      <c r="F61" s="75"/>
      <c r="G61" s="577"/>
      <c r="H61" s="2264"/>
      <c r="I61" s="2264"/>
      <c r="J61" s="2264"/>
      <c r="K61" s="2264"/>
      <c r="L61" s="577"/>
      <c r="M61" s="49" t="s">
        <v>4014</v>
      </c>
      <c r="N61" s="75"/>
      <c r="O61" s="1740"/>
      <c r="P61" s="1740"/>
      <c r="Q61" s="635" t="str">
        <f>IF(O61&lt;&gt;"",IF(COUNTIF(O57:P60,"Dual Gear")&gt;0,"Valid","Invalid"),"")</f>
        <v/>
      </c>
      <c r="R61" s="29"/>
      <c r="T61" s="26"/>
      <c r="U61" s="629"/>
      <c r="V61" s="629"/>
      <c r="W61" s="29"/>
      <c r="AD61" s="630" t="str">
        <f>IF(Q61="Valid",O61,"")</f>
        <v/>
      </c>
      <c r="AE61" s="630" t="str">
        <f>IF(AD61&lt;&gt;"",AD61&amp;IF(AE62&lt;&gt;"","; "&amp;AE62,""),AE62)</f>
        <v/>
      </c>
    </row>
    <row r="62" spans="2:31" s="630" customFormat="1">
      <c r="B62" s="575" t="str">
        <f>IF(D47&lt;&gt;"",IF(OR(Bioimplant=4,COUNTIF('Character Sheet 2'!CB171:FP225,D49)&gt;0),0,-5),"")</f>
        <v/>
      </c>
      <c r="C62" s="627" t="s">
        <v>3733</v>
      </c>
      <c r="D62" s="526" t="str">
        <f>IF(D47&lt;&gt;"",MAX(IF(LEFT(O50,17)="Improved Accuracy",1,0),IF(LEFT(O51,17)="Superior Accuracy",2,0))+IF(AND(D48="Ranged",COUNTIF(O57:P60,"Pulse Charger")&gt;0),-1,0)+IF(C64&lt;&gt;0,C64,0),"")</f>
        <v/>
      </c>
      <c r="E62" s="512" t="str">
        <f>IF(AND(D47&lt;&gt;"",D48="Ranged"),IF(AND(K63&lt;&gt;"",M63&lt;&gt;""),IF(M63="Folded","pistols","rifles"),INDEX(WeaponTable,MATCH(D47,WeaponList,0),30)),"")</f>
        <v/>
      </c>
      <c r="F62" s="636" t="str">
        <f>IF(AND(D48&lt;&gt;"Melee",D47&lt;&gt;""),"Point","")</f>
        <v/>
      </c>
      <c r="G62" s="2269" t="str">
        <f>IF(AND(D48&lt;&gt;"Melee",D47&lt;&gt;""),"Short","")</f>
        <v/>
      </c>
      <c r="H62" s="2269"/>
      <c r="I62" s="636" t="str">
        <f>IF(AND(D48&lt;&gt;"Melee",D47&lt;&gt;""),"Medium","")</f>
        <v/>
      </c>
      <c r="J62" s="636" t="str">
        <f>IF(AND(D48&lt;&gt;"Melee",D47&lt;&gt;""),"Long","")</f>
        <v/>
      </c>
      <c r="K62" s="636"/>
      <c r="L62" s="636"/>
      <c r="M62" s="629"/>
      <c r="N62" s="629"/>
      <c r="O62" s="627" t="s">
        <v>3768</v>
      </c>
      <c r="P62" s="562" t="str">
        <f>IF(D47&lt;&gt;"",INDEX(WeaponObjectTable,MATCH(INDEX(WeaponTable,MATCH(D47,WeaponList,0),6),WeaponObjectList,0),2)+IF(AND(D48="Melee",D49&lt;&gt;"Weapon Proficiency (lightsabers)",COUNTIF(O57:P60,"Neutronium Reinforcement")&gt;0),5,0)+IF(AND(D48="Melee",D49&lt;&gt;"Weapon Proficiency (lightsabers)",COUNTIF(O57:P60,"Durasteel Bonding")&gt;0),5,0)+IF(COUNTIF(O57:P60,"Silverplate")&gt;0,2,0),"")</f>
        <v/>
      </c>
      <c r="Q62" s="636" t="s">
        <v>88</v>
      </c>
      <c r="R62" s="29"/>
      <c r="T62" s="26"/>
      <c r="U62" s="629"/>
      <c r="V62" s="629"/>
      <c r="W62" s="29"/>
      <c r="AE62" s="383" t="s">
        <v>195</v>
      </c>
    </row>
    <row r="63" spans="2:31" s="630" customFormat="1">
      <c r="B63" s="575"/>
      <c r="C63" s="627" t="s">
        <v>3732</v>
      </c>
      <c r="D63" s="526" t="str">
        <f>IF(D47&lt;&gt;"",MAX(IF(LEFT(O50,15)="Improved Damage",2,0),IF(LEFT(O51,15)="Superior Damage",5,0))+IF(AND(D48="Ranged",COUNTIF(O57:P60,"Pulse Charger")&gt;0),B55,0)+IF(INDEX(WeaponTable,MATCH(D47,WeaponList,0),19)&lt;&gt;"",INDEX(WeaponTable,MATCH(D47,WeaponList,0),19),0)+IF(AND(D48="Ranged",COUNTIF(O57:P60,"Improved Energy Cell")&gt;0,LEFT(O50,15)="Improved Damage"),1,0)+IF(D64&lt;&gt;0,D64,0),"")</f>
        <v/>
      </c>
      <c r="E63" s="573" t="str">
        <f>IF(AND(D48&lt;&gt;"Melee",D47&lt;&gt;""),"Range","")</f>
        <v/>
      </c>
      <c r="F63" s="634" t="str">
        <f>IF(AND(D47&lt;&gt;"",D48="Ranged"),"0-"&amp;INDEX(RangeTable,MATCH(E62,RangeList,0),2),"")</f>
        <v/>
      </c>
      <c r="G63" s="2259" t="str">
        <f>IF(AND(D47&lt;&gt;"",D48="Ranged"),INDEX(RangeTable,MATCH(E62,RangeList,0),2)&amp;"-"&amp;INDEX(RangeTable,MATCH(E62,RangeList,0),3),"")</f>
        <v/>
      </c>
      <c r="H63" s="2259"/>
      <c r="I63" s="634" t="str">
        <f>IF(AND(D47&lt;&gt;"",D48="Ranged"),INDEX(RangeTable,MATCH(E62,RangeList,0),3)&amp;"-"&amp;INDEX(RangeTable,MATCH(E62,RangeList,0),4),"")</f>
        <v/>
      </c>
      <c r="J63" s="634" t="str">
        <f>IF(AND(D47&lt;&gt;"",D48="Ranged"),INDEX(RangeTable,MATCH(E62,RangeList,0),4)&amp;"-"&amp;INDEX(RangeTable,MATCH(E62,RangeList,0),5),"")</f>
        <v/>
      </c>
      <c r="K63" s="1805" t="str">
        <f>IF(D47&lt;&gt;"",IF(OR(COUNTIF(O57:P60,"Retractable Stock")&gt;0,INDEX(WeaponTable,MATCH(D47,WeaponList,0),24)=TRUE),"Stock",""),"")</f>
        <v/>
      </c>
      <c r="L63" s="1805"/>
      <c r="M63" s="562"/>
      <c r="N63" s="629"/>
      <c r="O63" s="627" t="s">
        <v>3769</v>
      </c>
      <c r="P63" s="562" t="str">
        <f>IF(D47&lt;&gt;"",INDEX(WeaponObjectTable,MATCH(INDEX(WeaponTable,MATCH(D47,WeaponList,0),6),WeaponObjectList,0),3)+IF(AND(D48="Melee",D49&lt;&gt;"Weapon Proficiency (lightsabers)",COUNTIF(O57:P60,"Neutronium Reinforcement")&gt;0),10,0),"")</f>
        <v/>
      </c>
      <c r="Q63" s="2261" t="str">
        <f>IF(D47&lt;&gt;"",SUM(R57:R60)&amp;"/"&amp;1+IF(O56&lt;&gt;"",1,0),"")</f>
        <v/>
      </c>
      <c r="R63" s="29"/>
      <c r="T63" s="26"/>
      <c r="U63" s="629"/>
      <c r="V63" s="629"/>
      <c r="W63" s="29"/>
    </row>
    <row r="64" spans="2:31" s="630" customFormat="1">
      <c r="B64" s="575"/>
      <c r="C64" s="534" t="e">
        <f ca="1">IF(AND(INDEX(WeaponTable,MATCH(D47,WeaponList,0),5),CharacterLevel&gt;=7,OR(COUNTIF(O57:P60,"Ilum Crystal")&gt;0,COUNTIF(O57:P60, "Adegan Kathracite Crystal")&gt;0,COUNTIF(O57:P60,"Standard Synthetic Crystal")&gt;0)),1,0)</f>
        <v>#N/A</v>
      </c>
      <c r="D64" s="534" t="e">
        <f ca="1">IF(AND(INDEX(WeaponTable,MATCH(D47,WeaponList,0),5),CharacterLevel&gt;=7,OR(COUNTIF(O57:P60,"Daminia Crystal")&gt;0,COUNTIF(O57:P60, "Nextor Crystal")&gt;0,COUNTIF(O57:P60,"Sapith Crystal")&gt;0,COUNTIF(O57:P60,"Sigil Crystal")&gt;0)),2,0)</f>
        <v>#N/A</v>
      </c>
      <c r="E64" s="49" t="str">
        <f>IF(AND(D48&lt;&gt;"Melee",D47&lt;&gt;""),"Modifier","")</f>
        <v/>
      </c>
      <c r="F64" s="635" t="str">
        <f>IF(AND(D48&lt;&gt;"Melee",D47&lt;&gt;""),IF(Feats!M298&gt;1,1,0),"")</f>
        <v/>
      </c>
      <c r="G64" s="2271" t="str">
        <f>IF(AND(D48&lt;&gt;"Melee",D47&lt;&gt;""),IF(OR(H57="Accurate",COUNTIF(O57:O60,"Rangefinder")&gt;0),0,-2),"")</f>
        <v/>
      </c>
      <c r="H64" s="2271"/>
      <c r="I64" s="635" t="str">
        <f>IF(AND(D48&lt;&gt;"Melee",D47&lt;&gt;""),-5,"")</f>
        <v/>
      </c>
      <c r="J64" s="635" t="str">
        <f>IF(AND(D48&lt;&gt;"Melee",D47&lt;&gt;""),IF(H57="Inaccurate","N/A",-10),"")</f>
        <v/>
      </c>
      <c r="K64" s="635"/>
      <c r="L64" s="635"/>
      <c r="M64" s="75"/>
      <c r="N64" s="75"/>
      <c r="O64" s="49" t="s">
        <v>3770</v>
      </c>
      <c r="P64" s="583" t="str">
        <f>IF(D47&lt;&gt;"",INDEX(WeaponObjectTable,MATCH(INDEX(WeaponTable,MATCH(D47,WeaponList,0),6),WeaponObjectList,0),4),"")</f>
        <v/>
      </c>
      <c r="Q64" s="2262"/>
      <c r="R64" s="29"/>
      <c r="T64" s="26"/>
      <c r="U64" s="75"/>
      <c r="V64" s="75"/>
      <c r="W64" s="29"/>
    </row>
    <row r="65" spans="2:31" s="630" customFormat="1">
      <c r="B65" s="539"/>
      <c r="C65" s="629"/>
      <c r="D65" s="629"/>
      <c r="E65" s="629"/>
      <c r="F65" s="629"/>
      <c r="G65" s="629"/>
      <c r="H65" s="629"/>
      <c r="I65" s="629"/>
      <c r="J65" s="629"/>
      <c r="K65" s="629"/>
      <c r="L65" s="629"/>
      <c r="M65" s="629"/>
      <c r="N65" s="629"/>
      <c r="O65" s="629"/>
      <c r="P65" s="629"/>
      <c r="Q65" s="629"/>
      <c r="R65" s="29"/>
      <c r="T65" s="26"/>
      <c r="U65" s="2259"/>
      <c r="V65" s="2259"/>
      <c r="W65" s="29"/>
    </row>
    <row r="66" spans="2:31" s="630" customFormat="1">
      <c r="B66" s="539"/>
      <c r="C66" s="49" t="s">
        <v>4055</v>
      </c>
      <c r="D66" s="1775"/>
      <c r="E66" s="1775"/>
      <c r="F66" s="1775"/>
      <c r="G66" s="1775"/>
      <c r="H66" s="1775"/>
      <c r="I66" s="574"/>
      <c r="J66" s="75"/>
      <c r="K66" s="75"/>
      <c r="L66" s="75"/>
      <c r="M66" s="571" t="s">
        <v>3720</v>
      </c>
      <c r="N66" s="578" t="str">
        <f>IF(WeaponName4&lt;&gt;"",B81+IF(D67="Melee",IF(AND(OR(H69="Light",INDEX(WeaponTable,MATCH(WeaponName4,WeaponList,0),5)="lightsabers"),Feats!M343&gt;0),BaseMeleeAttack-StrMod+DexMod,BaseMeleeAttack),BaseRangedAttack)+D81,"")</f>
        <v/>
      </c>
      <c r="O66" s="49" t="s">
        <v>3721</v>
      </c>
      <c r="P66" s="572" t="str">
        <f>IF(AND(D74&lt;&gt;"",D66&lt;&gt;""),D74&amp;"+"&amp;IF(D67="Melee",IF(AND(INDEX(WeaponTable,MATCH(D66,WeaponList,0),5)="lightsabers",Talents!M1153&gt;0),DexMod,StrMod)*E69,0)+D82+INT(CharacterLevel/2),"")</f>
        <v/>
      </c>
      <c r="Q66" s="75"/>
      <c r="R66" s="29"/>
      <c r="T66" s="26"/>
      <c r="U66" s="627" t="s">
        <v>9</v>
      </c>
      <c r="V66" s="633"/>
      <c r="W66" s="29"/>
    </row>
    <row r="67" spans="2:31" s="630" customFormat="1">
      <c r="B67" s="575" t="e">
        <f ca="1">INDEX(SizeTable,MATCH(INDEX(RaceListTable,RaceIndex,13),SizeAbrList,0),3)</f>
        <v>#N/A</v>
      </c>
      <c r="C67" s="629"/>
      <c r="D67" s="629" t="str">
        <f>IF(D66&lt;&gt;"",IF(INDEX(WeaponTable,MATCH(D66,WeaponList,0),3)="M","Melee","Ranged"),"")</f>
        <v/>
      </c>
      <c r="E67" s="629"/>
      <c r="F67" s="629"/>
      <c r="G67" s="629"/>
      <c r="H67" s="629"/>
      <c r="I67" s="629"/>
      <c r="J67" s="629"/>
      <c r="K67" s="629"/>
      <c r="L67" s="629"/>
      <c r="M67" s="629"/>
      <c r="N67" s="629"/>
      <c r="O67" s="629"/>
      <c r="P67" s="629"/>
      <c r="Q67" s="629"/>
      <c r="R67" s="29"/>
      <c r="T67" s="26"/>
      <c r="U67" s="627"/>
      <c r="V67" s="633"/>
      <c r="W67" s="29"/>
      <c r="Y67" s="630" t="str">
        <f>IF(OR(H69="",H69="Too Large to Use",H69=" Light"),"","Two-Handed")</f>
        <v/>
      </c>
    </row>
    <row r="68" spans="2:31" s="630" customFormat="1">
      <c r="B68" s="575" t="str">
        <f>IF(D66&lt;&gt;"",IF(INDEX(WeaponTable,MATCH(D66,WeaponList,0),4)="EWP","Exotic Weapon Proficiency","Weapon Proficiency"),"")</f>
        <v/>
      </c>
      <c r="C68" s="49" t="s">
        <v>112</v>
      </c>
      <c r="D68" s="75" t="str">
        <f>IF(D66&lt;&gt;"",B68&amp;" ("&amp;INDEX(WeaponTable,MATCH(D66,WeaponList,0),5)&amp;")","")</f>
        <v/>
      </c>
      <c r="E68" s="75"/>
      <c r="F68" s="75"/>
      <c r="G68" s="75"/>
      <c r="H68" s="75"/>
      <c r="I68" s="75"/>
      <c r="J68" s="75"/>
      <c r="K68" s="75"/>
      <c r="L68" s="75"/>
      <c r="M68" s="49" t="s">
        <v>3734</v>
      </c>
      <c r="N68" s="49"/>
      <c r="O68" s="49" t="s">
        <v>3731</v>
      </c>
      <c r="P68" s="75"/>
      <c r="Q68" s="49" t="s">
        <v>74</v>
      </c>
      <c r="R68" s="29"/>
      <c r="T68" s="26"/>
      <c r="U68" s="627"/>
      <c r="V68" s="633"/>
      <c r="W68" s="29"/>
      <c r="Y68" s="630" t="str">
        <f>IF(OR(H69="",H69="Two-Handed",H69="Too Large to Use"),"","One-Handed")</f>
        <v/>
      </c>
    </row>
    <row r="69" spans="2:31" s="630" customFormat="1">
      <c r="B69" s="575" t="e">
        <f ca="1">INDEX(SizeTable,MATCH(INDEX(WeaponTable,MATCH(D66,WeaponList,0),6),SizeAbrList,0),3)+IF(COUNTIF(O76:P79,"Miniaturized")&gt;0,-1,0)</f>
        <v>#N/A</v>
      </c>
      <c r="C69" s="627" t="s">
        <v>11</v>
      </c>
      <c r="D69" s="629" t="str">
        <f>IF(D66&lt;&gt;"",INDEX(SizeTable,MATCH(B69,SizeNumber,0),2),"")</f>
        <v/>
      </c>
      <c r="E69" s="586">
        <f>IF(AND(D67="Melee",H70="Two-Handed"),2,1)</f>
        <v>1</v>
      </c>
      <c r="F69" s="2267" t="s">
        <v>3776</v>
      </c>
      <c r="G69" s="2267"/>
      <c r="H69" s="629" t="str">
        <f>IF(D66&lt;&gt;"",IF(B67-B69=-1,"Two-Handed",IF(B67-B69&lt;-1,"Too Large to Use",IF(B67-B69=0,"One-Handed"," Light"))),"")</f>
        <v/>
      </c>
      <c r="I69" s="629"/>
      <c r="J69" s="629"/>
      <c r="K69" s="629"/>
      <c r="L69" s="629"/>
      <c r="M69" s="627" t="s">
        <v>2401</v>
      </c>
      <c r="N69" s="512">
        <f>IF(O69&lt;&gt;"",INDEX(TechSpecialistWeaponsTable,MATCH(O69,TechSpecialistWeaponsList,0),2),0)</f>
        <v>0</v>
      </c>
      <c r="O69" s="1740"/>
      <c r="P69" s="1740"/>
      <c r="Q69" s="77" t="str">
        <f>IF(O69&lt;&gt;"",IF(LEFT(O69,14)&lt;&gt;"Selective Fire","Valid",IF(AND(LEFT(O69,14)="Selective Fire",D68&lt;&gt;"Simple",D67&lt;&gt;"Melee"),"Valid","Invalid")),"")</f>
        <v/>
      </c>
      <c r="R69" s="29"/>
      <c r="T69" s="26"/>
      <c r="U69" s="627" t="s">
        <v>11</v>
      </c>
      <c r="V69" s="633"/>
      <c r="W69" s="29"/>
    </row>
    <row r="70" spans="2:31" s="630" customFormat="1">
      <c r="B70" s="575">
        <f>IF(D66&lt;&gt;"",INDEX(WeaponTable,MATCH(D66,WeaponList,0),25)+SUM(N69:N79),0)</f>
        <v>0</v>
      </c>
      <c r="C70" s="627" t="s">
        <v>3691</v>
      </c>
      <c r="D70" s="525" t="str">
        <f>IF(D66&lt;&gt;"",TEXT(B70,"#,### cr")&amp;IF(INDEX(WeaponTable,MATCH(D66,WeaponList,0),15)="Rare"," ("&amp;TEXT(B70*2,"#,### cr)"),""),"")</f>
        <v/>
      </c>
      <c r="E70" s="629"/>
      <c r="F70" s="2266" t="s">
        <v>3777</v>
      </c>
      <c r="G70" s="2266"/>
      <c r="H70" s="2268"/>
      <c r="I70" s="2268"/>
      <c r="J70" s="2268"/>
      <c r="K70" s="638"/>
      <c r="L70" s="638"/>
      <c r="M70" s="627" t="s">
        <v>2499</v>
      </c>
      <c r="N70" s="512">
        <f>IF(O70&lt;&gt;"",INDEX(SuperiorTechWeaponsTable,MATCH(O70,SuperiorTechWeaponsList,0),2),0)</f>
        <v>0</v>
      </c>
      <c r="O70" s="1740"/>
      <c r="P70" s="1740"/>
      <c r="Q70" s="634" t="str">
        <f>IF(O70&lt;&gt;"",IF(OR(LEFT(O70,14)&lt;&gt;"Superior Range",LEFT(O70,17)&lt;&gt;"Superior Capacity"),"Valid",IF(AND(OR(LEFT(O70,14)="Superior Range",LEFT(O70,17)="Superior Capacity"),D69&lt;&gt;"Simple",D68&lt;&gt;"Melee"),"Valid","Invalid")),"")</f>
        <v/>
      </c>
      <c r="R70" s="29"/>
      <c r="T70" s="26"/>
      <c r="U70" s="627" t="s">
        <v>3691</v>
      </c>
      <c r="V70" s="633"/>
      <c r="W70" s="29"/>
      <c r="Y70" s="630" t="s">
        <v>3743</v>
      </c>
    </row>
    <row r="71" spans="2:31" s="630" customFormat="1">
      <c r="B71" s="575"/>
      <c r="C71" s="562" t="s">
        <v>3681</v>
      </c>
      <c r="D71" s="525" t="str">
        <f>IF(D66&lt;&gt;"",IF(INDEX(WeaponTable,MATCH(D66,WeaponList,0),14)&lt;&gt;"C",INDEX(AvailabilityTable,MATCH(INDEX(WeaponTable,MATCH(D66,WeaponList,0),14),AvailList,0),3)*INDEX(WeaponTable,MATCH(D66,WeaponList,0),25),"None"),"")</f>
        <v/>
      </c>
      <c r="E71" s="587"/>
      <c r="F71" s="2266" t="s">
        <v>4052</v>
      </c>
      <c r="G71" s="2266"/>
      <c r="H71" s="638" t="str">
        <f>IF(WeaponName4&lt;&gt;"",20&amp;"/"&amp;"×"&amp;IF(OR(INDEX(WeaponTable,MATCH(WeaponName4,WeaponList,0),5)=Feats!D330,INDEX(WeaponTable,MATCH(WeaponName4,WeaponList,0),5)=Feats!D329),3,2),"")</f>
        <v/>
      </c>
      <c r="I71" s="638"/>
      <c r="J71" s="638"/>
      <c r="K71" s="638"/>
      <c r="L71" s="638"/>
      <c r="M71" s="627" t="s">
        <v>3750</v>
      </c>
      <c r="N71" s="512">
        <f>IF(O71&lt;&gt;"",MAX(INDEX(WeaponTemplateTable,MATCH(O71,WeaponTemplateList,0),3)*INDEX(WeaponTable,MATCH(D66,WeaponList,0),25),INDEX(WeaponTemplateTable,MATCH(O71,WeaponTemplateList,0),4)),0)</f>
        <v>0</v>
      </c>
      <c r="O71" s="1740"/>
      <c r="P71" s="1740"/>
      <c r="Q71" s="634" t="str">
        <f>IF(O71&lt;&gt;"",IF(COUNTIF(Y71:Z71,"Invalid")&lt;1,IF(COUNTIF(AA71:AC71,"")=3,"Valid",IF(COUNTIF(AA71:AC71,"Valid")&gt;0,"Valid","Invalid"))),"")</f>
        <v/>
      </c>
      <c r="R71" s="29"/>
      <c r="T71" s="26"/>
      <c r="U71" s="627"/>
      <c r="V71" s="633"/>
      <c r="W71" s="29"/>
      <c r="Y71" s="630" t="e">
        <f>IF(INDEX(WeaponTemplateTable,MATCH(O71,WeaponTemplateList,0),5)&lt;&gt;"",IF(D67=INDEX(WeaponTemplateTable,MATCH(O71,WeaponTemplateList,0),5),"Valid","Invalid"),"")</f>
        <v>#N/A</v>
      </c>
      <c r="Z71" s="630" t="e">
        <f>IF(INDEX(WeaponTemplateTable,MATCH(O71,WeaponTemplateList,0),6)&lt;&gt;"",IF(INDEX(WeaponTable,MATCH(D66,WeaponList,0),5)=INDEX(WeaponTemplateTable,MATCH(O71,WeaponTemplateList,0),6),"Valid","Invalid"),"")</f>
        <v>#N/A</v>
      </c>
      <c r="AA71" s="630" t="e">
        <f>IF(INDEX(WeaponTemplateTable,MATCH(O71,WeaponTemplateList,0),7)&lt;&gt;"",IF(INDEX(WeaponTable,MATCH(D66,WeaponList,0),13)=INDEX(WeaponTemplateTable,MATCH(O71,WeaponTemplateList,0),7),"Valid","Invalid"),"")</f>
        <v>#N/A</v>
      </c>
      <c r="AB71" s="630" t="e">
        <f>IF(INDEX(WeaponTemplateTable,MATCH(O71,WeaponTemplateList,0),8)&lt;&gt;"",IF(D78=INDEX(WeaponTemplateTable,MATCH(O71,WeaponTemplateList,0),8),"Valid","Invalid"),"")</f>
        <v>#N/A</v>
      </c>
      <c r="AC71" s="630" t="e">
        <f>IF(INDEX(WeaponTemplateTable,MATCH(O71,WeaponTemplateList,0),9)&lt;&gt;"",IF(INDEX(WeaponTable,MATCH(D66,WeaponList,0),9)&lt;&gt;"","Valid","Invalid"),"")</f>
        <v>#N/A</v>
      </c>
    </row>
    <row r="72" spans="2:31" s="630" customFormat="1">
      <c r="B72" s="575"/>
      <c r="C72" s="562" t="s">
        <v>3682</v>
      </c>
      <c r="D72" s="525" t="str">
        <f>IF(D79&lt;&gt;"",IF(AND(B70&lt;&gt;"",INDEX(WeaponTable,MATCH(D66,WeaponList,0),14)&lt;&gt;"C"),TEXT(INDEX(AvailabilityTable,MATCH(INDEX(WeaponTable,MATCH(D66,WeaponList,0),14),AvailList,0),4)*B70,"#,##0")&amp;" cr"&amp;IF(INDEX(WeaponTable,MATCH(D66,WeaponList,0),15)="Rare"," ("&amp;TEXT(INDEX(AvailabilityTable,MATCH(INDEX(WeaponTable,MATCH(D66,WeaponList,0),14),AvailList,0),4)*B70*2,"#,##0")&amp;" cr)",""),""),"")</f>
        <v/>
      </c>
      <c r="E72" s="587"/>
      <c r="F72" s="2265"/>
      <c r="G72" s="2265"/>
      <c r="H72" s="638"/>
      <c r="I72" s="638"/>
      <c r="J72" s="638"/>
      <c r="K72" s="638"/>
      <c r="L72" s="638"/>
      <c r="M72" s="629"/>
      <c r="N72" s="512"/>
      <c r="O72" s="1740"/>
      <c r="P72" s="1740"/>
      <c r="Q72" s="634" t="str">
        <f>IF(O72&lt;&gt;"",IF(COUNTIF(Y72:Z72,"Invalid")&lt;1,IF(COUNTIF(AA72:AC72,"")=3,"Valid",IF(COUNTIF(AA72:AC72,"Valid")&gt;0,"Valid","Invalid"))),"")</f>
        <v/>
      </c>
      <c r="R72" s="29"/>
      <c r="T72" s="26"/>
      <c r="U72" s="627"/>
      <c r="V72" s="633"/>
      <c r="W72" s="29"/>
      <c r="Y72" s="630" t="e">
        <f>IF(INDEX(WeaponTemplateTable,MATCH(O72,WeaponTemplateList,0),5)&lt;&gt;"",IF(D67=INDEX(WeaponTemplateTable,MATCH(O72,WeaponTemplateList,0),5),"Valid","Invalid"),"")</f>
        <v>#N/A</v>
      </c>
      <c r="Z72" s="630" t="e">
        <f>IF(INDEX(WeaponTemplateTable,MATCH(O72,WeaponTemplateList,0),6)&lt;&gt;"",IF(INDEX(WeaponTable,MATCH(D66,WeaponList,0),5)=INDEX(WeaponTemplateTable,MATCH(O72,WeaponTemplateList,0),6),"Valid","Invalid"),"")</f>
        <v>#N/A</v>
      </c>
      <c r="AA72" s="630" t="e">
        <f>IF(INDEX(WeaponTemplateTable,MATCH(O72,WeaponTemplateList,0),7)&lt;&gt;"",IF(INDEX(WeaponTable,MATCH(D66,WeaponList,0),13)=INDEX(WeaponTemplateTable,MATCH(O72,WeaponTemplateList,0),7),"Valid","Invalid"),"")</f>
        <v>#N/A</v>
      </c>
      <c r="AB72" s="630" t="e">
        <f>IF(INDEX(WeaponTemplateTable,MATCH(O72,WeaponTemplateList,0),8)&lt;&gt;"",IF(D78=INDEX(WeaponTemplateTable,MATCH(O72,WeaponTemplateList,0),8),"Valid","Invalid"),"")</f>
        <v>#N/A</v>
      </c>
      <c r="AC72" s="630" t="e">
        <f>IF(INDEX(WeaponTemplateTable,MATCH(O72,WeaponTemplateList,0),9)&lt;&gt;"",IF(INDEX(WeaponTable,MATCH(D66,WeaponList,0),9)&lt;&gt;"","Valid","Invalid"),"")</f>
        <v>#N/A</v>
      </c>
    </row>
    <row r="73" spans="2:31" s="630" customFormat="1">
      <c r="B73" s="575"/>
      <c r="C73" s="562" t="s">
        <v>3683</v>
      </c>
      <c r="D73" s="525" t="str">
        <f>IF(D70&lt;&gt;"",B70/2,"")</f>
        <v/>
      </c>
      <c r="E73" s="587"/>
      <c r="F73" s="2265"/>
      <c r="G73" s="2265"/>
      <c r="H73" s="638"/>
      <c r="I73" s="638"/>
      <c r="J73" s="638"/>
      <c r="K73" s="638"/>
      <c r="L73" s="638"/>
      <c r="M73" s="627" t="s">
        <v>552</v>
      </c>
      <c r="N73" s="512"/>
      <c r="O73" s="1740"/>
      <c r="P73" s="1740"/>
      <c r="Q73" s="634" t="str">
        <f>IF(AND(D66&lt;&gt;"",O73&lt;&gt;""),IF(D67&lt;&gt;"Melee","Invalid",IF((ISERROR(FIND(O73,TalentsTakenList,1))),"Invalid","Valid")),"")</f>
        <v/>
      </c>
      <c r="R73" s="29"/>
      <c r="T73" s="26"/>
      <c r="U73" s="627" t="s">
        <v>3772</v>
      </c>
      <c r="V73" s="633"/>
      <c r="W73" s="29"/>
    </row>
    <row r="74" spans="2:31" s="630" customFormat="1">
      <c r="B74" s="575" t="e">
        <f ca="1">INDEX(WeaponTable,MATCH(D66,WeaponList,0),17)+IF(AND(D67="Melee",COUNTIF(O73:P74,"Empower Weapon")),1,0)+IF(AND(OR(O71="Bothan",O72="Bothan"),D78="Energy (ion)"),1,0)+IF(AND(OR(O71="Bothan",O72="Bothan"),INDEX(WeaponTable,MATCH(D66,WeaponList,0),9)&lt;&gt;""),-1,0)</f>
        <v>#N/A</v>
      </c>
      <c r="C74" s="567" t="s">
        <v>3721</v>
      </c>
      <c r="D74" s="525" t="str">
        <f>IF(D66&lt;&gt;"",IF(B74&lt;&gt;0,B74&amp;"d"&amp;B75&amp;IF(AND(COUNTIF(O76:P79,"Ion Charger")&gt;0,D67="Melee"),"+2d6 ion",""),""),"")</f>
        <v/>
      </c>
      <c r="E74" s="587"/>
      <c r="F74" s="2266" t="str">
        <f>IF(H74&lt;&gt;"",IF(H75="","Power","Ammo"),"")</f>
        <v/>
      </c>
      <c r="G74" s="2266"/>
      <c r="H74" s="637" t="str">
        <f>IF(D66&lt;&gt;"",IF(INDEX(WeaponTable,MATCH(D66,WeaponList,0),27)&lt;&gt;"",INDEX(WeaponTable,MATCH(D66,WeaponList,0),27),""),"")</f>
        <v/>
      </c>
      <c r="I74" s="629"/>
      <c r="J74" s="638"/>
      <c r="K74" s="638"/>
      <c r="L74" s="638"/>
      <c r="M74" s="627"/>
      <c r="N74" s="512"/>
      <c r="O74" s="1740"/>
      <c r="P74" s="1740"/>
      <c r="Q74" s="634" t="str">
        <f>IF(AND(D66&lt;&gt;"",O74&lt;&gt;""),IF(D67&lt;&gt;"Melee","Invalid",IF((ISERROR(FIND(O74,TalentsTakenList,1))),"Invalid","Valid")),"")</f>
        <v/>
      </c>
      <c r="R74" s="29"/>
      <c r="T74" s="26"/>
      <c r="U74" s="627" t="s">
        <v>3773</v>
      </c>
      <c r="V74" s="633"/>
      <c r="W74" s="29"/>
      <c r="Y74" s="630" t="s">
        <v>3756</v>
      </c>
    </row>
    <row r="75" spans="2:31" s="630" customFormat="1">
      <c r="B75" s="575" t="e">
        <f ca="1">INDEX(DieSizeTable,MATCH(INDEX(DieSizeTable,MATCH(INDEX(WeaponTable,MATCH(D66,WeaponList,0),18),DieSizeList,0),1)+IF(COUNTIF(O71:P72,"Rakatan")&gt;0,1,0)-IF(O75="Damage",1,0)-IF(AND(D67="Melee",COUNTIF(O76:P79,"Miniaturized")&gt;0),1,0)-IF(AND(D67="Melee",COUNTIF(O76:P79,"Adegan Mephite Crystal")&gt;0),1,0),DieSizeNumberList,0),2)</f>
        <v>#N/A</v>
      </c>
      <c r="C75" s="627" t="s">
        <v>115</v>
      </c>
      <c r="D75" s="538" t="str">
        <f>IF(D66&lt;&gt;"",IF(O75&lt;&gt;"Stun Setting",IF(INDEX(WeaponTable,MATCH(D66,WeaponList,0),9)&lt;&gt;"",INDEX(WeaponTable,MATCH(D66,WeaponList,0),9),"")&amp;IF(AND(OR(O71="Bothan",O72="Bothan"),INDEX(WeaponTable,MATCH(D66,WeaponList,0),9)&lt;&gt;"")," ("&amp;B74+2&amp;"d"&amp;B75&amp;")",IF(AND(D67="Melee",OR(COUNTIF(O76:P79,"Tremor Cell")&gt;0,COUNTIF(O76:P79,"Bondar Crystal")&gt;0)),"Yes","")),""),"")</f>
        <v/>
      </c>
      <c r="E75" s="586"/>
      <c r="F75" s="2266" t="str">
        <f>IF(H75&lt;&gt;"","Charges","")</f>
        <v/>
      </c>
      <c r="G75" s="2266"/>
      <c r="H75" s="637" t="str">
        <f>IF(D66&lt;&gt;"",IF(INDEX(WeaponTable,MATCH(D66,WeaponList,0),28)&lt;&gt;"",INDEX(WeaponTable,MATCH(D66,WeaponList,0),28)*IF(AND(D67="Ranged",COUNTIF(O76:P79,"Improved Energy Cell")&gt;0),2,1),""),"")</f>
        <v/>
      </c>
      <c r="I75" s="629"/>
      <c r="J75" s="638"/>
      <c r="K75" s="638"/>
      <c r="L75" s="638"/>
      <c r="M75" s="627" t="s">
        <v>3752</v>
      </c>
      <c r="N75" s="512"/>
      <c r="O75" s="1740"/>
      <c r="P75" s="1740"/>
      <c r="Q75" s="634" t="str">
        <f>IF(AND(O75&lt;&gt;"",D66&lt;&gt;""),IF(COUNTIF(Y75:AC75,"Valid")&gt;0,"Valid","Invalid"),"")</f>
        <v/>
      </c>
      <c r="R75" s="576"/>
      <c r="T75" s="26"/>
      <c r="U75" s="627" t="s">
        <v>115</v>
      </c>
      <c r="V75" s="633"/>
      <c r="W75" s="29"/>
      <c r="Y75" s="630" t="str">
        <f>IF(O75="Autofire",IF(AND(B76&lt;&gt;"",B77&lt;&gt;""),"Valid","Invalid"),"")</f>
        <v/>
      </c>
      <c r="Z75" s="630" t="str">
        <f>IF(O75="Damage","Valid","")</f>
        <v/>
      </c>
      <c r="AA75" s="630" t="str">
        <f>IF(O75="Design",IF(INDEX(WeaponTable,MATCH(D66,WeaponList,0),4)&lt;&gt;"EWP","Valid","Invalid"),"")</f>
        <v/>
      </c>
      <c r="AC75" s="630" t="str">
        <f>IF(O75="Stun Setting",IF(INDEX(WeaponTable,MATCH(D66,WeaponList,0),9)&lt;&gt;"","Valid","Invalid"),"")</f>
        <v/>
      </c>
      <c r="AD75" s="630" t="s">
        <v>3782</v>
      </c>
    </row>
    <row r="76" spans="2:31" s="630" customFormat="1">
      <c r="B76" s="575" t="e">
        <f ca="1">IF(INDEX(WeaponTable,MATCH(D66,WeaponList,0),11)&lt;&gt;"",INDEX(WeaponTable,MATCH(D66,WeaponList,0),11),IF(AND(LEFT(O69,14)="Selective Fire",Q69&lt;&gt;"Invalid",INDEX(WeaponTable,MATCH(D66,WeaponList,0),11)="",INDEX(WeaponTable,MATCH(D66,WeaponList,0),12)&lt;&gt;""),"S",IF(AND(COUNTIF(O76:P79,"Sniper Switch")&gt;0,D67="Ranged",INDEX(WeaponTable,MATCH(D66,WeaponList,0),12)="A"),"S","")))</f>
        <v>#N/A</v>
      </c>
      <c r="C76" s="627" t="str">
        <f>IF(D66&lt;&gt;"",IF(INDEX(WeaponTable,MATCH(D66,WeaponList,0),3)&lt;&gt;"M","Rate of Fire",""),"")</f>
        <v/>
      </c>
      <c r="D76" s="538" t="str">
        <f>IF(AND(D66&lt;&gt;"",D67="Ranged"),B76&amp;IF(AND(B76&lt;&gt;"",B77&lt;&gt;""),", ","")&amp;B77,"")</f>
        <v/>
      </c>
      <c r="E76" s="586"/>
      <c r="F76" s="1811" t="str">
        <f>IF(H76&lt;&gt;"","Accuracy","")</f>
        <v/>
      </c>
      <c r="G76" s="1811"/>
      <c r="H76" s="629" t="str">
        <f>IF(D66&lt;&gt;"",IF(INDEX(WeaponTable,MATCH(D66,WeaponList,0),23)="In","Inaccurate",IF(INDEX(WeaponTable,MATCH(D66,WeaponList,0),23)="Acc","Accurate","")),"")</f>
        <v/>
      </c>
      <c r="I76" s="629"/>
      <c r="J76" s="638"/>
      <c r="K76" s="638"/>
      <c r="L76" s="638"/>
      <c r="M76" s="627" t="s">
        <v>3751</v>
      </c>
      <c r="N76" s="638" t="str">
        <f>IF(O76&lt;&gt;"",INDEX(WeaponAccessoriesTable,MATCH(O76,WeaponAccessoriesList,0),3)+IF(O76="Bayonet Ring",INDEX(WeaponTable,MATCH(D66,WeaponList,0),25),0),"")</f>
        <v/>
      </c>
      <c r="O76" s="1740"/>
      <c r="P76" s="1740"/>
      <c r="Q76" s="634" t="str">
        <f>IF(O76&lt;&gt;"",IF(COUNTIF(Y76:AB76,"invalid")&lt;1,"Valid","Invalid"),"")</f>
        <v/>
      </c>
      <c r="R76" s="576">
        <f>IF(O76&lt;&gt;"",INDEX(WeaponAccessoriesTable,MATCH(O76,WeaponAccessoriesList,0),4),0)</f>
        <v>0</v>
      </c>
      <c r="T76" s="26"/>
      <c r="U76" s="627" t="s">
        <v>3781</v>
      </c>
      <c r="V76" s="633"/>
      <c r="W76" s="29"/>
      <c r="Y76" s="630" t="e">
        <f>IF(INDEX(WeaponAccessoriesTable,MATCH(O76,WeaponAccessoriesList,0),5)&lt;&gt;"",IF(D67=INDEX(WeaponAccessoriesTable,MATCH(O76,WeaponAccessoriesList,0),5),"Valid","Invalid"),"")</f>
        <v>#N/A</v>
      </c>
      <c r="Z76" s="630" t="e">
        <f>IF(INDEX(WeaponAccessoriesTable,MATCH(O76,WeaponAccessoriesList,0),6)&lt;&gt;"",IF(INDEX(WeaponTable,MATCH(D66,WeaponList,0),27)=INDEX(WeaponAccessoriesTable,MATCH(O76,WeaponAccessoriesList,0),6),"Valid","Invalid"),"")</f>
        <v>#N/A</v>
      </c>
      <c r="AA76" s="630" t="e">
        <f>IF(INDEX(WeaponAccessoriesTable,MATCH(O76,WeaponAccessoriesList,0),7)&lt;&gt;"",IF(ISERROR(FIND(INDEX(WeaponAccessoriesTable,MATCH(O76,WeaponAccessoriesList,0),7),D78,1)),"Invalid","Valid"),"")</f>
        <v>#N/A</v>
      </c>
      <c r="AB76" s="630" t="e">
        <f>IF(INDEX(WeaponAccessoriesTable,MATCH(O76,WeaponAccessoriesList,0),5)&lt;&gt;"",IF(INDEX(WeaponTable,MATCH(D66,WeaponList,0),5)&lt;&gt;INDEX(WeaponAccessoriesTable,MATCH(O76,WeaponAccessoriesList,0),5),"Valid","Invalid"),"")</f>
        <v>#N/A</v>
      </c>
      <c r="AD76" s="630" t="str">
        <f>IF(O76&lt;&gt;"",IF(INDEX(WeaponAccessoriesTable,MATCH(O76,WeaponAccessoriesList,0),9)&lt;&gt;"",INDEX(WeaponAccessoriesTable,MATCH(O76,WeaponAccessoriesList,0),9),""),"")</f>
        <v/>
      </c>
      <c r="AE76" s="630" t="str">
        <f>IF(AD76&lt;&gt;"",AD76&amp;IF(AE77&lt;&gt;"","; "&amp;AE77,""),AE77)</f>
        <v/>
      </c>
    </row>
    <row r="77" spans="2:31" s="630" customFormat="1" ht="15" customHeight="1">
      <c r="B77" s="575" t="e">
        <f ca="1">IF(INDEX(WeaponTable,MATCH(D66,WeaponList,0),12)&lt;&gt;"",INDEX(WeaponTable,MATCH(D66,WeaponList,0),12),IF(AND(LEFT(O69,14)="Selective Fire",Q69&lt;&gt;"Invalid",INDEX(WeaponTable,MATCH(D66,WeaponList,0),12)="",INDEX(WeaponTable,MATCH(D66,WeaponList,0),11)&lt;&gt;""),"A",IF(AND(COUNTIF(O76:P79,"Rapid Recycler")&gt;0,D67="Ranged",INDEX(WeaponTable,MATCH(D66,WeaponList,0),11)="S"),"A","")))</f>
        <v>#N/A</v>
      </c>
      <c r="C77" s="627" t="s">
        <v>106</v>
      </c>
      <c r="D77" s="528" t="str">
        <f>IF(D66&lt;&gt;"",E77,"")</f>
        <v/>
      </c>
      <c r="E77" s="585" t="e">
        <f ca="1">INDEX(WeaponTable,MATCH(D66,WeaponList,0),26)*IF(COUNTIF(O76:P79,"Neutronium Reinforcement")&gt;0,2,1)</f>
        <v>#N/A</v>
      </c>
      <c r="F77" s="2266" t="str">
        <f>IF(H77&lt;&gt;"","Special","")</f>
        <v/>
      </c>
      <c r="G77" s="2266"/>
      <c r="H77" s="2263" t="str">
        <f>IF(D66&lt;&gt;"",IF(INDEX(WeaponTable,MATCH(D66,WeaponList,0),16)&lt;&gt;"",INDEX(WeaponTable,MATCH(D66,WeaponList,0),16)&amp;IF(AE76&lt;&gt;"","; "&amp;AE76,""),IF(AE76&lt;&gt;"",AE76,"")),"")</f>
        <v/>
      </c>
      <c r="I77" s="2263"/>
      <c r="J77" s="2263"/>
      <c r="K77" s="2263"/>
      <c r="L77" s="638"/>
      <c r="M77" s="627"/>
      <c r="N77" s="638" t="str">
        <f>IF(O77&lt;&gt;"",INDEX(WeaponAccessoriesTable,MATCH(O77,WeaponAccessoriesList,0),3)+IF(O77="Bayonet Ring",INDEX(WeaponTable,MATCH(D66,WeaponList,0),25),0),"")</f>
        <v/>
      </c>
      <c r="O77" s="1740"/>
      <c r="P77" s="1740"/>
      <c r="Q77" s="634" t="str">
        <f>IF(O77&lt;&gt;"",IF(COUNTIF(Y77:AB77,"invalid")&lt;1,"Valid","Invalid"),"")</f>
        <v/>
      </c>
      <c r="R77" s="576">
        <f>IF(O77&lt;&gt;"",INDEX(WeaponAccessoriesTable,MATCH(O77,WeaponAccessoriesList,0),4),0)</f>
        <v>0</v>
      </c>
      <c r="T77" s="26"/>
      <c r="U77" s="627" t="s">
        <v>106</v>
      </c>
      <c r="V77" s="633"/>
      <c r="W77" s="29"/>
      <c r="Y77" s="630" t="e">
        <f>IF(INDEX(WeaponAccessoriesTable,MATCH(O77,WeaponAccessoriesList,0),5)&lt;&gt;"",IF(D67=INDEX(WeaponAccessoriesTable,MATCH(O77,WeaponAccessoriesList,0),5),"Valid","Invalid"),"")</f>
        <v>#N/A</v>
      </c>
      <c r="Z77" s="630" t="e">
        <f>IF(INDEX(WeaponAccessoriesTable,MATCH(O77,WeaponAccessoriesList,0),6)&lt;&gt;"",IF(INDEX(WeaponTable,MATCH(D66,WeaponList,0),27)=INDEX(WeaponAccessoriesTable,MATCH(O77,WeaponAccessoriesList,0),6),"Valid","Invalid"),"")</f>
        <v>#N/A</v>
      </c>
      <c r="AA77" s="630" t="e">
        <f>IF(INDEX(WeaponAccessoriesTable,MATCH(O77,WeaponAccessoriesList,0),7)&lt;&gt;"",IF(ISERROR(FIND(INDEX(WeaponAccessoriesTable,MATCH(O77,WeaponAccessoriesList,0),7),D78,1)),"Invalid","Valid"),"")</f>
        <v>#N/A</v>
      </c>
      <c r="AB77" s="630" t="e">
        <f>IF(INDEX(WeaponAccessoriesTable,MATCH(O77,WeaponAccessoriesList,0),5)&lt;&gt;"",IF(INDEX(WeaponTable,MATCH(D66,WeaponList,0),5)&lt;&gt;INDEX(WeaponAccessoriesTable,MATCH(O77,WeaponAccessoriesList,0),5),"Valid","Invalid"),"")</f>
        <v>#N/A</v>
      </c>
      <c r="AD77" s="630" t="str">
        <f>IF(O77&lt;&gt;"",IF(INDEX(WeaponAccessoriesTable,MATCH(O77,WeaponAccessoriesList,0),9)&lt;&gt;"",INDEX(WeaponAccessoriesTable,MATCH(O77,WeaponAccessoriesList,0),9),""),"")</f>
        <v/>
      </c>
      <c r="AE77" s="630" t="str">
        <f>IF(AD77&lt;&gt;"",AD77&amp;IF(AE78&lt;&gt;"","; "&amp;AE78,""),AE78)</f>
        <v/>
      </c>
    </row>
    <row r="78" spans="2:31" s="630" customFormat="1">
      <c r="B78" s="575"/>
      <c r="C78" s="627" t="s">
        <v>48</v>
      </c>
      <c r="D78" s="528" t="str">
        <f>IF(D66&lt;&gt;"",INDEX(WeaponTable,MATCH(D66,WeaponList,0),13)&amp;IF(AND(O71="Arkanian",Q71="Valid")," and Fire",""),"")</f>
        <v/>
      </c>
      <c r="E78" s="584"/>
      <c r="F78" s="638"/>
      <c r="G78" s="638"/>
      <c r="H78" s="2263"/>
      <c r="I78" s="2263"/>
      <c r="J78" s="2263"/>
      <c r="K78" s="2263"/>
      <c r="L78" s="638"/>
      <c r="M78" s="629"/>
      <c r="N78" s="638" t="str">
        <f>IF(O78&lt;&gt;"",INDEX(WeaponAccessoriesTable,MATCH(O78,WeaponAccessoriesList,0),3)+IF(O78="Bayonet Ring",INDEX(WeaponTable,MATCH(D66,WeaponList,0),25),0),"")</f>
        <v/>
      </c>
      <c r="O78" s="1740"/>
      <c r="P78" s="1740"/>
      <c r="Q78" s="634" t="str">
        <f>IF(O78&lt;&gt;"",IF(COUNTIF(Y78:AB78,"invalid")&lt;1,"Valid","Invalid"),"")</f>
        <v/>
      </c>
      <c r="R78" s="576">
        <f>IF(O78&lt;&gt;"",INDEX(WeaponAccessoriesTable,MATCH(O78,WeaponAccessoriesList,0),4),0)</f>
        <v>0</v>
      </c>
      <c r="T78" s="26"/>
      <c r="U78" s="627" t="s">
        <v>48</v>
      </c>
      <c r="V78" s="633"/>
      <c r="W78" s="29"/>
      <c r="Y78" s="630" t="e">
        <f>IF(INDEX(WeaponAccessoriesTable,MATCH(O78,WeaponAccessoriesList,0),5)&lt;&gt;"",IF(D67=INDEX(WeaponAccessoriesTable,MATCH(O78,WeaponAccessoriesList,0),5),"Valid","Invalid"),"")</f>
        <v>#N/A</v>
      </c>
      <c r="Z78" s="630" t="e">
        <f>IF(INDEX(WeaponAccessoriesTable,MATCH(O78,WeaponAccessoriesList,0),6)&lt;&gt;"",IF(INDEX(WeaponTable,MATCH(D66,WeaponList,0),27)=INDEX(WeaponAccessoriesTable,MATCH(O78,WeaponAccessoriesList,0),6),"Valid","Invalid"),"")</f>
        <v>#N/A</v>
      </c>
      <c r="AA78" s="630" t="e">
        <f>IF(INDEX(WeaponAccessoriesTable,MATCH(O78,WeaponAccessoriesList,0),7)&lt;&gt;"",IF(ISERROR(FIND(INDEX(WeaponAccessoriesTable,MATCH(O78,WeaponAccessoriesList,0),7),D78,1)),"Invalid","Valid"),"")</f>
        <v>#N/A</v>
      </c>
      <c r="AB78" s="630" t="e">
        <f>IF(INDEX(WeaponAccessoriesTable,MATCH(O78,WeaponAccessoriesList,0),5)&lt;&gt;"",IF(INDEX(WeaponTable,MATCH(D66,WeaponList,0),5)&lt;&gt;INDEX(WeaponAccessoriesTable,MATCH(O78,WeaponAccessoriesList,0),5),"Valid","Invalid"),"")</f>
        <v>#N/A</v>
      </c>
      <c r="AD78" s="630" t="str">
        <f>IF(O78&lt;&gt;"",IF(INDEX(WeaponAccessoriesTable,MATCH(O78,WeaponAccessoriesList,0),9)&lt;&gt;"",INDEX(WeaponAccessoriesTable,MATCH(O78,WeaponAccessoriesList,0),9),""),"")</f>
        <v/>
      </c>
      <c r="AE78" s="630" t="str">
        <f>IF(AD78&lt;&gt;"",AD78&amp;IF(AE79&lt;&gt;"","; "&amp;AE79,""),AE79)</f>
        <v/>
      </c>
    </row>
    <row r="79" spans="2:31" s="630" customFormat="1">
      <c r="B79" s="575"/>
      <c r="C79" s="627" t="s">
        <v>104</v>
      </c>
      <c r="D79" s="528" t="str">
        <f>IF(D66&lt;&gt;"",INDEX(AvailabilityTable,MATCH(INDEX(WeaponTable,MATCH(D66,WeaponList,0),14),AvailList,0),2)&amp;IF(AND(INDEX(WeaponTable,MATCH(D66,WeaponList,0),14)&lt;&gt;"",INDEX(WeaponTable,MATCH(D66,WeaponList,0),15)&lt;&gt;""),", "&amp;INDEX(WeaponTable,MATCH(D66,WeaponList,0),15),INDEX(WeaponTable,MATCH(D66,WeaponList,0),15)),"")</f>
        <v/>
      </c>
      <c r="E79" s="584"/>
      <c r="F79" s="638"/>
      <c r="G79" s="638"/>
      <c r="H79" s="2263"/>
      <c r="I79" s="2263"/>
      <c r="J79" s="2263"/>
      <c r="K79" s="2263"/>
      <c r="L79" s="638"/>
      <c r="M79" s="629"/>
      <c r="N79" s="638" t="str">
        <f>IF(O79&lt;&gt;"",INDEX(WeaponAccessoriesTable,MATCH(O79,WeaponAccessoriesList,0),3)+IF(O79="Bayonet Ring",INDEX(WeaponTable,MATCH(D66,WeaponList,0),25),0),"")</f>
        <v/>
      </c>
      <c r="O79" s="1740"/>
      <c r="P79" s="1740"/>
      <c r="Q79" s="634" t="str">
        <f>IF(O79&lt;&gt;"",IF(COUNTIF(Y79:AB79,"invalid")&lt;1,"Valid","Invalid"),"")</f>
        <v/>
      </c>
      <c r="R79" s="576">
        <f>IF(O79&lt;&gt;"",INDEX(WeaponAccessoriesTable,MATCH(O79,WeaponAccessoriesList,0),4),0)</f>
        <v>0</v>
      </c>
      <c r="T79" s="26"/>
      <c r="U79" s="627" t="s">
        <v>117</v>
      </c>
      <c r="V79" s="633"/>
      <c r="W79" s="29"/>
      <c r="Y79" s="630" t="e">
        <f>IF(INDEX(WeaponAccessoriesTable,MATCH(O79,WeaponAccessoriesList,0),5)&lt;&gt;"",IF(D67=INDEX(WeaponAccessoriesTable,MATCH(O79,WeaponAccessoriesList,0),5),"Valid","Invalid"),"")</f>
        <v>#N/A</v>
      </c>
      <c r="Z79" s="630" t="e">
        <f>IF(INDEX(WeaponAccessoriesTable,MATCH(O79,WeaponAccessoriesList,0),6)&lt;&gt;"",IF(INDEX(WeaponTable,MATCH(D66,WeaponList,0),27)=INDEX(WeaponAccessoriesTable,MATCH(O79,WeaponAccessoriesList,0),6),"Valid","Invalid"),"")</f>
        <v>#N/A</v>
      </c>
      <c r="AA79" s="630" t="e">
        <f>IF(INDEX(WeaponAccessoriesTable,MATCH(O79,WeaponAccessoriesList,0),7)&lt;&gt;"",IF(ISERROR(FIND(INDEX(WeaponAccessoriesTable,MATCH(O79,WeaponAccessoriesList,0),7),D78,1)),"Invalid","Valid"),"")</f>
        <v>#N/A</v>
      </c>
      <c r="AB79" s="630" t="e">
        <f>IF(INDEX(WeaponAccessoriesTable,MATCH(O79,WeaponAccessoriesList,0),5)&lt;&gt;"",IF(INDEX(WeaponTable,MATCH(D66,WeaponList,0),5)&lt;&gt;INDEX(WeaponAccessoriesTable,MATCH(O79,WeaponAccessoriesList,0),5),"Valid","Invalid"),"")</f>
        <v>#N/A</v>
      </c>
      <c r="AD79" s="630" t="str">
        <f>IF(O79&lt;&gt;"",IF(INDEX(WeaponAccessoriesTable,MATCH(O79,WeaponAccessoriesList,0),9)&lt;&gt;"",INDEX(WeaponAccessoriesTable,MATCH(O79,WeaponAccessoriesList,0),9),""),"")</f>
        <v/>
      </c>
      <c r="AE79" s="630" t="str">
        <f>IF(AD79&lt;&gt;"",AD79&amp;IF(AE80&lt;&gt;"","; "&amp;AE80,""),AE80)</f>
        <v/>
      </c>
    </row>
    <row r="80" spans="2:31" s="630" customFormat="1">
      <c r="B80" s="575"/>
      <c r="C80" s="49"/>
      <c r="D80" s="75"/>
      <c r="E80" s="577"/>
      <c r="F80" s="75"/>
      <c r="G80" s="577"/>
      <c r="H80" s="2264"/>
      <c r="I80" s="2264"/>
      <c r="J80" s="2264"/>
      <c r="K80" s="2264"/>
      <c r="L80" s="577"/>
      <c r="M80" s="49" t="s">
        <v>4014</v>
      </c>
      <c r="N80" s="75"/>
      <c r="O80" s="1740"/>
      <c r="P80" s="1740"/>
      <c r="Q80" s="635" t="str">
        <f>IF(O80&lt;&gt;"",IF(COUNTIF(O76:P79,"Dual Gear")&gt;0,"Valid","Invalid"),"")</f>
        <v/>
      </c>
      <c r="R80" s="29"/>
      <c r="T80" s="26"/>
      <c r="U80" s="629"/>
      <c r="V80" s="629"/>
      <c r="W80" s="29"/>
      <c r="AD80" s="630" t="str">
        <f>IF(Q80="Valid",O80,"")</f>
        <v/>
      </c>
      <c r="AE80" s="630" t="str">
        <f>IF(AD80&lt;&gt;"",AD80&amp;IF(AE81&lt;&gt;"","; "&amp;AE81,""),AE81)</f>
        <v/>
      </c>
    </row>
    <row r="81" spans="2:31" s="630" customFormat="1">
      <c r="B81" s="575" t="str">
        <f>IF(D66&lt;&gt;"",IF(OR(Bioimplant=4,COUNTIF('Character Sheet 2'!CB171:FP225,D68)&gt;0),0,-5),"")</f>
        <v/>
      </c>
      <c r="C81" s="627" t="s">
        <v>3733</v>
      </c>
      <c r="D81" s="526" t="str">
        <f>IF(D66&lt;&gt;"",MAX(IF(LEFT(O69,17)="Improved Accuracy",1,0),IF(LEFT(O70,17)="Superior Accuracy",2,0))+IF(AND(D67="Ranged",COUNTIF(O76:P79,"Pulse Charger")&gt;0),-1,0)+IF(C83&lt;&gt;0,C83,0),"")</f>
        <v/>
      </c>
      <c r="E81" s="512" t="str">
        <f>IF(AND(D66&lt;&gt;"",D67="Ranged"),IF(AND(K82&lt;&gt;"",M82&lt;&gt;""),IF(M82="Folded","pistols","rifles"),INDEX(WeaponTable,MATCH(D66,WeaponList,0),30)),"")</f>
        <v/>
      </c>
      <c r="F81" s="636" t="str">
        <f>IF(AND(D67&lt;&gt;"Melee",D66&lt;&gt;""),"Point","")</f>
        <v/>
      </c>
      <c r="G81" s="2269" t="str">
        <f>IF(AND(D67&lt;&gt;"Melee",D66&lt;&gt;""),"Short","")</f>
        <v/>
      </c>
      <c r="H81" s="2269"/>
      <c r="I81" s="636" t="str">
        <f>IF(AND(D67&lt;&gt;"Melee",D66&lt;&gt;""),"Medium","")</f>
        <v/>
      </c>
      <c r="J81" s="636" t="str">
        <f>IF(AND(D67&lt;&gt;"Melee",D66&lt;&gt;""),"Long","")</f>
        <v/>
      </c>
      <c r="K81" s="636"/>
      <c r="L81" s="636"/>
      <c r="M81" s="629"/>
      <c r="N81" s="629"/>
      <c r="O81" s="627" t="s">
        <v>3768</v>
      </c>
      <c r="P81" s="562" t="str">
        <f>IF(D66&lt;&gt;"",INDEX(WeaponObjectTable,MATCH(INDEX(WeaponTable,MATCH(D66,WeaponList,0),6),WeaponObjectList,0),2)+IF(AND(D67="Melee",D68&lt;&gt;"Weapon Proficiency (lightsabers)",COUNTIF(O76:P79,"Neutronium Reinforcement")&gt;0),5,0)+IF(AND(D67="Melee",D68&lt;&gt;"Weapon Proficiency (lightsabers)",COUNTIF(O76:P79,"Durasteel Bonding")&gt;0),5,0)+IF(COUNTIF(O76:P79,"Silverplate")&gt;0,2,0),"")</f>
        <v/>
      </c>
      <c r="Q81" s="636" t="s">
        <v>88</v>
      </c>
      <c r="R81" s="29"/>
      <c r="T81" s="26"/>
      <c r="U81" s="629"/>
      <c r="V81" s="629"/>
      <c r="W81" s="29"/>
      <c r="AE81" s="383" t="s">
        <v>195</v>
      </c>
    </row>
    <row r="82" spans="2:31" s="630" customFormat="1">
      <c r="B82" s="575"/>
      <c r="C82" s="627" t="s">
        <v>3732</v>
      </c>
      <c r="D82" s="526" t="str">
        <f>IF(D66&lt;&gt;"",MAX(IF(LEFT(O69,15)="Improved Damage",2,0),IF(LEFT(O70,15)="Superior Damage",5,0))+IF(AND(D67="Ranged",COUNTIF(O76:P79,"Pulse Charger")&gt;0),B74,0)+IF(INDEX(WeaponTable,MATCH(D66,WeaponList,0),19)&lt;&gt;"",INDEX(WeaponTable,MATCH(D66,WeaponList,0),19),0)+IF(AND(D67="Ranged",COUNTIF(O76:P79,"Improved Energy Cell")&gt;0,LEFT(O69,15)="Improved Damage"),1,0)+IF(D83&lt;&gt;0,D83,0),"")</f>
        <v/>
      </c>
      <c r="E82" s="573" t="str">
        <f>IF(AND(D67&lt;&gt;"Melee",D66&lt;&gt;""),"Range","")</f>
        <v/>
      </c>
      <c r="F82" s="634" t="str">
        <f>IF(AND(D66&lt;&gt;"",D67="Ranged"),"0-"&amp;INDEX(RangeTable,MATCH(E81,RangeList,0),2),"")</f>
        <v/>
      </c>
      <c r="G82" s="2259" t="str">
        <f>IF(AND(D66&lt;&gt;"",D67="Ranged"),INDEX(RangeTable,MATCH(E81,RangeList,0),2)&amp;"-"&amp;INDEX(RangeTable,MATCH(E81,RangeList,0),3),"")</f>
        <v/>
      </c>
      <c r="H82" s="2259"/>
      <c r="I82" s="634" t="str">
        <f>IF(AND(D66&lt;&gt;"",D67="Ranged"),INDEX(RangeTable,MATCH(E81,RangeList,0),3)&amp;"-"&amp;INDEX(RangeTable,MATCH(E81,RangeList,0),4),"")</f>
        <v/>
      </c>
      <c r="J82" s="634" t="str">
        <f>IF(AND(D66&lt;&gt;"",D67="Ranged"),INDEX(RangeTable,MATCH(E81,RangeList,0),4)&amp;"-"&amp;INDEX(RangeTable,MATCH(E81,RangeList,0),5),"")</f>
        <v/>
      </c>
      <c r="K82" s="1805" t="str">
        <f>IF(D66&lt;&gt;"",IF(OR(COUNTIF(O76:P79,"Retractable Stock")&gt;0,INDEX(WeaponTable,MATCH(D66,WeaponList,0),24)=TRUE),"Stock",""),"")</f>
        <v/>
      </c>
      <c r="L82" s="1805"/>
      <c r="M82" s="562"/>
      <c r="N82" s="629"/>
      <c r="O82" s="627" t="s">
        <v>3769</v>
      </c>
      <c r="P82" s="562" t="str">
        <f>IF(D66&lt;&gt;"",INDEX(WeaponObjectTable,MATCH(INDEX(WeaponTable,MATCH(D66,WeaponList,0),6),WeaponObjectList,0),3)+IF(AND(D67="Melee",D68&lt;&gt;"Weapon Proficiency (lightsabers)",COUNTIF(O76:P79,"Neutronium Reinforcement")&gt;0),10,0),"")</f>
        <v/>
      </c>
      <c r="Q82" s="2261" t="str">
        <f>IF(D66&lt;&gt;"",SUM(R76:R79)&amp;"/"&amp;1+IF(O75&lt;&gt;"",1,0),"")</f>
        <v/>
      </c>
      <c r="R82" s="29"/>
      <c r="T82" s="26"/>
      <c r="U82" s="629"/>
      <c r="V82" s="629"/>
      <c r="W82" s="29"/>
    </row>
    <row r="83" spans="2:31" s="630" customFormat="1">
      <c r="B83" s="575"/>
      <c r="C83" s="534" t="e">
        <f ca="1">IF(AND(INDEX(WeaponTable,MATCH(D66,WeaponList,0),5),CharacterLevel&gt;=7,OR(COUNTIF(O76:P79,"Ilum Crystal")&gt;0,COUNTIF(O76:P79, "Adegan Kathracite Crystal")&gt;0,COUNTIF(O76:P79,"Standard Synthetic Crystal")&gt;0)),1,0)</f>
        <v>#N/A</v>
      </c>
      <c r="D83" s="534" t="e">
        <f ca="1">IF(AND(INDEX(WeaponTable,MATCH(D66,WeaponList,0),5),CharacterLevel&gt;=7,OR(COUNTIF(O76:P79,"Daminia Crystal")&gt;0,COUNTIF(O76:P79, "Nextor Crystal")&gt;0,COUNTIF(O76:P79,"Sapith Crystal")&gt;0,COUNTIF(O76:P79,"Sigil Crystal")&gt;0)),2,0)</f>
        <v>#N/A</v>
      </c>
      <c r="E83" s="49" t="str">
        <f>IF(AND(D67&lt;&gt;"Melee",D66&lt;&gt;""),"Modifier","")</f>
        <v/>
      </c>
      <c r="F83" s="635" t="str">
        <f>IF(AND(D67&lt;&gt;"Melee",D66&lt;&gt;""),IF(Feats!M323&gt;1,1,0),"")</f>
        <v/>
      </c>
      <c r="G83" s="2271" t="str">
        <f>IF(AND(D67&lt;&gt;"Melee",D66&lt;&gt;""),IF(OR(H76="Accurate",COUNTIF(O76:O79,"Rangefinder")&gt;0),0,-2),"")</f>
        <v/>
      </c>
      <c r="H83" s="2271"/>
      <c r="I83" s="635" t="str">
        <f>IF(AND(D67&lt;&gt;"Melee",D66&lt;&gt;""),-5,"")</f>
        <v/>
      </c>
      <c r="J83" s="635" t="str">
        <f>IF(AND(D67&lt;&gt;"Melee",D66&lt;&gt;""),IF(H76="Inaccurate","N/A",-10),"")</f>
        <v/>
      </c>
      <c r="K83" s="635"/>
      <c r="L83" s="635"/>
      <c r="M83" s="75"/>
      <c r="N83" s="75"/>
      <c r="O83" s="49" t="s">
        <v>3770</v>
      </c>
      <c r="P83" s="583" t="str">
        <f>IF(D66&lt;&gt;"",INDEX(WeaponObjectTable,MATCH(INDEX(WeaponTable,MATCH(D66,WeaponList,0),6),WeaponObjectList,0),4),"")</f>
        <v/>
      </c>
      <c r="Q83" s="2262"/>
      <c r="R83" s="29"/>
      <c r="T83" s="26"/>
      <c r="U83" s="75"/>
      <c r="V83" s="75"/>
      <c r="W83" s="29"/>
    </row>
    <row r="84" spans="2:31" s="630" customFormat="1" ht="15" thickBot="1">
      <c r="B84" s="670"/>
      <c r="C84" s="632"/>
      <c r="D84" s="632"/>
      <c r="E84" s="632"/>
      <c r="F84" s="632"/>
      <c r="G84" s="632"/>
      <c r="H84" s="632"/>
      <c r="I84" s="632"/>
      <c r="J84" s="632"/>
      <c r="K84" s="632"/>
      <c r="L84" s="632"/>
      <c r="M84" s="632"/>
      <c r="N84" s="632"/>
      <c r="O84" s="632"/>
      <c r="P84" s="632"/>
      <c r="Q84" s="632"/>
      <c r="R84" s="35"/>
      <c r="T84" s="26"/>
      <c r="U84" s="2259"/>
      <c r="V84" s="2259"/>
      <c r="W84" s="29"/>
    </row>
    <row r="451" spans="4:4">
      <c r="D451" s="579" t="s">
        <v>3802</v>
      </c>
    </row>
  </sheetData>
  <mergeCells count="123">
    <mergeCell ref="U84:V84"/>
    <mergeCell ref="D47:H47"/>
    <mergeCell ref="F50:G50"/>
    <mergeCell ref="O50:P50"/>
    <mergeCell ref="F51:G51"/>
    <mergeCell ref="H51:J51"/>
    <mergeCell ref="O51:P51"/>
    <mergeCell ref="G81:H81"/>
    <mergeCell ref="G82:H82"/>
    <mergeCell ref="K82:L82"/>
    <mergeCell ref="Q82:Q83"/>
    <mergeCell ref="G83:H83"/>
    <mergeCell ref="F77:G77"/>
    <mergeCell ref="H77:K80"/>
    <mergeCell ref="O77:P77"/>
    <mergeCell ref="O78:P78"/>
    <mergeCell ref="O79:P79"/>
    <mergeCell ref="O80:P80"/>
    <mergeCell ref="F74:G74"/>
    <mergeCell ref="O74:P74"/>
    <mergeCell ref="F75:G75"/>
    <mergeCell ref="O75:P75"/>
    <mergeCell ref="F76:G76"/>
    <mergeCell ref="O76:P76"/>
    <mergeCell ref="F71:G71"/>
    <mergeCell ref="O71:P71"/>
    <mergeCell ref="F72:G72"/>
    <mergeCell ref="O72:P72"/>
    <mergeCell ref="F73:G73"/>
    <mergeCell ref="O73:P73"/>
    <mergeCell ref="U65:V65"/>
    <mergeCell ref="D66:H66"/>
    <mergeCell ref="F69:G69"/>
    <mergeCell ref="O69:P69"/>
    <mergeCell ref="F70:G70"/>
    <mergeCell ref="H70:J70"/>
    <mergeCell ref="O70:P70"/>
    <mergeCell ref="G62:H62"/>
    <mergeCell ref="G63:H63"/>
    <mergeCell ref="K63:L63"/>
    <mergeCell ref="Q63:Q64"/>
    <mergeCell ref="G64:H64"/>
    <mergeCell ref="F58:G58"/>
    <mergeCell ref="H58:K61"/>
    <mergeCell ref="O58:P58"/>
    <mergeCell ref="O59:P59"/>
    <mergeCell ref="O60:P60"/>
    <mergeCell ref="O61:P61"/>
    <mergeCell ref="F55:G55"/>
    <mergeCell ref="O55:P55"/>
    <mergeCell ref="F56:G56"/>
    <mergeCell ref="O56:P56"/>
    <mergeCell ref="F57:G57"/>
    <mergeCell ref="O57:P57"/>
    <mergeCell ref="F52:G52"/>
    <mergeCell ref="O52:P52"/>
    <mergeCell ref="F53:G53"/>
    <mergeCell ref="O53:P53"/>
    <mergeCell ref="F54:G54"/>
    <mergeCell ref="O54:P54"/>
    <mergeCell ref="U46:V46"/>
    <mergeCell ref="G43:H43"/>
    <mergeCell ref="G44:H44"/>
    <mergeCell ref="K44:L44"/>
    <mergeCell ref="Q44:Q45"/>
    <mergeCell ref="G45:H45"/>
    <mergeCell ref="F39:G39"/>
    <mergeCell ref="H39:K42"/>
    <mergeCell ref="O39:P39"/>
    <mergeCell ref="O40:P40"/>
    <mergeCell ref="O41:P41"/>
    <mergeCell ref="O42:P42"/>
    <mergeCell ref="F36:G36"/>
    <mergeCell ref="O36:P36"/>
    <mergeCell ref="F37:G37"/>
    <mergeCell ref="O37:P37"/>
    <mergeCell ref="F38:G38"/>
    <mergeCell ref="O38:P38"/>
    <mergeCell ref="F33:G33"/>
    <mergeCell ref="O33:P33"/>
    <mergeCell ref="F34:G34"/>
    <mergeCell ref="O34:P34"/>
    <mergeCell ref="F35:G35"/>
    <mergeCell ref="O35:P35"/>
    <mergeCell ref="D28:H28"/>
    <mergeCell ref="F31:G31"/>
    <mergeCell ref="O31:P31"/>
    <mergeCell ref="F32:G32"/>
    <mergeCell ref="H32:J32"/>
    <mergeCell ref="O32:P32"/>
    <mergeCell ref="H13:J13"/>
    <mergeCell ref="F12:G12"/>
    <mergeCell ref="F13:G13"/>
    <mergeCell ref="F20:G20"/>
    <mergeCell ref="F14:G14"/>
    <mergeCell ref="F15:G15"/>
    <mergeCell ref="G24:H24"/>
    <mergeCell ref="G25:H25"/>
    <mergeCell ref="G26:H26"/>
    <mergeCell ref="O20:P20"/>
    <mergeCell ref="O23:P23"/>
    <mergeCell ref="K25:L25"/>
    <mergeCell ref="P3:Q3"/>
    <mergeCell ref="U8:V8"/>
    <mergeCell ref="U7:V7"/>
    <mergeCell ref="Q25:Q26"/>
    <mergeCell ref="U27:V27"/>
    <mergeCell ref="H20:K23"/>
    <mergeCell ref="D9:H9"/>
    <mergeCell ref="O12:P12"/>
    <mergeCell ref="O13:P13"/>
    <mergeCell ref="O19:P19"/>
    <mergeCell ref="O21:P21"/>
    <mergeCell ref="O22:P22"/>
    <mergeCell ref="O14:P14"/>
    <mergeCell ref="O15:P15"/>
    <mergeCell ref="O16:P16"/>
    <mergeCell ref="O17:P17"/>
    <mergeCell ref="O18:P18"/>
    <mergeCell ref="F16:G16"/>
    <mergeCell ref="F17:G17"/>
    <mergeCell ref="F18:G18"/>
    <mergeCell ref="F19:G19"/>
  </mergeCells>
  <dataValidations count="12">
    <dataValidation type="list" allowBlank="1" showInputMessage="1" showErrorMessage="1" sqref="D9:E9 D66:E66 D47:E47 D28:E28" xr:uid="{00000000-0002-0000-1C00-000000000000}">
      <formula1>WeaponList</formula1>
    </dataValidation>
    <dataValidation type="list" allowBlank="1" showInputMessage="1" showErrorMessage="1" sqref="O12:P12 O69:P69 O50:P50 O31:P31" xr:uid="{00000000-0002-0000-1C00-000001000000}">
      <formula1>TechSpecialistWeaponsList</formula1>
    </dataValidation>
    <dataValidation type="list" allowBlank="1" showInputMessage="1" showErrorMessage="1" sqref="O13:P13 O70:P70 O51:P51 O32:P32" xr:uid="{00000000-0002-0000-1C00-000002000000}">
      <formula1>SuperiorTechWeaponsList</formula1>
    </dataValidation>
    <dataValidation type="list" allowBlank="1" showInputMessage="1" showErrorMessage="1" sqref="O14:P15 O71:P72 O52:P53 O33:P34" xr:uid="{00000000-0002-0000-1C00-000003000000}">
      <formula1>WeaponTemplateList</formula1>
    </dataValidation>
    <dataValidation type="list" allowBlank="1" showInputMessage="1" showErrorMessage="1" sqref="O16:P17 O73:P74 O54:P55 O35:P36" xr:uid="{00000000-0002-0000-1C00-000004000000}">
      <formula1>ForceAdeptList</formula1>
    </dataValidation>
    <dataValidation type="list" allowBlank="1" showInputMessage="1" showErrorMessage="1" sqref="O18:P18 O75:P75 O56:P56 O37:P37" xr:uid="{00000000-0002-0000-1C00-000005000000}">
      <formula1>WeaponStrippingList</formula1>
    </dataValidation>
    <dataValidation type="list" allowBlank="1" showInputMessage="1" showErrorMessage="1" sqref="O38:P42 O76:P80 O57:P61 O19:P22" xr:uid="{00000000-0002-0000-1C00-000006000000}">
      <formula1>WeaponAccessoriesList</formula1>
    </dataValidation>
    <dataValidation type="list" allowBlank="1" showInputMessage="1" showErrorMessage="1" sqref="M25 M82 M63 M44" xr:uid="{00000000-0002-0000-1C00-000007000000}">
      <formula1>"Folded,Extended"</formula1>
    </dataValidation>
    <dataValidation type="list" allowBlank="1" showInputMessage="1" showErrorMessage="1" sqref="H32 H51" xr:uid="{00000000-0002-0000-1C00-000008000000}">
      <formula1>$Y$10:$Y$11</formula1>
    </dataValidation>
    <dataValidation type="list" allowBlank="1" showInputMessage="1" showErrorMessage="1" sqref="H70:J70" xr:uid="{00000000-0002-0000-1C00-000009000000}">
      <formula1>$Y$67:$Y$68</formula1>
    </dataValidation>
    <dataValidation type="list" allowBlank="1" showInputMessage="1" showErrorMessage="1" sqref="H13:J13" xr:uid="{00000000-0002-0000-1C00-00000A000000}">
      <formula1>$Y$9:$Y$11</formula1>
    </dataValidation>
    <dataValidation type="list" allowBlank="1" showInputMessage="1" showErrorMessage="1" sqref="O23:P23" xr:uid="{00000000-0002-0000-1C00-00000B000000}">
      <formula1>EquipmentList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38" r:id="rId4" name="Button 26">
              <controlPr defaultSize="0" print="0" autoFill="0" autoPict="0" macro="[0]!ClearWeapons">
                <anchor moveWithCells="1" sizeWithCells="1">
                  <from>
                    <xdr:col>4</xdr:col>
                    <xdr:colOff>88900</xdr:colOff>
                    <xdr:row>2</xdr:row>
                    <xdr:rowOff>31750</xdr:rowOff>
                  </from>
                  <to>
                    <xdr:col>5</xdr:col>
                    <xdr:colOff>317500</xdr:colOff>
                    <xdr:row>3</xdr:row>
                    <xdr:rowOff>12700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I82"/>
  <sheetViews>
    <sheetView topLeftCell="A11" workbookViewId="0">
      <selection activeCell="G78" sqref="G78"/>
    </sheetView>
  </sheetViews>
  <sheetFormatPr defaultColWidth="9.1796875" defaultRowHeight="14.5"/>
  <cols>
    <col min="1" max="1" width="18.7265625" style="1393" customWidth="1"/>
    <col min="2" max="2" width="25.81640625" style="1393" customWidth="1"/>
    <col min="3" max="4" width="13" style="1393" customWidth="1"/>
    <col min="5" max="5" width="51.7265625" style="1393" customWidth="1"/>
    <col min="6" max="6" width="9.1796875" style="1393"/>
    <col min="7" max="7" width="20.7265625" style="1393" customWidth="1"/>
    <col min="8" max="8" width="80.7265625" style="1393" customWidth="1"/>
    <col min="9" max="9" width="77.7265625" style="1393" customWidth="1"/>
    <col min="10" max="16384" width="9.1796875" style="1393"/>
  </cols>
  <sheetData>
    <row r="1" spans="1:9" s="1395" customFormat="1">
      <c r="A1" s="1395" t="s">
        <v>7088</v>
      </c>
      <c r="B1" s="1395" t="s">
        <v>7091</v>
      </c>
      <c r="C1" s="1395" t="s">
        <v>7089</v>
      </c>
      <c r="D1" s="1395" t="s">
        <v>7122</v>
      </c>
      <c r="E1" s="1395" t="s">
        <v>7090</v>
      </c>
      <c r="F1" s="1395" t="s">
        <v>8</v>
      </c>
    </row>
    <row r="2" spans="1:9" ht="43.5">
      <c r="A2" s="1393" t="s">
        <v>415</v>
      </c>
      <c r="B2" s="1393" t="s">
        <v>7098</v>
      </c>
      <c r="C2" s="1393" t="s">
        <v>58</v>
      </c>
      <c r="D2" s="1393" t="s">
        <v>58</v>
      </c>
      <c r="E2" s="1380" t="s">
        <v>7093</v>
      </c>
      <c r="F2" s="1393" t="s">
        <v>711</v>
      </c>
      <c r="G2" s="1393" t="str">
        <f>"• "&amp;A2&amp;" ("&amp;B2&amp;") • "&amp;C2&amp;"
"&amp;E2</f>
        <v>• Serenity (full-action; at-will) • Class
Enter medative state, lose Dex bonus to Reflex; emerge as swift and treat next attack roll or Use the Force check in following round as natural 20</v>
      </c>
      <c r="H2" s="1380" t="str">
        <f t="shared" ref="H2:H33" ca="1" si="0">IF(NOT(ISERROR(FIND(A2,INDEX(SpecialsTable,MATCH(D2,SpecialsList,0),2),1))),G2,"")</f>
        <v/>
      </c>
      <c r="I2" s="1380" t="str">
        <f ca="1">IF(H2&lt;&gt;"",H2&amp;"
"&amp;I3,I3)</f>
        <v/>
      </c>
    </row>
    <row r="3" spans="1:9">
      <c r="A3" s="1393" t="s">
        <v>491</v>
      </c>
      <c r="B3" s="1393" t="s">
        <v>7099</v>
      </c>
      <c r="C3" s="1393" t="s">
        <v>58</v>
      </c>
      <c r="D3" s="1393" t="s">
        <v>58</v>
      </c>
      <c r="E3" s="1393" t="str">
        <f ca="1">"+"&amp;Persuasion&amp;" vs. Will; if target spends Force point on next turn take 1 DSP or move -1 step down condition track; 2 DSP or -2 steps down the condition track if they spend Destiny point"</f>
        <v>+0 vs. Will; if target spends Force point on next turn take 1 DSP or move -1 step down condition track; 2 DSP or -2 steps down the condition track if they spend Destiny point</v>
      </c>
      <c r="F3" s="1393" t="s">
        <v>733</v>
      </c>
      <c r="G3" s="1393" t="str">
        <f t="shared" ref="G3:G23" ca="1" si="1">"• "&amp;A3&amp;" ("&amp;B3&amp;") • "&amp;C3&amp;"
"&amp;E3</f>
        <v>• Temptation (standard; at-will) • Class
+0 vs. Will; if target spends Force point on next turn take 1 DSP or move -1 step down condition track; 2 DSP or -2 steps down the condition track if they spend Destiny point</v>
      </c>
      <c r="H3" s="1380" t="str">
        <f t="shared" ca="1" si="0"/>
        <v/>
      </c>
      <c r="I3" s="1393" t="str">
        <f t="shared" ref="I3:I23" ca="1" si="2">IF(H3&lt;&gt;"",H3&amp;"
"&amp;I4,I4)</f>
        <v/>
      </c>
    </row>
    <row r="4" spans="1:9">
      <c r="A4" s="1393" t="s">
        <v>158</v>
      </c>
      <c r="B4" s="1393" t="s">
        <v>3771</v>
      </c>
      <c r="C4" s="1393" t="s">
        <v>58</v>
      </c>
      <c r="D4" s="1393" t="s">
        <v>58</v>
      </c>
      <c r="E4" s="1393" t="str">
        <f>"Gain +1 bonust to Reflex for each adjacent ally (max +"&amp;INT((Data!CT16+Data!CT33)/2)&amp;")"</f>
        <v>Gain +1 bonust to Reflex for each adjacent ally (max +0)</v>
      </c>
      <c r="F4" s="1393" t="s">
        <v>7094</v>
      </c>
      <c r="G4" s="1393" t="str">
        <f t="shared" si="1"/>
        <v>• Command Cover (special) • Class
Gain +1 bonust to Reflex for each adjacent ally (max +0)</v>
      </c>
      <c r="H4" s="1380" t="str">
        <f t="shared" ca="1" si="0"/>
        <v/>
      </c>
      <c r="I4" s="1393" t="str">
        <f t="shared" ca="1" si="2"/>
        <v/>
      </c>
    </row>
    <row r="5" spans="1:9">
      <c r="A5" s="1393" t="s">
        <v>454</v>
      </c>
      <c r="B5" s="1393" t="s">
        <v>7095</v>
      </c>
      <c r="C5" s="1393" t="s">
        <v>58</v>
      </c>
      <c r="D5" s="1393" t="s">
        <v>58</v>
      </c>
      <c r="E5" s="1393" t="str">
        <f>"Grant "&amp;INT(Data!CT33/2)&amp;IF(INT(Data!CT33/2)&gt;=2," allies"," ally")&amp;" within 10 squares benefit of chosen Talent until end of encounter"</f>
        <v>Grant 0 ally within 10 squares benefit of chosen Talent until end of encounter</v>
      </c>
      <c r="F5" s="1393" t="s">
        <v>640</v>
      </c>
      <c r="G5" s="1393" t="str">
        <f t="shared" si="1"/>
        <v>• Share Talent (standard; daily) • Class
Grant 0 ally within 10 squares benefit of chosen Talent until end of encounter</v>
      </c>
      <c r="H5" s="1380" t="str">
        <f t="shared" ca="1" si="0"/>
        <v/>
      </c>
      <c r="I5" s="1393" t="str">
        <f t="shared" ca="1" si="2"/>
        <v/>
      </c>
    </row>
    <row r="6" spans="1:9" ht="43.5">
      <c r="A6" s="1393" t="s">
        <v>236</v>
      </c>
      <c r="B6" s="1393" t="s">
        <v>7096</v>
      </c>
      <c r="C6" s="1393" t="s">
        <v>58</v>
      </c>
      <c r="D6" s="1393" t="s">
        <v>58</v>
      </c>
      <c r="E6" s="1380" t="s">
        <v>7097</v>
      </c>
      <c r="F6" s="1393" t="s">
        <v>520</v>
      </c>
      <c r="G6" s="1393" t="str">
        <f t="shared" si="1"/>
        <v>• Delay Damage (reaction; encounter) • Class
Choose to delay effect of attack, ability, or effect used against you; damage or effect does not take hold until the end of next turn</v>
      </c>
      <c r="H6" s="1380" t="str">
        <f t="shared" ca="1" si="0"/>
        <v/>
      </c>
      <c r="I6" s="1393" t="str">
        <f t="shared" ca="1" si="2"/>
        <v/>
      </c>
    </row>
    <row r="7" spans="1:9">
      <c r="A7" s="1393" t="s">
        <v>281</v>
      </c>
      <c r="B7" s="1393" t="s">
        <v>7098</v>
      </c>
      <c r="C7" s="1393" t="s">
        <v>58</v>
      </c>
      <c r="D7" s="1393" t="s">
        <v>58</v>
      </c>
      <c r="E7" s="1393" t="str">
        <f>"+"&amp;INT(Data!CT13/2)&amp;" to Reflex and attack rolls against studied opponent until the end of the encounter"</f>
        <v>+0 to Reflex and attack rolls against studied opponent until the end of the encounter</v>
      </c>
      <c r="F7" s="1393" t="s">
        <v>450</v>
      </c>
      <c r="G7" s="1393" t="str">
        <f t="shared" si="1"/>
        <v>• Familiar Foe (full-action; at-will) • Class
+0 to Reflex and attack rolls against studied opponent until the end of the encounter</v>
      </c>
      <c r="H7" s="1380" t="str">
        <f t="shared" ca="1" si="0"/>
        <v/>
      </c>
      <c r="I7" s="1393" t="str">
        <f t="shared" ca="1" si="2"/>
        <v/>
      </c>
    </row>
    <row r="8" spans="1:9">
      <c r="A8" s="1393" t="s">
        <v>557</v>
      </c>
      <c r="B8" s="1393" t="s">
        <v>3771</v>
      </c>
      <c r="C8" s="1393" t="s">
        <v>58</v>
      </c>
      <c r="D8" s="1393" t="s">
        <v>58</v>
      </c>
      <c r="E8" s="1393" t="str">
        <f>"+"&amp;INT(Data!CT11/2)&amp;" Dodge bonus to Reflex of vehicle piloted"</f>
        <v>+0 Dodge bonus to Reflex of vehicle piloted</v>
      </c>
      <c r="F8" s="1393" t="s">
        <v>410</v>
      </c>
      <c r="G8" s="1393" t="str">
        <f t="shared" si="1"/>
        <v>• Vehicle Dodge (special) • Class
+0 Dodge bonus to Reflex of vehicle piloted</v>
      </c>
      <c r="H8" s="1380" t="str">
        <f t="shared" ca="1" si="0"/>
        <v/>
      </c>
      <c r="I8" s="1393" t="str">
        <f t="shared" ca="1" si="2"/>
        <v/>
      </c>
    </row>
    <row r="9" spans="1:9">
      <c r="A9" s="1393" t="s">
        <v>5790</v>
      </c>
      <c r="B9" s="1393" t="s">
        <v>7114</v>
      </c>
      <c r="C9" s="1393" t="s">
        <v>7100</v>
      </c>
      <c r="D9" s="1393" t="s">
        <v>4715</v>
      </c>
      <c r="E9" s="1393" t="s">
        <v>7117</v>
      </c>
      <c r="F9" s="1393" t="s">
        <v>5911</v>
      </c>
      <c r="G9" s="1393" t="str">
        <f t="shared" si="1"/>
        <v>• Corrupted Power (free action; FP/DP; non [light side] Force power) • Force, Secret
Spend Force Point to give power the [dark side] descriptor and opponents with lower Dark Side Score take -2 penalty to defense scores against power; spend Destiny point to increase the penalty to opponents' defense scores to - 5</v>
      </c>
      <c r="H9" s="1380" t="str">
        <f t="shared" si="0"/>
        <v/>
      </c>
      <c r="I9" s="1393" t="str">
        <f t="shared" si="2"/>
        <v/>
      </c>
    </row>
    <row r="10" spans="1:9" ht="43.5">
      <c r="A10" s="1393" t="s">
        <v>5791</v>
      </c>
      <c r="B10" s="1393" t="s">
        <v>7110</v>
      </c>
      <c r="C10" s="1393" t="s">
        <v>7100</v>
      </c>
      <c r="D10" s="1393" t="s">
        <v>4715</v>
      </c>
      <c r="E10" s="1380" t="s">
        <v>7111</v>
      </c>
      <c r="F10" s="1393" t="s">
        <v>5911</v>
      </c>
      <c r="G10" s="1393" t="str">
        <f t="shared" si="1"/>
        <v>• Debilitating Power (free action; FP/DP; successfully damage target with Force power) • Force, Secret
Spend Force Point to move the target -1 extra step along the condition track if Use the Force equals or exceeds Damage Threshold; spend Destiny Point to move -3 extra steps</v>
      </c>
      <c r="H10" s="1380" t="str">
        <f t="shared" si="0"/>
        <v/>
      </c>
      <c r="I10" s="1393" t="str">
        <f t="shared" si="2"/>
        <v/>
      </c>
    </row>
    <row r="11" spans="1:9">
      <c r="A11" s="1393" t="s">
        <v>5792</v>
      </c>
      <c r="B11" s="1393" t="s">
        <v>7106</v>
      </c>
      <c r="C11" s="1393" t="s">
        <v>7100</v>
      </c>
      <c r="D11" s="1393" t="s">
        <v>4715</v>
      </c>
      <c r="E11" s="1393" t="s">
        <v>7105</v>
      </c>
      <c r="F11" s="1393">
        <v>103</v>
      </c>
      <c r="G11" s="1393" t="str">
        <f t="shared" si="1"/>
        <v>• Devastating Power (free action; FP/DP) • Force, Secret
Spend a Force Point to increase power's damage dice by 50%; spend Destiny Point to double damage dice</v>
      </c>
      <c r="H11" s="1380" t="str">
        <f t="shared" si="0"/>
        <v/>
      </c>
      <c r="I11" s="1393" t="str">
        <f t="shared" si="2"/>
        <v/>
      </c>
    </row>
    <row r="12" spans="1:9">
      <c r="A12" s="1393" t="s">
        <v>5793</v>
      </c>
      <c r="B12" s="1393" t="s">
        <v>7106</v>
      </c>
      <c r="C12" s="1393" t="s">
        <v>7100</v>
      </c>
      <c r="D12" s="1393" t="s">
        <v>4715</v>
      </c>
      <c r="E12" s="1393" t="s">
        <v>7107</v>
      </c>
      <c r="F12" s="1393">
        <v>103</v>
      </c>
      <c r="G12" s="1393" t="str">
        <f t="shared" si="1"/>
        <v>• Distant Power (free action; FP/DP) • Force, Secret
Spend a Force Point to multiply range of Force power by 10; spend Destiny Point to increase the range to anywhere in same star system</v>
      </c>
      <c r="H12" s="1380" t="str">
        <f t="shared" si="0"/>
        <v/>
      </c>
      <c r="I12" s="1393" t="str">
        <f t="shared" si="2"/>
        <v/>
      </c>
    </row>
    <row r="13" spans="1:9" ht="43.5">
      <c r="A13" s="1393" t="s">
        <v>5794</v>
      </c>
      <c r="B13" s="1393" t="s">
        <v>7112</v>
      </c>
      <c r="C13" s="1393" t="s">
        <v>7100</v>
      </c>
      <c r="D13" s="1393" t="s">
        <v>4715</v>
      </c>
      <c r="E13" s="1380" t="s">
        <v>7113</v>
      </c>
      <c r="F13" s="1393" t="s">
        <v>5911</v>
      </c>
      <c r="G13" s="1393" t="str">
        <f t="shared" si="1"/>
        <v>• Enlarged Power (free action; FP/DP; area effect Force power) • Force, Secret
Spend a  Force Point to  double distance of effect; spend Destiny Point to multiply the distance the effect extends by 5</v>
      </c>
      <c r="H13" s="1380" t="str">
        <f t="shared" si="0"/>
        <v/>
      </c>
      <c r="I13" s="1393" t="str">
        <f t="shared" si="2"/>
        <v/>
      </c>
    </row>
    <row r="14" spans="1:9">
      <c r="A14" s="1393" t="s">
        <v>5795</v>
      </c>
      <c r="B14" s="1393" t="s">
        <v>7106</v>
      </c>
      <c r="C14" s="1393" t="s">
        <v>7100</v>
      </c>
      <c r="D14" s="1393" t="s">
        <v>4715</v>
      </c>
      <c r="E14" s="1393" t="str">
        <f>"Spend Force Point to sustain a Force power that allows concentration as swift action for "&amp;ChaMod&amp;" rounds"</f>
        <v>Spend Force Point to sustain a Force power that allows concentration as swift action for  rounds</v>
      </c>
      <c r="F14" s="1393" t="s">
        <v>5934</v>
      </c>
      <c r="G14" s="1393" t="str">
        <f t="shared" si="1"/>
        <v>• Extend Power (free action; FP/DP) • Force, Secret
Spend Force Point to sustain a Force power that allows concentration as swift action for  rounds</v>
      </c>
      <c r="H14" s="1380" t="str">
        <f t="shared" si="0"/>
        <v/>
      </c>
      <c r="I14" s="1393" t="str">
        <f t="shared" si="2"/>
        <v/>
      </c>
    </row>
    <row r="15" spans="1:9" ht="58">
      <c r="A15" s="1393" t="s">
        <v>5796</v>
      </c>
      <c r="B15" s="1393" t="str">
        <f>"free action; FP/DP; when "&amp;CharacterName&amp;" activates Force power"</f>
        <v>free action; FP/DP; when  activates Force power</v>
      </c>
      <c r="C15" s="1393" t="s">
        <v>7100</v>
      </c>
      <c r="D15" s="1393" t="s">
        <v>4715</v>
      </c>
      <c r="E15" s="1380" t="s">
        <v>7120</v>
      </c>
      <c r="F15" s="1393" t="s">
        <v>5938</v>
      </c>
      <c r="G15" s="1393" t="str">
        <f t="shared" si="1"/>
        <v>• Holocron Loremaster (free action; FP/DP; when  activates Force power) • Force, Secret
Spend a Force Point to add one use of any Force power known by any ally within 12 squares to Force suite until end of next turn; spend a Destiny Point to have power lost at end of encounter; create holocron gatekeeper</v>
      </c>
      <c r="H15" s="1380" t="str">
        <f t="shared" si="0"/>
        <v/>
      </c>
      <c r="I15" s="1393" t="str">
        <f t="shared" si="2"/>
        <v/>
      </c>
    </row>
    <row r="16" spans="1:9">
      <c r="A16" s="1393" t="s">
        <v>5797</v>
      </c>
      <c r="B16" s="1393" t="s">
        <v>7102</v>
      </c>
      <c r="C16" s="1393" t="s">
        <v>7100</v>
      </c>
      <c r="D16" s="1393" t="s">
        <v>4715</v>
      </c>
      <c r="E16" s="1393" t="s">
        <v>7101</v>
      </c>
      <c r="F16" s="1393" t="s">
        <v>5934</v>
      </c>
      <c r="G16" s="1393" t="str">
        <f t="shared" si="1"/>
        <v>• Linked Power (full-action; FP) • Force, Secret
Spend a Force Point to link a Force power to the power you use in the current round so that it goes off in the following round as free action</v>
      </c>
      <c r="H16" s="1380" t="str">
        <f t="shared" si="0"/>
        <v/>
      </c>
      <c r="I16" s="1393" t="str">
        <f t="shared" si="2"/>
        <v/>
      </c>
    </row>
    <row r="17" spans="1:9" ht="58">
      <c r="A17" s="1393" t="s">
        <v>5798</v>
      </c>
      <c r="B17" s="1393" t="str">
        <f>"free action; FP/DP; when "&amp;CharacterName&amp;" activates Force power"</f>
        <v>free action; FP/DP; when  activates Force power</v>
      </c>
      <c r="C17" s="1393" t="s">
        <v>7100</v>
      </c>
      <c r="D17" s="1393" t="s">
        <v>4715</v>
      </c>
      <c r="E17" s="1380" t="s">
        <v>7121</v>
      </c>
      <c r="F17" s="1393" t="s">
        <v>5938</v>
      </c>
      <c r="G17" s="1393" t="str">
        <f t="shared" si="1"/>
        <v>• Mentor (free action; FP/DP; when  activates Force power) • Force, Secret
Spend a Force Point to add one use of any Force power known to any ally within 12 squares until end of next turn; spend a Destiny Point to have power lost at end of encounter</v>
      </c>
      <c r="H17" s="1380" t="str">
        <f t="shared" si="0"/>
        <v/>
      </c>
      <c r="I17" s="1393" t="str">
        <f t="shared" si="2"/>
        <v/>
      </c>
    </row>
    <row r="18" spans="1:9">
      <c r="A18" s="1393" t="s">
        <v>5799</v>
      </c>
      <c r="B18" s="1393" t="s">
        <v>7104</v>
      </c>
      <c r="C18" s="1393" t="s">
        <v>7100</v>
      </c>
      <c r="D18" s="1393" t="s">
        <v>4715</v>
      </c>
      <c r="E18" s="1393" t="str">
        <f>"Spend a Force Point to affect one additional target; spend Destiny Point to affect "&amp;INT(CharacterLevel/4)&amp;" target"&amp;IF(INT(CharacterLevel/4)&gt;1,"s","")</f>
        <v>Spend a Force Point to affect one additional target; spend Destiny Point to affect 0 target</v>
      </c>
      <c r="F18" s="1393">
        <v>103</v>
      </c>
      <c r="G18" s="1393" t="str">
        <f t="shared" si="1"/>
        <v>• Multitarget Power (free action; FP) • Force, Secret
Spend a Force Point to affect one additional target; spend Destiny Point to affect 0 target</v>
      </c>
      <c r="H18" s="1380" t="str">
        <f t="shared" si="0"/>
        <v/>
      </c>
      <c r="I18" s="1393" t="str">
        <f t="shared" si="2"/>
        <v/>
      </c>
    </row>
    <row r="19" spans="1:9">
      <c r="A19" s="1393" t="s">
        <v>5800</v>
      </c>
      <c r="B19" s="1393" t="s">
        <v>7115</v>
      </c>
      <c r="C19" s="1393" t="s">
        <v>7100</v>
      </c>
      <c r="D19" s="1393" t="s">
        <v>4715</v>
      </c>
      <c r="E19" s="1393" t="s">
        <v>7116</v>
      </c>
      <c r="F19" s="1393" t="s">
        <v>5911</v>
      </c>
      <c r="G19" s="1393" t="str">
        <f t="shared" si="1"/>
        <v>• Pure Power (free action; FP/DP; non [dark side] Force power) • Force, Secret
Spend Force Point to give power the [light side] descriptor and opponents with Dark Side Score take -2 penalty to defense scores against power; spend Destiny point to increase the penalty to opponents' defense scores to - 5</v>
      </c>
      <c r="H19" s="1380" t="str">
        <f t="shared" si="0"/>
        <v/>
      </c>
      <c r="I19" s="1393" t="str">
        <f t="shared" si="2"/>
        <v/>
      </c>
    </row>
    <row r="20" spans="1:9">
      <c r="A20" s="1393" t="s">
        <v>5801</v>
      </c>
      <c r="B20" s="1393" t="s">
        <v>7106</v>
      </c>
      <c r="C20" s="1393" t="s">
        <v>7100</v>
      </c>
      <c r="D20" s="1393" t="s">
        <v>4715</v>
      </c>
      <c r="E20" s="1393" t="s">
        <v>7108</v>
      </c>
      <c r="F20" s="1393">
        <v>103</v>
      </c>
      <c r="G20" s="1393" t="str">
        <f t="shared" si="1"/>
        <v>• Quicken Power (free action; FP/DP) • Force, Secret
Spend Force Point to activate Force power as swift; spend Destiny Point to activate as reaction</v>
      </c>
      <c r="H20" s="1380" t="str">
        <f t="shared" si="0"/>
        <v/>
      </c>
      <c r="I20" s="1393" t="str">
        <f t="shared" si="2"/>
        <v/>
      </c>
    </row>
    <row r="21" spans="1:9">
      <c r="A21" s="1393" t="s">
        <v>5802</v>
      </c>
      <c r="B21" s="1393" t="s">
        <v>7119</v>
      </c>
      <c r="C21" s="1393" t="s">
        <v>7100</v>
      </c>
      <c r="D21" s="1393" t="s">
        <v>4715</v>
      </c>
      <c r="E21" s="1393" t="s">
        <v>7118</v>
      </c>
      <c r="F21" s="1393" t="s">
        <v>5911</v>
      </c>
      <c r="G21" s="1393" t="str">
        <f t="shared" si="1"/>
        <v>• Remote Power (free action; FP/DP; Force power with cone, line, or radius effect) • Force, Secret
Spend a Force Point to have power originate from a square within 6 squares; spend Destiny Point to have power originate from any square with in line of sight</v>
      </c>
      <c r="H21" s="1380" t="str">
        <f t="shared" si="0"/>
        <v/>
      </c>
      <c r="I21" s="1393" t="str">
        <f t="shared" si="2"/>
        <v/>
      </c>
    </row>
    <row r="22" spans="1:9">
      <c r="A22" s="1393" t="s">
        <v>5803</v>
      </c>
      <c r="B22" s="1393" t="s">
        <v>7106</v>
      </c>
      <c r="C22" s="1393" t="s">
        <v>7100</v>
      </c>
      <c r="D22" s="1393" t="s">
        <v>4715</v>
      </c>
      <c r="E22" s="1393" t="s">
        <v>7109</v>
      </c>
      <c r="F22" s="1393">
        <v>103</v>
      </c>
      <c r="G22" s="1393" t="str">
        <f t="shared" si="1"/>
        <v>• Shaped Power (free action; FP/DP) • Force, Secret
Spend Force Point to change cone to affect a line 1 square wide and (5 × cone's length) squares long; spend a Destiny Point to instead affect one or more targets of choice within a number of squares equal to cone's length</v>
      </c>
      <c r="H22" s="1380" t="str">
        <f t="shared" si="0"/>
        <v/>
      </c>
      <c r="I22" s="1393" t="str">
        <f t="shared" si="2"/>
        <v/>
      </c>
    </row>
    <row r="23" spans="1:9">
      <c r="A23" s="1393" t="s">
        <v>5804</v>
      </c>
      <c r="B23" s="1393" t="s">
        <v>3771</v>
      </c>
      <c r="C23" s="1393" t="s">
        <v>7100</v>
      </c>
      <c r="D23" s="1393" t="s">
        <v>4715</v>
      </c>
      <c r="E23" s="1393" t="s">
        <v>7103</v>
      </c>
      <c r="F23" s="1393" t="s">
        <v>5934</v>
      </c>
      <c r="G23" s="1393" t="str">
        <f t="shared" si="1"/>
        <v>• Unconditional Power (special) • Force, Secret
Ignore all condition track penalties to Use the Force check to activate self-target powers</v>
      </c>
      <c r="H23" s="1380" t="str">
        <f t="shared" si="0"/>
        <v/>
      </c>
      <c r="I23" s="1393" t="str">
        <f t="shared" si="2"/>
        <v/>
      </c>
    </row>
    <row r="24" spans="1:9">
      <c r="A24" s="1393" t="s">
        <v>3817</v>
      </c>
      <c r="B24" s="1393" t="s">
        <v>7128</v>
      </c>
      <c r="C24" s="1393" t="s">
        <v>7126</v>
      </c>
      <c r="D24" s="1393" t="s">
        <v>4022</v>
      </c>
      <c r="E24" s="1393" t="s">
        <v>7124</v>
      </c>
      <c r="F24" s="1393" t="s">
        <v>5933</v>
      </c>
      <c r="G24" s="1393" t="str">
        <f t="shared" ref="G24:G81" si="3">"• "&amp;A24&amp;" ("&amp;B24&amp;") • "&amp;C24&amp;"
"&amp;E24</f>
        <v>• Advanced Vital Transfer (special; DP) • Force, Technique
Spend Desiny Point to fully heal the target of all damage and remove all of the target's debilitating conditions</v>
      </c>
      <c r="H24" s="1380" t="str">
        <f t="shared" si="0"/>
        <v/>
      </c>
      <c r="I24" s="1393" t="str">
        <f t="shared" ref="I24:I81" si="4">IF(H24&lt;&gt;"",H24&amp;"
"&amp;I25,I25)</f>
        <v/>
      </c>
    </row>
    <row r="25" spans="1:9">
      <c r="A25" s="1393" t="s">
        <v>4262</v>
      </c>
      <c r="C25" s="1393" t="s">
        <v>7126</v>
      </c>
      <c r="D25" s="1393" t="s">
        <v>4022</v>
      </c>
      <c r="F25" s="1393" t="s">
        <v>5902</v>
      </c>
      <c r="G25" s="1393" t="str">
        <f t="shared" si="3"/>
        <v xml:space="preserve">• Cure Disease () • Force, Technique
</v>
      </c>
      <c r="H25" s="1380" t="str">
        <f t="shared" si="0"/>
        <v/>
      </c>
      <c r="I25" s="1393" t="str">
        <f t="shared" si="4"/>
        <v/>
      </c>
    </row>
    <row r="26" spans="1:9">
      <c r="A26" s="1393" t="s">
        <v>3820</v>
      </c>
      <c r="C26" s="1393" t="s">
        <v>7126</v>
      </c>
      <c r="D26" s="1393" t="s">
        <v>4022</v>
      </c>
      <c r="F26" s="1393" t="s">
        <v>5935</v>
      </c>
      <c r="G26" s="1393" t="str">
        <f t="shared" si="3"/>
        <v xml:space="preserve">• Detoxify Poison () • Force, Technique
</v>
      </c>
      <c r="H26" s="1380" t="str">
        <f t="shared" si="0"/>
        <v/>
      </c>
      <c r="I26" s="1393" t="str">
        <f t="shared" si="4"/>
        <v/>
      </c>
    </row>
    <row r="27" spans="1:9">
      <c r="A27" s="1393" t="s">
        <v>3822</v>
      </c>
      <c r="C27" s="1393" t="s">
        <v>7126</v>
      </c>
      <c r="D27" s="1393" t="s">
        <v>4022</v>
      </c>
      <c r="F27" s="1393" t="s">
        <v>5908</v>
      </c>
      <c r="G27" s="1393" t="str">
        <f t="shared" si="3"/>
        <v xml:space="preserve">• Dominate Mind () • Force, Technique
</v>
      </c>
      <c r="H27" s="1380" t="str">
        <f t="shared" si="0"/>
        <v/>
      </c>
      <c r="I27" s="1393" t="str">
        <f t="shared" si="4"/>
        <v/>
      </c>
    </row>
    <row r="28" spans="1:9">
      <c r="A28" s="1393" t="s">
        <v>4263</v>
      </c>
      <c r="C28" s="1393" t="s">
        <v>7126</v>
      </c>
      <c r="D28" s="1393" t="s">
        <v>4022</v>
      </c>
      <c r="F28" s="1393" t="s">
        <v>5902</v>
      </c>
      <c r="G28" s="1393" t="str">
        <f t="shared" si="3"/>
        <v xml:space="preserve">• Extended Blind () • Force, Technique
</v>
      </c>
      <c r="H28" s="1380" t="str">
        <f t="shared" si="0"/>
        <v/>
      </c>
      <c r="I28" s="1393" t="str">
        <f t="shared" si="4"/>
        <v/>
      </c>
    </row>
    <row r="29" spans="1:9">
      <c r="A29" s="1393" t="s">
        <v>4264</v>
      </c>
      <c r="C29" s="1393" t="s">
        <v>7126</v>
      </c>
      <c r="D29" s="1393" t="s">
        <v>4022</v>
      </c>
      <c r="F29" s="1393" t="s">
        <v>5902</v>
      </c>
      <c r="G29" s="1393" t="str">
        <f t="shared" si="3"/>
        <v xml:space="preserve">• Extended Force Disarm () • Force, Technique
</v>
      </c>
      <c r="H29" s="1380" t="str">
        <f t="shared" si="0"/>
        <v/>
      </c>
      <c r="I29" s="1393" t="str">
        <f t="shared" si="4"/>
        <v/>
      </c>
    </row>
    <row r="30" spans="1:9">
      <c r="A30" s="1393" t="s">
        <v>4265</v>
      </c>
      <c r="C30" s="1393" t="s">
        <v>7126</v>
      </c>
      <c r="D30" s="1393" t="s">
        <v>4022</v>
      </c>
      <c r="F30" s="1393" t="s">
        <v>5902</v>
      </c>
      <c r="G30" s="1393" t="str">
        <f t="shared" si="3"/>
        <v xml:space="preserve">• Extended Force Grip () • Force, Technique
</v>
      </c>
      <c r="H30" s="1380" t="str">
        <f t="shared" si="0"/>
        <v/>
      </c>
      <c r="I30" s="1393" t="str">
        <f t="shared" si="4"/>
        <v/>
      </c>
    </row>
    <row r="31" spans="1:9">
      <c r="A31" s="1393" t="s">
        <v>4266</v>
      </c>
      <c r="C31" s="1393" t="s">
        <v>7126</v>
      </c>
      <c r="D31" s="1393" t="s">
        <v>4022</v>
      </c>
      <c r="F31" s="1393" t="s">
        <v>5902</v>
      </c>
      <c r="G31" s="1393" t="str">
        <f t="shared" si="3"/>
        <v xml:space="preserve">• Extended Force Thrust () • Force, Technique
</v>
      </c>
      <c r="H31" s="1380" t="str">
        <f t="shared" si="0"/>
        <v/>
      </c>
      <c r="I31" s="1393" t="str">
        <f t="shared" si="4"/>
        <v/>
      </c>
    </row>
    <row r="32" spans="1:9">
      <c r="A32" s="1393" t="s">
        <v>4267</v>
      </c>
      <c r="C32" s="1393" t="s">
        <v>7126</v>
      </c>
      <c r="D32" s="1393" t="s">
        <v>4022</v>
      </c>
      <c r="F32" s="1393" t="s">
        <v>5902</v>
      </c>
      <c r="G32" s="1393" t="str">
        <f t="shared" si="3"/>
        <v xml:space="preserve">• Extended Move Object () • Force, Technique
</v>
      </c>
      <c r="H32" s="1380" t="str">
        <f t="shared" si="0"/>
        <v/>
      </c>
      <c r="I32" s="1393" t="str">
        <f t="shared" si="4"/>
        <v/>
      </c>
    </row>
    <row r="33" spans="1:9">
      <c r="A33" s="1393" t="s">
        <v>3825</v>
      </c>
      <c r="B33" s="1393" t="s">
        <v>7130</v>
      </c>
      <c r="C33" s="1393" t="s">
        <v>7126</v>
      </c>
      <c r="D33" s="1393" t="s">
        <v>4022</v>
      </c>
      <c r="E33" s="1393" t="s">
        <v>7127</v>
      </c>
      <c r="F33" s="1393">
        <v>102</v>
      </c>
      <c r="G33" s="1393" t="str">
        <f t="shared" si="3"/>
        <v>• Force Point Recovery (special; encounter) • Force, Technique
Automatically recover 1 Force Point per encounter</v>
      </c>
      <c r="H33" s="1380" t="str">
        <f t="shared" si="0"/>
        <v/>
      </c>
      <c r="I33" s="1393" t="str">
        <f t="shared" si="4"/>
        <v/>
      </c>
    </row>
    <row r="34" spans="1:9">
      <c r="A34" s="1393" t="s">
        <v>3827</v>
      </c>
      <c r="B34" s="1393" t="s">
        <v>3771</v>
      </c>
      <c r="C34" s="1393" t="s">
        <v>7126</v>
      </c>
      <c r="D34" s="1393" t="s">
        <v>4022</v>
      </c>
      <c r="E34" s="1393" t="s">
        <v>7129</v>
      </c>
      <c r="F34" s="1393">
        <v>102</v>
      </c>
      <c r="G34" s="1393" t="str">
        <f t="shared" si="3"/>
        <v>• Force Power Mastery (special) • Force, Technique
Take 10 on Use the Force checks to activate chosen Force power even when distracted or threatened</v>
      </c>
      <c r="H34" s="1380" t="str">
        <f t="shared" ref="H34:H65" si="5">IF(NOT(ISERROR(FIND(A34,INDEX(SpecialsTable,MATCH(D34,SpecialsList,0),2),1))),G34,"")</f>
        <v/>
      </c>
      <c r="I34" s="1393" t="str">
        <f t="shared" si="4"/>
        <v/>
      </c>
    </row>
    <row r="35" spans="1:9">
      <c r="A35" s="1393" t="s">
        <v>3830</v>
      </c>
      <c r="C35" s="1393" t="s">
        <v>7126</v>
      </c>
      <c r="D35" s="1393" t="s">
        <v>4022</v>
      </c>
      <c r="F35" s="1393" t="s">
        <v>5935</v>
      </c>
      <c r="G35" s="1393" t="str">
        <f t="shared" si="3"/>
        <v xml:space="preserve">• Improved Ballistakinesis () • Force, Technique
</v>
      </c>
      <c r="H35" s="1380" t="str">
        <f t="shared" si="5"/>
        <v/>
      </c>
      <c r="I35" s="1393" t="str">
        <f t="shared" si="4"/>
        <v/>
      </c>
    </row>
    <row r="36" spans="1:9">
      <c r="A36" s="1393" t="s">
        <v>3833</v>
      </c>
      <c r="C36" s="1393" t="s">
        <v>7126</v>
      </c>
      <c r="D36" s="1393" t="s">
        <v>4022</v>
      </c>
      <c r="F36" s="1393" t="s">
        <v>5910</v>
      </c>
      <c r="G36" s="1393" t="str">
        <f t="shared" si="3"/>
        <v xml:space="preserve">• Improved Battle Strike () • Force, Technique
</v>
      </c>
      <c r="H36" s="1380" t="str">
        <f t="shared" si="5"/>
        <v/>
      </c>
      <c r="I36" s="1393" t="str">
        <f t="shared" si="4"/>
        <v/>
      </c>
    </row>
    <row r="37" spans="1:9">
      <c r="A37" s="1393" t="s">
        <v>3835</v>
      </c>
      <c r="B37" s="1393" t="s">
        <v>7131</v>
      </c>
      <c r="C37" s="1393" t="s">
        <v>7126</v>
      </c>
      <c r="D37" s="1393" t="s">
        <v>4022</v>
      </c>
      <c r="E37" s="1393" t="s">
        <v>7136</v>
      </c>
      <c r="F37" s="1393" t="s">
        <v>5933</v>
      </c>
      <c r="G37" s="1393" t="str">
        <f t="shared" si="3"/>
        <v>• Improved Cloak (move) • Force, Technique
Maintain cloak power as move action instead of a standard action</v>
      </c>
      <c r="H37" s="1380" t="str">
        <f t="shared" si="5"/>
        <v/>
      </c>
      <c r="I37" s="1393" t="str">
        <f t="shared" si="4"/>
        <v/>
      </c>
    </row>
    <row r="38" spans="1:9">
      <c r="A38" s="1393" t="s">
        <v>4268</v>
      </c>
      <c r="C38" s="1393" t="s">
        <v>7126</v>
      </c>
      <c r="D38" s="1393" t="s">
        <v>4022</v>
      </c>
      <c r="F38" s="1393" t="s">
        <v>5902</v>
      </c>
      <c r="G38" s="1393" t="str">
        <f t="shared" si="3"/>
        <v xml:space="preserve">• Improved Convection () • Force, Technique
</v>
      </c>
      <c r="H38" s="1380" t="str">
        <f t="shared" si="5"/>
        <v/>
      </c>
      <c r="I38" s="1393" t="str">
        <f t="shared" si="4"/>
        <v/>
      </c>
    </row>
    <row r="39" spans="1:9">
      <c r="A39" s="1393" t="s">
        <v>4269</v>
      </c>
      <c r="C39" s="1393" t="s">
        <v>7126</v>
      </c>
      <c r="D39" s="1393" t="s">
        <v>4022</v>
      </c>
      <c r="F39" s="1393" t="s">
        <v>5938</v>
      </c>
      <c r="G39" s="1393" t="str">
        <f t="shared" si="3"/>
        <v xml:space="preserve">• Improved Crucitorn () • Force, Technique
</v>
      </c>
      <c r="H39" s="1380" t="str">
        <f t="shared" si="5"/>
        <v/>
      </c>
      <c r="I39" s="1393" t="str">
        <f t="shared" si="4"/>
        <v/>
      </c>
    </row>
    <row r="40" spans="1:9">
      <c r="A40" s="1393" t="s">
        <v>4270</v>
      </c>
      <c r="C40" s="1393" t="s">
        <v>7126</v>
      </c>
      <c r="D40" s="1393" t="s">
        <v>4022</v>
      </c>
      <c r="F40" s="1393" t="s">
        <v>5938</v>
      </c>
      <c r="G40" s="1393" t="str">
        <f t="shared" si="3"/>
        <v xml:space="preserve">• Improved Cryokinesis () • Force, Technique
</v>
      </c>
      <c r="H40" s="1380" t="str">
        <f t="shared" si="5"/>
        <v/>
      </c>
      <c r="I40" s="1393" t="str">
        <f t="shared" si="4"/>
        <v/>
      </c>
    </row>
    <row r="41" spans="1:9">
      <c r="A41" s="1393" t="s">
        <v>3838</v>
      </c>
      <c r="C41" s="1393" t="s">
        <v>7126</v>
      </c>
      <c r="D41" s="1393" t="s">
        <v>4022</v>
      </c>
      <c r="F41" s="1393" t="s">
        <v>5910</v>
      </c>
      <c r="G41" s="1393" t="str">
        <f t="shared" si="3"/>
        <v xml:space="preserve">• Improved Dark Rage () • Force, Technique
</v>
      </c>
      <c r="H41" s="1380" t="str">
        <f t="shared" si="5"/>
        <v/>
      </c>
      <c r="I41" s="1393" t="str">
        <f t="shared" si="4"/>
        <v/>
      </c>
    </row>
    <row r="42" spans="1:9">
      <c r="A42" s="1393" t="s">
        <v>3841</v>
      </c>
      <c r="C42" s="1393" t="s">
        <v>7126</v>
      </c>
      <c r="D42" s="1393" t="s">
        <v>4022</v>
      </c>
      <c r="F42" s="1393" t="s">
        <v>5935</v>
      </c>
      <c r="G42" s="1393" t="str">
        <f t="shared" si="3"/>
        <v xml:space="preserve">• Improved Dark Transfer () • Force, Technique
</v>
      </c>
      <c r="H42" s="1380" t="str">
        <f t="shared" si="5"/>
        <v/>
      </c>
      <c r="I42" s="1393" t="str">
        <f t="shared" si="4"/>
        <v/>
      </c>
    </row>
    <row r="43" spans="1:9">
      <c r="A43" s="1393" t="s">
        <v>3844</v>
      </c>
      <c r="C43" s="1393" t="s">
        <v>7126</v>
      </c>
      <c r="D43" s="1393" t="s">
        <v>4022</v>
      </c>
      <c r="F43" s="1393" t="s">
        <v>5936</v>
      </c>
      <c r="G43" s="1393" t="str">
        <f t="shared" si="3"/>
        <v xml:space="preserve">• Improved Detonate () • Force, Technique
</v>
      </c>
      <c r="H43" s="1380" t="str">
        <f t="shared" si="5"/>
        <v/>
      </c>
      <c r="I43" s="1393" t="str">
        <f t="shared" si="4"/>
        <v/>
      </c>
    </row>
    <row r="44" spans="1:9">
      <c r="A44" s="1393" t="s">
        <v>3846</v>
      </c>
      <c r="C44" s="1393" t="s">
        <v>7126</v>
      </c>
      <c r="D44" s="1393" t="s">
        <v>4022</v>
      </c>
      <c r="F44" s="1393" t="s">
        <v>5908</v>
      </c>
      <c r="G44" s="1393" t="str">
        <f t="shared" si="3"/>
        <v xml:space="preserve">• Improved Energy Resistance () • Force, Technique
</v>
      </c>
      <c r="H44" s="1380" t="str">
        <f t="shared" si="5"/>
        <v/>
      </c>
      <c r="I44" s="1393" t="str">
        <f t="shared" si="4"/>
        <v/>
      </c>
    </row>
    <row r="45" spans="1:9">
      <c r="A45" s="1393" t="s">
        <v>3849</v>
      </c>
      <c r="C45" s="1393" t="s">
        <v>7126</v>
      </c>
      <c r="D45" s="1393" t="s">
        <v>4022</v>
      </c>
      <c r="F45" s="1393" t="s">
        <v>5936</v>
      </c>
      <c r="G45" s="1393" t="str">
        <f t="shared" si="3"/>
        <v xml:space="preserve">• Improved Enlighten () • Force, Technique
</v>
      </c>
      <c r="H45" s="1380" t="str">
        <f t="shared" si="5"/>
        <v/>
      </c>
      <c r="I45" s="1393" t="str">
        <f t="shared" si="4"/>
        <v/>
      </c>
    </row>
    <row r="46" spans="1:9">
      <c r="A46" s="1393" t="s">
        <v>4271</v>
      </c>
      <c r="C46" s="1393" t="s">
        <v>7126</v>
      </c>
      <c r="D46" s="1393" t="s">
        <v>4022</v>
      </c>
      <c r="F46" s="1393" t="s">
        <v>5938</v>
      </c>
      <c r="G46" s="1393" t="str">
        <f t="shared" si="3"/>
        <v xml:space="preserve">• Improved Fold Space () • Force, Technique
</v>
      </c>
      <c r="H46" s="1380" t="str">
        <f t="shared" si="5"/>
        <v/>
      </c>
      <c r="I46" s="1393" t="str">
        <f t="shared" si="4"/>
        <v/>
      </c>
    </row>
    <row r="47" spans="1:9">
      <c r="A47" s="1393" t="s">
        <v>3852</v>
      </c>
      <c r="C47" s="1393" t="s">
        <v>7126</v>
      </c>
      <c r="D47" s="1393" t="s">
        <v>4022</v>
      </c>
      <c r="F47" s="1393" t="s">
        <v>5910</v>
      </c>
      <c r="G47" s="1393" t="str">
        <f t="shared" si="3"/>
        <v xml:space="preserve">• Improved Force Disarm () • Force, Technique
</v>
      </c>
      <c r="H47" s="1380" t="str">
        <f t="shared" si="5"/>
        <v/>
      </c>
      <c r="I47" s="1393" t="str">
        <f t="shared" si="4"/>
        <v/>
      </c>
    </row>
    <row r="48" spans="1:9">
      <c r="A48" s="1393" t="s">
        <v>3855</v>
      </c>
      <c r="C48" s="1393" t="s">
        <v>7126</v>
      </c>
      <c r="D48" s="1393" t="s">
        <v>4022</v>
      </c>
      <c r="F48" s="1393" t="s">
        <v>5910</v>
      </c>
      <c r="G48" s="1393" t="str">
        <f t="shared" si="3"/>
        <v xml:space="preserve">• Improved Force Grip () • Force, Technique
</v>
      </c>
      <c r="H48" s="1380" t="str">
        <f t="shared" si="5"/>
        <v/>
      </c>
      <c r="I48" s="1393" t="str">
        <f t="shared" si="4"/>
        <v/>
      </c>
    </row>
    <row r="49" spans="1:9">
      <c r="A49" s="1393" t="s">
        <v>4272</v>
      </c>
      <c r="C49" s="1393" t="s">
        <v>7126</v>
      </c>
      <c r="D49" s="1393" t="s">
        <v>4022</v>
      </c>
      <c r="F49" s="1393" t="s">
        <v>5938</v>
      </c>
      <c r="G49" s="1393" t="str">
        <f t="shared" si="3"/>
        <v xml:space="preserve">• Improved Force Light () • Force, Technique
</v>
      </c>
      <c r="H49" s="1380" t="str">
        <f t="shared" si="5"/>
        <v/>
      </c>
      <c r="I49" s="1393" t="str">
        <f t="shared" si="4"/>
        <v/>
      </c>
    </row>
    <row r="50" spans="1:9">
      <c r="A50" s="1393" t="s">
        <v>3858</v>
      </c>
      <c r="C50" s="1393" t="s">
        <v>7126</v>
      </c>
      <c r="D50" s="1393" t="s">
        <v>4022</v>
      </c>
      <c r="F50" s="1393" t="s">
        <v>5910</v>
      </c>
      <c r="G50" s="1393" t="str">
        <f t="shared" si="3"/>
        <v xml:space="preserve">• Improved Force Lightning () • Force, Technique
</v>
      </c>
      <c r="H50" s="1380" t="str">
        <f t="shared" si="5"/>
        <v/>
      </c>
      <c r="I50" s="1393" t="str">
        <f t="shared" si="4"/>
        <v/>
      </c>
    </row>
    <row r="51" spans="1:9">
      <c r="A51" s="1393" t="s">
        <v>5937</v>
      </c>
      <c r="C51" s="1393" t="s">
        <v>7126</v>
      </c>
      <c r="D51" s="1393" t="s">
        <v>4022</v>
      </c>
      <c r="F51" s="1393" t="s">
        <v>5936</v>
      </c>
      <c r="G51" s="1393" t="str">
        <f t="shared" si="3"/>
        <v xml:space="preserve">• Improved Force Shield () • Force, Technique
</v>
      </c>
      <c r="H51" s="1380" t="str">
        <f t="shared" si="5"/>
        <v/>
      </c>
      <c r="I51" s="1393" t="str">
        <f t="shared" si="4"/>
        <v/>
      </c>
    </row>
    <row r="52" spans="1:9">
      <c r="A52" s="1393" t="s">
        <v>3862</v>
      </c>
      <c r="C52" s="1393" t="s">
        <v>7126</v>
      </c>
      <c r="D52" s="1393" t="s">
        <v>4022</v>
      </c>
      <c r="F52" s="1393" t="s">
        <v>5909</v>
      </c>
      <c r="G52" s="1393" t="str">
        <f t="shared" si="3"/>
        <v xml:space="preserve">• Improved Force Slam () • Force, Technique
</v>
      </c>
      <c r="H52" s="1380" t="str">
        <f t="shared" si="5"/>
        <v/>
      </c>
      <c r="I52" s="1393" t="str">
        <f t="shared" si="4"/>
        <v/>
      </c>
    </row>
    <row r="53" spans="1:9">
      <c r="A53" s="1393" t="s">
        <v>3865</v>
      </c>
      <c r="C53" s="1393" t="s">
        <v>7126</v>
      </c>
      <c r="D53" s="1393" t="s">
        <v>4022</v>
      </c>
      <c r="F53" s="1393" t="s">
        <v>5910</v>
      </c>
      <c r="G53" s="1393" t="str">
        <f t="shared" si="3"/>
        <v xml:space="preserve">• Improved Force Storm () • Force, Technique
</v>
      </c>
      <c r="H53" s="1380" t="str">
        <f t="shared" si="5"/>
        <v/>
      </c>
      <c r="I53" s="1393" t="str">
        <f t="shared" si="4"/>
        <v/>
      </c>
    </row>
    <row r="54" spans="1:9">
      <c r="A54" s="1393" t="s">
        <v>4273</v>
      </c>
      <c r="C54" s="1393" t="s">
        <v>7126</v>
      </c>
      <c r="D54" s="1393" t="s">
        <v>4022</v>
      </c>
      <c r="F54" s="1393" t="s">
        <v>5938</v>
      </c>
      <c r="G54" s="1393" t="str">
        <f t="shared" si="3"/>
        <v xml:space="preserve">• Improved Force Storm (JATM) () • Force, Technique
</v>
      </c>
      <c r="H54" s="1380" t="str">
        <f t="shared" si="5"/>
        <v/>
      </c>
      <c r="I54" s="1393" t="str">
        <f t="shared" si="4"/>
        <v/>
      </c>
    </row>
    <row r="55" spans="1:9">
      <c r="A55" s="1393" t="s">
        <v>3868</v>
      </c>
      <c r="C55" s="1393" t="s">
        <v>7126</v>
      </c>
      <c r="D55" s="1393" t="s">
        <v>4022</v>
      </c>
      <c r="F55" s="1393" t="s">
        <v>5909</v>
      </c>
      <c r="G55" s="1393" t="str">
        <f t="shared" si="3"/>
        <v xml:space="preserve">• Improved Force Stun () • Force, Technique
</v>
      </c>
      <c r="H55" s="1380" t="str">
        <f t="shared" si="5"/>
        <v/>
      </c>
      <c r="I55" s="1393" t="str">
        <f t="shared" si="4"/>
        <v/>
      </c>
    </row>
    <row r="56" spans="1:9">
      <c r="A56" s="1393" t="s">
        <v>3871</v>
      </c>
      <c r="C56" s="1393" t="s">
        <v>7126</v>
      </c>
      <c r="D56" s="1393" t="s">
        <v>4022</v>
      </c>
      <c r="F56" s="1393" t="s">
        <v>5910</v>
      </c>
      <c r="G56" s="1393" t="str">
        <f t="shared" si="3"/>
        <v xml:space="preserve">• Improved Force Thrust () • Force, Technique
</v>
      </c>
      <c r="H56" s="1380" t="str">
        <f t="shared" si="5"/>
        <v/>
      </c>
      <c r="I56" s="1393" t="str">
        <f t="shared" si="4"/>
        <v/>
      </c>
    </row>
    <row r="57" spans="1:9">
      <c r="A57" s="1393" t="s">
        <v>3874</v>
      </c>
      <c r="B57" s="1393" t="s">
        <v>3771</v>
      </c>
      <c r="C57" s="1393" t="s">
        <v>7126</v>
      </c>
      <c r="D57" s="1393" t="s">
        <v>4022</v>
      </c>
      <c r="E57" s="1393" t="str">
        <f>"Each hour of Force trance regain "&amp;CharacterLevel*2&amp;" hit points"</f>
        <v>Each hour of Force trance regain 0 hit points</v>
      </c>
      <c r="F57" s="1393">
        <v>102</v>
      </c>
      <c r="G57" s="1393" t="str">
        <f t="shared" si="3"/>
        <v>• Improved Force Trance (special) • Force, Technique
Each hour of Force trance regain 0 hit points</v>
      </c>
      <c r="H57" s="1380" t="str">
        <f t="shared" si="5"/>
        <v/>
      </c>
      <c r="I57" s="1393" t="str">
        <f t="shared" si="4"/>
        <v/>
      </c>
    </row>
    <row r="58" spans="1:9">
      <c r="A58" s="1393" t="s">
        <v>3877</v>
      </c>
      <c r="C58" s="1393" t="s">
        <v>7126</v>
      </c>
      <c r="D58" s="1393" t="s">
        <v>4022</v>
      </c>
      <c r="F58" s="1393" t="s">
        <v>5909</v>
      </c>
      <c r="G58" s="1393" t="str">
        <f t="shared" si="3"/>
        <v xml:space="preserve">• Improved Ionize () • Force, Technique
</v>
      </c>
      <c r="H58" s="1380" t="str">
        <f t="shared" si="5"/>
        <v/>
      </c>
      <c r="I58" s="1393" t="str">
        <f t="shared" si="4"/>
        <v/>
      </c>
    </row>
    <row r="59" spans="1:9">
      <c r="A59" s="1393" t="s">
        <v>3880</v>
      </c>
      <c r="C59" s="1393" t="s">
        <v>7126</v>
      </c>
      <c r="D59" s="1393" t="s">
        <v>4022</v>
      </c>
      <c r="F59" s="1393" t="s">
        <v>5909</v>
      </c>
      <c r="G59" s="1393" t="str">
        <f t="shared" si="3"/>
        <v xml:space="preserve">• Improved Kinetic Combat () • Force, Technique
</v>
      </c>
      <c r="H59" s="1380" t="str">
        <f t="shared" si="5"/>
        <v/>
      </c>
      <c r="I59" s="1393" t="str">
        <f t="shared" si="4"/>
        <v/>
      </c>
    </row>
    <row r="60" spans="1:9">
      <c r="A60" s="1393" t="s">
        <v>3883</v>
      </c>
      <c r="B60" s="1393" t="s">
        <v>7138</v>
      </c>
      <c r="C60" s="1393" t="s">
        <v>7126</v>
      </c>
      <c r="D60" s="1393" t="s">
        <v>4022</v>
      </c>
      <c r="E60" s="1393" t="s">
        <v>7137</v>
      </c>
      <c r="F60" s="1393" t="s">
        <v>5933</v>
      </c>
      <c r="G60" s="1393" t="str">
        <f t="shared" si="3"/>
        <v>• Improved Levitate (reaction; FP; activate Levitate power) • Force, Technique
If moved into a pit or off another elevated surface involuntarily spend a Force Point to activate this Levitate as a reaction to end forced movement in the last square before the edge of the precipice</v>
      </c>
      <c r="H60" s="1380" t="str">
        <f t="shared" si="5"/>
        <v/>
      </c>
      <c r="I60" s="1393" t="str">
        <f t="shared" si="4"/>
        <v/>
      </c>
    </row>
    <row r="61" spans="1:9">
      <c r="A61" s="1393" t="s">
        <v>3886</v>
      </c>
      <c r="C61" s="1393" t="s">
        <v>7126</v>
      </c>
      <c r="D61" s="1393" t="s">
        <v>4022</v>
      </c>
      <c r="F61" s="1393" t="s">
        <v>5936</v>
      </c>
      <c r="G61" s="1393" t="str">
        <f t="shared" si="3"/>
        <v xml:space="preserve">• Improved Lightning Burst () • Force, Technique
</v>
      </c>
      <c r="H61" s="1380" t="str">
        <f t="shared" si="5"/>
        <v/>
      </c>
      <c r="I61" s="1393" t="str">
        <f t="shared" si="4"/>
        <v/>
      </c>
    </row>
    <row r="62" spans="1:9">
      <c r="A62" s="1393" t="s">
        <v>3889</v>
      </c>
      <c r="B62" s="1393" t="s">
        <v>7140</v>
      </c>
      <c r="C62" s="1393" t="s">
        <v>7126</v>
      </c>
      <c r="D62" s="1393" t="s">
        <v>4022</v>
      </c>
      <c r="E62" s="1393" t="s">
        <v>7139</v>
      </c>
      <c r="F62" s="1393" t="s">
        <v>5933</v>
      </c>
      <c r="G62" s="1393" t="str">
        <f t="shared" si="3"/>
        <v>• Improved Malacia (swift; Malacia power) • Force, Technique
Maintain damage threshold penalty of the malacia power as swift action</v>
      </c>
      <c r="H62" s="1380" t="str">
        <f t="shared" si="5"/>
        <v/>
      </c>
      <c r="I62" s="1393" t="str">
        <f t="shared" si="4"/>
        <v/>
      </c>
    </row>
    <row r="63" spans="1:9">
      <c r="A63" s="1393" t="s">
        <v>3892</v>
      </c>
      <c r="C63" s="1393" t="s">
        <v>7126</v>
      </c>
      <c r="D63" s="1393" t="s">
        <v>4022</v>
      </c>
      <c r="F63" s="1393" t="s">
        <v>5911</v>
      </c>
      <c r="G63" s="1393" t="str">
        <f t="shared" si="3"/>
        <v xml:space="preserve">• Improved Mind Trick () • Force, Technique
</v>
      </c>
      <c r="H63" s="1380" t="str">
        <f t="shared" si="5"/>
        <v/>
      </c>
      <c r="I63" s="1393" t="str">
        <f t="shared" si="4"/>
        <v/>
      </c>
    </row>
    <row r="64" spans="1:9">
      <c r="A64" s="1393" t="s">
        <v>3895</v>
      </c>
      <c r="B64" s="1393" t="s">
        <v>7133</v>
      </c>
      <c r="C64" s="1393" t="s">
        <v>7126</v>
      </c>
      <c r="D64" s="1393" t="s">
        <v>4022</v>
      </c>
      <c r="E64" s="1393" t="str">
        <f ca="1">"Ranged 6; +"&amp;UsetheForce&amp;" vs. target’s Reflex; 1d6 bludgeoning damage"</f>
        <v>Ranged 6; +0 vs. target’s Reflex; 1d6 bludgeoning damage</v>
      </c>
      <c r="F64" s="1393">
        <v>103</v>
      </c>
      <c r="G64" s="1393" t="str">
        <f t="shared" ca="1" si="3"/>
        <v>• Improved Move Light Object (move; at-will; DC 15 Use the Force) • Force, Technique
Ranged 6; +0 vs. target’s Reflex; 1d6 bludgeoning damage</v>
      </c>
      <c r="H64" s="1380" t="str">
        <f t="shared" si="5"/>
        <v/>
      </c>
      <c r="I64" s="1393" t="str">
        <f t="shared" si="4"/>
        <v/>
      </c>
    </row>
    <row r="65" spans="1:9">
      <c r="A65" s="1393" t="s">
        <v>3898</v>
      </c>
      <c r="C65" s="1393" t="s">
        <v>7126</v>
      </c>
      <c r="D65" s="1393" t="s">
        <v>4022</v>
      </c>
      <c r="F65" s="1393" t="s">
        <v>5936</v>
      </c>
      <c r="G65" s="1393" t="str">
        <f t="shared" si="3"/>
        <v xml:space="preserve">• Improved Obscure () • Force, Technique
</v>
      </c>
      <c r="H65" s="1380" t="str">
        <f t="shared" si="5"/>
        <v/>
      </c>
      <c r="I65" s="1393" t="str">
        <f t="shared" si="4"/>
        <v/>
      </c>
    </row>
    <row r="66" spans="1:9">
      <c r="A66" s="1393" t="s">
        <v>3901</v>
      </c>
      <c r="C66" s="1393" t="s">
        <v>7126</v>
      </c>
      <c r="D66" s="1393" t="s">
        <v>4022</v>
      </c>
      <c r="F66" s="1393" t="s">
        <v>5933</v>
      </c>
      <c r="G66" s="1393" t="str">
        <f t="shared" si="3"/>
        <v xml:space="preserve">• Improved Phase () • Force, Technique
</v>
      </c>
      <c r="H66" s="1380" t="str">
        <f t="shared" ref="H66:H81" si="6">IF(NOT(ISERROR(FIND(A66,INDEX(SpecialsTable,MATCH(D66,SpecialsList,0),2),1))),G66,"")</f>
        <v/>
      </c>
      <c r="I66" s="1393" t="str">
        <f t="shared" si="4"/>
        <v/>
      </c>
    </row>
    <row r="67" spans="1:9">
      <c r="A67" s="1393" t="s">
        <v>4274</v>
      </c>
      <c r="C67" s="1393" t="s">
        <v>7126</v>
      </c>
      <c r="D67" s="1393" t="s">
        <v>4022</v>
      </c>
      <c r="F67" s="1393" t="s">
        <v>5938</v>
      </c>
      <c r="G67" s="1393" t="str">
        <f t="shared" si="3"/>
        <v xml:space="preserve">• Improved Plant Surge () • Force, Technique
</v>
      </c>
      <c r="H67" s="1380" t="str">
        <f t="shared" si="6"/>
        <v/>
      </c>
      <c r="I67" s="1393" t="str">
        <f t="shared" si="4"/>
        <v/>
      </c>
    </row>
    <row r="68" spans="1:9">
      <c r="A68" s="1393" t="s">
        <v>3903</v>
      </c>
      <c r="C68" s="1393" t="s">
        <v>7126</v>
      </c>
      <c r="D68" s="1393" t="s">
        <v>4022</v>
      </c>
      <c r="F68" s="1393" t="s">
        <v>5911</v>
      </c>
      <c r="G68" s="1393" t="str">
        <f t="shared" si="3"/>
        <v xml:space="preserve">• Improved Rebuke () • Force, Technique
</v>
      </c>
      <c r="H68" s="1380" t="str">
        <f t="shared" si="6"/>
        <v/>
      </c>
      <c r="I68" s="1393" t="str">
        <f t="shared" si="4"/>
        <v/>
      </c>
    </row>
    <row r="69" spans="1:9">
      <c r="A69" s="1393" t="s">
        <v>3906</v>
      </c>
      <c r="C69" s="1393" t="s">
        <v>7126</v>
      </c>
      <c r="D69" s="1393" t="s">
        <v>4022</v>
      </c>
      <c r="F69" s="1393" t="s">
        <v>5933</v>
      </c>
      <c r="G69" s="1393" t="str">
        <f t="shared" si="3"/>
        <v xml:space="preserve">• Improved Rend () • Force, Technique
</v>
      </c>
      <c r="H69" s="1380" t="str">
        <f t="shared" si="6"/>
        <v/>
      </c>
      <c r="I69" s="1393" t="str">
        <f t="shared" si="4"/>
        <v/>
      </c>
    </row>
    <row r="70" spans="1:9">
      <c r="A70" s="1393" t="s">
        <v>3908</v>
      </c>
      <c r="C70" s="1393" t="s">
        <v>7126</v>
      </c>
      <c r="D70" s="1393" t="s">
        <v>4022</v>
      </c>
      <c r="F70" s="1393" t="s">
        <v>5911</v>
      </c>
      <c r="G70" s="1393" t="str">
        <f t="shared" si="3"/>
        <v xml:space="preserve">• Improved Repulse () • Force, Technique
</v>
      </c>
      <c r="H70" s="1380" t="str">
        <f t="shared" si="6"/>
        <v/>
      </c>
      <c r="I70" s="1393" t="str">
        <f t="shared" si="4"/>
        <v/>
      </c>
    </row>
    <row r="71" spans="1:9">
      <c r="A71" s="1393" t="s">
        <v>3911</v>
      </c>
      <c r="C71" s="1393" t="s">
        <v>7126</v>
      </c>
      <c r="D71" s="1393" t="s">
        <v>4022</v>
      </c>
      <c r="F71" s="1393" t="s">
        <v>5909</v>
      </c>
      <c r="G71" s="1393" t="str">
        <f t="shared" si="3"/>
        <v xml:space="preserve">• Improved Resist Force () • Force, Technique
</v>
      </c>
      <c r="H71" s="1380" t="str">
        <f t="shared" si="6"/>
        <v/>
      </c>
      <c r="I71" s="1393" t="str">
        <f t="shared" si="4"/>
        <v/>
      </c>
    </row>
    <row r="72" spans="1:9">
      <c r="A72" s="1393" t="s">
        <v>3914</v>
      </c>
      <c r="B72" s="1393" t="s">
        <v>7134</v>
      </c>
      <c r="C72" s="1393" t="s">
        <v>7126</v>
      </c>
      <c r="D72" s="1393" t="s">
        <v>4022</v>
      </c>
      <c r="E72" s="1393" t="str">
        <f ca="1">"+"&amp;UsetheForce&amp;" vs. opposed Use the Force if trying to conceal presence; actively sense other Force-users out to a range of 100 kilometers"</f>
        <v>+0 vs. opposed Use the Force if trying to conceal presence; actively sense other Force-users out to a range of 100 kilometers</v>
      </c>
      <c r="F72" s="1393">
        <v>103</v>
      </c>
      <c r="G72" s="1393" t="str">
        <f t="shared" ca="1" si="3"/>
        <v>• Improved Sense Force (swift; at-will; DC 15 Use the Force) • Force, Technique
+0 vs. opposed Use the Force if trying to conceal presence; actively sense other Force-users out to a range of 100 kilometers</v>
      </c>
      <c r="H72" s="1380" t="str">
        <f t="shared" si="6"/>
        <v/>
      </c>
      <c r="I72" s="1393" t="str">
        <f t="shared" si="4"/>
        <v/>
      </c>
    </row>
    <row r="73" spans="1:9">
      <c r="A73" s="1393" t="s">
        <v>3917</v>
      </c>
      <c r="B73" s="1393" t="s">
        <v>7135</v>
      </c>
      <c r="C73" s="1393" t="s">
        <v>7126</v>
      </c>
      <c r="D73" s="1393" t="s">
        <v>4022</v>
      </c>
      <c r="E73" s="1393" t="str">
        <f ca="1">"+"&amp;UsetheForce&amp;" vs. DC 15; ignore the effects of cover and concealment when making Perception checks to detect or observe targets until start of next turn; DC 20 vs. targets with total cover"</f>
        <v>+0 vs. DC 15; ignore the effects of cover and concealment when making Perception checks to detect or observe targets until start of next turn; DC 20 vs. targets with total cover</v>
      </c>
      <c r="F73" s="1393">
        <v>103</v>
      </c>
      <c r="G73" s="1393" t="str">
        <f t="shared" ca="1" si="3"/>
        <v>• Improved Sense Surroundings (free-action; at-will; DC 15/20 Use the Force) • Force, Technique
+0 vs. DC 15; ignore the effects of cover and concealment when making Perception checks to detect or observe targets until start of next turn; DC 20 vs. targets with total cover</v>
      </c>
      <c r="H73" s="1380" t="str">
        <f t="shared" si="6"/>
        <v/>
      </c>
      <c r="I73" s="1393" t="str">
        <f t="shared" si="4"/>
        <v/>
      </c>
    </row>
    <row r="74" spans="1:9">
      <c r="A74" s="1393" t="s">
        <v>3920</v>
      </c>
      <c r="C74" s="1393" t="s">
        <v>7126</v>
      </c>
      <c r="D74" s="1393" t="s">
        <v>4022</v>
      </c>
      <c r="F74" s="1393" t="s">
        <v>5933</v>
      </c>
      <c r="G74" s="1393" t="str">
        <f t="shared" si="3"/>
        <v xml:space="preserve">• Improved Shatterpoint () • Force, Technique
</v>
      </c>
      <c r="H74" s="1380" t="str">
        <f t="shared" si="6"/>
        <v/>
      </c>
      <c r="I74" s="1393" t="str">
        <f t="shared" si="4"/>
        <v/>
      </c>
    </row>
    <row r="75" spans="1:9">
      <c r="A75" s="1393" t="s">
        <v>3923</v>
      </c>
      <c r="C75" s="1393" t="s">
        <v>7126</v>
      </c>
      <c r="D75" s="1393" t="s">
        <v>4022</v>
      </c>
      <c r="F75" s="1393" t="s">
        <v>5936</v>
      </c>
      <c r="G75" s="1393" t="str">
        <f t="shared" si="3"/>
        <v xml:space="preserve">• Improved Stagger () • Force, Technique
</v>
      </c>
      <c r="H75" s="1380" t="str">
        <f t="shared" si="6"/>
        <v/>
      </c>
      <c r="I75" s="1393" t="str">
        <f t="shared" si="4"/>
        <v/>
      </c>
    </row>
    <row r="76" spans="1:9">
      <c r="A76" s="1393" t="s">
        <v>3926</v>
      </c>
      <c r="C76" s="1393" t="s">
        <v>7126</v>
      </c>
      <c r="D76" s="1393" t="s">
        <v>4022</v>
      </c>
      <c r="F76" s="1393" t="s">
        <v>5933</v>
      </c>
      <c r="G76" s="1393" t="str">
        <f t="shared" si="3"/>
        <v xml:space="preserve">• Improved Technometry () • Force, Technique
</v>
      </c>
      <c r="H76" s="1380" t="str">
        <f t="shared" si="6"/>
        <v/>
      </c>
      <c r="I76" s="1393" t="str">
        <f t="shared" si="4"/>
        <v/>
      </c>
    </row>
    <row r="77" spans="1:9">
      <c r="A77" s="1393" t="s">
        <v>1653</v>
      </c>
      <c r="B77" s="1393" t="s">
        <v>7099</v>
      </c>
      <c r="C77" s="1393" t="s">
        <v>7126</v>
      </c>
      <c r="D77" s="1393" t="s">
        <v>4022</v>
      </c>
      <c r="E77" s="1393" t="s">
        <v>7132</v>
      </c>
      <c r="F77" s="1393">
        <v>103</v>
      </c>
      <c r="G77" s="1393" t="str">
        <f t="shared" si="3"/>
        <v>• Improved Telepathy (standard; at-will) • Force, Technique
Reroll Use the Force check for telepathy and keep the better result</v>
      </c>
      <c r="H77" s="1380" t="str">
        <f t="shared" si="6"/>
        <v/>
      </c>
      <c r="I77" s="1393" t="str">
        <f t="shared" si="4"/>
        <v/>
      </c>
    </row>
    <row r="78" spans="1:9">
      <c r="A78" s="1393" t="s">
        <v>4275</v>
      </c>
      <c r="C78" s="1393" t="s">
        <v>7126</v>
      </c>
      <c r="D78" s="1393" t="s">
        <v>4022</v>
      </c>
      <c r="F78" s="1393" t="s">
        <v>5938</v>
      </c>
      <c r="G78" s="1393" t="str">
        <f t="shared" si="3"/>
        <v xml:space="preserve">• Improved Thought Bomb () • Force, Technique
</v>
      </c>
      <c r="H78" s="1380" t="str">
        <f t="shared" si="6"/>
        <v/>
      </c>
      <c r="I78" s="1393" t="str">
        <f t="shared" si="4"/>
        <v/>
      </c>
    </row>
    <row r="79" spans="1:9">
      <c r="A79" s="1393" t="s">
        <v>3931</v>
      </c>
      <c r="C79" s="1393" t="s">
        <v>7126</v>
      </c>
      <c r="D79" s="1393" t="s">
        <v>4022</v>
      </c>
      <c r="F79" s="1393" t="s">
        <v>5909</v>
      </c>
      <c r="G79" s="1393" t="str">
        <f t="shared" si="3"/>
        <v xml:space="preserve">• Improved Valor () • Force, Technique
</v>
      </c>
      <c r="H79" s="1380" t="str">
        <f t="shared" si="6"/>
        <v/>
      </c>
      <c r="I79" s="1393" t="str">
        <f t="shared" si="4"/>
        <v/>
      </c>
    </row>
    <row r="80" spans="1:9">
      <c r="A80" s="1393" t="s">
        <v>3934</v>
      </c>
      <c r="C80" s="1393" t="s">
        <v>7126</v>
      </c>
      <c r="D80" s="1393" t="s">
        <v>4022</v>
      </c>
      <c r="E80" s="1393" t="s">
        <v>7125</v>
      </c>
      <c r="F80" s="1393" t="s">
        <v>5909</v>
      </c>
      <c r="G80" s="1393" t="str">
        <f t="shared" si="3"/>
        <v>• Improved Vital Transfer () • Force, Technique
Use Vital Transfer with range of 6 squares</v>
      </c>
      <c r="H80" s="1380" t="str">
        <f t="shared" si="6"/>
        <v/>
      </c>
      <c r="I80" s="1393" t="str">
        <f t="shared" si="4"/>
        <v/>
      </c>
    </row>
    <row r="81" spans="1:9">
      <c r="A81" s="1393" t="s">
        <v>3937</v>
      </c>
      <c r="C81" s="1393" t="s">
        <v>7126</v>
      </c>
      <c r="D81" s="1393" t="s">
        <v>4022</v>
      </c>
      <c r="F81" s="1393" t="s">
        <v>5909</v>
      </c>
      <c r="G81" s="1393" t="str">
        <f t="shared" si="3"/>
        <v xml:space="preserve">• Language Absorption () • Force, Technique
</v>
      </c>
      <c r="H81" s="1380" t="str">
        <f t="shared" si="6"/>
        <v/>
      </c>
      <c r="I81" s="1393" t="str">
        <f t="shared" si="4"/>
        <v/>
      </c>
    </row>
    <row r="82" spans="1:9">
      <c r="I82" s="1396" t="s">
        <v>195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B1:BX83"/>
  <sheetViews>
    <sheetView showGridLines="0" showRowColHeaders="0" zoomScaleNormal="100" workbookViewId="0">
      <selection activeCell="C5" sqref="C5:C82"/>
    </sheetView>
  </sheetViews>
  <sheetFormatPr defaultColWidth="9.1796875" defaultRowHeight="14.5"/>
  <cols>
    <col min="1" max="2" width="2.81640625" style="1420" customWidth="1"/>
    <col min="3" max="3" width="86.26953125" style="1420" customWidth="1"/>
    <col min="4" max="4" width="2.81640625" style="1420" customWidth="1"/>
    <col min="5" max="5" width="9.1796875" style="1420" customWidth="1"/>
    <col min="6" max="21" width="9.1796875" style="1420" hidden="1" customWidth="1"/>
    <col min="22" max="22" width="27.54296875" style="1420" hidden="1" customWidth="1"/>
    <col min="23" max="23" width="23.7265625" style="1420" hidden="1" customWidth="1"/>
    <col min="24" max="33" width="9.1796875" style="1420" hidden="1" customWidth="1"/>
    <col min="34" max="34" width="21.26953125" style="1420" hidden="1" customWidth="1"/>
    <col min="35" max="35" width="5.453125" style="1420" hidden="1" customWidth="1"/>
    <col min="36" max="36" width="10.453125" style="1420" hidden="1" customWidth="1"/>
    <col min="37" max="37" width="13.54296875" style="1420" hidden="1" customWidth="1"/>
    <col min="38" max="39" width="10.453125" style="1420" hidden="1" customWidth="1"/>
    <col min="40" max="53" width="9.1796875" style="1420" hidden="1" customWidth="1"/>
    <col min="54" max="54" width="22.26953125" style="1420" hidden="1" customWidth="1"/>
    <col min="55" max="74" width="9.1796875" style="1420" hidden="1" customWidth="1"/>
    <col min="75" max="75" width="29.54296875" style="1420" hidden="1" customWidth="1"/>
    <col min="76" max="76" width="9.1796875" style="1420" hidden="1" customWidth="1"/>
    <col min="77" max="103" width="9.1796875" style="1420" customWidth="1"/>
    <col min="104" max="16384" width="9.1796875" style="1420"/>
  </cols>
  <sheetData>
    <row r="1" spans="2:76" ht="15" thickBot="1"/>
    <row r="2" spans="2:76">
      <c r="B2" s="22"/>
      <c r="C2" s="1418"/>
      <c r="D2" s="25"/>
    </row>
    <row r="3" spans="2:76" s="731" customFormat="1" ht="21">
      <c r="B3" s="732"/>
      <c r="C3" s="1419" t="s">
        <v>7423</v>
      </c>
      <c r="D3" s="733"/>
      <c r="F3" s="798"/>
    </row>
    <row r="4" spans="2:76">
      <c r="B4" s="26"/>
      <c r="C4" s="1417" t="str">
        <f>IF(CharacterName&lt;&gt;"",CharacterName&amp;" "&amp;"CL "&amp;SUM(G4:J4),"")</f>
        <v/>
      </c>
      <c r="D4" s="29"/>
      <c r="G4" s="1420">
        <f>HeroicLevel</f>
        <v>0</v>
      </c>
      <c r="H4" s="1420">
        <f>MAX((COUNTIF(AllLevels,"Beast")-1),0)</f>
        <v>0</v>
      </c>
      <c r="I4" s="1420">
        <f>MAX(INT(COUNTIF(AllLevels,"Nonheroic")/3),0)</f>
        <v>0</v>
      </c>
      <c r="J4" s="1420">
        <f>IF(NPCType=2,2,IF(NPCType=3,6,0))</f>
        <v>0</v>
      </c>
    </row>
    <row r="5" spans="2:76" ht="14.5" customHeight="1">
      <c r="B5" s="26"/>
      <c r="C5" s="1741" t="str">
        <f>IF(ForcePowerDescriptions&lt;&gt;"",ForcePowerDescriptions,"")</f>
        <v/>
      </c>
      <c r="D5" s="29"/>
      <c r="T5" s="1420" t="s">
        <v>4119</v>
      </c>
      <c r="W5" s="1420" t="str">
        <f ca="1">W6</f>
        <v/>
      </c>
      <c r="AA5" s="1420" t="str">
        <f>AA6</f>
        <v/>
      </c>
      <c r="AE5" s="1420" t="str">
        <f>AE6</f>
        <v/>
      </c>
      <c r="AF5" s="1420" t="str">
        <f ca="1">IF(SpecialActionsList&lt;&gt;"",SpecialActionsList,"")&amp;", "&amp;IF(TalentsSpecialActionsList&lt;&gt;"",TalentsSpecialActionsList,"")&amp;", "</f>
        <v xml:space="preserve">, , </v>
      </c>
      <c r="AM5" s="1420" t="str">
        <f ca="1">AM6</f>
        <v/>
      </c>
      <c r="AN5" s="1420" t="str">
        <f ca="1">IF(AttackOptionsList&lt;&gt;"",AttackOptionsList,"")&amp;IF(AND(TalentsAttOptionsList&lt;&gt;"",AttackOptionsList&lt;&gt;""),", ","")&amp;TalentsAttOptionsList&amp;", "</f>
        <v xml:space="preserve">, </v>
      </c>
      <c r="AR5" s="1420" t="s">
        <v>4122</v>
      </c>
      <c r="AU5" s="1420" t="str">
        <f ca="1">AU6</f>
        <v/>
      </c>
      <c r="AW5" s="1420" t="str">
        <f>IF(ForcePowersTaken&lt;&gt;"",ForcePowersTaken,"")&amp;", "</f>
        <v xml:space="preserve">, </v>
      </c>
      <c r="BA5" s="1420" t="s">
        <v>4122</v>
      </c>
      <c r="BD5" s="1420" t="str">
        <f>BD6</f>
        <v/>
      </c>
      <c r="BE5" s="1420" t="str">
        <f>IF(ForceTechniquesTaken&lt;&gt;"",ForceTechniquesTaken,"")</f>
        <v/>
      </c>
      <c r="BI5" s="1420" t="s">
        <v>4122</v>
      </c>
      <c r="BL5" s="1420" t="str">
        <f>BL6</f>
        <v/>
      </c>
      <c r="BM5" s="1420" t="str">
        <f>IF(ForceSecretsTaken&lt;&gt;"",ForceSecretsTaken,"")</f>
        <v/>
      </c>
      <c r="BQ5" s="1420" t="s">
        <v>4122</v>
      </c>
      <c r="BT5" s="1420" t="str">
        <f>BT6</f>
        <v/>
      </c>
      <c r="BU5" s="1420" t="str">
        <f>IF(EquipmentNameListStatBlock&lt;&gt;"",EquipmentNameListStatBlock,"")</f>
        <v/>
      </c>
      <c r="BX5" s="1420" t="str">
        <f>BX6</f>
        <v/>
      </c>
    </row>
    <row r="6" spans="2:76">
      <c r="B6" s="26"/>
      <c r="C6" s="1741"/>
      <c r="D6" s="29"/>
      <c r="T6" s="1420">
        <v>1</v>
      </c>
      <c r="U6" s="1420" t="e">
        <f ca="1">FIND(";",FeatsTakenList,1)</f>
        <v>#VALUE!</v>
      </c>
      <c r="V6" s="1420" t="str">
        <f ca="1">IF(NOT(ISERROR(U6)),MID(FeatsTakenList,U5+1,U6-U5-1),"")</f>
        <v/>
      </c>
      <c r="W6" s="1420" t="str">
        <f t="shared" ref="W6:W12" ca="1" si="0">IF(V6&lt;&gt;"",V6&amp;IF(W7&lt;&gt;"",", ","")&amp;W7,W7)</f>
        <v/>
      </c>
      <c r="X6" s="1420">
        <v>1</v>
      </c>
      <c r="Y6" s="1420" t="e">
        <f>FIND(";",TalentsTakenBlankList,1)</f>
        <v>#VALUE!</v>
      </c>
      <c r="Z6" s="1420" t="str">
        <f t="shared" ref="Z6:Z34" si="1">IF(NOT(ISERROR(Y6)),MID(TalentsTakenBlankList,Y5+1,Y6-Y5-1),"")</f>
        <v/>
      </c>
      <c r="AA6" s="1420" t="str">
        <f t="shared" ref="AA6:AA34" si="2">IF(Z6&lt;&gt;"",Z6&amp;IF(AA7&lt;&gt;"",", ","")&amp;AA7,AA7)</f>
        <v/>
      </c>
      <c r="AB6" s="1420">
        <v>1</v>
      </c>
      <c r="AC6" s="1420" t="e">
        <f>FIND(";",SpeciesTraitsList,1)</f>
        <v>#VALUE!</v>
      </c>
      <c r="AD6" s="1420" t="str">
        <f t="shared" ref="AD6:AD19" si="3">IF(NOT(ISERROR(AC6)),MID(SpeciesTraitsList,AC5+1,AC6-AC5-1),"")</f>
        <v/>
      </c>
      <c r="AE6" s="1420" t="str">
        <f>IF(AD6&lt;&gt;"",AD6&amp;IF(AE7&lt;&gt;"",", ","")&amp;AE7,AE7)</f>
        <v/>
      </c>
      <c r="AF6" s="1420">
        <v>1</v>
      </c>
      <c r="AG6" s="1420">
        <f ca="1">FIND(", ",SpecialOpionsListStatBlock,1)</f>
        <v>1</v>
      </c>
      <c r="AH6" s="1420" t="str">
        <f ca="1">IF(NOT(ISERROR(AG6)),MID(SpecialOpionsListStatBlock,AG5+1,AG6-AG5-1),"")</f>
        <v/>
      </c>
      <c r="AJ6" s="743">
        <f ca="1">COUNTIF($AH$6:$AH$25,"&lt;="&amp;AH6)</f>
        <v>0</v>
      </c>
      <c r="AK6" s="1420" t="str">
        <f ca="1">AH6</f>
        <v/>
      </c>
      <c r="AL6" s="1420" t="str">
        <f ca="1">VLOOKUP(SMALL($AJ$6:$AK$25,ROW()-ROW($AL$5)),$AJ$6:$AK$25,2,FALSE)</f>
        <v/>
      </c>
      <c r="AM6" s="1420" t="str">
        <f t="shared" ref="AM6:AM24" ca="1" si="4">IF(AL6&lt;&gt;"",IF(AM7&lt;&gt;"",AL6&amp;", "&amp;AM7,AL6),AM7)</f>
        <v/>
      </c>
      <c r="AN6" s="1420">
        <v>1</v>
      </c>
      <c r="AO6" s="1420">
        <f ca="1">FIND(", ",AttackOptionsStatBlock,1)</f>
        <v>1</v>
      </c>
      <c r="AP6" s="1420" t="str">
        <f ca="1">IF(NOT(ISERROR(AO6)),MID(AttackOptionsStatBlock,AO5+1,AO6-AO5-1),"")</f>
        <v/>
      </c>
      <c r="AR6" s="743">
        <f ca="1">COUNTIF($AP$6:$AP$25,"&lt;="&amp;AP6)</f>
        <v>0</v>
      </c>
      <c r="AS6" s="1420" t="str">
        <f ca="1">AP6</f>
        <v/>
      </c>
      <c r="AT6" s="1420" t="str">
        <f ca="1">VLOOKUP(SMALL($AR$6:$AR$25,ROW()-ROW($AT$5)),$AR$6:$AS$25,2,FALSE)</f>
        <v/>
      </c>
      <c r="AU6" s="1420" t="str">
        <f t="shared" ref="AU6:AU24" ca="1" si="5">IF(AT6&lt;&gt;"",AT6&amp;", "&amp;AU7,AU7)</f>
        <v/>
      </c>
      <c r="AW6" s="1420">
        <v>1</v>
      </c>
      <c r="AX6" s="1420" t="e">
        <f>FIND(";",ForcePowersTaken,1)</f>
        <v>#VALUE!</v>
      </c>
      <c r="AY6" s="1420" t="str">
        <f t="shared" ref="AY6:AY25" si="6">IF(NOT(ISERROR(AX6)),MID(ForcePowersTaken,AX5+1,AX6-AX5-1),"")</f>
        <v/>
      </c>
      <c r="BA6" s="743">
        <f>COUNTIF(AY$6:AY$25,"&lt;="&amp;AY6)</f>
        <v>0</v>
      </c>
      <c r="BB6" s="1420" t="str">
        <f>AY6</f>
        <v/>
      </c>
      <c r="BC6" s="1420" t="str">
        <f>VLOOKUP(SMALL(BA$6:BA$25,ROW()-ROW(BC$5)),BA$6:BB$25,2,FALSE)</f>
        <v/>
      </c>
      <c r="BD6" s="1420" t="str">
        <f t="shared" ref="BD6:BD24" si="7">IF(BC6&lt;&gt;"",BC6&amp;", "&amp;BD7,BD7)</f>
        <v/>
      </c>
      <c r="BE6" s="1420">
        <v>1</v>
      </c>
      <c r="BF6" s="1420" t="e">
        <f>FIND(";",ForceTechniquesTaken,1)</f>
        <v>#VALUE!</v>
      </c>
      <c r="BG6" s="1420" t="str">
        <f t="shared" ref="BG6:BG25" si="8">IF(NOT(ISERROR(BF6)),MID(ForceTechniquesTaken,BF5+1,BF6-BF5-1),"")</f>
        <v/>
      </c>
      <c r="BI6" s="743">
        <f>COUNTIF(BG$6:BG$25,"&lt;="&amp;BG6)</f>
        <v>0</v>
      </c>
      <c r="BJ6" s="1420" t="str">
        <f>BG6</f>
        <v/>
      </c>
      <c r="BK6" s="1420" t="str">
        <f>VLOOKUP(SMALL(BI$6:BI$25,ROW()-ROW(BK$5)),BI$6:BJ$25,2,FALSE)</f>
        <v/>
      </c>
      <c r="BL6" s="1420" t="str">
        <f t="shared" ref="BL6:BL24" si="9">IF(BK6&lt;&gt;"",BK6&amp;", "&amp;BL7,BL7)</f>
        <v/>
      </c>
      <c r="BM6" s="1420">
        <v>1</v>
      </c>
      <c r="BN6" s="1420" t="e">
        <f>FIND(";",ForceSecretsTaken,1)</f>
        <v>#VALUE!</v>
      </c>
      <c r="BO6" s="1420" t="str">
        <f t="shared" ref="BO6:BO25" si="10">IF(NOT(ISERROR(BN6)),MID(ForceSecretsTaken,BN5+1,BN6-BN5-1),"")</f>
        <v/>
      </c>
      <c r="BQ6" s="743">
        <f>COUNTIF(BO$6:BO$25,"&lt;="&amp;BO6)</f>
        <v>0</v>
      </c>
      <c r="BR6" s="1420" t="str">
        <f>BO6</f>
        <v/>
      </c>
      <c r="BS6" s="1420" t="str">
        <f>VLOOKUP(SMALL(BQ$6:BQ$25,ROW()-ROW(BS$5)),BQ$6:BR$25,2,FALSE)</f>
        <v/>
      </c>
      <c r="BT6" s="1420" t="str">
        <f t="shared" ref="BT6:BT24" si="11">IF(BS6&lt;&gt;"",BS6&amp;", "&amp;BT7,BT7)</f>
        <v/>
      </c>
      <c r="BU6" s="1420">
        <v>1</v>
      </c>
      <c r="BV6" s="1420" t="e">
        <f>FIND(";",EquipmentNameListStatBlock,1)</f>
        <v>#VALUE!</v>
      </c>
      <c r="BW6" s="1420" t="str">
        <f t="shared" ref="BW6:BW25" si="12">IF(NOT(ISERROR(BV6)),MID(EquipmentNameListStatBlock,BV5+1,BV6-BV5-1),"")</f>
        <v/>
      </c>
      <c r="BX6" s="1420" t="str">
        <f>IF(BW6&lt;&gt;"",BW6&amp;IF(BX7&lt;&gt;"",", "&amp;BX7,""),BX7)</f>
        <v/>
      </c>
    </row>
    <row r="7" spans="2:76">
      <c r="B7" s="26"/>
      <c r="C7" s="1741"/>
      <c r="D7" s="29"/>
      <c r="G7" s="1420" t="e">
        <f ca="1">I7&amp;IF(I8&lt;&gt;"","
"&amp;I8,"")&amp;"
"&amp;I9&amp;"
"&amp;I10</f>
        <v>#N/A</v>
      </c>
      <c r="I7" s="1420" t="e">
        <f ca="1">K7</f>
        <v>#N/A</v>
      </c>
      <c r="K7" s="1420" t="e">
        <f ca="1">OutputSize&amp;" "&amp;Species&amp;" "&amp;LOWER(LevelsTaken)</f>
        <v>#N/A</v>
      </c>
      <c r="T7" s="1420">
        <f>T6+1</f>
        <v>2</v>
      </c>
      <c r="U7" s="1420" t="e">
        <f ca="1">FIND(";",FeatsTakenList,U6+1)</f>
        <v>#VALUE!</v>
      </c>
      <c r="V7" s="1420" t="str">
        <f t="shared" ref="V7:V34" ca="1" si="13">IF(NOT(ISERROR(U7)),MID(FeatsTakenList,U6+1,U7-U6-1),"")</f>
        <v/>
      </c>
      <c r="W7" s="1420" t="str">
        <f t="shared" ca="1" si="0"/>
        <v/>
      </c>
      <c r="X7" s="1420">
        <f>X6+1</f>
        <v>2</v>
      </c>
      <c r="Y7" s="1420" t="e">
        <f t="shared" ref="Y7:Y34" si="14">FIND(";",TalentsTakenBlankList,Y6+1)</f>
        <v>#VALUE!</v>
      </c>
      <c r="Z7" s="1420" t="str">
        <f t="shared" si="1"/>
        <v/>
      </c>
      <c r="AA7" s="1420" t="str">
        <f t="shared" si="2"/>
        <v/>
      </c>
      <c r="AB7" s="1420">
        <f>AB6+1</f>
        <v>2</v>
      </c>
      <c r="AC7" s="1420" t="e">
        <f t="shared" ref="AC7:AC19" si="15">FIND(";",SpeciesTraitsList,AC6+1)</f>
        <v>#VALUE!</v>
      </c>
      <c r="AD7" s="1420" t="str">
        <f t="shared" si="3"/>
        <v/>
      </c>
      <c r="AE7" s="1420" t="str">
        <f>IF(AD7&lt;&gt;"",AD7&amp;IF(AE8&lt;&gt;"",", ","")&amp;AE8,AE8)</f>
        <v/>
      </c>
      <c r="AF7" s="1420">
        <f>AF6+1</f>
        <v>2</v>
      </c>
      <c r="AG7" s="1420">
        <f t="shared" ref="AG7:AG25" ca="1" si="16">FIND(", ",SpecialOpionsListStatBlock,AG6+1)</f>
        <v>3</v>
      </c>
      <c r="AH7" s="1420" t="str">
        <f t="shared" ref="AH7:AH25" ca="1" si="17">IF(NOT(ISERROR(AG7)),MID(SpecialOpionsListStatBlock,AG6+2,AG7-AG6-2),"")</f>
        <v/>
      </c>
      <c r="AJ7" s="743">
        <f t="shared" ref="AJ7:AJ25" ca="1" si="18">COUNTIF($AH$6:$AH$25,"&lt;="&amp;AH7)</f>
        <v>0</v>
      </c>
      <c r="AK7" s="1420" t="str">
        <f t="shared" ref="AK7:AK25" ca="1" si="19">AH7</f>
        <v/>
      </c>
      <c r="AL7" s="1420" t="str">
        <f t="shared" ref="AL7:AL25" ca="1" si="20">VLOOKUP(SMALL($AJ$6:$AK$25,ROW()-ROW($AL$5)),$AJ$6:$AK$25,2,FALSE)</f>
        <v/>
      </c>
      <c r="AM7" s="1420" t="str">
        <f t="shared" ca="1" si="4"/>
        <v/>
      </c>
      <c r="AN7" s="1420">
        <f>AN6+1</f>
        <v>2</v>
      </c>
      <c r="AO7" s="1420" t="e">
        <f t="shared" ref="AO7:AO25" ca="1" si="21">FIND(", ",AttackOptionsStatBlock,AO6+1)</f>
        <v>#VALUE!</v>
      </c>
      <c r="AP7" s="1420" t="str">
        <f t="shared" ref="AP7:AP25" ca="1" si="22">IF(NOT(ISERROR(AO7)),MID(AttackOptionsStatBlock,AO6+2,AO7-AO6-2),"")</f>
        <v/>
      </c>
      <c r="AR7" s="743">
        <f ca="1">COUNTIF($AP$6:$AP$25,"&lt;="&amp;AP7)</f>
        <v>0</v>
      </c>
      <c r="AS7" s="1420" t="str">
        <f t="shared" ref="AS7:AS25" ca="1" si="23">AP7</f>
        <v/>
      </c>
      <c r="AT7" s="1420" t="str">
        <f t="shared" ref="AT7:AT25" ca="1" si="24">VLOOKUP(SMALL($AR$6:$AR$25,ROW()-ROW($AT$5)),$AR$6:$AS$25,2,FALSE)</f>
        <v/>
      </c>
      <c r="AU7" s="1420" t="str">
        <f t="shared" ca="1" si="5"/>
        <v/>
      </c>
      <c r="AW7" s="1420">
        <f>AW6+1</f>
        <v>2</v>
      </c>
      <c r="AX7" s="1420" t="e">
        <f t="shared" ref="AX7:AX25" si="25">FIND(";",ForcePowersTaken,AX6+1)</f>
        <v>#VALUE!</v>
      </c>
      <c r="AY7" s="1420" t="str">
        <f t="shared" si="6"/>
        <v/>
      </c>
      <c r="BA7" s="743">
        <f t="shared" ref="BA7:BA25" si="26">COUNTIF(AY$6:AY$25,"&lt;="&amp;AY7)</f>
        <v>0</v>
      </c>
      <c r="BB7" s="1420" t="str">
        <f t="shared" ref="BB7:BB25" si="27">AY7</f>
        <v/>
      </c>
      <c r="BC7" s="1420" t="str">
        <f t="shared" ref="BC7:BC25" si="28">VLOOKUP(SMALL(BA$6:BA$25,ROW()-ROW(BC$5)),BA$6:BB$25,2,FALSE)</f>
        <v/>
      </c>
      <c r="BD7" s="1420" t="str">
        <f t="shared" si="7"/>
        <v/>
      </c>
      <c r="BE7" s="1420">
        <f>BE6+1</f>
        <v>2</v>
      </c>
      <c r="BF7" s="1420" t="e">
        <f t="shared" ref="BF7:BF25" si="29">FIND(";",ForceTechniquesTaken,BF6+1)</f>
        <v>#VALUE!</v>
      </c>
      <c r="BG7" s="1420" t="str">
        <f t="shared" si="8"/>
        <v/>
      </c>
      <c r="BI7" s="743">
        <f t="shared" ref="BI7:BI25" si="30">COUNTIF(BG$6:BG$25,"&lt;="&amp;BG7)</f>
        <v>0</v>
      </c>
      <c r="BJ7" s="1420" t="str">
        <f t="shared" ref="BJ7:BJ25" si="31">BG7</f>
        <v/>
      </c>
      <c r="BK7" s="1420" t="str">
        <f t="shared" ref="BK7:BK25" si="32">VLOOKUP(SMALL(BI$6:BI$25,ROW()-ROW(BK$5)),BI$6:BJ$25,2,FALSE)</f>
        <v/>
      </c>
      <c r="BL7" s="1420" t="str">
        <f t="shared" si="9"/>
        <v/>
      </c>
      <c r="BM7" s="1420">
        <f>BM6+1</f>
        <v>2</v>
      </c>
      <c r="BN7" s="1420" t="e">
        <f t="shared" ref="BN7:BN25" si="33">FIND(";",ForceSecretsTaken,BN6+1)</f>
        <v>#VALUE!</v>
      </c>
      <c r="BO7" s="1420" t="str">
        <f t="shared" si="10"/>
        <v/>
      </c>
      <c r="BQ7" s="743">
        <f t="shared" ref="BQ7:BQ25" si="34">COUNTIF(BO$6:BO$25,"&lt;="&amp;BO7)</f>
        <v>0</v>
      </c>
      <c r="BR7" s="1420" t="str">
        <f t="shared" ref="BR7:BR25" si="35">BO7</f>
        <v/>
      </c>
      <c r="BS7" s="1420" t="str">
        <f t="shared" ref="BS7:BS25" si="36">VLOOKUP(SMALL(BQ$6:BQ$25,ROW()-ROW(BS$5)),BQ$6:BR$25,2,FALSE)</f>
        <v/>
      </c>
      <c r="BT7" s="1420" t="str">
        <f t="shared" si="11"/>
        <v/>
      </c>
      <c r="BU7" s="1420">
        <f>BU6+1</f>
        <v>2</v>
      </c>
      <c r="BV7" s="1420" t="e">
        <f t="shared" ref="BV7:BV25" si="37">FIND(";",EquipmentNameListStatBlock,BV6+1)</f>
        <v>#VALUE!</v>
      </c>
      <c r="BW7" s="1420" t="str">
        <f t="shared" si="12"/>
        <v/>
      </c>
      <c r="BX7" s="1420" t="str">
        <f t="shared" ref="BX7:BX25" si="38">IF(BW7&lt;&gt;"",BW7&amp;IF(BX8&lt;&gt;"",", "&amp;BX8,""),BX8)</f>
        <v/>
      </c>
    </row>
    <row r="8" spans="2:76">
      <c r="B8" s="26"/>
      <c r="C8" s="1741"/>
      <c r="D8" s="29"/>
      <c r="I8" s="1420" t="str">
        <f>K8&amp;L8&amp;M8</f>
        <v/>
      </c>
      <c r="K8" s="1420" t="str">
        <f>IF(DestinyPoints&gt;0,"Destiny "&amp;DestinyPoints&amp;"; ","")</f>
        <v/>
      </c>
      <c r="L8" s="1420" t="str">
        <f>IF(ForcePoints&gt;0,"Force "&amp;ForcePoints&amp;IF(Feats!M306&gt;0,", Strong in the Force","")&amp;IF(M8&lt;&gt;"","; ",""),"")</f>
        <v/>
      </c>
      <c r="M8" s="1420" t="str">
        <f>IF(DSP&gt;0,"Dark Side "&amp;DSP,"")</f>
        <v/>
      </c>
      <c r="T8" s="1420">
        <f t="shared" ref="T8:T34" si="39">T7+1</f>
        <v>3</v>
      </c>
      <c r="U8" s="1420" t="e">
        <f t="shared" ref="U8:U34" ca="1" si="40">FIND(";",FeatsTakenList,U7+1)</f>
        <v>#VALUE!</v>
      </c>
      <c r="V8" s="1420" t="str">
        <f ca="1">IF(NOT(ISERROR(U8)),MID(FeatsTakenList,U7+1,U8-U7-1),"")</f>
        <v/>
      </c>
      <c r="W8" s="1420" t="str">
        <f t="shared" ca="1" si="0"/>
        <v/>
      </c>
      <c r="X8" s="1420">
        <f t="shared" ref="X8:X34" si="41">X7+1</f>
        <v>3</v>
      </c>
      <c r="Y8" s="1420" t="e">
        <f t="shared" si="14"/>
        <v>#VALUE!</v>
      </c>
      <c r="Z8" s="1420" t="str">
        <f t="shared" si="1"/>
        <v/>
      </c>
      <c r="AA8" s="1420" t="str">
        <f t="shared" si="2"/>
        <v/>
      </c>
      <c r="AB8" s="1420">
        <f t="shared" ref="AB8:AB19" si="42">AB7+1</f>
        <v>3</v>
      </c>
      <c r="AC8" s="1420" t="e">
        <f t="shared" si="15"/>
        <v>#VALUE!</v>
      </c>
      <c r="AD8" s="1420" t="str">
        <f t="shared" si="3"/>
        <v/>
      </c>
      <c r="AE8" s="1420" t="str">
        <f t="shared" ref="AE8:AE19" si="43">IF(AD8&lt;&gt;"",AD8&amp;IF(AE9&lt;&gt;"",", ","")&amp;AE9,AE9)</f>
        <v/>
      </c>
      <c r="AF8" s="1420">
        <f t="shared" ref="AF8:AF25" si="44">AF7+1</f>
        <v>3</v>
      </c>
      <c r="AG8" s="1420" t="e">
        <f t="shared" ca="1" si="16"/>
        <v>#VALUE!</v>
      </c>
      <c r="AH8" s="1420" t="str">
        <f t="shared" ca="1" si="17"/>
        <v/>
      </c>
      <c r="AJ8" s="743">
        <f t="shared" ca="1" si="18"/>
        <v>0</v>
      </c>
      <c r="AK8" s="1420" t="str">
        <f t="shared" ca="1" si="19"/>
        <v/>
      </c>
      <c r="AL8" s="1420" t="str">
        <f t="shared" ca="1" si="20"/>
        <v/>
      </c>
      <c r="AM8" s="1420" t="str">
        <f t="shared" ca="1" si="4"/>
        <v/>
      </c>
      <c r="AN8" s="1420">
        <f t="shared" ref="AN8:AN25" si="45">AN7+1</f>
        <v>3</v>
      </c>
      <c r="AO8" s="1420" t="e">
        <f t="shared" ca="1" si="21"/>
        <v>#VALUE!</v>
      </c>
      <c r="AP8" s="1420" t="str">
        <f t="shared" ca="1" si="22"/>
        <v/>
      </c>
      <c r="AR8" s="743">
        <f ca="1">COUNTIF($AP$6:$AP$25,"&lt;="&amp;AP8)</f>
        <v>0</v>
      </c>
      <c r="AS8" s="1420" t="str">
        <f t="shared" ca="1" si="23"/>
        <v/>
      </c>
      <c r="AT8" s="1420" t="str">
        <f t="shared" ca="1" si="24"/>
        <v/>
      </c>
      <c r="AU8" s="1420" t="str">
        <f t="shared" ca="1" si="5"/>
        <v/>
      </c>
      <c r="AW8" s="1420">
        <f t="shared" ref="AW8:AW25" si="46">AW7+1</f>
        <v>3</v>
      </c>
      <c r="AX8" s="1420" t="e">
        <f t="shared" si="25"/>
        <v>#VALUE!</v>
      </c>
      <c r="AY8" s="1420" t="str">
        <f t="shared" si="6"/>
        <v/>
      </c>
      <c r="BA8" s="743">
        <f t="shared" si="26"/>
        <v>0</v>
      </c>
      <c r="BB8" s="1420" t="str">
        <f t="shared" si="27"/>
        <v/>
      </c>
      <c r="BC8" s="1420" t="str">
        <f t="shared" si="28"/>
        <v/>
      </c>
      <c r="BD8" s="1420" t="str">
        <f t="shared" si="7"/>
        <v/>
      </c>
      <c r="BE8" s="1420">
        <f t="shared" ref="BE8:BE25" si="47">BE7+1</f>
        <v>3</v>
      </c>
      <c r="BF8" s="1420" t="e">
        <f t="shared" si="29"/>
        <v>#VALUE!</v>
      </c>
      <c r="BG8" s="1420" t="str">
        <f t="shared" si="8"/>
        <v/>
      </c>
      <c r="BI8" s="743">
        <f t="shared" si="30"/>
        <v>0</v>
      </c>
      <c r="BJ8" s="1420" t="str">
        <f t="shared" si="31"/>
        <v/>
      </c>
      <c r="BK8" s="1420" t="str">
        <f t="shared" si="32"/>
        <v/>
      </c>
      <c r="BL8" s="1420" t="str">
        <f t="shared" si="9"/>
        <v/>
      </c>
      <c r="BM8" s="1420">
        <f t="shared" ref="BM8:BM25" si="48">BM7+1</f>
        <v>3</v>
      </c>
      <c r="BN8" s="1420" t="e">
        <f t="shared" si="33"/>
        <v>#VALUE!</v>
      </c>
      <c r="BO8" s="1420" t="str">
        <f t="shared" si="10"/>
        <v/>
      </c>
      <c r="BQ8" s="743">
        <f t="shared" si="34"/>
        <v>0</v>
      </c>
      <c r="BR8" s="1420" t="str">
        <f t="shared" si="35"/>
        <v/>
      </c>
      <c r="BS8" s="1420" t="str">
        <f t="shared" si="36"/>
        <v/>
      </c>
      <c r="BT8" s="1420" t="str">
        <f t="shared" si="11"/>
        <v/>
      </c>
      <c r="BU8" s="1420">
        <f t="shared" ref="BU8:BU25" si="49">BU7+1</f>
        <v>3</v>
      </c>
      <c r="BV8" s="1420" t="e">
        <f t="shared" si="37"/>
        <v>#VALUE!</v>
      </c>
      <c r="BW8" s="1420" t="str">
        <f t="shared" si="12"/>
        <v/>
      </c>
      <c r="BX8" s="1420" t="str">
        <f t="shared" si="38"/>
        <v/>
      </c>
    </row>
    <row r="9" spans="2:76">
      <c r="B9" s="26"/>
      <c r="C9" s="1741"/>
      <c r="D9" s="29"/>
      <c r="I9" s="1420" t="str">
        <f ca="1">K9</f>
        <v>Init +0; Senses Perception +0</v>
      </c>
      <c r="K9" s="1420" t="str">
        <f ca="1">"Init "&amp;IF(Talents!M37&gt;0,"Use the Force "&amp;IF(UsetheForce&lt;0,UsetheForce,"+"&amp;UsetheForce),IF(Initiative&lt;0,Initiative,"+"&amp;Initiative))&amp;M9&amp;"; Senses "&amp;N9&amp;O9&amp;L9&amp;IF(Talents!M120&gt;0,"Use the Force "&amp;IF(UsetheForce&lt;0,UsetheForce,"+"&amp;UsetheForce),"Perception "&amp;IF(Perception&lt;0,Perception,"+"&amp;Perception))</f>
        <v>Init +0; Senses Perception +0</v>
      </c>
      <c r="L9" s="1420" t="str">
        <f>IF('The Force'!AK59&lt;&gt;"","Improved Sense Surroundings, ","")</f>
        <v/>
      </c>
      <c r="M9" s="1420" t="str">
        <f>IF(Talents!M121&gt;0,"(Force Point: can reroll and keep better result)","")</f>
        <v/>
      </c>
      <c r="N9" s="1420" t="str">
        <f>IF(OR(NOT(ISERROR(FIND("Darkvision",SpecialQualitiesStatBlock))),NOT(ISERROR(FIND("Subterranean",SpecialQualitiesStatBlock))),NOT(ISERROR(FIND("Darkvision",DroidSystemsOutput)))),"darkvision, ","")</f>
        <v/>
      </c>
      <c r="O9" s="1420" t="str">
        <f>IF(OR(NOT(ISERROR(FIND("Low-Light Vision",SpecialQualitiesStatBlock))),NOT(ISERROR(FIND("low-light vision",ArmorHelmet))),NOT(ISERROR(FIND("helmet package",ArmorHelmet))),NOT(ISERROR(FIND("Arctic",SpecialQualitiesStatBlock)))),"low-light vision, ","")</f>
        <v/>
      </c>
      <c r="T9" s="1420">
        <f t="shared" si="39"/>
        <v>4</v>
      </c>
      <c r="U9" s="1420" t="e">
        <f t="shared" ca="1" si="40"/>
        <v>#VALUE!</v>
      </c>
      <c r="V9" s="1420" t="str">
        <f t="shared" ca="1" si="13"/>
        <v/>
      </c>
      <c r="W9" s="1420" t="str">
        <f t="shared" ca="1" si="0"/>
        <v/>
      </c>
      <c r="X9" s="1420">
        <f t="shared" si="41"/>
        <v>4</v>
      </c>
      <c r="Y9" s="1420" t="e">
        <f t="shared" si="14"/>
        <v>#VALUE!</v>
      </c>
      <c r="Z9" s="1420" t="str">
        <f t="shared" si="1"/>
        <v/>
      </c>
      <c r="AA9" s="1420" t="str">
        <f t="shared" si="2"/>
        <v/>
      </c>
      <c r="AB9" s="1420">
        <f t="shared" si="42"/>
        <v>4</v>
      </c>
      <c r="AC9" s="1420" t="e">
        <f t="shared" si="15"/>
        <v>#VALUE!</v>
      </c>
      <c r="AD9" s="1420" t="str">
        <f t="shared" si="3"/>
        <v/>
      </c>
      <c r="AE9" s="1420" t="str">
        <f t="shared" si="43"/>
        <v/>
      </c>
      <c r="AF9" s="1420">
        <f t="shared" si="44"/>
        <v>4</v>
      </c>
      <c r="AG9" s="1420" t="e">
        <f t="shared" ca="1" si="16"/>
        <v>#VALUE!</v>
      </c>
      <c r="AH9" s="1420" t="str">
        <f t="shared" ca="1" si="17"/>
        <v/>
      </c>
      <c r="AJ9" s="743">
        <f t="shared" ca="1" si="18"/>
        <v>0</v>
      </c>
      <c r="AK9" s="1420" t="str">
        <f t="shared" ca="1" si="19"/>
        <v/>
      </c>
      <c r="AL9" s="1420" t="str">
        <f t="shared" ca="1" si="20"/>
        <v/>
      </c>
      <c r="AM9" s="1420" t="str">
        <f t="shared" ca="1" si="4"/>
        <v/>
      </c>
      <c r="AN9" s="1420">
        <f t="shared" si="45"/>
        <v>4</v>
      </c>
      <c r="AO9" s="1420" t="e">
        <f t="shared" ca="1" si="21"/>
        <v>#VALUE!</v>
      </c>
      <c r="AP9" s="1420" t="str">
        <f t="shared" ca="1" si="22"/>
        <v/>
      </c>
      <c r="AR9" s="743">
        <f ca="1">COUNTIF($AP$6:$AP$25,"&lt;="&amp;AP9)</f>
        <v>0</v>
      </c>
      <c r="AS9" s="1420" t="str">
        <f t="shared" ca="1" si="23"/>
        <v/>
      </c>
      <c r="AT9" s="1420" t="str">
        <f t="shared" ca="1" si="24"/>
        <v/>
      </c>
      <c r="AU9" s="1420" t="str">
        <f t="shared" ca="1" si="5"/>
        <v/>
      </c>
      <c r="AW9" s="1420">
        <f t="shared" si="46"/>
        <v>4</v>
      </c>
      <c r="AX9" s="1420" t="e">
        <f t="shared" si="25"/>
        <v>#VALUE!</v>
      </c>
      <c r="AY9" s="1420" t="str">
        <f t="shared" si="6"/>
        <v/>
      </c>
      <c r="BA9" s="743">
        <f t="shared" si="26"/>
        <v>0</v>
      </c>
      <c r="BB9" s="1420" t="str">
        <f t="shared" si="27"/>
        <v/>
      </c>
      <c r="BC9" s="1420" t="str">
        <f t="shared" si="28"/>
        <v/>
      </c>
      <c r="BD9" s="1420" t="str">
        <f t="shared" si="7"/>
        <v/>
      </c>
      <c r="BE9" s="1420">
        <f t="shared" si="47"/>
        <v>4</v>
      </c>
      <c r="BF9" s="1420" t="e">
        <f t="shared" si="29"/>
        <v>#VALUE!</v>
      </c>
      <c r="BG9" s="1420" t="str">
        <f t="shared" si="8"/>
        <v/>
      </c>
      <c r="BI9" s="743">
        <f t="shared" si="30"/>
        <v>0</v>
      </c>
      <c r="BJ9" s="1420" t="str">
        <f t="shared" si="31"/>
        <v/>
      </c>
      <c r="BK9" s="1420" t="str">
        <f t="shared" si="32"/>
        <v/>
      </c>
      <c r="BL9" s="1420" t="str">
        <f t="shared" si="9"/>
        <v/>
      </c>
      <c r="BM9" s="1420">
        <f t="shared" si="48"/>
        <v>4</v>
      </c>
      <c r="BN9" s="1420" t="e">
        <f t="shared" si="33"/>
        <v>#VALUE!</v>
      </c>
      <c r="BO9" s="1420" t="str">
        <f t="shared" si="10"/>
        <v/>
      </c>
      <c r="BQ9" s="743">
        <f t="shared" si="34"/>
        <v>0</v>
      </c>
      <c r="BR9" s="1420" t="str">
        <f t="shared" si="35"/>
        <v/>
      </c>
      <c r="BS9" s="1420" t="str">
        <f t="shared" si="36"/>
        <v/>
      </c>
      <c r="BT9" s="1420" t="str">
        <f t="shared" si="11"/>
        <v/>
      </c>
      <c r="BU9" s="1420">
        <f t="shared" si="49"/>
        <v>4</v>
      </c>
      <c r="BV9" s="1420" t="e">
        <f t="shared" si="37"/>
        <v>#VALUE!</v>
      </c>
      <c r="BW9" s="1420" t="str">
        <f t="shared" si="12"/>
        <v/>
      </c>
      <c r="BX9" s="1420" t="str">
        <f t="shared" si="38"/>
        <v/>
      </c>
    </row>
    <row r="10" spans="2:76">
      <c r="B10" s="26"/>
      <c r="C10" s="1741"/>
      <c r="D10" s="29"/>
      <c r="I10" s="1420" t="str">
        <f>K10</f>
        <v xml:space="preserve">Languages </v>
      </c>
      <c r="K10" s="1420" t="str">
        <f>"Languages "&amp;LanguagesStatBlock</f>
        <v xml:space="preserve">Languages </v>
      </c>
      <c r="T10" s="1420">
        <f t="shared" si="39"/>
        <v>5</v>
      </c>
      <c r="U10" s="1420" t="e">
        <f t="shared" ca="1" si="40"/>
        <v>#VALUE!</v>
      </c>
      <c r="V10" s="1420" t="str">
        <f t="shared" ca="1" si="13"/>
        <v/>
      </c>
      <c r="W10" s="1420" t="str">
        <f t="shared" ca="1" si="0"/>
        <v/>
      </c>
      <c r="X10" s="1420">
        <f t="shared" si="41"/>
        <v>5</v>
      </c>
      <c r="Y10" s="1420" t="e">
        <f t="shared" si="14"/>
        <v>#VALUE!</v>
      </c>
      <c r="Z10" s="1420" t="str">
        <f t="shared" si="1"/>
        <v/>
      </c>
      <c r="AA10" s="1420" t="str">
        <f t="shared" si="2"/>
        <v/>
      </c>
      <c r="AB10" s="1420">
        <f t="shared" si="42"/>
        <v>5</v>
      </c>
      <c r="AC10" s="1420" t="e">
        <f t="shared" si="15"/>
        <v>#VALUE!</v>
      </c>
      <c r="AD10" s="1420" t="str">
        <f t="shared" si="3"/>
        <v/>
      </c>
      <c r="AE10" s="1420" t="str">
        <f t="shared" si="43"/>
        <v/>
      </c>
      <c r="AF10" s="1420">
        <f t="shared" si="44"/>
        <v>5</v>
      </c>
      <c r="AG10" s="1420" t="e">
        <f t="shared" ca="1" si="16"/>
        <v>#VALUE!</v>
      </c>
      <c r="AH10" s="1420" t="str">
        <f t="shared" ca="1" si="17"/>
        <v/>
      </c>
      <c r="AJ10" s="743">
        <f t="shared" ca="1" si="18"/>
        <v>0</v>
      </c>
      <c r="AK10" s="1420" t="str">
        <f t="shared" ca="1" si="19"/>
        <v/>
      </c>
      <c r="AL10" s="1420" t="str">
        <f t="shared" ca="1" si="20"/>
        <v/>
      </c>
      <c r="AM10" s="1420" t="str">
        <f t="shared" ca="1" si="4"/>
        <v/>
      </c>
      <c r="AN10" s="1420">
        <f t="shared" si="45"/>
        <v>5</v>
      </c>
      <c r="AO10" s="1420" t="e">
        <f t="shared" ca="1" si="21"/>
        <v>#VALUE!</v>
      </c>
      <c r="AP10" s="1420" t="str">
        <f t="shared" ca="1" si="22"/>
        <v/>
      </c>
      <c r="AR10" s="743">
        <f ca="1">COUNTIF(AP$6:AP$25,"&lt;="&amp;AP10)</f>
        <v>0</v>
      </c>
      <c r="AS10" s="1420" t="str">
        <f t="shared" ca="1" si="23"/>
        <v/>
      </c>
      <c r="AT10" s="1420" t="str">
        <f t="shared" ca="1" si="24"/>
        <v/>
      </c>
      <c r="AU10" s="1420" t="str">
        <f t="shared" ca="1" si="5"/>
        <v/>
      </c>
      <c r="AW10" s="1420">
        <f t="shared" si="46"/>
        <v>5</v>
      </c>
      <c r="AX10" s="1420" t="e">
        <f t="shared" si="25"/>
        <v>#VALUE!</v>
      </c>
      <c r="AY10" s="1420" t="str">
        <f t="shared" si="6"/>
        <v/>
      </c>
      <c r="BA10" s="743">
        <f t="shared" si="26"/>
        <v>0</v>
      </c>
      <c r="BB10" s="1420" t="str">
        <f t="shared" si="27"/>
        <v/>
      </c>
      <c r="BC10" s="1420" t="str">
        <f t="shared" si="28"/>
        <v/>
      </c>
      <c r="BD10" s="1420" t="str">
        <f t="shared" si="7"/>
        <v/>
      </c>
      <c r="BE10" s="1420">
        <f t="shared" si="47"/>
        <v>5</v>
      </c>
      <c r="BF10" s="1420" t="e">
        <f t="shared" si="29"/>
        <v>#VALUE!</v>
      </c>
      <c r="BG10" s="1420" t="str">
        <f t="shared" si="8"/>
        <v/>
      </c>
      <c r="BI10" s="743">
        <f t="shared" si="30"/>
        <v>0</v>
      </c>
      <c r="BJ10" s="1420" t="str">
        <f t="shared" si="31"/>
        <v/>
      </c>
      <c r="BK10" s="1420" t="str">
        <f t="shared" si="32"/>
        <v/>
      </c>
      <c r="BL10" s="1420" t="str">
        <f t="shared" si="9"/>
        <v/>
      </c>
      <c r="BM10" s="1420">
        <f t="shared" si="48"/>
        <v>5</v>
      </c>
      <c r="BN10" s="1420" t="e">
        <f t="shared" si="33"/>
        <v>#VALUE!</v>
      </c>
      <c r="BO10" s="1420" t="str">
        <f t="shared" si="10"/>
        <v/>
      </c>
      <c r="BQ10" s="743">
        <f t="shared" si="34"/>
        <v>0</v>
      </c>
      <c r="BR10" s="1420" t="str">
        <f t="shared" si="35"/>
        <v/>
      </c>
      <c r="BS10" s="1420" t="str">
        <f t="shared" si="36"/>
        <v/>
      </c>
      <c r="BT10" s="1420" t="str">
        <f t="shared" si="11"/>
        <v/>
      </c>
      <c r="BU10" s="1420">
        <f t="shared" si="49"/>
        <v>5</v>
      </c>
      <c r="BV10" s="1420" t="e">
        <f t="shared" si="37"/>
        <v>#VALUE!</v>
      </c>
      <c r="BW10" s="1420" t="str">
        <f t="shared" si="12"/>
        <v/>
      </c>
      <c r="BX10" s="1420" t="str">
        <f t="shared" si="38"/>
        <v/>
      </c>
    </row>
    <row r="11" spans="2:76">
      <c r="B11" s="26"/>
      <c r="C11" s="1741"/>
      <c r="D11" s="29"/>
      <c r="G11" s="1420" t="str">
        <f ca="1">I11&amp;"
"&amp;I12&amp;IF(I13&lt;&gt;"","
"&amp;I13,"")</f>
        <v>Defenses Ref 10 (10 flat-footed), Fort 10, Will 10; 0
hp 0; DR 0; Threshold 10</v>
      </c>
      <c r="I11" s="1420" t="str">
        <f ca="1">K11</f>
        <v>Defenses Ref 10 (10 flat-footed), Fort 10, Will 10; 0</v>
      </c>
      <c r="K11" s="1420" t="str">
        <f ca="1">"Defenses Ref "&amp;RefDefense&amp;" ("&amp;RefDefense-MAX(DexMod,0)&amp;" flat-footed"&amp;L11&amp;"), Fort "&amp;FortDefense&amp;", Will "&amp;WillDefense&amp;IF(OR(DefensesList&lt;&gt;"",TalentsDefensesList&lt;&gt;""),"; "&amp;IF(DefensesList&lt;&gt;"",DefensesList&amp;IF(TalentsDefensesList&lt;&gt;"",", ",""),"")&amp;IF(TalentsDefensesList&lt;&gt;"",TalentsDefensesList,""),"")&amp;IF(M11&lt;&gt;"","
"&amp;M11,"")</f>
        <v>Defenses Ref 10 (10 flat-footed), Fort 10, Will 10; 0</v>
      </c>
      <c r="L11" s="1420" t="str">
        <f>IF(Talents!M68&gt;0,", Lightsaber Defense "&amp;Talents!M68+RefDefense,"")</f>
        <v/>
      </c>
      <c r="M11" s="1420" t="str">
        <f>IF(Padawan,"    (Ref "&amp;PadawanRef&amp;" ["&amp;PadawanRef-MAX(DexMod,0)&amp;" flat-footed], Fort "&amp;PadawanFort&amp;", Will "&amp;PadawanWill&amp;" if within 12 squares of master)","")</f>
        <v/>
      </c>
      <c r="T11" s="1420">
        <f t="shared" si="39"/>
        <v>6</v>
      </c>
      <c r="U11" s="1420" t="e">
        <f t="shared" ca="1" si="40"/>
        <v>#VALUE!</v>
      </c>
      <c r="V11" s="1420" t="str">
        <f t="shared" ca="1" si="13"/>
        <v/>
      </c>
      <c r="W11" s="1420" t="str">
        <f t="shared" ca="1" si="0"/>
        <v/>
      </c>
      <c r="X11" s="1420">
        <f t="shared" si="41"/>
        <v>6</v>
      </c>
      <c r="Y11" s="1420" t="e">
        <f t="shared" si="14"/>
        <v>#VALUE!</v>
      </c>
      <c r="Z11" s="1420" t="str">
        <f t="shared" si="1"/>
        <v/>
      </c>
      <c r="AA11" s="1420" t="str">
        <f t="shared" si="2"/>
        <v/>
      </c>
      <c r="AB11" s="1420">
        <f t="shared" si="42"/>
        <v>6</v>
      </c>
      <c r="AC11" s="1420" t="e">
        <f t="shared" si="15"/>
        <v>#VALUE!</v>
      </c>
      <c r="AD11" s="1420" t="str">
        <f t="shared" si="3"/>
        <v/>
      </c>
      <c r="AE11" s="1420" t="str">
        <f t="shared" si="43"/>
        <v/>
      </c>
      <c r="AF11" s="1420">
        <f t="shared" si="44"/>
        <v>6</v>
      </c>
      <c r="AG11" s="1420" t="e">
        <f t="shared" ca="1" si="16"/>
        <v>#VALUE!</v>
      </c>
      <c r="AH11" s="1420" t="str">
        <f t="shared" ca="1" si="17"/>
        <v/>
      </c>
      <c r="AJ11" s="743">
        <f t="shared" ca="1" si="18"/>
        <v>0</v>
      </c>
      <c r="AK11" s="1420" t="str">
        <f t="shared" ca="1" si="19"/>
        <v/>
      </c>
      <c r="AL11" s="1420" t="str">
        <f t="shared" ca="1" si="20"/>
        <v/>
      </c>
      <c r="AM11" s="1420" t="str">
        <f t="shared" ca="1" si="4"/>
        <v/>
      </c>
      <c r="AN11" s="1420">
        <f t="shared" si="45"/>
        <v>6</v>
      </c>
      <c r="AO11" s="1420" t="e">
        <f t="shared" ca="1" si="21"/>
        <v>#VALUE!</v>
      </c>
      <c r="AP11" s="1420" t="str">
        <f t="shared" ca="1" si="22"/>
        <v/>
      </c>
      <c r="AR11" s="743">
        <f t="shared" ref="AR11:AR25" ca="1" si="50">COUNTIF($AP$6:$AP$25,"&lt;="&amp;AP11)</f>
        <v>0</v>
      </c>
      <c r="AS11" s="1420" t="str">
        <f t="shared" ca="1" si="23"/>
        <v/>
      </c>
      <c r="AT11" s="1420" t="str">
        <f t="shared" ca="1" si="24"/>
        <v/>
      </c>
      <c r="AU11" s="1420" t="str">
        <f t="shared" ca="1" si="5"/>
        <v/>
      </c>
      <c r="AW11" s="1420">
        <f t="shared" si="46"/>
        <v>6</v>
      </c>
      <c r="AX11" s="1420" t="e">
        <f t="shared" si="25"/>
        <v>#VALUE!</v>
      </c>
      <c r="AY11" s="1420" t="str">
        <f t="shared" si="6"/>
        <v/>
      </c>
      <c r="BA11" s="743">
        <f t="shared" si="26"/>
        <v>0</v>
      </c>
      <c r="BB11" s="1420" t="str">
        <f t="shared" si="27"/>
        <v/>
      </c>
      <c r="BC11" s="1420" t="str">
        <f t="shared" si="28"/>
        <v/>
      </c>
      <c r="BD11" s="1420" t="str">
        <f t="shared" si="7"/>
        <v/>
      </c>
      <c r="BE11" s="1420">
        <f t="shared" si="47"/>
        <v>6</v>
      </c>
      <c r="BF11" s="1420" t="e">
        <f t="shared" si="29"/>
        <v>#VALUE!</v>
      </c>
      <c r="BG11" s="1420" t="str">
        <f t="shared" si="8"/>
        <v/>
      </c>
      <c r="BI11" s="743">
        <f t="shared" si="30"/>
        <v>0</v>
      </c>
      <c r="BJ11" s="1420" t="str">
        <f t="shared" si="31"/>
        <v/>
      </c>
      <c r="BK11" s="1420" t="str">
        <f t="shared" si="32"/>
        <v/>
      </c>
      <c r="BL11" s="1420" t="str">
        <f t="shared" si="9"/>
        <v/>
      </c>
      <c r="BM11" s="1420">
        <f t="shared" si="48"/>
        <v>6</v>
      </c>
      <c r="BN11" s="1420" t="e">
        <f t="shared" si="33"/>
        <v>#VALUE!</v>
      </c>
      <c r="BO11" s="1420" t="str">
        <f t="shared" si="10"/>
        <v/>
      </c>
      <c r="BQ11" s="743">
        <f t="shared" si="34"/>
        <v>0</v>
      </c>
      <c r="BR11" s="1420" t="str">
        <f t="shared" si="35"/>
        <v/>
      </c>
      <c r="BS11" s="1420" t="str">
        <f t="shared" si="36"/>
        <v/>
      </c>
      <c r="BT11" s="1420" t="str">
        <f t="shared" si="11"/>
        <v/>
      </c>
      <c r="BU11" s="1420">
        <f t="shared" si="49"/>
        <v>6</v>
      </c>
      <c r="BV11" s="1420" t="e">
        <f t="shared" si="37"/>
        <v>#VALUE!</v>
      </c>
      <c r="BW11" s="1420" t="str">
        <f t="shared" si="12"/>
        <v/>
      </c>
      <c r="BX11" s="1420" t="str">
        <f t="shared" si="38"/>
        <v/>
      </c>
    </row>
    <row r="12" spans="2:76">
      <c r="B12" s="26"/>
      <c r="C12" s="1741"/>
      <c r="D12" s="29"/>
      <c r="I12" s="1420" t="str">
        <f ca="1">K12</f>
        <v>hp 0; DR 0; Threshold 10</v>
      </c>
      <c r="K12" s="1420" t="str">
        <f ca="1">"hp "&amp;HitPoints&amp;"; "&amp;IF(DamageReduction&lt;&gt;"","DR "&amp;DamageReduction&amp;"; ","")&amp;IF(N12&lt;&gt;"",N12&amp;"; ","")&amp;"Threshold "&amp;DamageThreshold</f>
        <v>hp 0; DR 0; Threshold 10</v>
      </c>
      <c r="N12" s="1420" t="str">
        <f>IF(DroidShield&lt;&gt;"","SR "&amp;DroidShield,"")</f>
        <v/>
      </c>
      <c r="T12" s="1420">
        <f t="shared" si="39"/>
        <v>7</v>
      </c>
      <c r="U12" s="1420" t="e">
        <f t="shared" ca="1" si="40"/>
        <v>#VALUE!</v>
      </c>
      <c r="V12" s="1420" t="str">
        <f t="shared" ca="1" si="13"/>
        <v/>
      </c>
      <c r="W12" s="1420" t="str">
        <f t="shared" ca="1" si="0"/>
        <v/>
      </c>
      <c r="X12" s="1420">
        <f t="shared" si="41"/>
        <v>7</v>
      </c>
      <c r="Y12" s="1420" t="e">
        <f t="shared" si="14"/>
        <v>#VALUE!</v>
      </c>
      <c r="Z12" s="1420" t="str">
        <f t="shared" si="1"/>
        <v/>
      </c>
      <c r="AA12" s="1420" t="str">
        <f t="shared" si="2"/>
        <v/>
      </c>
      <c r="AB12" s="1420">
        <f t="shared" si="42"/>
        <v>7</v>
      </c>
      <c r="AC12" s="1420" t="e">
        <f t="shared" si="15"/>
        <v>#VALUE!</v>
      </c>
      <c r="AD12" s="1420" t="str">
        <f t="shared" si="3"/>
        <v/>
      </c>
      <c r="AE12" s="1420" t="str">
        <f t="shared" si="43"/>
        <v/>
      </c>
      <c r="AF12" s="1420">
        <f t="shared" si="44"/>
        <v>7</v>
      </c>
      <c r="AG12" s="1420" t="e">
        <f t="shared" ca="1" si="16"/>
        <v>#VALUE!</v>
      </c>
      <c r="AH12" s="1420" t="str">
        <f t="shared" ca="1" si="17"/>
        <v/>
      </c>
      <c r="AJ12" s="743">
        <f t="shared" ca="1" si="18"/>
        <v>0</v>
      </c>
      <c r="AK12" s="1420" t="str">
        <f t="shared" ca="1" si="19"/>
        <v/>
      </c>
      <c r="AL12" s="1420" t="str">
        <f t="shared" ca="1" si="20"/>
        <v/>
      </c>
      <c r="AM12" s="1420" t="str">
        <f t="shared" ca="1" si="4"/>
        <v/>
      </c>
      <c r="AN12" s="1420">
        <f t="shared" si="45"/>
        <v>7</v>
      </c>
      <c r="AO12" s="1420" t="e">
        <f t="shared" ca="1" si="21"/>
        <v>#VALUE!</v>
      </c>
      <c r="AP12" s="1420" t="str">
        <f t="shared" ca="1" si="22"/>
        <v/>
      </c>
      <c r="AR12" s="743">
        <f t="shared" ca="1" si="50"/>
        <v>0</v>
      </c>
      <c r="AS12" s="1420" t="str">
        <f t="shared" ca="1" si="23"/>
        <v/>
      </c>
      <c r="AT12" s="1420" t="str">
        <f t="shared" ca="1" si="24"/>
        <v/>
      </c>
      <c r="AU12" s="1420" t="str">
        <f t="shared" ca="1" si="5"/>
        <v/>
      </c>
      <c r="AW12" s="1420">
        <f t="shared" si="46"/>
        <v>7</v>
      </c>
      <c r="AX12" s="1420" t="e">
        <f t="shared" si="25"/>
        <v>#VALUE!</v>
      </c>
      <c r="AY12" s="1420" t="str">
        <f t="shared" si="6"/>
        <v/>
      </c>
      <c r="BA12" s="743">
        <f t="shared" si="26"/>
        <v>0</v>
      </c>
      <c r="BB12" s="1420" t="str">
        <f t="shared" si="27"/>
        <v/>
      </c>
      <c r="BC12" s="1420" t="str">
        <f t="shared" si="28"/>
        <v/>
      </c>
      <c r="BD12" s="1420" t="str">
        <f t="shared" si="7"/>
        <v/>
      </c>
      <c r="BE12" s="1420">
        <f t="shared" si="47"/>
        <v>7</v>
      </c>
      <c r="BF12" s="1420" t="e">
        <f t="shared" si="29"/>
        <v>#VALUE!</v>
      </c>
      <c r="BG12" s="1420" t="str">
        <f t="shared" si="8"/>
        <v/>
      </c>
      <c r="BI12" s="743">
        <f t="shared" si="30"/>
        <v>0</v>
      </c>
      <c r="BJ12" s="1420" t="str">
        <f t="shared" si="31"/>
        <v/>
      </c>
      <c r="BK12" s="1420" t="str">
        <f t="shared" si="32"/>
        <v/>
      </c>
      <c r="BL12" s="1420" t="str">
        <f t="shared" si="9"/>
        <v/>
      </c>
      <c r="BM12" s="1420">
        <f t="shared" si="48"/>
        <v>7</v>
      </c>
      <c r="BN12" s="1420" t="e">
        <f t="shared" si="33"/>
        <v>#VALUE!</v>
      </c>
      <c r="BO12" s="1420" t="str">
        <f t="shared" si="10"/>
        <v/>
      </c>
      <c r="BQ12" s="743">
        <f t="shared" si="34"/>
        <v>0</v>
      </c>
      <c r="BR12" s="1420" t="str">
        <f t="shared" si="35"/>
        <v/>
      </c>
      <c r="BS12" s="1420" t="str">
        <f t="shared" si="36"/>
        <v/>
      </c>
      <c r="BT12" s="1420" t="str">
        <f t="shared" si="11"/>
        <v/>
      </c>
      <c r="BU12" s="1420">
        <f t="shared" si="49"/>
        <v>7</v>
      </c>
      <c r="BV12" s="1420" t="e">
        <f t="shared" si="37"/>
        <v>#VALUE!</v>
      </c>
      <c r="BW12" s="1420" t="str">
        <f t="shared" si="12"/>
        <v/>
      </c>
      <c r="BX12" s="1420" t="str">
        <f t="shared" si="38"/>
        <v/>
      </c>
    </row>
    <row r="13" spans="2:76">
      <c r="B13" s="26"/>
      <c r="C13" s="1741"/>
      <c r="D13" s="29"/>
      <c r="I13" s="1420" t="str">
        <f ca="1">K13</f>
        <v/>
      </c>
      <c r="K13" s="1420" t="str">
        <f ca="1">IF(OR(L13&lt;&gt;""),"Immune"&amp;L13,"")</f>
        <v/>
      </c>
      <c r="L13" s="1420" t="str">
        <f ca="1">IF(NOT(ISERROR(FIND("Fearless",ClassSpecials,1)))," fear effects"&amp;IF(M13&lt;&gt;"",",",""),"")</f>
        <v/>
      </c>
      <c r="M13" s="1420" t="str">
        <f ca="1">IF(NOT(ISERROR(FIND("Indomitable",ClassSpecials,1)))," mind-affecting","")</f>
        <v/>
      </c>
      <c r="T13" s="1420">
        <f t="shared" si="39"/>
        <v>8</v>
      </c>
      <c r="U13" s="1420" t="e">
        <f t="shared" ca="1" si="40"/>
        <v>#VALUE!</v>
      </c>
      <c r="V13" s="1420" t="str">
        <f t="shared" ca="1" si="13"/>
        <v/>
      </c>
      <c r="W13" s="1420" t="str">
        <f ca="1">IF(V13&lt;&gt;"",V13&amp;IF(W14&lt;&gt;"",", ","")&amp;W14,W14)</f>
        <v/>
      </c>
      <c r="X13" s="1420">
        <f t="shared" si="41"/>
        <v>8</v>
      </c>
      <c r="Y13" s="1420" t="e">
        <f t="shared" si="14"/>
        <v>#VALUE!</v>
      </c>
      <c r="Z13" s="1420" t="str">
        <f t="shared" si="1"/>
        <v/>
      </c>
      <c r="AA13" s="1420" t="str">
        <f t="shared" si="2"/>
        <v/>
      </c>
      <c r="AB13" s="1420">
        <f t="shared" si="42"/>
        <v>8</v>
      </c>
      <c r="AC13" s="1420" t="e">
        <f t="shared" si="15"/>
        <v>#VALUE!</v>
      </c>
      <c r="AD13" s="1420" t="str">
        <f t="shared" si="3"/>
        <v/>
      </c>
      <c r="AE13" s="1420" t="str">
        <f t="shared" si="43"/>
        <v/>
      </c>
      <c r="AF13" s="1420">
        <f t="shared" si="44"/>
        <v>8</v>
      </c>
      <c r="AG13" s="1420" t="e">
        <f t="shared" ca="1" si="16"/>
        <v>#VALUE!</v>
      </c>
      <c r="AH13" s="1420" t="str">
        <f t="shared" ca="1" si="17"/>
        <v/>
      </c>
      <c r="AJ13" s="743">
        <f t="shared" ca="1" si="18"/>
        <v>0</v>
      </c>
      <c r="AK13" s="1420" t="str">
        <f t="shared" ca="1" si="19"/>
        <v/>
      </c>
      <c r="AL13" s="1420" t="str">
        <f t="shared" ca="1" si="20"/>
        <v/>
      </c>
      <c r="AM13" s="1420" t="str">
        <f t="shared" ca="1" si="4"/>
        <v/>
      </c>
      <c r="AN13" s="1420">
        <f t="shared" si="45"/>
        <v>8</v>
      </c>
      <c r="AO13" s="1420" t="e">
        <f t="shared" ca="1" si="21"/>
        <v>#VALUE!</v>
      </c>
      <c r="AP13" s="1420" t="str">
        <f t="shared" ca="1" si="22"/>
        <v/>
      </c>
      <c r="AR13" s="743">
        <f t="shared" ca="1" si="50"/>
        <v>0</v>
      </c>
      <c r="AS13" s="1420" t="str">
        <f t="shared" ca="1" si="23"/>
        <v/>
      </c>
      <c r="AT13" s="1420" t="str">
        <f t="shared" ca="1" si="24"/>
        <v/>
      </c>
      <c r="AU13" s="1420" t="str">
        <f t="shared" ca="1" si="5"/>
        <v/>
      </c>
      <c r="AW13" s="1420">
        <f t="shared" si="46"/>
        <v>8</v>
      </c>
      <c r="AX13" s="1420" t="e">
        <f t="shared" si="25"/>
        <v>#VALUE!</v>
      </c>
      <c r="AY13" s="1420" t="str">
        <f t="shared" si="6"/>
        <v/>
      </c>
      <c r="BA13" s="743">
        <f t="shared" si="26"/>
        <v>0</v>
      </c>
      <c r="BB13" s="1420" t="str">
        <f t="shared" si="27"/>
        <v/>
      </c>
      <c r="BC13" s="1420" t="str">
        <f t="shared" si="28"/>
        <v/>
      </c>
      <c r="BD13" s="1420" t="str">
        <f t="shared" si="7"/>
        <v/>
      </c>
      <c r="BE13" s="1420">
        <f t="shared" si="47"/>
        <v>8</v>
      </c>
      <c r="BF13" s="1420" t="e">
        <f t="shared" si="29"/>
        <v>#VALUE!</v>
      </c>
      <c r="BG13" s="1420" t="str">
        <f t="shared" si="8"/>
        <v/>
      </c>
      <c r="BI13" s="743">
        <f t="shared" si="30"/>
        <v>0</v>
      </c>
      <c r="BJ13" s="1420" t="str">
        <f t="shared" si="31"/>
        <v/>
      </c>
      <c r="BK13" s="1420" t="str">
        <f t="shared" si="32"/>
        <v/>
      </c>
      <c r="BL13" s="1420" t="str">
        <f t="shared" si="9"/>
        <v/>
      </c>
      <c r="BM13" s="1420">
        <f t="shared" si="48"/>
        <v>8</v>
      </c>
      <c r="BN13" s="1420" t="e">
        <f t="shared" si="33"/>
        <v>#VALUE!</v>
      </c>
      <c r="BO13" s="1420" t="str">
        <f t="shared" si="10"/>
        <v/>
      </c>
      <c r="BQ13" s="743">
        <f t="shared" si="34"/>
        <v>0</v>
      </c>
      <c r="BR13" s="1420" t="str">
        <f t="shared" si="35"/>
        <v/>
      </c>
      <c r="BS13" s="1420" t="str">
        <f t="shared" si="36"/>
        <v/>
      </c>
      <c r="BT13" s="1420" t="str">
        <f t="shared" si="11"/>
        <v/>
      </c>
      <c r="BU13" s="1420">
        <f t="shared" si="49"/>
        <v>8</v>
      </c>
      <c r="BV13" s="1420" t="e">
        <f t="shared" si="37"/>
        <v>#VALUE!</v>
      </c>
      <c r="BW13" s="1420" t="str">
        <f t="shared" si="12"/>
        <v/>
      </c>
      <c r="BX13" s="1420" t="str">
        <f t="shared" si="38"/>
        <v/>
      </c>
    </row>
    <row r="14" spans="2:76">
      <c r="B14" s="26"/>
      <c r="C14" s="1741"/>
      <c r="D14" s="29"/>
      <c r="G14" s="1420" t="e">
        <f ca="1">I14&amp;IF(I15&lt;&gt;"","
"&amp;I15,"")&amp;"
"&amp;I16&amp;"
"&amp;I17&amp;IF(I18&lt;&gt;"","
"&amp;I18,"")&amp;IF(I19&lt;&gt;"","
"&amp;I19,"")&amp;IF(I20&lt;&gt;"","
"&amp;I20,"")&amp;IF(I21&lt;&gt;"","
"&amp;I21,"")&amp;IF(I22&lt;&gt;"","
"&amp;I22,"")&amp;IF(I23&lt;&gt;"","
"&amp;I23,"")&amp;IF(I24&lt;&gt;"","
"&amp;I24,"")&amp;IF(I25&lt;&gt;"","
"&amp;I25,"")</f>
        <v>#VALUE!</v>
      </c>
      <c r="I14" s="1420" t="e">
        <f t="shared" ref="I14:I25" ca="1" si="51">K14</f>
        <v>#VALUE!</v>
      </c>
      <c r="K14" s="1420" t="e">
        <f ca="1">"Speed "&amp;IF(NPCType=3,"1 square (starship scale)",IF(ISERROR(FIND("Droid",Race,1)),SpeedOutput,DroidSpeedList)&amp;IF(SpeedList&lt;&gt;"","; "&amp;SpeedList,""))</f>
        <v>#VALUE!</v>
      </c>
      <c r="T14" s="1420">
        <f t="shared" si="39"/>
        <v>9</v>
      </c>
      <c r="U14" s="1420" t="e">
        <f t="shared" ca="1" si="40"/>
        <v>#VALUE!</v>
      </c>
      <c r="V14" s="1420" t="str">
        <f t="shared" ca="1" si="13"/>
        <v/>
      </c>
      <c r="W14" s="1420" t="str">
        <f t="shared" ref="W14:W34" ca="1" si="52">IF(V14&lt;&gt;"",V14&amp;IF(W15&lt;&gt;"",", ","")&amp;W15,W15)</f>
        <v/>
      </c>
      <c r="X14" s="1420">
        <f t="shared" si="41"/>
        <v>9</v>
      </c>
      <c r="Y14" s="1420" t="e">
        <f t="shared" si="14"/>
        <v>#VALUE!</v>
      </c>
      <c r="Z14" s="1420" t="str">
        <f t="shared" si="1"/>
        <v/>
      </c>
      <c r="AA14" s="1420" t="str">
        <f t="shared" si="2"/>
        <v/>
      </c>
      <c r="AB14" s="1420">
        <f t="shared" si="42"/>
        <v>9</v>
      </c>
      <c r="AC14" s="1420" t="e">
        <f t="shared" si="15"/>
        <v>#VALUE!</v>
      </c>
      <c r="AD14" s="1420" t="str">
        <f t="shared" si="3"/>
        <v/>
      </c>
      <c r="AE14" s="1420" t="str">
        <f t="shared" si="43"/>
        <v/>
      </c>
      <c r="AF14" s="1420">
        <f t="shared" si="44"/>
        <v>9</v>
      </c>
      <c r="AG14" s="1420" t="e">
        <f t="shared" ca="1" si="16"/>
        <v>#VALUE!</v>
      </c>
      <c r="AH14" s="1420" t="str">
        <f t="shared" ca="1" si="17"/>
        <v/>
      </c>
      <c r="AJ14" s="743">
        <f t="shared" ca="1" si="18"/>
        <v>0</v>
      </c>
      <c r="AK14" s="1420" t="str">
        <f t="shared" ca="1" si="19"/>
        <v/>
      </c>
      <c r="AL14" s="1420" t="str">
        <f t="shared" ca="1" si="20"/>
        <v/>
      </c>
      <c r="AM14" s="1420" t="str">
        <f t="shared" ca="1" si="4"/>
        <v/>
      </c>
      <c r="AN14" s="1420">
        <f t="shared" si="45"/>
        <v>9</v>
      </c>
      <c r="AO14" s="1420" t="e">
        <f t="shared" ca="1" si="21"/>
        <v>#VALUE!</v>
      </c>
      <c r="AP14" s="1420" t="str">
        <f t="shared" ca="1" si="22"/>
        <v/>
      </c>
      <c r="AR14" s="743">
        <f t="shared" ca="1" si="50"/>
        <v>0</v>
      </c>
      <c r="AS14" s="1420" t="str">
        <f t="shared" ca="1" si="23"/>
        <v/>
      </c>
      <c r="AT14" s="1420" t="str">
        <f t="shared" ca="1" si="24"/>
        <v/>
      </c>
      <c r="AU14" s="1420" t="str">
        <f t="shared" ca="1" si="5"/>
        <v/>
      </c>
      <c r="AW14" s="1420">
        <f t="shared" si="46"/>
        <v>9</v>
      </c>
      <c r="AX14" s="1420" t="e">
        <f t="shared" si="25"/>
        <v>#VALUE!</v>
      </c>
      <c r="AY14" s="1420" t="str">
        <f t="shared" si="6"/>
        <v/>
      </c>
      <c r="BA14" s="743">
        <f t="shared" si="26"/>
        <v>0</v>
      </c>
      <c r="BB14" s="1420" t="str">
        <f t="shared" si="27"/>
        <v/>
      </c>
      <c r="BC14" s="1420" t="str">
        <f t="shared" si="28"/>
        <v/>
      </c>
      <c r="BD14" s="1420" t="str">
        <f t="shared" si="7"/>
        <v/>
      </c>
      <c r="BE14" s="1420">
        <f t="shared" si="47"/>
        <v>9</v>
      </c>
      <c r="BF14" s="1420" t="e">
        <f t="shared" si="29"/>
        <v>#VALUE!</v>
      </c>
      <c r="BG14" s="1420" t="str">
        <f t="shared" si="8"/>
        <v/>
      </c>
      <c r="BI14" s="743">
        <f t="shared" si="30"/>
        <v>0</v>
      </c>
      <c r="BJ14" s="1420" t="str">
        <f t="shared" si="31"/>
        <v/>
      </c>
      <c r="BK14" s="1420" t="str">
        <f t="shared" si="32"/>
        <v/>
      </c>
      <c r="BL14" s="1420" t="str">
        <f t="shared" si="9"/>
        <v/>
      </c>
      <c r="BM14" s="1420">
        <f t="shared" si="48"/>
        <v>9</v>
      </c>
      <c r="BN14" s="1420" t="e">
        <f t="shared" si="33"/>
        <v>#VALUE!</v>
      </c>
      <c r="BO14" s="1420" t="str">
        <f t="shared" si="10"/>
        <v/>
      </c>
      <c r="BQ14" s="743">
        <f t="shared" si="34"/>
        <v>0</v>
      </c>
      <c r="BR14" s="1420" t="str">
        <f t="shared" si="35"/>
        <v/>
      </c>
      <c r="BS14" s="1420" t="str">
        <f t="shared" si="36"/>
        <v/>
      </c>
      <c r="BT14" s="1420" t="str">
        <f t="shared" si="11"/>
        <v/>
      </c>
      <c r="BU14" s="1420">
        <f t="shared" si="49"/>
        <v>9</v>
      </c>
      <c r="BV14" s="1420" t="e">
        <f t="shared" si="37"/>
        <v>#VALUE!</v>
      </c>
      <c r="BW14" s="1420" t="str">
        <f t="shared" si="12"/>
        <v/>
      </c>
      <c r="BX14" s="1420" t="str">
        <f t="shared" si="38"/>
        <v/>
      </c>
    </row>
    <row r="15" spans="2:76">
      <c r="B15" s="26"/>
      <c r="C15" s="1741"/>
      <c r="D15" s="29"/>
      <c r="I15" s="1420" t="str">
        <f t="shared" si="51"/>
        <v/>
      </c>
      <c r="K15" s="1420" t="str">
        <f>IF(MeleeWeaponAttacksStatBlock&lt;&gt;"",IF(NPCType=3,"Melee see below",MeleeWeaponAttacksStatBlock),IF(Race&lt;&gt;"",IF(NPCType=3,"","Melee by weapon "&amp;IF(BAB+StrMod&lt;0,BAB+StrMod,"+"&amp;BAB+StrMod)),""))</f>
        <v/>
      </c>
      <c r="T15" s="1420">
        <f t="shared" si="39"/>
        <v>10</v>
      </c>
      <c r="U15" s="1420" t="e">
        <f t="shared" ca="1" si="40"/>
        <v>#VALUE!</v>
      </c>
      <c r="V15" s="1420" t="str">
        <f t="shared" ca="1" si="13"/>
        <v/>
      </c>
      <c r="W15" s="1420" t="str">
        <f t="shared" ca="1" si="52"/>
        <v/>
      </c>
      <c r="X15" s="1420">
        <f t="shared" si="41"/>
        <v>10</v>
      </c>
      <c r="Y15" s="1420" t="e">
        <f t="shared" si="14"/>
        <v>#VALUE!</v>
      </c>
      <c r="Z15" s="1420" t="str">
        <f t="shared" si="1"/>
        <v/>
      </c>
      <c r="AA15" s="1420" t="str">
        <f t="shared" si="2"/>
        <v/>
      </c>
      <c r="AB15" s="1420">
        <f t="shared" si="42"/>
        <v>10</v>
      </c>
      <c r="AC15" s="1420" t="e">
        <f t="shared" si="15"/>
        <v>#VALUE!</v>
      </c>
      <c r="AD15" s="1420" t="str">
        <f t="shared" si="3"/>
        <v/>
      </c>
      <c r="AE15" s="1420" t="str">
        <f t="shared" si="43"/>
        <v/>
      </c>
      <c r="AF15" s="1420">
        <f t="shared" si="44"/>
        <v>10</v>
      </c>
      <c r="AG15" s="1420" t="e">
        <f t="shared" ca="1" si="16"/>
        <v>#VALUE!</v>
      </c>
      <c r="AH15" s="1420" t="str">
        <f t="shared" ca="1" si="17"/>
        <v/>
      </c>
      <c r="AJ15" s="743">
        <f t="shared" ca="1" si="18"/>
        <v>0</v>
      </c>
      <c r="AK15" s="1420" t="str">
        <f t="shared" ca="1" si="19"/>
        <v/>
      </c>
      <c r="AL15" s="1420" t="str">
        <f t="shared" ca="1" si="20"/>
        <v/>
      </c>
      <c r="AM15" s="1420" t="str">
        <f t="shared" ca="1" si="4"/>
        <v/>
      </c>
      <c r="AN15" s="1420">
        <f t="shared" si="45"/>
        <v>10</v>
      </c>
      <c r="AO15" s="1420" t="e">
        <f t="shared" ca="1" si="21"/>
        <v>#VALUE!</v>
      </c>
      <c r="AP15" s="1420" t="str">
        <f t="shared" ca="1" si="22"/>
        <v/>
      </c>
      <c r="AR15" s="743">
        <f t="shared" ca="1" si="50"/>
        <v>0</v>
      </c>
      <c r="AS15" s="1420" t="str">
        <f t="shared" ca="1" si="23"/>
        <v/>
      </c>
      <c r="AT15" s="1420" t="str">
        <f t="shared" ca="1" si="24"/>
        <v/>
      </c>
      <c r="AU15" s="1420" t="str">
        <f t="shared" ca="1" si="5"/>
        <v/>
      </c>
      <c r="AW15" s="1420">
        <f t="shared" si="46"/>
        <v>10</v>
      </c>
      <c r="AX15" s="1420" t="e">
        <f t="shared" si="25"/>
        <v>#VALUE!</v>
      </c>
      <c r="AY15" s="1420" t="str">
        <f t="shared" si="6"/>
        <v/>
      </c>
      <c r="BA15" s="743">
        <f t="shared" si="26"/>
        <v>0</v>
      </c>
      <c r="BB15" s="1420" t="str">
        <f t="shared" si="27"/>
        <v/>
      </c>
      <c r="BC15" s="1420" t="str">
        <f t="shared" si="28"/>
        <v/>
      </c>
      <c r="BD15" s="1420" t="str">
        <f t="shared" si="7"/>
        <v/>
      </c>
      <c r="BE15" s="1420">
        <f t="shared" si="47"/>
        <v>10</v>
      </c>
      <c r="BF15" s="1420" t="e">
        <f t="shared" si="29"/>
        <v>#VALUE!</v>
      </c>
      <c r="BG15" s="1420" t="str">
        <f t="shared" si="8"/>
        <v/>
      </c>
      <c r="BI15" s="743">
        <f t="shared" si="30"/>
        <v>0</v>
      </c>
      <c r="BJ15" s="1420" t="str">
        <f t="shared" si="31"/>
        <v/>
      </c>
      <c r="BK15" s="1420" t="str">
        <f t="shared" si="32"/>
        <v/>
      </c>
      <c r="BL15" s="1420" t="str">
        <f t="shared" si="9"/>
        <v/>
      </c>
      <c r="BM15" s="1420">
        <f t="shared" si="48"/>
        <v>10</v>
      </c>
      <c r="BN15" s="1420" t="e">
        <f t="shared" si="33"/>
        <v>#VALUE!</v>
      </c>
      <c r="BO15" s="1420" t="str">
        <f t="shared" si="10"/>
        <v/>
      </c>
      <c r="BQ15" s="743">
        <f t="shared" si="34"/>
        <v>0</v>
      </c>
      <c r="BR15" s="1420" t="str">
        <f t="shared" si="35"/>
        <v/>
      </c>
      <c r="BS15" s="1420" t="str">
        <f t="shared" si="36"/>
        <v/>
      </c>
      <c r="BT15" s="1420" t="str">
        <f t="shared" si="11"/>
        <v/>
      </c>
      <c r="BU15" s="1420">
        <f t="shared" si="49"/>
        <v>10</v>
      </c>
      <c r="BV15" s="1420" t="e">
        <f t="shared" si="37"/>
        <v>#VALUE!</v>
      </c>
      <c r="BW15" s="1420" t="str">
        <f t="shared" si="12"/>
        <v/>
      </c>
      <c r="BX15" s="1420" t="str">
        <f t="shared" si="38"/>
        <v/>
      </c>
    </row>
    <row r="16" spans="2:76">
      <c r="B16" s="26"/>
      <c r="C16" s="1741"/>
      <c r="D16" s="29"/>
      <c r="I16" s="1420" t="str">
        <f t="shared" si="51"/>
        <v/>
      </c>
      <c r="K16" s="1420" t="str">
        <f>IF(RangedWeaponAttacksStatBlock&lt;&gt;"",IF(NPCType=3,"Ranged see below",RangedWeaponAttacksStatBlock),IF(Race&lt;&gt;"",IF(NPCType=3,"","Ranged by weapon "&amp;IF(BAB+DexMod&lt;0,BAB+DexMod,"+"&amp;BAB+DexMod)),""))</f>
        <v/>
      </c>
      <c r="T16" s="1420">
        <f t="shared" si="39"/>
        <v>11</v>
      </c>
      <c r="U16" s="1420" t="e">
        <f t="shared" ca="1" si="40"/>
        <v>#VALUE!</v>
      </c>
      <c r="V16" s="1420" t="str">
        <f t="shared" ca="1" si="13"/>
        <v/>
      </c>
      <c r="W16" s="1420" t="str">
        <f t="shared" ca="1" si="52"/>
        <v/>
      </c>
      <c r="X16" s="1420">
        <f t="shared" si="41"/>
        <v>11</v>
      </c>
      <c r="Y16" s="1420" t="e">
        <f t="shared" si="14"/>
        <v>#VALUE!</v>
      </c>
      <c r="Z16" s="1420" t="str">
        <f t="shared" si="1"/>
        <v/>
      </c>
      <c r="AA16" s="1420" t="str">
        <f t="shared" si="2"/>
        <v/>
      </c>
      <c r="AB16" s="1420">
        <f t="shared" si="42"/>
        <v>11</v>
      </c>
      <c r="AC16" s="1420" t="e">
        <f t="shared" si="15"/>
        <v>#VALUE!</v>
      </c>
      <c r="AD16" s="1420" t="str">
        <f t="shared" si="3"/>
        <v/>
      </c>
      <c r="AE16" s="1420" t="str">
        <f t="shared" si="43"/>
        <v/>
      </c>
      <c r="AF16" s="1420">
        <f t="shared" si="44"/>
        <v>11</v>
      </c>
      <c r="AG16" s="1420" t="e">
        <f t="shared" ca="1" si="16"/>
        <v>#VALUE!</v>
      </c>
      <c r="AH16" s="1420" t="str">
        <f t="shared" ca="1" si="17"/>
        <v/>
      </c>
      <c r="AJ16" s="743">
        <f t="shared" ca="1" si="18"/>
        <v>0</v>
      </c>
      <c r="AK16" s="1420" t="str">
        <f t="shared" ca="1" si="19"/>
        <v/>
      </c>
      <c r="AL16" s="1420" t="str">
        <f t="shared" ca="1" si="20"/>
        <v/>
      </c>
      <c r="AM16" s="1420" t="str">
        <f t="shared" ca="1" si="4"/>
        <v/>
      </c>
      <c r="AN16" s="1420">
        <f t="shared" si="45"/>
        <v>11</v>
      </c>
      <c r="AO16" s="1420" t="e">
        <f t="shared" ca="1" si="21"/>
        <v>#VALUE!</v>
      </c>
      <c r="AP16" s="1420" t="str">
        <f t="shared" ca="1" si="22"/>
        <v/>
      </c>
      <c r="AR16" s="743">
        <f t="shared" ca="1" si="50"/>
        <v>0</v>
      </c>
      <c r="AS16" s="1420" t="str">
        <f t="shared" ca="1" si="23"/>
        <v/>
      </c>
      <c r="AT16" s="1420" t="str">
        <f t="shared" ca="1" si="24"/>
        <v/>
      </c>
      <c r="AU16" s="1420" t="str">
        <f t="shared" ca="1" si="5"/>
        <v/>
      </c>
      <c r="AW16" s="1420">
        <f t="shared" si="46"/>
        <v>11</v>
      </c>
      <c r="AX16" s="1420" t="e">
        <f t="shared" si="25"/>
        <v>#VALUE!</v>
      </c>
      <c r="AY16" s="1420" t="str">
        <f t="shared" si="6"/>
        <v/>
      </c>
      <c r="BA16" s="743">
        <f t="shared" si="26"/>
        <v>0</v>
      </c>
      <c r="BB16" s="1420" t="str">
        <f t="shared" si="27"/>
        <v/>
      </c>
      <c r="BC16" s="1420" t="str">
        <f t="shared" si="28"/>
        <v/>
      </c>
      <c r="BD16" s="1420" t="str">
        <f t="shared" si="7"/>
        <v/>
      </c>
      <c r="BE16" s="1420">
        <f t="shared" si="47"/>
        <v>11</v>
      </c>
      <c r="BF16" s="1420" t="e">
        <f t="shared" si="29"/>
        <v>#VALUE!</v>
      </c>
      <c r="BG16" s="1420" t="str">
        <f t="shared" si="8"/>
        <v/>
      </c>
      <c r="BI16" s="743">
        <f t="shared" si="30"/>
        <v>0</v>
      </c>
      <c r="BJ16" s="1420" t="str">
        <f t="shared" si="31"/>
        <v/>
      </c>
      <c r="BK16" s="1420" t="str">
        <f t="shared" si="32"/>
        <v/>
      </c>
      <c r="BL16" s="1420" t="str">
        <f t="shared" si="9"/>
        <v/>
      </c>
      <c r="BM16" s="1420">
        <f t="shared" si="48"/>
        <v>11</v>
      </c>
      <c r="BN16" s="1420" t="e">
        <f t="shared" si="33"/>
        <v>#VALUE!</v>
      </c>
      <c r="BO16" s="1420" t="str">
        <f t="shared" si="10"/>
        <v/>
      </c>
      <c r="BQ16" s="743">
        <f t="shared" si="34"/>
        <v>0</v>
      </c>
      <c r="BR16" s="1420" t="str">
        <f t="shared" si="35"/>
        <v/>
      </c>
      <c r="BS16" s="1420" t="str">
        <f t="shared" si="36"/>
        <v/>
      </c>
      <c r="BT16" s="1420" t="str">
        <f t="shared" si="11"/>
        <v/>
      </c>
      <c r="BU16" s="1420">
        <f t="shared" si="49"/>
        <v>11</v>
      </c>
      <c r="BV16" s="1420" t="e">
        <f t="shared" si="37"/>
        <v>#VALUE!</v>
      </c>
      <c r="BW16" s="1420" t="str">
        <f t="shared" si="12"/>
        <v/>
      </c>
      <c r="BX16" s="1420" t="str">
        <f t="shared" si="38"/>
        <v/>
      </c>
    </row>
    <row r="17" spans="2:76">
      <c r="B17" s="26"/>
      <c r="C17" s="1741"/>
      <c r="D17" s="29"/>
      <c r="I17" s="1420" t="e">
        <f t="shared" si="51"/>
        <v>#N/A</v>
      </c>
      <c r="K17" s="1420" t="e">
        <f>"Base Atk +"&amp;BAB&amp;"; Grp "&amp;IF(BAB+L17+MAX(StrMod,DexMod)+IF(Race="Krevaaki",2,0)&lt;0,"","+")&amp;BAB+L17+MAX(StrMod,DexMod)+IF(Race="Krevaaki",2,0)</f>
        <v>#N/A</v>
      </c>
      <c r="L17" s="1420" t="e">
        <f>INDEX(SizeTable,IF(NPCType=3,MATCH(INDEX(RaceListTable,RaceIndex,13),SizeAbrList,0),MATCH(OutputSize,SizeList,0)),5)*-1</f>
        <v>#N/A</v>
      </c>
      <c r="T17" s="1420">
        <f t="shared" si="39"/>
        <v>12</v>
      </c>
      <c r="U17" s="1420" t="e">
        <f t="shared" ca="1" si="40"/>
        <v>#VALUE!</v>
      </c>
      <c r="V17" s="1420" t="str">
        <f t="shared" ca="1" si="13"/>
        <v/>
      </c>
      <c r="W17" s="1420" t="str">
        <f t="shared" ca="1" si="52"/>
        <v/>
      </c>
      <c r="X17" s="1420">
        <f t="shared" si="41"/>
        <v>12</v>
      </c>
      <c r="Y17" s="1420" t="e">
        <f t="shared" si="14"/>
        <v>#VALUE!</v>
      </c>
      <c r="Z17" s="1420" t="str">
        <f t="shared" si="1"/>
        <v/>
      </c>
      <c r="AA17" s="1420" t="str">
        <f t="shared" si="2"/>
        <v/>
      </c>
      <c r="AB17" s="1420">
        <f t="shared" si="42"/>
        <v>12</v>
      </c>
      <c r="AC17" s="1420" t="e">
        <f t="shared" si="15"/>
        <v>#VALUE!</v>
      </c>
      <c r="AD17" s="1420" t="str">
        <f t="shared" si="3"/>
        <v/>
      </c>
      <c r="AE17" s="1420" t="str">
        <f t="shared" si="43"/>
        <v/>
      </c>
      <c r="AF17" s="1420">
        <f t="shared" si="44"/>
        <v>12</v>
      </c>
      <c r="AG17" s="1420" t="e">
        <f t="shared" ca="1" si="16"/>
        <v>#VALUE!</v>
      </c>
      <c r="AH17" s="1420" t="str">
        <f t="shared" ca="1" si="17"/>
        <v/>
      </c>
      <c r="AJ17" s="743">
        <f t="shared" ca="1" si="18"/>
        <v>0</v>
      </c>
      <c r="AK17" s="1420" t="str">
        <f t="shared" ca="1" si="19"/>
        <v/>
      </c>
      <c r="AL17" s="1420" t="str">
        <f t="shared" ca="1" si="20"/>
        <v/>
      </c>
      <c r="AM17" s="1420" t="str">
        <f t="shared" ca="1" si="4"/>
        <v/>
      </c>
      <c r="AN17" s="1420">
        <f t="shared" si="45"/>
        <v>12</v>
      </c>
      <c r="AO17" s="1420" t="e">
        <f t="shared" ca="1" si="21"/>
        <v>#VALUE!</v>
      </c>
      <c r="AP17" s="1420" t="str">
        <f t="shared" ca="1" si="22"/>
        <v/>
      </c>
      <c r="AR17" s="743">
        <f t="shared" ca="1" si="50"/>
        <v>0</v>
      </c>
      <c r="AS17" s="1420" t="str">
        <f t="shared" ca="1" si="23"/>
        <v/>
      </c>
      <c r="AT17" s="1420" t="str">
        <f t="shared" ca="1" si="24"/>
        <v/>
      </c>
      <c r="AU17" s="1420" t="str">
        <f t="shared" ca="1" si="5"/>
        <v/>
      </c>
      <c r="AW17" s="1420">
        <f t="shared" si="46"/>
        <v>12</v>
      </c>
      <c r="AX17" s="1420" t="e">
        <f t="shared" si="25"/>
        <v>#VALUE!</v>
      </c>
      <c r="AY17" s="1420" t="str">
        <f t="shared" si="6"/>
        <v/>
      </c>
      <c r="BA17" s="743">
        <f t="shared" si="26"/>
        <v>0</v>
      </c>
      <c r="BB17" s="1420" t="str">
        <f t="shared" si="27"/>
        <v/>
      </c>
      <c r="BC17" s="1420" t="str">
        <f t="shared" si="28"/>
        <v/>
      </c>
      <c r="BD17" s="1420" t="str">
        <f t="shared" si="7"/>
        <v/>
      </c>
      <c r="BE17" s="1420">
        <f t="shared" si="47"/>
        <v>12</v>
      </c>
      <c r="BF17" s="1420" t="e">
        <f t="shared" si="29"/>
        <v>#VALUE!</v>
      </c>
      <c r="BG17" s="1420" t="str">
        <f t="shared" si="8"/>
        <v/>
      </c>
      <c r="BI17" s="743">
        <f t="shared" si="30"/>
        <v>0</v>
      </c>
      <c r="BJ17" s="1420" t="str">
        <f t="shared" si="31"/>
        <v/>
      </c>
      <c r="BK17" s="1420" t="str">
        <f t="shared" si="32"/>
        <v/>
      </c>
      <c r="BL17" s="1420" t="str">
        <f t="shared" si="9"/>
        <v/>
      </c>
      <c r="BM17" s="1420">
        <f t="shared" si="48"/>
        <v>12</v>
      </c>
      <c r="BN17" s="1420" t="e">
        <f t="shared" si="33"/>
        <v>#VALUE!</v>
      </c>
      <c r="BO17" s="1420" t="str">
        <f t="shared" si="10"/>
        <v/>
      </c>
      <c r="BQ17" s="743">
        <f t="shared" si="34"/>
        <v>0</v>
      </c>
      <c r="BR17" s="1420" t="str">
        <f t="shared" si="35"/>
        <v/>
      </c>
      <c r="BS17" s="1420" t="str">
        <f t="shared" si="36"/>
        <v/>
      </c>
      <c r="BT17" s="1420" t="str">
        <f t="shared" si="11"/>
        <v/>
      </c>
      <c r="BU17" s="1420">
        <f t="shared" si="49"/>
        <v>12</v>
      </c>
      <c r="BV17" s="1420" t="e">
        <f t="shared" si="37"/>
        <v>#VALUE!</v>
      </c>
      <c r="BW17" s="1420" t="str">
        <f t="shared" si="12"/>
        <v/>
      </c>
      <c r="BX17" s="1420" t="str">
        <f t="shared" si="38"/>
        <v/>
      </c>
    </row>
    <row r="18" spans="2:76">
      <c r="B18" s="26"/>
      <c r="C18" s="1741"/>
      <c r="D18" s="29"/>
      <c r="I18" s="1420" t="str">
        <f t="shared" ca="1" si="51"/>
        <v/>
      </c>
      <c r="K18" s="1420" t="str">
        <f ca="1">IF(AttOptionsStatBlock&lt;&gt;"","Atk Options "&amp;AttOptionsStatBlock,"")</f>
        <v/>
      </c>
      <c r="T18" s="1420">
        <f t="shared" si="39"/>
        <v>13</v>
      </c>
      <c r="U18" s="1420" t="e">
        <f t="shared" ca="1" si="40"/>
        <v>#VALUE!</v>
      </c>
      <c r="V18" s="1420" t="str">
        <f t="shared" ca="1" si="13"/>
        <v/>
      </c>
      <c r="W18" s="1420" t="str">
        <f t="shared" ca="1" si="52"/>
        <v/>
      </c>
      <c r="X18" s="1420">
        <f t="shared" si="41"/>
        <v>13</v>
      </c>
      <c r="Y18" s="1420" t="e">
        <f t="shared" si="14"/>
        <v>#VALUE!</v>
      </c>
      <c r="Z18" s="1420" t="str">
        <f t="shared" si="1"/>
        <v/>
      </c>
      <c r="AA18" s="1420" t="str">
        <f t="shared" si="2"/>
        <v/>
      </c>
      <c r="AB18" s="1420">
        <f t="shared" si="42"/>
        <v>13</v>
      </c>
      <c r="AC18" s="1420" t="e">
        <f t="shared" si="15"/>
        <v>#VALUE!</v>
      </c>
      <c r="AD18" s="1420" t="str">
        <f t="shared" si="3"/>
        <v/>
      </c>
      <c r="AE18" s="1420" t="str">
        <f t="shared" si="43"/>
        <v/>
      </c>
      <c r="AF18" s="1420">
        <f t="shared" si="44"/>
        <v>13</v>
      </c>
      <c r="AG18" s="1420" t="e">
        <f t="shared" ca="1" si="16"/>
        <v>#VALUE!</v>
      </c>
      <c r="AH18" s="1420" t="str">
        <f t="shared" ca="1" si="17"/>
        <v/>
      </c>
      <c r="AJ18" s="743">
        <f t="shared" ca="1" si="18"/>
        <v>0</v>
      </c>
      <c r="AK18" s="1420" t="str">
        <f t="shared" ca="1" si="19"/>
        <v/>
      </c>
      <c r="AL18" s="1420" t="str">
        <f t="shared" ca="1" si="20"/>
        <v/>
      </c>
      <c r="AM18" s="1420" t="str">
        <f t="shared" ca="1" si="4"/>
        <v/>
      </c>
      <c r="AN18" s="1420">
        <f t="shared" si="45"/>
        <v>13</v>
      </c>
      <c r="AO18" s="1420" t="e">
        <f t="shared" ca="1" si="21"/>
        <v>#VALUE!</v>
      </c>
      <c r="AP18" s="1420" t="str">
        <f t="shared" ca="1" si="22"/>
        <v/>
      </c>
      <c r="AR18" s="743">
        <f t="shared" ca="1" si="50"/>
        <v>0</v>
      </c>
      <c r="AS18" s="1420" t="str">
        <f t="shared" ca="1" si="23"/>
        <v/>
      </c>
      <c r="AT18" s="1420" t="str">
        <f t="shared" ca="1" si="24"/>
        <v/>
      </c>
      <c r="AU18" s="1420" t="str">
        <f t="shared" ca="1" si="5"/>
        <v/>
      </c>
      <c r="AW18" s="1420">
        <f t="shared" si="46"/>
        <v>13</v>
      </c>
      <c r="AX18" s="1420" t="e">
        <f t="shared" si="25"/>
        <v>#VALUE!</v>
      </c>
      <c r="AY18" s="1420" t="str">
        <f t="shared" si="6"/>
        <v/>
      </c>
      <c r="BA18" s="743">
        <f t="shared" si="26"/>
        <v>0</v>
      </c>
      <c r="BB18" s="1420" t="str">
        <f t="shared" si="27"/>
        <v/>
      </c>
      <c r="BC18" s="1420" t="str">
        <f t="shared" si="28"/>
        <v/>
      </c>
      <c r="BD18" s="1420" t="str">
        <f t="shared" si="7"/>
        <v/>
      </c>
      <c r="BE18" s="1420">
        <f t="shared" si="47"/>
        <v>13</v>
      </c>
      <c r="BF18" s="1420" t="e">
        <f t="shared" si="29"/>
        <v>#VALUE!</v>
      </c>
      <c r="BG18" s="1420" t="str">
        <f t="shared" si="8"/>
        <v/>
      </c>
      <c r="BI18" s="743">
        <f t="shared" si="30"/>
        <v>0</v>
      </c>
      <c r="BJ18" s="1420" t="str">
        <f t="shared" si="31"/>
        <v/>
      </c>
      <c r="BK18" s="1420" t="str">
        <f t="shared" si="32"/>
        <v/>
      </c>
      <c r="BL18" s="1420" t="str">
        <f t="shared" si="9"/>
        <v/>
      </c>
      <c r="BM18" s="1420">
        <f t="shared" si="48"/>
        <v>13</v>
      </c>
      <c r="BN18" s="1420" t="e">
        <f t="shared" si="33"/>
        <v>#VALUE!</v>
      </c>
      <c r="BO18" s="1420" t="str">
        <f t="shared" si="10"/>
        <v/>
      </c>
      <c r="BQ18" s="743">
        <f t="shared" si="34"/>
        <v>0</v>
      </c>
      <c r="BR18" s="1420" t="str">
        <f t="shared" si="35"/>
        <v/>
      </c>
      <c r="BS18" s="1420" t="str">
        <f t="shared" si="36"/>
        <v/>
      </c>
      <c r="BT18" s="1420" t="str">
        <f t="shared" si="11"/>
        <v/>
      </c>
      <c r="BU18" s="1420">
        <f t="shared" si="49"/>
        <v>13</v>
      </c>
      <c r="BV18" s="1420" t="e">
        <f t="shared" si="37"/>
        <v>#VALUE!</v>
      </c>
      <c r="BW18" s="1420" t="str">
        <f t="shared" si="12"/>
        <v/>
      </c>
      <c r="BX18" s="1420" t="str">
        <f t="shared" si="38"/>
        <v/>
      </c>
    </row>
    <row r="19" spans="2:76">
      <c r="B19" s="26"/>
      <c r="C19" s="1741"/>
      <c r="D19" s="29"/>
      <c r="I19" s="1420" t="str">
        <f t="shared" ca="1" si="51"/>
        <v/>
      </c>
      <c r="K19" s="1420" t="str">
        <f ca="1">IF(SpecialOptionsStatBlock&lt;&gt;"","Special Actions "&amp;SpecialOptionsStatBlock,"")</f>
        <v/>
      </c>
      <c r="T19" s="1420">
        <f t="shared" si="39"/>
        <v>14</v>
      </c>
      <c r="U19" s="1420" t="e">
        <f t="shared" ca="1" si="40"/>
        <v>#VALUE!</v>
      </c>
      <c r="V19" s="1420" t="str">
        <f t="shared" ca="1" si="13"/>
        <v/>
      </c>
      <c r="W19" s="1420" t="str">
        <f t="shared" ca="1" si="52"/>
        <v/>
      </c>
      <c r="X19" s="1420">
        <f t="shared" si="41"/>
        <v>14</v>
      </c>
      <c r="Y19" s="1420" t="e">
        <f t="shared" si="14"/>
        <v>#VALUE!</v>
      </c>
      <c r="Z19" s="1420" t="str">
        <f t="shared" si="1"/>
        <v/>
      </c>
      <c r="AA19" s="1420" t="str">
        <f t="shared" si="2"/>
        <v/>
      </c>
      <c r="AB19" s="1420">
        <f t="shared" si="42"/>
        <v>14</v>
      </c>
      <c r="AC19" s="1420" t="e">
        <f t="shared" si="15"/>
        <v>#VALUE!</v>
      </c>
      <c r="AD19" s="1420" t="str">
        <f t="shared" si="3"/>
        <v/>
      </c>
      <c r="AE19" s="1420" t="str">
        <f t="shared" si="43"/>
        <v/>
      </c>
      <c r="AF19" s="1420">
        <f t="shared" si="44"/>
        <v>14</v>
      </c>
      <c r="AG19" s="1420" t="e">
        <f t="shared" ca="1" si="16"/>
        <v>#VALUE!</v>
      </c>
      <c r="AH19" s="1420" t="str">
        <f t="shared" ca="1" si="17"/>
        <v/>
      </c>
      <c r="AJ19" s="743">
        <f t="shared" ca="1" si="18"/>
        <v>0</v>
      </c>
      <c r="AK19" s="1420" t="str">
        <f t="shared" ca="1" si="19"/>
        <v/>
      </c>
      <c r="AL19" s="1420" t="str">
        <f t="shared" ca="1" si="20"/>
        <v/>
      </c>
      <c r="AM19" s="1420" t="str">
        <f t="shared" ca="1" si="4"/>
        <v/>
      </c>
      <c r="AN19" s="1420">
        <f t="shared" si="45"/>
        <v>14</v>
      </c>
      <c r="AO19" s="1420" t="e">
        <f t="shared" ca="1" si="21"/>
        <v>#VALUE!</v>
      </c>
      <c r="AP19" s="1420" t="str">
        <f t="shared" ca="1" si="22"/>
        <v/>
      </c>
      <c r="AR19" s="743">
        <f t="shared" ca="1" si="50"/>
        <v>0</v>
      </c>
      <c r="AS19" s="1420" t="str">
        <f t="shared" ca="1" si="23"/>
        <v/>
      </c>
      <c r="AT19" s="1420" t="str">
        <f t="shared" ca="1" si="24"/>
        <v/>
      </c>
      <c r="AU19" s="1420" t="str">
        <f t="shared" ca="1" si="5"/>
        <v/>
      </c>
      <c r="AW19" s="1420">
        <f t="shared" si="46"/>
        <v>14</v>
      </c>
      <c r="AX19" s="1420" t="e">
        <f t="shared" si="25"/>
        <v>#VALUE!</v>
      </c>
      <c r="AY19" s="1420" t="str">
        <f t="shared" si="6"/>
        <v/>
      </c>
      <c r="BA19" s="743">
        <f t="shared" si="26"/>
        <v>0</v>
      </c>
      <c r="BB19" s="1420" t="str">
        <f t="shared" si="27"/>
        <v/>
      </c>
      <c r="BC19" s="1420" t="str">
        <f t="shared" si="28"/>
        <v/>
      </c>
      <c r="BD19" s="1420" t="str">
        <f t="shared" si="7"/>
        <v/>
      </c>
      <c r="BE19" s="1420">
        <f t="shared" si="47"/>
        <v>14</v>
      </c>
      <c r="BF19" s="1420" t="e">
        <f t="shared" si="29"/>
        <v>#VALUE!</v>
      </c>
      <c r="BG19" s="1420" t="str">
        <f t="shared" si="8"/>
        <v/>
      </c>
      <c r="BI19" s="743">
        <f t="shared" si="30"/>
        <v>0</v>
      </c>
      <c r="BJ19" s="1420" t="str">
        <f t="shared" si="31"/>
        <v/>
      </c>
      <c r="BK19" s="1420" t="str">
        <f t="shared" si="32"/>
        <v/>
      </c>
      <c r="BL19" s="1420" t="str">
        <f t="shared" si="9"/>
        <v/>
      </c>
      <c r="BM19" s="1420">
        <f t="shared" si="48"/>
        <v>14</v>
      </c>
      <c r="BN19" s="1420" t="e">
        <f t="shared" si="33"/>
        <v>#VALUE!</v>
      </c>
      <c r="BO19" s="1420" t="str">
        <f t="shared" si="10"/>
        <v/>
      </c>
      <c r="BQ19" s="743">
        <f t="shared" si="34"/>
        <v>0</v>
      </c>
      <c r="BR19" s="1420" t="str">
        <f t="shared" si="35"/>
        <v/>
      </c>
      <c r="BS19" s="1420" t="str">
        <f t="shared" si="36"/>
        <v/>
      </c>
      <c r="BT19" s="1420" t="str">
        <f t="shared" si="11"/>
        <v/>
      </c>
      <c r="BU19" s="1420">
        <f t="shared" si="49"/>
        <v>14</v>
      </c>
      <c r="BV19" s="1420" t="e">
        <f t="shared" si="37"/>
        <v>#VALUE!</v>
      </c>
      <c r="BW19" s="1420" t="str">
        <f t="shared" si="12"/>
        <v/>
      </c>
      <c r="BX19" s="1420" t="str">
        <f t="shared" si="38"/>
        <v/>
      </c>
    </row>
    <row r="20" spans="2:76">
      <c r="B20" s="26"/>
      <c r="C20" s="1741"/>
      <c r="D20" s="29"/>
      <c r="I20" s="1420" t="str">
        <f t="shared" ca="1" si="51"/>
        <v/>
      </c>
      <c r="K20" s="1420" t="str">
        <f ca="1">IF(AND(ForceSensitive&gt;0,TUsetheForce&lt;&gt;"",ForcePowersKnownStatBlock&lt;&gt;""),"Force Powers Known (Use the Force +"&amp;UsetheForce&amp;") "&amp;ForcePowersKnownStatBlock,"")</f>
        <v/>
      </c>
      <c r="T20" s="1420">
        <f t="shared" si="39"/>
        <v>15</v>
      </c>
      <c r="U20" s="1420" t="e">
        <f t="shared" ca="1" si="40"/>
        <v>#VALUE!</v>
      </c>
      <c r="V20" s="1420" t="str">
        <f t="shared" ca="1" si="13"/>
        <v/>
      </c>
      <c r="W20" s="1420" t="str">
        <f t="shared" ca="1" si="52"/>
        <v/>
      </c>
      <c r="X20" s="1420">
        <f t="shared" si="41"/>
        <v>15</v>
      </c>
      <c r="Y20" s="1420" t="e">
        <f t="shared" si="14"/>
        <v>#VALUE!</v>
      </c>
      <c r="Z20" s="1420" t="str">
        <f t="shared" si="1"/>
        <v/>
      </c>
      <c r="AA20" s="1420" t="str">
        <f t="shared" si="2"/>
        <v/>
      </c>
      <c r="AE20" s="383" t="s">
        <v>195</v>
      </c>
      <c r="AF20" s="1420">
        <f t="shared" si="44"/>
        <v>15</v>
      </c>
      <c r="AG20" s="1420" t="e">
        <f t="shared" ca="1" si="16"/>
        <v>#VALUE!</v>
      </c>
      <c r="AH20" s="1420" t="str">
        <f t="shared" ca="1" si="17"/>
        <v/>
      </c>
      <c r="AJ20" s="743">
        <f t="shared" ca="1" si="18"/>
        <v>0</v>
      </c>
      <c r="AK20" s="1420" t="str">
        <f t="shared" ca="1" si="19"/>
        <v/>
      </c>
      <c r="AL20" s="1420" t="str">
        <f t="shared" ca="1" si="20"/>
        <v/>
      </c>
      <c r="AM20" s="1420" t="str">
        <f t="shared" ca="1" si="4"/>
        <v/>
      </c>
      <c r="AN20" s="1420">
        <f t="shared" si="45"/>
        <v>15</v>
      </c>
      <c r="AO20" s="1420" t="e">
        <f t="shared" ca="1" si="21"/>
        <v>#VALUE!</v>
      </c>
      <c r="AP20" s="1420" t="str">
        <f t="shared" ca="1" si="22"/>
        <v/>
      </c>
      <c r="AR20" s="743">
        <f t="shared" ca="1" si="50"/>
        <v>0</v>
      </c>
      <c r="AS20" s="1420" t="str">
        <f t="shared" ca="1" si="23"/>
        <v/>
      </c>
      <c r="AT20" s="1420" t="str">
        <f t="shared" ca="1" si="24"/>
        <v/>
      </c>
      <c r="AU20" s="1420" t="str">
        <f t="shared" ca="1" si="5"/>
        <v/>
      </c>
      <c r="AW20" s="1420">
        <f t="shared" si="46"/>
        <v>15</v>
      </c>
      <c r="AX20" s="1420" t="e">
        <f t="shared" si="25"/>
        <v>#VALUE!</v>
      </c>
      <c r="AY20" s="1420" t="str">
        <f t="shared" si="6"/>
        <v/>
      </c>
      <c r="BA20" s="743">
        <f t="shared" si="26"/>
        <v>0</v>
      </c>
      <c r="BB20" s="1420" t="str">
        <f t="shared" si="27"/>
        <v/>
      </c>
      <c r="BC20" s="1420" t="str">
        <f t="shared" si="28"/>
        <v/>
      </c>
      <c r="BD20" s="1420" t="str">
        <f t="shared" si="7"/>
        <v/>
      </c>
      <c r="BE20" s="1420">
        <f t="shared" si="47"/>
        <v>15</v>
      </c>
      <c r="BF20" s="1420" t="e">
        <f t="shared" si="29"/>
        <v>#VALUE!</v>
      </c>
      <c r="BG20" s="1420" t="str">
        <f t="shared" si="8"/>
        <v/>
      </c>
      <c r="BI20" s="743">
        <f t="shared" si="30"/>
        <v>0</v>
      </c>
      <c r="BJ20" s="1420" t="str">
        <f t="shared" si="31"/>
        <v/>
      </c>
      <c r="BK20" s="1420" t="str">
        <f t="shared" si="32"/>
        <v/>
      </c>
      <c r="BL20" s="1420" t="str">
        <f t="shared" si="9"/>
        <v/>
      </c>
      <c r="BM20" s="1420">
        <f t="shared" si="48"/>
        <v>15</v>
      </c>
      <c r="BN20" s="1420" t="e">
        <f t="shared" si="33"/>
        <v>#VALUE!</v>
      </c>
      <c r="BO20" s="1420" t="str">
        <f t="shared" si="10"/>
        <v/>
      </c>
      <c r="BQ20" s="743">
        <f t="shared" si="34"/>
        <v>0</v>
      </c>
      <c r="BR20" s="1420" t="str">
        <f t="shared" si="35"/>
        <v/>
      </c>
      <c r="BS20" s="1420" t="str">
        <f t="shared" si="36"/>
        <v/>
      </c>
      <c r="BT20" s="1420" t="str">
        <f t="shared" si="11"/>
        <v/>
      </c>
      <c r="BU20" s="1420">
        <f t="shared" si="49"/>
        <v>15</v>
      </c>
      <c r="BV20" s="1420" t="e">
        <f t="shared" si="37"/>
        <v>#VALUE!</v>
      </c>
      <c r="BW20" s="1420" t="str">
        <f t="shared" si="12"/>
        <v/>
      </c>
      <c r="BX20" s="1420" t="str">
        <f t="shared" si="38"/>
        <v/>
      </c>
    </row>
    <row r="21" spans="2:76">
      <c r="B21" s="26"/>
      <c r="C21" s="1741"/>
      <c r="D21" s="29"/>
      <c r="I21" s="1420" t="str">
        <f t="shared" ca="1" si="51"/>
        <v/>
      </c>
      <c r="K21" s="1420" t="str">
        <f ca="1">IF(AND(ForceSensitive&gt;0,TUsetheForce&lt;&gt;"",ForceSecretsKnownStatBlock&lt;&gt;""),"Force Secrets Known "&amp;ForceSecretsKnownStatBlock,"")</f>
        <v/>
      </c>
      <c r="T21" s="1420">
        <f t="shared" si="39"/>
        <v>16</v>
      </c>
      <c r="U21" s="1420" t="e">
        <f t="shared" ca="1" si="40"/>
        <v>#VALUE!</v>
      </c>
      <c r="V21" s="1420" t="str">
        <f t="shared" ca="1" si="13"/>
        <v/>
      </c>
      <c r="W21" s="1420" t="str">
        <f t="shared" ca="1" si="52"/>
        <v/>
      </c>
      <c r="X21" s="1420">
        <f t="shared" si="41"/>
        <v>16</v>
      </c>
      <c r="Y21" s="1420" t="e">
        <f t="shared" si="14"/>
        <v>#VALUE!</v>
      </c>
      <c r="Z21" s="1420" t="str">
        <f t="shared" si="1"/>
        <v/>
      </c>
      <c r="AA21" s="1420" t="str">
        <f t="shared" si="2"/>
        <v/>
      </c>
      <c r="AF21" s="1420">
        <f t="shared" si="44"/>
        <v>16</v>
      </c>
      <c r="AG21" s="1420" t="e">
        <f t="shared" ca="1" si="16"/>
        <v>#VALUE!</v>
      </c>
      <c r="AH21" s="1420" t="str">
        <f t="shared" ca="1" si="17"/>
        <v/>
      </c>
      <c r="AJ21" s="743">
        <f t="shared" ca="1" si="18"/>
        <v>0</v>
      </c>
      <c r="AK21" s="1420" t="str">
        <f t="shared" ca="1" si="19"/>
        <v/>
      </c>
      <c r="AL21" s="1420" t="str">
        <f t="shared" ca="1" si="20"/>
        <v/>
      </c>
      <c r="AM21" s="1420" t="str">
        <f t="shared" ca="1" si="4"/>
        <v/>
      </c>
      <c r="AN21" s="1420">
        <f t="shared" si="45"/>
        <v>16</v>
      </c>
      <c r="AO21" s="1420" t="e">
        <f t="shared" ca="1" si="21"/>
        <v>#VALUE!</v>
      </c>
      <c r="AP21" s="1420" t="str">
        <f t="shared" ca="1" si="22"/>
        <v/>
      </c>
      <c r="AR21" s="743">
        <f t="shared" ca="1" si="50"/>
        <v>0</v>
      </c>
      <c r="AS21" s="1420" t="str">
        <f t="shared" ca="1" si="23"/>
        <v/>
      </c>
      <c r="AT21" s="1420" t="str">
        <f t="shared" ca="1" si="24"/>
        <v/>
      </c>
      <c r="AU21" s="1420" t="str">
        <f t="shared" ca="1" si="5"/>
        <v/>
      </c>
      <c r="AW21" s="1420">
        <f t="shared" si="46"/>
        <v>16</v>
      </c>
      <c r="AX21" s="1420" t="e">
        <f t="shared" si="25"/>
        <v>#VALUE!</v>
      </c>
      <c r="AY21" s="1420" t="str">
        <f t="shared" si="6"/>
        <v/>
      </c>
      <c r="BA21" s="743">
        <f t="shared" si="26"/>
        <v>0</v>
      </c>
      <c r="BB21" s="1420" t="str">
        <f t="shared" si="27"/>
        <v/>
      </c>
      <c r="BC21" s="1420" t="str">
        <f t="shared" si="28"/>
        <v/>
      </c>
      <c r="BD21" s="1420" t="str">
        <f t="shared" si="7"/>
        <v/>
      </c>
      <c r="BE21" s="1420">
        <f t="shared" si="47"/>
        <v>16</v>
      </c>
      <c r="BF21" s="1420" t="e">
        <f t="shared" si="29"/>
        <v>#VALUE!</v>
      </c>
      <c r="BG21" s="1420" t="str">
        <f t="shared" si="8"/>
        <v/>
      </c>
      <c r="BI21" s="743">
        <f t="shared" si="30"/>
        <v>0</v>
      </c>
      <c r="BJ21" s="1420" t="str">
        <f t="shared" si="31"/>
        <v/>
      </c>
      <c r="BK21" s="1420" t="str">
        <f t="shared" si="32"/>
        <v/>
      </c>
      <c r="BL21" s="1420" t="str">
        <f t="shared" si="9"/>
        <v/>
      </c>
      <c r="BM21" s="1420">
        <f t="shared" si="48"/>
        <v>16</v>
      </c>
      <c r="BN21" s="1420" t="e">
        <f t="shared" si="33"/>
        <v>#VALUE!</v>
      </c>
      <c r="BO21" s="1420" t="str">
        <f t="shared" si="10"/>
        <v/>
      </c>
      <c r="BQ21" s="743">
        <f t="shared" si="34"/>
        <v>0</v>
      </c>
      <c r="BR21" s="1420" t="str">
        <f t="shared" si="35"/>
        <v/>
      </c>
      <c r="BS21" s="1420" t="str">
        <f t="shared" si="36"/>
        <v/>
      </c>
      <c r="BT21" s="1420" t="str">
        <f t="shared" si="11"/>
        <v/>
      </c>
      <c r="BU21" s="1420">
        <f t="shared" si="49"/>
        <v>16</v>
      </c>
      <c r="BV21" s="1420" t="e">
        <f t="shared" si="37"/>
        <v>#VALUE!</v>
      </c>
      <c r="BW21" s="1420" t="str">
        <f t="shared" si="12"/>
        <v/>
      </c>
      <c r="BX21" s="1420" t="str">
        <f t="shared" si="38"/>
        <v/>
      </c>
    </row>
    <row r="22" spans="2:76">
      <c r="B22" s="26"/>
      <c r="C22" s="1741"/>
      <c r="D22" s="29"/>
      <c r="I22" s="1420" t="str">
        <f t="shared" ca="1" si="51"/>
        <v/>
      </c>
      <c r="K22" s="1420" t="str">
        <f ca="1">IF(AND(ForceSensitive&gt;0,TUsetheForce&lt;&gt;"",ForceTechniquesKnownStatBlock&lt;&gt;""),"Force Techniques Known "&amp;ForceTechniquesKnownStatBlock,"")</f>
        <v/>
      </c>
      <c r="T22" s="1420">
        <f t="shared" si="39"/>
        <v>17</v>
      </c>
      <c r="U22" s="1420" t="e">
        <f t="shared" ca="1" si="40"/>
        <v>#VALUE!</v>
      </c>
      <c r="V22" s="1420" t="str">
        <f t="shared" ca="1" si="13"/>
        <v/>
      </c>
      <c r="W22" s="1420" t="str">
        <f t="shared" ca="1" si="52"/>
        <v/>
      </c>
      <c r="X22" s="1420">
        <f t="shared" si="41"/>
        <v>17</v>
      </c>
      <c r="Y22" s="1420" t="e">
        <f t="shared" si="14"/>
        <v>#VALUE!</v>
      </c>
      <c r="Z22" s="1420" t="str">
        <f t="shared" si="1"/>
        <v/>
      </c>
      <c r="AA22" s="1420" t="str">
        <f t="shared" si="2"/>
        <v/>
      </c>
      <c r="AF22" s="1420">
        <f t="shared" si="44"/>
        <v>17</v>
      </c>
      <c r="AG22" s="1420" t="e">
        <f t="shared" ca="1" si="16"/>
        <v>#VALUE!</v>
      </c>
      <c r="AH22" s="1420" t="str">
        <f t="shared" ca="1" si="17"/>
        <v/>
      </c>
      <c r="AJ22" s="743">
        <f t="shared" ca="1" si="18"/>
        <v>0</v>
      </c>
      <c r="AK22" s="1420" t="str">
        <f t="shared" ca="1" si="19"/>
        <v/>
      </c>
      <c r="AL22" s="1420" t="str">
        <f t="shared" ca="1" si="20"/>
        <v/>
      </c>
      <c r="AM22" s="1420" t="str">
        <f t="shared" ca="1" si="4"/>
        <v/>
      </c>
      <c r="AN22" s="1420">
        <f t="shared" si="45"/>
        <v>17</v>
      </c>
      <c r="AO22" s="1420" t="e">
        <f t="shared" ca="1" si="21"/>
        <v>#VALUE!</v>
      </c>
      <c r="AP22" s="1420" t="str">
        <f t="shared" ca="1" si="22"/>
        <v/>
      </c>
      <c r="AR22" s="743">
        <f t="shared" ca="1" si="50"/>
        <v>0</v>
      </c>
      <c r="AS22" s="1420" t="str">
        <f t="shared" ca="1" si="23"/>
        <v/>
      </c>
      <c r="AT22" s="1420" t="str">
        <f t="shared" ca="1" si="24"/>
        <v/>
      </c>
      <c r="AU22" s="1420" t="str">
        <f t="shared" ca="1" si="5"/>
        <v/>
      </c>
      <c r="AW22" s="1420">
        <f t="shared" si="46"/>
        <v>17</v>
      </c>
      <c r="AX22" s="1420" t="e">
        <f t="shared" si="25"/>
        <v>#VALUE!</v>
      </c>
      <c r="AY22" s="1420" t="str">
        <f t="shared" si="6"/>
        <v/>
      </c>
      <c r="BA22" s="743">
        <f t="shared" si="26"/>
        <v>0</v>
      </c>
      <c r="BB22" s="1420" t="str">
        <f t="shared" si="27"/>
        <v/>
      </c>
      <c r="BC22" s="1420" t="str">
        <f t="shared" si="28"/>
        <v/>
      </c>
      <c r="BD22" s="1420" t="str">
        <f t="shared" si="7"/>
        <v/>
      </c>
      <c r="BE22" s="1420">
        <f t="shared" si="47"/>
        <v>17</v>
      </c>
      <c r="BF22" s="1420" t="e">
        <f t="shared" si="29"/>
        <v>#VALUE!</v>
      </c>
      <c r="BG22" s="1420" t="str">
        <f t="shared" si="8"/>
        <v/>
      </c>
      <c r="BI22" s="743">
        <f t="shared" si="30"/>
        <v>0</v>
      </c>
      <c r="BJ22" s="1420" t="str">
        <f t="shared" si="31"/>
        <v/>
      </c>
      <c r="BK22" s="1420" t="str">
        <f t="shared" si="32"/>
        <v/>
      </c>
      <c r="BL22" s="1420" t="str">
        <f t="shared" si="9"/>
        <v/>
      </c>
      <c r="BM22" s="1420">
        <f t="shared" si="48"/>
        <v>17</v>
      </c>
      <c r="BN22" s="1420" t="e">
        <f t="shared" si="33"/>
        <v>#VALUE!</v>
      </c>
      <c r="BO22" s="1420" t="str">
        <f t="shared" si="10"/>
        <v/>
      </c>
      <c r="BQ22" s="743">
        <f t="shared" si="34"/>
        <v>0</v>
      </c>
      <c r="BR22" s="1420" t="str">
        <f t="shared" si="35"/>
        <v/>
      </c>
      <c r="BS22" s="1420" t="str">
        <f t="shared" si="36"/>
        <v/>
      </c>
      <c r="BT22" s="1420" t="str">
        <f t="shared" si="11"/>
        <v/>
      </c>
      <c r="BU22" s="1420">
        <f t="shared" si="49"/>
        <v>17</v>
      </c>
      <c r="BV22" s="1420" t="e">
        <f t="shared" si="37"/>
        <v>#VALUE!</v>
      </c>
      <c r="BW22" s="1420" t="str">
        <f t="shared" si="12"/>
        <v/>
      </c>
      <c r="BX22" s="1420" t="str">
        <f t="shared" si="38"/>
        <v/>
      </c>
    </row>
    <row r="23" spans="2:76">
      <c r="B23" s="26"/>
      <c r="C23" s="1741"/>
      <c r="D23" s="29"/>
      <c r="I23" s="1420" t="str">
        <f t="shared" ca="1" si="51"/>
        <v/>
      </c>
      <c r="K23" s="1420" t="str">
        <f ca="1">IF(AND(ForceSensitive&gt;0,TUsetheForce&lt;&gt;"",ForceRegimensTaken&lt;&gt;"",Feats!M122&gt;0),"Force Training Regimens Known "&amp;ForceRegimensTaken,"")</f>
        <v/>
      </c>
      <c r="T23" s="1420">
        <f t="shared" si="39"/>
        <v>18</v>
      </c>
      <c r="U23" s="1420" t="e">
        <f t="shared" ca="1" si="40"/>
        <v>#VALUE!</v>
      </c>
      <c r="V23" s="1420" t="str">
        <f t="shared" ca="1" si="13"/>
        <v/>
      </c>
      <c r="W23" s="1420" t="str">
        <f t="shared" ca="1" si="52"/>
        <v/>
      </c>
      <c r="X23" s="1420">
        <f t="shared" si="41"/>
        <v>18</v>
      </c>
      <c r="Y23" s="1420" t="e">
        <f t="shared" si="14"/>
        <v>#VALUE!</v>
      </c>
      <c r="Z23" s="1420" t="str">
        <f t="shared" si="1"/>
        <v/>
      </c>
      <c r="AA23" s="1420" t="str">
        <f t="shared" si="2"/>
        <v/>
      </c>
      <c r="AF23" s="1420">
        <f t="shared" si="44"/>
        <v>18</v>
      </c>
      <c r="AG23" s="1420" t="e">
        <f t="shared" ca="1" si="16"/>
        <v>#VALUE!</v>
      </c>
      <c r="AH23" s="1420" t="str">
        <f t="shared" ca="1" si="17"/>
        <v/>
      </c>
      <c r="AJ23" s="743">
        <f t="shared" ca="1" si="18"/>
        <v>0</v>
      </c>
      <c r="AK23" s="1420" t="str">
        <f t="shared" ca="1" si="19"/>
        <v/>
      </c>
      <c r="AL23" s="1420" t="str">
        <f t="shared" ca="1" si="20"/>
        <v/>
      </c>
      <c r="AM23" s="1420" t="str">
        <f t="shared" ca="1" si="4"/>
        <v/>
      </c>
      <c r="AN23" s="1420">
        <f t="shared" si="45"/>
        <v>18</v>
      </c>
      <c r="AO23" s="1420" t="e">
        <f t="shared" ca="1" si="21"/>
        <v>#VALUE!</v>
      </c>
      <c r="AP23" s="1420" t="str">
        <f t="shared" ca="1" si="22"/>
        <v/>
      </c>
      <c r="AR23" s="743">
        <f t="shared" ca="1" si="50"/>
        <v>0</v>
      </c>
      <c r="AS23" s="1420" t="str">
        <f t="shared" ca="1" si="23"/>
        <v/>
      </c>
      <c r="AT23" s="1420" t="str">
        <f ca="1">VLOOKUP(SMALL($AR$6:$AR$25,ROW()-ROW($AT$5)),$AR$6:$AS$25,2,FALSE)</f>
        <v/>
      </c>
      <c r="AU23" s="1420" t="str">
        <f t="shared" ca="1" si="5"/>
        <v/>
      </c>
      <c r="AW23" s="1420">
        <f t="shared" si="46"/>
        <v>18</v>
      </c>
      <c r="AX23" s="1420" t="e">
        <f t="shared" si="25"/>
        <v>#VALUE!</v>
      </c>
      <c r="AY23" s="1420" t="str">
        <f t="shared" si="6"/>
        <v/>
      </c>
      <c r="BA23" s="743">
        <f t="shared" si="26"/>
        <v>0</v>
      </c>
      <c r="BB23" s="1420" t="str">
        <f t="shared" si="27"/>
        <v/>
      </c>
      <c r="BC23" s="1420" t="str">
        <f t="shared" si="28"/>
        <v/>
      </c>
      <c r="BD23" s="1420" t="str">
        <f t="shared" si="7"/>
        <v/>
      </c>
      <c r="BE23" s="1420">
        <f t="shared" si="47"/>
        <v>18</v>
      </c>
      <c r="BF23" s="1420" t="e">
        <f t="shared" si="29"/>
        <v>#VALUE!</v>
      </c>
      <c r="BG23" s="1420" t="str">
        <f t="shared" si="8"/>
        <v/>
      </c>
      <c r="BI23" s="743">
        <f t="shared" si="30"/>
        <v>0</v>
      </c>
      <c r="BJ23" s="1420" t="str">
        <f t="shared" si="31"/>
        <v/>
      </c>
      <c r="BK23" s="1420" t="str">
        <f t="shared" si="32"/>
        <v/>
      </c>
      <c r="BL23" s="1420" t="str">
        <f t="shared" si="9"/>
        <v/>
      </c>
      <c r="BM23" s="1420">
        <f t="shared" si="48"/>
        <v>18</v>
      </c>
      <c r="BN23" s="1420" t="e">
        <f t="shared" si="33"/>
        <v>#VALUE!</v>
      </c>
      <c r="BO23" s="1420" t="str">
        <f t="shared" si="10"/>
        <v/>
      </c>
      <c r="BQ23" s="743">
        <f t="shared" si="34"/>
        <v>0</v>
      </c>
      <c r="BR23" s="1420" t="str">
        <f t="shared" si="35"/>
        <v/>
      </c>
      <c r="BS23" s="1420" t="str">
        <f t="shared" si="36"/>
        <v/>
      </c>
      <c r="BT23" s="1420" t="str">
        <f t="shared" si="11"/>
        <v/>
      </c>
      <c r="BU23" s="1420">
        <f t="shared" si="49"/>
        <v>18</v>
      </c>
      <c r="BV23" s="1420" t="e">
        <f t="shared" si="37"/>
        <v>#VALUE!</v>
      </c>
      <c r="BW23" s="1420" t="str">
        <f t="shared" si="12"/>
        <v/>
      </c>
      <c r="BX23" s="1420" t="str">
        <f t="shared" si="38"/>
        <v/>
      </c>
    </row>
    <row r="24" spans="2:76">
      <c r="B24" s="26"/>
      <c r="C24" s="1741"/>
      <c r="D24" s="29"/>
      <c r="I24" s="1420" t="str">
        <f t="shared" ca="1" si="51"/>
        <v/>
      </c>
      <c r="K24" s="1420" t="str">
        <f ca="1">IF(AND(Feats!M302&gt;0,StarshipManeuversTaken&lt;&gt;""),"Starship Maneuvers Known (Pilot +"&amp;Pilotskill&amp;") "&amp;StarshipManeuversTaken,"")</f>
        <v/>
      </c>
      <c r="T24" s="1420">
        <f t="shared" si="39"/>
        <v>19</v>
      </c>
      <c r="U24" s="1420" t="e">
        <f t="shared" ca="1" si="40"/>
        <v>#VALUE!</v>
      </c>
      <c r="V24" s="1420" t="str">
        <f t="shared" ca="1" si="13"/>
        <v/>
      </c>
      <c r="W24" s="1420" t="str">
        <f t="shared" ca="1" si="52"/>
        <v/>
      </c>
      <c r="X24" s="1420">
        <f t="shared" si="41"/>
        <v>19</v>
      </c>
      <c r="Y24" s="1420" t="e">
        <f t="shared" si="14"/>
        <v>#VALUE!</v>
      </c>
      <c r="Z24" s="1420" t="str">
        <f t="shared" si="1"/>
        <v/>
      </c>
      <c r="AA24" s="1420" t="str">
        <f t="shared" si="2"/>
        <v/>
      </c>
      <c r="AF24" s="1420">
        <f t="shared" si="44"/>
        <v>19</v>
      </c>
      <c r="AG24" s="1420" t="e">
        <f t="shared" ca="1" si="16"/>
        <v>#VALUE!</v>
      </c>
      <c r="AH24" s="1420" t="str">
        <f t="shared" ca="1" si="17"/>
        <v/>
      </c>
      <c r="AJ24" s="743">
        <f t="shared" ca="1" si="18"/>
        <v>0</v>
      </c>
      <c r="AK24" s="1420" t="str">
        <f t="shared" ca="1" si="19"/>
        <v/>
      </c>
      <c r="AL24" s="1420" t="str">
        <f t="shared" ca="1" si="20"/>
        <v/>
      </c>
      <c r="AM24" s="1420" t="str">
        <f t="shared" ca="1" si="4"/>
        <v/>
      </c>
      <c r="AN24" s="1420">
        <f t="shared" si="45"/>
        <v>19</v>
      </c>
      <c r="AO24" s="1420" t="e">
        <f t="shared" ca="1" si="21"/>
        <v>#VALUE!</v>
      </c>
      <c r="AP24" s="1420" t="str">
        <f t="shared" ca="1" si="22"/>
        <v/>
      </c>
      <c r="AR24" s="743">
        <f t="shared" ca="1" si="50"/>
        <v>0</v>
      </c>
      <c r="AS24" s="1420" t="str">
        <f t="shared" ca="1" si="23"/>
        <v/>
      </c>
      <c r="AT24" s="1420" t="str">
        <f t="shared" ca="1" si="24"/>
        <v/>
      </c>
      <c r="AU24" s="1420" t="str">
        <f t="shared" ca="1" si="5"/>
        <v/>
      </c>
      <c r="AW24" s="1420">
        <f t="shared" si="46"/>
        <v>19</v>
      </c>
      <c r="AX24" s="1420" t="e">
        <f t="shared" si="25"/>
        <v>#VALUE!</v>
      </c>
      <c r="AY24" s="1420" t="str">
        <f t="shared" si="6"/>
        <v/>
      </c>
      <c r="BA24" s="743">
        <f t="shared" si="26"/>
        <v>0</v>
      </c>
      <c r="BB24" s="1420" t="str">
        <f t="shared" si="27"/>
        <v/>
      </c>
      <c r="BC24" s="1420" t="str">
        <f t="shared" si="28"/>
        <v/>
      </c>
      <c r="BD24" s="1420" t="str">
        <f t="shared" si="7"/>
        <v/>
      </c>
      <c r="BE24" s="1420">
        <f t="shared" si="47"/>
        <v>19</v>
      </c>
      <c r="BF24" s="1420" t="e">
        <f t="shared" si="29"/>
        <v>#VALUE!</v>
      </c>
      <c r="BG24" s="1420" t="str">
        <f t="shared" si="8"/>
        <v/>
      </c>
      <c r="BI24" s="743">
        <f t="shared" si="30"/>
        <v>0</v>
      </c>
      <c r="BJ24" s="1420" t="str">
        <f t="shared" si="31"/>
        <v/>
      </c>
      <c r="BK24" s="1420" t="str">
        <f t="shared" si="32"/>
        <v/>
      </c>
      <c r="BL24" s="1420" t="str">
        <f t="shared" si="9"/>
        <v/>
      </c>
      <c r="BM24" s="1420">
        <f t="shared" si="48"/>
        <v>19</v>
      </c>
      <c r="BN24" s="1420" t="e">
        <f t="shared" si="33"/>
        <v>#VALUE!</v>
      </c>
      <c r="BO24" s="1420" t="str">
        <f t="shared" si="10"/>
        <v/>
      </c>
      <c r="BQ24" s="743">
        <f t="shared" si="34"/>
        <v>0</v>
      </c>
      <c r="BR24" s="1420" t="str">
        <f t="shared" si="35"/>
        <v/>
      </c>
      <c r="BS24" s="1420" t="str">
        <f t="shared" si="36"/>
        <v/>
      </c>
      <c r="BT24" s="1420" t="str">
        <f t="shared" si="11"/>
        <v/>
      </c>
      <c r="BU24" s="1420">
        <f t="shared" si="49"/>
        <v>19</v>
      </c>
      <c r="BV24" s="1420" t="e">
        <f t="shared" si="37"/>
        <v>#VALUE!</v>
      </c>
      <c r="BW24" s="1420" t="str">
        <f t="shared" si="12"/>
        <v/>
      </c>
      <c r="BX24" s="1420" t="str">
        <f t="shared" si="38"/>
        <v/>
      </c>
    </row>
    <row r="25" spans="2:76">
      <c r="B25" s="26"/>
      <c r="C25" s="1741"/>
      <c r="D25" s="29"/>
      <c r="I25" s="1420" t="str">
        <f t="shared" ca="1" si="51"/>
        <v/>
      </c>
      <c r="K25" s="1420" t="str">
        <f ca="1">IF(AND(Unleashed&gt;0,UnleashedTaken&lt;&gt;"",ShowUnleasedinStatBlock),"Unleashed "&amp;UnleashedTaken,"")</f>
        <v/>
      </c>
      <c r="T25" s="1420">
        <f t="shared" si="39"/>
        <v>20</v>
      </c>
      <c r="U25" s="1420" t="e">
        <f t="shared" ca="1" si="40"/>
        <v>#VALUE!</v>
      </c>
      <c r="V25" s="1420" t="str">
        <f t="shared" ca="1" si="13"/>
        <v/>
      </c>
      <c r="W25" s="1420" t="str">
        <f t="shared" ca="1" si="52"/>
        <v/>
      </c>
      <c r="X25" s="1420">
        <f t="shared" si="41"/>
        <v>20</v>
      </c>
      <c r="Y25" s="1420" t="e">
        <f t="shared" si="14"/>
        <v>#VALUE!</v>
      </c>
      <c r="Z25" s="1420" t="str">
        <f t="shared" si="1"/>
        <v/>
      </c>
      <c r="AA25" s="1420" t="str">
        <f t="shared" si="2"/>
        <v/>
      </c>
      <c r="AF25" s="1420">
        <f t="shared" si="44"/>
        <v>20</v>
      </c>
      <c r="AG25" s="1420" t="e">
        <f t="shared" ca="1" si="16"/>
        <v>#VALUE!</v>
      </c>
      <c r="AH25" s="1420" t="str">
        <f t="shared" ca="1" si="17"/>
        <v/>
      </c>
      <c r="AJ25" s="743">
        <f t="shared" ca="1" si="18"/>
        <v>0</v>
      </c>
      <c r="AK25" s="1420" t="str">
        <f t="shared" ca="1" si="19"/>
        <v/>
      </c>
      <c r="AL25" s="1420" t="str">
        <f t="shared" ca="1" si="20"/>
        <v/>
      </c>
      <c r="AM25" s="1420" t="str">
        <f ca="1">IF(AL25&lt;&gt;"",IF(AM26&lt;&gt;"",AL25&amp;", "&amp;AM26,AL25),AM26)</f>
        <v/>
      </c>
      <c r="AN25" s="1420">
        <f t="shared" si="45"/>
        <v>20</v>
      </c>
      <c r="AO25" s="1420" t="e">
        <f t="shared" ca="1" si="21"/>
        <v>#VALUE!</v>
      </c>
      <c r="AP25" s="1420" t="str">
        <f t="shared" ca="1" si="22"/>
        <v/>
      </c>
      <c r="AR25" s="743">
        <f t="shared" ca="1" si="50"/>
        <v>0</v>
      </c>
      <c r="AS25" s="1420" t="str">
        <f t="shared" ca="1" si="23"/>
        <v/>
      </c>
      <c r="AT25" s="1420" t="str">
        <f t="shared" ca="1" si="24"/>
        <v/>
      </c>
      <c r="AU25" s="1420" t="str">
        <f ca="1">IF(AT25&lt;&gt;"",IF(AU26&lt;&gt;"",AT25&amp;", "&amp;AU26,AT25),AU26)</f>
        <v/>
      </c>
      <c r="AW25" s="1420">
        <f t="shared" si="46"/>
        <v>20</v>
      </c>
      <c r="AX25" s="1420" t="e">
        <f t="shared" si="25"/>
        <v>#VALUE!</v>
      </c>
      <c r="AY25" s="1420" t="str">
        <f t="shared" si="6"/>
        <v/>
      </c>
      <c r="BA25" s="743">
        <f t="shared" si="26"/>
        <v>0</v>
      </c>
      <c r="BB25" s="1420" t="str">
        <f t="shared" si="27"/>
        <v/>
      </c>
      <c r="BC25" s="1420" t="str">
        <f t="shared" si="28"/>
        <v/>
      </c>
      <c r="BD25" s="1420" t="str">
        <f>IF(BC25&lt;&gt;"",IF(BD26&lt;&gt;"",BC25&amp;", "&amp;BD26,BC25),BD26)</f>
        <v/>
      </c>
      <c r="BE25" s="1420">
        <f t="shared" si="47"/>
        <v>20</v>
      </c>
      <c r="BF25" s="1420" t="e">
        <f t="shared" si="29"/>
        <v>#VALUE!</v>
      </c>
      <c r="BG25" s="1420" t="str">
        <f t="shared" si="8"/>
        <v/>
      </c>
      <c r="BI25" s="743">
        <f t="shared" si="30"/>
        <v>0</v>
      </c>
      <c r="BJ25" s="1420" t="str">
        <f t="shared" si="31"/>
        <v/>
      </c>
      <c r="BK25" s="1420" t="str">
        <f t="shared" si="32"/>
        <v/>
      </c>
      <c r="BL25" s="1420" t="str">
        <f>IF(BK25&lt;&gt;"",IF(BL26&lt;&gt;"",BK25&amp;", "&amp;BL26,BK25),BL26)</f>
        <v/>
      </c>
      <c r="BM25" s="1420">
        <f t="shared" si="48"/>
        <v>20</v>
      </c>
      <c r="BN25" s="1420" t="e">
        <f t="shared" si="33"/>
        <v>#VALUE!</v>
      </c>
      <c r="BO25" s="1420" t="str">
        <f t="shared" si="10"/>
        <v/>
      </c>
      <c r="BQ25" s="743">
        <f t="shared" si="34"/>
        <v>0</v>
      </c>
      <c r="BR25" s="1420" t="str">
        <f t="shared" si="35"/>
        <v/>
      </c>
      <c r="BS25" s="1420" t="str">
        <f t="shared" si="36"/>
        <v/>
      </c>
      <c r="BT25" s="1420" t="str">
        <f>IF(BS25&lt;&gt;"",IF(BT26&lt;&gt;"",BS25&amp;", "&amp;BT26,BS25),BT26)</f>
        <v/>
      </c>
      <c r="BU25" s="1420">
        <f t="shared" si="49"/>
        <v>20</v>
      </c>
      <c r="BV25" s="1420" t="e">
        <f t="shared" si="37"/>
        <v>#VALUE!</v>
      </c>
      <c r="BW25" s="1420" t="str">
        <f t="shared" si="12"/>
        <v/>
      </c>
      <c r="BX25" s="1420" t="str">
        <f t="shared" si="38"/>
        <v/>
      </c>
    </row>
    <row r="26" spans="2:76">
      <c r="B26" s="26"/>
      <c r="C26" s="1741"/>
      <c r="D26" s="29"/>
      <c r="T26" s="1420">
        <f t="shared" si="39"/>
        <v>21</v>
      </c>
      <c r="U26" s="1420" t="e">
        <f t="shared" ca="1" si="40"/>
        <v>#VALUE!</v>
      </c>
      <c r="V26" s="1420" t="str">
        <f t="shared" ca="1" si="13"/>
        <v/>
      </c>
      <c r="W26" s="1420" t="str">
        <f t="shared" ca="1" si="52"/>
        <v/>
      </c>
      <c r="X26" s="1420">
        <f t="shared" si="41"/>
        <v>21</v>
      </c>
      <c r="Y26" s="1420" t="e">
        <f t="shared" si="14"/>
        <v>#VALUE!</v>
      </c>
      <c r="Z26" s="1420" t="str">
        <f t="shared" si="1"/>
        <v/>
      </c>
      <c r="AA26" s="1420" t="str">
        <f t="shared" si="2"/>
        <v/>
      </c>
      <c r="AM26" s="383" t="s">
        <v>195</v>
      </c>
      <c r="AN26" s="383"/>
      <c r="AU26" s="383" t="s">
        <v>195</v>
      </c>
      <c r="AW26" s="383"/>
      <c r="BD26" s="383" t="s">
        <v>195</v>
      </c>
      <c r="BL26" s="383" t="s">
        <v>195</v>
      </c>
      <c r="BQ26" s="383" t="s">
        <v>195</v>
      </c>
      <c r="BT26" s="383" t="s">
        <v>195</v>
      </c>
      <c r="BX26" s="383" t="s">
        <v>195</v>
      </c>
    </row>
    <row r="27" spans="2:76">
      <c r="B27" s="26"/>
      <c r="C27" s="1741"/>
      <c r="D27" s="29"/>
      <c r="G27" s="1420" t="str">
        <f ca="1">I27&amp;IF(I28&lt;&gt;"","
"&amp;I28,"")&amp;IF(I29&lt;&gt;"","
"&amp;I29,"")&amp;IF(I30&lt;&gt;"","
"&amp;I30,"")&amp;IF(I31&lt;&gt;"","
"&amp;I31,"")&amp;IF(I32&lt;&gt;"","
"&amp;I32,"")&amp;IF(I33&lt;&gt;"","
"&amp;I33,"")&amp;IF(I34&lt;&gt;"","
"&amp;I34,"")</f>
        <v>Abilities Str , Dex , Con , Int , Wis , Cha 
0</v>
      </c>
      <c r="I27" s="1420" t="str">
        <f t="shared" ref="I27:I32" si="53">K27</f>
        <v xml:space="preserve">Abilities Str , Dex , Con , Int , Wis , Cha </v>
      </c>
      <c r="K27" s="1420" t="str">
        <f>"Abilities Str "&amp;Strength&amp;", Dex "&amp;Dexterity&amp;", Con "&amp;Constitution&amp;", Int "&amp;Intelligence&amp;", Wis "&amp;Wisdom&amp;", Cha "&amp;Charisma</f>
        <v xml:space="preserve">Abilities Str , Dex , Con , Int , Wis , Cha </v>
      </c>
      <c r="T27" s="1420">
        <f t="shared" si="39"/>
        <v>22</v>
      </c>
      <c r="U27" s="1420" t="e">
        <f t="shared" ca="1" si="40"/>
        <v>#VALUE!</v>
      </c>
      <c r="V27" s="1420" t="str">
        <f t="shared" ca="1" si="13"/>
        <v/>
      </c>
      <c r="W27" s="1420" t="str">
        <f t="shared" ca="1" si="52"/>
        <v/>
      </c>
      <c r="X27" s="1420">
        <f t="shared" si="41"/>
        <v>22</v>
      </c>
      <c r="Y27" s="1420" t="e">
        <f t="shared" si="14"/>
        <v>#VALUE!</v>
      </c>
      <c r="Z27" s="1420" t="str">
        <f t="shared" si="1"/>
        <v/>
      </c>
      <c r="AA27" s="1420" t="str">
        <f t="shared" si="2"/>
        <v/>
      </c>
    </row>
    <row r="28" spans="2:76">
      <c r="B28" s="26"/>
      <c r="C28" s="1741"/>
      <c r="D28" s="29"/>
      <c r="I28" s="1420">
        <f t="shared" ca="1" si="53"/>
        <v>0</v>
      </c>
      <c r="K28" s="1420">
        <f ca="1">IF(OR(ClassSpecials&lt;&gt;"",SpecialQualitiesStatBlock&lt;&gt;""),"Special Qualities "&amp;IF(SpecialQualitiesStatBlock&lt;&gt;"",SpecialQualitiesStatBlock,"")&amp;IF(AND(SpecialQualitiesStatBlock&lt;&gt;"",ClassSpecials&lt;&gt;""),", ","")&amp;IF(ClassSpecials&lt;&gt;"",ClassSpecials,""),G17)</f>
        <v>0</v>
      </c>
      <c r="T28" s="1420">
        <f t="shared" si="39"/>
        <v>23</v>
      </c>
      <c r="U28" s="1420" t="e">
        <f t="shared" ca="1" si="40"/>
        <v>#VALUE!</v>
      </c>
      <c r="V28" s="1420" t="str">
        <f t="shared" ca="1" si="13"/>
        <v/>
      </c>
      <c r="W28" s="1420" t="str">
        <f t="shared" ca="1" si="52"/>
        <v/>
      </c>
      <c r="X28" s="1420">
        <f t="shared" si="41"/>
        <v>23</v>
      </c>
      <c r="Y28" s="1420" t="e">
        <f t="shared" si="14"/>
        <v>#VALUE!</v>
      </c>
      <c r="Z28" s="1420" t="str">
        <f t="shared" si="1"/>
        <v/>
      </c>
      <c r="AA28" s="1420" t="str">
        <f t="shared" si="2"/>
        <v/>
      </c>
    </row>
    <row r="29" spans="2:76">
      <c r="B29" s="26"/>
      <c r="C29" s="1741"/>
      <c r="D29" s="29"/>
      <c r="I29" s="1420" t="str">
        <f t="shared" si="53"/>
        <v/>
      </c>
      <c r="K29" s="1420" t="str">
        <f>IF(TalentsListStatBlock&lt;&gt;"","Talents "&amp;TalentsListStatBlock,"")</f>
        <v/>
      </c>
      <c r="T29" s="1420">
        <f t="shared" si="39"/>
        <v>24</v>
      </c>
      <c r="U29" s="1420" t="e">
        <f t="shared" ca="1" si="40"/>
        <v>#VALUE!</v>
      </c>
      <c r="V29" s="1420" t="str">
        <f t="shared" ca="1" si="13"/>
        <v/>
      </c>
      <c r="W29" s="1420" t="str">
        <f t="shared" ca="1" si="52"/>
        <v/>
      </c>
      <c r="X29" s="1420">
        <f t="shared" si="41"/>
        <v>24</v>
      </c>
      <c r="Y29" s="1420" t="e">
        <f t="shared" si="14"/>
        <v>#VALUE!</v>
      </c>
      <c r="Z29" s="1420" t="str">
        <f t="shared" si="1"/>
        <v/>
      </c>
      <c r="AA29" s="1420" t="str">
        <f t="shared" si="2"/>
        <v/>
      </c>
    </row>
    <row r="30" spans="2:76">
      <c r="B30" s="26"/>
      <c r="C30" s="1741"/>
      <c r="D30" s="29"/>
      <c r="I30" s="1420" t="str">
        <f t="shared" ca="1" si="53"/>
        <v/>
      </c>
      <c r="K30" s="1420" t="str">
        <f ca="1">IF(FeatsListStatBlock&lt;&gt;"","Feats "&amp;FeatsListStatBlock,"")</f>
        <v/>
      </c>
      <c r="T30" s="1420">
        <f t="shared" si="39"/>
        <v>25</v>
      </c>
      <c r="U30" s="1420" t="e">
        <f t="shared" ca="1" si="40"/>
        <v>#VALUE!</v>
      </c>
      <c r="V30" s="1420" t="str">
        <f t="shared" ca="1" si="13"/>
        <v/>
      </c>
      <c r="W30" s="1420" t="str">
        <f t="shared" ca="1" si="52"/>
        <v/>
      </c>
      <c r="X30" s="1420">
        <f t="shared" si="41"/>
        <v>25</v>
      </c>
      <c r="Y30" s="1420" t="e">
        <f t="shared" si="14"/>
        <v>#VALUE!</v>
      </c>
      <c r="Z30" s="1420" t="str">
        <f t="shared" si="1"/>
        <v/>
      </c>
      <c r="AA30" s="1420" t="str">
        <f t="shared" si="2"/>
        <v/>
      </c>
    </row>
    <row r="31" spans="2:76">
      <c r="B31" s="26"/>
      <c r="C31" s="1741"/>
      <c r="D31" s="29"/>
      <c r="I31" s="1420" t="str">
        <f t="shared" si="53"/>
        <v/>
      </c>
      <c r="K31" s="1420" t="str">
        <f>IF(SkillListStatBlock&lt;&gt;"","Skills "&amp;SkillListStatBlock,"")</f>
        <v/>
      </c>
      <c r="T31" s="1420">
        <f t="shared" si="39"/>
        <v>26</v>
      </c>
      <c r="U31" s="1420" t="e">
        <f t="shared" ca="1" si="40"/>
        <v>#VALUE!</v>
      </c>
      <c r="V31" s="1420" t="str">
        <f t="shared" ca="1" si="13"/>
        <v/>
      </c>
      <c r="W31" s="1420" t="str">
        <f t="shared" ca="1" si="52"/>
        <v/>
      </c>
      <c r="X31" s="1420">
        <f t="shared" si="41"/>
        <v>26</v>
      </c>
      <c r="Y31" s="1420" t="e">
        <f t="shared" si="14"/>
        <v>#VALUE!</v>
      </c>
      <c r="Z31" s="1420" t="str">
        <f t="shared" si="1"/>
        <v/>
      </c>
      <c r="AA31" s="1420" t="str">
        <f t="shared" si="2"/>
        <v/>
      </c>
    </row>
    <row r="32" spans="2:76">
      <c r="B32" s="26"/>
      <c r="C32" s="1741"/>
      <c r="D32" s="29"/>
      <c r="I32" s="1420" t="str">
        <f t="shared" si="53"/>
        <v/>
      </c>
      <c r="K32" s="1420" t="str">
        <f>IF(AND(NOT(ISERROR(FIND("Droid",Race,1))),DroidSystemsOutput&lt;&gt;""),"Systems "&amp;DroidSystemsOutput,"")</f>
        <v/>
      </c>
      <c r="T32" s="1420">
        <f t="shared" si="39"/>
        <v>27</v>
      </c>
      <c r="U32" s="1420" t="e">
        <f t="shared" ca="1" si="40"/>
        <v>#VALUE!</v>
      </c>
      <c r="V32" s="1420" t="str">
        <f t="shared" ca="1" si="13"/>
        <v/>
      </c>
      <c r="W32" s="1420" t="str">
        <f t="shared" ca="1" si="52"/>
        <v/>
      </c>
      <c r="X32" s="1420">
        <f t="shared" si="41"/>
        <v>27</v>
      </c>
      <c r="Y32" s="1420" t="e">
        <f t="shared" si="14"/>
        <v>#VALUE!</v>
      </c>
      <c r="Z32" s="1420" t="str">
        <f t="shared" si="1"/>
        <v/>
      </c>
      <c r="AA32" s="1420" t="str">
        <f t="shared" si="2"/>
        <v/>
      </c>
    </row>
    <row r="33" spans="2:27">
      <c r="B33" s="26"/>
      <c r="C33" s="1741"/>
      <c r="D33" s="29"/>
      <c r="I33" s="1420" t="str">
        <f>K33</f>
        <v/>
      </c>
      <c r="K33" s="1420" t="str">
        <f>IF(PossessionsStatBlock&lt;&gt;"","Possessions "&amp;PossessionsStatBlock&amp;IF(Credits&lt;&gt;"",", "&amp;Credits&amp;" credits",""),"")</f>
        <v/>
      </c>
      <c r="T33" s="1420">
        <f t="shared" si="39"/>
        <v>28</v>
      </c>
      <c r="U33" s="1420" t="e">
        <f t="shared" ca="1" si="40"/>
        <v>#VALUE!</v>
      </c>
      <c r="V33" s="1420" t="str">
        <f t="shared" ca="1" si="13"/>
        <v/>
      </c>
      <c r="W33" s="1420" t="str">
        <f t="shared" ca="1" si="52"/>
        <v/>
      </c>
      <c r="X33" s="1420">
        <f t="shared" si="41"/>
        <v>28</v>
      </c>
      <c r="Y33" s="1420" t="e">
        <f t="shared" si="14"/>
        <v>#VALUE!</v>
      </c>
      <c r="Z33" s="1420" t="str">
        <f t="shared" si="1"/>
        <v/>
      </c>
      <c r="AA33" s="1420" t="str">
        <f t="shared" si="2"/>
        <v/>
      </c>
    </row>
    <row r="34" spans="2:27">
      <c r="B34" s="26"/>
      <c r="C34" s="1741"/>
      <c r="D34" s="29"/>
      <c r="I34" s="1420" t="str">
        <f>K34</f>
        <v/>
      </c>
      <c r="K34" s="1420" t="str">
        <f>IF(DestinyCompleted&lt;&gt;"",DestinyCompleted,"")</f>
        <v/>
      </c>
      <c r="T34" s="1420">
        <f t="shared" si="39"/>
        <v>29</v>
      </c>
      <c r="U34" s="1420" t="e">
        <f t="shared" ca="1" si="40"/>
        <v>#VALUE!</v>
      </c>
      <c r="V34" s="1420" t="str">
        <f t="shared" ca="1" si="13"/>
        <v/>
      </c>
      <c r="W34" s="1420" t="str">
        <f t="shared" ca="1" si="52"/>
        <v/>
      </c>
      <c r="X34" s="1420">
        <f t="shared" si="41"/>
        <v>29</v>
      </c>
      <c r="Y34" s="1420" t="e">
        <f t="shared" si="14"/>
        <v>#VALUE!</v>
      </c>
      <c r="Z34" s="1420" t="str">
        <f t="shared" si="1"/>
        <v/>
      </c>
      <c r="AA34" s="1420" t="str">
        <f t="shared" si="2"/>
        <v/>
      </c>
    </row>
    <row r="35" spans="2:27">
      <c r="B35" s="26"/>
      <c r="C35" s="1741"/>
      <c r="D35" s="29"/>
      <c r="G35" s="1420" t="str">
        <f>I35&amp;IF(I36&lt;&gt;"","
"&amp;I36,"")</f>
        <v/>
      </c>
      <c r="I35" s="383" t="s">
        <v>195</v>
      </c>
      <c r="K35" s="1420" t="str">
        <f>IF(AND(Weapon1&lt;&gt;"",NPCType=3),Weapon1&amp;"
   Atk "&amp;IF(Weapons!E8&lt;0,"","+")&amp;Weapons!E8&amp;IF(NOT(ISERROR(FIND("A",Weapons!E24,1)))," ("&amp;IF(Weapons!E8-5&lt;0,"","+")&amp;Weapons!E8-5&amp;" autofire), ",", ")&amp;"Dmg ("&amp;Weapons!E9&amp;")×2","")</f>
        <v/>
      </c>
      <c r="W35" s="383" t="s">
        <v>195</v>
      </c>
      <c r="AA35" s="383" t="s">
        <v>195</v>
      </c>
    </row>
    <row r="36" spans="2:27">
      <c r="B36" s="26"/>
      <c r="C36" s="1741"/>
      <c r="D36" s="29"/>
    </row>
    <row r="37" spans="2:27">
      <c r="B37" s="26"/>
      <c r="C37" s="1741"/>
      <c r="D37" s="29"/>
    </row>
    <row r="38" spans="2:27">
      <c r="B38" s="26"/>
      <c r="C38" s="1741"/>
      <c r="D38" s="29"/>
    </row>
    <row r="39" spans="2:27">
      <c r="B39" s="26"/>
      <c r="C39" s="1741"/>
      <c r="D39" s="29"/>
    </row>
    <row r="40" spans="2:27">
      <c r="B40" s="26"/>
      <c r="C40" s="1741"/>
      <c r="D40" s="29"/>
    </row>
    <row r="41" spans="2:27">
      <c r="B41" s="26"/>
      <c r="C41" s="1741"/>
      <c r="D41" s="29"/>
    </row>
    <row r="42" spans="2:27">
      <c r="B42" s="26"/>
      <c r="C42" s="1741"/>
      <c r="D42" s="29"/>
    </row>
    <row r="43" spans="2:27">
      <c r="B43" s="26"/>
      <c r="C43" s="1741"/>
      <c r="D43" s="29"/>
    </row>
    <row r="44" spans="2:27">
      <c r="B44" s="26"/>
      <c r="C44" s="1741"/>
      <c r="D44" s="29"/>
    </row>
    <row r="45" spans="2:27">
      <c r="B45" s="26"/>
      <c r="C45" s="1741"/>
      <c r="D45" s="29"/>
    </row>
    <row r="46" spans="2:27">
      <c r="B46" s="26"/>
      <c r="C46" s="1741"/>
      <c r="D46" s="29"/>
    </row>
    <row r="47" spans="2:27">
      <c r="B47" s="26"/>
      <c r="C47" s="1741"/>
      <c r="D47" s="29"/>
    </row>
    <row r="48" spans="2:27">
      <c r="B48" s="26"/>
      <c r="C48" s="1741"/>
      <c r="D48" s="29"/>
    </row>
    <row r="49" spans="2:4">
      <c r="B49" s="26"/>
      <c r="C49" s="1741"/>
      <c r="D49" s="29"/>
    </row>
    <row r="50" spans="2:4">
      <c r="B50" s="26"/>
      <c r="C50" s="1741"/>
      <c r="D50" s="29"/>
    </row>
    <row r="51" spans="2:4">
      <c r="B51" s="26"/>
      <c r="C51" s="1741"/>
      <c r="D51" s="29"/>
    </row>
    <row r="52" spans="2:4">
      <c r="B52" s="26"/>
      <c r="C52" s="1741"/>
      <c r="D52" s="29"/>
    </row>
    <row r="53" spans="2:4">
      <c r="B53" s="26"/>
      <c r="C53" s="1741"/>
      <c r="D53" s="29"/>
    </row>
    <row r="54" spans="2:4">
      <c r="B54" s="26"/>
      <c r="C54" s="1741"/>
      <c r="D54" s="29"/>
    </row>
    <row r="55" spans="2:4">
      <c r="B55" s="26"/>
      <c r="C55" s="1741"/>
      <c r="D55" s="29"/>
    </row>
    <row r="56" spans="2:4">
      <c r="B56" s="26"/>
      <c r="C56" s="1741"/>
      <c r="D56" s="29"/>
    </row>
    <row r="57" spans="2:4">
      <c r="B57" s="26"/>
      <c r="C57" s="1741"/>
      <c r="D57" s="29"/>
    </row>
    <row r="58" spans="2:4">
      <c r="B58" s="26"/>
      <c r="C58" s="1741"/>
      <c r="D58" s="29"/>
    </row>
    <row r="59" spans="2:4">
      <c r="B59" s="26"/>
      <c r="C59" s="1741"/>
      <c r="D59" s="29"/>
    </row>
    <row r="60" spans="2:4">
      <c r="B60" s="26"/>
      <c r="C60" s="1741"/>
      <c r="D60" s="29"/>
    </row>
    <row r="61" spans="2:4">
      <c r="B61" s="26"/>
      <c r="C61" s="1741"/>
      <c r="D61" s="29"/>
    </row>
    <row r="62" spans="2:4">
      <c r="B62" s="26"/>
      <c r="C62" s="1741"/>
      <c r="D62" s="29"/>
    </row>
    <row r="63" spans="2:4">
      <c r="B63" s="26"/>
      <c r="C63" s="1741"/>
      <c r="D63" s="29"/>
    </row>
    <row r="64" spans="2:4">
      <c r="B64" s="26"/>
      <c r="C64" s="1741"/>
      <c r="D64" s="29"/>
    </row>
    <row r="65" spans="2:4">
      <c r="B65" s="26"/>
      <c r="C65" s="1741"/>
      <c r="D65" s="29"/>
    </row>
    <row r="66" spans="2:4">
      <c r="B66" s="26"/>
      <c r="C66" s="1741"/>
      <c r="D66" s="29"/>
    </row>
    <row r="67" spans="2:4">
      <c r="B67" s="26"/>
      <c r="C67" s="1741"/>
      <c r="D67" s="29"/>
    </row>
    <row r="68" spans="2:4">
      <c r="B68" s="26"/>
      <c r="C68" s="1741"/>
      <c r="D68" s="29"/>
    </row>
    <row r="69" spans="2:4">
      <c r="B69" s="26"/>
      <c r="C69" s="1741"/>
      <c r="D69" s="29"/>
    </row>
    <row r="70" spans="2:4">
      <c r="B70" s="26"/>
      <c r="C70" s="1741"/>
      <c r="D70" s="29"/>
    </row>
    <row r="71" spans="2:4">
      <c r="B71" s="26"/>
      <c r="C71" s="1741"/>
      <c r="D71" s="29"/>
    </row>
    <row r="72" spans="2:4">
      <c r="B72" s="26"/>
      <c r="C72" s="1741"/>
      <c r="D72" s="29"/>
    </row>
    <row r="73" spans="2:4">
      <c r="B73" s="26"/>
      <c r="C73" s="1741"/>
      <c r="D73" s="29"/>
    </row>
    <row r="74" spans="2:4">
      <c r="B74" s="26"/>
      <c r="C74" s="1741"/>
      <c r="D74" s="29"/>
    </row>
    <row r="75" spans="2:4">
      <c r="B75" s="26"/>
      <c r="C75" s="1741"/>
      <c r="D75" s="29"/>
    </row>
    <row r="76" spans="2:4">
      <c r="B76" s="26"/>
      <c r="C76" s="1741"/>
      <c r="D76" s="29"/>
    </row>
    <row r="77" spans="2:4">
      <c r="B77" s="26"/>
      <c r="C77" s="1741"/>
      <c r="D77" s="29"/>
    </row>
    <row r="78" spans="2:4">
      <c r="B78" s="26"/>
      <c r="C78" s="1741"/>
      <c r="D78" s="29"/>
    </row>
    <row r="79" spans="2:4">
      <c r="B79" s="26"/>
      <c r="C79" s="1741"/>
      <c r="D79" s="29"/>
    </row>
    <row r="80" spans="2:4">
      <c r="B80" s="26"/>
      <c r="C80" s="1741"/>
      <c r="D80" s="29"/>
    </row>
    <row r="81" spans="2:4">
      <c r="B81" s="26"/>
      <c r="C81" s="1741"/>
      <c r="D81" s="29"/>
    </row>
    <row r="82" spans="2:4">
      <c r="B82" s="26"/>
      <c r="C82" s="1741"/>
      <c r="D82" s="29"/>
    </row>
    <row r="83" spans="2:4" ht="15" thickBot="1">
      <c r="B83" s="32"/>
      <c r="C83" s="1421"/>
      <c r="D83" s="35"/>
    </row>
  </sheetData>
  <mergeCells count="1">
    <mergeCell ref="C5:C8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857</vt:i4>
      </vt:variant>
    </vt:vector>
  </HeadingPairs>
  <TitlesOfParts>
    <vt:vector size="888" baseType="lpstr">
      <vt:lpstr>Intro</vt:lpstr>
      <vt:lpstr>Instructions</vt:lpstr>
      <vt:lpstr>Beasts</vt:lpstr>
      <vt:lpstr>Droids</vt:lpstr>
      <vt:lpstr>Near-Humans</vt:lpstr>
      <vt:lpstr>Character &amp; Species</vt:lpstr>
      <vt:lpstr>Feats</vt:lpstr>
      <vt:lpstr>Class</vt:lpstr>
      <vt:lpstr>Skills</vt:lpstr>
      <vt:lpstr>Data</vt:lpstr>
      <vt:lpstr>Lists</vt:lpstr>
      <vt:lpstr>Talents</vt:lpstr>
      <vt:lpstr>Talents 2</vt:lpstr>
      <vt:lpstr>The Force</vt:lpstr>
      <vt:lpstr>ForcePowerCards</vt:lpstr>
      <vt:lpstr>Regimens-Tactics-Unleashed</vt:lpstr>
      <vt:lpstr>Languages</vt:lpstr>
      <vt:lpstr>Armor and Defenses</vt:lpstr>
      <vt:lpstr>Weapons</vt:lpstr>
      <vt:lpstr>Equipment</vt:lpstr>
      <vt:lpstr>Cybernetics and Biotech</vt:lpstr>
      <vt:lpstr>Bonuses</vt:lpstr>
      <vt:lpstr>Destiny Completed</vt:lpstr>
      <vt:lpstr>Character Sheet 1</vt:lpstr>
      <vt:lpstr>Character Sheet 2</vt:lpstr>
      <vt:lpstr>Weapons Cheat Sheet</vt:lpstr>
      <vt:lpstr>Stat Block</vt:lpstr>
      <vt:lpstr>Weapons Cheat Sheet (2)</vt:lpstr>
      <vt:lpstr>old Weapons</vt:lpstr>
      <vt:lpstr>NewStatBlockRef</vt:lpstr>
      <vt:lpstr>Force Power Descriptions</vt:lpstr>
      <vt:lpstr>AbilityScoreList</vt:lpstr>
      <vt:lpstr>AbilityScoresTable</vt:lpstr>
      <vt:lpstr>Academic</vt:lpstr>
      <vt:lpstr>AcademicSkill</vt:lpstr>
      <vt:lpstr>Ace_Pilot</vt:lpstr>
      <vt:lpstr>Acrobatics</vt:lpstr>
      <vt:lpstr>AgeTable</vt:lpstr>
      <vt:lpstr>Alderaan</vt:lpstr>
      <vt:lpstr>AlderaanSkill</vt:lpstr>
      <vt:lpstr>AllLevels</vt:lpstr>
      <vt:lpstr>ArkanianOffshootAbility</vt:lpstr>
      <vt:lpstr>ArkanianSkillFocus</vt:lpstr>
      <vt:lpstr>ArmorAccessoriesEnd</vt:lpstr>
      <vt:lpstr>ArmorAccessoriesStart</vt:lpstr>
      <vt:lpstr>ArmorAccessoriesTableEnd</vt:lpstr>
      <vt:lpstr>ArmorAvailability</vt:lpstr>
      <vt:lpstr>ArmorAvailabilityOverride</vt:lpstr>
      <vt:lpstr>ArmorCharismaBonus</vt:lpstr>
      <vt:lpstr>ArmorConstitutionBonus</vt:lpstr>
      <vt:lpstr>ArmorCost</vt:lpstr>
      <vt:lpstr>ArmorDexterityBonus</vt:lpstr>
      <vt:lpstr>ArmorFortBonus</vt:lpstr>
      <vt:lpstr>ArmorFortitudeBonusOverride</vt:lpstr>
      <vt:lpstr>ArmorHelmet</vt:lpstr>
      <vt:lpstr>ArmorIntelligenceBonus</vt:lpstr>
      <vt:lpstr>ArmorListEnd</vt:lpstr>
      <vt:lpstr>ArmorListStart</vt:lpstr>
      <vt:lpstr>ArmorMaxDex</vt:lpstr>
      <vt:lpstr>ArmorMaxDexOverride</vt:lpstr>
      <vt:lpstr>ArmorModsInstalledList</vt:lpstr>
      <vt:lpstr>ArmorModsStatBlock</vt:lpstr>
      <vt:lpstr>ArmorMountList</vt:lpstr>
      <vt:lpstr>ArmorPenalty</vt:lpstr>
      <vt:lpstr>ArmorPriceOverride</vt:lpstr>
      <vt:lpstr>ArmorRefBonus</vt:lpstr>
      <vt:lpstr>ArmorReflexBonusOverride</vt:lpstr>
      <vt:lpstr>ArmorSizeList</vt:lpstr>
      <vt:lpstr>ArmorSizeNumList</vt:lpstr>
      <vt:lpstr>ArmorSizeTable</vt:lpstr>
      <vt:lpstr>ArmorSpecial</vt:lpstr>
      <vt:lpstr>ArmorSpeed</vt:lpstr>
      <vt:lpstr>ArmorSpeedOverride</vt:lpstr>
      <vt:lpstr>ArmorStengthBonus</vt:lpstr>
      <vt:lpstr>ArmorTableEnd</vt:lpstr>
      <vt:lpstr>ArmorTechModsList</vt:lpstr>
      <vt:lpstr>ArmorTechModsTable</vt:lpstr>
      <vt:lpstr>ArmorTemplatesEnd</vt:lpstr>
      <vt:lpstr>ArmorTemplatesStart</vt:lpstr>
      <vt:lpstr>ArmorTemplatesTableEnd</vt:lpstr>
      <vt:lpstr>ArmorType</vt:lpstr>
      <vt:lpstr>ArmorTypeOverride</vt:lpstr>
      <vt:lpstr>ArmorWeight</vt:lpstr>
      <vt:lpstr>ArmorWeightOverride</vt:lpstr>
      <vt:lpstr>ArmorWisdomBonus</vt:lpstr>
      <vt:lpstr>ArmorWorn</vt:lpstr>
      <vt:lpstr>ArmorWornName</vt:lpstr>
      <vt:lpstr>Assassin</vt:lpstr>
      <vt:lpstr>AttackBonus</vt:lpstr>
      <vt:lpstr>AttackOptionsList</vt:lpstr>
      <vt:lpstr>'Force Power Descriptions'!AttackOptionsStatBlock</vt:lpstr>
      <vt:lpstr>AttackOptionsStatBlock</vt:lpstr>
      <vt:lpstr>'Force Power Descriptions'!AttOptionsStatBlock</vt:lpstr>
      <vt:lpstr>AttOptionsStatBlock</vt:lpstr>
      <vt:lpstr>AvailabilityList</vt:lpstr>
      <vt:lpstr>AvailabilityTable</vt:lpstr>
      <vt:lpstr>AvailList</vt:lpstr>
      <vt:lpstr>BAB</vt:lpstr>
      <vt:lpstr>Background</vt:lpstr>
      <vt:lpstr>BackgroundData</vt:lpstr>
      <vt:lpstr>BackgroundLanguages</vt:lpstr>
      <vt:lpstr>BackgroundList</vt:lpstr>
      <vt:lpstr>BackgroundNumber</vt:lpstr>
      <vt:lpstr>Bakura</vt:lpstr>
      <vt:lpstr>BakuraSkill</vt:lpstr>
      <vt:lpstr>BalmorranArms</vt:lpstr>
      <vt:lpstr>Bankrupt</vt:lpstr>
      <vt:lpstr>BankruptSkill</vt:lpstr>
      <vt:lpstr>BaseCharisma</vt:lpstr>
      <vt:lpstr>BaseConstitution</vt:lpstr>
      <vt:lpstr>BaseDexterity</vt:lpstr>
      <vt:lpstr>BaseIntelligence</vt:lpstr>
      <vt:lpstr>BaseMeleeAttack</vt:lpstr>
      <vt:lpstr>BaseRangedAttack</vt:lpstr>
      <vt:lpstr>BaseStrength</vt:lpstr>
      <vt:lpstr>BaseWisdom</vt:lpstr>
      <vt:lpstr>BeastCharisma</vt:lpstr>
      <vt:lpstr>BeastClimb</vt:lpstr>
      <vt:lpstr>BeastConstitution</vt:lpstr>
      <vt:lpstr>BeastDexterity</vt:lpstr>
      <vt:lpstr>BeastFeat1</vt:lpstr>
      <vt:lpstr>BeastFeat2</vt:lpstr>
      <vt:lpstr>BeastFeat3</vt:lpstr>
      <vt:lpstr>BeastFly</vt:lpstr>
      <vt:lpstr>BeastFort</vt:lpstr>
      <vt:lpstr>BeastIntelligence</vt:lpstr>
      <vt:lpstr>BeastNA</vt:lpstr>
      <vt:lpstr>BeastNA1</vt:lpstr>
      <vt:lpstr>BeastNA1Dam</vt:lpstr>
      <vt:lpstr>BeastNA1Type</vt:lpstr>
      <vt:lpstr>BeastNA2</vt:lpstr>
      <vt:lpstr>BeastNA2Dam</vt:lpstr>
      <vt:lpstr>BeastNA2Type</vt:lpstr>
      <vt:lpstr>BeastNA3</vt:lpstr>
      <vt:lpstr>BeastNA3Dam</vt:lpstr>
      <vt:lpstr>BeastNA3Type</vt:lpstr>
      <vt:lpstr>BeastNA4</vt:lpstr>
      <vt:lpstr>BeastNA4Dam</vt:lpstr>
      <vt:lpstr>BeastNA4Type</vt:lpstr>
      <vt:lpstr>BeastNA5</vt:lpstr>
      <vt:lpstr>BeastNA5Dam</vt:lpstr>
      <vt:lpstr>BeastNA5Type</vt:lpstr>
      <vt:lpstr>BeastRef</vt:lpstr>
      <vt:lpstr>BeastSF1</vt:lpstr>
      <vt:lpstr>BeastSF2</vt:lpstr>
      <vt:lpstr>BeastSF3</vt:lpstr>
      <vt:lpstr>BeastSize</vt:lpstr>
      <vt:lpstr>BeastSizeAbilitiesTable</vt:lpstr>
      <vt:lpstr>BeastSkill</vt:lpstr>
      <vt:lpstr>BeastSpecies</vt:lpstr>
      <vt:lpstr>BeastSpeed</vt:lpstr>
      <vt:lpstr>BeastST1</vt:lpstr>
      <vt:lpstr>BeastST2</vt:lpstr>
      <vt:lpstr>BeastST3</vt:lpstr>
      <vt:lpstr>BeastStrength</vt:lpstr>
      <vt:lpstr>BeastSwim</vt:lpstr>
      <vt:lpstr>BeastTrait1</vt:lpstr>
      <vt:lpstr>BeastTrait2</vt:lpstr>
      <vt:lpstr>BeastTrait3</vt:lpstr>
      <vt:lpstr>BeastTrait4</vt:lpstr>
      <vt:lpstr>BeastTrait5</vt:lpstr>
      <vt:lpstr>BeastWill</vt:lpstr>
      <vt:lpstr>BeastWisdom</vt:lpstr>
      <vt:lpstr>Bespin</vt:lpstr>
      <vt:lpstr>BespinSkill</vt:lpstr>
      <vt:lpstr>BF</vt:lpstr>
      <vt:lpstr>BGAcrobatics</vt:lpstr>
      <vt:lpstr>BGClimb</vt:lpstr>
      <vt:lpstr>BGDeception</vt:lpstr>
      <vt:lpstr>BGEndurance</vt:lpstr>
      <vt:lpstr>BGGatherInformation</vt:lpstr>
      <vt:lpstr>BGInitiatve</vt:lpstr>
      <vt:lpstr>BGJump</vt:lpstr>
      <vt:lpstr>BGKnowledgeBureaucracy</vt:lpstr>
      <vt:lpstr>BGKnowledgeGalacticLore</vt:lpstr>
      <vt:lpstr>BGKnowledgeLifeSciences</vt:lpstr>
      <vt:lpstr>BGKnowledgePhysicalSciences</vt:lpstr>
      <vt:lpstr>BGKnowledgeSocialSciences</vt:lpstr>
      <vt:lpstr>BGKnowledgeTactics</vt:lpstr>
      <vt:lpstr>BGKnowledgeTechnology</vt:lpstr>
      <vt:lpstr>BGMechanics</vt:lpstr>
      <vt:lpstr>BGPerception</vt:lpstr>
      <vt:lpstr>BGPersuasion</vt:lpstr>
      <vt:lpstr>BGPilot</vt:lpstr>
      <vt:lpstr>BGRide</vt:lpstr>
      <vt:lpstr>BGStealth</vt:lpstr>
      <vt:lpstr>BGSurvival</vt:lpstr>
      <vt:lpstr>BGSwim</vt:lpstr>
      <vt:lpstr>BGTreatInjury</vt:lpstr>
      <vt:lpstr>BGUseComputer</vt:lpstr>
      <vt:lpstr>BGUsetheForce</vt:lpstr>
      <vt:lpstr>Bioimplant</vt:lpstr>
      <vt:lpstr>BonusLanguageTable</vt:lpstr>
      <vt:lpstr>Bothawui</vt:lpstr>
      <vt:lpstr>BothawuiSkill</vt:lpstr>
      <vt:lpstr>Bounty_Hunter</vt:lpstr>
      <vt:lpstr>BS</vt:lpstr>
      <vt:lpstr>Campaign</vt:lpstr>
      <vt:lpstr>Celebrity</vt:lpstr>
      <vt:lpstr>CelebritySkill</vt:lpstr>
      <vt:lpstr>Cerea</vt:lpstr>
      <vt:lpstr>CereaSkill</vt:lpstr>
      <vt:lpstr>ChaAgeMod</vt:lpstr>
      <vt:lpstr>ChaMod</vt:lpstr>
      <vt:lpstr>CharacterAge</vt:lpstr>
      <vt:lpstr>CharacterEyes</vt:lpstr>
      <vt:lpstr>CharacterGender</vt:lpstr>
      <vt:lpstr>CharacterHair</vt:lpstr>
      <vt:lpstr>CharacterHeight</vt:lpstr>
      <vt:lpstr>CharacterLevel</vt:lpstr>
      <vt:lpstr>CharacterName</vt:lpstr>
      <vt:lpstr>CharacterWeight</vt:lpstr>
      <vt:lpstr>Charisma</vt:lpstr>
      <vt:lpstr>CharismaBonus</vt:lpstr>
      <vt:lpstr>Charlatan</vt:lpstr>
      <vt:lpstr>ClassFeatBonus</vt:lpstr>
      <vt:lpstr>ClassFort</vt:lpstr>
      <vt:lpstr>ClassList427</vt:lpstr>
      <vt:lpstr>ClassListBase</vt:lpstr>
      <vt:lpstr>ClassListEnd</vt:lpstr>
      <vt:lpstr>ClassListID</vt:lpstr>
      <vt:lpstr>ClassListStart</vt:lpstr>
      <vt:lpstr>ClassRef</vt:lpstr>
      <vt:lpstr>ClassSpecials</vt:lpstr>
      <vt:lpstr>ClassTableEnd</vt:lpstr>
      <vt:lpstr>ClassTalentsTakenList</vt:lpstr>
      <vt:lpstr>ClassTalentTakenDropdown</vt:lpstr>
      <vt:lpstr>ClassWill</vt:lpstr>
      <vt:lpstr>Climb</vt:lpstr>
      <vt:lpstr>CloneHeroAbility</vt:lpstr>
      <vt:lpstr>ConAgeMod</vt:lpstr>
      <vt:lpstr>ConcealItemList</vt:lpstr>
      <vt:lpstr>ConcealItemTable</vt:lpstr>
      <vt:lpstr>ConMod</vt:lpstr>
      <vt:lpstr>Conspiracy</vt:lpstr>
      <vt:lpstr>ConspiracySkill</vt:lpstr>
      <vt:lpstr>Constitution</vt:lpstr>
      <vt:lpstr>ConstitutionBonus</vt:lpstr>
      <vt:lpstr>Corellia</vt:lpstr>
      <vt:lpstr>CorelliaSkill</vt:lpstr>
      <vt:lpstr>Corporate_Agent</vt:lpstr>
      <vt:lpstr>Coruscant</vt:lpstr>
      <vt:lpstr>CoruscantSkill</vt:lpstr>
      <vt:lpstr>Credits</vt:lpstr>
      <vt:lpstr>Crime_Lord</vt:lpstr>
      <vt:lpstr>Criminal</vt:lpstr>
      <vt:lpstr>CriminalSkill</vt:lpstr>
      <vt:lpstr>Crippled</vt:lpstr>
      <vt:lpstr>CrippledSkill</vt:lpstr>
      <vt:lpstr>CurrentClass</vt:lpstr>
      <vt:lpstr>CurrentDestiny</vt:lpstr>
      <vt:lpstr>CustomTrait1</vt:lpstr>
      <vt:lpstr>CustomTrait1Desc</vt:lpstr>
      <vt:lpstr>CustomTrait2</vt:lpstr>
      <vt:lpstr>CustomTrait2Desc</vt:lpstr>
      <vt:lpstr>CustomTrait3</vt:lpstr>
      <vt:lpstr>CustomTrait3Desc</vt:lpstr>
      <vt:lpstr>CustomTrait4</vt:lpstr>
      <vt:lpstr>CustomTrait4Desc</vt:lpstr>
      <vt:lpstr>CustomTrait5</vt:lpstr>
      <vt:lpstr>CustomTrait5Desc</vt:lpstr>
      <vt:lpstr>Cyborg</vt:lpstr>
      <vt:lpstr>DamageBonus</vt:lpstr>
      <vt:lpstr>DamageReduction</vt:lpstr>
      <vt:lpstr>DamageThreshold</vt:lpstr>
      <vt:lpstr>DarkArmorList</vt:lpstr>
      <vt:lpstr>DarkArmorTable</vt:lpstr>
      <vt:lpstr>Deception</vt:lpstr>
      <vt:lpstr>DefensesList</vt:lpstr>
      <vt:lpstr>DestinyCompleted</vt:lpstr>
      <vt:lpstr>DestinyList</vt:lpstr>
      <vt:lpstr>DestinyPoints</vt:lpstr>
      <vt:lpstr>DexAgeMod</vt:lpstr>
      <vt:lpstr>DexMod</vt:lpstr>
      <vt:lpstr>Dexterity</vt:lpstr>
      <vt:lpstr>DexterityBonus</vt:lpstr>
      <vt:lpstr>DieSize</vt:lpstr>
      <vt:lpstr>DieSizeList</vt:lpstr>
      <vt:lpstr>DieSizeNumberList</vt:lpstr>
      <vt:lpstr>DieSizeTable</vt:lpstr>
      <vt:lpstr>Disgraced</vt:lpstr>
      <vt:lpstr>DisgracedSkill</vt:lpstr>
      <vt:lpstr>Dorin</vt:lpstr>
      <vt:lpstr>DorinSkill</vt:lpstr>
      <vt:lpstr>Droid</vt:lpstr>
      <vt:lpstr>Droid_Commander</vt:lpstr>
      <vt:lpstr>DroidAccessoriesList</vt:lpstr>
      <vt:lpstr>DroidAccessoriesOutput</vt:lpstr>
      <vt:lpstr>DroidAccessoriesTable</vt:lpstr>
      <vt:lpstr>DroidAppendageOutput</vt:lpstr>
      <vt:lpstr>DroidAppendages</vt:lpstr>
      <vt:lpstr>DroidAppendagesTable</vt:lpstr>
      <vt:lpstr>DroidArmorAvailability</vt:lpstr>
      <vt:lpstr>DroidArmorCost</vt:lpstr>
      <vt:lpstr>DroidArmorList</vt:lpstr>
      <vt:lpstr>DroidArmorMaxDex</vt:lpstr>
      <vt:lpstr>DroidArmorName</vt:lpstr>
      <vt:lpstr>DroidArmorRarity</vt:lpstr>
      <vt:lpstr>DroidArmorRef</vt:lpstr>
      <vt:lpstr>DroidArmorTable</vt:lpstr>
      <vt:lpstr>DroidArmorType</vt:lpstr>
      <vt:lpstr>DroidArmorWeight</vt:lpstr>
      <vt:lpstr>DroidBurrowSpeed</vt:lpstr>
      <vt:lpstr>DroidCha</vt:lpstr>
      <vt:lpstr>DroidChassisList</vt:lpstr>
      <vt:lpstr>DroidChassisTable</vt:lpstr>
      <vt:lpstr>DroidCostFactor</vt:lpstr>
      <vt:lpstr>DroidDegree</vt:lpstr>
      <vt:lpstr>DroidDegreeList</vt:lpstr>
      <vt:lpstr>DroidDegreeTable</vt:lpstr>
      <vt:lpstr>DroidDex</vt:lpstr>
      <vt:lpstr>DroidFlySpeed</vt:lpstr>
      <vt:lpstr>DroidHoverSpeed</vt:lpstr>
      <vt:lpstr>DroidInt</vt:lpstr>
      <vt:lpstr>DroidLocomotionAccessoriesOutput</vt:lpstr>
      <vt:lpstr>DroidLocomotionList</vt:lpstr>
      <vt:lpstr>DroidLocomotionOutput</vt:lpstr>
      <vt:lpstr>DroidLocomotionTable</vt:lpstr>
      <vt:lpstr>DroidManufacturer</vt:lpstr>
      <vt:lpstr>DroidManufacturerList</vt:lpstr>
      <vt:lpstr>DroidManufacturerTable</vt:lpstr>
      <vt:lpstr>DroidQuirkList</vt:lpstr>
      <vt:lpstr>DroidQuirkTable</vt:lpstr>
      <vt:lpstr>DroidShield</vt:lpstr>
      <vt:lpstr>DroidSize</vt:lpstr>
      <vt:lpstr>DroidSpeed</vt:lpstr>
      <vt:lpstr>DroidSpeedList</vt:lpstr>
      <vt:lpstr>DroidSRList</vt:lpstr>
      <vt:lpstr>DroidSRTable</vt:lpstr>
      <vt:lpstr>DroidStr</vt:lpstr>
      <vt:lpstr>DroidSwimSpeed</vt:lpstr>
      <vt:lpstr>DroidSystemsOutput</vt:lpstr>
      <vt:lpstr>DroidTalents</vt:lpstr>
      <vt:lpstr>DroidTechList</vt:lpstr>
      <vt:lpstr>DroidTrackedSpeed</vt:lpstr>
      <vt:lpstr>DroidTranslatorList</vt:lpstr>
      <vt:lpstr>DroidTranslatorTable</vt:lpstr>
      <vt:lpstr>DroidUnarmedModifier</vt:lpstr>
      <vt:lpstr>DroidWalkSpeed</vt:lpstr>
      <vt:lpstr>DroidWeightModifier</vt:lpstr>
      <vt:lpstr>DroidWheeledSpeed</vt:lpstr>
      <vt:lpstr>DroidWis</vt:lpstr>
      <vt:lpstr>DSP</vt:lpstr>
      <vt:lpstr>DSTaint</vt:lpstr>
      <vt:lpstr>DualGearList</vt:lpstr>
      <vt:lpstr>DualGearWeapon1</vt:lpstr>
      <vt:lpstr>DualWeap1</vt:lpstr>
      <vt:lpstr>DualWeap2</vt:lpstr>
      <vt:lpstr>DualWeap3</vt:lpstr>
      <vt:lpstr>Duro</vt:lpstr>
      <vt:lpstr>DuroSkill</vt:lpstr>
      <vt:lpstr>Elite_Trooper</vt:lpstr>
      <vt:lpstr>EndRace</vt:lpstr>
      <vt:lpstr>EndRaceTable</vt:lpstr>
      <vt:lpstr>Endurance</vt:lpstr>
      <vt:lpstr>Enforcer</vt:lpstr>
      <vt:lpstr>Enslaved</vt:lpstr>
      <vt:lpstr>EnslavedSkill</vt:lpstr>
      <vt:lpstr>Enter</vt:lpstr>
      <vt:lpstr>EquipmentAccessoriesList</vt:lpstr>
      <vt:lpstr>EquipmentAccessoriesTable</vt:lpstr>
      <vt:lpstr>EquipmentListEnd</vt:lpstr>
      <vt:lpstr>EquipmentListStart</vt:lpstr>
      <vt:lpstr>EquipmentNameList</vt:lpstr>
      <vt:lpstr>EquipmentNameListStatBlock</vt:lpstr>
      <vt:lpstr>EquipmentNumberList</vt:lpstr>
      <vt:lpstr>EquipmentNumberListStatBlock</vt:lpstr>
      <vt:lpstr>EquipmentTableEnd</vt:lpstr>
      <vt:lpstr>EquipmentWeightList</vt:lpstr>
      <vt:lpstr>Era</vt:lpstr>
      <vt:lpstr>Executive</vt:lpstr>
      <vt:lpstr>ExecutiveSkill</vt:lpstr>
      <vt:lpstr>Exiled</vt:lpstr>
      <vt:lpstr>ExiledSkill</vt:lpstr>
      <vt:lpstr>FAcrobatics</vt:lpstr>
      <vt:lpstr>FClimb</vt:lpstr>
      <vt:lpstr>FDeception</vt:lpstr>
      <vt:lpstr>FeatList</vt:lpstr>
      <vt:lpstr>FeatsCharacterSheet</vt:lpstr>
      <vt:lpstr>FeatsEnd</vt:lpstr>
      <vt:lpstr>'Force Power Descriptions'!FeatsListStatBlock</vt:lpstr>
      <vt:lpstr>FeatsListStatBlock</vt:lpstr>
      <vt:lpstr>FeatsStart</vt:lpstr>
      <vt:lpstr>FeatsTakenList</vt:lpstr>
      <vt:lpstr>FeatsTakenListPageRef</vt:lpstr>
      <vt:lpstr>FeatTable</vt:lpstr>
      <vt:lpstr>FeeorinAgeTable</vt:lpstr>
      <vt:lpstr>FeeorinChaAgeMod</vt:lpstr>
      <vt:lpstr>FeeorinConAgeMod</vt:lpstr>
      <vt:lpstr>FeeorinDexAgeMod</vt:lpstr>
      <vt:lpstr>FeeorinIntAgeMod</vt:lpstr>
      <vt:lpstr>FeeorinStrAgeMod</vt:lpstr>
      <vt:lpstr>FeeorinWisAgeMod</vt:lpstr>
      <vt:lpstr>FEndurance</vt:lpstr>
      <vt:lpstr>FGatherInformation</vt:lpstr>
      <vt:lpstr>FinalBaseMove</vt:lpstr>
      <vt:lpstr>FInitiative</vt:lpstr>
      <vt:lpstr>FirstClass</vt:lpstr>
      <vt:lpstr>FJump</vt:lpstr>
      <vt:lpstr>FKnowledgeBureaucracy</vt:lpstr>
      <vt:lpstr>FKnowledgeGalacticLore</vt:lpstr>
      <vt:lpstr>FKnowledgeLifeSciences</vt:lpstr>
      <vt:lpstr>FKnowledgePhysicalSciences</vt:lpstr>
      <vt:lpstr>FKnowledgeSocialSciences</vt:lpstr>
      <vt:lpstr>FKnowledgeTactics</vt:lpstr>
      <vt:lpstr>FKnowledgeTechnology</vt:lpstr>
      <vt:lpstr>FMechanics</vt:lpstr>
      <vt:lpstr>Fondor</vt:lpstr>
      <vt:lpstr>FondorSkill</vt:lpstr>
      <vt:lpstr>FontWindings</vt:lpstr>
      <vt:lpstr>Force_Adept</vt:lpstr>
      <vt:lpstr>Force_Traditions</vt:lpstr>
      <vt:lpstr>ForceAdeptList</vt:lpstr>
      <vt:lpstr>ForceDeception</vt:lpstr>
      <vt:lpstr>ForceExertion</vt:lpstr>
      <vt:lpstr>ForceExertionList</vt:lpstr>
      <vt:lpstr>ForceFluidity</vt:lpstr>
      <vt:lpstr>ForceInitiative</vt:lpstr>
      <vt:lpstr>ForcePerception</vt:lpstr>
      <vt:lpstr>ForcePersuasion</vt:lpstr>
      <vt:lpstr>ForcePilot</vt:lpstr>
      <vt:lpstr>ForcePoints</vt:lpstr>
      <vt:lpstr>ForcePowerAdeptList</vt:lpstr>
      <vt:lpstr>ForcePowerBonus</vt:lpstr>
      <vt:lpstr>ForcePowerDescriptions</vt:lpstr>
      <vt:lpstr>ForcePowerNumbers</vt:lpstr>
      <vt:lpstr>'Force Power Descriptions'!ForcePowersKnownStatBlock</vt:lpstr>
      <vt:lpstr>ForcePowersKnownStatBlock</vt:lpstr>
      <vt:lpstr>ForcePowersList</vt:lpstr>
      <vt:lpstr>ForcePowersStatBlockDescriptions</vt:lpstr>
      <vt:lpstr>ForcePowersTable</vt:lpstr>
      <vt:lpstr>ForcePowersTableLayout</vt:lpstr>
      <vt:lpstr>ForcePowersTaken</vt:lpstr>
      <vt:lpstr>ForceProdigyFeats</vt:lpstr>
      <vt:lpstr>ForceProdigySkill</vt:lpstr>
      <vt:lpstr>ForceRegimensTaken</vt:lpstr>
      <vt:lpstr>ForceSecretBonus</vt:lpstr>
      <vt:lpstr>'Force Power Descriptions'!ForceSecretsKnownStatBlock</vt:lpstr>
      <vt:lpstr>ForceSecretsKnownStatBlock</vt:lpstr>
      <vt:lpstr>ForceSecretsTaken</vt:lpstr>
      <vt:lpstr>ForceSensitive</vt:lpstr>
      <vt:lpstr>ForceStealth</vt:lpstr>
      <vt:lpstr>ForceTechniqueBonus</vt:lpstr>
      <vt:lpstr>'Force Power Descriptions'!ForceTechniquesKnownStatBlock</vt:lpstr>
      <vt:lpstr>ForceTechniquesKnownStatBlock</vt:lpstr>
      <vt:lpstr>ForceTechniquesTaken</vt:lpstr>
      <vt:lpstr>ForceTreatment</vt:lpstr>
      <vt:lpstr>FortDefense</vt:lpstr>
      <vt:lpstr>FortitudeBonus</vt:lpstr>
      <vt:lpstr>FPerception</vt:lpstr>
      <vt:lpstr>FPersuasion</vt:lpstr>
      <vt:lpstr>FPilot</vt:lpstr>
      <vt:lpstr>FRide</vt:lpstr>
      <vt:lpstr>FStealth</vt:lpstr>
      <vt:lpstr>FSurvival</vt:lpstr>
      <vt:lpstr>FSwim</vt:lpstr>
      <vt:lpstr>FTreatInjury</vt:lpstr>
      <vt:lpstr>FUseComputer</vt:lpstr>
      <vt:lpstr>FUsetheForce</vt:lpstr>
      <vt:lpstr>Gamorr</vt:lpstr>
      <vt:lpstr>GamorrSkill</vt:lpstr>
      <vt:lpstr>GatherInformation</vt:lpstr>
      <vt:lpstr>GenderList</vt:lpstr>
      <vt:lpstr>GenderTable</vt:lpstr>
      <vt:lpstr>Gladiator</vt:lpstr>
      <vt:lpstr>Gunslinger</vt:lpstr>
      <vt:lpstr>HeroicLevel</vt:lpstr>
      <vt:lpstr>HeroIsNPC</vt:lpstr>
      <vt:lpstr>HitPoints</vt:lpstr>
      <vt:lpstr>HotWire</vt:lpstr>
      <vt:lpstr>HTML</vt:lpstr>
      <vt:lpstr>HTMLFooter</vt:lpstr>
      <vt:lpstr>HTMLHeader</vt:lpstr>
      <vt:lpstr>Imperial_Knight</vt:lpstr>
      <vt:lpstr>ImplantCost</vt:lpstr>
      <vt:lpstr>Imprisoned</vt:lpstr>
      <vt:lpstr>ImprisonedSkill</vt:lpstr>
      <vt:lpstr>Improviser</vt:lpstr>
      <vt:lpstr>Independent_Droid</vt:lpstr>
      <vt:lpstr>IndexReferenceList</vt:lpstr>
      <vt:lpstr>IndexReferenceTable</vt:lpstr>
      <vt:lpstr>Infiltrator</vt:lpstr>
      <vt:lpstr>Informer</vt:lpstr>
      <vt:lpstr>Initiative</vt:lpstr>
      <vt:lpstr>IntAgeMod</vt:lpstr>
      <vt:lpstr>IntegratedEquipmentListStatBlock</vt:lpstr>
      <vt:lpstr>IntegratedEquipmentNameList</vt:lpstr>
      <vt:lpstr>IntegratedEquipmentNumberList</vt:lpstr>
      <vt:lpstr>IntegratedEquipmentSelectionList</vt:lpstr>
      <vt:lpstr>IntegratedEquipmentWeightList</vt:lpstr>
      <vt:lpstr>Intelligence</vt:lpstr>
      <vt:lpstr>IntelligenceBonus</vt:lpstr>
      <vt:lpstr>IntMod</vt:lpstr>
      <vt:lpstr>Iridonia</vt:lpstr>
      <vt:lpstr>IridoniaSkill</vt:lpstr>
      <vt:lpstr>IsZeroG</vt:lpstr>
      <vt:lpstr>Ithor</vt:lpstr>
      <vt:lpstr>IthorSkill</vt:lpstr>
      <vt:lpstr>Jedi</vt:lpstr>
      <vt:lpstr>Jedi_Knight</vt:lpstr>
      <vt:lpstr>JediFeats</vt:lpstr>
      <vt:lpstr>JediSkill</vt:lpstr>
      <vt:lpstr>JetPackList</vt:lpstr>
      <vt:lpstr>JetpackSpeed</vt:lpstr>
      <vt:lpstr>JetPackTable</vt:lpstr>
      <vt:lpstr>Jump</vt:lpstr>
      <vt:lpstr>Kashyyyk</vt:lpstr>
      <vt:lpstr>KashyyykSkill</vt:lpstr>
      <vt:lpstr>KnowledgeBureaucracy</vt:lpstr>
      <vt:lpstr>KnowledgeGalacticLore</vt:lpstr>
      <vt:lpstr>KnowledgeLifeSciences</vt:lpstr>
      <vt:lpstr>KnowledgePhysicalSciences</vt:lpstr>
      <vt:lpstr>KnowledgeSocialSciences</vt:lpstr>
      <vt:lpstr>KnowledgeTactics</vt:lpstr>
      <vt:lpstr>KnowledgeTechnology</vt:lpstr>
      <vt:lpstr>Labor</vt:lpstr>
      <vt:lpstr>LaborSkill</vt:lpstr>
      <vt:lpstr>LanguagesStatBlock</vt:lpstr>
      <vt:lpstr>LanguagesTaken</vt:lpstr>
      <vt:lpstr>Law_Enforcement</vt:lpstr>
      <vt:lpstr>LawEnforcementSkill</vt:lpstr>
      <vt:lpstr>LevelFeatBonus</vt:lpstr>
      <vt:lpstr>LevelsTaken</vt:lpstr>
      <vt:lpstr>LightsaberFormsList</vt:lpstr>
      <vt:lpstr>LightsaberFormsTable</vt:lpstr>
      <vt:lpstr>LocomotionTakenList</vt:lpstr>
      <vt:lpstr>LocomotionTakenTable</vt:lpstr>
      <vt:lpstr>Marital_Arts_Master</vt:lpstr>
      <vt:lpstr>Marooned</vt:lpstr>
      <vt:lpstr>MaroonedSkill</vt:lpstr>
      <vt:lpstr>Master_Privateer</vt:lpstr>
      <vt:lpstr>MasterLevel</vt:lpstr>
      <vt:lpstr>Mechanics</vt:lpstr>
      <vt:lpstr>Medic</vt:lpstr>
      <vt:lpstr>Medical</vt:lpstr>
      <vt:lpstr>MedicalSkill</vt:lpstr>
      <vt:lpstr>Melee_Duelist</vt:lpstr>
      <vt:lpstr>'Weapons Cheat Sheet (2)'!MeleeWeaponAttacksStatBlock</vt:lpstr>
      <vt:lpstr>MeleeWeaponAttacksStatBlock</vt:lpstr>
      <vt:lpstr>Military</vt:lpstr>
      <vt:lpstr>Military_Engineer</vt:lpstr>
      <vt:lpstr>MilitarySkill</vt:lpstr>
      <vt:lpstr>Mon_Calamari</vt:lpstr>
      <vt:lpstr>MonCalamariSkill</vt:lpstr>
      <vt:lpstr>MrlssiKnowledge</vt:lpstr>
      <vt:lpstr>MultiattackProficiencyList</vt:lpstr>
      <vt:lpstr>MultiattackProficiencyTable</vt:lpstr>
      <vt:lpstr>MultiattackProficiencyType</vt:lpstr>
      <vt:lpstr>MulticlassFeats</vt:lpstr>
      <vt:lpstr>Naboo</vt:lpstr>
      <vt:lpstr>NabooSkill</vt:lpstr>
      <vt:lpstr>Nar_Shaddaa</vt:lpstr>
      <vt:lpstr>NarShaddaaSkill</vt:lpstr>
      <vt:lpstr>NaturalAttackDieNumList</vt:lpstr>
      <vt:lpstr>NaturalAttackDieSizeList</vt:lpstr>
      <vt:lpstr>NaturalAttackList</vt:lpstr>
      <vt:lpstr>NearHumanList</vt:lpstr>
      <vt:lpstr>NearHumanName</vt:lpstr>
      <vt:lpstr>NearHumanRemovedTrait</vt:lpstr>
      <vt:lpstr>NearHumanTable</vt:lpstr>
      <vt:lpstr>NearHumanTrait</vt:lpstr>
      <vt:lpstr>NegativeAbilityMods</vt:lpstr>
      <vt:lpstr>NewStatBlock</vt:lpstr>
      <vt:lpstr>NewStatBlockForcePowersKnown</vt:lpstr>
      <vt:lpstr>NHAbilityMinus</vt:lpstr>
      <vt:lpstr>NHAbilityPlus</vt:lpstr>
      <vt:lpstr>NHLang1</vt:lpstr>
      <vt:lpstr>NHLang2</vt:lpstr>
      <vt:lpstr>NHLang3</vt:lpstr>
      <vt:lpstr>NHWeaponFamiliarity</vt:lpstr>
      <vt:lpstr>NHWeaponFamiliarityType</vt:lpstr>
      <vt:lpstr>Noble</vt:lpstr>
      <vt:lpstr>NobleFeats</vt:lpstr>
      <vt:lpstr>NobleSkill</vt:lpstr>
      <vt:lpstr>NonheroicFeats</vt:lpstr>
      <vt:lpstr>NonheroicSkill</vt:lpstr>
      <vt:lpstr>NonHeroicStartFeats</vt:lpstr>
      <vt:lpstr>NPCType</vt:lpstr>
      <vt:lpstr>Officer</vt:lpstr>
      <vt:lpstr>OnlyCombatDescs</vt:lpstr>
      <vt:lpstr>OphanedSkill</vt:lpstr>
      <vt:lpstr>Orphaned</vt:lpstr>
      <vt:lpstr>OrphanedSkill</vt:lpstr>
      <vt:lpstr>Outlaw</vt:lpstr>
      <vt:lpstr>OutputSize</vt:lpstr>
      <vt:lpstr>Padawan</vt:lpstr>
      <vt:lpstr>PadawanFort</vt:lpstr>
      <vt:lpstr>PadawanRef</vt:lpstr>
      <vt:lpstr>PadawanWill</vt:lpstr>
      <vt:lpstr>Pathfinder</vt:lpstr>
      <vt:lpstr>Perception</vt:lpstr>
      <vt:lpstr>Persuasion</vt:lpstr>
      <vt:lpstr>Pilot</vt:lpstr>
      <vt:lpstr>Pilotskill</vt:lpstr>
      <vt:lpstr>PilotSkillBG</vt:lpstr>
      <vt:lpstr>PointBuy</vt:lpstr>
      <vt:lpstr>PointBuyCost</vt:lpstr>
      <vt:lpstr>PointBuyScore</vt:lpstr>
      <vt:lpstr>Politics</vt:lpstr>
      <vt:lpstr>PoliticsSkill</vt:lpstr>
      <vt:lpstr>PositiveAbilityMods</vt:lpstr>
      <vt:lpstr>PosPro</vt:lpstr>
      <vt:lpstr>'Force Power Descriptions'!PossessionsStatBlock</vt:lpstr>
      <vt:lpstr>PossessionsStatBlock</vt:lpstr>
      <vt:lpstr>PowerDescriptionsList</vt:lpstr>
      <vt:lpstr>Primitive</vt:lpstr>
      <vt:lpstr>'Character Sheet 1'!Print_Area</vt:lpstr>
      <vt:lpstr>'Character Sheet 2'!Print_Area</vt:lpstr>
      <vt:lpstr>'Weapons Cheat Sheet'!Print_Area</vt:lpstr>
      <vt:lpstr>'Weapons Cheat Sheet (2)'!Print_Area</vt:lpstr>
      <vt:lpstr>Pronoun</vt:lpstr>
      <vt:lpstr>Race</vt:lpstr>
      <vt:lpstr>RaceIndex</vt:lpstr>
      <vt:lpstr>RacialAbilitiesEnd</vt:lpstr>
      <vt:lpstr>RacialAbilitiesStart</vt:lpstr>
      <vt:lpstr>RacialAbilitiesTable</vt:lpstr>
      <vt:lpstr>RacialAbilitiesTableEnd</vt:lpstr>
      <vt:lpstr>'Weapons Cheat Sheet (2)'!RangedWeaponAttacksStatBlock</vt:lpstr>
      <vt:lpstr>RangedWeaponAttacksStatBlock</vt:lpstr>
      <vt:lpstr>RangeList</vt:lpstr>
      <vt:lpstr>RangeTable</vt:lpstr>
      <vt:lpstr>RangeValue</vt:lpstr>
      <vt:lpstr>RefArmor</vt:lpstr>
      <vt:lpstr>RefBonus</vt:lpstr>
      <vt:lpstr>RefClass</vt:lpstr>
      <vt:lpstr>RefDefense</vt:lpstr>
      <vt:lpstr>RefDodge</vt:lpstr>
      <vt:lpstr>ReflexBonus</vt:lpstr>
      <vt:lpstr>RefMaxDex</vt:lpstr>
      <vt:lpstr>RefNA</vt:lpstr>
      <vt:lpstr>RefSize</vt:lpstr>
      <vt:lpstr>RefSpecies</vt:lpstr>
      <vt:lpstr>RefTalents</vt:lpstr>
      <vt:lpstr>RemoteProcessorList</vt:lpstr>
      <vt:lpstr>RemoteProcessorTable</vt:lpstr>
      <vt:lpstr>Ride</vt:lpstr>
      <vt:lpstr>Rodia</vt:lpstr>
      <vt:lpstr>RodiaSkill</vt:lpstr>
      <vt:lpstr>ROFList</vt:lpstr>
      <vt:lpstr>Ryloth</vt:lpstr>
      <vt:lpstr>RylothSkill</vt:lpstr>
      <vt:lpstr>Saboteur</vt:lpstr>
      <vt:lpstr>SAMMechanics</vt:lpstr>
      <vt:lpstr>SAMPerception</vt:lpstr>
      <vt:lpstr>SAMUsetheForce</vt:lpstr>
      <vt:lpstr>Scarred</vt:lpstr>
      <vt:lpstr>ScarredSkill</vt:lpstr>
      <vt:lpstr>Scoundrel</vt:lpstr>
      <vt:lpstr>ScoundrelFeats</vt:lpstr>
      <vt:lpstr>ScoundrelSkill</vt:lpstr>
      <vt:lpstr>Scout</vt:lpstr>
      <vt:lpstr>ScoutFeats</vt:lpstr>
      <vt:lpstr>ScoutSkill</vt:lpstr>
      <vt:lpstr>Shaper</vt:lpstr>
      <vt:lpstr>ShowCloakedWeapons</vt:lpstr>
      <vt:lpstr>ShowForceDetails</vt:lpstr>
      <vt:lpstr>ShowNPCHP</vt:lpstr>
      <vt:lpstr>ShowStatBlockLines</vt:lpstr>
      <vt:lpstr>ShowTalentTrees</vt:lpstr>
      <vt:lpstr>ShowUnleasedinStatBlock</vt:lpstr>
      <vt:lpstr>Sith_Apprentice</vt:lpstr>
      <vt:lpstr>SithAlchemyTable</vt:lpstr>
      <vt:lpstr>SithWeaponAlchemyList</vt:lpstr>
      <vt:lpstr>SithWeaponAlchemyTable</vt:lpstr>
      <vt:lpstr>SizeAbrList</vt:lpstr>
      <vt:lpstr>SizeList</vt:lpstr>
      <vt:lpstr>SizeNumber</vt:lpstr>
      <vt:lpstr>SizeOverride</vt:lpstr>
      <vt:lpstr>SizeTable</vt:lpstr>
      <vt:lpstr>SkillFocusList</vt:lpstr>
      <vt:lpstr>SkillFocusTimes</vt:lpstr>
      <vt:lpstr>SkillList</vt:lpstr>
      <vt:lpstr>SkillListStatBlock</vt:lpstr>
      <vt:lpstr>SkillSpecials1List</vt:lpstr>
      <vt:lpstr>SkillSpecials2List</vt:lpstr>
      <vt:lpstr>SkillSpecials3List</vt:lpstr>
      <vt:lpstr>SkillSpecials4List</vt:lpstr>
      <vt:lpstr>SkillSpecialsReroll1List</vt:lpstr>
      <vt:lpstr>SkillSpecialsReroll2List</vt:lpstr>
      <vt:lpstr>SkillSpecialsTable</vt:lpstr>
      <vt:lpstr>SkillTable</vt:lpstr>
      <vt:lpstr>SkillTrainingList</vt:lpstr>
      <vt:lpstr>SlinkerList</vt:lpstr>
      <vt:lpstr>SlinkerTable</vt:lpstr>
      <vt:lpstr>Socorro</vt:lpstr>
      <vt:lpstr>SocorroSkill</vt:lpstr>
      <vt:lpstr>Soldier</vt:lpstr>
      <vt:lpstr>SoldierFeats</vt:lpstr>
      <vt:lpstr>SoldierSkill</vt:lpstr>
      <vt:lpstr>SoldierSpecialTalents</vt:lpstr>
      <vt:lpstr>SoldierSpecialTalentsPageRef</vt:lpstr>
      <vt:lpstr>SoldierSpecialTalentsTree</vt:lpstr>
      <vt:lpstr>SpecialActionsList</vt:lpstr>
      <vt:lpstr>'Force Power Descriptions'!SpecialOpionsListStatBlock</vt:lpstr>
      <vt:lpstr>SpecialOpionsListStatBlock</vt:lpstr>
      <vt:lpstr>'Force Power Descriptions'!SpecialOptionsStatBlock</vt:lpstr>
      <vt:lpstr>SpecialOptionsStatBlock</vt:lpstr>
      <vt:lpstr>'Force Power Descriptions'!SpecialQualitiesStatBlock</vt:lpstr>
      <vt:lpstr>SpecialQualitiesStatBlock</vt:lpstr>
      <vt:lpstr>SpecialsImportList</vt:lpstr>
      <vt:lpstr>SpecialsList</vt:lpstr>
      <vt:lpstr>SpecialsTable</vt:lpstr>
      <vt:lpstr>Species</vt:lpstr>
      <vt:lpstr>SpeciesTraits</vt:lpstr>
      <vt:lpstr>SpeciesTraitsList</vt:lpstr>
      <vt:lpstr>Speed</vt:lpstr>
      <vt:lpstr>SpeedList</vt:lpstr>
      <vt:lpstr>SpeedOutput</vt:lpstr>
      <vt:lpstr>SquadBonus</vt:lpstr>
      <vt:lpstr>STAcrobatics</vt:lpstr>
      <vt:lpstr>StarshipManeuversTaken</vt:lpstr>
      <vt:lpstr>StartRace</vt:lpstr>
      <vt:lpstr>StatBlockOutput</vt:lpstr>
      <vt:lpstr>STClimb</vt:lpstr>
      <vt:lpstr>STDeception</vt:lpstr>
      <vt:lpstr>Stealth</vt:lpstr>
      <vt:lpstr>STEndurance</vt:lpstr>
      <vt:lpstr>STGatherInformation</vt:lpstr>
      <vt:lpstr>STInitiative</vt:lpstr>
      <vt:lpstr>STJump</vt:lpstr>
      <vt:lpstr>STKnowledgeBureaucracy</vt:lpstr>
      <vt:lpstr>STKnowledgeGalacticLore</vt:lpstr>
      <vt:lpstr>STKnowledgeLifeSciences</vt:lpstr>
      <vt:lpstr>STKnowledgePhysicalSciences</vt:lpstr>
      <vt:lpstr>STKnowledgeSocialSciences</vt:lpstr>
      <vt:lpstr>STKnowledgeTactics</vt:lpstr>
      <vt:lpstr>STKnowledgeTechnology</vt:lpstr>
      <vt:lpstr>STMechanics</vt:lpstr>
      <vt:lpstr>StolenForms</vt:lpstr>
      <vt:lpstr>StolenFormsList</vt:lpstr>
      <vt:lpstr>STPerception</vt:lpstr>
      <vt:lpstr>STPersuasion</vt:lpstr>
      <vt:lpstr>STPilot</vt:lpstr>
      <vt:lpstr>StrAgeMod</vt:lpstr>
      <vt:lpstr>Strength</vt:lpstr>
      <vt:lpstr>StrengthBonus</vt:lpstr>
      <vt:lpstr>STRide</vt:lpstr>
      <vt:lpstr>StrMod</vt:lpstr>
      <vt:lpstr>STStealth</vt:lpstr>
      <vt:lpstr>STSurvival</vt:lpstr>
      <vt:lpstr>STSwim</vt:lpstr>
      <vt:lpstr>STTreatInjury</vt:lpstr>
      <vt:lpstr>STUseComputer</vt:lpstr>
      <vt:lpstr>STUsetheForce</vt:lpstr>
      <vt:lpstr>Sullust</vt:lpstr>
      <vt:lpstr>SullustSkill</vt:lpstr>
      <vt:lpstr>SuperiorTechWeapons</vt:lpstr>
      <vt:lpstr>SuperiorTechWeaponsList</vt:lpstr>
      <vt:lpstr>SuperiorTechWeaponsTable</vt:lpstr>
      <vt:lpstr>Survival</vt:lpstr>
      <vt:lpstr>Swim</vt:lpstr>
      <vt:lpstr>TableNaturalAttack</vt:lpstr>
      <vt:lpstr>TableNaturalAttackDieNum</vt:lpstr>
      <vt:lpstr>TableNaturalAttackDieSize</vt:lpstr>
      <vt:lpstr>Tables</vt:lpstr>
      <vt:lpstr>TAcrobatics</vt:lpstr>
      <vt:lpstr>TAF</vt:lpstr>
      <vt:lpstr>TaintoftheDarkSideList</vt:lpstr>
      <vt:lpstr>TalentBonus</vt:lpstr>
      <vt:lpstr>TalentsAttOptionsList</vt:lpstr>
      <vt:lpstr>TalentsDefensesList</vt:lpstr>
      <vt:lpstr>TalentsEnd</vt:lpstr>
      <vt:lpstr>'Force Power Descriptions'!TalentsListStatBlock</vt:lpstr>
      <vt:lpstr>TalentsListStatBlock</vt:lpstr>
      <vt:lpstr>TalentsSpecialActionsList</vt:lpstr>
      <vt:lpstr>TalentsStart</vt:lpstr>
      <vt:lpstr>TalentsTableEnd</vt:lpstr>
      <vt:lpstr>TalentsTableList</vt:lpstr>
      <vt:lpstr>TalentsTakenBlankList</vt:lpstr>
      <vt:lpstr>TalentsTakenList</vt:lpstr>
      <vt:lpstr>TalentsTakenListPageRef</vt:lpstr>
      <vt:lpstr>Taris</vt:lpstr>
      <vt:lpstr>TarisSkill</vt:lpstr>
      <vt:lpstr>TAS</vt:lpstr>
      <vt:lpstr>Tatooine</vt:lpstr>
      <vt:lpstr>TatooineSkill</vt:lpstr>
      <vt:lpstr>TClimb</vt:lpstr>
      <vt:lpstr>TDeception</vt:lpstr>
      <vt:lpstr>TDF</vt:lpstr>
      <vt:lpstr>TDS</vt:lpstr>
      <vt:lpstr>TDWThird</vt:lpstr>
      <vt:lpstr>Technology</vt:lpstr>
      <vt:lpstr>TechnologySkill</vt:lpstr>
      <vt:lpstr>TechSpecialist</vt:lpstr>
      <vt:lpstr>TechSpecialistSelfMade</vt:lpstr>
      <vt:lpstr>TechSpecialistWeapons</vt:lpstr>
      <vt:lpstr>TechSpecialistWeaponsList</vt:lpstr>
      <vt:lpstr>TechSpecialistWeaponsTable</vt:lpstr>
      <vt:lpstr>TelekineticProdigyList</vt:lpstr>
      <vt:lpstr>TEndurance</vt:lpstr>
      <vt:lpstr>TGatherInformation</vt:lpstr>
      <vt:lpstr>The_Force</vt:lpstr>
      <vt:lpstr>TInitiative</vt:lpstr>
      <vt:lpstr>TJump</vt:lpstr>
      <vt:lpstr>TKnowledgeBureaucracy</vt:lpstr>
      <vt:lpstr>TKnowledgeGalacticLore</vt:lpstr>
      <vt:lpstr>TKnowledgeLifeSciences</vt:lpstr>
      <vt:lpstr>TKnowledgePhysicalSciences</vt:lpstr>
      <vt:lpstr>TKnowledgeSocialSciences</vt:lpstr>
      <vt:lpstr>TKnowledgeTactics</vt:lpstr>
      <vt:lpstr>TKnowledgeTechnology</vt:lpstr>
      <vt:lpstr>TMechanics</vt:lpstr>
      <vt:lpstr>TotalTalents</vt:lpstr>
      <vt:lpstr>ToughAsNails</vt:lpstr>
      <vt:lpstr>TPerception</vt:lpstr>
      <vt:lpstr>TPersuasion</vt:lpstr>
      <vt:lpstr>TPilot</vt:lpstr>
      <vt:lpstr>Trandosha</vt:lpstr>
      <vt:lpstr>TrandoshaSkill</vt:lpstr>
      <vt:lpstr>TRB</vt:lpstr>
      <vt:lpstr>TRBFP</vt:lpstr>
      <vt:lpstr>TreatInjury</vt:lpstr>
      <vt:lpstr>TRF</vt:lpstr>
      <vt:lpstr>TRFF</vt:lpstr>
      <vt:lpstr>TRG</vt:lpstr>
      <vt:lpstr>TRGR</vt:lpstr>
      <vt:lpstr>TRide</vt:lpstr>
      <vt:lpstr>TRLSG</vt:lpstr>
      <vt:lpstr>TRO</vt:lpstr>
      <vt:lpstr>TRTD</vt:lpstr>
      <vt:lpstr>TrustySidearm</vt:lpstr>
      <vt:lpstr>TRW</vt:lpstr>
      <vt:lpstr>TStealth</vt:lpstr>
      <vt:lpstr>TSurvival</vt:lpstr>
      <vt:lpstr>TSwim</vt:lpstr>
      <vt:lpstr>TTreatInjury</vt:lpstr>
      <vt:lpstr>TUseComputer</vt:lpstr>
      <vt:lpstr>TUsetheForce</vt:lpstr>
      <vt:lpstr>UnarmedDieIncreases</vt:lpstr>
      <vt:lpstr>UnarmedDieNumber</vt:lpstr>
      <vt:lpstr>UnarmedDieSize</vt:lpstr>
      <vt:lpstr>Unleashed</vt:lpstr>
      <vt:lpstr>UnleashedTaken</vt:lpstr>
      <vt:lpstr>UseComputer</vt:lpstr>
      <vt:lpstr>UsetheForce</vt:lpstr>
      <vt:lpstr>UtFPenalty</vt:lpstr>
      <vt:lpstr>Vanguard</vt:lpstr>
      <vt:lpstr>Weapon1</vt:lpstr>
      <vt:lpstr>Weapon1Accessories</vt:lpstr>
      <vt:lpstr>Weapon2</vt:lpstr>
      <vt:lpstr>Weapon2Accessories</vt:lpstr>
      <vt:lpstr>Weapon3</vt:lpstr>
      <vt:lpstr>Weapon3Accessories</vt:lpstr>
      <vt:lpstr>Weapon4</vt:lpstr>
      <vt:lpstr>Weapon4Accessories</vt:lpstr>
      <vt:lpstr>Weapon5</vt:lpstr>
      <vt:lpstr>Weapon5Accessories</vt:lpstr>
      <vt:lpstr>Weapon6</vt:lpstr>
      <vt:lpstr>Weapon6Accessories</vt:lpstr>
      <vt:lpstr>WeaponAccessoriesList</vt:lpstr>
      <vt:lpstr>WeaponAccessoriesTable</vt:lpstr>
      <vt:lpstr>'Weapons Cheat Sheet (2)'!WeaponAttacksStatBlock</vt:lpstr>
      <vt:lpstr>WeaponAttacksStatBlock</vt:lpstr>
      <vt:lpstr>WeaponCheatSheetList</vt:lpstr>
      <vt:lpstr>WeaponCheatSheetTable</vt:lpstr>
      <vt:lpstr>WeaponEquippedNumberList</vt:lpstr>
      <vt:lpstr>WeaponEquippedWeightList</vt:lpstr>
      <vt:lpstr>WeaponFeatsModsListEnd</vt:lpstr>
      <vt:lpstr>WeaponFeatsModsListStart</vt:lpstr>
      <vt:lpstr>WeaponFeatsModsTableEnd</vt:lpstr>
      <vt:lpstr>WeaponGroupList</vt:lpstr>
      <vt:lpstr>WeaponListEnd</vt:lpstr>
      <vt:lpstr>WeaponListStart</vt:lpstr>
      <vt:lpstr>WeaponName1</vt:lpstr>
      <vt:lpstr>WeaponName2</vt:lpstr>
      <vt:lpstr>WeaponName3</vt:lpstr>
      <vt:lpstr>WeaponName4</vt:lpstr>
      <vt:lpstr>WeaponObjectList</vt:lpstr>
      <vt:lpstr>WeaponObjectTable</vt:lpstr>
      <vt:lpstr>WeaponsEquippedNameList</vt:lpstr>
      <vt:lpstr>WeaponsSheetTable</vt:lpstr>
      <vt:lpstr>WeaponsTakenTable</vt:lpstr>
      <vt:lpstr>WeaponStrippingList</vt:lpstr>
      <vt:lpstr>WeaponTableEnd</vt:lpstr>
      <vt:lpstr>WeaponTemplateList</vt:lpstr>
      <vt:lpstr>WeaponTemplateTable</vt:lpstr>
      <vt:lpstr>WeightSum</vt:lpstr>
      <vt:lpstr>WFF</vt:lpstr>
      <vt:lpstr>WFS</vt:lpstr>
      <vt:lpstr>Widowed</vt:lpstr>
      <vt:lpstr>WidowedSkill</vt:lpstr>
      <vt:lpstr>WillBonus</vt:lpstr>
      <vt:lpstr>WillDefense</vt:lpstr>
      <vt:lpstr>WisAgeMod</vt:lpstr>
      <vt:lpstr>Wisdom</vt:lpstr>
      <vt:lpstr>WisdomBonus</vt:lpstr>
      <vt:lpstr>WisMod</vt:lpstr>
      <vt:lpstr>XP</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Mow</dc:creator>
  <cp:lastModifiedBy>Leo</cp:lastModifiedBy>
  <cp:lastPrinted>2011-10-29T13:26:25Z</cp:lastPrinted>
  <dcterms:created xsi:type="dcterms:W3CDTF">2009-05-10T17:50:25Z</dcterms:created>
  <dcterms:modified xsi:type="dcterms:W3CDTF">2021-12-23T04:10:09Z</dcterms:modified>
</cp:coreProperties>
</file>